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Mi unidad\INFO\PERSONAL\"/>
    </mc:Choice>
  </mc:AlternateContent>
  <xr:revisionPtr revIDLastSave="0" documentId="13_ncr:1_{217F9525-3A4E-4218-AED3-3D4D89733B29}" xr6:coauthVersionLast="47" xr6:coauthVersionMax="47" xr10:uidLastSave="{00000000-0000-0000-0000-000000000000}"/>
  <bookViews>
    <workbookView xWindow="-120" yWindow="-120" windowWidth="29040" windowHeight="15720" activeTab="6" xr2:uid="{0A1BB7F4-7D1A-443D-984C-CC8A9EE4FEA7}"/>
  </bookViews>
  <sheets>
    <sheet name="inicio" sheetId="64" r:id="rId1"/>
    <sheet name="pagos" sheetId="726" r:id="rId2"/>
    <sheet name="Fecha de hoy" sheetId="12" state="hidden" r:id="rId3"/>
    <sheet name="Retenciones" sheetId="11" state="hidden" r:id="rId4"/>
    <sheet name="Terceros" sheetId="10" r:id="rId5"/>
    <sheet name="Palabra que no opera y Listas d" sheetId="128" state="hidden" r:id="rId6"/>
    <sheet name="F.Proveedores" sheetId="697" r:id="rId7"/>
    <sheet name="USD" sheetId="104" r:id="rId8"/>
    <sheet name="Reporte" sheetId="16" r:id="rId9"/>
    <sheet name="Financiación" sheetId="6" r:id="rId10"/>
    <sheet name="Financiadores" sheetId="15" r:id="rId11"/>
    <sheet name="F.Vencidas" sheetId="157" r:id="rId12"/>
  </sheets>
  <externalReferences>
    <externalReference r:id="rId13"/>
  </externalReferences>
  <definedNames>
    <definedName name="_xlnm._FilterDatabase" localSheetId="6" hidden="1">F.Proveedores!$A$1:$Z$1661</definedName>
    <definedName name="_xlnm._FilterDatabase" localSheetId="11" hidden="1">F.Vencidas!#REF!</definedName>
    <definedName name="_xlnm._FilterDatabase" localSheetId="8" hidden="1">Reporte!#REF!</definedName>
    <definedName name="_xlnm._FilterDatabase" localSheetId="4" hidden="1">Terceros!$L$1:$L$329</definedName>
    <definedName name="_xlnm._FilterDatabase" localSheetId="7" hidden="1">USD!$C$1:$I$143</definedName>
    <definedName name="area" localSheetId="7">#REF!</definedName>
    <definedName name="area">#REF!</definedName>
    <definedName name="_xlnm.Extract" localSheetId="1">pagos!$A$1:$M$1</definedName>
    <definedName name="_xlnm.Extract" localSheetId="7">USD!#REF!</definedName>
    <definedName name="_xlnm.Print_Area" localSheetId="1">pagos!$A$16:$N$18</definedName>
    <definedName name="_xlnm.Print_Area" localSheetId="4">Terceros!$A$1:$L$332</definedName>
    <definedName name="Correo" localSheetId="7">#REF!</definedName>
    <definedName name="Correo">#REF!</definedName>
    <definedName name="_xlnm.Criteria" localSheetId="1">pagos!#REF!</definedName>
    <definedName name="_xlnm.Criteria" localSheetId="7">USD!#REF!</definedName>
    <definedName name="depend">[1]vicep!$B$2:$B$3100</definedName>
    <definedName name="info">pagos!$A$1:$M$17</definedName>
    <definedName name="VICEP">'[1]vicep ppto'!$B$2:$B$23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6" l="1"/>
  <c r="C8" i="16"/>
  <c r="C7" i="16"/>
  <c r="D9" i="16"/>
  <c r="D8" i="16"/>
  <c r="D7" i="16"/>
  <c r="E9" i="16"/>
  <c r="E8" i="16"/>
  <c r="E7" i="16"/>
  <c r="F9" i="16"/>
  <c r="F8" i="16"/>
  <c r="F7" i="16"/>
  <c r="G9" i="16"/>
  <c r="G8" i="16"/>
  <c r="G7" i="16"/>
  <c r="G30" i="16" l="1"/>
  <c r="A1661" i="697"/>
  <c r="C1661" i="697"/>
  <c r="B1661" i="697" s="1"/>
  <c r="F1661" i="697"/>
  <c r="N1661" i="697"/>
  <c r="O1661" i="697"/>
  <c r="S1661" i="697"/>
  <c r="T1661" i="697"/>
  <c r="U1661" i="697"/>
  <c r="Y1661" i="697" s="1"/>
  <c r="V1661" i="697"/>
  <c r="W1661" i="697" s="1"/>
  <c r="Z1661" i="697"/>
  <c r="A1660" i="697"/>
  <c r="C1660" i="697"/>
  <c r="B1660" i="697" s="1"/>
  <c r="F1660" i="697"/>
  <c r="N1660" i="697"/>
  <c r="O1660" i="697"/>
  <c r="T1660" i="697"/>
  <c r="U1660" i="697"/>
  <c r="Y1660" i="697" s="1"/>
  <c r="V1660" i="697"/>
  <c r="W1660" i="697" s="1"/>
  <c r="X1660" i="697" s="1"/>
  <c r="Z1660" i="697"/>
  <c r="A1659" i="697"/>
  <c r="C1659" i="697"/>
  <c r="B1659" i="697" s="1"/>
  <c r="F1659" i="697"/>
  <c r="N1659" i="697"/>
  <c r="O1659" i="697"/>
  <c r="U1659" i="697"/>
  <c r="V1659" i="697"/>
  <c r="W1659" i="697" s="1"/>
  <c r="Z1659" i="697"/>
  <c r="X1661" i="697" l="1"/>
  <c r="P1661" i="697" s="1"/>
  <c r="Q1661" i="697" s="1"/>
  <c r="R1661" i="697" s="1"/>
  <c r="D1661" i="697" s="1"/>
  <c r="P1660" i="697"/>
  <c r="Q1660" i="697" s="1"/>
  <c r="R1660" i="697" s="1"/>
  <c r="D1660" i="697" s="1"/>
  <c r="X1659" i="697"/>
  <c r="T1659" i="697"/>
  <c r="Y1659" i="697"/>
  <c r="A1658" i="697"/>
  <c r="C1658" i="697"/>
  <c r="B1658" i="697" s="1"/>
  <c r="F1658" i="697"/>
  <c r="N1658" i="697"/>
  <c r="O1658" i="697"/>
  <c r="S1658" i="697"/>
  <c r="T1658" i="697"/>
  <c r="U1658" i="697"/>
  <c r="Y1658" i="697" s="1"/>
  <c r="V1658" i="697"/>
  <c r="W1658" i="697" s="1"/>
  <c r="Z1658" i="697"/>
  <c r="P1659" i="697" l="1"/>
  <c r="Q1659" i="697" s="1"/>
  <c r="R1659" i="697" s="1"/>
  <c r="D1659" i="697" s="1"/>
  <c r="X1658" i="697"/>
  <c r="P1658" i="697" s="1"/>
  <c r="Q1658" i="697" s="1"/>
  <c r="R1658" i="697" s="1"/>
  <c r="D1658" i="697" s="1"/>
  <c r="AA8" i="157"/>
  <c r="AB8" i="157" s="1"/>
  <c r="AA9" i="157"/>
  <c r="AA10" i="157"/>
  <c r="AA11" i="157"/>
  <c r="AB11" i="157" s="1"/>
  <c r="AA12" i="157"/>
  <c r="AA13" i="157"/>
  <c r="AA14" i="157"/>
  <c r="AA15" i="157"/>
  <c r="AB15" i="157" s="1"/>
  <c r="AA16" i="157"/>
  <c r="AA17" i="157"/>
  <c r="AA18" i="157"/>
  <c r="AA19" i="157"/>
  <c r="AB19" i="157" s="1"/>
  <c r="AA20" i="157"/>
  <c r="AA21" i="157"/>
  <c r="AA22" i="157"/>
  <c r="AA23" i="157"/>
  <c r="AB23" i="157" s="1"/>
  <c r="AA24" i="157"/>
  <c r="AB24" i="157" s="1"/>
  <c r="AA25" i="157"/>
  <c r="AA26" i="157"/>
  <c r="AA27" i="157"/>
  <c r="AB27" i="157" s="1"/>
  <c r="AA28" i="157"/>
  <c r="AA29" i="157"/>
  <c r="AA30" i="157"/>
  <c r="AA31" i="157"/>
  <c r="AB31" i="157" s="1"/>
  <c r="AA32" i="157"/>
  <c r="AA33" i="157"/>
  <c r="AA34" i="157"/>
  <c r="AA35" i="157"/>
  <c r="AB35" i="157" s="1"/>
  <c r="AA36" i="157"/>
  <c r="AA37" i="157"/>
  <c r="AA38" i="157"/>
  <c r="AA39" i="157"/>
  <c r="AB39" i="157" s="1"/>
  <c r="AA40" i="157"/>
  <c r="AB40" i="157" s="1"/>
  <c r="AD40" i="157" s="1"/>
  <c r="AA41" i="157"/>
  <c r="AA42" i="157"/>
  <c r="AA43" i="157"/>
  <c r="AB43" i="157" s="1"/>
  <c r="AA44" i="157"/>
  <c r="AA45" i="157"/>
  <c r="AA46" i="157"/>
  <c r="AA47" i="157"/>
  <c r="AB47" i="157" s="1"/>
  <c r="AA48" i="157"/>
  <c r="AA49" i="157"/>
  <c r="AA50" i="157"/>
  <c r="AA51" i="157"/>
  <c r="AB51" i="157" s="1"/>
  <c r="AA52" i="157"/>
  <c r="AA53" i="157"/>
  <c r="AA54" i="157"/>
  <c r="AA55" i="157"/>
  <c r="AB55" i="157" s="1"/>
  <c r="AA56" i="157"/>
  <c r="AB56" i="157" s="1"/>
  <c r="AA57" i="157"/>
  <c r="AA58" i="157"/>
  <c r="AA59" i="157"/>
  <c r="AB59" i="157" s="1"/>
  <c r="AA60" i="157"/>
  <c r="AA61" i="157"/>
  <c r="AA62" i="157"/>
  <c r="AA63" i="157"/>
  <c r="AB63" i="157" s="1"/>
  <c r="AA64" i="157"/>
  <c r="AA65" i="157"/>
  <c r="AA66" i="157"/>
  <c r="AA67" i="157"/>
  <c r="AB67" i="157" s="1"/>
  <c r="AA68" i="157"/>
  <c r="AA69" i="157"/>
  <c r="AA70" i="157"/>
  <c r="AA71" i="157"/>
  <c r="AB71" i="157" s="1"/>
  <c r="AA72" i="157"/>
  <c r="AB72" i="157" s="1"/>
  <c r="AD72" i="157" s="1"/>
  <c r="AA73" i="157"/>
  <c r="AA74" i="157"/>
  <c r="AA75" i="157"/>
  <c r="AB75" i="157" s="1"/>
  <c r="AA76" i="157"/>
  <c r="AA77" i="157"/>
  <c r="AA78" i="157"/>
  <c r="AA79" i="157"/>
  <c r="AB79" i="157" s="1"/>
  <c r="AA80" i="157"/>
  <c r="AA81" i="157"/>
  <c r="AA82" i="157"/>
  <c r="AA83" i="157"/>
  <c r="AB83" i="157" s="1"/>
  <c r="AA84" i="157"/>
  <c r="AA85" i="157"/>
  <c r="AA86" i="157"/>
  <c r="AA87" i="157"/>
  <c r="AB87" i="157" s="1"/>
  <c r="AA88" i="157"/>
  <c r="AB88" i="157" s="1"/>
  <c r="AD88" i="157" s="1"/>
  <c r="AA89" i="157"/>
  <c r="AA90" i="157"/>
  <c r="AA91" i="157"/>
  <c r="AB91" i="157" s="1"/>
  <c r="AA92" i="157"/>
  <c r="AA93" i="157"/>
  <c r="AA94" i="157"/>
  <c r="AA95" i="157"/>
  <c r="AB95" i="157" s="1"/>
  <c r="AA96" i="157"/>
  <c r="AA97" i="157"/>
  <c r="AA98" i="157"/>
  <c r="AA99" i="157"/>
  <c r="AB99" i="157" s="1"/>
  <c r="AA100" i="157"/>
  <c r="AA101" i="157"/>
  <c r="AA102" i="157"/>
  <c r="AA103" i="157"/>
  <c r="AB103" i="157" s="1"/>
  <c r="AA104" i="157"/>
  <c r="AB104" i="157" s="1"/>
  <c r="AD104" i="157" s="1"/>
  <c r="AA105" i="157"/>
  <c r="AA106" i="157"/>
  <c r="AA107" i="157"/>
  <c r="AB107" i="157" s="1"/>
  <c r="AA108" i="157"/>
  <c r="AA109" i="157"/>
  <c r="AA110" i="157"/>
  <c r="AA111" i="157"/>
  <c r="AB111" i="157" s="1"/>
  <c r="AA112" i="157"/>
  <c r="AA113" i="157"/>
  <c r="AA114" i="157"/>
  <c r="AA115" i="157"/>
  <c r="AB115" i="157" s="1"/>
  <c r="AA116" i="157"/>
  <c r="AA117" i="157"/>
  <c r="AA118" i="157"/>
  <c r="AA119" i="157"/>
  <c r="AB119" i="157" s="1"/>
  <c r="AA120" i="157"/>
  <c r="AB120" i="157" s="1"/>
  <c r="AA121" i="157"/>
  <c r="AA122" i="157"/>
  <c r="AA123" i="157"/>
  <c r="AB123" i="157" s="1"/>
  <c r="AA124" i="157"/>
  <c r="AA125" i="157"/>
  <c r="AA126" i="157"/>
  <c r="AA127" i="157"/>
  <c r="AB127" i="157" s="1"/>
  <c r="AA128" i="157"/>
  <c r="AA129" i="157"/>
  <c r="AA130" i="157"/>
  <c r="AA131" i="157"/>
  <c r="AB131" i="157" s="1"/>
  <c r="AA132" i="157"/>
  <c r="AA133" i="157"/>
  <c r="AA134" i="157"/>
  <c r="AA135" i="157"/>
  <c r="AB135" i="157" s="1"/>
  <c r="AA136" i="157"/>
  <c r="AB136" i="157" s="1"/>
  <c r="AD136" i="157" s="1"/>
  <c r="AA137" i="157"/>
  <c r="AA138" i="157"/>
  <c r="AA139" i="157"/>
  <c r="AB139" i="157" s="1"/>
  <c r="AA140" i="157"/>
  <c r="AA141" i="157"/>
  <c r="AA142" i="157"/>
  <c r="AA143" i="157"/>
  <c r="AB143" i="157" s="1"/>
  <c r="AA144" i="157"/>
  <c r="AA145" i="157"/>
  <c r="AA146" i="157"/>
  <c r="AA147" i="157"/>
  <c r="AB147" i="157" s="1"/>
  <c r="AA148" i="157"/>
  <c r="AA149" i="157"/>
  <c r="AA150" i="157"/>
  <c r="AA151" i="157"/>
  <c r="AB151" i="157" s="1"/>
  <c r="AA152" i="157"/>
  <c r="AB152" i="157" s="1"/>
  <c r="AD152" i="157" s="1"/>
  <c r="AA153" i="157"/>
  <c r="AA154" i="157"/>
  <c r="AA155" i="157"/>
  <c r="AB155" i="157" s="1"/>
  <c r="AA156" i="157"/>
  <c r="AA157" i="157"/>
  <c r="AA158" i="157"/>
  <c r="AA159" i="157"/>
  <c r="AB159" i="157" s="1"/>
  <c r="AA160" i="157"/>
  <c r="AA161" i="157"/>
  <c r="AA162" i="157"/>
  <c r="AA163" i="157"/>
  <c r="AB163" i="157" s="1"/>
  <c r="AA164" i="157"/>
  <c r="AA165" i="157"/>
  <c r="AA166" i="157"/>
  <c r="AA167" i="157"/>
  <c r="AB167" i="157" s="1"/>
  <c r="AA168" i="157"/>
  <c r="AB168" i="157" s="1"/>
  <c r="AD168" i="157" s="1"/>
  <c r="AA169" i="157"/>
  <c r="AA170" i="157"/>
  <c r="AA171" i="157"/>
  <c r="AB171" i="157" s="1"/>
  <c r="AA172" i="157"/>
  <c r="AA173" i="157"/>
  <c r="AA174" i="157"/>
  <c r="AA175" i="157"/>
  <c r="AB175" i="157" s="1"/>
  <c r="AA176" i="157"/>
  <c r="AA177" i="157"/>
  <c r="AA178" i="157"/>
  <c r="AA179" i="157"/>
  <c r="AB179" i="157" s="1"/>
  <c r="AA180" i="157"/>
  <c r="AA181" i="157"/>
  <c r="AA182" i="157"/>
  <c r="AA183" i="157"/>
  <c r="AB183" i="157" s="1"/>
  <c r="AA184" i="157"/>
  <c r="AB184" i="157" s="1"/>
  <c r="AA185" i="157"/>
  <c r="AA186" i="157"/>
  <c r="AA187" i="157"/>
  <c r="AB187" i="157" s="1"/>
  <c r="AA188" i="157"/>
  <c r="AA189" i="157"/>
  <c r="AA190" i="157"/>
  <c r="AA191" i="157"/>
  <c r="AB191" i="157" s="1"/>
  <c r="AA192" i="157"/>
  <c r="AA193" i="157"/>
  <c r="AA194" i="157"/>
  <c r="AA195" i="157"/>
  <c r="AB195" i="157" s="1"/>
  <c r="AA196" i="157"/>
  <c r="AA197" i="157"/>
  <c r="AA198" i="157"/>
  <c r="AA199" i="157"/>
  <c r="AB199" i="157" s="1"/>
  <c r="AA200" i="157"/>
  <c r="AB200" i="157" s="1"/>
  <c r="AD200" i="157" s="1"/>
  <c r="AA201" i="157"/>
  <c r="AA202" i="157"/>
  <c r="AA203" i="157"/>
  <c r="AB203" i="157" s="1"/>
  <c r="AA204" i="157"/>
  <c r="AA205" i="157"/>
  <c r="AA206" i="157"/>
  <c r="AA207" i="157"/>
  <c r="AB207" i="157" s="1"/>
  <c r="AA208" i="157"/>
  <c r="AA209" i="157"/>
  <c r="AA210" i="157"/>
  <c r="AA211" i="157"/>
  <c r="AB211" i="157" s="1"/>
  <c r="AA212" i="157"/>
  <c r="AA213" i="157"/>
  <c r="AA214" i="157"/>
  <c r="AA215" i="157"/>
  <c r="AB215" i="157" s="1"/>
  <c r="AA216" i="157"/>
  <c r="AB216" i="157" s="1"/>
  <c r="AD216" i="157" s="1"/>
  <c r="AA217" i="157"/>
  <c r="AA218" i="157"/>
  <c r="AA219" i="157"/>
  <c r="AB219" i="157" s="1"/>
  <c r="AA220" i="157"/>
  <c r="AA221" i="157"/>
  <c r="AA222" i="157"/>
  <c r="AA223" i="157"/>
  <c r="AB223" i="157" s="1"/>
  <c r="AA224" i="157"/>
  <c r="AA225" i="157"/>
  <c r="AA226" i="157"/>
  <c r="AA227" i="157"/>
  <c r="AB227" i="157" s="1"/>
  <c r="AA228" i="157"/>
  <c r="AA229" i="157"/>
  <c r="AA230" i="157"/>
  <c r="AA231" i="157"/>
  <c r="AB231" i="157" s="1"/>
  <c r="AA232" i="157"/>
  <c r="AB232" i="157" s="1"/>
  <c r="AD232" i="157" s="1"/>
  <c r="AA233" i="157"/>
  <c r="AA234" i="157"/>
  <c r="AA235" i="157"/>
  <c r="AB235" i="157" s="1"/>
  <c r="AA236" i="157"/>
  <c r="AA237" i="157"/>
  <c r="AA238" i="157"/>
  <c r="AA239" i="157"/>
  <c r="AB239" i="157" s="1"/>
  <c r="AA240" i="157"/>
  <c r="AA241" i="157"/>
  <c r="AA242" i="157"/>
  <c r="AA243" i="157"/>
  <c r="AB243" i="157" s="1"/>
  <c r="AA244" i="157"/>
  <c r="AA245" i="157"/>
  <c r="AA246" i="157"/>
  <c r="AA247" i="157"/>
  <c r="AB247" i="157" s="1"/>
  <c r="AA248" i="157"/>
  <c r="AB248" i="157" s="1"/>
  <c r="AA249" i="157"/>
  <c r="AA250" i="157"/>
  <c r="AA251" i="157"/>
  <c r="AB251" i="157" s="1"/>
  <c r="AA252" i="157"/>
  <c r="AA253" i="157"/>
  <c r="AA254" i="157"/>
  <c r="AA255" i="157"/>
  <c r="AB255" i="157" s="1"/>
  <c r="AA256" i="157"/>
  <c r="AA257" i="157"/>
  <c r="AA258" i="157"/>
  <c r="AA259" i="157"/>
  <c r="AB259" i="157" s="1"/>
  <c r="AA260" i="157"/>
  <c r="AA261" i="157"/>
  <c r="AA262" i="157"/>
  <c r="AA263" i="157"/>
  <c r="AB263" i="157" s="1"/>
  <c r="AA264" i="157"/>
  <c r="AB264" i="157" s="1"/>
  <c r="AD264" i="157" s="1"/>
  <c r="AA265" i="157"/>
  <c r="AA266" i="157"/>
  <c r="AA267" i="157"/>
  <c r="AB267" i="157" s="1"/>
  <c r="AA268" i="157"/>
  <c r="AA269" i="157"/>
  <c r="AA270" i="157"/>
  <c r="AA271" i="157"/>
  <c r="AB271" i="157" s="1"/>
  <c r="AA272" i="157"/>
  <c r="AA273" i="157"/>
  <c r="AA274" i="157"/>
  <c r="AA275" i="157"/>
  <c r="AB275" i="157" s="1"/>
  <c r="AA276" i="157"/>
  <c r="AA277" i="157"/>
  <c r="AA278" i="157"/>
  <c r="AA279" i="157"/>
  <c r="AB279" i="157" s="1"/>
  <c r="AA280" i="157"/>
  <c r="AB280" i="157" s="1"/>
  <c r="AD280" i="157" s="1"/>
  <c r="AA281" i="157"/>
  <c r="AA282" i="157"/>
  <c r="AA283" i="157"/>
  <c r="AB283" i="157" s="1"/>
  <c r="AA284" i="157"/>
  <c r="AA285" i="157"/>
  <c r="AA286" i="157"/>
  <c r="AA287" i="157"/>
  <c r="AB287" i="157" s="1"/>
  <c r="AA288" i="157"/>
  <c r="AA289" i="157"/>
  <c r="AA290" i="157"/>
  <c r="AA291" i="157"/>
  <c r="AB291" i="157" s="1"/>
  <c r="AA292" i="157"/>
  <c r="AA293" i="157"/>
  <c r="AA294" i="157"/>
  <c r="AA295" i="157"/>
  <c r="AB295" i="157" s="1"/>
  <c r="AA296" i="157"/>
  <c r="AB296" i="157" s="1"/>
  <c r="AD296" i="157" s="1"/>
  <c r="AA297" i="157"/>
  <c r="AA298" i="157"/>
  <c r="AA299" i="157"/>
  <c r="AB299" i="157" s="1"/>
  <c r="AA300" i="157"/>
  <c r="AA301" i="157"/>
  <c r="AA302" i="157"/>
  <c r="AA303" i="157"/>
  <c r="AB303" i="157" s="1"/>
  <c r="AA304" i="157"/>
  <c r="AA305" i="157"/>
  <c r="AA306" i="157"/>
  <c r="AA307" i="157"/>
  <c r="AB307" i="157" s="1"/>
  <c r="AA308" i="157"/>
  <c r="AA309" i="157"/>
  <c r="AA310" i="157"/>
  <c r="AA311" i="157"/>
  <c r="AB311" i="157" s="1"/>
  <c r="AA312" i="157"/>
  <c r="AB312" i="157" s="1"/>
  <c r="AA313" i="157"/>
  <c r="AA314" i="157"/>
  <c r="AA315" i="157"/>
  <c r="AB315" i="157" s="1"/>
  <c r="AA316" i="157"/>
  <c r="AA317" i="157"/>
  <c r="AA318" i="157"/>
  <c r="AA319" i="157"/>
  <c r="AB319" i="157" s="1"/>
  <c r="AA320" i="157"/>
  <c r="AA321" i="157"/>
  <c r="AA322" i="157"/>
  <c r="AA323" i="157"/>
  <c r="AB323" i="157" s="1"/>
  <c r="AA324" i="157"/>
  <c r="AA325" i="157"/>
  <c r="AA326" i="157"/>
  <c r="AA327" i="157"/>
  <c r="AB327" i="157" s="1"/>
  <c r="AA328" i="157"/>
  <c r="AB328" i="157" s="1"/>
  <c r="AD328" i="157" s="1"/>
  <c r="AA329" i="157"/>
  <c r="AA330" i="157"/>
  <c r="AA331" i="157"/>
  <c r="AB331" i="157" s="1"/>
  <c r="AA332" i="157"/>
  <c r="AA333" i="157"/>
  <c r="AA334" i="157"/>
  <c r="AA335" i="157"/>
  <c r="AB335" i="157" s="1"/>
  <c r="AA336" i="157"/>
  <c r="AA337" i="157"/>
  <c r="AA338" i="157"/>
  <c r="AA339" i="157"/>
  <c r="AB339" i="157" s="1"/>
  <c r="AA340" i="157"/>
  <c r="AA341" i="157"/>
  <c r="AA342" i="157"/>
  <c r="AA343" i="157"/>
  <c r="AB343" i="157" s="1"/>
  <c r="AA344" i="157"/>
  <c r="AB344" i="157" s="1"/>
  <c r="AD344" i="157" s="1"/>
  <c r="AA345" i="157"/>
  <c r="AA346" i="157"/>
  <c r="AA347" i="157"/>
  <c r="AB347" i="157" s="1"/>
  <c r="AA348" i="157"/>
  <c r="AA349" i="157"/>
  <c r="AA350" i="157"/>
  <c r="AA351" i="157"/>
  <c r="AB351" i="157" s="1"/>
  <c r="AA352" i="157"/>
  <c r="AA353" i="157"/>
  <c r="AA354" i="157"/>
  <c r="AA355" i="157"/>
  <c r="AB355" i="157" s="1"/>
  <c r="AA356" i="157"/>
  <c r="AA357" i="157"/>
  <c r="AA358" i="157"/>
  <c r="AA359" i="157"/>
  <c r="AB359" i="157" s="1"/>
  <c r="AA360" i="157"/>
  <c r="AB360" i="157" s="1"/>
  <c r="AD360" i="157" s="1"/>
  <c r="AA361" i="157"/>
  <c r="AA362" i="157"/>
  <c r="AA363" i="157"/>
  <c r="AB363" i="157" s="1"/>
  <c r="AA364" i="157"/>
  <c r="AA365" i="157"/>
  <c r="AA366" i="157"/>
  <c r="AA367" i="157"/>
  <c r="AB367" i="157" s="1"/>
  <c r="AA368" i="157"/>
  <c r="AA369" i="157"/>
  <c r="AA370" i="157"/>
  <c r="AA371" i="157"/>
  <c r="AB371" i="157" s="1"/>
  <c r="AA372" i="157"/>
  <c r="AA373" i="157"/>
  <c r="AA374" i="157"/>
  <c r="AA375" i="157"/>
  <c r="AB375" i="157" s="1"/>
  <c r="AA376" i="157"/>
  <c r="AB376" i="157" s="1"/>
  <c r="AD376" i="157" s="1"/>
  <c r="AA377" i="157"/>
  <c r="AA378" i="157"/>
  <c r="AA379" i="157"/>
  <c r="AB379" i="157" s="1"/>
  <c r="AA380" i="157"/>
  <c r="AA381" i="157"/>
  <c r="AA382" i="157"/>
  <c r="AA383" i="157"/>
  <c r="AB383" i="157" s="1"/>
  <c r="AA384" i="157"/>
  <c r="AA385" i="157"/>
  <c r="AA386" i="157"/>
  <c r="AA387" i="157"/>
  <c r="AB387" i="157" s="1"/>
  <c r="AA388" i="157"/>
  <c r="AA389" i="157"/>
  <c r="AA390" i="157"/>
  <c r="AA391" i="157"/>
  <c r="AB391" i="157" s="1"/>
  <c r="AA392" i="157"/>
  <c r="AB392" i="157" s="1"/>
  <c r="AD392" i="157" s="1"/>
  <c r="AA393" i="157"/>
  <c r="AA394" i="157"/>
  <c r="AA395" i="157"/>
  <c r="AB395" i="157" s="1"/>
  <c r="AA396" i="157"/>
  <c r="AA397" i="157"/>
  <c r="AA398" i="157"/>
  <c r="AA399" i="157"/>
  <c r="AB399" i="157" s="1"/>
  <c r="AD399" i="157" s="1"/>
  <c r="AA400" i="157"/>
  <c r="AA401" i="157"/>
  <c r="AA402" i="157"/>
  <c r="AA403" i="157"/>
  <c r="AB403" i="157" s="1"/>
  <c r="AA404" i="157"/>
  <c r="AA405" i="157"/>
  <c r="AA406" i="157"/>
  <c r="AA407" i="157"/>
  <c r="AB407" i="157" s="1"/>
  <c r="AD407" i="157" s="1"/>
  <c r="AA408" i="157"/>
  <c r="AB408" i="157" s="1"/>
  <c r="AD408" i="157" s="1"/>
  <c r="AA409" i="157"/>
  <c r="AA410" i="157"/>
  <c r="AA411" i="157"/>
  <c r="AB411" i="157" s="1"/>
  <c r="AD411" i="157" s="1"/>
  <c r="AA412" i="157"/>
  <c r="AA413" i="157"/>
  <c r="AA414" i="157"/>
  <c r="AA415" i="157"/>
  <c r="AB415" i="157" s="1"/>
  <c r="AD415" i="157" s="1"/>
  <c r="AA416" i="157"/>
  <c r="AA417" i="157"/>
  <c r="AA418" i="157"/>
  <c r="AA419" i="157"/>
  <c r="AB419" i="157" s="1"/>
  <c r="AD419" i="157" s="1"/>
  <c r="AA420" i="157"/>
  <c r="AA421" i="157"/>
  <c r="AA422" i="157"/>
  <c r="AA423" i="157"/>
  <c r="AB423" i="157" s="1"/>
  <c r="AA424" i="157"/>
  <c r="AB424" i="157" s="1"/>
  <c r="AD424" i="157" s="1"/>
  <c r="AA425" i="157"/>
  <c r="AA426" i="157"/>
  <c r="AA427" i="157"/>
  <c r="AB427" i="157" s="1"/>
  <c r="AD427" i="157" s="1"/>
  <c r="AA428" i="157"/>
  <c r="AA429" i="157"/>
  <c r="AA430" i="157"/>
  <c r="AA431" i="157"/>
  <c r="AB431" i="157" s="1"/>
  <c r="AD431" i="157" s="1"/>
  <c r="AA432" i="157"/>
  <c r="AA433" i="157"/>
  <c r="AA434" i="157"/>
  <c r="AA435" i="157"/>
  <c r="AB435" i="157" s="1"/>
  <c r="AD435" i="157" s="1"/>
  <c r="AA436" i="157"/>
  <c r="AA437" i="157"/>
  <c r="AA438" i="157"/>
  <c r="AA439" i="157"/>
  <c r="AB439" i="157" s="1"/>
  <c r="AD439" i="157" s="1"/>
  <c r="AA440" i="157"/>
  <c r="AB440" i="157" s="1"/>
  <c r="AD440" i="157" s="1"/>
  <c r="AA441" i="157"/>
  <c r="AA442" i="157"/>
  <c r="AA443" i="157"/>
  <c r="AB443" i="157" s="1"/>
  <c r="AD443" i="157" s="1"/>
  <c r="AA444" i="157"/>
  <c r="AA445" i="157"/>
  <c r="AA446" i="157"/>
  <c r="AA447" i="157"/>
  <c r="AB447" i="157" s="1"/>
  <c r="AD447" i="157" s="1"/>
  <c r="AA448" i="157"/>
  <c r="AA449" i="157"/>
  <c r="AA450" i="157"/>
  <c r="AA451" i="157"/>
  <c r="AB451" i="157" s="1"/>
  <c r="AA452" i="157"/>
  <c r="AA453" i="157"/>
  <c r="AA454" i="157"/>
  <c r="AA455" i="157"/>
  <c r="AB455" i="157" s="1"/>
  <c r="AD455" i="157" s="1"/>
  <c r="AA456" i="157"/>
  <c r="AB456" i="157" s="1"/>
  <c r="AD456" i="157" s="1"/>
  <c r="AA457" i="157"/>
  <c r="AA458" i="157"/>
  <c r="AA459" i="157"/>
  <c r="AB459" i="157" s="1"/>
  <c r="AD459" i="157" s="1"/>
  <c r="AA460" i="157"/>
  <c r="AA461" i="157"/>
  <c r="AA462" i="157"/>
  <c r="AA463" i="157"/>
  <c r="AB463" i="157" s="1"/>
  <c r="AD463" i="157" s="1"/>
  <c r="AA464" i="157"/>
  <c r="AA465" i="157"/>
  <c r="AA466" i="157"/>
  <c r="AA467" i="157"/>
  <c r="AB467" i="157" s="1"/>
  <c r="AD467" i="157" s="1"/>
  <c r="AA468" i="157"/>
  <c r="AA469" i="157"/>
  <c r="AA470" i="157"/>
  <c r="AA471" i="157"/>
  <c r="AB471" i="157" s="1"/>
  <c r="AA472" i="157"/>
  <c r="AB472" i="157" s="1"/>
  <c r="AD472" i="157" s="1"/>
  <c r="AA473" i="157"/>
  <c r="AA474" i="157"/>
  <c r="AA475" i="157"/>
  <c r="AB475" i="157" s="1"/>
  <c r="AD475" i="157" s="1"/>
  <c r="AA476" i="157"/>
  <c r="AA477" i="157"/>
  <c r="AA478" i="157"/>
  <c r="AA479" i="157"/>
  <c r="AB479" i="157" s="1"/>
  <c r="AD479" i="157" s="1"/>
  <c r="AA480" i="157"/>
  <c r="AA481" i="157"/>
  <c r="AA482" i="157"/>
  <c r="AA483" i="157"/>
  <c r="AB483" i="157" s="1"/>
  <c r="AA484" i="157"/>
  <c r="AA485" i="157"/>
  <c r="AA486" i="157"/>
  <c r="AA487" i="157"/>
  <c r="AB487" i="157" s="1"/>
  <c r="AD487" i="157" s="1"/>
  <c r="AA488" i="157"/>
  <c r="AB488" i="157" s="1"/>
  <c r="AD488" i="157" s="1"/>
  <c r="AA489" i="157"/>
  <c r="AA490" i="157"/>
  <c r="AA491" i="157"/>
  <c r="AB491" i="157" s="1"/>
  <c r="AA492" i="157"/>
  <c r="AA493" i="157"/>
  <c r="AA494" i="157"/>
  <c r="AA495" i="157"/>
  <c r="AB495" i="157" s="1"/>
  <c r="AD495" i="157" s="1"/>
  <c r="AA496" i="157"/>
  <c r="AA497" i="157"/>
  <c r="AA498" i="157"/>
  <c r="AA499" i="157"/>
  <c r="AB499" i="157" s="1"/>
  <c r="AD499" i="157" s="1"/>
  <c r="AA500" i="157"/>
  <c r="AA501" i="157"/>
  <c r="AA502" i="157"/>
  <c r="AA503" i="157"/>
  <c r="AB503" i="157" s="1"/>
  <c r="AA504" i="157"/>
  <c r="AB504" i="157" s="1"/>
  <c r="AD504" i="157" s="1"/>
  <c r="AA505" i="157"/>
  <c r="AA506" i="157"/>
  <c r="AA507" i="157"/>
  <c r="AB507" i="157" s="1"/>
  <c r="AA508" i="157"/>
  <c r="AA509" i="157"/>
  <c r="AA510" i="157"/>
  <c r="AA511" i="157"/>
  <c r="AB511" i="157" s="1"/>
  <c r="AA512" i="157"/>
  <c r="AA513" i="157"/>
  <c r="AA514" i="157"/>
  <c r="AA515" i="157"/>
  <c r="AB515" i="157" s="1"/>
  <c r="AD515" i="157" s="1"/>
  <c r="AA516" i="157"/>
  <c r="AA517" i="157"/>
  <c r="AA518" i="157"/>
  <c r="AA519" i="157"/>
  <c r="AB519" i="157" s="1"/>
  <c r="AA520" i="157"/>
  <c r="AB520" i="157" s="1"/>
  <c r="AD520" i="157" s="1"/>
  <c r="AA521" i="157"/>
  <c r="AA522" i="157"/>
  <c r="AA523" i="157"/>
  <c r="AB523" i="157" s="1"/>
  <c r="AA524" i="157"/>
  <c r="AA525" i="157"/>
  <c r="AA526" i="157"/>
  <c r="AA527" i="157"/>
  <c r="AB527" i="157" s="1"/>
  <c r="AD527" i="157" s="1"/>
  <c r="AA528" i="157"/>
  <c r="AA529" i="157"/>
  <c r="AA530" i="157"/>
  <c r="AA531" i="157"/>
  <c r="AB531" i="157" s="1"/>
  <c r="AA532" i="157"/>
  <c r="AA533" i="157"/>
  <c r="AA534" i="157"/>
  <c r="AA535" i="157"/>
  <c r="AB535" i="157" s="1"/>
  <c r="AD535" i="157" s="1"/>
  <c r="AA536" i="157"/>
  <c r="AB536" i="157" s="1"/>
  <c r="AA537" i="157"/>
  <c r="AA538" i="157"/>
  <c r="AA539" i="157"/>
  <c r="AB539" i="157" s="1"/>
  <c r="AD539" i="157" s="1"/>
  <c r="AA540" i="157"/>
  <c r="AA541" i="157"/>
  <c r="AA542" i="157"/>
  <c r="AA543" i="157"/>
  <c r="AB543" i="157" s="1"/>
  <c r="AD543" i="157" s="1"/>
  <c r="AA544" i="157"/>
  <c r="AA545" i="157"/>
  <c r="AA546" i="157"/>
  <c r="AA547" i="157"/>
  <c r="AB547" i="157" s="1"/>
  <c r="AD547" i="157" s="1"/>
  <c r="AA548" i="157"/>
  <c r="AA549" i="157"/>
  <c r="AA550" i="157"/>
  <c r="AA551" i="157"/>
  <c r="AB551" i="157" s="1"/>
  <c r="AD551" i="157" s="1"/>
  <c r="AA552" i="157"/>
  <c r="AB552" i="157" s="1"/>
  <c r="AD552" i="157" s="1"/>
  <c r="AA553" i="157"/>
  <c r="AA554" i="157"/>
  <c r="AA555" i="157"/>
  <c r="AB555" i="157" s="1"/>
  <c r="AA556" i="157"/>
  <c r="AA557" i="157"/>
  <c r="AA558" i="157"/>
  <c r="AA559" i="157"/>
  <c r="AB559" i="157" s="1"/>
  <c r="AA560" i="157"/>
  <c r="AA561" i="157"/>
  <c r="AA562" i="157"/>
  <c r="AA563" i="157"/>
  <c r="AB563" i="157" s="1"/>
  <c r="AA564" i="157"/>
  <c r="AA565" i="157"/>
  <c r="AA566" i="157"/>
  <c r="AA567" i="157"/>
  <c r="AB567" i="157" s="1"/>
  <c r="AD567" i="157" s="1"/>
  <c r="AA568" i="157"/>
  <c r="AB568" i="157" s="1"/>
  <c r="AD568" i="157" s="1"/>
  <c r="AA569" i="157"/>
  <c r="AA570" i="157"/>
  <c r="AA571" i="157"/>
  <c r="AB571" i="157" s="1"/>
  <c r="AA572" i="157"/>
  <c r="AA573" i="157"/>
  <c r="AA574" i="157"/>
  <c r="AA575" i="157"/>
  <c r="AB575" i="157" s="1"/>
  <c r="AA576" i="157"/>
  <c r="AA577" i="157"/>
  <c r="AA578" i="157"/>
  <c r="AA579" i="157"/>
  <c r="AB579" i="157" s="1"/>
  <c r="AD579" i="157" s="1"/>
  <c r="AA580" i="157"/>
  <c r="AA581" i="157"/>
  <c r="AA582" i="157"/>
  <c r="AA583" i="157"/>
  <c r="AB583" i="157" s="1"/>
  <c r="AA584" i="157"/>
  <c r="AA585" i="157"/>
  <c r="AA586" i="157"/>
  <c r="AA587" i="157"/>
  <c r="AB587" i="157" s="1"/>
  <c r="AD587" i="157" s="1"/>
  <c r="AA588" i="157"/>
  <c r="AA589" i="157"/>
  <c r="AA590" i="157"/>
  <c r="AA591" i="157"/>
  <c r="AB591" i="157" s="1"/>
  <c r="AD591" i="157" s="1"/>
  <c r="AA592" i="157"/>
  <c r="AA593" i="157"/>
  <c r="AA594" i="157"/>
  <c r="AA595" i="157"/>
  <c r="AB595" i="157" s="1"/>
  <c r="AD595" i="157" s="1"/>
  <c r="AA596" i="157"/>
  <c r="AA597" i="157"/>
  <c r="AA598" i="157"/>
  <c r="AA599" i="157"/>
  <c r="AB599" i="157" s="1"/>
  <c r="AA600" i="157"/>
  <c r="AA601" i="157"/>
  <c r="AA602" i="157"/>
  <c r="AA603" i="157"/>
  <c r="AB603" i="157" s="1"/>
  <c r="AA604" i="157"/>
  <c r="AA605" i="157"/>
  <c r="AA606" i="157"/>
  <c r="AA607" i="157"/>
  <c r="AB607" i="157" s="1"/>
  <c r="AD607" i="157" s="1"/>
  <c r="AA608" i="157"/>
  <c r="AA609" i="157"/>
  <c r="AA610" i="157"/>
  <c r="AA611" i="157"/>
  <c r="AB611" i="157" s="1"/>
  <c r="AD611" i="157" s="1"/>
  <c r="AA612" i="157"/>
  <c r="AA613" i="157"/>
  <c r="AA614" i="157"/>
  <c r="AA615" i="157"/>
  <c r="AB615" i="157" s="1"/>
  <c r="AD615" i="157" s="1"/>
  <c r="AA616" i="157"/>
  <c r="AA617" i="157"/>
  <c r="AA618" i="157"/>
  <c r="AA619" i="157"/>
  <c r="AB619" i="157" s="1"/>
  <c r="AD619" i="157" s="1"/>
  <c r="AA620" i="157"/>
  <c r="AA621" i="157"/>
  <c r="AA622" i="157"/>
  <c r="AA623" i="157"/>
  <c r="AB623" i="157" s="1"/>
  <c r="AA624" i="157"/>
  <c r="AA625" i="157"/>
  <c r="AA626" i="157"/>
  <c r="AA627" i="157"/>
  <c r="AB627" i="157" s="1"/>
  <c r="AA628" i="157"/>
  <c r="AA629" i="157"/>
  <c r="AA630" i="157"/>
  <c r="AA631" i="157"/>
  <c r="AB631" i="157" s="1"/>
  <c r="AA632" i="157"/>
  <c r="AA633" i="157"/>
  <c r="AA634" i="157"/>
  <c r="AA635" i="157"/>
  <c r="AB635" i="157" s="1"/>
  <c r="AD635" i="157" s="1"/>
  <c r="AA636" i="157"/>
  <c r="AA637" i="157"/>
  <c r="AA638" i="157"/>
  <c r="AA639" i="157"/>
  <c r="AB639" i="157" s="1"/>
  <c r="AA640" i="157"/>
  <c r="AA641" i="157"/>
  <c r="AA642" i="157"/>
  <c r="AA643" i="157"/>
  <c r="AB643" i="157" s="1"/>
  <c r="AD643" i="157" s="1"/>
  <c r="AA644" i="157"/>
  <c r="AA645" i="157"/>
  <c r="AA646" i="157"/>
  <c r="AA647" i="157"/>
  <c r="AB647" i="157" s="1"/>
  <c r="AD647" i="157" s="1"/>
  <c r="AA648" i="157"/>
  <c r="AA649" i="157"/>
  <c r="AA650" i="157"/>
  <c r="AA651" i="157"/>
  <c r="AB651" i="157" s="1"/>
  <c r="AD651" i="157" s="1"/>
  <c r="AA652" i="157"/>
  <c r="AA653" i="157"/>
  <c r="AA654" i="157"/>
  <c r="AA655" i="157"/>
  <c r="AB655" i="157" s="1"/>
  <c r="AD655" i="157" s="1"/>
  <c r="AA656" i="157"/>
  <c r="AA657" i="157"/>
  <c r="AA658" i="157"/>
  <c r="AA659" i="157"/>
  <c r="AB659" i="157" s="1"/>
  <c r="AD659" i="157" s="1"/>
  <c r="AA660" i="157"/>
  <c r="AA661" i="157"/>
  <c r="AA662" i="157"/>
  <c r="AA663" i="157"/>
  <c r="AB663" i="157" s="1"/>
  <c r="AD663" i="157" s="1"/>
  <c r="AA664" i="157"/>
  <c r="AA665" i="157"/>
  <c r="AA666" i="157"/>
  <c r="AA667" i="157"/>
  <c r="AB667" i="157" s="1"/>
  <c r="AD667" i="157" s="1"/>
  <c r="AA668" i="157"/>
  <c r="AA669" i="157"/>
  <c r="AA670" i="157"/>
  <c r="AA671" i="157"/>
  <c r="AB671" i="157" s="1"/>
  <c r="AD671" i="157" s="1"/>
  <c r="AA672" i="157"/>
  <c r="AA673" i="157"/>
  <c r="AA674" i="157"/>
  <c r="AA675" i="157"/>
  <c r="AB675" i="157" s="1"/>
  <c r="AD675" i="157" s="1"/>
  <c r="AA676" i="157"/>
  <c r="AA677" i="157"/>
  <c r="AA678" i="157"/>
  <c r="AA679" i="157"/>
  <c r="AB679" i="157" s="1"/>
  <c r="AD679" i="157" s="1"/>
  <c r="AA680" i="157"/>
  <c r="AA681" i="157"/>
  <c r="AA682" i="157"/>
  <c r="AA683" i="157"/>
  <c r="AB683" i="157" s="1"/>
  <c r="AD683" i="157" s="1"/>
  <c r="AA684" i="157"/>
  <c r="AA685" i="157"/>
  <c r="AA686" i="157"/>
  <c r="AA687" i="157"/>
  <c r="AB687" i="157" s="1"/>
  <c r="AD687" i="157" s="1"/>
  <c r="AA688" i="157"/>
  <c r="AA689" i="157"/>
  <c r="AA690" i="157"/>
  <c r="AA691" i="157"/>
  <c r="AA692" i="157"/>
  <c r="AA693" i="157"/>
  <c r="AA694" i="157"/>
  <c r="AA695" i="157"/>
  <c r="AA696" i="157"/>
  <c r="AA697" i="157"/>
  <c r="AA698" i="157"/>
  <c r="AA699" i="157"/>
  <c r="AA700" i="157"/>
  <c r="AA701" i="157"/>
  <c r="AA702" i="157"/>
  <c r="AA703" i="157"/>
  <c r="AA704" i="157"/>
  <c r="AA705" i="157"/>
  <c r="AA706" i="157"/>
  <c r="AA707" i="157"/>
  <c r="AA708" i="157"/>
  <c r="AA709" i="157"/>
  <c r="AA710" i="157"/>
  <c r="AA711" i="157"/>
  <c r="AA712" i="157"/>
  <c r="AA713" i="157"/>
  <c r="AA714" i="157"/>
  <c r="AA715" i="157"/>
  <c r="AA716" i="157"/>
  <c r="AA717" i="157"/>
  <c r="AA718" i="157"/>
  <c r="AA719" i="157"/>
  <c r="AA720" i="157"/>
  <c r="AA721" i="157"/>
  <c r="AA722" i="157"/>
  <c r="AA723" i="157"/>
  <c r="AA724" i="157"/>
  <c r="AA725" i="157"/>
  <c r="AA726" i="157"/>
  <c r="AA727" i="157"/>
  <c r="AA728" i="157"/>
  <c r="AA729" i="157"/>
  <c r="AA730" i="157"/>
  <c r="AA731" i="157"/>
  <c r="AA732" i="157"/>
  <c r="AA733" i="157"/>
  <c r="AA734" i="157"/>
  <c r="AA735" i="157"/>
  <c r="AA736" i="157"/>
  <c r="AA737" i="157"/>
  <c r="AA738" i="157"/>
  <c r="AA739" i="157"/>
  <c r="AA740" i="157"/>
  <c r="AA741" i="157"/>
  <c r="AA742" i="157"/>
  <c r="AA743" i="157"/>
  <c r="AA744" i="157"/>
  <c r="AA745" i="157"/>
  <c r="AA746" i="157"/>
  <c r="AA747" i="157"/>
  <c r="AA748" i="157"/>
  <c r="AA749" i="157"/>
  <c r="AA750" i="157"/>
  <c r="AA751" i="157"/>
  <c r="AA752" i="157"/>
  <c r="AA753" i="157"/>
  <c r="AA754" i="157"/>
  <c r="AA755" i="157"/>
  <c r="AA756" i="157"/>
  <c r="AA757" i="157"/>
  <c r="AA758" i="157"/>
  <c r="AA759" i="157"/>
  <c r="AA760" i="157"/>
  <c r="AA761" i="157"/>
  <c r="AA762" i="157"/>
  <c r="AA763" i="157"/>
  <c r="AA764" i="157"/>
  <c r="AA765" i="157"/>
  <c r="AA766" i="157"/>
  <c r="AA767" i="157"/>
  <c r="AA768" i="157"/>
  <c r="AA769" i="157"/>
  <c r="AA770" i="157"/>
  <c r="AA771" i="157"/>
  <c r="AA772" i="157"/>
  <c r="AA773" i="157"/>
  <c r="AA774" i="157"/>
  <c r="AA775" i="157"/>
  <c r="AA776" i="157"/>
  <c r="AA777" i="157"/>
  <c r="AA778" i="157"/>
  <c r="AA779" i="157"/>
  <c r="AA780" i="157"/>
  <c r="AA781" i="157"/>
  <c r="AA782" i="157"/>
  <c r="AA783" i="157"/>
  <c r="AA784" i="157"/>
  <c r="AA785" i="157"/>
  <c r="AA786" i="157"/>
  <c r="AA787" i="157"/>
  <c r="AA788" i="157"/>
  <c r="AA789" i="157"/>
  <c r="AA790" i="157"/>
  <c r="AA791" i="157"/>
  <c r="AA792" i="157"/>
  <c r="AA793" i="157"/>
  <c r="AA794" i="157"/>
  <c r="AA795" i="157"/>
  <c r="AA796" i="157"/>
  <c r="AA797" i="157"/>
  <c r="AA798" i="157"/>
  <c r="AA799" i="157"/>
  <c r="AA800" i="157"/>
  <c r="AA801" i="157"/>
  <c r="AA802" i="157"/>
  <c r="AA803" i="157"/>
  <c r="AA804" i="157"/>
  <c r="AA805" i="157"/>
  <c r="AA806" i="157"/>
  <c r="AA807" i="157"/>
  <c r="AA808" i="157"/>
  <c r="AA809" i="157"/>
  <c r="AA810" i="157"/>
  <c r="AA811" i="157"/>
  <c r="AA812" i="157"/>
  <c r="AA813" i="157"/>
  <c r="AA814" i="157"/>
  <c r="AA815" i="157"/>
  <c r="AA816" i="157"/>
  <c r="AA817" i="157"/>
  <c r="AA818" i="157"/>
  <c r="AA819" i="157"/>
  <c r="AA820" i="157"/>
  <c r="AA821" i="157"/>
  <c r="AA822" i="157"/>
  <c r="AA823" i="157"/>
  <c r="AA824" i="157"/>
  <c r="AA825" i="157"/>
  <c r="AA826" i="157"/>
  <c r="AA827" i="157"/>
  <c r="AA828" i="157"/>
  <c r="AA829" i="157"/>
  <c r="AA830" i="157"/>
  <c r="AA831" i="157"/>
  <c r="AA832" i="157"/>
  <c r="AA833" i="157"/>
  <c r="AA834" i="157"/>
  <c r="AA835" i="157"/>
  <c r="AA836" i="157"/>
  <c r="AA837" i="157"/>
  <c r="AA838" i="157"/>
  <c r="AA839" i="157"/>
  <c r="AA840" i="157"/>
  <c r="AA841" i="157"/>
  <c r="AA842" i="157"/>
  <c r="AA843" i="157"/>
  <c r="AA844" i="157"/>
  <c r="AA845" i="157"/>
  <c r="AA846" i="157"/>
  <c r="AA847" i="157"/>
  <c r="AA848" i="157"/>
  <c r="AA849" i="157"/>
  <c r="AA850" i="157"/>
  <c r="AA851" i="157"/>
  <c r="AA852" i="157"/>
  <c r="AA853" i="157"/>
  <c r="AA854" i="157"/>
  <c r="AA855" i="157"/>
  <c r="AA856" i="157"/>
  <c r="AA857" i="157"/>
  <c r="AA858" i="157"/>
  <c r="AA859" i="157"/>
  <c r="AA860" i="157"/>
  <c r="AA861" i="157"/>
  <c r="AA862" i="157"/>
  <c r="AA863" i="157"/>
  <c r="AA864" i="157"/>
  <c r="AA865" i="157"/>
  <c r="AA866" i="157"/>
  <c r="AA867" i="157"/>
  <c r="AA868" i="157"/>
  <c r="AA869" i="157"/>
  <c r="AA870" i="157"/>
  <c r="AA871" i="157"/>
  <c r="AA872" i="157"/>
  <c r="AA873" i="157"/>
  <c r="AA874" i="157"/>
  <c r="AA875" i="157"/>
  <c r="AA876" i="157"/>
  <c r="AA877" i="157"/>
  <c r="AA878" i="157"/>
  <c r="AA879" i="157"/>
  <c r="AA880" i="157"/>
  <c r="AA881" i="157"/>
  <c r="AA882" i="157"/>
  <c r="AA883" i="157"/>
  <c r="AA884" i="157"/>
  <c r="AA885" i="157"/>
  <c r="AA886" i="157"/>
  <c r="AA887" i="157"/>
  <c r="AA888" i="157"/>
  <c r="AA889" i="157"/>
  <c r="AA890" i="157"/>
  <c r="AA891" i="157"/>
  <c r="AA892" i="157"/>
  <c r="AA893" i="157"/>
  <c r="AA894" i="157"/>
  <c r="AA895" i="157"/>
  <c r="AA896" i="157"/>
  <c r="AA897" i="157"/>
  <c r="AA898" i="157"/>
  <c r="AA899" i="157"/>
  <c r="AA900" i="157"/>
  <c r="AA901" i="157"/>
  <c r="AA902" i="157"/>
  <c r="AA903" i="157"/>
  <c r="AA904" i="157"/>
  <c r="AA905" i="157"/>
  <c r="AA906" i="157"/>
  <c r="AA907" i="157"/>
  <c r="AA908" i="157"/>
  <c r="AA909" i="157"/>
  <c r="AA910" i="157"/>
  <c r="AA911" i="157"/>
  <c r="AA912" i="157"/>
  <c r="AA913" i="157"/>
  <c r="AA914" i="157"/>
  <c r="AA915" i="157"/>
  <c r="AA916" i="157"/>
  <c r="AA917" i="157"/>
  <c r="AA918" i="157"/>
  <c r="AA919" i="157"/>
  <c r="AA920" i="157"/>
  <c r="AA921" i="157"/>
  <c r="AA922" i="157"/>
  <c r="AA923" i="157"/>
  <c r="AA924" i="157"/>
  <c r="AA925" i="157"/>
  <c r="AA926" i="157"/>
  <c r="AA927" i="157"/>
  <c r="AA928" i="157"/>
  <c r="AA929" i="157"/>
  <c r="AA930" i="157"/>
  <c r="AA931" i="157"/>
  <c r="AA932" i="157"/>
  <c r="AA933" i="157"/>
  <c r="AA934" i="157"/>
  <c r="AA935" i="157"/>
  <c r="AA936" i="157"/>
  <c r="AA937" i="157"/>
  <c r="AA938" i="157"/>
  <c r="AA939" i="157"/>
  <c r="AA940" i="157"/>
  <c r="AA941" i="157"/>
  <c r="AA942" i="157"/>
  <c r="AA943" i="157"/>
  <c r="AA944" i="157"/>
  <c r="AA945" i="157"/>
  <c r="AA946" i="157"/>
  <c r="AA947" i="157"/>
  <c r="AA948" i="157"/>
  <c r="AA949" i="157"/>
  <c r="AA950" i="157"/>
  <c r="AA951" i="157"/>
  <c r="AA952" i="157"/>
  <c r="AA953" i="157"/>
  <c r="AA954" i="157"/>
  <c r="AA955" i="157"/>
  <c r="AA956" i="157"/>
  <c r="AA957" i="157"/>
  <c r="AA958" i="157"/>
  <c r="AA959" i="157"/>
  <c r="AA960" i="157"/>
  <c r="AA961" i="157"/>
  <c r="AA962" i="157"/>
  <c r="AA963" i="157"/>
  <c r="AA964" i="157"/>
  <c r="AA965" i="157"/>
  <c r="AA966" i="157"/>
  <c r="AA967" i="157"/>
  <c r="AA968" i="157"/>
  <c r="AA969" i="157"/>
  <c r="AA970" i="157"/>
  <c r="AA971" i="157"/>
  <c r="AA972" i="157"/>
  <c r="AA973" i="157"/>
  <c r="AA974" i="157"/>
  <c r="AA975" i="157"/>
  <c r="AA976" i="157"/>
  <c r="AA977" i="157"/>
  <c r="AA978" i="157"/>
  <c r="AA979" i="157"/>
  <c r="AA980" i="157"/>
  <c r="AA981" i="157"/>
  <c r="AA982" i="157"/>
  <c r="AA983" i="157"/>
  <c r="AA984" i="157"/>
  <c r="AA985" i="157"/>
  <c r="AA986" i="157"/>
  <c r="AA987" i="157"/>
  <c r="AA988" i="157"/>
  <c r="AA989" i="157"/>
  <c r="AA990" i="157"/>
  <c r="AA991" i="157"/>
  <c r="AA992" i="157"/>
  <c r="AA993" i="157"/>
  <c r="AA994" i="157"/>
  <c r="AA995" i="157"/>
  <c r="AA996" i="157"/>
  <c r="AA997" i="157"/>
  <c r="AA998" i="157"/>
  <c r="AA999" i="157"/>
  <c r="AA1000" i="157"/>
  <c r="AA1001" i="157"/>
  <c r="AA1002" i="157"/>
  <c r="AA1003" i="157"/>
  <c r="AA1004" i="157"/>
  <c r="AA1005" i="157"/>
  <c r="AA1006" i="157"/>
  <c r="AA1007" i="157"/>
  <c r="AA1008" i="157"/>
  <c r="AA1009" i="157"/>
  <c r="AA1010" i="157"/>
  <c r="AA1011" i="157"/>
  <c r="AA1012" i="157"/>
  <c r="AA1013" i="157"/>
  <c r="AA1014" i="157"/>
  <c r="AA1015" i="157"/>
  <c r="AA1016" i="157"/>
  <c r="AA1017" i="157"/>
  <c r="AA1018" i="157"/>
  <c r="AA1019" i="157"/>
  <c r="AA1020" i="157"/>
  <c r="AA1021" i="157"/>
  <c r="AA1022" i="157"/>
  <c r="AA1023" i="157"/>
  <c r="AA1024" i="157"/>
  <c r="AA1025" i="157"/>
  <c r="AA1026" i="157"/>
  <c r="AA1027" i="157"/>
  <c r="AA1028" i="157"/>
  <c r="AA1029" i="157"/>
  <c r="AA1030" i="157"/>
  <c r="AA1031" i="157"/>
  <c r="AA1032" i="157"/>
  <c r="AA1033" i="157"/>
  <c r="AA1034" i="157"/>
  <c r="AA1035" i="157"/>
  <c r="AA1036" i="157"/>
  <c r="AA1037" i="157"/>
  <c r="AA1038" i="157"/>
  <c r="AA1039" i="157"/>
  <c r="AA1040" i="157"/>
  <c r="AA1041" i="157"/>
  <c r="AA1042" i="157"/>
  <c r="AA1043" i="157"/>
  <c r="AA1044" i="157"/>
  <c r="AA1045" i="157"/>
  <c r="AA1046" i="157"/>
  <c r="AA1047" i="157"/>
  <c r="AA1048" i="157"/>
  <c r="AA1049" i="157"/>
  <c r="AA1050" i="157"/>
  <c r="AA1051" i="157"/>
  <c r="AA1052" i="157"/>
  <c r="AA1053" i="157"/>
  <c r="AA1054" i="157"/>
  <c r="AA1055" i="157"/>
  <c r="AA1056" i="157"/>
  <c r="AA1057" i="157"/>
  <c r="AA1058" i="157"/>
  <c r="AA1059" i="157"/>
  <c r="AA1060" i="157"/>
  <c r="AA1061" i="157"/>
  <c r="AA1062" i="157"/>
  <c r="AA1063" i="157"/>
  <c r="AA1064" i="157"/>
  <c r="AA1065" i="157"/>
  <c r="AA1066" i="157"/>
  <c r="AA1067" i="157"/>
  <c r="AA1068" i="157"/>
  <c r="AA1069" i="157"/>
  <c r="AA1070" i="157"/>
  <c r="AA1071" i="157"/>
  <c r="AA1072" i="157"/>
  <c r="AA1073" i="157"/>
  <c r="AA1074" i="157"/>
  <c r="AA1075" i="157"/>
  <c r="AA1076" i="157"/>
  <c r="AA1077" i="157"/>
  <c r="AA1078" i="157"/>
  <c r="AA1079" i="157"/>
  <c r="AA1080" i="157"/>
  <c r="AA1081" i="157"/>
  <c r="AA1082" i="157"/>
  <c r="AA1083" i="157"/>
  <c r="AA1084" i="157"/>
  <c r="AA1085" i="157"/>
  <c r="AA1086" i="157"/>
  <c r="AA1087" i="157"/>
  <c r="AA1088" i="157"/>
  <c r="AA1089" i="157"/>
  <c r="AA1090" i="157"/>
  <c r="AA1091" i="157"/>
  <c r="AA1092" i="157"/>
  <c r="AA1093" i="157"/>
  <c r="AA1094" i="157"/>
  <c r="AA1095" i="157"/>
  <c r="AA1096" i="157"/>
  <c r="AA1097" i="157"/>
  <c r="AA1098" i="157"/>
  <c r="AA1099" i="157"/>
  <c r="AA1100" i="157"/>
  <c r="AA1101" i="157"/>
  <c r="AA1102" i="157"/>
  <c r="AA1103" i="157"/>
  <c r="AA1104" i="157"/>
  <c r="AA1105" i="157"/>
  <c r="AA1106" i="157"/>
  <c r="AA1107" i="157"/>
  <c r="AA1108" i="157"/>
  <c r="AA1109" i="157"/>
  <c r="AA1110" i="157"/>
  <c r="AA1111" i="157"/>
  <c r="AA1112" i="157"/>
  <c r="AA1113" i="157"/>
  <c r="AA1114" i="157"/>
  <c r="AA1115" i="157"/>
  <c r="AA1116" i="157"/>
  <c r="AA1117" i="157"/>
  <c r="AA1118" i="157"/>
  <c r="AA1119" i="157"/>
  <c r="AA1120" i="157"/>
  <c r="AA1121" i="157"/>
  <c r="AA1122" i="157"/>
  <c r="AA1123" i="157"/>
  <c r="AA1124" i="157"/>
  <c r="AA1125" i="157"/>
  <c r="AA1126" i="157"/>
  <c r="AA1127" i="157"/>
  <c r="AA1128" i="157"/>
  <c r="AA1129" i="157"/>
  <c r="AA1130" i="157"/>
  <c r="AA1131" i="157"/>
  <c r="AA1132" i="157"/>
  <c r="AA1133" i="157"/>
  <c r="AA1134" i="157"/>
  <c r="AA1135" i="157"/>
  <c r="AA1136" i="157"/>
  <c r="AA1137" i="157"/>
  <c r="AA1138" i="157"/>
  <c r="AA1139" i="157"/>
  <c r="AA1140" i="157"/>
  <c r="AA1141" i="157"/>
  <c r="AA1142" i="157"/>
  <c r="AA1143" i="157"/>
  <c r="AA1144" i="157"/>
  <c r="AA1145" i="157"/>
  <c r="AA1146" i="157"/>
  <c r="AA1147" i="157"/>
  <c r="AA1148" i="157"/>
  <c r="AA1149" i="157"/>
  <c r="AA1150" i="157"/>
  <c r="AA1151" i="157"/>
  <c r="AA1152" i="157"/>
  <c r="AA1153" i="157"/>
  <c r="AA1154" i="157"/>
  <c r="AA1155" i="157"/>
  <c r="AA1156" i="157"/>
  <c r="AA1157" i="157"/>
  <c r="AA1158" i="157"/>
  <c r="AA1159" i="157"/>
  <c r="AA1160" i="157"/>
  <c r="AA1161" i="157"/>
  <c r="AA1162" i="157"/>
  <c r="AA1163" i="157"/>
  <c r="AA1164" i="157"/>
  <c r="AA1165" i="157"/>
  <c r="AA1166" i="157"/>
  <c r="AA1167" i="157"/>
  <c r="AA1168" i="157"/>
  <c r="AA1169" i="157"/>
  <c r="AA1170" i="157"/>
  <c r="AA1171" i="157"/>
  <c r="AA1172" i="157"/>
  <c r="AA1173" i="157"/>
  <c r="AA1174" i="157"/>
  <c r="AA1175" i="157"/>
  <c r="AA1176" i="157"/>
  <c r="AA1177" i="157"/>
  <c r="AA1178" i="157"/>
  <c r="AA1179" i="157"/>
  <c r="AA1180" i="157"/>
  <c r="AA1181" i="157"/>
  <c r="AA1182" i="157"/>
  <c r="AA1183" i="157"/>
  <c r="AA1184" i="157"/>
  <c r="AA1185" i="157"/>
  <c r="AA1186" i="157"/>
  <c r="AA1187" i="157"/>
  <c r="AA1188" i="157"/>
  <c r="AA1189" i="157"/>
  <c r="AA1190" i="157"/>
  <c r="AA1191" i="157"/>
  <c r="AA1192" i="157"/>
  <c r="AA1193" i="157"/>
  <c r="AA1194" i="157"/>
  <c r="AA1195" i="157"/>
  <c r="AA1196" i="157"/>
  <c r="AA1197" i="157"/>
  <c r="AA1198" i="157"/>
  <c r="AA1199" i="157"/>
  <c r="AA1200" i="157"/>
  <c r="AA1201" i="157"/>
  <c r="AA1202" i="157"/>
  <c r="AA1203" i="157"/>
  <c r="AA1204" i="157"/>
  <c r="AA1205" i="157"/>
  <c r="AA1206" i="157"/>
  <c r="AA1207" i="157"/>
  <c r="AA1208" i="157"/>
  <c r="AA1209" i="157"/>
  <c r="AA1210" i="157"/>
  <c r="AA1211" i="157"/>
  <c r="AA1212" i="157"/>
  <c r="AA1213" i="157"/>
  <c r="AA1214" i="157"/>
  <c r="AA1215" i="157"/>
  <c r="AA1216" i="157"/>
  <c r="AA1217" i="157"/>
  <c r="AA1218" i="157"/>
  <c r="AA1219" i="157"/>
  <c r="AA1220" i="157"/>
  <c r="AA1221" i="157"/>
  <c r="AA1222" i="157"/>
  <c r="AA1223" i="157"/>
  <c r="AA1224" i="157"/>
  <c r="AA1225" i="157"/>
  <c r="AA1226" i="157"/>
  <c r="AA1227" i="157"/>
  <c r="AA1228" i="157"/>
  <c r="AA1229" i="157"/>
  <c r="AA1230" i="157"/>
  <c r="AA1231" i="157"/>
  <c r="AA1232" i="157"/>
  <c r="AA1233" i="157"/>
  <c r="AA1234" i="157"/>
  <c r="AA1235" i="157"/>
  <c r="AA1236" i="157"/>
  <c r="AA1237" i="157"/>
  <c r="AA1238" i="157"/>
  <c r="AA1239" i="157"/>
  <c r="AA1240" i="157"/>
  <c r="AA1241" i="157"/>
  <c r="AA1242" i="157"/>
  <c r="AA1243" i="157"/>
  <c r="AA1244" i="157"/>
  <c r="AA1245" i="157"/>
  <c r="AA1246" i="157"/>
  <c r="AA1247" i="157"/>
  <c r="AA1248" i="157"/>
  <c r="AA1249" i="157"/>
  <c r="AA1250" i="157"/>
  <c r="AA1251" i="157"/>
  <c r="AA1252" i="157"/>
  <c r="AA1253" i="157"/>
  <c r="AA1254" i="157"/>
  <c r="AA1255" i="157"/>
  <c r="AA1256" i="157"/>
  <c r="AA1257" i="157"/>
  <c r="AA1258" i="157"/>
  <c r="AA1259" i="157"/>
  <c r="AA1260" i="157"/>
  <c r="AA1261" i="157"/>
  <c r="AA1262" i="157"/>
  <c r="AA1263" i="157"/>
  <c r="AA1264" i="157"/>
  <c r="AA1265" i="157"/>
  <c r="AA1266" i="157"/>
  <c r="AA1267" i="157"/>
  <c r="AA1268" i="157"/>
  <c r="AA1269" i="157"/>
  <c r="AA1270" i="157"/>
  <c r="AA1271" i="157"/>
  <c r="AA1272" i="157"/>
  <c r="AA1273" i="157"/>
  <c r="AA1274" i="157"/>
  <c r="AA1275" i="157"/>
  <c r="AA1276" i="157"/>
  <c r="AA1277" i="157"/>
  <c r="AA1278" i="157"/>
  <c r="AA1279" i="157"/>
  <c r="AA1280" i="157"/>
  <c r="AA1281" i="157"/>
  <c r="AA1282" i="157"/>
  <c r="AA1283" i="157"/>
  <c r="AA1284" i="157"/>
  <c r="AA1285" i="157"/>
  <c r="AA1286" i="157"/>
  <c r="AA1287" i="157"/>
  <c r="AA1288" i="157"/>
  <c r="AA1289" i="157"/>
  <c r="AA1290" i="157"/>
  <c r="AA1291" i="157"/>
  <c r="AA1292" i="157"/>
  <c r="AA1293" i="157"/>
  <c r="AA1294" i="157"/>
  <c r="AA1295" i="157"/>
  <c r="AA1296" i="157"/>
  <c r="AA1297" i="157"/>
  <c r="AA1298" i="157"/>
  <c r="AA1299" i="157"/>
  <c r="AA1300" i="157"/>
  <c r="AA1301" i="157"/>
  <c r="AA1302" i="157"/>
  <c r="AA1303" i="157"/>
  <c r="AA1304" i="157"/>
  <c r="AA1305" i="157"/>
  <c r="AA1306" i="157"/>
  <c r="AA1307" i="157"/>
  <c r="AA1308" i="157"/>
  <c r="AA1309" i="157"/>
  <c r="AA1310" i="157"/>
  <c r="AA1311" i="157"/>
  <c r="AA1312" i="157"/>
  <c r="AA1313" i="157"/>
  <c r="AA1314" i="157"/>
  <c r="AA1315" i="157"/>
  <c r="AA1316" i="157"/>
  <c r="AA1317" i="157"/>
  <c r="AA1318" i="157"/>
  <c r="AA1319" i="157"/>
  <c r="AA1320" i="157"/>
  <c r="AA1321" i="157"/>
  <c r="AA1322" i="157"/>
  <c r="AA1323" i="157"/>
  <c r="AA1324" i="157"/>
  <c r="AA1325" i="157"/>
  <c r="AA1326" i="157"/>
  <c r="AA1327" i="157"/>
  <c r="AA1328" i="157"/>
  <c r="AA1329" i="157"/>
  <c r="AA1330" i="157"/>
  <c r="AA1331" i="157"/>
  <c r="AA1332" i="157"/>
  <c r="AA1333" i="157"/>
  <c r="AA1334" i="157"/>
  <c r="AA1335" i="157"/>
  <c r="AA1336" i="157"/>
  <c r="AA1337" i="157"/>
  <c r="AA1338" i="157"/>
  <c r="AA1339" i="157"/>
  <c r="AA1340" i="157"/>
  <c r="AA1341" i="157"/>
  <c r="AA1342" i="157"/>
  <c r="AA1343" i="157"/>
  <c r="AA1344" i="157"/>
  <c r="AA1345" i="157"/>
  <c r="AA1346" i="157"/>
  <c r="AA1347" i="157"/>
  <c r="AA1348" i="157"/>
  <c r="AA1349" i="157"/>
  <c r="AA1350" i="157"/>
  <c r="AA1351" i="157"/>
  <c r="AA1352" i="157"/>
  <c r="AA1353" i="157"/>
  <c r="AA1354" i="157"/>
  <c r="AA1355" i="157"/>
  <c r="AA1356" i="157"/>
  <c r="AA1357" i="157"/>
  <c r="AA1358" i="157"/>
  <c r="AA1359" i="157"/>
  <c r="AA1360" i="157"/>
  <c r="AA1361" i="157"/>
  <c r="AA1362" i="157"/>
  <c r="AA1363" i="157"/>
  <c r="AA1364" i="157"/>
  <c r="AA1365" i="157"/>
  <c r="AA1366" i="157"/>
  <c r="AA1367" i="157"/>
  <c r="AA1368" i="157"/>
  <c r="AA1369" i="157"/>
  <c r="AA1370" i="157"/>
  <c r="AA1371" i="157"/>
  <c r="AA1372" i="157"/>
  <c r="AA1373" i="157"/>
  <c r="AA1374" i="157"/>
  <c r="AA1375" i="157"/>
  <c r="AA1376" i="157"/>
  <c r="AA1377" i="157"/>
  <c r="AA1378" i="157"/>
  <c r="AA1379" i="157"/>
  <c r="AA1380" i="157"/>
  <c r="AA1381" i="157"/>
  <c r="AA1382" i="157"/>
  <c r="AA1383" i="157"/>
  <c r="AA1384" i="157"/>
  <c r="AA1385" i="157"/>
  <c r="AA1386" i="157"/>
  <c r="AA1387" i="157"/>
  <c r="AA1388" i="157"/>
  <c r="AA1389" i="157"/>
  <c r="AA1390" i="157"/>
  <c r="AA1391" i="157"/>
  <c r="AA1392" i="157"/>
  <c r="AA1393" i="157"/>
  <c r="AA1394" i="157"/>
  <c r="AA1395" i="157"/>
  <c r="AA1396" i="157"/>
  <c r="AA1397" i="157"/>
  <c r="AA1398" i="157"/>
  <c r="AA1399" i="157"/>
  <c r="AA1400" i="157"/>
  <c r="AA1401" i="157"/>
  <c r="AA1402" i="157"/>
  <c r="AA1403" i="157"/>
  <c r="AA1404" i="157"/>
  <c r="AA1405" i="157"/>
  <c r="AA1406" i="157"/>
  <c r="AA1407" i="157"/>
  <c r="AA1408" i="157"/>
  <c r="AA1409" i="157"/>
  <c r="AA1410" i="157"/>
  <c r="AA1411" i="157"/>
  <c r="AA1412" i="157"/>
  <c r="AA1413" i="157"/>
  <c r="AA1414" i="157"/>
  <c r="AA1415" i="157"/>
  <c r="AA1416" i="157"/>
  <c r="AA1417" i="157"/>
  <c r="AA1418" i="157"/>
  <c r="AA1419" i="157"/>
  <c r="AA1420" i="157"/>
  <c r="AA1421" i="157"/>
  <c r="AA1422" i="157"/>
  <c r="AA1423" i="157"/>
  <c r="AA1424" i="157"/>
  <c r="AA1425" i="157"/>
  <c r="AA1426" i="157"/>
  <c r="AA1427" i="157"/>
  <c r="AA1428" i="157"/>
  <c r="AA1429" i="157"/>
  <c r="AA1430" i="157"/>
  <c r="AA1431" i="157"/>
  <c r="AA1432" i="157"/>
  <c r="AA1433" i="157"/>
  <c r="AA1434" i="157"/>
  <c r="AA1435" i="157"/>
  <c r="AA1436" i="157"/>
  <c r="AA1437" i="157"/>
  <c r="AA1438" i="157"/>
  <c r="AA1439" i="157"/>
  <c r="AA1440" i="157"/>
  <c r="AA1441" i="157"/>
  <c r="AA1442" i="157"/>
  <c r="AA1443" i="157"/>
  <c r="AA1444" i="157"/>
  <c r="AA1445" i="157"/>
  <c r="AA1446" i="157"/>
  <c r="AA1447" i="157"/>
  <c r="AA1448" i="157"/>
  <c r="AA1449" i="157"/>
  <c r="AA1450" i="157"/>
  <c r="AA1451" i="157"/>
  <c r="AA1452" i="157"/>
  <c r="AA1453" i="157"/>
  <c r="AA1454" i="157"/>
  <c r="AA1455" i="157"/>
  <c r="AA1456" i="157"/>
  <c r="AA1457" i="157"/>
  <c r="AA1458" i="157"/>
  <c r="AA1459" i="157"/>
  <c r="AA1460" i="157"/>
  <c r="AA1461" i="157"/>
  <c r="AA1462" i="157"/>
  <c r="AA1463" i="157"/>
  <c r="AA1464" i="157"/>
  <c r="AA1465" i="157"/>
  <c r="AA1466" i="157"/>
  <c r="AA1467" i="157"/>
  <c r="AA1468" i="157"/>
  <c r="AA1469" i="157"/>
  <c r="AA1470" i="157"/>
  <c r="AA1471" i="157"/>
  <c r="AA1472" i="157"/>
  <c r="AA1473" i="157"/>
  <c r="AA1474" i="157"/>
  <c r="AA1475" i="157"/>
  <c r="AA1476" i="157"/>
  <c r="AA1477" i="157"/>
  <c r="AA1478" i="157"/>
  <c r="AA1479" i="157"/>
  <c r="AA1480" i="157"/>
  <c r="AA1481" i="157"/>
  <c r="AA1482" i="157"/>
  <c r="AA1483" i="157"/>
  <c r="AA1484" i="157"/>
  <c r="AA1485" i="157"/>
  <c r="AA1486" i="157"/>
  <c r="AA1487" i="157"/>
  <c r="AA1488" i="157"/>
  <c r="AA1489" i="157"/>
  <c r="AA1490" i="157"/>
  <c r="AA1491" i="157"/>
  <c r="AA1492" i="157"/>
  <c r="AA1493" i="157"/>
  <c r="AA1494" i="157"/>
  <c r="AA1495" i="157"/>
  <c r="AA1496" i="157"/>
  <c r="AA1497" i="157"/>
  <c r="AA1498" i="157"/>
  <c r="AA1499" i="157"/>
  <c r="AA1500" i="157"/>
  <c r="AA1501" i="157"/>
  <c r="AA1502" i="157"/>
  <c r="AA1503" i="157"/>
  <c r="AA1504" i="157"/>
  <c r="AA1505" i="157"/>
  <c r="AA1506" i="157"/>
  <c r="AA1507" i="157"/>
  <c r="AA1508" i="157"/>
  <c r="AA1509" i="157"/>
  <c r="AA1510" i="157"/>
  <c r="AA1511" i="157"/>
  <c r="AA1512" i="157"/>
  <c r="AA1513" i="157"/>
  <c r="AA1514" i="157"/>
  <c r="AA1515" i="157"/>
  <c r="AA1516" i="157"/>
  <c r="AA1517" i="157"/>
  <c r="AA1518" i="157"/>
  <c r="AA1519" i="157"/>
  <c r="AA1520" i="157"/>
  <c r="AA1521" i="157"/>
  <c r="AA1522" i="157"/>
  <c r="AA1523" i="157"/>
  <c r="AA1524" i="157"/>
  <c r="AA1525" i="157"/>
  <c r="AA1526" i="157"/>
  <c r="AA1527" i="157"/>
  <c r="AA1528" i="157"/>
  <c r="AA1529" i="157"/>
  <c r="AA1530" i="157"/>
  <c r="AA1531" i="157"/>
  <c r="AA1532" i="157"/>
  <c r="AA1533" i="157"/>
  <c r="AA1534" i="157"/>
  <c r="AA1535" i="157"/>
  <c r="AA1536" i="157"/>
  <c r="AA1537" i="157"/>
  <c r="AA1538" i="157"/>
  <c r="AA1539" i="157"/>
  <c r="AA1540" i="157"/>
  <c r="AA1541" i="157"/>
  <c r="AA1542" i="157"/>
  <c r="AA1543" i="157"/>
  <c r="AA1544" i="157"/>
  <c r="AA1545" i="157"/>
  <c r="AA1546" i="157"/>
  <c r="AA1547" i="157"/>
  <c r="AA1548" i="157"/>
  <c r="AA1549" i="157"/>
  <c r="AA1550" i="157"/>
  <c r="AA1551" i="157"/>
  <c r="AA1552" i="157"/>
  <c r="AA1553" i="157"/>
  <c r="AA1554" i="157"/>
  <c r="AA1555" i="157"/>
  <c r="AA1556" i="157"/>
  <c r="AA1557" i="157"/>
  <c r="AA1558" i="157"/>
  <c r="AA1559" i="157"/>
  <c r="AA1560" i="157"/>
  <c r="AA1561" i="157"/>
  <c r="AA1562" i="157"/>
  <c r="AA1563" i="157"/>
  <c r="AA1564" i="157"/>
  <c r="AA1565" i="157"/>
  <c r="AA1566" i="157"/>
  <c r="AA1567" i="157"/>
  <c r="AA1568" i="157"/>
  <c r="AA1569" i="157"/>
  <c r="AA1570" i="157"/>
  <c r="AA1571" i="157"/>
  <c r="AA1572" i="157"/>
  <c r="AA1573" i="157"/>
  <c r="AA1574" i="157"/>
  <c r="AA1575" i="157"/>
  <c r="AA1576" i="157"/>
  <c r="AA1577" i="157"/>
  <c r="AA1578" i="157"/>
  <c r="AA1579" i="157"/>
  <c r="AA1580" i="157"/>
  <c r="AA1581" i="157"/>
  <c r="AA1582" i="157"/>
  <c r="AA1583" i="157"/>
  <c r="AA1584" i="157"/>
  <c r="AA1585" i="157"/>
  <c r="AA1586" i="157"/>
  <c r="AA1587" i="157"/>
  <c r="AA1588" i="157"/>
  <c r="AA1589" i="157"/>
  <c r="AA1590" i="157"/>
  <c r="AA1591" i="157"/>
  <c r="AA1592" i="157"/>
  <c r="AA1593" i="157"/>
  <c r="AA1594" i="157"/>
  <c r="AA1595" i="157"/>
  <c r="AA1596" i="157"/>
  <c r="AA1597" i="157"/>
  <c r="AA1598" i="157"/>
  <c r="AA1599" i="157"/>
  <c r="AA1600" i="157"/>
  <c r="AA1601" i="157"/>
  <c r="AA1602" i="157"/>
  <c r="AA1603" i="157"/>
  <c r="AA1604" i="157"/>
  <c r="AA1605" i="157"/>
  <c r="AA1606" i="157"/>
  <c r="AA1607" i="157"/>
  <c r="AA1608" i="157"/>
  <c r="AA1609" i="157"/>
  <c r="AA1610" i="157"/>
  <c r="AA1611" i="157"/>
  <c r="AA1612" i="157"/>
  <c r="AA1613" i="157"/>
  <c r="AA1614" i="157"/>
  <c r="AA1615" i="157"/>
  <c r="AA1616" i="157"/>
  <c r="AA1617" i="157"/>
  <c r="AA1618" i="157"/>
  <c r="AA1619" i="157"/>
  <c r="AA1620" i="157"/>
  <c r="AA1621" i="157"/>
  <c r="AA1622" i="157"/>
  <c r="AA1623" i="157"/>
  <c r="AA1624" i="157"/>
  <c r="AA1625" i="157"/>
  <c r="AA1626" i="157"/>
  <c r="AA1627" i="157"/>
  <c r="AA1628" i="157"/>
  <c r="AA1629" i="157"/>
  <c r="AA1630" i="157"/>
  <c r="AA1631" i="157"/>
  <c r="AA1632" i="157"/>
  <c r="AA1633" i="157"/>
  <c r="AA1634" i="157"/>
  <c r="AA1635" i="157"/>
  <c r="AA1636" i="157"/>
  <c r="AA1637" i="157"/>
  <c r="AA1638" i="157"/>
  <c r="AA1639" i="157"/>
  <c r="AA1640" i="157"/>
  <c r="AA1641" i="157"/>
  <c r="AA1642" i="157"/>
  <c r="AA1643" i="157"/>
  <c r="AA1644" i="157"/>
  <c r="AA1645" i="157"/>
  <c r="AA1646" i="157"/>
  <c r="AA1647" i="157"/>
  <c r="AA1648" i="157"/>
  <c r="AA1649" i="157"/>
  <c r="AA1650" i="157"/>
  <c r="AA1651" i="157"/>
  <c r="AA1652" i="157"/>
  <c r="AA1653" i="157"/>
  <c r="AA1654" i="157"/>
  <c r="AA1655" i="157"/>
  <c r="AA1656" i="157"/>
  <c r="AA1657" i="157"/>
  <c r="AA1658" i="157"/>
  <c r="AA1659" i="157"/>
  <c r="AA1660" i="157"/>
  <c r="AA1661" i="157"/>
  <c r="AA1662" i="157"/>
  <c r="AA1663" i="157"/>
  <c r="AA1664" i="157"/>
  <c r="AA1665" i="157"/>
  <c r="AA1666" i="157"/>
  <c r="AA1667" i="157"/>
  <c r="AA1668" i="157"/>
  <c r="AA1669" i="157"/>
  <c r="AA1670" i="157"/>
  <c r="AA1671" i="157"/>
  <c r="AA1672" i="157"/>
  <c r="AA1673" i="157"/>
  <c r="AA1674" i="157"/>
  <c r="AA1675" i="157"/>
  <c r="AA1676" i="157"/>
  <c r="AA1677" i="157"/>
  <c r="AA1678" i="157"/>
  <c r="AA1679" i="157"/>
  <c r="AA1680" i="157"/>
  <c r="AA1681" i="157"/>
  <c r="AA1682" i="157"/>
  <c r="AA1683" i="157"/>
  <c r="AA1684" i="157"/>
  <c r="AA1685" i="157"/>
  <c r="AA1686" i="157"/>
  <c r="AA1687" i="157"/>
  <c r="AA1688" i="157"/>
  <c r="AA1689" i="157"/>
  <c r="AA1690" i="157"/>
  <c r="AA1691" i="157"/>
  <c r="AA1692" i="157"/>
  <c r="AA1693" i="157"/>
  <c r="AA1694" i="157"/>
  <c r="AA1695" i="157"/>
  <c r="AA1696" i="157"/>
  <c r="AA1697" i="157"/>
  <c r="AA1698" i="157"/>
  <c r="AA1699" i="157"/>
  <c r="AA1700" i="157"/>
  <c r="AA1701" i="157"/>
  <c r="AA1702" i="157"/>
  <c r="AA1703" i="157"/>
  <c r="AA1704" i="157"/>
  <c r="AA1705" i="157"/>
  <c r="AA1706" i="157"/>
  <c r="AA1707" i="157"/>
  <c r="AA1708" i="157"/>
  <c r="AA1709" i="157"/>
  <c r="AA1710" i="157"/>
  <c r="AA1711" i="157"/>
  <c r="AA1712" i="157"/>
  <c r="AA1713" i="157"/>
  <c r="AA1714" i="157"/>
  <c r="AA1715" i="157"/>
  <c r="AA1716" i="157"/>
  <c r="AA1717" i="157"/>
  <c r="AA1718" i="157"/>
  <c r="AA1719" i="157"/>
  <c r="AA1720" i="157"/>
  <c r="AA1721" i="157"/>
  <c r="AA1722" i="157"/>
  <c r="AA1723" i="157"/>
  <c r="AA1724" i="157"/>
  <c r="AA1725" i="157"/>
  <c r="AA1726" i="157"/>
  <c r="AA1727" i="157"/>
  <c r="AA1728" i="157"/>
  <c r="AA1729" i="157"/>
  <c r="AA1730" i="157"/>
  <c r="AA1731" i="157"/>
  <c r="AA1732" i="157"/>
  <c r="AA1733" i="157"/>
  <c r="AA1734" i="157"/>
  <c r="AA1735" i="157"/>
  <c r="AA1736" i="157"/>
  <c r="AA1737" i="157"/>
  <c r="AA1738" i="157"/>
  <c r="AA1739" i="157"/>
  <c r="AA1740" i="157"/>
  <c r="AA1741" i="157"/>
  <c r="AA1742" i="157"/>
  <c r="AA1743" i="157"/>
  <c r="AA1744" i="157"/>
  <c r="AA1745" i="157"/>
  <c r="AA1746" i="157"/>
  <c r="AA1747" i="157"/>
  <c r="AA1748" i="157"/>
  <c r="AA1749" i="157"/>
  <c r="AA1750" i="157"/>
  <c r="AA1751" i="157"/>
  <c r="AA1752" i="157"/>
  <c r="AA1753" i="157"/>
  <c r="AA1754" i="157"/>
  <c r="AA1755" i="157"/>
  <c r="AA1756" i="157"/>
  <c r="AA1757" i="157"/>
  <c r="AA1758" i="157"/>
  <c r="AA1759" i="157"/>
  <c r="AA1760" i="157"/>
  <c r="AA1761" i="157"/>
  <c r="AA1762" i="157"/>
  <c r="AA1763" i="157"/>
  <c r="AA1764" i="157"/>
  <c r="AA1765" i="157"/>
  <c r="AA1766" i="157"/>
  <c r="AA1767" i="157"/>
  <c r="AA1768" i="157"/>
  <c r="AA1769" i="157"/>
  <c r="AA1770" i="157"/>
  <c r="AA1771" i="157"/>
  <c r="AA1772" i="157"/>
  <c r="AA1773" i="157"/>
  <c r="AA1774" i="157"/>
  <c r="AA1775" i="157"/>
  <c r="AA1776" i="157"/>
  <c r="AA1777" i="157"/>
  <c r="AA1778" i="157"/>
  <c r="AA1779" i="157"/>
  <c r="AA1780" i="157"/>
  <c r="AA1781" i="157"/>
  <c r="AA1782" i="157"/>
  <c r="AA1783" i="157"/>
  <c r="AA1784" i="157"/>
  <c r="AA1785" i="157"/>
  <c r="AA1786" i="157"/>
  <c r="AA1787" i="157"/>
  <c r="AA1788" i="157"/>
  <c r="AA1789" i="157"/>
  <c r="AA1790" i="157"/>
  <c r="AA1791" i="157"/>
  <c r="AA1792" i="157"/>
  <c r="AA1793" i="157"/>
  <c r="AA1794" i="157"/>
  <c r="AA1795" i="157"/>
  <c r="AA1796" i="157"/>
  <c r="AA1797" i="157"/>
  <c r="AA1798" i="157"/>
  <c r="AA1799" i="157"/>
  <c r="AA1800" i="157"/>
  <c r="AA1801" i="157"/>
  <c r="AA1802" i="157"/>
  <c r="AA1803" i="157"/>
  <c r="AA1804" i="157"/>
  <c r="AA1805" i="157"/>
  <c r="AA1806" i="157"/>
  <c r="AA1807" i="157"/>
  <c r="AA1808" i="157"/>
  <c r="AA1809" i="157"/>
  <c r="AA1810" i="157"/>
  <c r="AA1811" i="157"/>
  <c r="AA1812" i="157"/>
  <c r="AA1813" i="157"/>
  <c r="AA1814" i="157"/>
  <c r="AA1815" i="157"/>
  <c r="AA1816" i="157"/>
  <c r="AA1817" i="157"/>
  <c r="AA1818" i="157"/>
  <c r="AA1819" i="157"/>
  <c r="AA1820" i="157"/>
  <c r="AA1821" i="157"/>
  <c r="AA1822" i="157"/>
  <c r="AA1823" i="157"/>
  <c r="AA1824" i="157"/>
  <c r="AA1825" i="157"/>
  <c r="AA1826" i="157"/>
  <c r="AA1827" i="157"/>
  <c r="AA1828" i="157"/>
  <c r="AA1829" i="157"/>
  <c r="AA1830" i="157"/>
  <c r="AA1831" i="157"/>
  <c r="AA1832" i="157"/>
  <c r="AA1833" i="157"/>
  <c r="AA1834" i="157"/>
  <c r="AA1835" i="157"/>
  <c r="AA1836" i="157"/>
  <c r="AA1837" i="157"/>
  <c r="AA1838" i="157"/>
  <c r="AA1839" i="157"/>
  <c r="AA1840" i="157"/>
  <c r="AA1841" i="157"/>
  <c r="AA1842" i="157"/>
  <c r="AA1843" i="157"/>
  <c r="AA1844" i="157"/>
  <c r="AA1845" i="157"/>
  <c r="AA1846" i="157"/>
  <c r="AA1847" i="157"/>
  <c r="AA1848" i="157"/>
  <c r="AA1849" i="157"/>
  <c r="AA1850" i="157"/>
  <c r="AA1851" i="157"/>
  <c r="AA1852" i="157"/>
  <c r="AA1853" i="157"/>
  <c r="AA1854" i="157"/>
  <c r="AA1855" i="157"/>
  <c r="AA1856" i="157"/>
  <c r="AA1857" i="157"/>
  <c r="AA1858" i="157"/>
  <c r="AA1859" i="157"/>
  <c r="AA1860" i="157"/>
  <c r="AA1861" i="157"/>
  <c r="AA1862" i="157"/>
  <c r="AA1863" i="157"/>
  <c r="AA1864" i="157"/>
  <c r="AA1865" i="157"/>
  <c r="AA1866" i="157"/>
  <c r="AA1867" i="157"/>
  <c r="AA1868" i="157"/>
  <c r="AA1869" i="157"/>
  <c r="AA1870" i="157"/>
  <c r="AA1871" i="157"/>
  <c r="AA1872" i="157"/>
  <c r="AA1873" i="157"/>
  <c r="AA1874" i="157"/>
  <c r="AA1875" i="157"/>
  <c r="AA1876" i="157"/>
  <c r="AA1877" i="157"/>
  <c r="AA1878" i="157"/>
  <c r="AA1879" i="157"/>
  <c r="AA1880" i="157"/>
  <c r="AA1881" i="157"/>
  <c r="AA1882" i="157"/>
  <c r="AA1883" i="157"/>
  <c r="AA1884" i="157"/>
  <c r="AA1885" i="157"/>
  <c r="AA1886" i="157"/>
  <c r="AA1887" i="157"/>
  <c r="AA1888" i="157"/>
  <c r="AA1889" i="157"/>
  <c r="AA1890" i="157"/>
  <c r="AA1891" i="157"/>
  <c r="AA1892" i="157"/>
  <c r="AA1893" i="157"/>
  <c r="AA1894" i="157"/>
  <c r="AA1895" i="157"/>
  <c r="AA1896" i="157"/>
  <c r="AA1897" i="157"/>
  <c r="AA1898" i="157"/>
  <c r="AA1899" i="157"/>
  <c r="AA1900" i="157"/>
  <c r="AA1901" i="157"/>
  <c r="AA1902" i="157"/>
  <c r="AA1903" i="157"/>
  <c r="AA1904" i="157"/>
  <c r="AA1905" i="157"/>
  <c r="AA1906" i="157"/>
  <c r="AA1907" i="157"/>
  <c r="AA1908" i="157"/>
  <c r="AA1909" i="157"/>
  <c r="AA1910" i="157"/>
  <c r="AA1911" i="157"/>
  <c r="AA1912" i="157"/>
  <c r="AA1913" i="157"/>
  <c r="AA1914" i="157"/>
  <c r="AA1915" i="157"/>
  <c r="AA1916" i="157"/>
  <c r="AA1917" i="157"/>
  <c r="AA1918" i="157"/>
  <c r="AA1919" i="157"/>
  <c r="AA1920" i="157"/>
  <c r="AA1921" i="157"/>
  <c r="AA1922" i="157"/>
  <c r="AA1923" i="157"/>
  <c r="AA1924" i="157"/>
  <c r="AA1925" i="157"/>
  <c r="AA1926" i="157"/>
  <c r="AA1927" i="157"/>
  <c r="AA1928" i="157"/>
  <c r="AA1929" i="157"/>
  <c r="AA1930" i="157"/>
  <c r="AA1931" i="157"/>
  <c r="AA1932" i="157"/>
  <c r="AA1933" i="157"/>
  <c r="AA1934" i="157"/>
  <c r="AA1935" i="157"/>
  <c r="AA1936" i="157"/>
  <c r="AA1937" i="157"/>
  <c r="AA1938" i="157"/>
  <c r="AA1939" i="157"/>
  <c r="AA1940" i="157"/>
  <c r="AA1941" i="157"/>
  <c r="AA1942" i="157"/>
  <c r="AA1943" i="157"/>
  <c r="AA1944" i="157"/>
  <c r="AA1945" i="157"/>
  <c r="AA1946" i="157"/>
  <c r="AA1947" i="157"/>
  <c r="AA1948" i="157"/>
  <c r="AA1949" i="157"/>
  <c r="AA1950" i="157"/>
  <c r="AA1951" i="157"/>
  <c r="AA1952" i="157"/>
  <c r="AA1953" i="157"/>
  <c r="AA1954" i="157"/>
  <c r="AA1955" i="157"/>
  <c r="AA1956" i="157"/>
  <c r="AA1957" i="157"/>
  <c r="AA1958" i="157"/>
  <c r="AA1959" i="157"/>
  <c r="AA1960" i="157"/>
  <c r="AA1961" i="157"/>
  <c r="AA1962" i="157"/>
  <c r="AA1963" i="157"/>
  <c r="AA1964" i="157"/>
  <c r="AA1965" i="157"/>
  <c r="AA1966" i="157"/>
  <c r="AA1967" i="157"/>
  <c r="AA1968" i="157"/>
  <c r="AA1969" i="157"/>
  <c r="AA1970" i="157"/>
  <c r="AA1971" i="157"/>
  <c r="AA1972" i="157"/>
  <c r="AA1973" i="157"/>
  <c r="AA1974" i="157"/>
  <c r="AA1975" i="157"/>
  <c r="AA1976" i="157"/>
  <c r="AA1977" i="157"/>
  <c r="AA1978" i="157"/>
  <c r="AA1979" i="157"/>
  <c r="AA1980" i="157"/>
  <c r="AA1981" i="157"/>
  <c r="AA1982" i="157"/>
  <c r="AA1983" i="157"/>
  <c r="AA1984" i="157"/>
  <c r="AA1985" i="157"/>
  <c r="AA1986" i="157"/>
  <c r="AA1987" i="157"/>
  <c r="AA1988" i="157"/>
  <c r="AA1989" i="157"/>
  <c r="AA1990" i="157"/>
  <c r="AA1991" i="157"/>
  <c r="AA1992" i="157"/>
  <c r="AA1993" i="157"/>
  <c r="AA1994" i="157"/>
  <c r="AA1995" i="157"/>
  <c r="AA1996" i="157"/>
  <c r="AA1997" i="157"/>
  <c r="AA1998" i="157"/>
  <c r="AA1999" i="157"/>
  <c r="AA2000" i="157"/>
  <c r="AA2001" i="157"/>
  <c r="AA2002" i="157"/>
  <c r="AA2003" i="157"/>
  <c r="AA2004" i="157"/>
  <c r="AA2005" i="157"/>
  <c r="AA2006" i="157"/>
  <c r="AA2007" i="157"/>
  <c r="AA2008" i="157"/>
  <c r="AA2009" i="157"/>
  <c r="AA2010" i="157"/>
  <c r="AA2011" i="157"/>
  <c r="AA2012" i="157"/>
  <c r="AA2013" i="157"/>
  <c r="AA2014" i="157"/>
  <c r="AA2015" i="157"/>
  <c r="AA2016" i="157"/>
  <c r="AA2017" i="157"/>
  <c r="AA2018" i="157"/>
  <c r="AA2019" i="157"/>
  <c r="AA2020" i="157"/>
  <c r="AA2021" i="157"/>
  <c r="AA2022" i="157"/>
  <c r="AA2023" i="157"/>
  <c r="AA2024" i="157"/>
  <c r="AA2025" i="157"/>
  <c r="AA2026" i="157"/>
  <c r="AA2027" i="157"/>
  <c r="AA2028" i="157"/>
  <c r="AA2029" i="157"/>
  <c r="AA2030" i="157"/>
  <c r="AA2031" i="157"/>
  <c r="AA2032" i="157"/>
  <c r="AA2033" i="157"/>
  <c r="AA2034" i="157"/>
  <c r="AA2035" i="157"/>
  <c r="AA2036" i="157"/>
  <c r="AA2037" i="157"/>
  <c r="AA2038" i="157"/>
  <c r="AA2039" i="157"/>
  <c r="AA2040" i="157"/>
  <c r="AA2041" i="157"/>
  <c r="AA2042" i="157"/>
  <c r="AA2043" i="157"/>
  <c r="AA2044" i="157"/>
  <c r="AA2045" i="157"/>
  <c r="AA2046" i="157"/>
  <c r="AA2047" i="157"/>
  <c r="AA2048" i="157"/>
  <c r="AA2049" i="157"/>
  <c r="AA2050" i="157"/>
  <c r="AA2051" i="157"/>
  <c r="AA2052" i="157"/>
  <c r="AA2053" i="157"/>
  <c r="AA2054" i="157"/>
  <c r="AA2055" i="157"/>
  <c r="AA2056" i="157"/>
  <c r="AA2057" i="157"/>
  <c r="AA2058" i="157"/>
  <c r="AA2059" i="157"/>
  <c r="AA2060" i="157"/>
  <c r="AA2061" i="157"/>
  <c r="AA2062" i="157"/>
  <c r="AA2063" i="157"/>
  <c r="AA2064" i="157"/>
  <c r="AA2065" i="157"/>
  <c r="AA2066" i="157"/>
  <c r="AA2067" i="157"/>
  <c r="AA2068" i="157"/>
  <c r="AA2069" i="157"/>
  <c r="AA2070" i="157"/>
  <c r="AA2071" i="157"/>
  <c r="AA2072" i="157"/>
  <c r="AA2073" i="157"/>
  <c r="AA2074" i="157"/>
  <c r="AA2075" i="157"/>
  <c r="AA2076" i="157"/>
  <c r="AA2077" i="157"/>
  <c r="AA2078" i="157"/>
  <c r="AA2079" i="157"/>
  <c r="AA2080" i="157"/>
  <c r="AA2081" i="157"/>
  <c r="AA2082" i="157"/>
  <c r="AA2083" i="157"/>
  <c r="AA2084" i="157"/>
  <c r="AA2085" i="157"/>
  <c r="AA2086" i="157"/>
  <c r="AA2087" i="157"/>
  <c r="AA2088" i="157"/>
  <c r="AA2089" i="157"/>
  <c r="AA2090" i="157"/>
  <c r="AA2091" i="157"/>
  <c r="AA2092" i="157"/>
  <c r="AA2093" i="157"/>
  <c r="AA2094" i="157"/>
  <c r="AA2095" i="157"/>
  <c r="AA2096" i="157"/>
  <c r="AA2097" i="157"/>
  <c r="AA2098" i="157"/>
  <c r="AA2099" i="157"/>
  <c r="AA2100" i="157"/>
  <c r="AA2101" i="157"/>
  <c r="AA2102" i="157"/>
  <c r="AA2103" i="157"/>
  <c r="AA2104" i="157"/>
  <c r="AA2105" i="157"/>
  <c r="AA2106" i="157"/>
  <c r="AA2107" i="157"/>
  <c r="AA2108" i="157"/>
  <c r="AA2109" i="157"/>
  <c r="AA2110" i="157"/>
  <c r="AA2111" i="157"/>
  <c r="AA2112" i="157"/>
  <c r="AA2113" i="157"/>
  <c r="AA2114" i="157"/>
  <c r="AA2115" i="157"/>
  <c r="AA2116" i="157"/>
  <c r="AA2117" i="157"/>
  <c r="AA2118" i="157"/>
  <c r="AA2119" i="157"/>
  <c r="AA2120" i="157"/>
  <c r="AA2121" i="157"/>
  <c r="AA2122" i="157"/>
  <c r="AA2123" i="157"/>
  <c r="AA2124" i="157"/>
  <c r="AA2125" i="157"/>
  <c r="AA2126" i="157"/>
  <c r="AA2127" i="157"/>
  <c r="AA2128" i="157"/>
  <c r="AA2129" i="157"/>
  <c r="AA2130" i="157"/>
  <c r="AA2131" i="157"/>
  <c r="AA2132" i="157"/>
  <c r="AA2133" i="157"/>
  <c r="AA2134" i="157"/>
  <c r="AA2135" i="157"/>
  <c r="AA2136" i="157"/>
  <c r="AA2137" i="157"/>
  <c r="AA2138" i="157"/>
  <c r="AA2139" i="157"/>
  <c r="AA2140" i="157"/>
  <c r="AA2141" i="157"/>
  <c r="AA2142" i="157"/>
  <c r="AA2143" i="157"/>
  <c r="AA2144" i="157"/>
  <c r="AA2145" i="157"/>
  <c r="AA2146" i="157"/>
  <c r="AA2147" i="157"/>
  <c r="AA2148" i="157"/>
  <c r="AA2149" i="157"/>
  <c r="AA2150" i="157"/>
  <c r="AA2151" i="157"/>
  <c r="AA2152" i="157"/>
  <c r="AA2153" i="157"/>
  <c r="AA2154" i="157"/>
  <c r="AA2155" i="157"/>
  <c r="AA2156" i="157"/>
  <c r="AA2157" i="157"/>
  <c r="AA2158" i="157"/>
  <c r="AA2159" i="157"/>
  <c r="AA2160" i="157"/>
  <c r="AA2161" i="157"/>
  <c r="AA2162" i="157"/>
  <c r="AA2163" i="157"/>
  <c r="AA2164" i="157"/>
  <c r="AA2165" i="157"/>
  <c r="AA2166" i="157"/>
  <c r="AA2167" i="157"/>
  <c r="AA2168" i="157"/>
  <c r="AA2169" i="157"/>
  <c r="AA2170" i="157"/>
  <c r="AA2171" i="157"/>
  <c r="AA2172" i="157"/>
  <c r="AA2173" i="157"/>
  <c r="AA2174" i="157"/>
  <c r="AA2175" i="157"/>
  <c r="AA2176" i="157"/>
  <c r="AA2177" i="157"/>
  <c r="AA2178" i="157"/>
  <c r="AA2179" i="157"/>
  <c r="AA2180" i="157"/>
  <c r="AA2181" i="157"/>
  <c r="AA2182" i="157"/>
  <c r="AA2183" i="157"/>
  <c r="AA2184" i="157"/>
  <c r="AA2185" i="157"/>
  <c r="AA2186" i="157"/>
  <c r="AA2187" i="157"/>
  <c r="AA2188" i="157"/>
  <c r="AA2189" i="157"/>
  <c r="AA2190" i="157"/>
  <c r="AA2191" i="157"/>
  <c r="AA2192" i="157"/>
  <c r="AA2193" i="157"/>
  <c r="AA2194" i="157"/>
  <c r="AA2195" i="157"/>
  <c r="AA2196" i="157"/>
  <c r="AA2197" i="157"/>
  <c r="AA2198" i="157"/>
  <c r="AA2199" i="157"/>
  <c r="AA2200" i="157"/>
  <c r="AA2201" i="157"/>
  <c r="AA2202" i="157"/>
  <c r="AA2203" i="157"/>
  <c r="AA2204" i="157"/>
  <c r="AA2205" i="157"/>
  <c r="AA2206" i="157"/>
  <c r="AA2207" i="157"/>
  <c r="AA2208" i="157"/>
  <c r="AA2209" i="157"/>
  <c r="AA2210" i="157"/>
  <c r="AA2211" i="157"/>
  <c r="AA2212" i="157"/>
  <c r="AA2213" i="157"/>
  <c r="AA2214" i="157"/>
  <c r="AA2215" i="157"/>
  <c r="AA2216" i="157"/>
  <c r="AA2217" i="157"/>
  <c r="AA2218" i="157"/>
  <c r="AA2219" i="157"/>
  <c r="AA2220" i="157"/>
  <c r="AA2221" i="157"/>
  <c r="AA2222" i="157"/>
  <c r="AA2223" i="157"/>
  <c r="AA2224" i="157"/>
  <c r="AA2225" i="157"/>
  <c r="AA2226" i="157"/>
  <c r="AA2227" i="157"/>
  <c r="AA2228" i="157"/>
  <c r="AA2229" i="157"/>
  <c r="AA2230" i="157"/>
  <c r="AA2231" i="157"/>
  <c r="AA2232" i="157"/>
  <c r="AA2233" i="157"/>
  <c r="AA2234" i="157"/>
  <c r="AA2235" i="157"/>
  <c r="AA2236" i="157"/>
  <c r="AA2237" i="157"/>
  <c r="AA2238" i="157"/>
  <c r="AA2239" i="157"/>
  <c r="AA2240" i="157"/>
  <c r="AA2241" i="157"/>
  <c r="AA2242" i="157"/>
  <c r="AA2243" i="157"/>
  <c r="AA2244" i="157"/>
  <c r="AA2245" i="157"/>
  <c r="AA2246" i="157"/>
  <c r="AA2247" i="157"/>
  <c r="AA2248" i="157"/>
  <c r="AA2249" i="157"/>
  <c r="AA2250" i="157"/>
  <c r="AA2251" i="157"/>
  <c r="AA2252" i="157"/>
  <c r="AA2253" i="157"/>
  <c r="AA2254" i="157"/>
  <c r="AA2255" i="157"/>
  <c r="AA2256" i="157"/>
  <c r="AA2257" i="157"/>
  <c r="AA2258" i="157"/>
  <c r="AA2259" i="157"/>
  <c r="AA2260" i="157"/>
  <c r="AA2261" i="157"/>
  <c r="AA2262" i="157"/>
  <c r="AA2263" i="157"/>
  <c r="AA2264" i="157"/>
  <c r="AA2265" i="157"/>
  <c r="AA2266" i="157"/>
  <c r="AA2267" i="157"/>
  <c r="AA2268" i="157"/>
  <c r="AA2269" i="157"/>
  <c r="AA2270" i="157"/>
  <c r="AA2271" i="157"/>
  <c r="AA2272" i="157"/>
  <c r="AA2273" i="157"/>
  <c r="AA2274" i="157"/>
  <c r="AA2275" i="157"/>
  <c r="AA2276" i="157"/>
  <c r="AA2277" i="157"/>
  <c r="AA2278" i="157"/>
  <c r="AA2279" i="157"/>
  <c r="AA2280" i="157"/>
  <c r="AA2281" i="157"/>
  <c r="AA2282" i="157"/>
  <c r="AA2283" i="157"/>
  <c r="AA2284" i="157"/>
  <c r="AA2285" i="157"/>
  <c r="AA2286" i="157"/>
  <c r="AA2287" i="157"/>
  <c r="AA2288" i="157"/>
  <c r="AA2289" i="157"/>
  <c r="AA2290" i="157"/>
  <c r="AA2291" i="157"/>
  <c r="AA2292" i="157"/>
  <c r="AA2293" i="157"/>
  <c r="AA2294" i="157"/>
  <c r="AA2295" i="157"/>
  <c r="AA2296" i="157"/>
  <c r="AA2297" i="157"/>
  <c r="AA2298" i="157"/>
  <c r="AA2299" i="157"/>
  <c r="AA2300" i="157"/>
  <c r="AA2301" i="157"/>
  <c r="AA2302" i="157"/>
  <c r="AA2303" i="157"/>
  <c r="AA2304" i="157"/>
  <c r="AA2305" i="157"/>
  <c r="AA2306" i="157"/>
  <c r="AA2307" i="157"/>
  <c r="AA2308" i="157"/>
  <c r="AA2309" i="157"/>
  <c r="AA2310" i="157"/>
  <c r="AA2311" i="157"/>
  <c r="AA2312" i="157"/>
  <c r="AA2313" i="157"/>
  <c r="AA2314" i="157"/>
  <c r="AA2315" i="157"/>
  <c r="AA2316" i="157"/>
  <c r="AA2317" i="157"/>
  <c r="AA2318" i="157"/>
  <c r="AA2319" i="157"/>
  <c r="AA2320" i="157"/>
  <c r="AA2321" i="157"/>
  <c r="AA2322" i="157"/>
  <c r="AA2323" i="157"/>
  <c r="AA2324" i="157"/>
  <c r="AA2325" i="157"/>
  <c r="AA2326" i="157"/>
  <c r="AA2327" i="157"/>
  <c r="AA2328" i="157"/>
  <c r="AA2329" i="157"/>
  <c r="AA2330" i="157"/>
  <c r="AA2331" i="157"/>
  <c r="AA2332" i="157"/>
  <c r="AA2333" i="157"/>
  <c r="AA2334" i="157"/>
  <c r="AA2335" i="157"/>
  <c r="AA2336" i="157"/>
  <c r="AA2337" i="157"/>
  <c r="AA2338" i="157"/>
  <c r="AA2339" i="157"/>
  <c r="AA2340" i="157"/>
  <c r="AA2341" i="157"/>
  <c r="AA2342" i="157"/>
  <c r="AA2343" i="157"/>
  <c r="AA2344" i="157"/>
  <c r="AA2345" i="157"/>
  <c r="AA2346" i="157"/>
  <c r="AA2347" i="157"/>
  <c r="AA2348" i="157"/>
  <c r="AA2349" i="157"/>
  <c r="AA2350" i="157"/>
  <c r="AA2351" i="157"/>
  <c r="AA2352" i="157"/>
  <c r="AA2353" i="157"/>
  <c r="AA2354" i="157"/>
  <c r="AA2355" i="157"/>
  <c r="AA2356" i="157"/>
  <c r="AA2357" i="157"/>
  <c r="AA2358" i="157"/>
  <c r="AA2359" i="157"/>
  <c r="AA2360" i="157"/>
  <c r="AA2361" i="157"/>
  <c r="AA2362" i="157"/>
  <c r="AA2363" i="157"/>
  <c r="AA2364" i="157"/>
  <c r="AA2365" i="157"/>
  <c r="AA2366" i="157"/>
  <c r="AA2367" i="157"/>
  <c r="AA2368" i="157"/>
  <c r="AA2369" i="157"/>
  <c r="AA2370" i="157"/>
  <c r="AA2371" i="157"/>
  <c r="AA2372" i="157"/>
  <c r="AA2373" i="157"/>
  <c r="AA2374" i="157"/>
  <c r="AA2375" i="157"/>
  <c r="AA2376" i="157"/>
  <c r="AA2377" i="157"/>
  <c r="AA2378" i="157"/>
  <c r="AA2379" i="157"/>
  <c r="AA2380" i="157"/>
  <c r="AA2381" i="157"/>
  <c r="AA2382" i="157"/>
  <c r="AA2383" i="157"/>
  <c r="AA2384" i="157"/>
  <c r="AA2385" i="157"/>
  <c r="AA2386" i="157"/>
  <c r="AA2387" i="157"/>
  <c r="AA2388" i="157"/>
  <c r="AA2389" i="157"/>
  <c r="AA2390" i="157"/>
  <c r="AA2391" i="157"/>
  <c r="AA2392" i="157"/>
  <c r="AA2393" i="157"/>
  <c r="AA2394" i="157"/>
  <c r="AA2395" i="157"/>
  <c r="AA2396" i="157"/>
  <c r="AA2397" i="157"/>
  <c r="AA2398" i="157"/>
  <c r="AA2399" i="157"/>
  <c r="AA2400" i="157"/>
  <c r="AA2401" i="157"/>
  <c r="AA2402" i="157"/>
  <c r="AA2403" i="157"/>
  <c r="AA2404" i="157"/>
  <c r="AA2405" i="157"/>
  <c r="AA2406" i="157"/>
  <c r="AA2407" i="157"/>
  <c r="AA2408" i="157"/>
  <c r="AA2409" i="157"/>
  <c r="AA2410" i="157"/>
  <c r="AA2411" i="157"/>
  <c r="AA2412" i="157"/>
  <c r="AA2413" i="157"/>
  <c r="AA2414" i="157"/>
  <c r="AA2415" i="157"/>
  <c r="AA2416" i="157"/>
  <c r="AA2417" i="157"/>
  <c r="AA2418" i="157"/>
  <c r="AA2419" i="157"/>
  <c r="AA2420" i="157"/>
  <c r="AA2421" i="157"/>
  <c r="AA2422" i="157"/>
  <c r="AA2423" i="157"/>
  <c r="AA2424" i="157"/>
  <c r="AA2425" i="157"/>
  <c r="AA2426" i="157"/>
  <c r="AA2427" i="157"/>
  <c r="AA2428" i="157"/>
  <c r="AA2429" i="157"/>
  <c r="AA2430" i="157"/>
  <c r="AA2431" i="157"/>
  <c r="AA2432" i="157"/>
  <c r="AA2433" i="157"/>
  <c r="AA2434" i="157"/>
  <c r="AA2435" i="157"/>
  <c r="AA2436" i="157"/>
  <c r="AA2437" i="157"/>
  <c r="AA2438" i="157"/>
  <c r="AA2439" i="157"/>
  <c r="AA2440" i="157"/>
  <c r="AA2441" i="157"/>
  <c r="AA2442" i="157"/>
  <c r="AA2443" i="157"/>
  <c r="AA2444" i="157"/>
  <c r="AA2445" i="157"/>
  <c r="AA2446" i="157"/>
  <c r="AA2447" i="157"/>
  <c r="AA2448" i="157"/>
  <c r="AA2449" i="157"/>
  <c r="AA2450" i="157"/>
  <c r="AA2451" i="157"/>
  <c r="AA2452" i="157"/>
  <c r="AA2453" i="157"/>
  <c r="AA2454" i="157"/>
  <c r="AA2455" i="157"/>
  <c r="AA2456" i="157"/>
  <c r="AA2457" i="157"/>
  <c r="AA2458" i="157"/>
  <c r="AA2459" i="157"/>
  <c r="AA2460" i="157"/>
  <c r="AA2461" i="157"/>
  <c r="AA2462" i="157"/>
  <c r="AA2463" i="157"/>
  <c r="AA2464" i="157"/>
  <c r="AA2465" i="157"/>
  <c r="AA2466" i="157"/>
  <c r="AA2467" i="157"/>
  <c r="AA2468" i="157"/>
  <c r="AA2469" i="157"/>
  <c r="AA2470" i="157"/>
  <c r="AA2471" i="157"/>
  <c r="AA2472" i="157"/>
  <c r="AA2473" i="157"/>
  <c r="AA2474" i="157"/>
  <c r="AA2475" i="157"/>
  <c r="AA2476" i="157"/>
  <c r="AA2477" i="157"/>
  <c r="AA2478" i="157"/>
  <c r="AA2479" i="157"/>
  <c r="AA2480" i="157"/>
  <c r="AA2481" i="157"/>
  <c r="AA2482" i="157"/>
  <c r="AA2483" i="157"/>
  <c r="AA2484" i="157"/>
  <c r="AA2485" i="157"/>
  <c r="AA2486" i="157"/>
  <c r="AA2487" i="157"/>
  <c r="AA2488" i="157"/>
  <c r="AA2489" i="157"/>
  <c r="AA2490" i="157"/>
  <c r="AA2491" i="157"/>
  <c r="AA2492" i="157"/>
  <c r="AA2493" i="157"/>
  <c r="AA2494" i="157"/>
  <c r="AA2495" i="157"/>
  <c r="AA2496" i="157"/>
  <c r="AA2497" i="157"/>
  <c r="AA2498" i="157"/>
  <c r="AA2499" i="157"/>
  <c r="AA2500" i="157"/>
  <c r="AA2501" i="157"/>
  <c r="AA2502" i="157"/>
  <c r="AA2503" i="157"/>
  <c r="AA2504" i="157"/>
  <c r="AA2505" i="157"/>
  <c r="AA2506" i="157"/>
  <c r="AA2507" i="157"/>
  <c r="AA2508" i="157"/>
  <c r="AA2509" i="157"/>
  <c r="AA2510" i="157"/>
  <c r="AA2511" i="157"/>
  <c r="AA2512" i="157"/>
  <c r="AA2513" i="157"/>
  <c r="AA2514" i="157"/>
  <c r="AA2515" i="157"/>
  <c r="AA2516" i="157"/>
  <c r="AA2517" i="157"/>
  <c r="AA2518" i="157"/>
  <c r="AA2519" i="157"/>
  <c r="AA2520" i="157"/>
  <c r="AA2521" i="157"/>
  <c r="AA2522" i="157"/>
  <c r="AA2523" i="157"/>
  <c r="AA2524" i="157"/>
  <c r="AA2525" i="157"/>
  <c r="AA2526" i="157"/>
  <c r="AA2527" i="157"/>
  <c r="AA2528" i="157"/>
  <c r="AA2529" i="157"/>
  <c r="AA2530" i="157"/>
  <c r="AA2531" i="157"/>
  <c r="AA2532" i="157"/>
  <c r="AA2533" i="157"/>
  <c r="AA2534" i="157"/>
  <c r="AA2535" i="157"/>
  <c r="AA2536" i="157"/>
  <c r="AA2537" i="157"/>
  <c r="AA2538" i="157"/>
  <c r="AA2539" i="157"/>
  <c r="AA2540" i="157"/>
  <c r="AA2541" i="157"/>
  <c r="AA2542" i="157"/>
  <c r="AA2543" i="157"/>
  <c r="AA2544" i="157"/>
  <c r="AA2545" i="157"/>
  <c r="AA2546" i="157"/>
  <c r="AA2547" i="157"/>
  <c r="AA2548" i="157"/>
  <c r="AA2549" i="157"/>
  <c r="AA2550" i="157"/>
  <c r="AA2551" i="157"/>
  <c r="AA2552" i="157"/>
  <c r="AA2553" i="157"/>
  <c r="AA2554" i="157"/>
  <c r="AA2555" i="157"/>
  <c r="AA2556" i="157"/>
  <c r="AA2557" i="157"/>
  <c r="AA2558" i="157"/>
  <c r="AA2559" i="157"/>
  <c r="AA2560" i="157"/>
  <c r="AA2561" i="157"/>
  <c r="AA2562" i="157"/>
  <c r="AA2563" i="157"/>
  <c r="AA2564" i="157"/>
  <c r="AA2565" i="157"/>
  <c r="AA2566" i="157"/>
  <c r="AA2567" i="157"/>
  <c r="AA2568" i="157"/>
  <c r="AA2569" i="157"/>
  <c r="AA2570" i="157"/>
  <c r="AA2571" i="157"/>
  <c r="AA2572" i="157"/>
  <c r="AA2573" i="157"/>
  <c r="AA2574" i="157"/>
  <c r="AA2575" i="157"/>
  <c r="AA2576" i="157"/>
  <c r="AA2577" i="157"/>
  <c r="AA2578" i="157"/>
  <c r="AA2579" i="157"/>
  <c r="AA2580" i="157"/>
  <c r="AA2581" i="157"/>
  <c r="AA2582" i="157"/>
  <c r="AA2583" i="157"/>
  <c r="AA2584" i="157"/>
  <c r="AA2585" i="157"/>
  <c r="AA2586" i="157"/>
  <c r="AA2587" i="157"/>
  <c r="AA2588" i="157"/>
  <c r="AA2589" i="157"/>
  <c r="AA2590" i="157"/>
  <c r="AA2591" i="157"/>
  <c r="AA2592" i="157"/>
  <c r="AA2593" i="157"/>
  <c r="AA2594" i="157"/>
  <c r="AA2595" i="157"/>
  <c r="AA2596" i="157"/>
  <c r="AA2597" i="157"/>
  <c r="AA2598" i="157"/>
  <c r="AA2599" i="157"/>
  <c r="AA2600" i="157"/>
  <c r="AA2601" i="157"/>
  <c r="AA2602" i="157"/>
  <c r="AA2603" i="157"/>
  <c r="AA2604" i="157"/>
  <c r="AA2605" i="157"/>
  <c r="AA2606" i="157"/>
  <c r="AA2607" i="157"/>
  <c r="AA2608" i="157"/>
  <c r="AA2609" i="157"/>
  <c r="AA2610" i="157"/>
  <c r="AA2611" i="157"/>
  <c r="AA2612" i="157"/>
  <c r="AA2613" i="157"/>
  <c r="AA2614" i="157"/>
  <c r="AA2615" i="157"/>
  <c r="AA2616" i="157"/>
  <c r="AA2617" i="157"/>
  <c r="AA2618" i="157"/>
  <c r="AA2619" i="157"/>
  <c r="AA2620" i="157"/>
  <c r="AA2621" i="157"/>
  <c r="AA2622" i="157"/>
  <c r="AA2623" i="157"/>
  <c r="AA2624" i="157"/>
  <c r="AA2625" i="157"/>
  <c r="AA2626" i="157"/>
  <c r="AA2627" i="157"/>
  <c r="AA2628" i="157"/>
  <c r="AA2629" i="157"/>
  <c r="AA2630" i="157"/>
  <c r="AA2631" i="157"/>
  <c r="AA2632" i="157"/>
  <c r="AA2633" i="157"/>
  <c r="AA2634" i="157"/>
  <c r="AA2635" i="157"/>
  <c r="AA2636" i="157"/>
  <c r="AA2637" i="157"/>
  <c r="AA2638" i="157"/>
  <c r="AA2639" i="157"/>
  <c r="AA2640" i="157"/>
  <c r="AA2641" i="157"/>
  <c r="AA2642" i="157"/>
  <c r="AA2643" i="157"/>
  <c r="AA2644" i="157"/>
  <c r="AA2645" i="157"/>
  <c r="AA2646" i="157"/>
  <c r="AA2647" i="157"/>
  <c r="AA2648" i="157"/>
  <c r="AA2649" i="157"/>
  <c r="AA2650" i="157"/>
  <c r="AA2651" i="157"/>
  <c r="AA2652" i="157"/>
  <c r="AA2653" i="157"/>
  <c r="AA2654" i="157"/>
  <c r="AA2655" i="157"/>
  <c r="AA2656" i="157"/>
  <c r="AA2657" i="157"/>
  <c r="AA2658" i="157"/>
  <c r="AA2659" i="157"/>
  <c r="AA2660" i="157"/>
  <c r="AA2661" i="157"/>
  <c r="AA2662" i="157"/>
  <c r="AA2663" i="157"/>
  <c r="AA2664" i="157"/>
  <c r="AA2665" i="157"/>
  <c r="AA2666" i="157"/>
  <c r="AA2667" i="157"/>
  <c r="AA2668" i="157"/>
  <c r="AA2669" i="157"/>
  <c r="AA2670" i="157"/>
  <c r="AA2671" i="157"/>
  <c r="AA2672" i="157"/>
  <c r="AA2673" i="157"/>
  <c r="AA2674" i="157"/>
  <c r="AA2675" i="157"/>
  <c r="AA2676" i="157"/>
  <c r="AA2677" i="157"/>
  <c r="AA2678" i="157"/>
  <c r="AA2679" i="157"/>
  <c r="AA2680" i="157"/>
  <c r="AA2681" i="157"/>
  <c r="AA2682" i="157"/>
  <c r="AA2683" i="157"/>
  <c r="AA2684" i="157"/>
  <c r="AA2685" i="157"/>
  <c r="AA2686" i="157"/>
  <c r="AA2687" i="157"/>
  <c r="AA2688" i="157"/>
  <c r="AA2689" i="157"/>
  <c r="AA2690" i="157"/>
  <c r="AA2691" i="157"/>
  <c r="AA2692" i="157"/>
  <c r="AA2693" i="157"/>
  <c r="AA2694" i="157"/>
  <c r="AA2695" i="157"/>
  <c r="AA2696" i="157"/>
  <c r="AA2697" i="157"/>
  <c r="AA2698" i="157"/>
  <c r="AA2699" i="157"/>
  <c r="AA2700" i="157"/>
  <c r="AA2701" i="157"/>
  <c r="AA2702" i="157"/>
  <c r="AA2703" i="157"/>
  <c r="AA2704" i="157"/>
  <c r="AA2705" i="157"/>
  <c r="AA2706" i="157"/>
  <c r="AA2707" i="157"/>
  <c r="AA2708" i="157"/>
  <c r="AA2709" i="157"/>
  <c r="AA2710" i="157"/>
  <c r="AA2711" i="157"/>
  <c r="AA2712" i="157"/>
  <c r="AA2713" i="157"/>
  <c r="AA2714" i="157"/>
  <c r="AA2715" i="157"/>
  <c r="AA2716" i="157"/>
  <c r="AA2717" i="157"/>
  <c r="AA2718" i="157"/>
  <c r="AA2719" i="157"/>
  <c r="AA2720" i="157"/>
  <c r="AA2721" i="157"/>
  <c r="AA2722" i="157"/>
  <c r="AA2723" i="157"/>
  <c r="AA2724" i="157"/>
  <c r="AA2725" i="157"/>
  <c r="AA2726" i="157"/>
  <c r="AA2727" i="157"/>
  <c r="AA2728" i="157"/>
  <c r="AA2729" i="157"/>
  <c r="AA2730" i="157"/>
  <c r="AA2731" i="157"/>
  <c r="AA2732" i="157"/>
  <c r="AA2733" i="157"/>
  <c r="AA2734" i="157"/>
  <c r="AA2735" i="157"/>
  <c r="AA2736" i="157"/>
  <c r="AA2737" i="157"/>
  <c r="AA2738" i="157"/>
  <c r="AA2739" i="157"/>
  <c r="AA2740" i="157"/>
  <c r="AA2741" i="157"/>
  <c r="AA2742" i="157"/>
  <c r="AA2743" i="157"/>
  <c r="AA2744" i="157"/>
  <c r="AA2745" i="157"/>
  <c r="AA2746" i="157"/>
  <c r="AA2747" i="157"/>
  <c r="AA2748" i="157"/>
  <c r="AA2749" i="157"/>
  <c r="AA2750" i="157"/>
  <c r="AA2751" i="157"/>
  <c r="AA2752" i="157"/>
  <c r="AA2753" i="157"/>
  <c r="AA2754" i="157"/>
  <c r="AA2755" i="157"/>
  <c r="AA2756" i="157"/>
  <c r="AA2757" i="157"/>
  <c r="AA2758" i="157"/>
  <c r="AA2759" i="157"/>
  <c r="AA2760" i="157"/>
  <c r="AA2761" i="157"/>
  <c r="AA2762" i="157"/>
  <c r="AA2763" i="157"/>
  <c r="AA2764" i="157"/>
  <c r="AA2765" i="157"/>
  <c r="AA2766" i="157"/>
  <c r="AA2767" i="157"/>
  <c r="AA2768" i="157"/>
  <c r="AA2769" i="157"/>
  <c r="AA2770" i="157"/>
  <c r="AA2771" i="157"/>
  <c r="AA2772" i="157"/>
  <c r="AA2773" i="157"/>
  <c r="AA2774" i="157"/>
  <c r="AA2775" i="157"/>
  <c r="AA2776" i="157"/>
  <c r="AA2777" i="157"/>
  <c r="AA2778" i="157"/>
  <c r="AA2779" i="157"/>
  <c r="AA2780" i="157"/>
  <c r="AA2781" i="157"/>
  <c r="AA2782" i="157"/>
  <c r="AA2783" i="157"/>
  <c r="AA2784" i="157"/>
  <c r="AA2785" i="157"/>
  <c r="AA2786" i="157"/>
  <c r="AA2787" i="157"/>
  <c r="AA2788" i="157"/>
  <c r="AA2789" i="157"/>
  <c r="AA2790" i="157"/>
  <c r="AA2791" i="157"/>
  <c r="AA2792" i="157"/>
  <c r="AA2793" i="157"/>
  <c r="AA2794" i="157"/>
  <c r="AA2795" i="157"/>
  <c r="AA2796" i="157"/>
  <c r="AA2797" i="157"/>
  <c r="AA2798" i="157"/>
  <c r="AA2799" i="157"/>
  <c r="AA2800" i="157"/>
  <c r="AA2801" i="157"/>
  <c r="AA2802" i="157"/>
  <c r="AA2803" i="157"/>
  <c r="AA2804" i="157"/>
  <c r="AA2805" i="157"/>
  <c r="AA2806" i="157"/>
  <c r="AA2807" i="157"/>
  <c r="AA2808" i="157"/>
  <c r="AA2809" i="157"/>
  <c r="AA2810" i="157"/>
  <c r="AA2811" i="157"/>
  <c r="AA2812" i="157"/>
  <c r="AA2813" i="157"/>
  <c r="AA2814" i="157"/>
  <c r="AA2815" i="157"/>
  <c r="AA2816" i="157"/>
  <c r="AA2817" i="157"/>
  <c r="AA2818" i="157"/>
  <c r="AA2819" i="157"/>
  <c r="AA2820" i="157"/>
  <c r="AA2821" i="157"/>
  <c r="AA2822" i="157"/>
  <c r="AA2823" i="157"/>
  <c r="AA2824" i="157"/>
  <c r="AA2825" i="157"/>
  <c r="AA2826" i="157"/>
  <c r="AA2827" i="157"/>
  <c r="AA2828" i="157"/>
  <c r="AA2829" i="157"/>
  <c r="AA2830" i="157"/>
  <c r="AA2831" i="157"/>
  <c r="AA2832" i="157"/>
  <c r="AA2833" i="157"/>
  <c r="AA2834" i="157"/>
  <c r="AA2835" i="157"/>
  <c r="AA2836" i="157"/>
  <c r="AA2837" i="157"/>
  <c r="AA2838" i="157"/>
  <c r="AA2839" i="157"/>
  <c r="AA2840" i="157"/>
  <c r="AA2841" i="157"/>
  <c r="AA2842" i="157"/>
  <c r="AA2843" i="157"/>
  <c r="AA2844" i="157"/>
  <c r="AA2845" i="157"/>
  <c r="AA2846" i="157"/>
  <c r="AA2847" i="157"/>
  <c r="AA2848" i="157"/>
  <c r="AA2849" i="157"/>
  <c r="AA2850" i="157"/>
  <c r="AA2851" i="157"/>
  <c r="AA2852" i="157"/>
  <c r="AA2853" i="157"/>
  <c r="AA2854" i="157"/>
  <c r="AA2855" i="157"/>
  <c r="AA2856" i="157"/>
  <c r="AA2857" i="157"/>
  <c r="AA2858" i="157"/>
  <c r="AA2859" i="157"/>
  <c r="AA2860" i="157"/>
  <c r="AA2861" i="157"/>
  <c r="AA2862" i="157"/>
  <c r="AA2863" i="157"/>
  <c r="AA2864" i="157"/>
  <c r="AA2865" i="157"/>
  <c r="AA2866" i="157"/>
  <c r="AA2867" i="157"/>
  <c r="AA2868" i="157"/>
  <c r="AA2869" i="157"/>
  <c r="AA2870" i="157"/>
  <c r="AA2871" i="157"/>
  <c r="AA2872" i="157"/>
  <c r="AA2873" i="157"/>
  <c r="AA2874" i="157"/>
  <c r="AA2875" i="157"/>
  <c r="AA2876" i="157"/>
  <c r="AA2877" i="157"/>
  <c r="AA2878" i="157"/>
  <c r="AA2879" i="157"/>
  <c r="AA2880" i="157"/>
  <c r="AA2881" i="157"/>
  <c r="AA2882" i="157"/>
  <c r="AA2883" i="157"/>
  <c r="AA2884" i="157"/>
  <c r="AA2885" i="157"/>
  <c r="AA2886" i="157"/>
  <c r="AA2887" i="157"/>
  <c r="AA2888" i="157"/>
  <c r="AA2889" i="157"/>
  <c r="AA2890" i="157"/>
  <c r="AA2891" i="157"/>
  <c r="AA2892" i="157"/>
  <c r="AA2893" i="157"/>
  <c r="AA2894" i="157"/>
  <c r="AA2895" i="157"/>
  <c r="AA2896" i="157"/>
  <c r="AA2897" i="157"/>
  <c r="AA2898" i="157"/>
  <c r="AA2899" i="157"/>
  <c r="AA2900" i="157"/>
  <c r="AA2901" i="157"/>
  <c r="AA2902" i="157"/>
  <c r="AA2903" i="157"/>
  <c r="AA2904" i="157"/>
  <c r="AA2905" i="157"/>
  <c r="AA2906" i="157"/>
  <c r="AA2907" i="157"/>
  <c r="AA2908" i="157"/>
  <c r="AA2909" i="157"/>
  <c r="AA2910" i="157"/>
  <c r="AA2911" i="157"/>
  <c r="AA2912" i="157"/>
  <c r="AA2913" i="157"/>
  <c r="AA2914" i="157"/>
  <c r="AA2915" i="157"/>
  <c r="AA2916" i="157"/>
  <c r="AA2917" i="157"/>
  <c r="AA2918" i="157"/>
  <c r="AA2919" i="157"/>
  <c r="AA2920" i="157"/>
  <c r="AA2921" i="157"/>
  <c r="AA2922" i="157"/>
  <c r="AA2923" i="157"/>
  <c r="AA2924" i="157"/>
  <c r="AA2925" i="157"/>
  <c r="AA2926" i="157"/>
  <c r="AA2927" i="157"/>
  <c r="AA2928" i="157"/>
  <c r="AA2929" i="157"/>
  <c r="AA2930" i="157"/>
  <c r="AA2931" i="157"/>
  <c r="AA2932" i="157"/>
  <c r="AA2933" i="157"/>
  <c r="AA2934" i="157"/>
  <c r="AA2935" i="157"/>
  <c r="AA2936" i="157"/>
  <c r="AA2937" i="157"/>
  <c r="AA2938" i="157"/>
  <c r="AA2939" i="157"/>
  <c r="AA2940" i="157"/>
  <c r="AA2941" i="157"/>
  <c r="AA2942" i="157"/>
  <c r="AA2943" i="157"/>
  <c r="AA2944" i="157"/>
  <c r="AA2945" i="157"/>
  <c r="AA2946" i="157"/>
  <c r="AA2947" i="157"/>
  <c r="AA2948" i="157"/>
  <c r="AA2949" i="157"/>
  <c r="AA2950" i="157"/>
  <c r="AA2951" i="157"/>
  <c r="AA2952" i="157"/>
  <c r="AA2953" i="157"/>
  <c r="AA2954" i="157"/>
  <c r="AA2955" i="157"/>
  <c r="AA2956" i="157"/>
  <c r="AA2957" i="157"/>
  <c r="AA2958" i="157"/>
  <c r="AA2959" i="157"/>
  <c r="AA2960" i="157"/>
  <c r="AA2961" i="157"/>
  <c r="AA2962" i="157"/>
  <c r="AA2963" i="157"/>
  <c r="AA2964" i="157"/>
  <c r="AA2965" i="157"/>
  <c r="AA2966" i="157"/>
  <c r="AA2967" i="157"/>
  <c r="AA2968" i="157"/>
  <c r="AA2969" i="157"/>
  <c r="AA2970" i="157"/>
  <c r="AA2971" i="157"/>
  <c r="AA2972" i="157"/>
  <c r="AA2973" i="157"/>
  <c r="AA2974" i="157"/>
  <c r="AA2975" i="157"/>
  <c r="AA2976" i="157"/>
  <c r="AA2977" i="157"/>
  <c r="AA2978" i="157"/>
  <c r="AA2979" i="157"/>
  <c r="AA2980" i="157"/>
  <c r="AA2981" i="157"/>
  <c r="AA2982" i="157"/>
  <c r="AA2983" i="157"/>
  <c r="AA2984" i="157"/>
  <c r="AA2985" i="157"/>
  <c r="AA2986" i="157"/>
  <c r="AA2987" i="157"/>
  <c r="AA2988" i="157"/>
  <c r="AA2989" i="157"/>
  <c r="AA2990" i="157"/>
  <c r="AA2991" i="157"/>
  <c r="AA2992" i="157"/>
  <c r="AA2993" i="157"/>
  <c r="AA2994" i="157"/>
  <c r="AA2995" i="157"/>
  <c r="AA2996" i="157"/>
  <c r="AA2997" i="157"/>
  <c r="AA2998" i="157"/>
  <c r="AA2999" i="157"/>
  <c r="AA3000" i="157"/>
  <c r="AA3001" i="157"/>
  <c r="AA3002" i="157"/>
  <c r="AA3003" i="157"/>
  <c r="AA3004" i="157"/>
  <c r="AA3005" i="157"/>
  <c r="AB9" i="157"/>
  <c r="AB10" i="157"/>
  <c r="AB12" i="157"/>
  <c r="AB13" i="157"/>
  <c r="AB14" i="157"/>
  <c r="AB16" i="157"/>
  <c r="AB17" i="157"/>
  <c r="AB18" i="157"/>
  <c r="AB20" i="157"/>
  <c r="AD20" i="157" s="1"/>
  <c r="AB21" i="157"/>
  <c r="AB22" i="157"/>
  <c r="AB25" i="157"/>
  <c r="AB26" i="157"/>
  <c r="AB28" i="157"/>
  <c r="AB29" i="157"/>
  <c r="AB30" i="157"/>
  <c r="AB32" i="157"/>
  <c r="AB33" i="157"/>
  <c r="AB34" i="157"/>
  <c r="AB36" i="157"/>
  <c r="AD36" i="157" s="1"/>
  <c r="AB37" i="157"/>
  <c r="AB38" i="157"/>
  <c r="AB41" i="157"/>
  <c r="AB42" i="157"/>
  <c r="AB44" i="157"/>
  <c r="AB45" i="157"/>
  <c r="AB46" i="157"/>
  <c r="AB48" i="157"/>
  <c r="AB49" i="157"/>
  <c r="AB50" i="157"/>
  <c r="AB52" i="157"/>
  <c r="AD52" i="157" s="1"/>
  <c r="AB53" i="157"/>
  <c r="AB54" i="157"/>
  <c r="AB57" i="157"/>
  <c r="AB58" i="157"/>
  <c r="AB60" i="157"/>
  <c r="AB61" i="157"/>
  <c r="AB62" i="157"/>
  <c r="AB64" i="157"/>
  <c r="AB65" i="157"/>
  <c r="AB66" i="157"/>
  <c r="AB68" i="157"/>
  <c r="AB69" i="157"/>
  <c r="AB70" i="157"/>
  <c r="AB73" i="157"/>
  <c r="AB74" i="157"/>
  <c r="AB76" i="157"/>
  <c r="AB77" i="157"/>
  <c r="AB78" i="157"/>
  <c r="AB80" i="157"/>
  <c r="AB81" i="157"/>
  <c r="AB82" i="157"/>
  <c r="AB84" i="157"/>
  <c r="AB85" i="157"/>
  <c r="AB86" i="157"/>
  <c r="AB89" i="157"/>
  <c r="AB90" i="157"/>
  <c r="AB92" i="157"/>
  <c r="AB93" i="157"/>
  <c r="AB94" i="157"/>
  <c r="AB96" i="157"/>
  <c r="AB97" i="157"/>
  <c r="AB98" i="157"/>
  <c r="AB100" i="157"/>
  <c r="AD100" i="157" s="1"/>
  <c r="AB101" i="157"/>
  <c r="AB102" i="157"/>
  <c r="AB105" i="157"/>
  <c r="AB106" i="157"/>
  <c r="AB108" i="157"/>
  <c r="AB109" i="157"/>
  <c r="AB110" i="157"/>
  <c r="AB112" i="157"/>
  <c r="AB113" i="157"/>
  <c r="AB114" i="157"/>
  <c r="AB116" i="157"/>
  <c r="AD116" i="157" s="1"/>
  <c r="AB117" i="157"/>
  <c r="AB118" i="157"/>
  <c r="AB121" i="157"/>
  <c r="AB122" i="157"/>
  <c r="AB124" i="157"/>
  <c r="AB125" i="157"/>
  <c r="AB126" i="157"/>
  <c r="AB128" i="157"/>
  <c r="AB129" i="157"/>
  <c r="AB130" i="157"/>
  <c r="AB132" i="157"/>
  <c r="AB133" i="157"/>
  <c r="AB134" i="157"/>
  <c r="AB137" i="157"/>
  <c r="AB138" i="157"/>
  <c r="AB140" i="157"/>
  <c r="AB141" i="157"/>
  <c r="AB142" i="157"/>
  <c r="AB144" i="157"/>
  <c r="AB145" i="157"/>
  <c r="AB146" i="157"/>
  <c r="AB148" i="157"/>
  <c r="AB149" i="157"/>
  <c r="AB150" i="157"/>
  <c r="AB153" i="157"/>
  <c r="AB154" i="157"/>
  <c r="AB156" i="157"/>
  <c r="AB157" i="157"/>
  <c r="AB158" i="157"/>
  <c r="AB160" i="157"/>
  <c r="AB161" i="157"/>
  <c r="AB162" i="157"/>
  <c r="AB164" i="157"/>
  <c r="AB165" i="157"/>
  <c r="AB166" i="157"/>
  <c r="AB169" i="157"/>
  <c r="AB170" i="157"/>
  <c r="AB172" i="157"/>
  <c r="AB173" i="157"/>
  <c r="AB174" i="157"/>
  <c r="AB176" i="157"/>
  <c r="AB177" i="157"/>
  <c r="AB178" i="157"/>
  <c r="AB180" i="157"/>
  <c r="AD180" i="157" s="1"/>
  <c r="AB181" i="157"/>
  <c r="AB182" i="157"/>
  <c r="AB185" i="157"/>
  <c r="AB186" i="157"/>
  <c r="AB188" i="157"/>
  <c r="AB189" i="157"/>
  <c r="AB190" i="157"/>
  <c r="AB192" i="157"/>
  <c r="AB193" i="157"/>
  <c r="AB194" i="157"/>
  <c r="AB196" i="157"/>
  <c r="AB197" i="157"/>
  <c r="AB198" i="157"/>
  <c r="AB201" i="157"/>
  <c r="AB202" i="157"/>
  <c r="AB204" i="157"/>
  <c r="AB205" i="157"/>
  <c r="AB206" i="157"/>
  <c r="AB208" i="157"/>
  <c r="AB209" i="157"/>
  <c r="AB210" i="157"/>
  <c r="AB212" i="157"/>
  <c r="AD212" i="157" s="1"/>
  <c r="AB213" i="157"/>
  <c r="AB214" i="157"/>
  <c r="AB217" i="157"/>
  <c r="AB218" i="157"/>
  <c r="AB220" i="157"/>
  <c r="AB221" i="157"/>
  <c r="AB222" i="157"/>
  <c r="AB224" i="157"/>
  <c r="AB225" i="157"/>
  <c r="AB226" i="157"/>
  <c r="AB228" i="157"/>
  <c r="AD228" i="157" s="1"/>
  <c r="AB229" i="157"/>
  <c r="AB230" i="157"/>
  <c r="AB233" i="157"/>
  <c r="AB234" i="157"/>
  <c r="AB236" i="157"/>
  <c r="AB237" i="157"/>
  <c r="AB238" i="157"/>
  <c r="AB240" i="157"/>
  <c r="AB241" i="157"/>
  <c r="AB242" i="157"/>
  <c r="AB244" i="157"/>
  <c r="AD244" i="157" s="1"/>
  <c r="AB245" i="157"/>
  <c r="AB246" i="157"/>
  <c r="AB249" i="157"/>
  <c r="AB250" i="157"/>
  <c r="AB252" i="157"/>
  <c r="AB253" i="157"/>
  <c r="AB254" i="157"/>
  <c r="AB256" i="157"/>
  <c r="AB257" i="157"/>
  <c r="AB258" i="157"/>
  <c r="AB260" i="157"/>
  <c r="AB261" i="157"/>
  <c r="AB262" i="157"/>
  <c r="AB265" i="157"/>
  <c r="AB266" i="157"/>
  <c r="AB268" i="157"/>
  <c r="AB269" i="157"/>
  <c r="AB270" i="157"/>
  <c r="AB272" i="157"/>
  <c r="AB273" i="157"/>
  <c r="AB274" i="157"/>
  <c r="AB276" i="157"/>
  <c r="AD276" i="157" s="1"/>
  <c r="AB277" i="157"/>
  <c r="AB278" i="157"/>
  <c r="AB281" i="157"/>
  <c r="AB282" i="157"/>
  <c r="AB284" i="157"/>
  <c r="AB285" i="157"/>
  <c r="AB286" i="157"/>
  <c r="AB288" i="157"/>
  <c r="AB289" i="157"/>
  <c r="AB290" i="157"/>
  <c r="AB292" i="157"/>
  <c r="AD292" i="157" s="1"/>
  <c r="AB293" i="157"/>
  <c r="AB294" i="157"/>
  <c r="AB297" i="157"/>
  <c r="AB298" i="157"/>
  <c r="AB300" i="157"/>
  <c r="AB301" i="157"/>
  <c r="AB302" i="157"/>
  <c r="AB304" i="157"/>
  <c r="AB305" i="157"/>
  <c r="AB306" i="157"/>
  <c r="AB308" i="157"/>
  <c r="AD308" i="157" s="1"/>
  <c r="AB309" i="157"/>
  <c r="AB310" i="157"/>
  <c r="AB313" i="157"/>
  <c r="AB314" i="157"/>
  <c r="AB316" i="157"/>
  <c r="AB317" i="157"/>
  <c r="AB318" i="157"/>
  <c r="AB320" i="157"/>
  <c r="AB321" i="157"/>
  <c r="AB322" i="157"/>
  <c r="AB324" i="157"/>
  <c r="AB325" i="157"/>
  <c r="AB326" i="157"/>
  <c r="AB329" i="157"/>
  <c r="AB330" i="157"/>
  <c r="AB332" i="157"/>
  <c r="AB333" i="157"/>
  <c r="AB334" i="157"/>
  <c r="AB336" i="157"/>
  <c r="AB337" i="157"/>
  <c r="AB338" i="157"/>
  <c r="AB340" i="157"/>
  <c r="AB341" i="157"/>
  <c r="AB342" i="157"/>
  <c r="AB345" i="157"/>
  <c r="AB346" i="157"/>
  <c r="AB348" i="157"/>
  <c r="AB349" i="157"/>
  <c r="AB350" i="157"/>
  <c r="AB352" i="157"/>
  <c r="AB353" i="157"/>
  <c r="AB354" i="157"/>
  <c r="AB356" i="157"/>
  <c r="AB357" i="157"/>
  <c r="AB358" i="157"/>
  <c r="AB361" i="157"/>
  <c r="AB362" i="157"/>
  <c r="AB364" i="157"/>
  <c r="AB365" i="157"/>
  <c r="AB366" i="157"/>
  <c r="AB368" i="157"/>
  <c r="AB369" i="157"/>
  <c r="AB370" i="157"/>
  <c r="AB372" i="157"/>
  <c r="AD372" i="157" s="1"/>
  <c r="AB373" i="157"/>
  <c r="AB374" i="157"/>
  <c r="AB377" i="157"/>
  <c r="AB378" i="157"/>
  <c r="AB380" i="157"/>
  <c r="AB381" i="157"/>
  <c r="AB382" i="157"/>
  <c r="AB384" i="157"/>
  <c r="AB385" i="157"/>
  <c r="AB386" i="157"/>
  <c r="AB388" i="157"/>
  <c r="AD388" i="157" s="1"/>
  <c r="AB389" i="157"/>
  <c r="AB390" i="157"/>
  <c r="AB393" i="157"/>
  <c r="AB394" i="157"/>
  <c r="AB396" i="157"/>
  <c r="AB397" i="157"/>
  <c r="AB398" i="157"/>
  <c r="AB400" i="157"/>
  <c r="AB401" i="157"/>
  <c r="AB402" i="157"/>
  <c r="AB404" i="157"/>
  <c r="AB405" i="157"/>
  <c r="AB406" i="157"/>
  <c r="AB409" i="157"/>
  <c r="AB410" i="157"/>
  <c r="AB412" i="157"/>
  <c r="AB413" i="157"/>
  <c r="AB414" i="157"/>
  <c r="AB416" i="157"/>
  <c r="AB417" i="157"/>
  <c r="AB418" i="157"/>
  <c r="AB420" i="157"/>
  <c r="AD420" i="157" s="1"/>
  <c r="AB421" i="157"/>
  <c r="AB422" i="157"/>
  <c r="AB425" i="157"/>
  <c r="AB426" i="157"/>
  <c r="AB428" i="157"/>
  <c r="AB429" i="157"/>
  <c r="AB430" i="157"/>
  <c r="AD430" i="157" s="1"/>
  <c r="AB432" i="157"/>
  <c r="AB433" i="157"/>
  <c r="AB434" i="157"/>
  <c r="AB436" i="157"/>
  <c r="AD436" i="157" s="1"/>
  <c r="AB437" i="157"/>
  <c r="AB438" i="157"/>
  <c r="AB441" i="157"/>
  <c r="AB442" i="157"/>
  <c r="AB444" i="157"/>
  <c r="AB445" i="157"/>
  <c r="AB446" i="157"/>
  <c r="AB448" i="157"/>
  <c r="AB449" i="157"/>
  <c r="AB450" i="157"/>
  <c r="AB452" i="157"/>
  <c r="AD452" i="157" s="1"/>
  <c r="AB453" i="157"/>
  <c r="AB454" i="157"/>
  <c r="AB457" i="157"/>
  <c r="AB458" i="157"/>
  <c r="AB460" i="157"/>
  <c r="AB461" i="157"/>
  <c r="AB462" i="157"/>
  <c r="AB464" i="157"/>
  <c r="AB465" i="157"/>
  <c r="AB466" i="157"/>
  <c r="AB468" i="157"/>
  <c r="AD468" i="157" s="1"/>
  <c r="AB469" i="157"/>
  <c r="AB470" i="157"/>
  <c r="AB473" i="157"/>
  <c r="AB474" i="157"/>
  <c r="AB476" i="157"/>
  <c r="AB477" i="157"/>
  <c r="AB478" i="157"/>
  <c r="AB480" i="157"/>
  <c r="AB481" i="157"/>
  <c r="AB482" i="157"/>
  <c r="AB484" i="157"/>
  <c r="AB485" i="157"/>
  <c r="AB486" i="157"/>
  <c r="AB489" i="157"/>
  <c r="AB490" i="157"/>
  <c r="AB492" i="157"/>
  <c r="AB493" i="157"/>
  <c r="AB494" i="157"/>
  <c r="AB496" i="157"/>
  <c r="AB497" i="157"/>
  <c r="AB498" i="157"/>
  <c r="AB500" i="157"/>
  <c r="AD500" i="157" s="1"/>
  <c r="AB501" i="157"/>
  <c r="AB502" i="157"/>
  <c r="AB505" i="157"/>
  <c r="AB506" i="157"/>
  <c r="AB508" i="157"/>
  <c r="AB509" i="157"/>
  <c r="AB510" i="157"/>
  <c r="AB512" i="157"/>
  <c r="AB513" i="157"/>
  <c r="AB514" i="157"/>
  <c r="AB516" i="157"/>
  <c r="AD516" i="157" s="1"/>
  <c r="AB517" i="157"/>
  <c r="AB518" i="157"/>
  <c r="AB521" i="157"/>
  <c r="AB522" i="157"/>
  <c r="AB524" i="157"/>
  <c r="AB525" i="157"/>
  <c r="AB526" i="157"/>
  <c r="AB528" i="157"/>
  <c r="AB529" i="157"/>
  <c r="AB530" i="157"/>
  <c r="AB532" i="157"/>
  <c r="AB533" i="157"/>
  <c r="AB534" i="157"/>
  <c r="AB537" i="157"/>
  <c r="AB538" i="157"/>
  <c r="AB540" i="157"/>
  <c r="AB541" i="157"/>
  <c r="AB542" i="157"/>
  <c r="AB544" i="157"/>
  <c r="AB545" i="157"/>
  <c r="AB546" i="157"/>
  <c r="AB548" i="157"/>
  <c r="AB549" i="157"/>
  <c r="AB550" i="157"/>
  <c r="AB553" i="157"/>
  <c r="AB554" i="157"/>
  <c r="AB556" i="157"/>
  <c r="AB557" i="157"/>
  <c r="AB558" i="157"/>
  <c r="AB560" i="157"/>
  <c r="AB561" i="157"/>
  <c r="AB562" i="157"/>
  <c r="AB564" i="157"/>
  <c r="AD564" i="157" s="1"/>
  <c r="AB565" i="157"/>
  <c r="AB566" i="157"/>
  <c r="AB569" i="157"/>
  <c r="AB570" i="157"/>
  <c r="AB572" i="157"/>
  <c r="AB573" i="157"/>
  <c r="AB574" i="157"/>
  <c r="AB576" i="157"/>
  <c r="AB577" i="157"/>
  <c r="AB578" i="157"/>
  <c r="AB580" i="157"/>
  <c r="AD580" i="157" s="1"/>
  <c r="AB581" i="157"/>
  <c r="AB582" i="157"/>
  <c r="AB584" i="157"/>
  <c r="AB585" i="157"/>
  <c r="AB586" i="157"/>
  <c r="AB588" i="157"/>
  <c r="AB589" i="157"/>
  <c r="AB590" i="157"/>
  <c r="AB592" i="157"/>
  <c r="AB593" i="157"/>
  <c r="AB594" i="157"/>
  <c r="AB596" i="157"/>
  <c r="AD596" i="157" s="1"/>
  <c r="AB597" i="157"/>
  <c r="AB598" i="157"/>
  <c r="AB600" i="157"/>
  <c r="AB601" i="157"/>
  <c r="AB602" i="157"/>
  <c r="AB604" i="157"/>
  <c r="AB605" i="157"/>
  <c r="AB606" i="157"/>
  <c r="AB608" i="157"/>
  <c r="AB609" i="157"/>
  <c r="AB610" i="157"/>
  <c r="AB612" i="157"/>
  <c r="AD612" i="157" s="1"/>
  <c r="AB613" i="157"/>
  <c r="AB614" i="157"/>
  <c r="AB616" i="157"/>
  <c r="AB617" i="157"/>
  <c r="AB618" i="157"/>
  <c r="AB620" i="157"/>
  <c r="AB621" i="157"/>
  <c r="AB622" i="157"/>
  <c r="AB624" i="157"/>
  <c r="AB625" i="157"/>
  <c r="AB626" i="157"/>
  <c r="AB628" i="157"/>
  <c r="AD628" i="157" s="1"/>
  <c r="AB629" i="157"/>
  <c r="AB630" i="157"/>
  <c r="AB632" i="157"/>
  <c r="AB633" i="157"/>
  <c r="AB634" i="157"/>
  <c r="AB636" i="157"/>
  <c r="AB637" i="157"/>
  <c r="AB638" i="157"/>
  <c r="AB640" i="157"/>
  <c r="AB641" i="157"/>
  <c r="AB642" i="157"/>
  <c r="AB644" i="157"/>
  <c r="AD644" i="157" s="1"/>
  <c r="AB645" i="157"/>
  <c r="AB646" i="157"/>
  <c r="AB648" i="157"/>
  <c r="AB649" i="157"/>
  <c r="AB650" i="157"/>
  <c r="AB652" i="157"/>
  <c r="AB653" i="157"/>
  <c r="AB654" i="157"/>
  <c r="AB656" i="157"/>
  <c r="AB657" i="157"/>
  <c r="AB658" i="157"/>
  <c r="AB660" i="157"/>
  <c r="AD660" i="157" s="1"/>
  <c r="AB661" i="157"/>
  <c r="AB662" i="157"/>
  <c r="AB664" i="157"/>
  <c r="AB665" i="157"/>
  <c r="AB666" i="157"/>
  <c r="AB668" i="157"/>
  <c r="AB669" i="157"/>
  <c r="AB670" i="157"/>
  <c r="AB672" i="157"/>
  <c r="AB673" i="157"/>
  <c r="AB674" i="157"/>
  <c r="AB676" i="157"/>
  <c r="AB677" i="157"/>
  <c r="AB678" i="157"/>
  <c r="AB680" i="157"/>
  <c r="AB681" i="157"/>
  <c r="AB682" i="157"/>
  <c r="AB684" i="157"/>
  <c r="AB685" i="157"/>
  <c r="AB686" i="157"/>
  <c r="AB688" i="157"/>
  <c r="AB689" i="157"/>
  <c r="AB690" i="157"/>
  <c r="AB691" i="157"/>
  <c r="AD691" i="157" s="1"/>
  <c r="AB692" i="157"/>
  <c r="AB693" i="157"/>
  <c r="AB694" i="157"/>
  <c r="AB695" i="157"/>
  <c r="AD695" i="157" s="1"/>
  <c r="AB696" i="157"/>
  <c r="AB697" i="157"/>
  <c r="AB698" i="157"/>
  <c r="AB699" i="157"/>
  <c r="AD699" i="157" s="1"/>
  <c r="AB700" i="157"/>
  <c r="AB701" i="157"/>
  <c r="AB702" i="157"/>
  <c r="AB703" i="157"/>
  <c r="AD703" i="157" s="1"/>
  <c r="AB704" i="157"/>
  <c r="AB705" i="157"/>
  <c r="AB706" i="157"/>
  <c r="AB707" i="157"/>
  <c r="AD707" i="157" s="1"/>
  <c r="AB708" i="157"/>
  <c r="AB709" i="157"/>
  <c r="AB710" i="157"/>
  <c r="AB711" i="157"/>
  <c r="AD711" i="157" s="1"/>
  <c r="AB712" i="157"/>
  <c r="AB713" i="157"/>
  <c r="AB714" i="157"/>
  <c r="AB715" i="157"/>
  <c r="AD715" i="157" s="1"/>
  <c r="AB716" i="157"/>
  <c r="AB717" i="157"/>
  <c r="AB718" i="157"/>
  <c r="AB719" i="157"/>
  <c r="AD719" i="157" s="1"/>
  <c r="AB720" i="157"/>
  <c r="AB721" i="157"/>
  <c r="AB722" i="157"/>
  <c r="AB723" i="157"/>
  <c r="AD723" i="157" s="1"/>
  <c r="AB724" i="157"/>
  <c r="AB725" i="157"/>
  <c r="AB726" i="157"/>
  <c r="AB727" i="157"/>
  <c r="AD727" i="157" s="1"/>
  <c r="AB728" i="157"/>
  <c r="AB729" i="157"/>
  <c r="AB730" i="157"/>
  <c r="AB731" i="157"/>
  <c r="AD731" i="157" s="1"/>
  <c r="AB732" i="157"/>
  <c r="AB733" i="157"/>
  <c r="AB734" i="157"/>
  <c r="AB735" i="157"/>
  <c r="AD735" i="157" s="1"/>
  <c r="AB736" i="157"/>
  <c r="AB737" i="157"/>
  <c r="AB738" i="157"/>
  <c r="AB739" i="157"/>
  <c r="AD739" i="157" s="1"/>
  <c r="AB740" i="157"/>
  <c r="AB741" i="157"/>
  <c r="AB742" i="157"/>
  <c r="AB743" i="157"/>
  <c r="AD743" i="157" s="1"/>
  <c r="AB744" i="157"/>
  <c r="AB745" i="157"/>
  <c r="AB746" i="157"/>
  <c r="AB747" i="157"/>
  <c r="AB748" i="157"/>
  <c r="AB749" i="157"/>
  <c r="AB750" i="157"/>
  <c r="AB751" i="157"/>
  <c r="AD751" i="157" s="1"/>
  <c r="AB752" i="157"/>
  <c r="AB753" i="157"/>
  <c r="AB754" i="157"/>
  <c r="AB755" i="157"/>
  <c r="AB756" i="157"/>
  <c r="AB757" i="157"/>
  <c r="AB758" i="157"/>
  <c r="AB759" i="157"/>
  <c r="AD759" i="157" s="1"/>
  <c r="AB760" i="157"/>
  <c r="AB761" i="157"/>
  <c r="AB762" i="157"/>
  <c r="AB763" i="157"/>
  <c r="AD763" i="157" s="1"/>
  <c r="AB764" i="157"/>
  <c r="AB765" i="157"/>
  <c r="AB766" i="157"/>
  <c r="AB767" i="157"/>
  <c r="AD767" i="157" s="1"/>
  <c r="AB768" i="157"/>
  <c r="AB769" i="157"/>
  <c r="AB770" i="157"/>
  <c r="AB771" i="157"/>
  <c r="AD771" i="157" s="1"/>
  <c r="AB772" i="157"/>
  <c r="AB773" i="157"/>
  <c r="AB774" i="157"/>
  <c r="AB775" i="157"/>
  <c r="AD775" i="157" s="1"/>
  <c r="AB776" i="157"/>
  <c r="AB777" i="157"/>
  <c r="AB778" i="157"/>
  <c r="AB779" i="157"/>
  <c r="AD779" i="157" s="1"/>
  <c r="AB780" i="157"/>
  <c r="AB781" i="157"/>
  <c r="AB782" i="157"/>
  <c r="AB783" i="157"/>
  <c r="AD783" i="157" s="1"/>
  <c r="AB784" i="157"/>
  <c r="AB785" i="157"/>
  <c r="AB786" i="157"/>
  <c r="AB787" i="157"/>
  <c r="AD787" i="157" s="1"/>
  <c r="AB788" i="157"/>
  <c r="AB789" i="157"/>
  <c r="AB790" i="157"/>
  <c r="AB791" i="157"/>
  <c r="AB792" i="157"/>
  <c r="AB793" i="157"/>
  <c r="AB794" i="157"/>
  <c r="AB795" i="157"/>
  <c r="AD795" i="157" s="1"/>
  <c r="AB796" i="157"/>
  <c r="AB797" i="157"/>
  <c r="AB798" i="157"/>
  <c r="AB799" i="157"/>
  <c r="AD799" i="157" s="1"/>
  <c r="AB800" i="157"/>
  <c r="AB801" i="157"/>
  <c r="AB802" i="157"/>
  <c r="AB803" i="157"/>
  <c r="AD803" i="157" s="1"/>
  <c r="AB804" i="157"/>
  <c r="AB805" i="157"/>
  <c r="AB806" i="157"/>
  <c r="AB807" i="157"/>
  <c r="AD807" i="157" s="1"/>
  <c r="AB808" i="157"/>
  <c r="AB809" i="157"/>
  <c r="AB810" i="157"/>
  <c r="AB811" i="157"/>
  <c r="AD811" i="157" s="1"/>
  <c r="AB812" i="157"/>
  <c r="AB813" i="157"/>
  <c r="AB814" i="157"/>
  <c r="AB815" i="157"/>
  <c r="AB816" i="157"/>
  <c r="AB817" i="157"/>
  <c r="AB818" i="157"/>
  <c r="AB819" i="157"/>
  <c r="AD819" i="157" s="1"/>
  <c r="AB820" i="157"/>
  <c r="AB821" i="157"/>
  <c r="AB822" i="157"/>
  <c r="AB823" i="157"/>
  <c r="AB824" i="157"/>
  <c r="AB825" i="157"/>
  <c r="AB826" i="157"/>
  <c r="AB827" i="157"/>
  <c r="AD827" i="157" s="1"/>
  <c r="AB828" i="157"/>
  <c r="AB829" i="157"/>
  <c r="AB830" i="157"/>
  <c r="AB831" i="157"/>
  <c r="AD831" i="157" s="1"/>
  <c r="AB832" i="157"/>
  <c r="AB833" i="157"/>
  <c r="AB834" i="157"/>
  <c r="AB835" i="157"/>
  <c r="AD835" i="157" s="1"/>
  <c r="AB836" i="157"/>
  <c r="AB837" i="157"/>
  <c r="AB838" i="157"/>
  <c r="AB839" i="157"/>
  <c r="AD839" i="157" s="1"/>
  <c r="AB840" i="157"/>
  <c r="AB841" i="157"/>
  <c r="AB842" i="157"/>
  <c r="AB843" i="157"/>
  <c r="AD843" i="157" s="1"/>
  <c r="AB844" i="157"/>
  <c r="AB845" i="157"/>
  <c r="AB846" i="157"/>
  <c r="AB847" i="157"/>
  <c r="AD847" i="157" s="1"/>
  <c r="AB848" i="157"/>
  <c r="AB849" i="157"/>
  <c r="AB850" i="157"/>
  <c r="AB851" i="157"/>
  <c r="AD851" i="157" s="1"/>
  <c r="AB852" i="157"/>
  <c r="AB853" i="157"/>
  <c r="AB854" i="157"/>
  <c r="AB855" i="157"/>
  <c r="AD855" i="157" s="1"/>
  <c r="AB856" i="157"/>
  <c r="AB857" i="157"/>
  <c r="AB858" i="157"/>
  <c r="AB859" i="157"/>
  <c r="AD859" i="157" s="1"/>
  <c r="AB860" i="157"/>
  <c r="AB861" i="157"/>
  <c r="AB862" i="157"/>
  <c r="AB863" i="157"/>
  <c r="AB864" i="157"/>
  <c r="AB865" i="157"/>
  <c r="AB866" i="157"/>
  <c r="AB867" i="157"/>
  <c r="AD867" i="157" s="1"/>
  <c r="AB868" i="157"/>
  <c r="AB869" i="157"/>
  <c r="AB870" i="157"/>
  <c r="AB871" i="157"/>
  <c r="AD871" i="157" s="1"/>
  <c r="AB872" i="157"/>
  <c r="AB873" i="157"/>
  <c r="AB874" i="157"/>
  <c r="AB875" i="157"/>
  <c r="AD875" i="157" s="1"/>
  <c r="AB876" i="157"/>
  <c r="AB877" i="157"/>
  <c r="AB878" i="157"/>
  <c r="AB879" i="157"/>
  <c r="AD879" i="157" s="1"/>
  <c r="AB880" i="157"/>
  <c r="AB881" i="157"/>
  <c r="AB882" i="157"/>
  <c r="AB883" i="157"/>
  <c r="AD883" i="157" s="1"/>
  <c r="AB884" i="157"/>
  <c r="AB885" i="157"/>
  <c r="AB886" i="157"/>
  <c r="AB887" i="157"/>
  <c r="AB888" i="157"/>
  <c r="AB889" i="157"/>
  <c r="AB890" i="157"/>
  <c r="AB891" i="157"/>
  <c r="AD891" i="157" s="1"/>
  <c r="AB892" i="157"/>
  <c r="AB893" i="157"/>
  <c r="AB894" i="157"/>
  <c r="AB895" i="157"/>
  <c r="AD895" i="157" s="1"/>
  <c r="AB896" i="157"/>
  <c r="AB897" i="157"/>
  <c r="AB898" i="157"/>
  <c r="AB899" i="157"/>
  <c r="AD899" i="157" s="1"/>
  <c r="AB900" i="157"/>
  <c r="AB901" i="157"/>
  <c r="AB902" i="157"/>
  <c r="AB903" i="157"/>
  <c r="AD903" i="157" s="1"/>
  <c r="AB904" i="157"/>
  <c r="AB905" i="157"/>
  <c r="AB906" i="157"/>
  <c r="AB907" i="157"/>
  <c r="AD907" i="157" s="1"/>
  <c r="AB908" i="157"/>
  <c r="AB909" i="157"/>
  <c r="AB910" i="157"/>
  <c r="AB911" i="157"/>
  <c r="AD911" i="157" s="1"/>
  <c r="AB912" i="157"/>
  <c r="AB913" i="157"/>
  <c r="AB914" i="157"/>
  <c r="AB915" i="157"/>
  <c r="AD915" i="157" s="1"/>
  <c r="AB916" i="157"/>
  <c r="AB917" i="157"/>
  <c r="AB918" i="157"/>
  <c r="AB919" i="157"/>
  <c r="AD919" i="157" s="1"/>
  <c r="AB920" i="157"/>
  <c r="AB921" i="157"/>
  <c r="AB922" i="157"/>
  <c r="AB923" i="157"/>
  <c r="AD923" i="157" s="1"/>
  <c r="AB924" i="157"/>
  <c r="AB925" i="157"/>
  <c r="AB926" i="157"/>
  <c r="AB927" i="157"/>
  <c r="AD927" i="157" s="1"/>
  <c r="AB928" i="157"/>
  <c r="AB929" i="157"/>
  <c r="AB930" i="157"/>
  <c r="AB931" i="157"/>
  <c r="AB932" i="157"/>
  <c r="AB933" i="157"/>
  <c r="AB934" i="157"/>
  <c r="AB935" i="157"/>
  <c r="AD935" i="157" s="1"/>
  <c r="AB936" i="157"/>
  <c r="AB937" i="157"/>
  <c r="AB938" i="157"/>
  <c r="AB939" i="157"/>
  <c r="AD939" i="157" s="1"/>
  <c r="AB940" i="157"/>
  <c r="AB941" i="157"/>
  <c r="AB942" i="157"/>
  <c r="AB943" i="157"/>
  <c r="AD943" i="157" s="1"/>
  <c r="AB944" i="157"/>
  <c r="AB945" i="157"/>
  <c r="AB946" i="157"/>
  <c r="AB947" i="157"/>
  <c r="AD947" i="157" s="1"/>
  <c r="AB948" i="157"/>
  <c r="AB949" i="157"/>
  <c r="AB950" i="157"/>
  <c r="AB951" i="157"/>
  <c r="AD951" i="157" s="1"/>
  <c r="AB952" i="157"/>
  <c r="AB953" i="157"/>
  <c r="AB954" i="157"/>
  <c r="AB955" i="157"/>
  <c r="AB956" i="157"/>
  <c r="AB957" i="157"/>
  <c r="AB958" i="157"/>
  <c r="AB959" i="157"/>
  <c r="AD959" i="157" s="1"/>
  <c r="AB960" i="157"/>
  <c r="AB961" i="157"/>
  <c r="AB962" i="157"/>
  <c r="AB963" i="157"/>
  <c r="AB964" i="157"/>
  <c r="AB965" i="157"/>
  <c r="AB966" i="157"/>
  <c r="AB967" i="157"/>
  <c r="AD967" i="157" s="1"/>
  <c r="AB968" i="157"/>
  <c r="AB969" i="157"/>
  <c r="AB970" i="157"/>
  <c r="AB971" i="157"/>
  <c r="AD971" i="157" s="1"/>
  <c r="AB972" i="157"/>
  <c r="AB973" i="157"/>
  <c r="AB974" i="157"/>
  <c r="AB975" i="157"/>
  <c r="AD975" i="157" s="1"/>
  <c r="AB976" i="157"/>
  <c r="AB977" i="157"/>
  <c r="AB978" i="157"/>
  <c r="AB979" i="157"/>
  <c r="AD979" i="157" s="1"/>
  <c r="AB980" i="157"/>
  <c r="AB981" i="157"/>
  <c r="AB982" i="157"/>
  <c r="AB983" i="157"/>
  <c r="AD983" i="157" s="1"/>
  <c r="AB984" i="157"/>
  <c r="AB985" i="157"/>
  <c r="AB986" i="157"/>
  <c r="AB987" i="157"/>
  <c r="AD987" i="157" s="1"/>
  <c r="AB988" i="157"/>
  <c r="AB989" i="157"/>
  <c r="AB990" i="157"/>
  <c r="AB991" i="157"/>
  <c r="AD991" i="157" s="1"/>
  <c r="AB992" i="157"/>
  <c r="AB993" i="157"/>
  <c r="AB994" i="157"/>
  <c r="AB995" i="157"/>
  <c r="AD995" i="157" s="1"/>
  <c r="AB996" i="157"/>
  <c r="AB997" i="157"/>
  <c r="AB998" i="157"/>
  <c r="AB999" i="157"/>
  <c r="AD999" i="157" s="1"/>
  <c r="AB1000" i="157"/>
  <c r="AB1001" i="157"/>
  <c r="AB1002" i="157"/>
  <c r="AB1003" i="157"/>
  <c r="AD1003" i="157" s="1"/>
  <c r="AB1004" i="157"/>
  <c r="AB1005" i="157"/>
  <c r="AB1006" i="157"/>
  <c r="AB1007" i="157"/>
  <c r="AD1007" i="157" s="1"/>
  <c r="AB1008" i="157"/>
  <c r="AB1009" i="157"/>
  <c r="AB1010" i="157"/>
  <c r="AB1011" i="157"/>
  <c r="AB1012" i="157"/>
  <c r="AB1013" i="157"/>
  <c r="AB1014" i="157"/>
  <c r="AB1015" i="157"/>
  <c r="AD1015" i="157" s="1"/>
  <c r="AB1016" i="157"/>
  <c r="AB1017" i="157"/>
  <c r="AB1018" i="157"/>
  <c r="AB1019" i="157"/>
  <c r="AB1020" i="157"/>
  <c r="AB1021" i="157"/>
  <c r="AB1022" i="157"/>
  <c r="AB1023" i="157"/>
  <c r="AD1023" i="157" s="1"/>
  <c r="AB1024" i="157"/>
  <c r="AB1025" i="157"/>
  <c r="AB1026" i="157"/>
  <c r="AB1027" i="157"/>
  <c r="AD1027" i="157" s="1"/>
  <c r="AB1028" i="157"/>
  <c r="AB1029" i="157"/>
  <c r="AB1030" i="157"/>
  <c r="AB1031" i="157"/>
  <c r="AD1031" i="157" s="1"/>
  <c r="AB1032" i="157"/>
  <c r="AB1033" i="157"/>
  <c r="AB1034" i="157"/>
  <c r="AB1035" i="157"/>
  <c r="AD1035" i="157" s="1"/>
  <c r="AB1036" i="157"/>
  <c r="AB1037" i="157"/>
  <c r="AB1038" i="157"/>
  <c r="AB1039" i="157"/>
  <c r="AD1039" i="157" s="1"/>
  <c r="AB1040" i="157"/>
  <c r="AB1041" i="157"/>
  <c r="AB1042" i="157"/>
  <c r="AB1043" i="157"/>
  <c r="AD1043" i="157" s="1"/>
  <c r="AB1044" i="157"/>
  <c r="AB1045" i="157"/>
  <c r="AB1046" i="157"/>
  <c r="AB1047" i="157"/>
  <c r="AB1048" i="157"/>
  <c r="AB1049" i="157"/>
  <c r="AB1050" i="157"/>
  <c r="AB1051" i="157"/>
  <c r="AD1051" i="157" s="1"/>
  <c r="AB1052" i="157"/>
  <c r="AB1053" i="157"/>
  <c r="AB1054" i="157"/>
  <c r="AB1055" i="157"/>
  <c r="AD1055" i="157" s="1"/>
  <c r="AB1056" i="157"/>
  <c r="AB1057" i="157"/>
  <c r="AB1058" i="157"/>
  <c r="AB1059" i="157"/>
  <c r="AD1059" i="157" s="1"/>
  <c r="AB1060" i="157"/>
  <c r="AB1061" i="157"/>
  <c r="AB1062" i="157"/>
  <c r="AB1063" i="157"/>
  <c r="AD1063" i="157" s="1"/>
  <c r="AB1064" i="157"/>
  <c r="AB1065" i="157"/>
  <c r="AB1066" i="157"/>
  <c r="AB1067" i="157"/>
  <c r="AD1067" i="157" s="1"/>
  <c r="AB1068" i="157"/>
  <c r="AB1069" i="157"/>
  <c r="AB1070" i="157"/>
  <c r="AB1071" i="157"/>
  <c r="AD1071" i="157" s="1"/>
  <c r="AB1072" i="157"/>
  <c r="AB1073" i="157"/>
  <c r="AB1074" i="157"/>
  <c r="AB1075" i="157"/>
  <c r="AD1075" i="157" s="1"/>
  <c r="AB1076" i="157"/>
  <c r="AB1077" i="157"/>
  <c r="AB1078" i="157"/>
  <c r="AB1079" i="157"/>
  <c r="AB1080" i="157"/>
  <c r="AB1081" i="157"/>
  <c r="AB1082" i="157"/>
  <c r="AB1083" i="157"/>
  <c r="AD1083" i="157" s="1"/>
  <c r="AB1084" i="157"/>
  <c r="AB1085" i="157"/>
  <c r="AB1086" i="157"/>
  <c r="AB1087" i="157"/>
  <c r="AD1087" i="157" s="1"/>
  <c r="AB1088" i="157"/>
  <c r="AB1089" i="157"/>
  <c r="AB1090" i="157"/>
  <c r="AB1091" i="157"/>
  <c r="AD1091" i="157" s="1"/>
  <c r="AB1092" i="157"/>
  <c r="AB1093" i="157"/>
  <c r="AB1094" i="157"/>
  <c r="AB1095" i="157"/>
  <c r="AD1095" i="157" s="1"/>
  <c r="AB1096" i="157"/>
  <c r="AB1097" i="157"/>
  <c r="AB1098" i="157"/>
  <c r="AB1099" i="157"/>
  <c r="AB1100" i="157"/>
  <c r="AB1101" i="157"/>
  <c r="AB1102" i="157"/>
  <c r="AB1103" i="157"/>
  <c r="AD1103" i="157" s="1"/>
  <c r="AB1104" i="157"/>
  <c r="AB1105" i="157"/>
  <c r="AB1106" i="157"/>
  <c r="AB1107" i="157"/>
  <c r="AD1107" i="157" s="1"/>
  <c r="AB1108" i="157"/>
  <c r="AB1109" i="157"/>
  <c r="AB1110" i="157"/>
  <c r="AB1111" i="157"/>
  <c r="AD1111" i="157" s="1"/>
  <c r="AB1112" i="157"/>
  <c r="AB1113" i="157"/>
  <c r="AB1114" i="157"/>
  <c r="AB1115" i="157"/>
  <c r="AD1115" i="157" s="1"/>
  <c r="AB1116" i="157"/>
  <c r="AB1117" i="157"/>
  <c r="AB1118" i="157"/>
  <c r="AB1119" i="157"/>
  <c r="AD1119" i="157" s="1"/>
  <c r="AB1120" i="157"/>
  <c r="AB1121" i="157"/>
  <c r="AB1122" i="157"/>
  <c r="AB1123" i="157"/>
  <c r="AD1123" i="157" s="1"/>
  <c r="AB1124" i="157"/>
  <c r="AB1125" i="157"/>
  <c r="AB1126" i="157"/>
  <c r="AB1127" i="157"/>
  <c r="AB1128" i="157"/>
  <c r="AB1129" i="157"/>
  <c r="AB1130" i="157"/>
  <c r="AB1131" i="157"/>
  <c r="AD1131" i="157" s="1"/>
  <c r="AB1132" i="157"/>
  <c r="AD1132" i="157" s="1"/>
  <c r="AB1133" i="157"/>
  <c r="AB1134" i="157"/>
  <c r="AB1135" i="157"/>
  <c r="AD1135" i="157" s="1"/>
  <c r="AB1136" i="157"/>
  <c r="AD1136" i="157" s="1"/>
  <c r="AB1137" i="157"/>
  <c r="AB1138" i="157"/>
  <c r="AB1139" i="157"/>
  <c r="AB1140" i="157"/>
  <c r="AD1140" i="157" s="1"/>
  <c r="AB1141" i="157"/>
  <c r="AB1142" i="157"/>
  <c r="AB1143" i="157"/>
  <c r="AD1143" i="157" s="1"/>
  <c r="AB1144" i="157"/>
  <c r="AD1144" i="157" s="1"/>
  <c r="AB1145" i="157"/>
  <c r="AB1146" i="157"/>
  <c r="AB1147" i="157"/>
  <c r="AD1147" i="157" s="1"/>
  <c r="AB1148" i="157"/>
  <c r="AD1148" i="157" s="1"/>
  <c r="AB1149" i="157"/>
  <c r="AB1150" i="157"/>
  <c r="AB1151" i="157"/>
  <c r="AD1151" i="157" s="1"/>
  <c r="AB1152" i="157"/>
  <c r="AD1152" i="157" s="1"/>
  <c r="AB1153" i="157"/>
  <c r="AB1154" i="157"/>
  <c r="AB1155" i="157"/>
  <c r="AD1155" i="157" s="1"/>
  <c r="AB1156" i="157"/>
  <c r="AD1156" i="157" s="1"/>
  <c r="AB1157" i="157"/>
  <c r="AB1158" i="157"/>
  <c r="AB1159" i="157"/>
  <c r="AD1159" i="157" s="1"/>
  <c r="AB1160" i="157"/>
  <c r="AD1160" i="157" s="1"/>
  <c r="AB1161" i="157"/>
  <c r="AB1162" i="157"/>
  <c r="AB1163" i="157"/>
  <c r="AD1163" i="157" s="1"/>
  <c r="AB1164" i="157"/>
  <c r="AB1165" i="157"/>
  <c r="AB1166" i="157"/>
  <c r="AB1167" i="157"/>
  <c r="AD1167" i="157" s="1"/>
  <c r="AB1168" i="157"/>
  <c r="AD1168" i="157" s="1"/>
  <c r="AB1169" i="157"/>
  <c r="AB1170" i="157"/>
  <c r="AB1171" i="157"/>
  <c r="AD1171" i="157" s="1"/>
  <c r="AB1172" i="157"/>
  <c r="AD1172" i="157" s="1"/>
  <c r="AB1173" i="157"/>
  <c r="AB1174" i="157"/>
  <c r="AB1175" i="157"/>
  <c r="AB1176" i="157"/>
  <c r="AD1176" i="157" s="1"/>
  <c r="AB1177" i="157"/>
  <c r="AB1178" i="157"/>
  <c r="AB1179" i="157"/>
  <c r="AD1179" i="157" s="1"/>
  <c r="AB1180" i="157"/>
  <c r="AD1180" i="157" s="1"/>
  <c r="AB1181" i="157"/>
  <c r="AB1182" i="157"/>
  <c r="AB1183" i="157"/>
  <c r="AD1183" i="157" s="1"/>
  <c r="AB1184" i="157"/>
  <c r="AD1184" i="157" s="1"/>
  <c r="AB1185" i="157"/>
  <c r="AB1186" i="157"/>
  <c r="AB1187" i="157"/>
  <c r="AB1188" i="157"/>
  <c r="AD1188" i="157" s="1"/>
  <c r="AB1189" i="157"/>
  <c r="AB1190" i="157"/>
  <c r="AB1191" i="157"/>
  <c r="AD1191" i="157" s="1"/>
  <c r="AB1192" i="157"/>
  <c r="AD1192" i="157" s="1"/>
  <c r="AB1193" i="157"/>
  <c r="AB1194" i="157"/>
  <c r="AB1195" i="157"/>
  <c r="AD1195" i="157" s="1"/>
  <c r="AB1196" i="157"/>
  <c r="AD1196" i="157" s="1"/>
  <c r="AB1197" i="157"/>
  <c r="AB1198" i="157"/>
  <c r="AB1199" i="157"/>
  <c r="AB1200" i="157"/>
  <c r="AD1200" i="157" s="1"/>
  <c r="AB1201" i="157"/>
  <c r="AB1202" i="157"/>
  <c r="AB1203" i="157"/>
  <c r="AD1203" i="157" s="1"/>
  <c r="AB1204" i="157"/>
  <c r="AD1204" i="157" s="1"/>
  <c r="AB1205" i="157"/>
  <c r="AB1206" i="157"/>
  <c r="AB1207" i="157"/>
  <c r="AD1207" i="157" s="1"/>
  <c r="AB1208" i="157"/>
  <c r="AD1208" i="157" s="1"/>
  <c r="AB1209" i="157"/>
  <c r="AB1210" i="157"/>
  <c r="AB1211" i="157"/>
  <c r="AD1211" i="157" s="1"/>
  <c r="AB1212" i="157"/>
  <c r="AD1212" i="157" s="1"/>
  <c r="AB1213" i="157"/>
  <c r="AB1214" i="157"/>
  <c r="AB1215" i="157"/>
  <c r="AB1216" i="157"/>
  <c r="AD1216" i="157" s="1"/>
  <c r="AB1217" i="157"/>
  <c r="AB1218" i="157"/>
  <c r="AB1219" i="157"/>
  <c r="AD1219" i="157" s="1"/>
  <c r="AB1220" i="157"/>
  <c r="AD1220" i="157" s="1"/>
  <c r="AB1221" i="157"/>
  <c r="AB1222" i="157"/>
  <c r="AB1223" i="157"/>
  <c r="AB1224" i="157"/>
  <c r="AD1224" i="157" s="1"/>
  <c r="AB1225" i="157"/>
  <c r="AB1226" i="157"/>
  <c r="AB1227" i="157"/>
  <c r="AD1227" i="157" s="1"/>
  <c r="AB1228" i="157"/>
  <c r="AD1228" i="157" s="1"/>
  <c r="AB1229" i="157"/>
  <c r="AB1230" i="157"/>
  <c r="AB1231" i="157"/>
  <c r="AD1231" i="157" s="1"/>
  <c r="AB1232" i="157"/>
  <c r="AD1232" i="157" s="1"/>
  <c r="AB1233" i="157"/>
  <c r="AB1234" i="157"/>
  <c r="AB1235" i="157"/>
  <c r="AD1235" i="157" s="1"/>
  <c r="AB1236" i="157"/>
  <c r="AD1236" i="157" s="1"/>
  <c r="AB1237" i="157"/>
  <c r="AB1238" i="157"/>
  <c r="AB1239" i="157"/>
  <c r="AD1239" i="157" s="1"/>
  <c r="AB1240" i="157"/>
  <c r="AD1240" i="157" s="1"/>
  <c r="AB1241" i="157"/>
  <c r="AB1242" i="157"/>
  <c r="AB1243" i="157"/>
  <c r="AB1244" i="157"/>
  <c r="AD1244" i="157" s="1"/>
  <c r="AB1245" i="157"/>
  <c r="AB1246" i="157"/>
  <c r="AB1247" i="157"/>
  <c r="AD1247" i="157" s="1"/>
  <c r="AB1248" i="157"/>
  <c r="AD1248" i="157" s="1"/>
  <c r="AB1249" i="157"/>
  <c r="AB1250" i="157"/>
  <c r="AB1251" i="157"/>
  <c r="AD1251" i="157" s="1"/>
  <c r="AB1252" i="157"/>
  <c r="AD1252" i="157" s="1"/>
  <c r="AB1253" i="157"/>
  <c r="AB1254" i="157"/>
  <c r="AB1255" i="157"/>
  <c r="AD1255" i="157" s="1"/>
  <c r="AB1256" i="157"/>
  <c r="AD1256" i="157" s="1"/>
  <c r="AB1257" i="157"/>
  <c r="AB1258" i="157"/>
  <c r="AB1259" i="157"/>
  <c r="AD1259" i="157" s="1"/>
  <c r="AB1260" i="157"/>
  <c r="AD1260" i="157" s="1"/>
  <c r="AB1261" i="157"/>
  <c r="AB1262" i="157"/>
  <c r="AB1263" i="157"/>
  <c r="AD1263" i="157" s="1"/>
  <c r="AB1264" i="157"/>
  <c r="AB1265" i="157"/>
  <c r="AB1266" i="157"/>
  <c r="AB1267" i="157"/>
  <c r="AD1267" i="157" s="1"/>
  <c r="AB1268" i="157"/>
  <c r="AD1268" i="157" s="1"/>
  <c r="AB1269" i="157"/>
  <c r="AB1270" i="157"/>
  <c r="AB1271" i="157"/>
  <c r="AD1271" i="157" s="1"/>
  <c r="AB1272" i="157"/>
  <c r="AD1272" i="157" s="1"/>
  <c r="AB1273" i="157"/>
  <c r="AB1274" i="157"/>
  <c r="AB1275" i="157"/>
  <c r="AB1276" i="157"/>
  <c r="AD1276" i="157" s="1"/>
  <c r="AB1277" i="157"/>
  <c r="AB1278" i="157"/>
  <c r="AB1279" i="157"/>
  <c r="AD1279" i="157" s="1"/>
  <c r="AB1280" i="157"/>
  <c r="AD1280" i="157" s="1"/>
  <c r="AB1281" i="157"/>
  <c r="AB1282" i="157"/>
  <c r="AB1283" i="157"/>
  <c r="AD1283" i="157" s="1"/>
  <c r="AB1284" i="157"/>
  <c r="AD1284" i="157" s="1"/>
  <c r="AB1285" i="157"/>
  <c r="AB1286" i="157"/>
  <c r="AB1287" i="157"/>
  <c r="AD1287" i="157" s="1"/>
  <c r="AB1288" i="157"/>
  <c r="AB1289" i="157"/>
  <c r="AB1290" i="157"/>
  <c r="AB1291" i="157"/>
  <c r="AD1291" i="157" s="1"/>
  <c r="AB1292" i="157"/>
  <c r="AD1292" i="157" s="1"/>
  <c r="AB1293" i="157"/>
  <c r="AB1294" i="157"/>
  <c r="AB1295" i="157"/>
  <c r="AB1296" i="157"/>
  <c r="AD1296" i="157" s="1"/>
  <c r="AB1297" i="157"/>
  <c r="AB1298" i="157"/>
  <c r="AB1299" i="157"/>
  <c r="AD1299" i="157" s="1"/>
  <c r="AB1300" i="157"/>
  <c r="AD1300" i="157" s="1"/>
  <c r="AB1301" i="157"/>
  <c r="AB1302" i="157"/>
  <c r="AB1303" i="157"/>
  <c r="AD1303" i="157" s="1"/>
  <c r="AB1304" i="157"/>
  <c r="AD1304" i="157" s="1"/>
  <c r="AB1305" i="157"/>
  <c r="AB1306" i="157"/>
  <c r="AB1307" i="157"/>
  <c r="AB1308" i="157"/>
  <c r="AD1308" i="157" s="1"/>
  <c r="AB1309" i="157"/>
  <c r="AB1310" i="157"/>
  <c r="AB1311" i="157"/>
  <c r="AD1311" i="157" s="1"/>
  <c r="AB1312" i="157"/>
  <c r="AD1312" i="157" s="1"/>
  <c r="AB1313" i="157"/>
  <c r="AB1314" i="157"/>
  <c r="AB1315" i="157"/>
  <c r="AB1316" i="157"/>
  <c r="AD1316" i="157" s="1"/>
  <c r="AB1317" i="157"/>
  <c r="AB1318" i="157"/>
  <c r="AB1319" i="157"/>
  <c r="AD1319" i="157" s="1"/>
  <c r="AB1320" i="157"/>
  <c r="AD1320" i="157" s="1"/>
  <c r="AB1321" i="157"/>
  <c r="AB1322" i="157"/>
  <c r="AB1323" i="157"/>
  <c r="AB1324" i="157"/>
  <c r="AD1324" i="157" s="1"/>
  <c r="AB1325" i="157"/>
  <c r="AB1326" i="157"/>
  <c r="AB1327" i="157"/>
  <c r="AD1327" i="157" s="1"/>
  <c r="AB1328" i="157"/>
  <c r="AB1329" i="157"/>
  <c r="AB1330" i="157"/>
  <c r="AB1331" i="157"/>
  <c r="AD1331" i="157" s="1"/>
  <c r="AB1332" i="157"/>
  <c r="AD1332" i="157" s="1"/>
  <c r="AB1333" i="157"/>
  <c r="AB1334" i="157"/>
  <c r="AB1335" i="157"/>
  <c r="AD1335" i="157" s="1"/>
  <c r="AB1336" i="157"/>
  <c r="AD1336" i="157" s="1"/>
  <c r="AB1337" i="157"/>
  <c r="AB1338" i="157"/>
  <c r="AB1339" i="157"/>
  <c r="AD1339" i="157" s="1"/>
  <c r="AB1340" i="157"/>
  <c r="AD1340" i="157" s="1"/>
  <c r="AB1341" i="157"/>
  <c r="AB1342" i="157"/>
  <c r="AB1343" i="157"/>
  <c r="AB1344" i="157"/>
  <c r="AD1344" i="157" s="1"/>
  <c r="AB1345" i="157"/>
  <c r="AB1346" i="157"/>
  <c r="AB1347" i="157"/>
  <c r="AD1347" i="157" s="1"/>
  <c r="AB1348" i="157"/>
  <c r="AD1348" i="157" s="1"/>
  <c r="AB1349" i="157"/>
  <c r="AB1350" i="157"/>
  <c r="AB1351" i="157"/>
  <c r="AD1351" i="157" s="1"/>
  <c r="AB1352" i="157"/>
  <c r="AB1353" i="157"/>
  <c r="AB1354" i="157"/>
  <c r="AB1355" i="157"/>
  <c r="AD1355" i="157" s="1"/>
  <c r="AB1356" i="157"/>
  <c r="AD1356" i="157" s="1"/>
  <c r="AB1357" i="157"/>
  <c r="AB1358" i="157"/>
  <c r="AB1359" i="157"/>
  <c r="AD1359" i="157" s="1"/>
  <c r="AB1360" i="157"/>
  <c r="AD1360" i="157" s="1"/>
  <c r="AB1361" i="157"/>
  <c r="AB1362" i="157"/>
  <c r="AB1363" i="157"/>
  <c r="AD1363" i="157" s="1"/>
  <c r="AB1364" i="157"/>
  <c r="AD1364" i="157" s="1"/>
  <c r="AB1365" i="157"/>
  <c r="AB1366" i="157"/>
  <c r="AB1367" i="157"/>
  <c r="AD1367" i="157" s="1"/>
  <c r="AB1368" i="157"/>
  <c r="AD1368" i="157" s="1"/>
  <c r="AB1369" i="157"/>
  <c r="AB1370" i="157"/>
  <c r="AB1371" i="157"/>
  <c r="AB1372" i="157"/>
  <c r="AD1372" i="157" s="1"/>
  <c r="AB1373" i="157"/>
  <c r="AB1374" i="157"/>
  <c r="AB1375" i="157"/>
  <c r="AD1375" i="157" s="1"/>
  <c r="AB1376" i="157"/>
  <c r="AD1376" i="157" s="1"/>
  <c r="AB1377" i="157"/>
  <c r="AB1378" i="157"/>
  <c r="AB1379" i="157"/>
  <c r="AD1379" i="157" s="1"/>
  <c r="AB1380" i="157"/>
  <c r="AB1381" i="157"/>
  <c r="AB1382" i="157"/>
  <c r="AB1383" i="157"/>
  <c r="AD1383" i="157" s="1"/>
  <c r="AB1384" i="157"/>
  <c r="AD1384" i="157" s="1"/>
  <c r="AB1385" i="157"/>
  <c r="AB1386" i="157"/>
  <c r="AB1387" i="157"/>
  <c r="AD1387" i="157" s="1"/>
  <c r="AB1388" i="157"/>
  <c r="AD1388" i="157" s="1"/>
  <c r="AB1389" i="157"/>
  <c r="AB1390" i="157"/>
  <c r="AB1391" i="157"/>
  <c r="AD1391" i="157" s="1"/>
  <c r="AB1392" i="157"/>
  <c r="AD1392" i="157" s="1"/>
  <c r="AB1393" i="157"/>
  <c r="AB1394" i="157"/>
  <c r="AB1395" i="157"/>
  <c r="AB1396" i="157"/>
  <c r="AD1396" i="157" s="1"/>
  <c r="AB1397" i="157"/>
  <c r="AB1398" i="157"/>
  <c r="AB1399" i="157"/>
  <c r="AD1399" i="157" s="1"/>
  <c r="AB1400" i="157"/>
  <c r="AB1401" i="157"/>
  <c r="AB1402" i="157"/>
  <c r="AB1403" i="157"/>
  <c r="AD1403" i="157" s="1"/>
  <c r="AB1404" i="157"/>
  <c r="AD1404" i="157" s="1"/>
  <c r="AB1405" i="157"/>
  <c r="AB1406" i="157"/>
  <c r="AB1407" i="157"/>
  <c r="AD1407" i="157" s="1"/>
  <c r="AB1408" i="157"/>
  <c r="AB1409" i="157"/>
  <c r="AB1410" i="157"/>
  <c r="AB1411" i="157"/>
  <c r="AD1411" i="157" s="1"/>
  <c r="AB1412" i="157"/>
  <c r="AD1412" i="157" s="1"/>
  <c r="AB1413" i="157"/>
  <c r="AB1414" i="157"/>
  <c r="AB1415" i="157"/>
  <c r="AD1415" i="157" s="1"/>
  <c r="AB1416" i="157"/>
  <c r="AD1416" i="157" s="1"/>
  <c r="AB1417" i="157"/>
  <c r="AB1418" i="157"/>
  <c r="AB1419" i="157"/>
  <c r="AD1419" i="157" s="1"/>
  <c r="AB1420" i="157"/>
  <c r="AD1420" i="157" s="1"/>
  <c r="AB1421" i="157"/>
  <c r="AB1422" i="157"/>
  <c r="AB1423" i="157"/>
  <c r="AB1424" i="157"/>
  <c r="AD1424" i="157" s="1"/>
  <c r="AB1425" i="157"/>
  <c r="AB1426" i="157"/>
  <c r="AB1427" i="157"/>
  <c r="AD1427" i="157" s="1"/>
  <c r="AB1428" i="157"/>
  <c r="AB1429" i="157"/>
  <c r="AB1430" i="157"/>
  <c r="AB1431" i="157"/>
  <c r="AD1431" i="157" s="1"/>
  <c r="AB1432" i="157"/>
  <c r="AD1432" i="157" s="1"/>
  <c r="AB1433" i="157"/>
  <c r="AB1434" i="157"/>
  <c r="AB1435" i="157"/>
  <c r="AD1435" i="157" s="1"/>
  <c r="AB1436" i="157"/>
  <c r="AD1436" i="157" s="1"/>
  <c r="AB1437" i="157"/>
  <c r="AB1438" i="157"/>
  <c r="AB1439" i="157"/>
  <c r="AD1439" i="157" s="1"/>
  <c r="AB1440" i="157"/>
  <c r="AD1440" i="157" s="1"/>
  <c r="AB1441" i="157"/>
  <c r="AB1442" i="157"/>
  <c r="AB1443" i="157"/>
  <c r="AB1444" i="157"/>
  <c r="AD1444" i="157" s="1"/>
  <c r="AB1445" i="157"/>
  <c r="AB1446" i="157"/>
  <c r="AB1447" i="157"/>
  <c r="AD1447" i="157" s="1"/>
  <c r="AB1448" i="157"/>
  <c r="AD1448" i="157" s="1"/>
  <c r="AB1449" i="157"/>
  <c r="AB1450" i="157"/>
  <c r="AB1451" i="157"/>
  <c r="AB1452" i="157"/>
  <c r="AD1452" i="157" s="1"/>
  <c r="AB1453" i="157"/>
  <c r="AB1454" i="157"/>
  <c r="AB1455" i="157"/>
  <c r="AD1455" i="157" s="1"/>
  <c r="AB1456" i="157"/>
  <c r="AB1457" i="157"/>
  <c r="AB1458" i="157"/>
  <c r="AB1459" i="157"/>
  <c r="AD1459" i="157" s="1"/>
  <c r="AB1460" i="157"/>
  <c r="AD1460" i="157" s="1"/>
  <c r="AB1461" i="157"/>
  <c r="AB1462" i="157"/>
  <c r="AB1463" i="157"/>
  <c r="AD1463" i="157" s="1"/>
  <c r="AB1464" i="157"/>
  <c r="AD1464" i="157" s="1"/>
  <c r="AB1465" i="157"/>
  <c r="AB1466" i="157"/>
  <c r="AB1467" i="157"/>
  <c r="AD1467" i="157" s="1"/>
  <c r="AB1468" i="157"/>
  <c r="AD1468" i="157" s="1"/>
  <c r="AB1469" i="157"/>
  <c r="AB1470" i="157"/>
  <c r="AB1471" i="157"/>
  <c r="AB1472" i="157"/>
  <c r="AD1472" i="157" s="1"/>
  <c r="AB1473" i="157"/>
  <c r="AB1474" i="157"/>
  <c r="AB1475" i="157"/>
  <c r="AD1475" i="157" s="1"/>
  <c r="AB1476" i="157"/>
  <c r="AD1476" i="157" s="1"/>
  <c r="AB1477" i="157"/>
  <c r="AB1478" i="157"/>
  <c r="AB1479" i="157"/>
  <c r="AD1479" i="157" s="1"/>
  <c r="AB1480" i="157"/>
  <c r="AB1481" i="157"/>
  <c r="AB1482" i="157"/>
  <c r="AB1483" i="157"/>
  <c r="AD1483" i="157" s="1"/>
  <c r="AB1484" i="157"/>
  <c r="AD1484" i="157" s="1"/>
  <c r="AB1485" i="157"/>
  <c r="AB1486" i="157"/>
  <c r="AB1487" i="157"/>
  <c r="AD1487" i="157" s="1"/>
  <c r="AB1488" i="157"/>
  <c r="AD1488" i="157" s="1"/>
  <c r="AB1489" i="157"/>
  <c r="AB1490" i="157"/>
  <c r="AB1491" i="157"/>
  <c r="AD1491" i="157" s="1"/>
  <c r="AB1492" i="157"/>
  <c r="AD1492" i="157" s="1"/>
  <c r="AB1493" i="157"/>
  <c r="AB1494" i="157"/>
  <c r="AB1495" i="157"/>
  <c r="AD1495" i="157" s="1"/>
  <c r="AB1496" i="157"/>
  <c r="AD1496" i="157" s="1"/>
  <c r="AB1497" i="157"/>
  <c r="AB1498" i="157"/>
  <c r="AB1499" i="157"/>
  <c r="AB1500" i="157"/>
  <c r="AD1500" i="157" s="1"/>
  <c r="AB1501" i="157"/>
  <c r="AB1502" i="157"/>
  <c r="AB1503" i="157"/>
  <c r="AD1503" i="157" s="1"/>
  <c r="AB1504" i="157"/>
  <c r="AD1504" i="157" s="1"/>
  <c r="AB1505" i="157"/>
  <c r="AB1506" i="157"/>
  <c r="AB1507" i="157"/>
  <c r="AD1507" i="157" s="1"/>
  <c r="AB1508" i="157"/>
  <c r="AB1509" i="157"/>
  <c r="AB1510" i="157"/>
  <c r="AB1511" i="157"/>
  <c r="AD1511" i="157" s="1"/>
  <c r="AB1512" i="157"/>
  <c r="AD1512" i="157" s="1"/>
  <c r="AB1513" i="157"/>
  <c r="AB1514" i="157"/>
  <c r="AB1515" i="157"/>
  <c r="AD1515" i="157" s="1"/>
  <c r="AB1516" i="157"/>
  <c r="AD1516" i="157" s="1"/>
  <c r="AB1517" i="157"/>
  <c r="AB1518" i="157"/>
  <c r="AB1519" i="157"/>
  <c r="AD1519" i="157" s="1"/>
  <c r="AB1520" i="157"/>
  <c r="AD1520" i="157" s="1"/>
  <c r="AB1521" i="157"/>
  <c r="AB1522" i="157"/>
  <c r="AB1523" i="157"/>
  <c r="AB1524" i="157"/>
  <c r="AD1524" i="157" s="1"/>
  <c r="AB1525" i="157"/>
  <c r="AB1526" i="157"/>
  <c r="AB1527" i="157"/>
  <c r="AD1527" i="157" s="1"/>
  <c r="AB1528" i="157"/>
  <c r="AB1529" i="157"/>
  <c r="AB1530" i="157"/>
  <c r="AB1531" i="157"/>
  <c r="AD1531" i="157" s="1"/>
  <c r="AB1532" i="157"/>
  <c r="AD1532" i="157" s="1"/>
  <c r="AB1533" i="157"/>
  <c r="AB1534" i="157"/>
  <c r="AB1535" i="157"/>
  <c r="AD1535" i="157" s="1"/>
  <c r="AB1536" i="157"/>
  <c r="AB1537" i="157"/>
  <c r="AB1538" i="157"/>
  <c r="AB1539" i="157"/>
  <c r="AD1539" i="157" s="1"/>
  <c r="AB1540" i="157"/>
  <c r="AD1540" i="157" s="1"/>
  <c r="AB1541" i="157"/>
  <c r="AB1542" i="157"/>
  <c r="AB1543" i="157"/>
  <c r="AD1543" i="157" s="1"/>
  <c r="AB1544" i="157"/>
  <c r="AD1544" i="157" s="1"/>
  <c r="AB1545" i="157"/>
  <c r="AB1546" i="157"/>
  <c r="AB1547" i="157"/>
  <c r="AD1547" i="157" s="1"/>
  <c r="AB1548" i="157"/>
  <c r="AD1548" i="157" s="1"/>
  <c r="AB1549" i="157"/>
  <c r="AB1550" i="157"/>
  <c r="AB1551" i="157"/>
  <c r="AB1552" i="157"/>
  <c r="AD1552" i="157" s="1"/>
  <c r="AB1553" i="157"/>
  <c r="AB1554" i="157"/>
  <c r="AB1555" i="157"/>
  <c r="AD1555" i="157" s="1"/>
  <c r="AB1556" i="157"/>
  <c r="AB1557" i="157"/>
  <c r="AB1558" i="157"/>
  <c r="AB1559" i="157"/>
  <c r="AD1559" i="157" s="1"/>
  <c r="AB1560" i="157"/>
  <c r="AD1560" i="157" s="1"/>
  <c r="AB1561" i="157"/>
  <c r="AB1562" i="157"/>
  <c r="AB1563" i="157"/>
  <c r="AD1563" i="157" s="1"/>
  <c r="AB1564" i="157"/>
  <c r="AD1564" i="157" s="1"/>
  <c r="AB1565" i="157"/>
  <c r="AB1566" i="157"/>
  <c r="AB1567" i="157"/>
  <c r="AD1567" i="157" s="1"/>
  <c r="AB1568" i="157"/>
  <c r="AD1568" i="157" s="1"/>
  <c r="AB1569" i="157"/>
  <c r="AB1570" i="157"/>
  <c r="AB1571" i="157"/>
  <c r="AB1572" i="157"/>
  <c r="AD1572" i="157" s="1"/>
  <c r="AB1573" i="157"/>
  <c r="AB1574" i="157"/>
  <c r="AB1575" i="157"/>
  <c r="AD1575" i="157" s="1"/>
  <c r="AB1576" i="157"/>
  <c r="AD1576" i="157" s="1"/>
  <c r="AB1577" i="157"/>
  <c r="AB1578" i="157"/>
  <c r="AB1579" i="157"/>
  <c r="AB1580" i="157"/>
  <c r="AD1580" i="157" s="1"/>
  <c r="AB1581" i="157"/>
  <c r="AB1582" i="157"/>
  <c r="AB1583" i="157"/>
  <c r="AD1583" i="157" s="1"/>
  <c r="AB1584" i="157"/>
  <c r="AB1585" i="157"/>
  <c r="AB1586" i="157"/>
  <c r="AB1587" i="157"/>
  <c r="AD1587" i="157" s="1"/>
  <c r="AB1588" i="157"/>
  <c r="AD1588" i="157" s="1"/>
  <c r="AB1589" i="157"/>
  <c r="AB1590" i="157"/>
  <c r="AB1591" i="157"/>
  <c r="AD1591" i="157" s="1"/>
  <c r="AB1592" i="157"/>
  <c r="AD1592" i="157" s="1"/>
  <c r="AB1593" i="157"/>
  <c r="AB1594" i="157"/>
  <c r="AB1595" i="157"/>
  <c r="AD1595" i="157" s="1"/>
  <c r="AB1596" i="157"/>
  <c r="AD1596" i="157" s="1"/>
  <c r="AB1597" i="157"/>
  <c r="AB1598" i="157"/>
  <c r="AB1599" i="157"/>
  <c r="AB1600" i="157"/>
  <c r="AD1600" i="157" s="1"/>
  <c r="AB1601" i="157"/>
  <c r="AB1602" i="157"/>
  <c r="AB1603" i="157"/>
  <c r="AD1603" i="157" s="1"/>
  <c r="AB1604" i="157"/>
  <c r="AD1604" i="157" s="1"/>
  <c r="AB1605" i="157"/>
  <c r="AB1606" i="157"/>
  <c r="AB1607" i="157"/>
  <c r="AD1607" i="157" s="1"/>
  <c r="AB1608" i="157"/>
  <c r="AB1609" i="157"/>
  <c r="AB1610" i="157"/>
  <c r="AB1611" i="157"/>
  <c r="AD1611" i="157" s="1"/>
  <c r="AB1612" i="157"/>
  <c r="AD1612" i="157" s="1"/>
  <c r="AB1613" i="157"/>
  <c r="AB1614" i="157"/>
  <c r="AB1615" i="157"/>
  <c r="AD1615" i="157" s="1"/>
  <c r="AB1616" i="157"/>
  <c r="AD1616" i="157" s="1"/>
  <c r="AB1617" i="157"/>
  <c r="AB1618" i="157"/>
  <c r="AB1619" i="157"/>
  <c r="AD1619" i="157" s="1"/>
  <c r="AB1620" i="157"/>
  <c r="AD1620" i="157" s="1"/>
  <c r="AB1621" i="157"/>
  <c r="AB1622" i="157"/>
  <c r="AB1623" i="157"/>
  <c r="AD1623" i="157" s="1"/>
  <c r="AB1624" i="157"/>
  <c r="AD1624" i="157" s="1"/>
  <c r="AB1625" i="157"/>
  <c r="AB1626" i="157"/>
  <c r="AB1627" i="157"/>
  <c r="AB1628" i="157"/>
  <c r="AD1628" i="157" s="1"/>
  <c r="AB1629" i="157"/>
  <c r="AB1630" i="157"/>
  <c r="AB1631" i="157"/>
  <c r="AD1631" i="157" s="1"/>
  <c r="AB1632" i="157"/>
  <c r="AD1632" i="157" s="1"/>
  <c r="AB1633" i="157"/>
  <c r="AB1634" i="157"/>
  <c r="AB1635" i="157"/>
  <c r="AD1635" i="157" s="1"/>
  <c r="AB1636" i="157"/>
  <c r="AB1637" i="157"/>
  <c r="AB1638" i="157"/>
  <c r="AB1639" i="157"/>
  <c r="AD1639" i="157" s="1"/>
  <c r="AB1640" i="157"/>
  <c r="AD1640" i="157" s="1"/>
  <c r="AB1641" i="157"/>
  <c r="AB1642" i="157"/>
  <c r="AB1643" i="157"/>
  <c r="AD1643" i="157" s="1"/>
  <c r="AB1644" i="157"/>
  <c r="AD1644" i="157" s="1"/>
  <c r="AB1645" i="157"/>
  <c r="AB1646" i="157"/>
  <c r="AB1647" i="157"/>
  <c r="AD1647" i="157" s="1"/>
  <c r="AB1648" i="157"/>
  <c r="AD1648" i="157" s="1"/>
  <c r="AB1649" i="157"/>
  <c r="AB1650" i="157"/>
  <c r="AB1651" i="157"/>
  <c r="AB1652" i="157"/>
  <c r="AD1652" i="157" s="1"/>
  <c r="AB1653" i="157"/>
  <c r="AB1654" i="157"/>
  <c r="AB1655" i="157"/>
  <c r="AD1655" i="157" s="1"/>
  <c r="AB1656" i="157"/>
  <c r="AB1657" i="157"/>
  <c r="AB1658" i="157"/>
  <c r="AB1659" i="157"/>
  <c r="AD1659" i="157" s="1"/>
  <c r="AB1660" i="157"/>
  <c r="AD1660" i="157" s="1"/>
  <c r="AB1661" i="157"/>
  <c r="AB1662" i="157"/>
  <c r="AB1663" i="157"/>
  <c r="AB1664" i="157"/>
  <c r="AB1665" i="157"/>
  <c r="AB1666" i="157"/>
  <c r="AB1667" i="157"/>
  <c r="AD1667" i="157" s="1"/>
  <c r="AB1668" i="157"/>
  <c r="AD1668" i="157" s="1"/>
  <c r="AB1669" i="157"/>
  <c r="AB1670" i="157"/>
  <c r="AB1671" i="157"/>
  <c r="AD1671" i="157" s="1"/>
  <c r="AB1672" i="157"/>
  <c r="AB1673" i="157"/>
  <c r="AB1674" i="157"/>
  <c r="AB1675" i="157"/>
  <c r="AD1675" i="157" s="1"/>
  <c r="AB1676" i="157"/>
  <c r="AD1676" i="157" s="1"/>
  <c r="AB1677" i="157"/>
  <c r="AB1678" i="157"/>
  <c r="AB1679" i="157"/>
  <c r="AD1679" i="157" s="1"/>
  <c r="AB1680" i="157"/>
  <c r="AB1681" i="157"/>
  <c r="AB1682" i="157"/>
  <c r="AB1683" i="157"/>
  <c r="AD1683" i="157" s="1"/>
  <c r="AB1684" i="157"/>
  <c r="AB1685" i="157"/>
  <c r="AB1686" i="157"/>
  <c r="AB1687" i="157"/>
  <c r="AD1687" i="157" s="1"/>
  <c r="AB1688" i="157"/>
  <c r="AD1688" i="157" s="1"/>
  <c r="AB1689" i="157"/>
  <c r="AB1690" i="157"/>
  <c r="AB1691" i="157"/>
  <c r="AB1692" i="157"/>
  <c r="AD1692" i="157" s="1"/>
  <c r="AB1693" i="157"/>
  <c r="AB1694" i="157"/>
  <c r="AB1695" i="157"/>
  <c r="AD1695" i="157" s="1"/>
  <c r="AB1696" i="157"/>
  <c r="AD1696" i="157" s="1"/>
  <c r="AB1697" i="157"/>
  <c r="AB1698" i="157"/>
  <c r="AB1699" i="157"/>
  <c r="AD1699" i="157" s="1"/>
  <c r="AB1700" i="157"/>
  <c r="AB1701" i="157"/>
  <c r="AB1702" i="157"/>
  <c r="AB1703" i="157"/>
  <c r="AD1703" i="157" s="1"/>
  <c r="AB1704" i="157"/>
  <c r="AD1704" i="157" s="1"/>
  <c r="AB1705" i="157"/>
  <c r="AB1706" i="157"/>
  <c r="AB1707" i="157"/>
  <c r="AD1707" i="157" s="1"/>
  <c r="AB1708" i="157"/>
  <c r="AD1708" i="157" s="1"/>
  <c r="AB1709" i="157"/>
  <c r="AB1710" i="157"/>
  <c r="AB1711" i="157"/>
  <c r="AD1711" i="157" s="1"/>
  <c r="AB1712" i="157"/>
  <c r="AB1713" i="157"/>
  <c r="AB1714" i="157"/>
  <c r="AB1715" i="157"/>
  <c r="AD1715" i="157" s="1"/>
  <c r="AB1716" i="157"/>
  <c r="AD1716" i="157" s="1"/>
  <c r="AB1717" i="157"/>
  <c r="AB1718" i="157"/>
  <c r="AB1719" i="157"/>
  <c r="AD1719" i="157" s="1"/>
  <c r="AB1720" i="157"/>
  <c r="AB1721" i="157"/>
  <c r="AB1722" i="157"/>
  <c r="AB1723" i="157"/>
  <c r="AD1723" i="157" s="1"/>
  <c r="AB1724" i="157"/>
  <c r="AD1724" i="157" s="1"/>
  <c r="AB1725" i="157"/>
  <c r="AB1726" i="157"/>
  <c r="AB1727" i="157"/>
  <c r="AD1727" i="157" s="1"/>
  <c r="AB1728" i="157"/>
  <c r="AB1729" i="157"/>
  <c r="AB1730" i="157"/>
  <c r="AB1731" i="157"/>
  <c r="AB1732" i="157"/>
  <c r="AD1732" i="157" s="1"/>
  <c r="AB1733" i="157"/>
  <c r="AB1734" i="157"/>
  <c r="AB1735" i="157"/>
  <c r="AD1735" i="157" s="1"/>
  <c r="AB1736" i="157"/>
  <c r="AD1736" i="157" s="1"/>
  <c r="AB1737" i="157"/>
  <c r="AB1738" i="157"/>
  <c r="AB1739" i="157"/>
  <c r="AD1739" i="157" s="1"/>
  <c r="AB1740" i="157"/>
  <c r="AD1740" i="157" s="1"/>
  <c r="AB1741" i="157"/>
  <c r="AB1742" i="157"/>
  <c r="AB1743" i="157"/>
  <c r="AD1743" i="157" s="1"/>
  <c r="AB1744" i="157"/>
  <c r="AD1744" i="157" s="1"/>
  <c r="AB1745" i="157"/>
  <c r="AB1746" i="157"/>
  <c r="AB1747" i="157"/>
  <c r="AD1747" i="157" s="1"/>
  <c r="AB1748" i="157"/>
  <c r="AB1749" i="157"/>
  <c r="AB1750" i="157"/>
  <c r="AB1751" i="157"/>
  <c r="AD1751" i="157" s="1"/>
  <c r="AB1752" i="157"/>
  <c r="AD1752" i="157" s="1"/>
  <c r="AB1753" i="157"/>
  <c r="AB1754" i="157"/>
  <c r="AB1755" i="157"/>
  <c r="AD1755" i="157" s="1"/>
  <c r="AB1756" i="157"/>
  <c r="AD1756" i="157" s="1"/>
  <c r="AB1757" i="157"/>
  <c r="AB1758" i="157"/>
  <c r="AB1759" i="157"/>
  <c r="AB1760" i="157"/>
  <c r="AD1760" i="157" s="1"/>
  <c r="AB1761" i="157"/>
  <c r="AB1762" i="157"/>
  <c r="AB1763" i="157"/>
  <c r="AD1763" i="157" s="1"/>
  <c r="AB1764" i="157"/>
  <c r="AD1764" i="157" s="1"/>
  <c r="AB1765" i="157"/>
  <c r="AB1766" i="157"/>
  <c r="AB1767" i="157"/>
  <c r="AD1767" i="157" s="1"/>
  <c r="AB1768" i="157"/>
  <c r="AD1768" i="157" s="1"/>
  <c r="AB1769" i="157"/>
  <c r="AB1770" i="157"/>
  <c r="AB1771" i="157"/>
  <c r="AD1771" i="157" s="1"/>
  <c r="AB1772" i="157"/>
  <c r="AD1772" i="157" s="1"/>
  <c r="AB1773" i="157"/>
  <c r="AB1774" i="157"/>
  <c r="AB1775" i="157"/>
  <c r="AD1775" i="157" s="1"/>
  <c r="AB1776" i="157"/>
  <c r="AB1777" i="157"/>
  <c r="AB1778" i="157"/>
  <c r="AB1779" i="157"/>
  <c r="AB1780" i="157"/>
  <c r="AD1780" i="157" s="1"/>
  <c r="AB1781" i="157"/>
  <c r="AB1782" i="157"/>
  <c r="AB1783" i="157"/>
  <c r="AD1783" i="157" s="1"/>
  <c r="AB1784" i="157"/>
  <c r="AD1784" i="157" s="1"/>
  <c r="AB1785" i="157"/>
  <c r="AB1786" i="157"/>
  <c r="AB1787" i="157"/>
  <c r="AB1788" i="157"/>
  <c r="AD1788" i="157" s="1"/>
  <c r="AB1789" i="157"/>
  <c r="AB1790" i="157"/>
  <c r="AB1791" i="157"/>
  <c r="AD1791" i="157" s="1"/>
  <c r="AB1792" i="157"/>
  <c r="AD1792" i="157" s="1"/>
  <c r="AB1793" i="157"/>
  <c r="AB1794" i="157"/>
  <c r="AB1795" i="157"/>
  <c r="AB1796" i="157"/>
  <c r="AD1796" i="157" s="1"/>
  <c r="AB1797" i="157"/>
  <c r="AB1798" i="157"/>
  <c r="AB1799" i="157"/>
  <c r="AD1799" i="157" s="1"/>
  <c r="AB1800" i="157"/>
  <c r="AD1800" i="157" s="1"/>
  <c r="AB1801" i="157"/>
  <c r="AB1802" i="157"/>
  <c r="AB1803" i="157"/>
  <c r="AD1803" i="157" s="1"/>
  <c r="AB1804" i="157"/>
  <c r="AD1804" i="157" s="1"/>
  <c r="AB1805" i="157"/>
  <c r="AB1806" i="157"/>
  <c r="AB1807" i="157"/>
  <c r="AB1808" i="157"/>
  <c r="AD1808" i="157" s="1"/>
  <c r="AB1809" i="157"/>
  <c r="AB1810" i="157"/>
  <c r="AB1811" i="157"/>
  <c r="AD1811" i="157" s="1"/>
  <c r="AB1812" i="157"/>
  <c r="AD1812" i="157" s="1"/>
  <c r="AB1813" i="157"/>
  <c r="AB1814" i="157"/>
  <c r="AB1815" i="157"/>
  <c r="AD1815" i="157" s="1"/>
  <c r="AB1816" i="157"/>
  <c r="AB1817" i="157"/>
  <c r="AB1818" i="157"/>
  <c r="AB1819" i="157"/>
  <c r="AD1819" i="157" s="1"/>
  <c r="AB1820" i="157"/>
  <c r="AD1820" i="157" s="1"/>
  <c r="AB1821" i="157"/>
  <c r="AB1822" i="157"/>
  <c r="AB1823" i="157"/>
  <c r="AB1824" i="157"/>
  <c r="AB1825" i="157"/>
  <c r="AB1826" i="157"/>
  <c r="AB1827" i="157"/>
  <c r="AB1828" i="157"/>
  <c r="AD1828" i="157" s="1"/>
  <c r="AB1829" i="157"/>
  <c r="AB1830" i="157"/>
  <c r="AB1831" i="157"/>
  <c r="AB1832" i="157"/>
  <c r="AD1832" i="157" s="1"/>
  <c r="AB1833" i="157"/>
  <c r="AB1834" i="157"/>
  <c r="AB1835" i="157"/>
  <c r="AB1836" i="157"/>
  <c r="AD1836" i="157" s="1"/>
  <c r="AB1837" i="157"/>
  <c r="AB1838" i="157"/>
  <c r="AB1839" i="157"/>
  <c r="AB1840" i="157"/>
  <c r="AB1841" i="157"/>
  <c r="AB1842" i="157"/>
  <c r="AB1843" i="157"/>
  <c r="AB1844" i="157"/>
  <c r="AD1844" i="157" s="1"/>
  <c r="AB1845" i="157"/>
  <c r="AB1846" i="157"/>
  <c r="AB1847" i="157"/>
  <c r="AB1848" i="157"/>
  <c r="AD1848" i="157" s="1"/>
  <c r="AB1849" i="157"/>
  <c r="AB1850" i="157"/>
  <c r="AB1851" i="157"/>
  <c r="AB1852" i="157"/>
  <c r="AD1852" i="157" s="1"/>
  <c r="AB1853" i="157"/>
  <c r="AB1854" i="157"/>
  <c r="AB1855" i="157"/>
  <c r="AB1856" i="157"/>
  <c r="AD1856" i="157" s="1"/>
  <c r="AB1857" i="157"/>
  <c r="AB1858" i="157"/>
  <c r="AB1859" i="157"/>
  <c r="AB1860" i="157"/>
  <c r="AD1860" i="157" s="1"/>
  <c r="AB1861" i="157"/>
  <c r="AB1862" i="157"/>
  <c r="AB1863" i="157"/>
  <c r="AB1864" i="157"/>
  <c r="AD1864" i="157" s="1"/>
  <c r="AB1865" i="157"/>
  <c r="AB1866" i="157"/>
  <c r="AB1867" i="157"/>
  <c r="AB1868" i="157"/>
  <c r="AD1868" i="157" s="1"/>
  <c r="AB1869" i="157"/>
  <c r="AB1870" i="157"/>
  <c r="AB1871" i="157"/>
  <c r="AB1872" i="157"/>
  <c r="AD1872" i="157" s="1"/>
  <c r="AB1873" i="157"/>
  <c r="AB1874" i="157"/>
  <c r="AB1875" i="157"/>
  <c r="AB1876" i="157"/>
  <c r="AB1877" i="157"/>
  <c r="AB1878" i="157"/>
  <c r="AB1879" i="157"/>
  <c r="AB1880" i="157"/>
  <c r="AD1880" i="157" s="1"/>
  <c r="AB1881" i="157"/>
  <c r="AB1882" i="157"/>
  <c r="AB1883" i="157"/>
  <c r="AB1884" i="157"/>
  <c r="AB1885" i="157"/>
  <c r="AB1886" i="157"/>
  <c r="AB1887" i="157"/>
  <c r="AB1888" i="157"/>
  <c r="AD1888" i="157" s="1"/>
  <c r="AB1889" i="157"/>
  <c r="AB1890" i="157"/>
  <c r="AB1891" i="157"/>
  <c r="AB1892" i="157"/>
  <c r="AD1892" i="157" s="1"/>
  <c r="AB1893" i="157"/>
  <c r="AB1894" i="157"/>
  <c r="AB1895" i="157"/>
  <c r="AB1896" i="157"/>
  <c r="AD1896" i="157" s="1"/>
  <c r="AB1897" i="157"/>
  <c r="AB1898" i="157"/>
  <c r="AB1899" i="157"/>
  <c r="AB1900" i="157"/>
  <c r="AD1900" i="157" s="1"/>
  <c r="AB1901" i="157"/>
  <c r="AB1902" i="157"/>
  <c r="AB1903" i="157"/>
  <c r="AB1904" i="157"/>
  <c r="AD1904" i="157" s="1"/>
  <c r="AB1905" i="157"/>
  <c r="AB1906" i="157"/>
  <c r="AB1907" i="157"/>
  <c r="AB1908" i="157"/>
  <c r="AB1909" i="157"/>
  <c r="AB1910" i="157"/>
  <c r="AB1911" i="157"/>
  <c r="AB1912" i="157"/>
  <c r="AD1912" i="157" s="1"/>
  <c r="AB1913" i="157"/>
  <c r="AB1914" i="157"/>
  <c r="AB1915" i="157"/>
  <c r="AB1916" i="157"/>
  <c r="AB1917" i="157"/>
  <c r="AB1918" i="157"/>
  <c r="AB1919" i="157"/>
  <c r="AB1920" i="157"/>
  <c r="AD1920" i="157" s="1"/>
  <c r="AB1921" i="157"/>
  <c r="AB1922" i="157"/>
  <c r="AB1923" i="157"/>
  <c r="AB1924" i="157"/>
  <c r="AB1925" i="157"/>
  <c r="AB1926" i="157"/>
  <c r="AB1927" i="157"/>
  <c r="AB1928" i="157"/>
  <c r="AB1929" i="157"/>
  <c r="AB1930" i="157"/>
  <c r="AB1931" i="157"/>
  <c r="AB1932" i="157"/>
  <c r="AD1932" i="157" s="1"/>
  <c r="AB1933" i="157"/>
  <c r="AB1934" i="157"/>
  <c r="AB1935" i="157"/>
  <c r="AB1936" i="157"/>
  <c r="AB1937" i="157"/>
  <c r="AB1938" i="157"/>
  <c r="AB1939" i="157"/>
  <c r="AB1940" i="157"/>
  <c r="AD1940" i="157" s="1"/>
  <c r="AB1941" i="157"/>
  <c r="AB1942" i="157"/>
  <c r="AB1943" i="157"/>
  <c r="AB1944" i="157"/>
  <c r="AD1944" i="157" s="1"/>
  <c r="AB1945" i="157"/>
  <c r="AB1946" i="157"/>
  <c r="AB1947" i="157"/>
  <c r="AB1948" i="157"/>
  <c r="AB1949" i="157"/>
  <c r="AB1950" i="157"/>
  <c r="AB1951" i="157"/>
  <c r="AB1952" i="157"/>
  <c r="AD1952" i="157" s="1"/>
  <c r="AB1953" i="157"/>
  <c r="AB1954" i="157"/>
  <c r="AB1955" i="157"/>
  <c r="AB1956" i="157"/>
  <c r="AB1957" i="157"/>
  <c r="AB1958" i="157"/>
  <c r="AB1959" i="157"/>
  <c r="AB1960" i="157"/>
  <c r="AB1961" i="157"/>
  <c r="AB1962" i="157"/>
  <c r="AB1963" i="157"/>
  <c r="AB1964" i="157"/>
  <c r="AD1964" i="157" s="1"/>
  <c r="AB1965" i="157"/>
  <c r="AB1966" i="157"/>
  <c r="AB1967" i="157"/>
  <c r="AB1968" i="157"/>
  <c r="AB1969" i="157"/>
  <c r="AB1970" i="157"/>
  <c r="AB1971" i="157"/>
  <c r="AB1972" i="157"/>
  <c r="AD1972" i="157" s="1"/>
  <c r="AB1973" i="157"/>
  <c r="AB1974" i="157"/>
  <c r="AB1975" i="157"/>
  <c r="AB1976" i="157"/>
  <c r="AD1976" i="157" s="1"/>
  <c r="AB1977" i="157"/>
  <c r="AB1978" i="157"/>
  <c r="AB1979" i="157"/>
  <c r="AB1980" i="157"/>
  <c r="AB1981" i="157"/>
  <c r="AB1982" i="157"/>
  <c r="AB1983" i="157"/>
  <c r="AB1984" i="157"/>
  <c r="AD1984" i="157" s="1"/>
  <c r="AB1985" i="157"/>
  <c r="AB1986" i="157"/>
  <c r="AB1987" i="157"/>
  <c r="AB1988" i="157"/>
  <c r="AD1988" i="157" s="1"/>
  <c r="AB1989" i="157"/>
  <c r="AB1990" i="157"/>
  <c r="AB1991" i="157"/>
  <c r="AB1992" i="157"/>
  <c r="AD1992" i="157" s="1"/>
  <c r="AB1993" i="157"/>
  <c r="AB1994" i="157"/>
  <c r="AB1995" i="157"/>
  <c r="AB1996" i="157"/>
  <c r="AD1996" i="157" s="1"/>
  <c r="AB1997" i="157"/>
  <c r="AB1998" i="157"/>
  <c r="AB1999" i="157"/>
  <c r="AB2000" i="157"/>
  <c r="AB2001" i="157"/>
  <c r="AB2002" i="157"/>
  <c r="AB2003" i="157"/>
  <c r="AB2004" i="157"/>
  <c r="AD2004" i="157" s="1"/>
  <c r="AB2005" i="157"/>
  <c r="AB2006" i="157"/>
  <c r="AB2007" i="157"/>
  <c r="AB2008" i="157"/>
  <c r="AB2009" i="157"/>
  <c r="AB2010" i="157"/>
  <c r="AB2011" i="157"/>
  <c r="AB2012" i="157"/>
  <c r="AD2012" i="157" s="1"/>
  <c r="AB2013" i="157"/>
  <c r="AB2014" i="157"/>
  <c r="AB2015" i="157"/>
  <c r="AB2016" i="157"/>
  <c r="AD2016" i="157" s="1"/>
  <c r="AB2017" i="157"/>
  <c r="AB2018" i="157"/>
  <c r="AB2019" i="157"/>
  <c r="AB2020" i="157"/>
  <c r="AD2020" i="157" s="1"/>
  <c r="AB2021" i="157"/>
  <c r="AB2022" i="157"/>
  <c r="AB2023" i="157"/>
  <c r="AB2024" i="157"/>
  <c r="AD2024" i="157" s="1"/>
  <c r="AB2025" i="157"/>
  <c r="AB2026" i="157"/>
  <c r="AB2027" i="157"/>
  <c r="AB2028" i="157"/>
  <c r="AD2028" i="157" s="1"/>
  <c r="AB2029" i="157"/>
  <c r="AB2030" i="157"/>
  <c r="AB2031" i="157"/>
  <c r="AB2032" i="157"/>
  <c r="AB2033" i="157"/>
  <c r="AB2034" i="157"/>
  <c r="AB2035" i="157"/>
  <c r="AB2036" i="157"/>
  <c r="AD2036" i="157" s="1"/>
  <c r="AB2037" i="157"/>
  <c r="AB2038" i="157"/>
  <c r="AB2039" i="157"/>
  <c r="AB2040" i="157"/>
  <c r="AB2041" i="157"/>
  <c r="AB2042" i="157"/>
  <c r="AB2043" i="157"/>
  <c r="AB2044" i="157"/>
  <c r="AD2044" i="157" s="1"/>
  <c r="AB2045" i="157"/>
  <c r="AB2046" i="157"/>
  <c r="AB2047" i="157"/>
  <c r="AB2048" i="157"/>
  <c r="AB2049" i="157"/>
  <c r="AB2050" i="157"/>
  <c r="AB2051" i="157"/>
  <c r="AB2052" i="157"/>
  <c r="AB2053" i="157"/>
  <c r="AB2054" i="157"/>
  <c r="AB2055" i="157"/>
  <c r="AB2056" i="157"/>
  <c r="AD2056" i="157" s="1"/>
  <c r="AB2057" i="157"/>
  <c r="AB2058" i="157"/>
  <c r="AB2059" i="157"/>
  <c r="AB2060" i="157"/>
  <c r="AB2061" i="157"/>
  <c r="AB2062" i="157"/>
  <c r="AB2063" i="157"/>
  <c r="AB2064" i="157"/>
  <c r="AD2064" i="157" s="1"/>
  <c r="AB2065" i="157"/>
  <c r="AB2066" i="157"/>
  <c r="AB2067" i="157"/>
  <c r="AB2068" i="157"/>
  <c r="AD2068" i="157" s="1"/>
  <c r="AB2069" i="157"/>
  <c r="AB2070" i="157"/>
  <c r="AB2071" i="157"/>
  <c r="AB2072" i="157"/>
  <c r="AB2073" i="157"/>
  <c r="AB2074" i="157"/>
  <c r="AB2075" i="157"/>
  <c r="AD2075" i="157" s="1"/>
  <c r="AB2076" i="157"/>
  <c r="AD2076" i="157" s="1"/>
  <c r="AB2077" i="157"/>
  <c r="AB2078" i="157"/>
  <c r="AB2079" i="157"/>
  <c r="AD2079" i="157" s="1"/>
  <c r="AB2080" i="157"/>
  <c r="AB2081" i="157"/>
  <c r="AB2082" i="157"/>
  <c r="AB2083" i="157"/>
  <c r="AD2083" i="157" s="1"/>
  <c r="AB2084" i="157"/>
  <c r="AB2085" i="157"/>
  <c r="AB2086" i="157"/>
  <c r="AB2087" i="157"/>
  <c r="AD2087" i="157" s="1"/>
  <c r="AB2088" i="157"/>
  <c r="AD2088" i="157" s="1"/>
  <c r="AB2089" i="157"/>
  <c r="AB2090" i="157"/>
  <c r="AB2091" i="157"/>
  <c r="AD2091" i="157" s="1"/>
  <c r="AB2092" i="157"/>
  <c r="AB2093" i="157"/>
  <c r="AB2094" i="157"/>
  <c r="AB2095" i="157"/>
  <c r="AD2095" i="157" s="1"/>
  <c r="AB2096" i="157"/>
  <c r="AD2096" i="157" s="1"/>
  <c r="AB2097" i="157"/>
  <c r="AB2098" i="157"/>
  <c r="AB2099" i="157"/>
  <c r="AD2099" i="157" s="1"/>
  <c r="AB2100" i="157"/>
  <c r="AD2100" i="157" s="1"/>
  <c r="AB2101" i="157"/>
  <c r="AB2102" i="157"/>
  <c r="AB2103" i="157"/>
  <c r="AD2103" i="157" s="1"/>
  <c r="AB2104" i="157"/>
  <c r="AB2105" i="157"/>
  <c r="AB2106" i="157"/>
  <c r="AB2107" i="157"/>
  <c r="AD2107" i="157" s="1"/>
  <c r="AB2108" i="157"/>
  <c r="AD2108" i="157" s="1"/>
  <c r="AB2109" i="157"/>
  <c r="AB2110" i="157"/>
  <c r="AB2111" i="157"/>
  <c r="AD2111" i="157" s="1"/>
  <c r="AB2112" i="157"/>
  <c r="AD2112" i="157" s="1"/>
  <c r="AB2113" i="157"/>
  <c r="AB2114" i="157"/>
  <c r="AB2115" i="157"/>
  <c r="AD2115" i="157" s="1"/>
  <c r="AB2116" i="157"/>
  <c r="AD2116" i="157" s="1"/>
  <c r="AB2117" i="157"/>
  <c r="AB2118" i="157"/>
  <c r="AB2119" i="157"/>
  <c r="AD2119" i="157" s="1"/>
  <c r="AB2120" i="157"/>
  <c r="AD2120" i="157" s="1"/>
  <c r="AB2121" i="157"/>
  <c r="AB2122" i="157"/>
  <c r="AB2123" i="157"/>
  <c r="AD2123" i="157" s="1"/>
  <c r="AB2124" i="157"/>
  <c r="AB2125" i="157"/>
  <c r="AB2126" i="157"/>
  <c r="AB2127" i="157"/>
  <c r="AD2127" i="157" s="1"/>
  <c r="AB2128" i="157"/>
  <c r="AD2128" i="157" s="1"/>
  <c r="AB2129" i="157"/>
  <c r="AB2130" i="157"/>
  <c r="AB2131" i="157"/>
  <c r="AD2131" i="157" s="1"/>
  <c r="AB2132" i="157"/>
  <c r="AB2133" i="157"/>
  <c r="AB2134" i="157"/>
  <c r="AB2135" i="157"/>
  <c r="AD2135" i="157" s="1"/>
  <c r="AB2136" i="157"/>
  <c r="AD2136" i="157" s="1"/>
  <c r="AB2137" i="157"/>
  <c r="AB2138" i="157"/>
  <c r="AB2139" i="157"/>
  <c r="AD2139" i="157" s="1"/>
  <c r="AB2140" i="157"/>
  <c r="AD2140" i="157" s="1"/>
  <c r="AB2141" i="157"/>
  <c r="AB2142" i="157"/>
  <c r="AB2143" i="157"/>
  <c r="AD2143" i="157" s="1"/>
  <c r="AB2144" i="157"/>
  <c r="AD2144" i="157" s="1"/>
  <c r="AB2145" i="157"/>
  <c r="AB2146" i="157"/>
  <c r="AB2147" i="157"/>
  <c r="AD2147" i="157" s="1"/>
  <c r="AB2148" i="157"/>
  <c r="AD2148" i="157" s="1"/>
  <c r="AB2149" i="157"/>
  <c r="AB2150" i="157"/>
  <c r="AB2151" i="157"/>
  <c r="AD2151" i="157" s="1"/>
  <c r="AB2152" i="157"/>
  <c r="AD2152" i="157" s="1"/>
  <c r="AB2153" i="157"/>
  <c r="AB2154" i="157"/>
  <c r="AB2155" i="157"/>
  <c r="AD2155" i="157" s="1"/>
  <c r="AB2156" i="157"/>
  <c r="AB2157" i="157"/>
  <c r="AB2158" i="157"/>
  <c r="AB2159" i="157"/>
  <c r="AD2159" i="157" s="1"/>
  <c r="AB2160" i="157"/>
  <c r="AD2160" i="157" s="1"/>
  <c r="AB2161" i="157"/>
  <c r="AB2162" i="157"/>
  <c r="AB2163" i="157"/>
  <c r="AD2163" i="157" s="1"/>
  <c r="AB2164" i="157"/>
  <c r="AB2165" i="157"/>
  <c r="AB2166" i="157"/>
  <c r="AB2167" i="157"/>
  <c r="AD2167" i="157" s="1"/>
  <c r="AB2168" i="157"/>
  <c r="AD2168" i="157" s="1"/>
  <c r="AB2169" i="157"/>
  <c r="AB2170" i="157"/>
  <c r="AB2171" i="157"/>
  <c r="AD2171" i="157" s="1"/>
  <c r="AB2172" i="157"/>
  <c r="AD2172" i="157" s="1"/>
  <c r="AB2173" i="157"/>
  <c r="AB2174" i="157"/>
  <c r="AB2175" i="157"/>
  <c r="AD2175" i="157" s="1"/>
  <c r="AB2176" i="157"/>
  <c r="AB2177" i="157"/>
  <c r="AB2178" i="157"/>
  <c r="AB2179" i="157"/>
  <c r="AD2179" i="157" s="1"/>
  <c r="AB2180" i="157"/>
  <c r="AD2180" i="157" s="1"/>
  <c r="AB2181" i="157"/>
  <c r="AB2182" i="157"/>
  <c r="AB2183" i="157"/>
  <c r="AD2183" i="157" s="1"/>
  <c r="AB2184" i="157"/>
  <c r="AB2185" i="157"/>
  <c r="AB2186" i="157"/>
  <c r="AB2187" i="157"/>
  <c r="AD2187" i="157" s="1"/>
  <c r="AB2188" i="157"/>
  <c r="AD2188" i="157" s="1"/>
  <c r="AB2189" i="157"/>
  <c r="AB2190" i="157"/>
  <c r="AB2191" i="157"/>
  <c r="AD2191" i="157" s="1"/>
  <c r="AB2192" i="157"/>
  <c r="AB2193" i="157"/>
  <c r="AB2194" i="157"/>
  <c r="AB2195" i="157"/>
  <c r="AD2195" i="157" s="1"/>
  <c r="AB2196" i="157"/>
  <c r="AD2196" i="157" s="1"/>
  <c r="AB2197" i="157"/>
  <c r="AB2198" i="157"/>
  <c r="AB2199" i="157"/>
  <c r="AD2199" i="157" s="1"/>
  <c r="AB2200" i="157"/>
  <c r="AB2201" i="157"/>
  <c r="AB2202" i="157"/>
  <c r="AB2203" i="157"/>
  <c r="AD2203" i="157" s="1"/>
  <c r="AB2204" i="157"/>
  <c r="AD2204" i="157" s="1"/>
  <c r="AB2205" i="157"/>
  <c r="AB2206" i="157"/>
  <c r="AB2207" i="157"/>
  <c r="AD2207" i="157" s="1"/>
  <c r="AB2208" i="157"/>
  <c r="AB2209" i="157"/>
  <c r="AB2210" i="157"/>
  <c r="AB2211" i="157"/>
  <c r="AD2211" i="157" s="1"/>
  <c r="AB2212" i="157"/>
  <c r="AD2212" i="157" s="1"/>
  <c r="AB2213" i="157"/>
  <c r="AB2214" i="157"/>
  <c r="AB2215" i="157"/>
  <c r="AD2215" i="157" s="1"/>
  <c r="AB2216" i="157"/>
  <c r="AB2217" i="157"/>
  <c r="AB2218" i="157"/>
  <c r="AB2219" i="157"/>
  <c r="AD2219" i="157" s="1"/>
  <c r="AB2220" i="157"/>
  <c r="AD2220" i="157" s="1"/>
  <c r="AB2221" i="157"/>
  <c r="AB2222" i="157"/>
  <c r="AB2223" i="157"/>
  <c r="AD2223" i="157" s="1"/>
  <c r="AB2224" i="157"/>
  <c r="AB2225" i="157"/>
  <c r="AB2226" i="157"/>
  <c r="AB2227" i="157"/>
  <c r="AD2227" i="157" s="1"/>
  <c r="AB2228" i="157"/>
  <c r="AD2228" i="157" s="1"/>
  <c r="AB2229" i="157"/>
  <c r="AB2230" i="157"/>
  <c r="AB2231" i="157"/>
  <c r="AD2231" i="157" s="1"/>
  <c r="AB2232" i="157"/>
  <c r="AB2233" i="157"/>
  <c r="AB2234" i="157"/>
  <c r="AB2235" i="157"/>
  <c r="AD2235" i="157" s="1"/>
  <c r="AB2236" i="157"/>
  <c r="AD2236" i="157" s="1"/>
  <c r="AB2237" i="157"/>
  <c r="AB2238" i="157"/>
  <c r="AB2239" i="157"/>
  <c r="AD2239" i="157" s="1"/>
  <c r="AB2240" i="157"/>
  <c r="AB2241" i="157"/>
  <c r="AB2242" i="157"/>
  <c r="AB2243" i="157"/>
  <c r="AD2243" i="157" s="1"/>
  <c r="AB2244" i="157"/>
  <c r="AD2244" i="157" s="1"/>
  <c r="AB2245" i="157"/>
  <c r="AB2246" i="157"/>
  <c r="AB2247" i="157"/>
  <c r="AD2247" i="157" s="1"/>
  <c r="AB2248" i="157"/>
  <c r="AB2249" i="157"/>
  <c r="AB2250" i="157"/>
  <c r="AB2251" i="157"/>
  <c r="AD2251" i="157" s="1"/>
  <c r="AB2252" i="157"/>
  <c r="AD2252" i="157" s="1"/>
  <c r="AB2253" i="157"/>
  <c r="AB2254" i="157"/>
  <c r="AB2255" i="157"/>
  <c r="AD2255" i="157" s="1"/>
  <c r="AB2256" i="157"/>
  <c r="AB2257" i="157"/>
  <c r="AB2258" i="157"/>
  <c r="AB2259" i="157"/>
  <c r="AD2259" i="157" s="1"/>
  <c r="AB2260" i="157"/>
  <c r="AD2260" i="157" s="1"/>
  <c r="AB2261" i="157"/>
  <c r="AB2262" i="157"/>
  <c r="AB2263" i="157"/>
  <c r="AD2263" i="157" s="1"/>
  <c r="AB2264" i="157"/>
  <c r="AB2265" i="157"/>
  <c r="AB2266" i="157"/>
  <c r="AB2267" i="157"/>
  <c r="AD2267" i="157" s="1"/>
  <c r="AB2268" i="157"/>
  <c r="AD2268" i="157" s="1"/>
  <c r="AB2269" i="157"/>
  <c r="AB2270" i="157"/>
  <c r="AB2271" i="157"/>
  <c r="AD2271" i="157" s="1"/>
  <c r="AB2272" i="157"/>
  <c r="AB2273" i="157"/>
  <c r="AB2274" i="157"/>
  <c r="AB2275" i="157"/>
  <c r="AD2275" i="157" s="1"/>
  <c r="AB2276" i="157"/>
  <c r="AD2276" i="157" s="1"/>
  <c r="AB2277" i="157"/>
  <c r="AB2278" i="157"/>
  <c r="AB2279" i="157"/>
  <c r="AD2279" i="157" s="1"/>
  <c r="AB2280" i="157"/>
  <c r="AB2281" i="157"/>
  <c r="AB2282" i="157"/>
  <c r="AB2283" i="157"/>
  <c r="AD2283" i="157" s="1"/>
  <c r="AB2284" i="157"/>
  <c r="AD2284" i="157" s="1"/>
  <c r="AB2285" i="157"/>
  <c r="AB2286" i="157"/>
  <c r="AB2287" i="157"/>
  <c r="AD2287" i="157" s="1"/>
  <c r="AB2288" i="157"/>
  <c r="AB2289" i="157"/>
  <c r="AB2290" i="157"/>
  <c r="AB2291" i="157"/>
  <c r="AD2291" i="157" s="1"/>
  <c r="AB2292" i="157"/>
  <c r="AD2292" i="157" s="1"/>
  <c r="AB2293" i="157"/>
  <c r="AB2294" i="157"/>
  <c r="AB2295" i="157"/>
  <c r="AD2295" i="157" s="1"/>
  <c r="AB2296" i="157"/>
  <c r="AB2297" i="157"/>
  <c r="AB2298" i="157"/>
  <c r="AB2299" i="157"/>
  <c r="AD2299" i="157" s="1"/>
  <c r="AB2300" i="157"/>
  <c r="AD2300" i="157" s="1"/>
  <c r="AB2301" i="157"/>
  <c r="AB2302" i="157"/>
  <c r="AB2303" i="157"/>
  <c r="AD2303" i="157" s="1"/>
  <c r="AB2304" i="157"/>
  <c r="AD2304" i="157" s="1"/>
  <c r="AB2305" i="157"/>
  <c r="AB2306" i="157"/>
  <c r="AB2307" i="157"/>
  <c r="AD2307" i="157" s="1"/>
  <c r="AB2308" i="157"/>
  <c r="AB2309" i="157"/>
  <c r="AB2310" i="157"/>
  <c r="AB2311" i="157"/>
  <c r="AD2311" i="157" s="1"/>
  <c r="AB2312" i="157"/>
  <c r="AD2312" i="157" s="1"/>
  <c r="AB2313" i="157"/>
  <c r="AB2314" i="157"/>
  <c r="AB2315" i="157"/>
  <c r="AD2315" i="157" s="1"/>
  <c r="AB2316" i="157"/>
  <c r="AB2317" i="157"/>
  <c r="AB2318" i="157"/>
  <c r="AB2319" i="157"/>
  <c r="AD2319" i="157" s="1"/>
  <c r="AB2320" i="157"/>
  <c r="AD2320" i="157" s="1"/>
  <c r="AB2321" i="157"/>
  <c r="AB2322" i="157"/>
  <c r="AB2323" i="157"/>
  <c r="AD2323" i="157" s="1"/>
  <c r="AB2324" i="157"/>
  <c r="AB2325" i="157"/>
  <c r="AB2326" i="157"/>
  <c r="AB2327" i="157"/>
  <c r="AD2327" i="157" s="1"/>
  <c r="AB2328" i="157"/>
  <c r="AD2328" i="157" s="1"/>
  <c r="AB2329" i="157"/>
  <c r="AB2330" i="157"/>
  <c r="AB2331" i="157"/>
  <c r="AD2331" i="157" s="1"/>
  <c r="AB2332" i="157"/>
  <c r="AB2333" i="157"/>
  <c r="AB2334" i="157"/>
  <c r="AB2335" i="157"/>
  <c r="AD2335" i="157" s="1"/>
  <c r="AB2336" i="157"/>
  <c r="AD2336" i="157" s="1"/>
  <c r="AB2337" i="157"/>
  <c r="AB2338" i="157"/>
  <c r="AB2339" i="157"/>
  <c r="AD2339" i="157" s="1"/>
  <c r="AB2340" i="157"/>
  <c r="AB2341" i="157"/>
  <c r="AB2342" i="157"/>
  <c r="AB2343" i="157"/>
  <c r="AD2343" i="157" s="1"/>
  <c r="AB2344" i="157"/>
  <c r="AD2344" i="157" s="1"/>
  <c r="AB2345" i="157"/>
  <c r="AB2346" i="157"/>
  <c r="AB2347" i="157"/>
  <c r="AD2347" i="157" s="1"/>
  <c r="AB2348" i="157"/>
  <c r="AB2349" i="157"/>
  <c r="AB2350" i="157"/>
  <c r="AB2351" i="157"/>
  <c r="AD2351" i="157" s="1"/>
  <c r="AB2352" i="157"/>
  <c r="AD2352" i="157" s="1"/>
  <c r="AB2353" i="157"/>
  <c r="AB2354" i="157"/>
  <c r="AB2355" i="157"/>
  <c r="AD2355" i="157" s="1"/>
  <c r="AB2356" i="157"/>
  <c r="AB2357" i="157"/>
  <c r="AB2358" i="157"/>
  <c r="AB2359" i="157"/>
  <c r="AD2359" i="157" s="1"/>
  <c r="AB2360" i="157"/>
  <c r="AD2360" i="157" s="1"/>
  <c r="AB2361" i="157"/>
  <c r="AB2362" i="157"/>
  <c r="AB2363" i="157"/>
  <c r="AD2363" i="157" s="1"/>
  <c r="AB2364" i="157"/>
  <c r="AB2365" i="157"/>
  <c r="AB2366" i="157"/>
  <c r="AB2367" i="157"/>
  <c r="AD2367" i="157" s="1"/>
  <c r="AB2368" i="157"/>
  <c r="AD2368" i="157" s="1"/>
  <c r="AB2369" i="157"/>
  <c r="AB2370" i="157"/>
  <c r="AB2371" i="157"/>
  <c r="AD2371" i="157" s="1"/>
  <c r="AB2372" i="157"/>
  <c r="AB2373" i="157"/>
  <c r="AB2374" i="157"/>
  <c r="AB2375" i="157"/>
  <c r="AD2375" i="157" s="1"/>
  <c r="AB2376" i="157"/>
  <c r="AD2376" i="157" s="1"/>
  <c r="AB2377" i="157"/>
  <c r="AB2378" i="157"/>
  <c r="AB2379" i="157"/>
  <c r="AD2379" i="157" s="1"/>
  <c r="AB2380" i="157"/>
  <c r="AB2381" i="157"/>
  <c r="AB2382" i="157"/>
  <c r="AB2383" i="157"/>
  <c r="AD2383" i="157" s="1"/>
  <c r="AB2384" i="157"/>
  <c r="AD2384" i="157" s="1"/>
  <c r="AB2385" i="157"/>
  <c r="AB2386" i="157"/>
  <c r="AB2387" i="157"/>
  <c r="AD2387" i="157" s="1"/>
  <c r="AB2388" i="157"/>
  <c r="AB2389" i="157"/>
  <c r="AB2390" i="157"/>
  <c r="AB2391" i="157"/>
  <c r="AD2391" i="157" s="1"/>
  <c r="AB2392" i="157"/>
  <c r="AD2392" i="157" s="1"/>
  <c r="AB2393" i="157"/>
  <c r="AB2394" i="157"/>
  <c r="AB2395" i="157"/>
  <c r="AD2395" i="157" s="1"/>
  <c r="AB2396" i="157"/>
  <c r="AB2397" i="157"/>
  <c r="AB2398" i="157"/>
  <c r="AB2399" i="157"/>
  <c r="AD2399" i="157" s="1"/>
  <c r="AB2400" i="157"/>
  <c r="AD2400" i="157" s="1"/>
  <c r="AB2401" i="157"/>
  <c r="AB2402" i="157"/>
  <c r="AB2403" i="157"/>
  <c r="AD2403" i="157" s="1"/>
  <c r="AB2404" i="157"/>
  <c r="AB2405" i="157"/>
  <c r="AB2406" i="157"/>
  <c r="AB2407" i="157"/>
  <c r="AD2407" i="157" s="1"/>
  <c r="AB2408" i="157"/>
  <c r="AD2408" i="157" s="1"/>
  <c r="AB2409" i="157"/>
  <c r="AB2410" i="157"/>
  <c r="AB2411" i="157"/>
  <c r="AD2411" i="157" s="1"/>
  <c r="AB2412" i="157"/>
  <c r="AB2413" i="157"/>
  <c r="AB2414" i="157"/>
  <c r="AB2415" i="157"/>
  <c r="AD2415" i="157" s="1"/>
  <c r="AB2416" i="157"/>
  <c r="AD2416" i="157" s="1"/>
  <c r="AB2417" i="157"/>
  <c r="AB2418" i="157"/>
  <c r="AB2419" i="157"/>
  <c r="AD2419" i="157" s="1"/>
  <c r="AB2420" i="157"/>
  <c r="AB2421" i="157"/>
  <c r="AB2422" i="157"/>
  <c r="AB2423" i="157"/>
  <c r="AD2423" i="157" s="1"/>
  <c r="AB2424" i="157"/>
  <c r="AD2424" i="157" s="1"/>
  <c r="AB2425" i="157"/>
  <c r="AB2426" i="157"/>
  <c r="AB2427" i="157"/>
  <c r="AD2427" i="157" s="1"/>
  <c r="AB2428" i="157"/>
  <c r="AB2429" i="157"/>
  <c r="AB2430" i="157"/>
  <c r="AB2431" i="157"/>
  <c r="AD2431" i="157" s="1"/>
  <c r="AB2432" i="157"/>
  <c r="AB2433" i="157"/>
  <c r="AB2434" i="157"/>
  <c r="AB2435" i="157"/>
  <c r="AD2435" i="157" s="1"/>
  <c r="AB2436" i="157"/>
  <c r="AD2436" i="157" s="1"/>
  <c r="AB2437" i="157"/>
  <c r="AB2438" i="157"/>
  <c r="AB2439" i="157"/>
  <c r="AD2439" i="157" s="1"/>
  <c r="AB2440" i="157"/>
  <c r="AB2441" i="157"/>
  <c r="AB2442" i="157"/>
  <c r="AB2443" i="157"/>
  <c r="AD2443" i="157" s="1"/>
  <c r="AB2444" i="157"/>
  <c r="AD2444" i="157" s="1"/>
  <c r="AB2445" i="157"/>
  <c r="AB2446" i="157"/>
  <c r="AB2447" i="157"/>
  <c r="AD2447" i="157" s="1"/>
  <c r="AB2448" i="157"/>
  <c r="AB2449" i="157"/>
  <c r="AB2450" i="157"/>
  <c r="AB2451" i="157"/>
  <c r="AD2451" i="157" s="1"/>
  <c r="AB2452" i="157"/>
  <c r="AD2452" i="157" s="1"/>
  <c r="AB2453" i="157"/>
  <c r="AB2454" i="157"/>
  <c r="AB2455" i="157"/>
  <c r="AD2455" i="157" s="1"/>
  <c r="AB2456" i="157"/>
  <c r="AB2457" i="157"/>
  <c r="AB2458" i="157"/>
  <c r="AB2459" i="157"/>
  <c r="AD2459" i="157" s="1"/>
  <c r="AB2460" i="157"/>
  <c r="AD2460" i="157" s="1"/>
  <c r="AB2461" i="157"/>
  <c r="AB2462" i="157"/>
  <c r="AB2463" i="157"/>
  <c r="AD2463" i="157" s="1"/>
  <c r="AB2464" i="157"/>
  <c r="AB2465" i="157"/>
  <c r="AB2466" i="157"/>
  <c r="AB2467" i="157"/>
  <c r="AD2467" i="157" s="1"/>
  <c r="AB2468" i="157"/>
  <c r="AD2468" i="157" s="1"/>
  <c r="AB2469" i="157"/>
  <c r="AB2470" i="157"/>
  <c r="AB2471" i="157"/>
  <c r="AD2471" i="157" s="1"/>
  <c r="AB2472" i="157"/>
  <c r="AB2473" i="157"/>
  <c r="AB2474" i="157"/>
  <c r="AB2475" i="157"/>
  <c r="AD2475" i="157" s="1"/>
  <c r="AB2476" i="157"/>
  <c r="AD2476" i="157" s="1"/>
  <c r="AB2477" i="157"/>
  <c r="AB2478" i="157"/>
  <c r="AB2479" i="157"/>
  <c r="AD2479" i="157" s="1"/>
  <c r="AB2480" i="157"/>
  <c r="AB2481" i="157"/>
  <c r="AB2482" i="157"/>
  <c r="AB2483" i="157"/>
  <c r="AD2483" i="157" s="1"/>
  <c r="AB2484" i="157"/>
  <c r="AD2484" i="157" s="1"/>
  <c r="AB2485" i="157"/>
  <c r="AB2486" i="157"/>
  <c r="AB2487" i="157"/>
  <c r="AD2487" i="157" s="1"/>
  <c r="AB2488" i="157"/>
  <c r="AB2489" i="157"/>
  <c r="AB2490" i="157"/>
  <c r="AB2491" i="157"/>
  <c r="AD2491" i="157" s="1"/>
  <c r="AB2492" i="157"/>
  <c r="AD2492" i="157" s="1"/>
  <c r="AB2493" i="157"/>
  <c r="AB2494" i="157"/>
  <c r="AB2495" i="157"/>
  <c r="AD2495" i="157" s="1"/>
  <c r="AB2496" i="157"/>
  <c r="AB2497" i="157"/>
  <c r="AB2498" i="157"/>
  <c r="AB2499" i="157"/>
  <c r="AD2499" i="157" s="1"/>
  <c r="AB2500" i="157"/>
  <c r="AD2500" i="157" s="1"/>
  <c r="AB2501" i="157"/>
  <c r="AB2502" i="157"/>
  <c r="AB2503" i="157"/>
  <c r="AB2504" i="157"/>
  <c r="AD2504" i="157" s="1"/>
  <c r="AB2505" i="157"/>
  <c r="AB2506" i="157"/>
  <c r="AB2507" i="157"/>
  <c r="AD2507" i="157" s="1"/>
  <c r="AB2508" i="157"/>
  <c r="AB2509" i="157"/>
  <c r="AB2510" i="157"/>
  <c r="AB2511" i="157"/>
  <c r="AD2511" i="157" s="1"/>
  <c r="AB2512" i="157"/>
  <c r="AD2512" i="157" s="1"/>
  <c r="AB2513" i="157"/>
  <c r="AB2514" i="157"/>
  <c r="AB2515" i="157"/>
  <c r="AD2515" i="157" s="1"/>
  <c r="AB2516" i="157"/>
  <c r="AB2517" i="157"/>
  <c r="AB2518" i="157"/>
  <c r="AB2519" i="157"/>
  <c r="AD2519" i="157" s="1"/>
  <c r="AB2520" i="157"/>
  <c r="AD2520" i="157" s="1"/>
  <c r="AB2521" i="157"/>
  <c r="AB2522" i="157"/>
  <c r="AB2523" i="157"/>
  <c r="AD2523" i="157" s="1"/>
  <c r="AB2524" i="157"/>
  <c r="AB2525" i="157"/>
  <c r="AB2526" i="157"/>
  <c r="AB2527" i="157"/>
  <c r="AD2527" i="157" s="1"/>
  <c r="AB2528" i="157"/>
  <c r="AD2528" i="157" s="1"/>
  <c r="AB2529" i="157"/>
  <c r="AB2530" i="157"/>
  <c r="AB2531" i="157"/>
  <c r="AD2531" i="157" s="1"/>
  <c r="AB2532" i="157"/>
  <c r="AB2533" i="157"/>
  <c r="AB2534" i="157"/>
  <c r="AB2535" i="157"/>
  <c r="AD2535" i="157" s="1"/>
  <c r="AB2536" i="157"/>
  <c r="AB2537" i="157"/>
  <c r="AB2538" i="157"/>
  <c r="AB2539" i="157"/>
  <c r="AD2539" i="157" s="1"/>
  <c r="AB2540" i="157"/>
  <c r="AD2540" i="157" s="1"/>
  <c r="AB2541" i="157"/>
  <c r="AB2542" i="157"/>
  <c r="AB2543" i="157"/>
  <c r="AD2543" i="157" s="1"/>
  <c r="AB2544" i="157"/>
  <c r="AB2545" i="157"/>
  <c r="AB2546" i="157"/>
  <c r="AB2547" i="157"/>
  <c r="AD2547" i="157" s="1"/>
  <c r="AB2548" i="157"/>
  <c r="AD2548" i="157" s="1"/>
  <c r="AB2549" i="157"/>
  <c r="AB2550" i="157"/>
  <c r="AB2551" i="157"/>
  <c r="AB2552" i="157"/>
  <c r="AB2553" i="157"/>
  <c r="AB2554" i="157"/>
  <c r="AB2555" i="157"/>
  <c r="AD2555" i="157" s="1"/>
  <c r="AB2556" i="157"/>
  <c r="AD2556" i="157" s="1"/>
  <c r="AB2557" i="157"/>
  <c r="AB2558" i="157"/>
  <c r="AB2559" i="157"/>
  <c r="AD2559" i="157" s="1"/>
  <c r="AB2560" i="157"/>
  <c r="AB2561" i="157"/>
  <c r="AB2562" i="157"/>
  <c r="AB2563" i="157"/>
  <c r="AD2563" i="157" s="1"/>
  <c r="AB2564" i="157"/>
  <c r="AD2564" i="157" s="1"/>
  <c r="AB2565" i="157"/>
  <c r="AB2566" i="157"/>
  <c r="AB2567" i="157"/>
  <c r="AB2568" i="157"/>
  <c r="AD2568" i="157" s="1"/>
  <c r="AB2569" i="157"/>
  <c r="AB2570" i="157"/>
  <c r="AB2571" i="157"/>
  <c r="AD2571" i="157" s="1"/>
  <c r="AB2572" i="157"/>
  <c r="AB2573" i="157"/>
  <c r="AB2574" i="157"/>
  <c r="AB2575" i="157"/>
  <c r="AD2575" i="157" s="1"/>
  <c r="AB2576" i="157"/>
  <c r="AD2576" i="157" s="1"/>
  <c r="AB2577" i="157"/>
  <c r="AB2578" i="157"/>
  <c r="AB2579" i="157"/>
  <c r="AD2579" i="157" s="1"/>
  <c r="AB2580" i="157"/>
  <c r="AB2581" i="157"/>
  <c r="AB2582" i="157"/>
  <c r="AB2583" i="157"/>
  <c r="AD2583" i="157" s="1"/>
  <c r="AB2584" i="157"/>
  <c r="AD2584" i="157" s="1"/>
  <c r="AB2585" i="157"/>
  <c r="AB2586" i="157"/>
  <c r="AB2587" i="157"/>
  <c r="AD2587" i="157" s="1"/>
  <c r="AB2588" i="157"/>
  <c r="AB2589" i="157"/>
  <c r="AB2590" i="157"/>
  <c r="AB2591" i="157"/>
  <c r="AD2591" i="157" s="1"/>
  <c r="AB2592" i="157"/>
  <c r="AD2592" i="157" s="1"/>
  <c r="AB2593" i="157"/>
  <c r="AB2594" i="157"/>
  <c r="AB2595" i="157"/>
  <c r="AD2595" i="157" s="1"/>
  <c r="AB2596" i="157"/>
  <c r="AB2597" i="157"/>
  <c r="AB2598" i="157"/>
  <c r="AB2599" i="157"/>
  <c r="AD2599" i="157" s="1"/>
  <c r="AB2600" i="157"/>
  <c r="AB2601" i="157"/>
  <c r="AB2602" i="157"/>
  <c r="AB2603" i="157"/>
  <c r="AD2603" i="157" s="1"/>
  <c r="AB2604" i="157"/>
  <c r="AD2604" i="157" s="1"/>
  <c r="AB2605" i="157"/>
  <c r="AB2606" i="157"/>
  <c r="AB2607" i="157"/>
  <c r="AD2607" i="157" s="1"/>
  <c r="AB2608" i="157"/>
  <c r="AB2609" i="157"/>
  <c r="AB2610" i="157"/>
  <c r="AB2611" i="157"/>
  <c r="AD2611" i="157" s="1"/>
  <c r="AB2612" i="157"/>
  <c r="AD2612" i="157" s="1"/>
  <c r="AB2613" i="157"/>
  <c r="AB2614" i="157"/>
  <c r="AB2615" i="157"/>
  <c r="AB2616" i="157"/>
  <c r="AB2617" i="157"/>
  <c r="AB2618" i="157"/>
  <c r="AB2619" i="157"/>
  <c r="AD2619" i="157" s="1"/>
  <c r="AB2620" i="157"/>
  <c r="AD2620" i="157" s="1"/>
  <c r="AB2621" i="157"/>
  <c r="AB2622" i="157"/>
  <c r="AB2623" i="157"/>
  <c r="AD2623" i="157" s="1"/>
  <c r="AB2624" i="157"/>
  <c r="AB2625" i="157"/>
  <c r="AB2626" i="157"/>
  <c r="AB2627" i="157"/>
  <c r="AD2627" i="157" s="1"/>
  <c r="AB2628" i="157"/>
  <c r="AD2628" i="157" s="1"/>
  <c r="AB2629" i="157"/>
  <c r="AB2630" i="157"/>
  <c r="AB2631" i="157"/>
  <c r="AB2632" i="157"/>
  <c r="AD2632" i="157" s="1"/>
  <c r="AB2633" i="157"/>
  <c r="AB2634" i="157"/>
  <c r="AB2635" i="157"/>
  <c r="AD2635" i="157" s="1"/>
  <c r="AB2636" i="157"/>
  <c r="AB2637" i="157"/>
  <c r="AB2638" i="157"/>
  <c r="AB2639" i="157"/>
  <c r="AD2639" i="157" s="1"/>
  <c r="AB2640" i="157"/>
  <c r="AD2640" i="157" s="1"/>
  <c r="AB2641" i="157"/>
  <c r="AB2642" i="157"/>
  <c r="AB2643" i="157"/>
  <c r="AD2643" i="157" s="1"/>
  <c r="AB2644" i="157"/>
  <c r="AB2645" i="157"/>
  <c r="AB2646" i="157"/>
  <c r="AB2647" i="157"/>
  <c r="AD2647" i="157" s="1"/>
  <c r="AB2648" i="157"/>
  <c r="AD2648" i="157" s="1"/>
  <c r="AB2649" i="157"/>
  <c r="AB2650" i="157"/>
  <c r="AB2651" i="157"/>
  <c r="AD2651" i="157" s="1"/>
  <c r="AB2652" i="157"/>
  <c r="AB2653" i="157"/>
  <c r="AB2654" i="157"/>
  <c r="AB2655" i="157"/>
  <c r="AD2655" i="157" s="1"/>
  <c r="AB2656" i="157"/>
  <c r="AD2656" i="157" s="1"/>
  <c r="AB2657" i="157"/>
  <c r="AB2658" i="157"/>
  <c r="AB2659" i="157"/>
  <c r="AD2659" i="157" s="1"/>
  <c r="AB2660" i="157"/>
  <c r="AB2661" i="157"/>
  <c r="AB2662" i="157"/>
  <c r="AB2663" i="157"/>
  <c r="AD2663" i="157" s="1"/>
  <c r="AB2664" i="157"/>
  <c r="AB2665" i="157"/>
  <c r="AB2666" i="157"/>
  <c r="AB2667" i="157"/>
  <c r="AD2667" i="157" s="1"/>
  <c r="AB2668" i="157"/>
  <c r="AD2668" i="157" s="1"/>
  <c r="AB2669" i="157"/>
  <c r="AB2670" i="157"/>
  <c r="AB2671" i="157"/>
  <c r="AD2671" i="157" s="1"/>
  <c r="AB2672" i="157"/>
  <c r="AB2673" i="157"/>
  <c r="AB2674" i="157"/>
  <c r="AB2675" i="157"/>
  <c r="AD2675" i="157" s="1"/>
  <c r="AB2676" i="157"/>
  <c r="AD2676" i="157" s="1"/>
  <c r="AB2677" i="157"/>
  <c r="AB2678" i="157"/>
  <c r="AB2679" i="157"/>
  <c r="AB2680" i="157"/>
  <c r="AB2681" i="157"/>
  <c r="AB2682" i="157"/>
  <c r="AB2683" i="157"/>
  <c r="AD2683" i="157" s="1"/>
  <c r="AB2684" i="157"/>
  <c r="AD2684" i="157" s="1"/>
  <c r="AB2685" i="157"/>
  <c r="AB2686" i="157"/>
  <c r="AB2687" i="157"/>
  <c r="AD2687" i="157" s="1"/>
  <c r="AB2688" i="157"/>
  <c r="AB2689" i="157"/>
  <c r="AB2690" i="157"/>
  <c r="AB2691" i="157"/>
  <c r="AD2691" i="157" s="1"/>
  <c r="AB2692" i="157"/>
  <c r="AD2692" i="157" s="1"/>
  <c r="AB2693" i="157"/>
  <c r="AB2694" i="157"/>
  <c r="AB2695" i="157"/>
  <c r="AB2696" i="157"/>
  <c r="AD2696" i="157" s="1"/>
  <c r="AB2697" i="157"/>
  <c r="AB2698" i="157"/>
  <c r="AB2699" i="157"/>
  <c r="AD2699" i="157" s="1"/>
  <c r="AB2700" i="157"/>
  <c r="AB2701" i="157"/>
  <c r="AB2702" i="157"/>
  <c r="AB2703" i="157"/>
  <c r="AD2703" i="157" s="1"/>
  <c r="AB2704" i="157"/>
  <c r="AD2704" i="157" s="1"/>
  <c r="AB2705" i="157"/>
  <c r="AB2706" i="157"/>
  <c r="AB2707" i="157"/>
  <c r="AD2707" i="157" s="1"/>
  <c r="AB2708" i="157"/>
  <c r="AB2709" i="157"/>
  <c r="AB2710" i="157"/>
  <c r="AB2711" i="157"/>
  <c r="AD2711" i="157" s="1"/>
  <c r="AB2712" i="157"/>
  <c r="AD2712" i="157" s="1"/>
  <c r="AB2713" i="157"/>
  <c r="AB2714" i="157"/>
  <c r="AB2715" i="157"/>
  <c r="AD2715" i="157" s="1"/>
  <c r="AB2716" i="157"/>
  <c r="AB2717" i="157"/>
  <c r="AB2718" i="157"/>
  <c r="AB2719" i="157"/>
  <c r="AD2719" i="157" s="1"/>
  <c r="AB2720" i="157"/>
  <c r="AD2720" i="157" s="1"/>
  <c r="AB2721" i="157"/>
  <c r="AB2722" i="157"/>
  <c r="AB2723" i="157"/>
  <c r="AD2723" i="157" s="1"/>
  <c r="AB2724" i="157"/>
  <c r="AB2725" i="157"/>
  <c r="AB2726" i="157"/>
  <c r="AB2727" i="157"/>
  <c r="AD2727" i="157" s="1"/>
  <c r="AB2728" i="157"/>
  <c r="AB2729" i="157"/>
  <c r="AB2730" i="157"/>
  <c r="AB2731" i="157"/>
  <c r="AD2731" i="157" s="1"/>
  <c r="AB2732" i="157"/>
  <c r="AD2732" i="157" s="1"/>
  <c r="AB2733" i="157"/>
  <c r="AB2734" i="157"/>
  <c r="AB2735" i="157"/>
  <c r="AD2735" i="157" s="1"/>
  <c r="AB2736" i="157"/>
  <c r="AB2737" i="157"/>
  <c r="AB2738" i="157"/>
  <c r="AB2739" i="157"/>
  <c r="AD2739" i="157" s="1"/>
  <c r="AB2740" i="157"/>
  <c r="AD2740" i="157" s="1"/>
  <c r="AB2741" i="157"/>
  <c r="AB2742" i="157"/>
  <c r="AB2743" i="157"/>
  <c r="AB2744" i="157"/>
  <c r="AB2745" i="157"/>
  <c r="AB2746" i="157"/>
  <c r="AB2747" i="157"/>
  <c r="AD2747" i="157" s="1"/>
  <c r="AB2748" i="157"/>
  <c r="AD2748" i="157" s="1"/>
  <c r="AB2749" i="157"/>
  <c r="AB2750" i="157"/>
  <c r="AB2751" i="157"/>
  <c r="AD2751" i="157" s="1"/>
  <c r="AB2752" i="157"/>
  <c r="AB2753" i="157"/>
  <c r="AB2754" i="157"/>
  <c r="AB2755" i="157"/>
  <c r="AD2755" i="157" s="1"/>
  <c r="AB2756" i="157"/>
  <c r="AD2756" i="157" s="1"/>
  <c r="AB2757" i="157"/>
  <c r="AB2758" i="157"/>
  <c r="AB2759" i="157"/>
  <c r="AB2760" i="157"/>
  <c r="AD2760" i="157" s="1"/>
  <c r="AB2761" i="157"/>
  <c r="AB2762" i="157"/>
  <c r="AB2763" i="157"/>
  <c r="AD2763" i="157" s="1"/>
  <c r="AB2764" i="157"/>
  <c r="AB2765" i="157"/>
  <c r="AB2766" i="157"/>
  <c r="AB2767" i="157"/>
  <c r="AD2767" i="157" s="1"/>
  <c r="AB2768" i="157"/>
  <c r="AD2768" i="157" s="1"/>
  <c r="AB2769" i="157"/>
  <c r="AB2770" i="157"/>
  <c r="AB2771" i="157"/>
  <c r="AD2771" i="157" s="1"/>
  <c r="AB2772" i="157"/>
  <c r="AB2773" i="157"/>
  <c r="AB2774" i="157"/>
  <c r="AB2775" i="157"/>
  <c r="AD2775" i="157" s="1"/>
  <c r="AB2776" i="157"/>
  <c r="AD2776" i="157" s="1"/>
  <c r="AB2777" i="157"/>
  <c r="AB2778" i="157"/>
  <c r="AB2779" i="157"/>
  <c r="AD2779" i="157" s="1"/>
  <c r="AB2780" i="157"/>
  <c r="AB2781" i="157"/>
  <c r="AB2782" i="157"/>
  <c r="AB2783" i="157"/>
  <c r="AD2783" i="157" s="1"/>
  <c r="AB2784" i="157"/>
  <c r="AD2784" i="157" s="1"/>
  <c r="AB2785" i="157"/>
  <c r="AB2786" i="157"/>
  <c r="AB2787" i="157"/>
  <c r="AD2787" i="157" s="1"/>
  <c r="AB2788" i="157"/>
  <c r="AB2789" i="157"/>
  <c r="AB2790" i="157"/>
  <c r="AB2791" i="157"/>
  <c r="AD2791" i="157" s="1"/>
  <c r="AB2792" i="157"/>
  <c r="AB2793" i="157"/>
  <c r="AB2794" i="157"/>
  <c r="AB2795" i="157"/>
  <c r="AD2795" i="157" s="1"/>
  <c r="AB2796" i="157"/>
  <c r="AD2796" i="157" s="1"/>
  <c r="AB2797" i="157"/>
  <c r="AB2798" i="157"/>
  <c r="AB2799" i="157"/>
  <c r="AD2799" i="157" s="1"/>
  <c r="AB2800" i="157"/>
  <c r="AB2801" i="157"/>
  <c r="AB2802" i="157"/>
  <c r="AB2803" i="157"/>
  <c r="AD2803" i="157" s="1"/>
  <c r="AB2804" i="157"/>
  <c r="AD2804" i="157" s="1"/>
  <c r="AB2805" i="157"/>
  <c r="AB2806" i="157"/>
  <c r="AB2807" i="157"/>
  <c r="AB2808" i="157"/>
  <c r="AB2809" i="157"/>
  <c r="AB2810" i="157"/>
  <c r="AB2811" i="157"/>
  <c r="AD2811" i="157" s="1"/>
  <c r="AB2812" i="157"/>
  <c r="AD2812" i="157" s="1"/>
  <c r="AB2813" i="157"/>
  <c r="AB2814" i="157"/>
  <c r="AB2815" i="157"/>
  <c r="AD2815" i="157" s="1"/>
  <c r="AB2816" i="157"/>
  <c r="AB2817" i="157"/>
  <c r="AB2818" i="157"/>
  <c r="AB2819" i="157"/>
  <c r="AD2819" i="157" s="1"/>
  <c r="AB2820" i="157"/>
  <c r="AD2820" i="157" s="1"/>
  <c r="AB2821" i="157"/>
  <c r="AB2822" i="157"/>
  <c r="AB2823" i="157"/>
  <c r="AB2824" i="157"/>
  <c r="AD2824" i="157" s="1"/>
  <c r="AB2825" i="157"/>
  <c r="AB2826" i="157"/>
  <c r="AB2827" i="157"/>
  <c r="AD2827" i="157" s="1"/>
  <c r="AB2828" i="157"/>
  <c r="AB2829" i="157"/>
  <c r="AB2830" i="157"/>
  <c r="AB2831" i="157"/>
  <c r="AD2831" i="157" s="1"/>
  <c r="AB2832" i="157"/>
  <c r="AD2832" i="157" s="1"/>
  <c r="AB2833" i="157"/>
  <c r="AB2834" i="157"/>
  <c r="AB2835" i="157"/>
  <c r="AD2835" i="157" s="1"/>
  <c r="AB2836" i="157"/>
  <c r="AB2837" i="157"/>
  <c r="AB2838" i="157"/>
  <c r="AB2839" i="157"/>
  <c r="AD2839" i="157" s="1"/>
  <c r="AB2840" i="157"/>
  <c r="AD2840" i="157" s="1"/>
  <c r="AB2841" i="157"/>
  <c r="AB2842" i="157"/>
  <c r="AB2843" i="157"/>
  <c r="AD2843" i="157" s="1"/>
  <c r="AB2844" i="157"/>
  <c r="AB2845" i="157"/>
  <c r="AB2846" i="157"/>
  <c r="AB2847" i="157"/>
  <c r="AD2847" i="157" s="1"/>
  <c r="AB2848" i="157"/>
  <c r="AD2848" i="157" s="1"/>
  <c r="AB2849" i="157"/>
  <c r="AB2850" i="157"/>
  <c r="AB2851" i="157"/>
  <c r="AD2851" i="157" s="1"/>
  <c r="AB2852" i="157"/>
  <c r="AB2853" i="157"/>
  <c r="AB2854" i="157"/>
  <c r="AB2855" i="157"/>
  <c r="AD2855" i="157" s="1"/>
  <c r="AB2856" i="157"/>
  <c r="AB2857" i="157"/>
  <c r="AB2858" i="157"/>
  <c r="AB2859" i="157"/>
  <c r="AD2859" i="157" s="1"/>
  <c r="AB2860" i="157"/>
  <c r="AD2860" i="157" s="1"/>
  <c r="AB2861" i="157"/>
  <c r="AB2862" i="157"/>
  <c r="AB2863" i="157"/>
  <c r="AD2863" i="157" s="1"/>
  <c r="AB2864" i="157"/>
  <c r="AB2865" i="157"/>
  <c r="AB2866" i="157"/>
  <c r="AB2867" i="157"/>
  <c r="AD2867" i="157" s="1"/>
  <c r="AB2868" i="157"/>
  <c r="AD2868" i="157" s="1"/>
  <c r="AB2869" i="157"/>
  <c r="AB2870" i="157"/>
  <c r="AB2871" i="157"/>
  <c r="AB2872" i="157"/>
  <c r="AB2873" i="157"/>
  <c r="AB2874" i="157"/>
  <c r="AB2875" i="157"/>
  <c r="AD2875" i="157" s="1"/>
  <c r="AB2876" i="157"/>
  <c r="AD2876" i="157" s="1"/>
  <c r="AB2877" i="157"/>
  <c r="AB2878" i="157"/>
  <c r="AB2879" i="157"/>
  <c r="AD2879" i="157" s="1"/>
  <c r="AB2880" i="157"/>
  <c r="AB2881" i="157"/>
  <c r="AB2882" i="157"/>
  <c r="AB2883" i="157"/>
  <c r="AD2883" i="157" s="1"/>
  <c r="AB2884" i="157"/>
  <c r="AD2884" i="157" s="1"/>
  <c r="AB2885" i="157"/>
  <c r="AB2886" i="157"/>
  <c r="AB2887" i="157"/>
  <c r="AB2888" i="157"/>
  <c r="AD2888" i="157" s="1"/>
  <c r="AB2889" i="157"/>
  <c r="AB2890" i="157"/>
  <c r="AB2891" i="157"/>
  <c r="AD2891" i="157" s="1"/>
  <c r="AB2892" i="157"/>
  <c r="AB2893" i="157"/>
  <c r="AB2894" i="157"/>
  <c r="AB2895" i="157"/>
  <c r="AD2895" i="157" s="1"/>
  <c r="AB2896" i="157"/>
  <c r="AD2896" i="157" s="1"/>
  <c r="AB2897" i="157"/>
  <c r="AB2898" i="157"/>
  <c r="AB2899" i="157"/>
  <c r="AD2899" i="157" s="1"/>
  <c r="AB2900" i="157"/>
  <c r="AB2901" i="157"/>
  <c r="AB2902" i="157"/>
  <c r="AB2903" i="157"/>
  <c r="AD2903" i="157" s="1"/>
  <c r="AB2904" i="157"/>
  <c r="AD2904" i="157" s="1"/>
  <c r="AB2905" i="157"/>
  <c r="AB2906" i="157"/>
  <c r="AB2907" i="157"/>
  <c r="AD2907" i="157" s="1"/>
  <c r="AB2908" i="157"/>
  <c r="AB2909" i="157"/>
  <c r="AB2910" i="157"/>
  <c r="AB2911" i="157"/>
  <c r="AD2911" i="157" s="1"/>
  <c r="AB2912" i="157"/>
  <c r="AD2912" i="157" s="1"/>
  <c r="AB2913" i="157"/>
  <c r="AB2914" i="157"/>
  <c r="AB2915" i="157"/>
  <c r="AD2915" i="157" s="1"/>
  <c r="AB2916" i="157"/>
  <c r="AB2917" i="157"/>
  <c r="AB2918" i="157"/>
  <c r="AB2919" i="157"/>
  <c r="AD2919" i="157" s="1"/>
  <c r="AB2920" i="157"/>
  <c r="AB2921" i="157"/>
  <c r="AB2922" i="157"/>
  <c r="AB2923" i="157"/>
  <c r="AD2923" i="157" s="1"/>
  <c r="AB2924" i="157"/>
  <c r="AD2924" i="157" s="1"/>
  <c r="AB2925" i="157"/>
  <c r="AB2926" i="157"/>
  <c r="AB2927" i="157"/>
  <c r="AD2927" i="157" s="1"/>
  <c r="AB2928" i="157"/>
  <c r="AB2929" i="157"/>
  <c r="AB2930" i="157"/>
  <c r="AB2931" i="157"/>
  <c r="AD2931" i="157" s="1"/>
  <c r="AB2932" i="157"/>
  <c r="AD2932" i="157" s="1"/>
  <c r="AB2933" i="157"/>
  <c r="AB2934" i="157"/>
  <c r="AB2935" i="157"/>
  <c r="AB2936" i="157"/>
  <c r="AB2937" i="157"/>
  <c r="AB2938" i="157"/>
  <c r="AB2939" i="157"/>
  <c r="AD2939" i="157" s="1"/>
  <c r="AB2940" i="157"/>
  <c r="AD2940" i="157" s="1"/>
  <c r="AB2941" i="157"/>
  <c r="AB2942" i="157"/>
  <c r="AB2943" i="157"/>
  <c r="AD2943" i="157" s="1"/>
  <c r="AB2944" i="157"/>
  <c r="AB2945" i="157"/>
  <c r="AB2946" i="157"/>
  <c r="AB2947" i="157"/>
  <c r="AD2947" i="157" s="1"/>
  <c r="AB2948" i="157"/>
  <c r="AD2948" i="157" s="1"/>
  <c r="AB2949" i="157"/>
  <c r="AB2950" i="157"/>
  <c r="AB2951" i="157"/>
  <c r="AB2952" i="157"/>
  <c r="AD2952" i="157" s="1"/>
  <c r="AB2953" i="157"/>
  <c r="AB2954" i="157"/>
  <c r="AB2955" i="157"/>
  <c r="AD2955" i="157" s="1"/>
  <c r="AB2956" i="157"/>
  <c r="AB2957" i="157"/>
  <c r="AB2958" i="157"/>
  <c r="AB2959" i="157"/>
  <c r="AD2959" i="157" s="1"/>
  <c r="AB2960" i="157"/>
  <c r="AD2960" i="157" s="1"/>
  <c r="AB2961" i="157"/>
  <c r="AB2962" i="157"/>
  <c r="AB2963" i="157"/>
  <c r="AD2963" i="157" s="1"/>
  <c r="AB2964" i="157"/>
  <c r="AB2965" i="157"/>
  <c r="AB2966" i="157"/>
  <c r="AB2967" i="157"/>
  <c r="AD2967" i="157" s="1"/>
  <c r="AB2968" i="157"/>
  <c r="AD2968" i="157" s="1"/>
  <c r="AB2969" i="157"/>
  <c r="AB2970" i="157"/>
  <c r="AB2971" i="157"/>
  <c r="AD2971" i="157" s="1"/>
  <c r="AB2972" i="157"/>
  <c r="AB2973" i="157"/>
  <c r="AB2974" i="157"/>
  <c r="AB2975" i="157"/>
  <c r="AD2975" i="157" s="1"/>
  <c r="AB2976" i="157"/>
  <c r="AD2976" i="157" s="1"/>
  <c r="AB2977" i="157"/>
  <c r="AB2978" i="157"/>
  <c r="AB2979" i="157"/>
  <c r="AD2979" i="157" s="1"/>
  <c r="AB2980" i="157"/>
  <c r="AB2981" i="157"/>
  <c r="AB2982" i="157"/>
  <c r="AB2983" i="157"/>
  <c r="AD2983" i="157" s="1"/>
  <c r="AB2984" i="157"/>
  <c r="AB2985" i="157"/>
  <c r="AB2986" i="157"/>
  <c r="AB2987" i="157"/>
  <c r="AD2987" i="157" s="1"/>
  <c r="AB2988" i="157"/>
  <c r="AB2989" i="157"/>
  <c r="AB2990" i="157"/>
  <c r="AB2991" i="157"/>
  <c r="AD2991" i="157" s="1"/>
  <c r="AB2992" i="157"/>
  <c r="AD2992" i="157" s="1"/>
  <c r="AB2993" i="157"/>
  <c r="AB2994" i="157"/>
  <c r="AB2995" i="157"/>
  <c r="AD2995" i="157" s="1"/>
  <c r="AB2996" i="157"/>
  <c r="AB2997" i="157"/>
  <c r="AB2998" i="157"/>
  <c r="AB2999" i="157"/>
  <c r="AD2999" i="157" s="1"/>
  <c r="AB3000" i="157"/>
  <c r="AD3000" i="157" s="1"/>
  <c r="AB3001" i="157"/>
  <c r="AB3002" i="157"/>
  <c r="AB3003" i="157"/>
  <c r="AD3003" i="157" s="1"/>
  <c r="AB3004" i="157"/>
  <c r="AB3005" i="157"/>
  <c r="AC8" i="157"/>
  <c r="AC9" i="157"/>
  <c r="AD9" i="157" s="1"/>
  <c r="AC10" i="157"/>
  <c r="AD10" i="157" s="1"/>
  <c r="AC11" i="157"/>
  <c r="AC12" i="157"/>
  <c r="AC13" i="157"/>
  <c r="AD13" i="157" s="1"/>
  <c r="AC14" i="157"/>
  <c r="AC15" i="157"/>
  <c r="AC16" i="157"/>
  <c r="AC17" i="157"/>
  <c r="AD17" i="157" s="1"/>
  <c r="AC18" i="157"/>
  <c r="AC19" i="157"/>
  <c r="AC20" i="157"/>
  <c r="AC21" i="157"/>
  <c r="AD21" i="157" s="1"/>
  <c r="AC22" i="157"/>
  <c r="AD22" i="157" s="1"/>
  <c r="AC23" i="157"/>
  <c r="AC24" i="157"/>
  <c r="AC25" i="157"/>
  <c r="AD25" i="157" s="1"/>
  <c r="AC26" i="157"/>
  <c r="AD26" i="157" s="1"/>
  <c r="AC27" i="157"/>
  <c r="AC28" i="157"/>
  <c r="AC29" i="157"/>
  <c r="AD29" i="157" s="1"/>
  <c r="AC30" i="157"/>
  <c r="AC31" i="157"/>
  <c r="AC32" i="157"/>
  <c r="AC33" i="157"/>
  <c r="AD33" i="157" s="1"/>
  <c r="AC34" i="157"/>
  <c r="AD34" i="157" s="1"/>
  <c r="AC35" i="157"/>
  <c r="AC36" i="157"/>
  <c r="AC37" i="157"/>
  <c r="AD37" i="157" s="1"/>
  <c r="AC38" i="157"/>
  <c r="AD38" i="157" s="1"/>
  <c r="AC39" i="157"/>
  <c r="AC40" i="157"/>
  <c r="AC41" i="157"/>
  <c r="AD41" i="157" s="1"/>
  <c r="AC42" i="157"/>
  <c r="AD42" i="157" s="1"/>
  <c r="AC43" i="157"/>
  <c r="AC44" i="157"/>
  <c r="AD44" i="157" s="1"/>
  <c r="AC45" i="157"/>
  <c r="AD45" i="157" s="1"/>
  <c r="AC46" i="157"/>
  <c r="AC47" i="157"/>
  <c r="AC48" i="157"/>
  <c r="AC49" i="157"/>
  <c r="AD49" i="157" s="1"/>
  <c r="AC50" i="157"/>
  <c r="AD50" i="157" s="1"/>
  <c r="AC51" i="157"/>
  <c r="AC52" i="157"/>
  <c r="AC53" i="157"/>
  <c r="AD53" i="157" s="1"/>
  <c r="AC54" i="157"/>
  <c r="AD54" i="157" s="1"/>
  <c r="AC55" i="157"/>
  <c r="AC56" i="157"/>
  <c r="AC57" i="157"/>
  <c r="AD57" i="157" s="1"/>
  <c r="AC58" i="157"/>
  <c r="AD58" i="157" s="1"/>
  <c r="AC59" i="157"/>
  <c r="AC60" i="157"/>
  <c r="AC61" i="157"/>
  <c r="AD61" i="157" s="1"/>
  <c r="AC62" i="157"/>
  <c r="AC63" i="157"/>
  <c r="AC64" i="157"/>
  <c r="AC65" i="157"/>
  <c r="AD65" i="157" s="1"/>
  <c r="AC66" i="157"/>
  <c r="AD66" i="157" s="1"/>
  <c r="AC67" i="157"/>
  <c r="AC68" i="157"/>
  <c r="AC69" i="157"/>
  <c r="AD69" i="157" s="1"/>
  <c r="AC70" i="157"/>
  <c r="AD70" i="157" s="1"/>
  <c r="AC71" i="157"/>
  <c r="AC72" i="157"/>
  <c r="AC73" i="157"/>
  <c r="AD73" i="157" s="1"/>
  <c r="AC74" i="157"/>
  <c r="AD74" i="157" s="1"/>
  <c r="AC75" i="157"/>
  <c r="AC76" i="157"/>
  <c r="AC77" i="157"/>
  <c r="AD77" i="157" s="1"/>
  <c r="AC78" i="157"/>
  <c r="AC79" i="157"/>
  <c r="AC80" i="157"/>
  <c r="AC81" i="157"/>
  <c r="AD81" i="157" s="1"/>
  <c r="AC82" i="157"/>
  <c r="AD82" i="157" s="1"/>
  <c r="AC83" i="157"/>
  <c r="AC84" i="157"/>
  <c r="AC85" i="157"/>
  <c r="AD85" i="157" s="1"/>
  <c r="AC86" i="157"/>
  <c r="AD86" i="157" s="1"/>
  <c r="AC87" i="157"/>
  <c r="AC88" i="157"/>
  <c r="AC89" i="157"/>
  <c r="AD89" i="157" s="1"/>
  <c r="AC90" i="157"/>
  <c r="AD90" i="157" s="1"/>
  <c r="AC91" i="157"/>
  <c r="AC92" i="157"/>
  <c r="AC93" i="157"/>
  <c r="AD93" i="157" s="1"/>
  <c r="AC94" i="157"/>
  <c r="AC95" i="157"/>
  <c r="AC96" i="157"/>
  <c r="AC97" i="157"/>
  <c r="AD97" i="157" s="1"/>
  <c r="AC98" i="157"/>
  <c r="AD98" i="157" s="1"/>
  <c r="AC99" i="157"/>
  <c r="AC100" i="157"/>
  <c r="AC101" i="157"/>
  <c r="AD101" i="157" s="1"/>
  <c r="AC102" i="157"/>
  <c r="AD102" i="157" s="1"/>
  <c r="AC103" i="157"/>
  <c r="AC104" i="157"/>
  <c r="AC105" i="157"/>
  <c r="AD105" i="157" s="1"/>
  <c r="AC106" i="157"/>
  <c r="AD106" i="157" s="1"/>
  <c r="AC107" i="157"/>
  <c r="AC108" i="157"/>
  <c r="AD108" i="157" s="1"/>
  <c r="AC109" i="157"/>
  <c r="AD109" i="157" s="1"/>
  <c r="AC110" i="157"/>
  <c r="AC111" i="157"/>
  <c r="AC112" i="157"/>
  <c r="AC113" i="157"/>
  <c r="AD113" i="157" s="1"/>
  <c r="AC114" i="157"/>
  <c r="AD114" i="157" s="1"/>
  <c r="AC115" i="157"/>
  <c r="AC116" i="157"/>
  <c r="AC117" i="157"/>
  <c r="AD117" i="157" s="1"/>
  <c r="AC118" i="157"/>
  <c r="AD118" i="157" s="1"/>
  <c r="AC119" i="157"/>
  <c r="AC120" i="157"/>
  <c r="AC121" i="157"/>
  <c r="AD121" i="157" s="1"/>
  <c r="AC122" i="157"/>
  <c r="AD122" i="157" s="1"/>
  <c r="AC123" i="157"/>
  <c r="AC124" i="157"/>
  <c r="AC125" i="157"/>
  <c r="AD125" i="157" s="1"/>
  <c r="AC126" i="157"/>
  <c r="AC127" i="157"/>
  <c r="AC128" i="157"/>
  <c r="AC129" i="157"/>
  <c r="AD129" i="157" s="1"/>
  <c r="AC130" i="157"/>
  <c r="AD130" i="157" s="1"/>
  <c r="AC131" i="157"/>
  <c r="AC132" i="157"/>
  <c r="AC133" i="157"/>
  <c r="AD133" i="157" s="1"/>
  <c r="AC134" i="157"/>
  <c r="AD134" i="157" s="1"/>
  <c r="AC135" i="157"/>
  <c r="AC136" i="157"/>
  <c r="AC137" i="157"/>
  <c r="AD137" i="157" s="1"/>
  <c r="AC138" i="157"/>
  <c r="AD138" i="157" s="1"/>
  <c r="AC139" i="157"/>
  <c r="AC140" i="157"/>
  <c r="AC141" i="157"/>
  <c r="AD141" i="157" s="1"/>
  <c r="AC142" i="157"/>
  <c r="AC143" i="157"/>
  <c r="AC144" i="157"/>
  <c r="AC145" i="157"/>
  <c r="AD145" i="157" s="1"/>
  <c r="AC146" i="157"/>
  <c r="AD146" i="157" s="1"/>
  <c r="AC147" i="157"/>
  <c r="AC148" i="157"/>
  <c r="AC149" i="157"/>
  <c r="AD149" i="157" s="1"/>
  <c r="AC150" i="157"/>
  <c r="AD150" i="157" s="1"/>
  <c r="AC151" i="157"/>
  <c r="AC152" i="157"/>
  <c r="AC153" i="157"/>
  <c r="AD153" i="157" s="1"/>
  <c r="AC154" i="157"/>
  <c r="AD154" i="157" s="1"/>
  <c r="AC155" i="157"/>
  <c r="AC156" i="157"/>
  <c r="AC157" i="157"/>
  <c r="AD157" i="157" s="1"/>
  <c r="AC158" i="157"/>
  <c r="AC159" i="157"/>
  <c r="AC160" i="157"/>
  <c r="AC161" i="157"/>
  <c r="AD161" i="157" s="1"/>
  <c r="AC162" i="157"/>
  <c r="AD162" i="157" s="1"/>
  <c r="AC163" i="157"/>
  <c r="AC164" i="157"/>
  <c r="AC165" i="157"/>
  <c r="AD165" i="157" s="1"/>
  <c r="AC166" i="157"/>
  <c r="AD166" i="157" s="1"/>
  <c r="AC167" i="157"/>
  <c r="AC168" i="157"/>
  <c r="AC169" i="157"/>
  <c r="AD169" i="157" s="1"/>
  <c r="AC170" i="157"/>
  <c r="AD170" i="157" s="1"/>
  <c r="AC171" i="157"/>
  <c r="AC172" i="157"/>
  <c r="AD172" i="157" s="1"/>
  <c r="AC173" i="157"/>
  <c r="AD173" i="157" s="1"/>
  <c r="AC174" i="157"/>
  <c r="AC175" i="157"/>
  <c r="AC176" i="157"/>
  <c r="AC177" i="157"/>
  <c r="AD177" i="157" s="1"/>
  <c r="AC178" i="157"/>
  <c r="AD178" i="157" s="1"/>
  <c r="AC179" i="157"/>
  <c r="AC180" i="157"/>
  <c r="AC181" i="157"/>
  <c r="AD181" i="157" s="1"/>
  <c r="AC182" i="157"/>
  <c r="AD182" i="157" s="1"/>
  <c r="AC183" i="157"/>
  <c r="AC184" i="157"/>
  <c r="AC185" i="157"/>
  <c r="AD185" i="157" s="1"/>
  <c r="AC186" i="157"/>
  <c r="AD186" i="157" s="1"/>
  <c r="AC187" i="157"/>
  <c r="AC188" i="157"/>
  <c r="AC189" i="157"/>
  <c r="AD189" i="157" s="1"/>
  <c r="AC190" i="157"/>
  <c r="AC191" i="157"/>
  <c r="AC192" i="157"/>
  <c r="AC193" i="157"/>
  <c r="AD193" i="157" s="1"/>
  <c r="AC194" i="157"/>
  <c r="AC195" i="157"/>
  <c r="AC196" i="157"/>
  <c r="AC197" i="157"/>
  <c r="AD197" i="157" s="1"/>
  <c r="AC198" i="157"/>
  <c r="AD198" i="157" s="1"/>
  <c r="AC199" i="157"/>
  <c r="AC200" i="157"/>
  <c r="AC201" i="157"/>
  <c r="AD201" i="157" s="1"/>
  <c r="AC202" i="157"/>
  <c r="AD202" i="157" s="1"/>
  <c r="AC203" i="157"/>
  <c r="AC204" i="157"/>
  <c r="AC205" i="157"/>
  <c r="AD205" i="157" s="1"/>
  <c r="AC206" i="157"/>
  <c r="AC207" i="157"/>
  <c r="AC208" i="157"/>
  <c r="AC209" i="157"/>
  <c r="AD209" i="157" s="1"/>
  <c r="AC210" i="157"/>
  <c r="AD210" i="157" s="1"/>
  <c r="AC211" i="157"/>
  <c r="AC212" i="157"/>
  <c r="AC213" i="157"/>
  <c r="AD213" i="157" s="1"/>
  <c r="AC214" i="157"/>
  <c r="AD214" i="157" s="1"/>
  <c r="AC215" i="157"/>
  <c r="AC216" i="157"/>
  <c r="AC217" i="157"/>
  <c r="AD217" i="157" s="1"/>
  <c r="AC218" i="157"/>
  <c r="AD218" i="157" s="1"/>
  <c r="AC219" i="157"/>
  <c r="AC220" i="157"/>
  <c r="AC221" i="157"/>
  <c r="AD221" i="157" s="1"/>
  <c r="AC222" i="157"/>
  <c r="AC223" i="157"/>
  <c r="AC224" i="157"/>
  <c r="AC225" i="157"/>
  <c r="AD225" i="157" s="1"/>
  <c r="AC226" i="157"/>
  <c r="AD226" i="157" s="1"/>
  <c r="AC227" i="157"/>
  <c r="AC228" i="157"/>
  <c r="AC229" i="157"/>
  <c r="AD229" i="157" s="1"/>
  <c r="AC230" i="157"/>
  <c r="AD230" i="157" s="1"/>
  <c r="AC231" i="157"/>
  <c r="AC232" i="157"/>
  <c r="AC233" i="157"/>
  <c r="AD233" i="157" s="1"/>
  <c r="AC234" i="157"/>
  <c r="AD234" i="157" s="1"/>
  <c r="AC235" i="157"/>
  <c r="AC236" i="157"/>
  <c r="AD236" i="157" s="1"/>
  <c r="AC237" i="157"/>
  <c r="AD237" i="157" s="1"/>
  <c r="AC238" i="157"/>
  <c r="AC239" i="157"/>
  <c r="AC240" i="157"/>
  <c r="AC241" i="157"/>
  <c r="AD241" i="157" s="1"/>
  <c r="AC242" i="157"/>
  <c r="AD242" i="157" s="1"/>
  <c r="AC243" i="157"/>
  <c r="AC244" i="157"/>
  <c r="AC245" i="157"/>
  <c r="AD245" i="157" s="1"/>
  <c r="AC246" i="157"/>
  <c r="AD246" i="157" s="1"/>
  <c r="AC247" i="157"/>
  <c r="AC248" i="157"/>
  <c r="AC249" i="157"/>
  <c r="AD249" i="157" s="1"/>
  <c r="AC250" i="157"/>
  <c r="AD250" i="157" s="1"/>
  <c r="AC251" i="157"/>
  <c r="AC252" i="157"/>
  <c r="AC253" i="157"/>
  <c r="AD253" i="157" s="1"/>
  <c r="AC254" i="157"/>
  <c r="AC255" i="157"/>
  <c r="AC256" i="157"/>
  <c r="AC257" i="157"/>
  <c r="AD257" i="157" s="1"/>
  <c r="AC258" i="157"/>
  <c r="AC259" i="157"/>
  <c r="AC260" i="157"/>
  <c r="AC261" i="157"/>
  <c r="AD261" i="157" s="1"/>
  <c r="AC262" i="157"/>
  <c r="AD262" i="157" s="1"/>
  <c r="AC263" i="157"/>
  <c r="AC264" i="157"/>
  <c r="AC265" i="157"/>
  <c r="AD265" i="157" s="1"/>
  <c r="AC266" i="157"/>
  <c r="AD266" i="157" s="1"/>
  <c r="AC267" i="157"/>
  <c r="AC268" i="157"/>
  <c r="AC269" i="157"/>
  <c r="AD269" i="157" s="1"/>
  <c r="AC270" i="157"/>
  <c r="AC271" i="157"/>
  <c r="AC272" i="157"/>
  <c r="AC273" i="157"/>
  <c r="AD273" i="157" s="1"/>
  <c r="AC274" i="157"/>
  <c r="AD274" i="157" s="1"/>
  <c r="AC275" i="157"/>
  <c r="AC276" i="157"/>
  <c r="AC277" i="157"/>
  <c r="AD277" i="157" s="1"/>
  <c r="AC278" i="157"/>
  <c r="AD278" i="157" s="1"/>
  <c r="AC279" i="157"/>
  <c r="AC280" i="157"/>
  <c r="AC281" i="157"/>
  <c r="AD281" i="157" s="1"/>
  <c r="AC282" i="157"/>
  <c r="AD282" i="157" s="1"/>
  <c r="AC283" i="157"/>
  <c r="AC284" i="157"/>
  <c r="AC285" i="157"/>
  <c r="AD285" i="157" s="1"/>
  <c r="AC286" i="157"/>
  <c r="AC287" i="157"/>
  <c r="AC288" i="157"/>
  <c r="AC289" i="157"/>
  <c r="AD289" i="157" s="1"/>
  <c r="AC290" i="157"/>
  <c r="AD290" i="157" s="1"/>
  <c r="AC291" i="157"/>
  <c r="AC292" i="157"/>
  <c r="AC293" i="157"/>
  <c r="AD293" i="157" s="1"/>
  <c r="AC294" i="157"/>
  <c r="AD294" i="157" s="1"/>
  <c r="AC295" i="157"/>
  <c r="AC296" i="157"/>
  <c r="AC297" i="157"/>
  <c r="AD297" i="157" s="1"/>
  <c r="AC298" i="157"/>
  <c r="AD298" i="157" s="1"/>
  <c r="AC299" i="157"/>
  <c r="AC300" i="157"/>
  <c r="AD300" i="157" s="1"/>
  <c r="AC301" i="157"/>
  <c r="AD301" i="157" s="1"/>
  <c r="AC302" i="157"/>
  <c r="AC303" i="157"/>
  <c r="AC304" i="157"/>
  <c r="AC305" i="157"/>
  <c r="AD305" i="157" s="1"/>
  <c r="AC306" i="157"/>
  <c r="AD306" i="157" s="1"/>
  <c r="AC307" i="157"/>
  <c r="AC308" i="157"/>
  <c r="AC309" i="157"/>
  <c r="AD309" i="157" s="1"/>
  <c r="AC310" i="157"/>
  <c r="AD310" i="157" s="1"/>
  <c r="AC311" i="157"/>
  <c r="AC312" i="157"/>
  <c r="AC313" i="157"/>
  <c r="AD313" i="157" s="1"/>
  <c r="AC314" i="157"/>
  <c r="AD314" i="157" s="1"/>
  <c r="AC315" i="157"/>
  <c r="AC316" i="157"/>
  <c r="AC317" i="157"/>
  <c r="AD317" i="157" s="1"/>
  <c r="AC318" i="157"/>
  <c r="AC319" i="157"/>
  <c r="AC320" i="157"/>
  <c r="AC321" i="157"/>
  <c r="AD321" i="157" s="1"/>
  <c r="AC322" i="157"/>
  <c r="AD322" i="157" s="1"/>
  <c r="AC323" i="157"/>
  <c r="AC324" i="157"/>
  <c r="AC325" i="157"/>
  <c r="AD325" i="157" s="1"/>
  <c r="AC326" i="157"/>
  <c r="AD326" i="157" s="1"/>
  <c r="AC327" i="157"/>
  <c r="AC328" i="157"/>
  <c r="AC329" i="157"/>
  <c r="AD329" i="157" s="1"/>
  <c r="AC330" i="157"/>
  <c r="AD330" i="157" s="1"/>
  <c r="AC331" i="157"/>
  <c r="AC332" i="157"/>
  <c r="AC333" i="157"/>
  <c r="AD333" i="157" s="1"/>
  <c r="AC334" i="157"/>
  <c r="AC335" i="157"/>
  <c r="AC336" i="157"/>
  <c r="AC337" i="157"/>
  <c r="AD337" i="157" s="1"/>
  <c r="AC338" i="157"/>
  <c r="AD338" i="157" s="1"/>
  <c r="AC339" i="157"/>
  <c r="AC340" i="157"/>
  <c r="AC341" i="157"/>
  <c r="AD341" i="157" s="1"/>
  <c r="AC342" i="157"/>
  <c r="AD342" i="157" s="1"/>
  <c r="AC343" i="157"/>
  <c r="AC344" i="157"/>
  <c r="AC345" i="157"/>
  <c r="AD345" i="157" s="1"/>
  <c r="AC346" i="157"/>
  <c r="AD346" i="157" s="1"/>
  <c r="AC347" i="157"/>
  <c r="AC348" i="157"/>
  <c r="AC349" i="157"/>
  <c r="AD349" i="157" s="1"/>
  <c r="AC350" i="157"/>
  <c r="AC351" i="157"/>
  <c r="AC352" i="157"/>
  <c r="AC353" i="157"/>
  <c r="AD353" i="157" s="1"/>
  <c r="AC354" i="157"/>
  <c r="AD354" i="157" s="1"/>
  <c r="AC355" i="157"/>
  <c r="AC356" i="157"/>
  <c r="AC357" i="157"/>
  <c r="AD357" i="157" s="1"/>
  <c r="AC358" i="157"/>
  <c r="AD358" i="157" s="1"/>
  <c r="AC359" i="157"/>
  <c r="AC360" i="157"/>
  <c r="AC361" i="157"/>
  <c r="AD361" i="157" s="1"/>
  <c r="AC362" i="157"/>
  <c r="AD362" i="157" s="1"/>
  <c r="AC363" i="157"/>
  <c r="AC364" i="157"/>
  <c r="AD364" i="157" s="1"/>
  <c r="AC365" i="157"/>
  <c r="AD365" i="157" s="1"/>
  <c r="AC366" i="157"/>
  <c r="AC367" i="157"/>
  <c r="AC368" i="157"/>
  <c r="AC369" i="157"/>
  <c r="AD369" i="157" s="1"/>
  <c r="AC370" i="157"/>
  <c r="AD370" i="157" s="1"/>
  <c r="AC371" i="157"/>
  <c r="AC372" i="157"/>
  <c r="AC373" i="157"/>
  <c r="AD373" i="157" s="1"/>
  <c r="AC374" i="157"/>
  <c r="AD374" i="157" s="1"/>
  <c r="AC375" i="157"/>
  <c r="AC376" i="157"/>
  <c r="AC377" i="157"/>
  <c r="AD377" i="157" s="1"/>
  <c r="AC378" i="157"/>
  <c r="AD378" i="157" s="1"/>
  <c r="AC379" i="157"/>
  <c r="AC380" i="157"/>
  <c r="AD380" i="157" s="1"/>
  <c r="AC381" i="157"/>
  <c r="AD381" i="157" s="1"/>
  <c r="AC382" i="157"/>
  <c r="AC383" i="157"/>
  <c r="AC384" i="157"/>
  <c r="AC385" i="157"/>
  <c r="AD385" i="157" s="1"/>
  <c r="AC386" i="157"/>
  <c r="AD386" i="157" s="1"/>
  <c r="AC387" i="157"/>
  <c r="AC388" i="157"/>
  <c r="AC389" i="157"/>
  <c r="AD389" i="157" s="1"/>
  <c r="AC390" i="157"/>
  <c r="AD390" i="157" s="1"/>
  <c r="AC391" i="157"/>
  <c r="AC392" i="157"/>
  <c r="AC393" i="157"/>
  <c r="AD393" i="157" s="1"/>
  <c r="AC394" i="157"/>
  <c r="AD394" i="157" s="1"/>
  <c r="AC395" i="157"/>
  <c r="AC396" i="157"/>
  <c r="AD396" i="157" s="1"/>
  <c r="AC397" i="157"/>
  <c r="AD397" i="157" s="1"/>
  <c r="AC398" i="157"/>
  <c r="AD398" i="157" s="1"/>
  <c r="AC399" i="157"/>
  <c r="AC400" i="157"/>
  <c r="AC401" i="157"/>
  <c r="AD401" i="157" s="1"/>
  <c r="AC402" i="157"/>
  <c r="AD402" i="157" s="1"/>
  <c r="AC403" i="157"/>
  <c r="AC404" i="157"/>
  <c r="AC405" i="157"/>
  <c r="AD405" i="157" s="1"/>
  <c r="AC406" i="157"/>
  <c r="AD406" i="157" s="1"/>
  <c r="AC407" i="157"/>
  <c r="AC408" i="157"/>
  <c r="AC409" i="157"/>
  <c r="AD409" i="157" s="1"/>
  <c r="AC410" i="157"/>
  <c r="AD410" i="157" s="1"/>
  <c r="AC411" i="157"/>
  <c r="AC412" i="157"/>
  <c r="AD412" i="157" s="1"/>
  <c r="AC413" i="157"/>
  <c r="AD413" i="157" s="1"/>
  <c r="AC414" i="157"/>
  <c r="AC415" i="157"/>
  <c r="AC416" i="157"/>
  <c r="AC417" i="157"/>
  <c r="AD417" i="157" s="1"/>
  <c r="AC418" i="157"/>
  <c r="AD418" i="157" s="1"/>
  <c r="AC419" i="157"/>
  <c r="AC420" i="157"/>
  <c r="AC421" i="157"/>
  <c r="AD421" i="157" s="1"/>
  <c r="AC422" i="157"/>
  <c r="AD422" i="157" s="1"/>
  <c r="AC423" i="157"/>
  <c r="AC424" i="157"/>
  <c r="AC425" i="157"/>
  <c r="AD425" i="157" s="1"/>
  <c r="AC426" i="157"/>
  <c r="AD426" i="157" s="1"/>
  <c r="AC427" i="157"/>
  <c r="AC428" i="157"/>
  <c r="AD428" i="157" s="1"/>
  <c r="AC429" i="157"/>
  <c r="AD429" i="157" s="1"/>
  <c r="AC430" i="157"/>
  <c r="AC431" i="157"/>
  <c r="AC432" i="157"/>
  <c r="AC433" i="157"/>
  <c r="AD433" i="157" s="1"/>
  <c r="AC434" i="157"/>
  <c r="AD434" i="157" s="1"/>
  <c r="AC435" i="157"/>
  <c r="AC436" i="157"/>
  <c r="AC437" i="157"/>
  <c r="AD437" i="157" s="1"/>
  <c r="AC438" i="157"/>
  <c r="AD438" i="157" s="1"/>
  <c r="AC439" i="157"/>
  <c r="AC440" i="157"/>
  <c r="AC441" i="157"/>
  <c r="AD441" i="157" s="1"/>
  <c r="AC442" i="157"/>
  <c r="AD442" i="157" s="1"/>
  <c r="AC443" i="157"/>
  <c r="AC444" i="157"/>
  <c r="AD444" i="157" s="1"/>
  <c r="AC445" i="157"/>
  <c r="AD445" i="157" s="1"/>
  <c r="AC446" i="157"/>
  <c r="AC447" i="157"/>
  <c r="AC448" i="157"/>
  <c r="AC449" i="157"/>
  <c r="AD449" i="157" s="1"/>
  <c r="AC450" i="157"/>
  <c r="AD450" i="157" s="1"/>
  <c r="AC451" i="157"/>
  <c r="AC452" i="157"/>
  <c r="AC453" i="157"/>
  <c r="AD453" i="157" s="1"/>
  <c r="AC454" i="157"/>
  <c r="AD454" i="157" s="1"/>
  <c r="AC455" i="157"/>
  <c r="AC456" i="157"/>
  <c r="AC457" i="157"/>
  <c r="AD457" i="157" s="1"/>
  <c r="AC458" i="157"/>
  <c r="AD458" i="157" s="1"/>
  <c r="AC459" i="157"/>
  <c r="AC460" i="157"/>
  <c r="AD460" i="157" s="1"/>
  <c r="AC461" i="157"/>
  <c r="AD461" i="157" s="1"/>
  <c r="AC462" i="157"/>
  <c r="AC463" i="157"/>
  <c r="AC464" i="157"/>
  <c r="AC465" i="157"/>
  <c r="AD465" i="157" s="1"/>
  <c r="AC466" i="157"/>
  <c r="AD466" i="157" s="1"/>
  <c r="AC467" i="157"/>
  <c r="AC468" i="157"/>
  <c r="AC469" i="157"/>
  <c r="AD469" i="157" s="1"/>
  <c r="AC470" i="157"/>
  <c r="AD470" i="157" s="1"/>
  <c r="AC471" i="157"/>
  <c r="AC472" i="157"/>
  <c r="AC473" i="157"/>
  <c r="AD473" i="157" s="1"/>
  <c r="AC474" i="157"/>
  <c r="AD474" i="157" s="1"/>
  <c r="AC475" i="157"/>
  <c r="AC476" i="157"/>
  <c r="AD476" i="157" s="1"/>
  <c r="AC477" i="157"/>
  <c r="AD477" i="157" s="1"/>
  <c r="AC478" i="157"/>
  <c r="AD478" i="157" s="1"/>
  <c r="AC479" i="157"/>
  <c r="AC480" i="157"/>
  <c r="AC481" i="157"/>
  <c r="AD481" i="157" s="1"/>
  <c r="AC482" i="157"/>
  <c r="AD482" i="157" s="1"/>
  <c r="AC483" i="157"/>
  <c r="AC484" i="157"/>
  <c r="AC485" i="157"/>
  <c r="AD485" i="157" s="1"/>
  <c r="AC486" i="157"/>
  <c r="AD486" i="157" s="1"/>
  <c r="AC487" i="157"/>
  <c r="AC488" i="157"/>
  <c r="AC489" i="157"/>
  <c r="AD489" i="157" s="1"/>
  <c r="AC490" i="157"/>
  <c r="AD490" i="157" s="1"/>
  <c r="AC491" i="157"/>
  <c r="AC492" i="157"/>
  <c r="AD492" i="157" s="1"/>
  <c r="AC493" i="157"/>
  <c r="AD493" i="157" s="1"/>
  <c r="AC494" i="157"/>
  <c r="AC495" i="157"/>
  <c r="AC496" i="157"/>
  <c r="AC497" i="157"/>
  <c r="AD497" i="157" s="1"/>
  <c r="AC498" i="157"/>
  <c r="AD498" i="157" s="1"/>
  <c r="AC499" i="157"/>
  <c r="AC500" i="157"/>
  <c r="AC501" i="157"/>
  <c r="AD501" i="157" s="1"/>
  <c r="AC502" i="157"/>
  <c r="AD502" i="157" s="1"/>
  <c r="AC503" i="157"/>
  <c r="AC504" i="157"/>
  <c r="AC505" i="157"/>
  <c r="AD505" i="157" s="1"/>
  <c r="AC506" i="157"/>
  <c r="AD506" i="157" s="1"/>
  <c r="AC507" i="157"/>
  <c r="AC508" i="157"/>
  <c r="AD508" i="157" s="1"/>
  <c r="AC509" i="157"/>
  <c r="AD509" i="157" s="1"/>
  <c r="AC510" i="157"/>
  <c r="AC511" i="157"/>
  <c r="AC512" i="157"/>
  <c r="AC513" i="157"/>
  <c r="AD513" i="157" s="1"/>
  <c r="AC514" i="157"/>
  <c r="AD514" i="157" s="1"/>
  <c r="AC515" i="157"/>
  <c r="AC516" i="157"/>
  <c r="AC517" i="157"/>
  <c r="AD517" i="157" s="1"/>
  <c r="AC518" i="157"/>
  <c r="AD518" i="157" s="1"/>
  <c r="AC519" i="157"/>
  <c r="AC520" i="157"/>
  <c r="AC521" i="157"/>
  <c r="AD521" i="157" s="1"/>
  <c r="AC522" i="157"/>
  <c r="AD522" i="157" s="1"/>
  <c r="AC523" i="157"/>
  <c r="AC524" i="157"/>
  <c r="AD524" i="157" s="1"/>
  <c r="AC525" i="157"/>
  <c r="AD525" i="157" s="1"/>
  <c r="AC526" i="157"/>
  <c r="AC527" i="157"/>
  <c r="AC528" i="157"/>
  <c r="AC529" i="157"/>
  <c r="AD529" i="157" s="1"/>
  <c r="AC530" i="157"/>
  <c r="AD530" i="157" s="1"/>
  <c r="AC531" i="157"/>
  <c r="AC532" i="157"/>
  <c r="AC533" i="157"/>
  <c r="AD533" i="157" s="1"/>
  <c r="AC534" i="157"/>
  <c r="AD534" i="157" s="1"/>
  <c r="AC535" i="157"/>
  <c r="AC536" i="157"/>
  <c r="AC537" i="157"/>
  <c r="AD537" i="157" s="1"/>
  <c r="AC538" i="157"/>
  <c r="AD538" i="157" s="1"/>
  <c r="AC539" i="157"/>
  <c r="AC540" i="157"/>
  <c r="AD540" i="157" s="1"/>
  <c r="AC541" i="157"/>
  <c r="AD541" i="157" s="1"/>
  <c r="AC542" i="157"/>
  <c r="AD542" i="157" s="1"/>
  <c r="AC543" i="157"/>
  <c r="AC544" i="157"/>
  <c r="AC545" i="157"/>
  <c r="AD545" i="157" s="1"/>
  <c r="AC546" i="157"/>
  <c r="AD546" i="157" s="1"/>
  <c r="AC547" i="157"/>
  <c r="AC548" i="157"/>
  <c r="AC549" i="157"/>
  <c r="AD549" i="157" s="1"/>
  <c r="AC550" i="157"/>
  <c r="AD550" i="157" s="1"/>
  <c r="AC551" i="157"/>
  <c r="AC552" i="157"/>
  <c r="AC553" i="157"/>
  <c r="AD553" i="157" s="1"/>
  <c r="AC554" i="157"/>
  <c r="AD554" i="157" s="1"/>
  <c r="AC555" i="157"/>
  <c r="AC556" i="157"/>
  <c r="AD556" i="157" s="1"/>
  <c r="AC557" i="157"/>
  <c r="AD557" i="157" s="1"/>
  <c r="AC558" i="157"/>
  <c r="AC559" i="157"/>
  <c r="AC560" i="157"/>
  <c r="AC561" i="157"/>
  <c r="AD561" i="157" s="1"/>
  <c r="AC562" i="157"/>
  <c r="AD562" i="157" s="1"/>
  <c r="AC563" i="157"/>
  <c r="AC564" i="157"/>
  <c r="AC565" i="157"/>
  <c r="AD565" i="157" s="1"/>
  <c r="AC566" i="157"/>
  <c r="AD566" i="157" s="1"/>
  <c r="AC567" i="157"/>
  <c r="AC568" i="157"/>
  <c r="AC569" i="157"/>
  <c r="AD569" i="157" s="1"/>
  <c r="AC570" i="157"/>
  <c r="AD570" i="157" s="1"/>
  <c r="AC571" i="157"/>
  <c r="AC572" i="157"/>
  <c r="AD572" i="157" s="1"/>
  <c r="AC573" i="157"/>
  <c r="AD573" i="157" s="1"/>
  <c r="AC574" i="157"/>
  <c r="AC575" i="157"/>
  <c r="AC576" i="157"/>
  <c r="AC577" i="157"/>
  <c r="AD577" i="157" s="1"/>
  <c r="AC578" i="157"/>
  <c r="AD578" i="157" s="1"/>
  <c r="AC579" i="157"/>
  <c r="AC580" i="157"/>
  <c r="AC581" i="157"/>
  <c r="AD581" i="157" s="1"/>
  <c r="AC582" i="157"/>
  <c r="AD582" i="157" s="1"/>
  <c r="AC583" i="157"/>
  <c r="AC584" i="157"/>
  <c r="AC585" i="157"/>
  <c r="AD585" i="157" s="1"/>
  <c r="AC586" i="157"/>
  <c r="AD586" i="157" s="1"/>
  <c r="AC587" i="157"/>
  <c r="AC588" i="157"/>
  <c r="AD588" i="157" s="1"/>
  <c r="AC589" i="157"/>
  <c r="AD589" i="157" s="1"/>
  <c r="AC590" i="157"/>
  <c r="AC591" i="157"/>
  <c r="AC592" i="157"/>
  <c r="AC593" i="157"/>
  <c r="AD593" i="157" s="1"/>
  <c r="AC594" i="157"/>
  <c r="AD594" i="157" s="1"/>
  <c r="AC595" i="157"/>
  <c r="AC596" i="157"/>
  <c r="AC597" i="157"/>
  <c r="AD597" i="157" s="1"/>
  <c r="AC598" i="157"/>
  <c r="AD598" i="157" s="1"/>
  <c r="AC599" i="157"/>
  <c r="AC600" i="157"/>
  <c r="AC601" i="157"/>
  <c r="AD601" i="157" s="1"/>
  <c r="AC602" i="157"/>
  <c r="AD602" i="157" s="1"/>
  <c r="AC603" i="157"/>
  <c r="AC604" i="157"/>
  <c r="AD604" i="157" s="1"/>
  <c r="AC605" i="157"/>
  <c r="AD605" i="157" s="1"/>
  <c r="AC606" i="157"/>
  <c r="AC607" i="157"/>
  <c r="AC608" i="157"/>
  <c r="AC609" i="157"/>
  <c r="AD609" i="157" s="1"/>
  <c r="AC610" i="157"/>
  <c r="AD610" i="157" s="1"/>
  <c r="AC611" i="157"/>
  <c r="AC612" i="157"/>
  <c r="AC613" i="157"/>
  <c r="AD613" i="157" s="1"/>
  <c r="AC614" i="157"/>
  <c r="AD614" i="157" s="1"/>
  <c r="AC615" i="157"/>
  <c r="AC616" i="157"/>
  <c r="AC617" i="157"/>
  <c r="AD617" i="157" s="1"/>
  <c r="AC618" i="157"/>
  <c r="AD618" i="157" s="1"/>
  <c r="AC619" i="157"/>
  <c r="AC620" i="157"/>
  <c r="AD620" i="157" s="1"/>
  <c r="AC621" i="157"/>
  <c r="AD621" i="157" s="1"/>
  <c r="AC622" i="157"/>
  <c r="AC623" i="157"/>
  <c r="AC624" i="157"/>
  <c r="AC625" i="157"/>
  <c r="AD625" i="157" s="1"/>
  <c r="AC626" i="157"/>
  <c r="AD626" i="157" s="1"/>
  <c r="AC627" i="157"/>
  <c r="AC628" i="157"/>
  <c r="AC629" i="157"/>
  <c r="AD629" i="157" s="1"/>
  <c r="AC630" i="157"/>
  <c r="AD630" i="157" s="1"/>
  <c r="AC631" i="157"/>
  <c r="AC632" i="157"/>
  <c r="AC633" i="157"/>
  <c r="AD633" i="157" s="1"/>
  <c r="AC634" i="157"/>
  <c r="AD634" i="157" s="1"/>
  <c r="AC635" i="157"/>
  <c r="AC636" i="157"/>
  <c r="AD636" i="157" s="1"/>
  <c r="AC637" i="157"/>
  <c r="AD637" i="157" s="1"/>
  <c r="AC638" i="157"/>
  <c r="AC639" i="157"/>
  <c r="AC640" i="157"/>
  <c r="AC641" i="157"/>
  <c r="AD641" i="157" s="1"/>
  <c r="AC642" i="157"/>
  <c r="AD642" i="157" s="1"/>
  <c r="AC643" i="157"/>
  <c r="AC644" i="157"/>
  <c r="AC645" i="157"/>
  <c r="AD645" i="157" s="1"/>
  <c r="AC646" i="157"/>
  <c r="AD646" i="157" s="1"/>
  <c r="AC647" i="157"/>
  <c r="AC648" i="157"/>
  <c r="AC649" i="157"/>
  <c r="AD649" i="157" s="1"/>
  <c r="AC650" i="157"/>
  <c r="AD650" i="157" s="1"/>
  <c r="AC651" i="157"/>
  <c r="AC652" i="157"/>
  <c r="AD652" i="157" s="1"/>
  <c r="AC653" i="157"/>
  <c r="AD653" i="157" s="1"/>
  <c r="AC654" i="157"/>
  <c r="AC655" i="157"/>
  <c r="AC656" i="157"/>
  <c r="AC657" i="157"/>
  <c r="AD657" i="157" s="1"/>
  <c r="AC658" i="157"/>
  <c r="AD658" i="157" s="1"/>
  <c r="AC659" i="157"/>
  <c r="AC660" i="157"/>
  <c r="AC661" i="157"/>
  <c r="AD661" i="157" s="1"/>
  <c r="AC662" i="157"/>
  <c r="AD662" i="157" s="1"/>
  <c r="AC663" i="157"/>
  <c r="AC664" i="157"/>
  <c r="AC665" i="157"/>
  <c r="AD665" i="157" s="1"/>
  <c r="AC666" i="157"/>
  <c r="AD666" i="157" s="1"/>
  <c r="AC667" i="157"/>
  <c r="AC668" i="157"/>
  <c r="AD668" i="157" s="1"/>
  <c r="AC669" i="157"/>
  <c r="AD669" i="157" s="1"/>
  <c r="AC670" i="157"/>
  <c r="AC671" i="157"/>
  <c r="AC672" i="157"/>
  <c r="AC673" i="157"/>
  <c r="AD673" i="157" s="1"/>
  <c r="AC674" i="157"/>
  <c r="AD674" i="157" s="1"/>
  <c r="AC675" i="157"/>
  <c r="AC676" i="157"/>
  <c r="AC677" i="157"/>
  <c r="AD677" i="157" s="1"/>
  <c r="AC678" i="157"/>
  <c r="AD678" i="157" s="1"/>
  <c r="AC679" i="157"/>
  <c r="AC680" i="157"/>
  <c r="AC681" i="157"/>
  <c r="AD681" i="157" s="1"/>
  <c r="AC682" i="157"/>
  <c r="AD682" i="157" s="1"/>
  <c r="AC683" i="157"/>
  <c r="AC684" i="157"/>
  <c r="AD684" i="157" s="1"/>
  <c r="AC685" i="157"/>
  <c r="AD685" i="157" s="1"/>
  <c r="AC686" i="157"/>
  <c r="AC687" i="157"/>
  <c r="AC688" i="157"/>
  <c r="AC689" i="157"/>
  <c r="AD689" i="157" s="1"/>
  <c r="AC690" i="157"/>
  <c r="AD690" i="157" s="1"/>
  <c r="AC691" i="157"/>
  <c r="AC692" i="157"/>
  <c r="AC693" i="157"/>
  <c r="AD693" i="157" s="1"/>
  <c r="AC694" i="157"/>
  <c r="AD694" i="157" s="1"/>
  <c r="AC695" i="157"/>
  <c r="AC696" i="157"/>
  <c r="AC697" i="157"/>
  <c r="AD697" i="157" s="1"/>
  <c r="AC698" i="157"/>
  <c r="AD698" i="157" s="1"/>
  <c r="AC699" i="157"/>
  <c r="AC700" i="157"/>
  <c r="AC701" i="157"/>
  <c r="AD701" i="157" s="1"/>
  <c r="AC702" i="157"/>
  <c r="AD702" i="157" s="1"/>
  <c r="AC703" i="157"/>
  <c r="AC704" i="157"/>
  <c r="AC705" i="157"/>
  <c r="AD705" i="157" s="1"/>
  <c r="AC706" i="157"/>
  <c r="AD706" i="157" s="1"/>
  <c r="AC707" i="157"/>
  <c r="AC708" i="157"/>
  <c r="AC709" i="157"/>
  <c r="AD709" i="157" s="1"/>
  <c r="AC710" i="157"/>
  <c r="AD710" i="157" s="1"/>
  <c r="AC711" i="157"/>
  <c r="AC712" i="157"/>
  <c r="AC713" i="157"/>
  <c r="AD713" i="157" s="1"/>
  <c r="AC714" i="157"/>
  <c r="AD714" i="157" s="1"/>
  <c r="AC715" i="157"/>
  <c r="AC716" i="157"/>
  <c r="AC717" i="157"/>
  <c r="AD717" i="157" s="1"/>
  <c r="AC718" i="157"/>
  <c r="AD718" i="157" s="1"/>
  <c r="AC719" i="157"/>
  <c r="AC720" i="157"/>
  <c r="AC721" i="157"/>
  <c r="AD721" i="157" s="1"/>
  <c r="AC722" i="157"/>
  <c r="AD722" i="157" s="1"/>
  <c r="AC723" i="157"/>
  <c r="AC724" i="157"/>
  <c r="AC725" i="157"/>
  <c r="AD725" i="157" s="1"/>
  <c r="AC726" i="157"/>
  <c r="AD726" i="157" s="1"/>
  <c r="AC727" i="157"/>
  <c r="AC728" i="157"/>
  <c r="AC729" i="157"/>
  <c r="AD729" i="157" s="1"/>
  <c r="AC730" i="157"/>
  <c r="AD730" i="157" s="1"/>
  <c r="AC731" i="157"/>
  <c r="AC732" i="157"/>
  <c r="AC733" i="157"/>
  <c r="AD733" i="157" s="1"/>
  <c r="AC734" i="157"/>
  <c r="AD734" i="157" s="1"/>
  <c r="AC735" i="157"/>
  <c r="AC736" i="157"/>
  <c r="AC737" i="157"/>
  <c r="AD737" i="157" s="1"/>
  <c r="AC738" i="157"/>
  <c r="AD738" i="157" s="1"/>
  <c r="AC739" i="157"/>
  <c r="AC740" i="157"/>
  <c r="AC741" i="157"/>
  <c r="AD741" i="157" s="1"/>
  <c r="AC742" i="157"/>
  <c r="AD742" i="157" s="1"/>
  <c r="AC743" i="157"/>
  <c r="AC744" i="157"/>
  <c r="AC745" i="157"/>
  <c r="AD745" i="157" s="1"/>
  <c r="AC746" i="157"/>
  <c r="AD746" i="157" s="1"/>
  <c r="AC747" i="157"/>
  <c r="AC748" i="157"/>
  <c r="AC749" i="157"/>
  <c r="AD749" i="157" s="1"/>
  <c r="AC750" i="157"/>
  <c r="AD750" i="157" s="1"/>
  <c r="AC751" i="157"/>
  <c r="AC752" i="157"/>
  <c r="AC753" i="157"/>
  <c r="AD753" i="157" s="1"/>
  <c r="AC754" i="157"/>
  <c r="AD754" i="157" s="1"/>
  <c r="AC755" i="157"/>
  <c r="AC756" i="157"/>
  <c r="AC757" i="157"/>
  <c r="AD757" i="157" s="1"/>
  <c r="AC758" i="157"/>
  <c r="AD758" i="157" s="1"/>
  <c r="AC759" i="157"/>
  <c r="AC760" i="157"/>
  <c r="AC761" i="157"/>
  <c r="AD761" i="157" s="1"/>
  <c r="AC762" i="157"/>
  <c r="AD762" i="157" s="1"/>
  <c r="AC763" i="157"/>
  <c r="AC764" i="157"/>
  <c r="AC765" i="157"/>
  <c r="AD765" i="157" s="1"/>
  <c r="AC766" i="157"/>
  <c r="AD766" i="157" s="1"/>
  <c r="AC767" i="157"/>
  <c r="AC768" i="157"/>
  <c r="AC769" i="157"/>
  <c r="AD769" i="157" s="1"/>
  <c r="AC770" i="157"/>
  <c r="AD770" i="157" s="1"/>
  <c r="AC771" i="157"/>
  <c r="AC772" i="157"/>
  <c r="AC773" i="157"/>
  <c r="AD773" i="157" s="1"/>
  <c r="AC774" i="157"/>
  <c r="AD774" i="157" s="1"/>
  <c r="AC775" i="157"/>
  <c r="AC776" i="157"/>
  <c r="AC777" i="157"/>
  <c r="AD777" i="157" s="1"/>
  <c r="AC778" i="157"/>
  <c r="AD778" i="157" s="1"/>
  <c r="AC779" i="157"/>
  <c r="AC780" i="157"/>
  <c r="AC781" i="157"/>
  <c r="AD781" i="157" s="1"/>
  <c r="AC782" i="157"/>
  <c r="AD782" i="157" s="1"/>
  <c r="AC783" i="157"/>
  <c r="AC784" i="157"/>
  <c r="AC785" i="157"/>
  <c r="AD785" i="157" s="1"/>
  <c r="AC786" i="157"/>
  <c r="AD786" i="157" s="1"/>
  <c r="AC787" i="157"/>
  <c r="AC788" i="157"/>
  <c r="AC789" i="157"/>
  <c r="AD789" i="157" s="1"/>
  <c r="AC790" i="157"/>
  <c r="AD790" i="157" s="1"/>
  <c r="AC791" i="157"/>
  <c r="AC792" i="157"/>
  <c r="AC793" i="157"/>
  <c r="AD793" i="157" s="1"/>
  <c r="AC794" i="157"/>
  <c r="AD794" i="157" s="1"/>
  <c r="AC795" i="157"/>
  <c r="AC796" i="157"/>
  <c r="AC797" i="157"/>
  <c r="AD797" i="157" s="1"/>
  <c r="AC798" i="157"/>
  <c r="AD798" i="157" s="1"/>
  <c r="AC799" i="157"/>
  <c r="AC800" i="157"/>
  <c r="AC801" i="157"/>
  <c r="AD801" i="157" s="1"/>
  <c r="AC802" i="157"/>
  <c r="AD802" i="157" s="1"/>
  <c r="AC803" i="157"/>
  <c r="AC804" i="157"/>
  <c r="AC805" i="157"/>
  <c r="AD805" i="157" s="1"/>
  <c r="AC806" i="157"/>
  <c r="AD806" i="157" s="1"/>
  <c r="AC807" i="157"/>
  <c r="AC808" i="157"/>
  <c r="AC809" i="157"/>
  <c r="AD809" i="157" s="1"/>
  <c r="AC810" i="157"/>
  <c r="AD810" i="157" s="1"/>
  <c r="AC811" i="157"/>
  <c r="AC812" i="157"/>
  <c r="AC813" i="157"/>
  <c r="AD813" i="157" s="1"/>
  <c r="AC814" i="157"/>
  <c r="AD814" i="157" s="1"/>
  <c r="AC815" i="157"/>
  <c r="AC816" i="157"/>
  <c r="AC817" i="157"/>
  <c r="AD817" i="157" s="1"/>
  <c r="AC818" i="157"/>
  <c r="AD818" i="157" s="1"/>
  <c r="AC819" i="157"/>
  <c r="AC820" i="157"/>
  <c r="AC821" i="157"/>
  <c r="AD821" i="157" s="1"/>
  <c r="AC822" i="157"/>
  <c r="AD822" i="157" s="1"/>
  <c r="AC823" i="157"/>
  <c r="AC824" i="157"/>
  <c r="AC825" i="157"/>
  <c r="AD825" i="157" s="1"/>
  <c r="AC826" i="157"/>
  <c r="AD826" i="157" s="1"/>
  <c r="AC827" i="157"/>
  <c r="AC828" i="157"/>
  <c r="AC829" i="157"/>
  <c r="AD829" i="157" s="1"/>
  <c r="AC830" i="157"/>
  <c r="AD830" i="157" s="1"/>
  <c r="AC831" i="157"/>
  <c r="AC832" i="157"/>
  <c r="AC833" i="157"/>
  <c r="AD833" i="157" s="1"/>
  <c r="AC834" i="157"/>
  <c r="AD834" i="157" s="1"/>
  <c r="AC835" i="157"/>
  <c r="AC836" i="157"/>
  <c r="AC837" i="157"/>
  <c r="AD837" i="157" s="1"/>
  <c r="AC838" i="157"/>
  <c r="AD838" i="157" s="1"/>
  <c r="AC839" i="157"/>
  <c r="AC840" i="157"/>
  <c r="AC841" i="157"/>
  <c r="AD841" i="157" s="1"/>
  <c r="AC842" i="157"/>
  <c r="AD842" i="157" s="1"/>
  <c r="AC843" i="157"/>
  <c r="AC844" i="157"/>
  <c r="AC845" i="157"/>
  <c r="AD845" i="157" s="1"/>
  <c r="AC846" i="157"/>
  <c r="AD846" i="157" s="1"/>
  <c r="AC847" i="157"/>
  <c r="AC848" i="157"/>
  <c r="AC849" i="157"/>
  <c r="AD849" i="157" s="1"/>
  <c r="AC850" i="157"/>
  <c r="AD850" i="157" s="1"/>
  <c r="AC851" i="157"/>
  <c r="AC852" i="157"/>
  <c r="AC853" i="157"/>
  <c r="AD853" i="157" s="1"/>
  <c r="AC854" i="157"/>
  <c r="AD854" i="157" s="1"/>
  <c r="AC855" i="157"/>
  <c r="AC856" i="157"/>
  <c r="AC857" i="157"/>
  <c r="AD857" i="157" s="1"/>
  <c r="AC858" i="157"/>
  <c r="AD858" i="157" s="1"/>
  <c r="AC859" i="157"/>
  <c r="AC860" i="157"/>
  <c r="AC861" i="157"/>
  <c r="AD861" i="157" s="1"/>
  <c r="AC862" i="157"/>
  <c r="AD862" i="157" s="1"/>
  <c r="AC863" i="157"/>
  <c r="AC864" i="157"/>
  <c r="AC865" i="157"/>
  <c r="AD865" i="157" s="1"/>
  <c r="AC866" i="157"/>
  <c r="AD866" i="157" s="1"/>
  <c r="AC867" i="157"/>
  <c r="AC868" i="157"/>
  <c r="AC869" i="157"/>
  <c r="AD869" i="157" s="1"/>
  <c r="AC870" i="157"/>
  <c r="AD870" i="157" s="1"/>
  <c r="AC871" i="157"/>
  <c r="AC872" i="157"/>
  <c r="AC873" i="157"/>
  <c r="AD873" i="157" s="1"/>
  <c r="AC874" i="157"/>
  <c r="AD874" i="157" s="1"/>
  <c r="AC875" i="157"/>
  <c r="AC876" i="157"/>
  <c r="AC877" i="157"/>
  <c r="AD877" i="157" s="1"/>
  <c r="AC878" i="157"/>
  <c r="AD878" i="157" s="1"/>
  <c r="AC879" i="157"/>
  <c r="AC880" i="157"/>
  <c r="AC881" i="157"/>
  <c r="AD881" i="157" s="1"/>
  <c r="AC882" i="157"/>
  <c r="AD882" i="157" s="1"/>
  <c r="AC883" i="157"/>
  <c r="AC884" i="157"/>
  <c r="AC885" i="157"/>
  <c r="AD885" i="157" s="1"/>
  <c r="AC886" i="157"/>
  <c r="AD886" i="157" s="1"/>
  <c r="AC887" i="157"/>
  <c r="AC888" i="157"/>
  <c r="AC889" i="157"/>
  <c r="AD889" i="157" s="1"/>
  <c r="AC890" i="157"/>
  <c r="AD890" i="157" s="1"/>
  <c r="AC891" i="157"/>
  <c r="AC892" i="157"/>
  <c r="AC893" i="157"/>
  <c r="AC894" i="157"/>
  <c r="AD894" i="157" s="1"/>
  <c r="AC895" i="157"/>
  <c r="AC896" i="157"/>
  <c r="AC897" i="157"/>
  <c r="AD897" i="157" s="1"/>
  <c r="AC898" i="157"/>
  <c r="AD898" i="157" s="1"/>
  <c r="AC899" i="157"/>
  <c r="AC900" i="157"/>
  <c r="AC901" i="157"/>
  <c r="AD901" i="157" s="1"/>
  <c r="AC902" i="157"/>
  <c r="AD902" i="157" s="1"/>
  <c r="AC903" i="157"/>
  <c r="AC904" i="157"/>
  <c r="AC905" i="157"/>
  <c r="AD905" i="157" s="1"/>
  <c r="AC906" i="157"/>
  <c r="AD906" i="157" s="1"/>
  <c r="AC907" i="157"/>
  <c r="AC908" i="157"/>
  <c r="AC909" i="157"/>
  <c r="AD909" i="157" s="1"/>
  <c r="AC910" i="157"/>
  <c r="AD910" i="157" s="1"/>
  <c r="AC911" i="157"/>
  <c r="AC912" i="157"/>
  <c r="AC913" i="157"/>
  <c r="AD913" i="157" s="1"/>
  <c r="AC914" i="157"/>
  <c r="AD914" i="157" s="1"/>
  <c r="AC915" i="157"/>
  <c r="AC916" i="157"/>
  <c r="AC917" i="157"/>
  <c r="AD917" i="157" s="1"/>
  <c r="AC918" i="157"/>
  <c r="AD918" i="157" s="1"/>
  <c r="AC919" i="157"/>
  <c r="AC920" i="157"/>
  <c r="AC921" i="157"/>
  <c r="AD921" i="157" s="1"/>
  <c r="AC922" i="157"/>
  <c r="AD922" i="157" s="1"/>
  <c r="AC923" i="157"/>
  <c r="AC924" i="157"/>
  <c r="AC925" i="157"/>
  <c r="AD925" i="157" s="1"/>
  <c r="AC926" i="157"/>
  <c r="AD926" i="157" s="1"/>
  <c r="AC927" i="157"/>
  <c r="AC928" i="157"/>
  <c r="AC929" i="157"/>
  <c r="AD929" i="157" s="1"/>
  <c r="AC930" i="157"/>
  <c r="AD930" i="157" s="1"/>
  <c r="AC931" i="157"/>
  <c r="AC932" i="157"/>
  <c r="AC933" i="157"/>
  <c r="AD933" i="157" s="1"/>
  <c r="AC934" i="157"/>
  <c r="AD934" i="157" s="1"/>
  <c r="AC935" i="157"/>
  <c r="AC936" i="157"/>
  <c r="AC937" i="157"/>
  <c r="AD937" i="157" s="1"/>
  <c r="AC938" i="157"/>
  <c r="AD938" i="157" s="1"/>
  <c r="AC939" i="157"/>
  <c r="AC940" i="157"/>
  <c r="AC941" i="157"/>
  <c r="AD941" i="157" s="1"/>
  <c r="AC942" i="157"/>
  <c r="AD942" i="157" s="1"/>
  <c r="AC943" i="157"/>
  <c r="AC944" i="157"/>
  <c r="AC945" i="157"/>
  <c r="AD945" i="157" s="1"/>
  <c r="AC946" i="157"/>
  <c r="AD946" i="157" s="1"/>
  <c r="AC947" i="157"/>
  <c r="AC948" i="157"/>
  <c r="AC949" i="157"/>
  <c r="AD949" i="157" s="1"/>
  <c r="AC950" i="157"/>
  <c r="AD950" i="157" s="1"/>
  <c r="AC951" i="157"/>
  <c r="AC952" i="157"/>
  <c r="AC953" i="157"/>
  <c r="AD953" i="157" s="1"/>
  <c r="AC954" i="157"/>
  <c r="AD954" i="157" s="1"/>
  <c r="AC955" i="157"/>
  <c r="AC956" i="157"/>
  <c r="AC957" i="157"/>
  <c r="AD957" i="157" s="1"/>
  <c r="AC958" i="157"/>
  <c r="AD958" i="157" s="1"/>
  <c r="AC959" i="157"/>
  <c r="AC960" i="157"/>
  <c r="AC961" i="157"/>
  <c r="AD961" i="157" s="1"/>
  <c r="AC962" i="157"/>
  <c r="AD962" i="157" s="1"/>
  <c r="AC963" i="157"/>
  <c r="AC964" i="157"/>
  <c r="AC965" i="157"/>
  <c r="AD965" i="157" s="1"/>
  <c r="AC966" i="157"/>
  <c r="AD966" i="157" s="1"/>
  <c r="AC967" i="157"/>
  <c r="AC968" i="157"/>
  <c r="AC969" i="157"/>
  <c r="AD969" i="157" s="1"/>
  <c r="AC970" i="157"/>
  <c r="AD970" i="157" s="1"/>
  <c r="AC971" i="157"/>
  <c r="AC972" i="157"/>
  <c r="AC973" i="157"/>
  <c r="AD973" i="157" s="1"/>
  <c r="AC974" i="157"/>
  <c r="AD974" i="157" s="1"/>
  <c r="AC975" i="157"/>
  <c r="AC976" i="157"/>
  <c r="AC977" i="157"/>
  <c r="AD977" i="157" s="1"/>
  <c r="AC978" i="157"/>
  <c r="AD978" i="157" s="1"/>
  <c r="AC979" i="157"/>
  <c r="AC980" i="157"/>
  <c r="AC981" i="157"/>
  <c r="AD981" i="157" s="1"/>
  <c r="AC982" i="157"/>
  <c r="AD982" i="157" s="1"/>
  <c r="AC983" i="157"/>
  <c r="AC984" i="157"/>
  <c r="AC985" i="157"/>
  <c r="AD985" i="157" s="1"/>
  <c r="AC986" i="157"/>
  <c r="AD986" i="157" s="1"/>
  <c r="AC987" i="157"/>
  <c r="AC988" i="157"/>
  <c r="AC989" i="157"/>
  <c r="AD989" i="157" s="1"/>
  <c r="AC990" i="157"/>
  <c r="AD990" i="157" s="1"/>
  <c r="AC991" i="157"/>
  <c r="AC992" i="157"/>
  <c r="AC993" i="157"/>
  <c r="AD993" i="157" s="1"/>
  <c r="AC994" i="157"/>
  <c r="AD994" i="157" s="1"/>
  <c r="AC995" i="157"/>
  <c r="AC996" i="157"/>
  <c r="AC997" i="157"/>
  <c r="AD997" i="157" s="1"/>
  <c r="AC998" i="157"/>
  <c r="AD998" i="157" s="1"/>
  <c r="AC999" i="157"/>
  <c r="AC1000" i="157"/>
  <c r="AC1001" i="157"/>
  <c r="AD1001" i="157" s="1"/>
  <c r="AC1002" i="157"/>
  <c r="AD1002" i="157" s="1"/>
  <c r="AC1003" i="157"/>
  <c r="AC1004" i="157"/>
  <c r="AC1005" i="157"/>
  <c r="AD1005" i="157" s="1"/>
  <c r="AC1006" i="157"/>
  <c r="AD1006" i="157" s="1"/>
  <c r="AC1007" i="157"/>
  <c r="AC1008" i="157"/>
  <c r="AC1009" i="157"/>
  <c r="AD1009" i="157" s="1"/>
  <c r="AC1010" i="157"/>
  <c r="AD1010" i="157" s="1"/>
  <c r="AC1011" i="157"/>
  <c r="AC1012" i="157"/>
  <c r="AC1013" i="157"/>
  <c r="AD1013" i="157" s="1"/>
  <c r="AC1014" i="157"/>
  <c r="AD1014" i="157" s="1"/>
  <c r="AC1015" i="157"/>
  <c r="AC1016" i="157"/>
  <c r="AC1017" i="157"/>
  <c r="AD1017" i="157" s="1"/>
  <c r="AC1018" i="157"/>
  <c r="AD1018" i="157" s="1"/>
  <c r="AC1019" i="157"/>
  <c r="AC1020" i="157"/>
  <c r="AC1021" i="157"/>
  <c r="AD1021" i="157" s="1"/>
  <c r="AC1022" i="157"/>
  <c r="AD1022" i="157" s="1"/>
  <c r="AC1023" i="157"/>
  <c r="AC1024" i="157"/>
  <c r="AC1025" i="157"/>
  <c r="AD1025" i="157" s="1"/>
  <c r="AC1026" i="157"/>
  <c r="AD1026" i="157" s="1"/>
  <c r="AC1027" i="157"/>
  <c r="AC1028" i="157"/>
  <c r="AC1029" i="157"/>
  <c r="AD1029" i="157" s="1"/>
  <c r="AC1030" i="157"/>
  <c r="AD1030" i="157" s="1"/>
  <c r="AC1031" i="157"/>
  <c r="AC1032" i="157"/>
  <c r="AC1033" i="157"/>
  <c r="AD1033" i="157" s="1"/>
  <c r="AC1034" i="157"/>
  <c r="AD1034" i="157" s="1"/>
  <c r="AC1035" i="157"/>
  <c r="AC1036" i="157"/>
  <c r="AC1037" i="157"/>
  <c r="AD1037" i="157" s="1"/>
  <c r="AC1038" i="157"/>
  <c r="AD1038" i="157" s="1"/>
  <c r="AC1039" i="157"/>
  <c r="AC1040" i="157"/>
  <c r="AC1041" i="157"/>
  <c r="AD1041" i="157" s="1"/>
  <c r="AC1042" i="157"/>
  <c r="AD1042" i="157" s="1"/>
  <c r="AC1043" i="157"/>
  <c r="AC1044" i="157"/>
  <c r="AC1045" i="157"/>
  <c r="AD1045" i="157" s="1"/>
  <c r="AC1046" i="157"/>
  <c r="AD1046" i="157" s="1"/>
  <c r="AC1047" i="157"/>
  <c r="AC1048" i="157"/>
  <c r="AC1049" i="157"/>
  <c r="AD1049" i="157" s="1"/>
  <c r="AC1050" i="157"/>
  <c r="AD1050" i="157" s="1"/>
  <c r="AC1051" i="157"/>
  <c r="AC1052" i="157"/>
  <c r="AC1053" i="157"/>
  <c r="AC1054" i="157"/>
  <c r="AD1054" i="157" s="1"/>
  <c r="AC1055" i="157"/>
  <c r="AC1056" i="157"/>
  <c r="AC1057" i="157"/>
  <c r="AD1057" i="157" s="1"/>
  <c r="AC1058" i="157"/>
  <c r="AD1058" i="157" s="1"/>
  <c r="AC1059" i="157"/>
  <c r="AC1060" i="157"/>
  <c r="AC1061" i="157"/>
  <c r="AD1061" i="157" s="1"/>
  <c r="AC1062" i="157"/>
  <c r="AD1062" i="157" s="1"/>
  <c r="AC1063" i="157"/>
  <c r="AC1064" i="157"/>
  <c r="AC1065" i="157"/>
  <c r="AD1065" i="157" s="1"/>
  <c r="AC1066" i="157"/>
  <c r="AD1066" i="157" s="1"/>
  <c r="AC1067" i="157"/>
  <c r="AC1068" i="157"/>
  <c r="AC1069" i="157"/>
  <c r="AD1069" i="157" s="1"/>
  <c r="AC1070" i="157"/>
  <c r="AD1070" i="157" s="1"/>
  <c r="AC1071" i="157"/>
  <c r="AC1072" i="157"/>
  <c r="AC1073" i="157"/>
  <c r="AD1073" i="157" s="1"/>
  <c r="AC1074" i="157"/>
  <c r="AD1074" i="157" s="1"/>
  <c r="AC1075" i="157"/>
  <c r="AC1076" i="157"/>
  <c r="AC1077" i="157"/>
  <c r="AD1077" i="157" s="1"/>
  <c r="AC1078" i="157"/>
  <c r="AD1078" i="157" s="1"/>
  <c r="AC1079" i="157"/>
  <c r="AC1080" i="157"/>
  <c r="AC1081" i="157"/>
  <c r="AD1081" i="157" s="1"/>
  <c r="AC1082" i="157"/>
  <c r="AD1082" i="157" s="1"/>
  <c r="AC1083" i="157"/>
  <c r="AC1084" i="157"/>
  <c r="AC1085" i="157"/>
  <c r="AC1086" i="157"/>
  <c r="AD1086" i="157" s="1"/>
  <c r="AC1087" i="157"/>
  <c r="AC1088" i="157"/>
  <c r="AC1089" i="157"/>
  <c r="AD1089" i="157" s="1"/>
  <c r="AC1090" i="157"/>
  <c r="AD1090" i="157" s="1"/>
  <c r="AC1091" i="157"/>
  <c r="AC1092" i="157"/>
  <c r="AC1093" i="157"/>
  <c r="AD1093" i="157" s="1"/>
  <c r="AC1094" i="157"/>
  <c r="AD1094" i="157" s="1"/>
  <c r="AC1095" i="157"/>
  <c r="AC1096" i="157"/>
  <c r="AC1097" i="157"/>
  <c r="AD1097" i="157" s="1"/>
  <c r="AC1098" i="157"/>
  <c r="AD1098" i="157" s="1"/>
  <c r="AC1099" i="157"/>
  <c r="AC1100" i="157"/>
  <c r="AC1101" i="157"/>
  <c r="AD1101" i="157" s="1"/>
  <c r="AC1102" i="157"/>
  <c r="AD1102" i="157" s="1"/>
  <c r="AC1103" i="157"/>
  <c r="AC1104" i="157"/>
  <c r="AC1105" i="157"/>
  <c r="AD1105" i="157" s="1"/>
  <c r="AC1106" i="157"/>
  <c r="AD1106" i="157" s="1"/>
  <c r="AC1107" i="157"/>
  <c r="AC1108" i="157"/>
  <c r="AC1109" i="157"/>
  <c r="AD1109" i="157" s="1"/>
  <c r="AC1110" i="157"/>
  <c r="AD1110" i="157" s="1"/>
  <c r="AC1111" i="157"/>
  <c r="AC1112" i="157"/>
  <c r="AC1113" i="157"/>
  <c r="AD1113" i="157" s="1"/>
  <c r="AC1114" i="157"/>
  <c r="AD1114" i="157" s="1"/>
  <c r="AC1115" i="157"/>
  <c r="AC1116" i="157"/>
  <c r="AC1117" i="157"/>
  <c r="AD1117" i="157" s="1"/>
  <c r="AC1118" i="157"/>
  <c r="AD1118" i="157" s="1"/>
  <c r="AC1119" i="157"/>
  <c r="AC1120" i="157"/>
  <c r="AC1121" i="157"/>
  <c r="AD1121" i="157" s="1"/>
  <c r="AC1122" i="157"/>
  <c r="AD1122" i="157" s="1"/>
  <c r="AC1123" i="157"/>
  <c r="AC1124" i="157"/>
  <c r="AC1125" i="157"/>
  <c r="AD1125" i="157" s="1"/>
  <c r="AC1126" i="157"/>
  <c r="AD1126" i="157" s="1"/>
  <c r="AC1127" i="157"/>
  <c r="AC1128" i="157"/>
  <c r="AC1129" i="157"/>
  <c r="AD1129" i="157" s="1"/>
  <c r="AC1130" i="157"/>
  <c r="AD1130" i="157" s="1"/>
  <c r="AC1131" i="157"/>
  <c r="AC1132" i="157"/>
  <c r="AC1133" i="157"/>
  <c r="AD1133" i="157" s="1"/>
  <c r="AC1134" i="157"/>
  <c r="AD1134" i="157" s="1"/>
  <c r="AC1135" i="157"/>
  <c r="AC1136" i="157"/>
  <c r="AC1137" i="157"/>
  <c r="AD1137" i="157" s="1"/>
  <c r="AC1138" i="157"/>
  <c r="AD1138" i="157" s="1"/>
  <c r="AC1139" i="157"/>
  <c r="AC1140" i="157"/>
  <c r="AC1141" i="157"/>
  <c r="AD1141" i="157" s="1"/>
  <c r="AC1142" i="157"/>
  <c r="AD1142" i="157" s="1"/>
  <c r="AC1143" i="157"/>
  <c r="AC1144" i="157"/>
  <c r="AC1145" i="157"/>
  <c r="AD1145" i="157" s="1"/>
  <c r="AC1146" i="157"/>
  <c r="AD1146" i="157" s="1"/>
  <c r="AC1147" i="157"/>
  <c r="AC1148" i="157"/>
  <c r="AC1149" i="157"/>
  <c r="AC1150" i="157"/>
  <c r="AD1150" i="157" s="1"/>
  <c r="AC1151" i="157"/>
  <c r="AC1152" i="157"/>
  <c r="AC1153" i="157"/>
  <c r="AD1153" i="157" s="1"/>
  <c r="AC1154" i="157"/>
  <c r="AD1154" i="157" s="1"/>
  <c r="AC1155" i="157"/>
  <c r="AC1156" i="157"/>
  <c r="AC1157" i="157"/>
  <c r="AD1157" i="157" s="1"/>
  <c r="AC1158" i="157"/>
  <c r="AD1158" i="157" s="1"/>
  <c r="AC1159" i="157"/>
  <c r="AC1160" i="157"/>
  <c r="AC1161" i="157"/>
  <c r="AD1161" i="157" s="1"/>
  <c r="AC1162" i="157"/>
  <c r="AD1162" i="157" s="1"/>
  <c r="AC1163" i="157"/>
  <c r="AC1164" i="157"/>
  <c r="AC1165" i="157"/>
  <c r="AD1165" i="157" s="1"/>
  <c r="AC1166" i="157"/>
  <c r="AD1166" i="157" s="1"/>
  <c r="AC1167" i="157"/>
  <c r="AC1168" i="157"/>
  <c r="AC1169" i="157"/>
  <c r="AD1169" i="157" s="1"/>
  <c r="AC1170" i="157"/>
  <c r="AD1170" i="157" s="1"/>
  <c r="AC1171" i="157"/>
  <c r="AC1172" i="157"/>
  <c r="AC1173" i="157"/>
  <c r="AD1173" i="157" s="1"/>
  <c r="AC1174" i="157"/>
  <c r="AD1174" i="157" s="1"/>
  <c r="AC1175" i="157"/>
  <c r="AC1176" i="157"/>
  <c r="AC1177" i="157"/>
  <c r="AD1177" i="157" s="1"/>
  <c r="AC1178" i="157"/>
  <c r="AD1178" i="157" s="1"/>
  <c r="AC1179" i="157"/>
  <c r="AC1180" i="157"/>
  <c r="AC1181" i="157"/>
  <c r="AD1181" i="157" s="1"/>
  <c r="AC1182" i="157"/>
  <c r="AD1182" i="157" s="1"/>
  <c r="AC1183" i="157"/>
  <c r="AC1184" i="157"/>
  <c r="AC1185" i="157"/>
  <c r="AD1185" i="157" s="1"/>
  <c r="AC1186" i="157"/>
  <c r="AD1186" i="157" s="1"/>
  <c r="AC1187" i="157"/>
  <c r="AC1188" i="157"/>
  <c r="AC1189" i="157"/>
  <c r="AD1189" i="157" s="1"/>
  <c r="AC1190" i="157"/>
  <c r="AD1190" i="157" s="1"/>
  <c r="AC1191" i="157"/>
  <c r="AC1192" i="157"/>
  <c r="AC1193" i="157"/>
  <c r="AD1193" i="157" s="1"/>
  <c r="AC1194" i="157"/>
  <c r="AD1194" i="157" s="1"/>
  <c r="AC1195" i="157"/>
  <c r="AC1196" i="157"/>
  <c r="AC1197" i="157"/>
  <c r="AD1197" i="157" s="1"/>
  <c r="AC1198" i="157"/>
  <c r="AD1198" i="157" s="1"/>
  <c r="AC1199" i="157"/>
  <c r="AC1200" i="157"/>
  <c r="AC1201" i="157"/>
  <c r="AD1201" i="157" s="1"/>
  <c r="AC1202" i="157"/>
  <c r="AD1202" i="157" s="1"/>
  <c r="AC1203" i="157"/>
  <c r="AC1204" i="157"/>
  <c r="AC1205" i="157"/>
  <c r="AD1205" i="157" s="1"/>
  <c r="AC1206" i="157"/>
  <c r="AD1206" i="157" s="1"/>
  <c r="AC1207" i="157"/>
  <c r="AC1208" i="157"/>
  <c r="AC1209" i="157"/>
  <c r="AD1209" i="157" s="1"/>
  <c r="AC1210" i="157"/>
  <c r="AD1210" i="157" s="1"/>
  <c r="AC1211" i="157"/>
  <c r="AC1212" i="157"/>
  <c r="AC1213" i="157"/>
  <c r="AD1213" i="157" s="1"/>
  <c r="AC1214" i="157"/>
  <c r="AD1214" i="157" s="1"/>
  <c r="AC1215" i="157"/>
  <c r="AC1216" i="157"/>
  <c r="AC1217" i="157"/>
  <c r="AD1217" i="157" s="1"/>
  <c r="AC1218" i="157"/>
  <c r="AD1218" i="157" s="1"/>
  <c r="AC1219" i="157"/>
  <c r="AC1220" i="157"/>
  <c r="AC1221" i="157"/>
  <c r="AD1221" i="157" s="1"/>
  <c r="AC1222" i="157"/>
  <c r="AD1222" i="157" s="1"/>
  <c r="AC1223" i="157"/>
  <c r="AC1224" i="157"/>
  <c r="AC1225" i="157"/>
  <c r="AD1225" i="157" s="1"/>
  <c r="AC1226" i="157"/>
  <c r="AD1226" i="157" s="1"/>
  <c r="AC1227" i="157"/>
  <c r="AC1228" i="157"/>
  <c r="AC1229" i="157"/>
  <c r="AD1229" i="157" s="1"/>
  <c r="AC1230" i="157"/>
  <c r="AD1230" i="157" s="1"/>
  <c r="AC1231" i="157"/>
  <c r="AC1232" i="157"/>
  <c r="AC1233" i="157"/>
  <c r="AD1233" i="157" s="1"/>
  <c r="AC1234" i="157"/>
  <c r="AD1234" i="157" s="1"/>
  <c r="AC1235" i="157"/>
  <c r="AC1236" i="157"/>
  <c r="AC1237" i="157"/>
  <c r="AD1237" i="157" s="1"/>
  <c r="AC1238" i="157"/>
  <c r="AD1238" i="157" s="1"/>
  <c r="AC1239" i="157"/>
  <c r="AC1240" i="157"/>
  <c r="AC1241" i="157"/>
  <c r="AD1241" i="157" s="1"/>
  <c r="AC1242" i="157"/>
  <c r="AD1242" i="157" s="1"/>
  <c r="AC1243" i="157"/>
  <c r="AC1244" i="157"/>
  <c r="AC1245" i="157"/>
  <c r="AD1245" i="157" s="1"/>
  <c r="AC1246" i="157"/>
  <c r="AD1246" i="157" s="1"/>
  <c r="AC1247" i="157"/>
  <c r="AC1248" i="157"/>
  <c r="AC1249" i="157"/>
  <c r="AC1250" i="157"/>
  <c r="AD1250" i="157" s="1"/>
  <c r="AC1251" i="157"/>
  <c r="AC1252" i="157"/>
  <c r="AC1253" i="157"/>
  <c r="AD1253" i="157" s="1"/>
  <c r="AC1254" i="157"/>
  <c r="AD1254" i="157" s="1"/>
  <c r="AC1255" i="157"/>
  <c r="AC1256" i="157"/>
  <c r="AC1257" i="157"/>
  <c r="AD1257" i="157" s="1"/>
  <c r="AC1258" i="157"/>
  <c r="AD1258" i="157" s="1"/>
  <c r="AC1259" i="157"/>
  <c r="AC1260" i="157"/>
  <c r="AC1261" i="157"/>
  <c r="AD1261" i="157" s="1"/>
  <c r="AC1262" i="157"/>
  <c r="AD1262" i="157" s="1"/>
  <c r="AC1263" i="157"/>
  <c r="AC1264" i="157"/>
  <c r="AC1265" i="157"/>
  <c r="AD1265" i="157" s="1"/>
  <c r="AC1266" i="157"/>
  <c r="AD1266" i="157" s="1"/>
  <c r="AC1267" i="157"/>
  <c r="AC1268" i="157"/>
  <c r="AC1269" i="157"/>
  <c r="AD1269" i="157" s="1"/>
  <c r="AC1270" i="157"/>
  <c r="AD1270" i="157" s="1"/>
  <c r="AC1271" i="157"/>
  <c r="AC1272" i="157"/>
  <c r="AC1273" i="157"/>
  <c r="AD1273" i="157" s="1"/>
  <c r="AC1274" i="157"/>
  <c r="AD1274" i="157" s="1"/>
  <c r="AC1275" i="157"/>
  <c r="AC1276" i="157"/>
  <c r="AC1277" i="157"/>
  <c r="AD1277" i="157" s="1"/>
  <c r="AC1278" i="157"/>
  <c r="AD1278" i="157" s="1"/>
  <c r="AC1279" i="157"/>
  <c r="AC1280" i="157"/>
  <c r="AC1281" i="157"/>
  <c r="AD1281" i="157" s="1"/>
  <c r="AC1282" i="157"/>
  <c r="AD1282" i="157" s="1"/>
  <c r="AC1283" i="157"/>
  <c r="AC1284" i="157"/>
  <c r="AC1285" i="157"/>
  <c r="AD1285" i="157" s="1"/>
  <c r="AC1286" i="157"/>
  <c r="AD1286" i="157" s="1"/>
  <c r="AC1287" i="157"/>
  <c r="AC1288" i="157"/>
  <c r="AC1289" i="157"/>
  <c r="AD1289" i="157" s="1"/>
  <c r="AC1290" i="157"/>
  <c r="AD1290" i="157" s="1"/>
  <c r="AC1291" i="157"/>
  <c r="AC1292" i="157"/>
  <c r="AC1293" i="157"/>
  <c r="AD1293" i="157" s="1"/>
  <c r="AC1294" i="157"/>
  <c r="AD1294" i="157" s="1"/>
  <c r="AC1295" i="157"/>
  <c r="AC1296" i="157"/>
  <c r="AC1297" i="157"/>
  <c r="AD1297" i="157" s="1"/>
  <c r="AC1298" i="157"/>
  <c r="AD1298" i="157" s="1"/>
  <c r="AC1299" i="157"/>
  <c r="AC1300" i="157"/>
  <c r="AC1301" i="157"/>
  <c r="AD1301" i="157" s="1"/>
  <c r="AC1302" i="157"/>
  <c r="AD1302" i="157" s="1"/>
  <c r="AC1303" i="157"/>
  <c r="AC1304" i="157"/>
  <c r="AC1305" i="157"/>
  <c r="AD1305" i="157" s="1"/>
  <c r="AC1306" i="157"/>
  <c r="AD1306" i="157" s="1"/>
  <c r="AC1307" i="157"/>
  <c r="AC1308" i="157"/>
  <c r="AC1309" i="157"/>
  <c r="AD1309" i="157" s="1"/>
  <c r="AC1310" i="157"/>
  <c r="AD1310" i="157" s="1"/>
  <c r="AC1311" i="157"/>
  <c r="AC1312" i="157"/>
  <c r="AC1313" i="157"/>
  <c r="AD1313" i="157" s="1"/>
  <c r="AC1314" i="157"/>
  <c r="AD1314" i="157" s="1"/>
  <c r="AC1315" i="157"/>
  <c r="AC1316" i="157"/>
  <c r="AC1317" i="157"/>
  <c r="AD1317" i="157" s="1"/>
  <c r="AC1318" i="157"/>
  <c r="AD1318" i="157" s="1"/>
  <c r="AC1319" i="157"/>
  <c r="AC1320" i="157"/>
  <c r="AC1321" i="157"/>
  <c r="AD1321" i="157" s="1"/>
  <c r="AC1322" i="157"/>
  <c r="AD1322" i="157" s="1"/>
  <c r="AC1323" i="157"/>
  <c r="AC1324" i="157"/>
  <c r="AC1325" i="157"/>
  <c r="AD1325" i="157" s="1"/>
  <c r="AC1326" i="157"/>
  <c r="AD1326" i="157" s="1"/>
  <c r="AC1327" i="157"/>
  <c r="AC1328" i="157"/>
  <c r="AC1329" i="157"/>
  <c r="AD1329" i="157" s="1"/>
  <c r="AC1330" i="157"/>
  <c r="AD1330" i="157" s="1"/>
  <c r="AC1331" i="157"/>
  <c r="AC1332" i="157"/>
  <c r="AC1333" i="157"/>
  <c r="AD1333" i="157" s="1"/>
  <c r="AC1334" i="157"/>
  <c r="AD1334" i="157" s="1"/>
  <c r="AC1335" i="157"/>
  <c r="AC1336" i="157"/>
  <c r="AC1337" i="157"/>
  <c r="AD1337" i="157" s="1"/>
  <c r="AC1338" i="157"/>
  <c r="AC1339" i="157"/>
  <c r="AC1340" i="157"/>
  <c r="AC1341" i="157"/>
  <c r="AD1341" i="157" s="1"/>
  <c r="AC1342" i="157"/>
  <c r="AD1342" i="157" s="1"/>
  <c r="AC1343" i="157"/>
  <c r="AC1344" i="157"/>
  <c r="AC1345" i="157"/>
  <c r="AD1345" i="157" s="1"/>
  <c r="AC1346" i="157"/>
  <c r="AD1346" i="157" s="1"/>
  <c r="AC1347" i="157"/>
  <c r="AC1348" i="157"/>
  <c r="AC1349" i="157"/>
  <c r="AD1349" i="157" s="1"/>
  <c r="AC1350" i="157"/>
  <c r="AD1350" i="157" s="1"/>
  <c r="AC1351" i="157"/>
  <c r="AC1352" i="157"/>
  <c r="AC1353" i="157"/>
  <c r="AD1353" i="157" s="1"/>
  <c r="AC1354" i="157"/>
  <c r="AD1354" i="157" s="1"/>
  <c r="AC1355" i="157"/>
  <c r="AC1356" i="157"/>
  <c r="AC1357" i="157"/>
  <c r="AD1357" i="157" s="1"/>
  <c r="AC1358" i="157"/>
  <c r="AC1359" i="157"/>
  <c r="AC1360" i="157"/>
  <c r="AC1361" i="157"/>
  <c r="AD1361" i="157" s="1"/>
  <c r="AC1362" i="157"/>
  <c r="AD1362" i="157" s="1"/>
  <c r="AC1363" i="157"/>
  <c r="AC1364" i="157"/>
  <c r="AC1365" i="157"/>
  <c r="AD1365" i="157" s="1"/>
  <c r="AC1366" i="157"/>
  <c r="AC1367" i="157"/>
  <c r="AC1368" i="157"/>
  <c r="AC1369" i="157"/>
  <c r="AD1369" i="157" s="1"/>
  <c r="AC1370" i="157"/>
  <c r="AD1370" i="157" s="1"/>
  <c r="AC1371" i="157"/>
  <c r="AC1372" i="157"/>
  <c r="AC1373" i="157"/>
  <c r="AD1373" i="157" s="1"/>
  <c r="AC1374" i="157"/>
  <c r="AD1374" i="157" s="1"/>
  <c r="AC1375" i="157"/>
  <c r="AC1376" i="157"/>
  <c r="AC1377" i="157"/>
  <c r="AD1377" i="157" s="1"/>
  <c r="AC1378" i="157"/>
  <c r="AD1378" i="157" s="1"/>
  <c r="AC1379" i="157"/>
  <c r="AC1380" i="157"/>
  <c r="AC1381" i="157"/>
  <c r="AD1381" i="157" s="1"/>
  <c r="AC1382" i="157"/>
  <c r="AD1382" i="157" s="1"/>
  <c r="AC1383" i="157"/>
  <c r="AC1384" i="157"/>
  <c r="AC1385" i="157"/>
  <c r="AD1385" i="157" s="1"/>
  <c r="AC1386" i="157"/>
  <c r="AC1387" i="157"/>
  <c r="AC1388" i="157"/>
  <c r="AC1389" i="157"/>
  <c r="AD1389" i="157" s="1"/>
  <c r="AC1390" i="157"/>
  <c r="AD1390" i="157" s="1"/>
  <c r="AC1391" i="157"/>
  <c r="AC1392" i="157"/>
  <c r="AC1393" i="157"/>
  <c r="AD1393" i="157" s="1"/>
  <c r="AC1394" i="157"/>
  <c r="AD1394" i="157" s="1"/>
  <c r="AC1395" i="157"/>
  <c r="AC1396" i="157"/>
  <c r="AC1397" i="157"/>
  <c r="AD1397" i="157" s="1"/>
  <c r="AC1398" i="157"/>
  <c r="AD1398" i="157" s="1"/>
  <c r="AC1399" i="157"/>
  <c r="AC1400" i="157"/>
  <c r="AC1401" i="157"/>
  <c r="AD1401" i="157" s="1"/>
  <c r="AC1402" i="157"/>
  <c r="AD1402" i="157" s="1"/>
  <c r="AC1403" i="157"/>
  <c r="AC1404" i="157"/>
  <c r="AC1405" i="157"/>
  <c r="AD1405" i="157" s="1"/>
  <c r="AC1406" i="157"/>
  <c r="AD1406" i="157" s="1"/>
  <c r="AC1407" i="157"/>
  <c r="AC1408" i="157"/>
  <c r="AC1409" i="157"/>
  <c r="AD1409" i="157" s="1"/>
  <c r="AC1410" i="157"/>
  <c r="AD1410" i="157" s="1"/>
  <c r="AC1411" i="157"/>
  <c r="AC1412" i="157"/>
  <c r="AC1413" i="157"/>
  <c r="AD1413" i="157" s="1"/>
  <c r="AC1414" i="157"/>
  <c r="AC1415" i="157"/>
  <c r="AC1416" i="157"/>
  <c r="AC1417" i="157"/>
  <c r="AD1417" i="157" s="1"/>
  <c r="AC1418" i="157"/>
  <c r="AD1418" i="157" s="1"/>
  <c r="AC1419" i="157"/>
  <c r="AC1420" i="157"/>
  <c r="AC1421" i="157"/>
  <c r="AD1421" i="157" s="1"/>
  <c r="AC1422" i="157"/>
  <c r="AD1422" i="157" s="1"/>
  <c r="AC1423" i="157"/>
  <c r="AC1424" i="157"/>
  <c r="AC1425" i="157"/>
  <c r="AD1425" i="157" s="1"/>
  <c r="AC1426" i="157"/>
  <c r="AD1426" i="157" s="1"/>
  <c r="AC1427" i="157"/>
  <c r="AC1428" i="157"/>
  <c r="AC1429" i="157"/>
  <c r="AD1429" i="157" s="1"/>
  <c r="AC1430" i="157"/>
  <c r="AD1430" i="157" s="1"/>
  <c r="AC1431" i="157"/>
  <c r="AC1432" i="157"/>
  <c r="AC1433" i="157"/>
  <c r="AD1433" i="157" s="1"/>
  <c r="AC1434" i="157"/>
  <c r="AD1434" i="157" s="1"/>
  <c r="AC1435" i="157"/>
  <c r="AC1436" i="157"/>
  <c r="AC1437" i="157"/>
  <c r="AD1437" i="157" s="1"/>
  <c r="AC1438" i="157"/>
  <c r="AC1439" i="157"/>
  <c r="AC1440" i="157"/>
  <c r="AC1441" i="157"/>
  <c r="AD1441" i="157" s="1"/>
  <c r="AC1442" i="157"/>
  <c r="AD1442" i="157" s="1"/>
  <c r="AC1443" i="157"/>
  <c r="AC1444" i="157"/>
  <c r="AC1445" i="157"/>
  <c r="AD1445" i="157" s="1"/>
  <c r="AC1446" i="157"/>
  <c r="AD1446" i="157" s="1"/>
  <c r="AC1447" i="157"/>
  <c r="AC1448" i="157"/>
  <c r="AC1449" i="157"/>
  <c r="AD1449" i="157" s="1"/>
  <c r="AC1450" i="157"/>
  <c r="AD1450" i="157" s="1"/>
  <c r="AC1451" i="157"/>
  <c r="AC1452" i="157"/>
  <c r="AC1453" i="157"/>
  <c r="AD1453" i="157" s="1"/>
  <c r="AC1454" i="157"/>
  <c r="AD1454" i="157" s="1"/>
  <c r="AC1455" i="157"/>
  <c r="AC1456" i="157"/>
  <c r="AC1457" i="157"/>
  <c r="AD1457" i="157" s="1"/>
  <c r="AC1458" i="157"/>
  <c r="AD1458" i="157" s="1"/>
  <c r="AC1459" i="157"/>
  <c r="AC1460" i="157"/>
  <c r="AC1461" i="157"/>
  <c r="AD1461" i="157" s="1"/>
  <c r="AC1462" i="157"/>
  <c r="AD1462" i="157" s="1"/>
  <c r="AC1463" i="157"/>
  <c r="AC1464" i="157"/>
  <c r="AC1465" i="157"/>
  <c r="AD1465" i="157" s="1"/>
  <c r="AC1466" i="157"/>
  <c r="AC1467" i="157"/>
  <c r="AC1468" i="157"/>
  <c r="AC1469" i="157"/>
  <c r="AD1469" i="157" s="1"/>
  <c r="AC1470" i="157"/>
  <c r="AD1470" i="157" s="1"/>
  <c r="AC1471" i="157"/>
  <c r="AC1472" i="157"/>
  <c r="AC1473" i="157"/>
  <c r="AD1473" i="157" s="1"/>
  <c r="AC1474" i="157"/>
  <c r="AD1474" i="157" s="1"/>
  <c r="AC1475" i="157"/>
  <c r="AC1476" i="157"/>
  <c r="AC1477" i="157"/>
  <c r="AD1477" i="157" s="1"/>
  <c r="AC1478" i="157"/>
  <c r="AD1478" i="157" s="1"/>
  <c r="AC1479" i="157"/>
  <c r="AC1480" i="157"/>
  <c r="AC1481" i="157"/>
  <c r="AD1481" i="157" s="1"/>
  <c r="AC1482" i="157"/>
  <c r="AD1482" i="157" s="1"/>
  <c r="AC1483" i="157"/>
  <c r="AC1484" i="157"/>
  <c r="AC1485" i="157"/>
  <c r="AD1485" i="157" s="1"/>
  <c r="AC1486" i="157"/>
  <c r="AC1487" i="157"/>
  <c r="AC1488" i="157"/>
  <c r="AC1489" i="157"/>
  <c r="AD1489" i="157" s="1"/>
  <c r="AC1490" i="157"/>
  <c r="AD1490" i="157" s="1"/>
  <c r="AC1491" i="157"/>
  <c r="AC1492" i="157"/>
  <c r="AC1493" i="157"/>
  <c r="AD1493" i="157" s="1"/>
  <c r="AC1494" i="157"/>
  <c r="AC1495" i="157"/>
  <c r="AC1496" i="157"/>
  <c r="AC1497" i="157"/>
  <c r="AD1497" i="157" s="1"/>
  <c r="AC1498" i="157"/>
  <c r="AD1498" i="157" s="1"/>
  <c r="AC1499" i="157"/>
  <c r="AC1500" i="157"/>
  <c r="AC1501" i="157"/>
  <c r="AD1501" i="157" s="1"/>
  <c r="AC1502" i="157"/>
  <c r="AD1502" i="157" s="1"/>
  <c r="AC1503" i="157"/>
  <c r="AC1504" i="157"/>
  <c r="AC1505" i="157"/>
  <c r="AD1505" i="157" s="1"/>
  <c r="AC1506" i="157"/>
  <c r="AD1506" i="157" s="1"/>
  <c r="AC1507" i="157"/>
  <c r="AC1508" i="157"/>
  <c r="AC1509" i="157"/>
  <c r="AD1509" i="157" s="1"/>
  <c r="AC1510" i="157"/>
  <c r="AD1510" i="157" s="1"/>
  <c r="AC1511" i="157"/>
  <c r="AC1512" i="157"/>
  <c r="AC1513" i="157"/>
  <c r="AD1513" i="157" s="1"/>
  <c r="AC1514" i="157"/>
  <c r="AC1515" i="157"/>
  <c r="AC1516" i="157"/>
  <c r="AC1517" i="157"/>
  <c r="AD1517" i="157" s="1"/>
  <c r="AC1518" i="157"/>
  <c r="AD1518" i="157" s="1"/>
  <c r="AC1519" i="157"/>
  <c r="AC1520" i="157"/>
  <c r="AC1521" i="157"/>
  <c r="AD1521" i="157" s="1"/>
  <c r="AC1522" i="157"/>
  <c r="AD1522" i="157" s="1"/>
  <c r="AC1523" i="157"/>
  <c r="AC1524" i="157"/>
  <c r="AC1525" i="157"/>
  <c r="AD1525" i="157" s="1"/>
  <c r="AC1526" i="157"/>
  <c r="AD1526" i="157" s="1"/>
  <c r="AC1527" i="157"/>
  <c r="AC1528" i="157"/>
  <c r="AC1529" i="157"/>
  <c r="AD1529" i="157" s="1"/>
  <c r="AC1530" i="157"/>
  <c r="AD1530" i="157" s="1"/>
  <c r="AC1531" i="157"/>
  <c r="AC1532" i="157"/>
  <c r="AC1533" i="157"/>
  <c r="AD1533" i="157" s="1"/>
  <c r="AC1534" i="157"/>
  <c r="AD1534" i="157" s="1"/>
  <c r="AC1535" i="157"/>
  <c r="AC1536" i="157"/>
  <c r="AC1537" i="157"/>
  <c r="AD1537" i="157" s="1"/>
  <c r="AC1538" i="157"/>
  <c r="AD1538" i="157" s="1"/>
  <c r="AC1539" i="157"/>
  <c r="AC1540" i="157"/>
  <c r="AC1541" i="157"/>
  <c r="AD1541" i="157" s="1"/>
  <c r="AC1542" i="157"/>
  <c r="AC1543" i="157"/>
  <c r="AC1544" i="157"/>
  <c r="AC1545" i="157"/>
  <c r="AD1545" i="157" s="1"/>
  <c r="AC1546" i="157"/>
  <c r="AD1546" i="157" s="1"/>
  <c r="AC1547" i="157"/>
  <c r="AC1548" i="157"/>
  <c r="AC1549" i="157"/>
  <c r="AD1549" i="157" s="1"/>
  <c r="AC1550" i="157"/>
  <c r="AD1550" i="157" s="1"/>
  <c r="AC1551" i="157"/>
  <c r="AC1552" i="157"/>
  <c r="AC1553" i="157"/>
  <c r="AD1553" i="157" s="1"/>
  <c r="AC1554" i="157"/>
  <c r="AD1554" i="157" s="1"/>
  <c r="AC1555" i="157"/>
  <c r="AC1556" i="157"/>
  <c r="AC1557" i="157"/>
  <c r="AD1557" i="157" s="1"/>
  <c r="AC1558" i="157"/>
  <c r="AD1558" i="157" s="1"/>
  <c r="AC1559" i="157"/>
  <c r="AC1560" i="157"/>
  <c r="AC1561" i="157"/>
  <c r="AD1561" i="157" s="1"/>
  <c r="AC1562" i="157"/>
  <c r="AD1562" i="157" s="1"/>
  <c r="AC1563" i="157"/>
  <c r="AC1564" i="157"/>
  <c r="AC1565" i="157"/>
  <c r="AD1565" i="157" s="1"/>
  <c r="AC1566" i="157"/>
  <c r="AC1567" i="157"/>
  <c r="AC1568" i="157"/>
  <c r="AC1569" i="157"/>
  <c r="AD1569" i="157" s="1"/>
  <c r="AC1570" i="157"/>
  <c r="AD1570" i="157" s="1"/>
  <c r="AC1571" i="157"/>
  <c r="AC1572" i="157"/>
  <c r="AC1573" i="157"/>
  <c r="AD1573" i="157" s="1"/>
  <c r="AC1574" i="157"/>
  <c r="AD1574" i="157" s="1"/>
  <c r="AC1575" i="157"/>
  <c r="AC1576" i="157"/>
  <c r="AC1577" i="157"/>
  <c r="AD1577" i="157" s="1"/>
  <c r="AC1578" i="157"/>
  <c r="AD1578" i="157" s="1"/>
  <c r="AC1579" i="157"/>
  <c r="AC1580" i="157"/>
  <c r="AC1581" i="157"/>
  <c r="AD1581" i="157" s="1"/>
  <c r="AC1582" i="157"/>
  <c r="AD1582" i="157" s="1"/>
  <c r="AC1583" i="157"/>
  <c r="AC1584" i="157"/>
  <c r="AC1585" i="157"/>
  <c r="AD1585" i="157" s="1"/>
  <c r="AC1586" i="157"/>
  <c r="AD1586" i="157" s="1"/>
  <c r="AC1587" i="157"/>
  <c r="AC1588" i="157"/>
  <c r="AC1589" i="157"/>
  <c r="AD1589" i="157" s="1"/>
  <c r="AC1590" i="157"/>
  <c r="AD1590" i="157" s="1"/>
  <c r="AC1591" i="157"/>
  <c r="AC1592" i="157"/>
  <c r="AC1593" i="157"/>
  <c r="AD1593" i="157" s="1"/>
  <c r="AC1594" i="157"/>
  <c r="AC1595" i="157"/>
  <c r="AC1596" i="157"/>
  <c r="AC1597" i="157"/>
  <c r="AD1597" i="157" s="1"/>
  <c r="AC1598" i="157"/>
  <c r="AD1598" i="157" s="1"/>
  <c r="AC1599" i="157"/>
  <c r="AC1600" i="157"/>
  <c r="AC1601" i="157"/>
  <c r="AD1601" i="157" s="1"/>
  <c r="AC1602" i="157"/>
  <c r="AD1602" i="157" s="1"/>
  <c r="AC1603" i="157"/>
  <c r="AC1604" i="157"/>
  <c r="AC1605" i="157"/>
  <c r="AD1605" i="157" s="1"/>
  <c r="AC1606" i="157"/>
  <c r="AD1606" i="157" s="1"/>
  <c r="AC1607" i="157"/>
  <c r="AC1608" i="157"/>
  <c r="AC1609" i="157"/>
  <c r="AD1609" i="157" s="1"/>
  <c r="AC1610" i="157"/>
  <c r="AD1610" i="157" s="1"/>
  <c r="AC1611" i="157"/>
  <c r="AC1612" i="157"/>
  <c r="AC1613" i="157"/>
  <c r="AD1613" i="157" s="1"/>
  <c r="AC1614" i="157"/>
  <c r="AC1615" i="157"/>
  <c r="AC1616" i="157"/>
  <c r="AC1617" i="157"/>
  <c r="AD1617" i="157" s="1"/>
  <c r="AC1618" i="157"/>
  <c r="AD1618" i="157" s="1"/>
  <c r="AC1619" i="157"/>
  <c r="AC1620" i="157"/>
  <c r="AC1621" i="157"/>
  <c r="AD1621" i="157" s="1"/>
  <c r="AC1622" i="157"/>
  <c r="AC1623" i="157"/>
  <c r="AC1624" i="157"/>
  <c r="AC1625" i="157"/>
  <c r="AD1625" i="157" s="1"/>
  <c r="AC1626" i="157"/>
  <c r="AD1626" i="157" s="1"/>
  <c r="AC1627" i="157"/>
  <c r="AC1628" i="157"/>
  <c r="AC1629" i="157"/>
  <c r="AD1629" i="157" s="1"/>
  <c r="AC1630" i="157"/>
  <c r="AD1630" i="157" s="1"/>
  <c r="AC1631" i="157"/>
  <c r="AC1632" i="157"/>
  <c r="AC1633" i="157"/>
  <c r="AD1633" i="157" s="1"/>
  <c r="AC1634" i="157"/>
  <c r="AD1634" i="157" s="1"/>
  <c r="AC1635" i="157"/>
  <c r="AC1636" i="157"/>
  <c r="AC1637" i="157"/>
  <c r="AD1637" i="157" s="1"/>
  <c r="AC1638" i="157"/>
  <c r="AD1638" i="157" s="1"/>
  <c r="AC1639" i="157"/>
  <c r="AC1640" i="157"/>
  <c r="AC1641" i="157"/>
  <c r="AD1641" i="157" s="1"/>
  <c r="AC1642" i="157"/>
  <c r="AC1643" i="157"/>
  <c r="AC1644" i="157"/>
  <c r="AC1645" i="157"/>
  <c r="AD1645" i="157" s="1"/>
  <c r="AC1646" i="157"/>
  <c r="AD1646" i="157" s="1"/>
  <c r="AC1647" i="157"/>
  <c r="AC1648" i="157"/>
  <c r="AC1649" i="157"/>
  <c r="AD1649" i="157" s="1"/>
  <c r="AC1650" i="157"/>
  <c r="AD1650" i="157" s="1"/>
  <c r="AC1651" i="157"/>
  <c r="AC1652" i="157"/>
  <c r="AC1653" i="157"/>
  <c r="AD1653" i="157" s="1"/>
  <c r="AC1654" i="157"/>
  <c r="AD1654" i="157" s="1"/>
  <c r="AC1655" i="157"/>
  <c r="AC1656" i="157"/>
  <c r="AC1657" i="157"/>
  <c r="AD1657" i="157" s="1"/>
  <c r="AC1658" i="157"/>
  <c r="AD1658" i="157" s="1"/>
  <c r="AC1659" i="157"/>
  <c r="AC1660" i="157"/>
  <c r="AC1661" i="157"/>
  <c r="AD1661" i="157" s="1"/>
  <c r="AC1662" i="157"/>
  <c r="AD1662" i="157" s="1"/>
  <c r="AC1663" i="157"/>
  <c r="AC1664" i="157"/>
  <c r="AC1665" i="157"/>
  <c r="AD1665" i="157" s="1"/>
  <c r="AC1666" i="157"/>
  <c r="AD1666" i="157" s="1"/>
  <c r="AC1667" i="157"/>
  <c r="AC1668" i="157"/>
  <c r="AC1669" i="157"/>
  <c r="AD1669" i="157" s="1"/>
  <c r="AC1670" i="157"/>
  <c r="AD1670" i="157" s="1"/>
  <c r="AC1671" i="157"/>
  <c r="AC1672" i="157"/>
  <c r="AC1673" i="157"/>
  <c r="AD1673" i="157" s="1"/>
  <c r="AC1674" i="157"/>
  <c r="AC1675" i="157"/>
  <c r="AC1676" i="157"/>
  <c r="AC1677" i="157"/>
  <c r="AD1677" i="157" s="1"/>
  <c r="AC1678" i="157"/>
  <c r="AD1678" i="157" s="1"/>
  <c r="AC1679" i="157"/>
  <c r="AC1680" i="157"/>
  <c r="AC1681" i="157"/>
  <c r="AD1681" i="157" s="1"/>
  <c r="AC1682" i="157"/>
  <c r="AD1682" i="157" s="1"/>
  <c r="AC1683" i="157"/>
  <c r="AC1684" i="157"/>
  <c r="AC1685" i="157"/>
  <c r="AD1685" i="157" s="1"/>
  <c r="AC1686" i="157"/>
  <c r="AD1686" i="157" s="1"/>
  <c r="AC1687" i="157"/>
  <c r="AC1688" i="157"/>
  <c r="AC1689" i="157"/>
  <c r="AD1689" i="157" s="1"/>
  <c r="AC1690" i="157"/>
  <c r="AD1690" i="157" s="1"/>
  <c r="AC1691" i="157"/>
  <c r="AC1692" i="157"/>
  <c r="AC1693" i="157"/>
  <c r="AD1693" i="157" s="1"/>
  <c r="AC1694" i="157"/>
  <c r="AC1695" i="157"/>
  <c r="AC1696" i="157"/>
  <c r="AC1697" i="157"/>
  <c r="AD1697" i="157" s="1"/>
  <c r="AC1698" i="157"/>
  <c r="AD1698" i="157" s="1"/>
  <c r="AC1699" i="157"/>
  <c r="AC1700" i="157"/>
  <c r="AC1701" i="157"/>
  <c r="AD1701" i="157" s="1"/>
  <c r="AC1702" i="157"/>
  <c r="AC1703" i="157"/>
  <c r="AC1704" i="157"/>
  <c r="AC1705" i="157"/>
  <c r="AD1705" i="157" s="1"/>
  <c r="AC1706" i="157"/>
  <c r="AD1706" i="157" s="1"/>
  <c r="AC1707" i="157"/>
  <c r="AC1708" i="157"/>
  <c r="AC1709" i="157"/>
  <c r="AD1709" i="157" s="1"/>
  <c r="AC1710" i="157"/>
  <c r="AC1711" i="157"/>
  <c r="AC1712" i="157"/>
  <c r="AC1713" i="157"/>
  <c r="AD1713" i="157" s="1"/>
  <c r="AC1714" i="157"/>
  <c r="AD1714" i="157" s="1"/>
  <c r="AC1715" i="157"/>
  <c r="AC1716" i="157"/>
  <c r="AC1717" i="157"/>
  <c r="AD1717" i="157" s="1"/>
  <c r="AC1718" i="157"/>
  <c r="AD1718" i="157" s="1"/>
  <c r="AC1719" i="157"/>
  <c r="AC1720" i="157"/>
  <c r="AC1721" i="157"/>
  <c r="AD1721" i="157" s="1"/>
  <c r="AC1722" i="157"/>
  <c r="AC1723" i="157"/>
  <c r="AC1724" i="157"/>
  <c r="AC1725" i="157"/>
  <c r="AD1725" i="157" s="1"/>
  <c r="AC1726" i="157"/>
  <c r="AD1726" i="157" s="1"/>
  <c r="AC1727" i="157"/>
  <c r="AC1728" i="157"/>
  <c r="AC1729" i="157"/>
  <c r="AD1729" i="157" s="1"/>
  <c r="AC1730" i="157"/>
  <c r="AD1730" i="157" s="1"/>
  <c r="AC1731" i="157"/>
  <c r="AC1732" i="157"/>
  <c r="AC1733" i="157"/>
  <c r="AD1733" i="157" s="1"/>
  <c r="AC1734" i="157"/>
  <c r="AD1734" i="157" s="1"/>
  <c r="AC1735" i="157"/>
  <c r="AC1736" i="157"/>
  <c r="AC1737" i="157"/>
  <c r="AD1737" i="157" s="1"/>
  <c r="AC1738" i="157"/>
  <c r="AC1739" i="157"/>
  <c r="AC1740" i="157"/>
  <c r="AC1741" i="157"/>
  <c r="AD1741" i="157" s="1"/>
  <c r="AC1742" i="157"/>
  <c r="AC1743" i="157"/>
  <c r="AC1744" i="157"/>
  <c r="AC1745" i="157"/>
  <c r="AD1745" i="157" s="1"/>
  <c r="AC1746" i="157"/>
  <c r="AD1746" i="157" s="1"/>
  <c r="AC1747" i="157"/>
  <c r="AC1748" i="157"/>
  <c r="AC1749" i="157"/>
  <c r="AD1749" i="157" s="1"/>
  <c r="AC1750" i="157"/>
  <c r="AC1751" i="157"/>
  <c r="AC1752" i="157"/>
  <c r="AC1753" i="157"/>
  <c r="AD1753" i="157" s="1"/>
  <c r="AC1754" i="157"/>
  <c r="AD1754" i="157" s="1"/>
  <c r="AC1755" i="157"/>
  <c r="AC1756" i="157"/>
  <c r="AC1757" i="157"/>
  <c r="AD1757" i="157" s="1"/>
  <c r="AC1758" i="157"/>
  <c r="AC1759" i="157"/>
  <c r="AC1760" i="157"/>
  <c r="AC1761" i="157"/>
  <c r="AD1761" i="157" s="1"/>
  <c r="AC1762" i="157"/>
  <c r="AD1762" i="157" s="1"/>
  <c r="AC1763" i="157"/>
  <c r="AC1764" i="157"/>
  <c r="AC1765" i="157"/>
  <c r="AD1765" i="157" s="1"/>
  <c r="AC1766" i="157"/>
  <c r="AC1767" i="157"/>
  <c r="AC1768" i="157"/>
  <c r="AC1769" i="157"/>
  <c r="AD1769" i="157" s="1"/>
  <c r="AC1770" i="157"/>
  <c r="AC1771" i="157"/>
  <c r="AC1772" i="157"/>
  <c r="AC1773" i="157"/>
  <c r="AD1773" i="157" s="1"/>
  <c r="AC1774" i="157"/>
  <c r="AD1774" i="157" s="1"/>
  <c r="AC1775" i="157"/>
  <c r="AC1776" i="157"/>
  <c r="AC1777" i="157"/>
  <c r="AD1777" i="157" s="1"/>
  <c r="AC1778" i="157"/>
  <c r="AD1778" i="157" s="1"/>
  <c r="AC1779" i="157"/>
  <c r="AC1780" i="157"/>
  <c r="AC1781" i="157"/>
  <c r="AD1781" i="157" s="1"/>
  <c r="AC1782" i="157"/>
  <c r="AD1782" i="157" s="1"/>
  <c r="AC1783" i="157"/>
  <c r="AC1784" i="157"/>
  <c r="AC1785" i="157"/>
  <c r="AD1785" i="157" s="1"/>
  <c r="AC1786" i="157"/>
  <c r="AC1787" i="157"/>
  <c r="AC1788" i="157"/>
  <c r="AC1789" i="157"/>
  <c r="AD1789" i="157" s="1"/>
  <c r="AC1790" i="157"/>
  <c r="AD1790" i="157" s="1"/>
  <c r="AC1791" i="157"/>
  <c r="AC1792" i="157"/>
  <c r="AC1793" i="157"/>
  <c r="AD1793" i="157" s="1"/>
  <c r="AC1794" i="157"/>
  <c r="AD1794" i="157" s="1"/>
  <c r="AC1795" i="157"/>
  <c r="AC1796" i="157"/>
  <c r="AC1797" i="157"/>
  <c r="AD1797" i="157" s="1"/>
  <c r="AC1798" i="157"/>
  <c r="AC1799" i="157"/>
  <c r="AC1800" i="157"/>
  <c r="AC1801" i="157"/>
  <c r="AD1801" i="157" s="1"/>
  <c r="AC1802" i="157"/>
  <c r="AD1802" i="157" s="1"/>
  <c r="AC1803" i="157"/>
  <c r="AC1804" i="157"/>
  <c r="AC1805" i="157"/>
  <c r="AD1805" i="157" s="1"/>
  <c r="AC1806" i="157"/>
  <c r="AC1807" i="157"/>
  <c r="AC1808" i="157"/>
  <c r="AC1809" i="157"/>
  <c r="AD1809" i="157" s="1"/>
  <c r="AC1810" i="157"/>
  <c r="AD1810" i="157" s="1"/>
  <c r="AC1811" i="157"/>
  <c r="AC1812" i="157"/>
  <c r="AC1813" i="157"/>
  <c r="AD1813" i="157" s="1"/>
  <c r="AC1814" i="157"/>
  <c r="AC1815" i="157"/>
  <c r="AC1816" i="157"/>
  <c r="AC1817" i="157"/>
  <c r="AD1817" i="157" s="1"/>
  <c r="AC1818" i="157"/>
  <c r="AD1818" i="157" s="1"/>
  <c r="AC1819" i="157"/>
  <c r="AC1820" i="157"/>
  <c r="AC1821" i="157"/>
  <c r="AD1821" i="157" s="1"/>
  <c r="AC1822" i="157"/>
  <c r="AD1822" i="157" s="1"/>
  <c r="AC1823" i="157"/>
  <c r="AC1824" i="157"/>
  <c r="AC1825" i="157"/>
  <c r="AD1825" i="157" s="1"/>
  <c r="AC1826" i="157"/>
  <c r="AD1826" i="157" s="1"/>
  <c r="AC1827" i="157"/>
  <c r="AC1828" i="157"/>
  <c r="AC1829" i="157"/>
  <c r="AD1829" i="157" s="1"/>
  <c r="AC1830" i="157"/>
  <c r="AC1831" i="157"/>
  <c r="AC1832" i="157"/>
  <c r="AC1833" i="157"/>
  <c r="AD1833" i="157" s="1"/>
  <c r="AC1834" i="157"/>
  <c r="AD1834" i="157" s="1"/>
  <c r="AC1835" i="157"/>
  <c r="AC1836" i="157"/>
  <c r="AC1837" i="157"/>
  <c r="AD1837" i="157" s="1"/>
  <c r="AC1838" i="157"/>
  <c r="AD1838" i="157" s="1"/>
  <c r="AC1839" i="157"/>
  <c r="AC1840" i="157"/>
  <c r="AC1841" i="157"/>
  <c r="AD1841" i="157" s="1"/>
  <c r="AC1842" i="157"/>
  <c r="AC1843" i="157"/>
  <c r="AC1844" i="157"/>
  <c r="AC1845" i="157"/>
  <c r="AD1845" i="157" s="1"/>
  <c r="AC1846" i="157"/>
  <c r="AD1846" i="157" s="1"/>
  <c r="AC1847" i="157"/>
  <c r="AC1848" i="157"/>
  <c r="AC1849" i="157"/>
  <c r="AD1849" i="157" s="1"/>
  <c r="AC1850" i="157"/>
  <c r="AD1850" i="157" s="1"/>
  <c r="AC1851" i="157"/>
  <c r="AC1852" i="157"/>
  <c r="AC1853" i="157"/>
  <c r="AC1854" i="157"/>
  <c r="AC1855" i="157"/>
  <c r="AC1856" i="157"/>
  <c r="AC1857" i="157"/>
  <c r="AD1857" i="157" s="1"/>
  <c r="AC1858" i="157"/>
  <c r="AD1858" i="157" s="1"/>
  <c r="AC1859" i="157"/>
  <c r="AC1860" i="157"/>
  <c r="AC1861" i="157"/>
  <c r="AD1861" i="157" s="1"/>
  <c r="AC1862" i="157"/>
  <c r="AC1863" i="157"/>
  <c r="AC1864" i="157"/>
  <c r="AC1865" i="157"/>
  <c r="AD1865" i="157" s="1"/>
  <c r="AC1866" i="157"/>
  <c r="AC1867" i="157"/>
  <c r="AC1868" i="157"/>
  <c r="AC1869" i="157"/>
  <c r="AD1869" i="157" s="1"/>
  <c r="AC1870" i="157"/>
  <c r="AD1870" i="157" s="1"/>
  <c r="AC1871" i="157"/>
  <c r="AC1872" i="157"/>
  <c r="AC1873" i="157"/>
  <c r="AD1873" i="157" s="1"/>
  <c r="AC1874" i="157"/>
  <c r="AC1875" i="157"/>
  <c r="AC1876" i="157"/>
  <c r="AC1877" i="157"/>
  <c r="AD1877" i="157" s="1"/>
  <c r="AC1878" i="157"/>
  <c r="AD1878" i="157" s="1"/>
  <c r="AC1879" i="157"/>
  <c r="AC1880" i="157"/>
  <c r="AC1881" i="157"/>
  <c r="AD1881" i="157" s="1"/>
  <c r="AC1882" i="157"/>
  <c r="AD1882" i="157" s="1"/>
  <c r="AC1883" i="157"/>
  <c r="AC1884" i="157"/>
  <c r="AC1885" i="157"/>
  <c r="AD1885" i="157" s="1"/>
  <c r="AC1886" i="157"/>
  <c r="AC1887" i="157"/>
  <c r="AC1888" i="157"/>
  <c r="AC1889" i="157"/>
  <c r="AD1889" i="157" s="1"/>
  <c r="AC1890" i="157"/>
  <c r="AD1890" i="157" s="1"/>
  <c r="AC1891" i="157"/>
  <c r="AC1892" i="157"/>
  <c r="AC1893" i="157"/>
  <c r="AD1893" i="157" s="1"/>
  <c r="AC1894" i="157"/>
  <c r="AC1895" i="157"/>
  <c r="AC1896" i="157"/>
  <c r="AC1897" i="157"/>
  <c r="AD1897" i="157" s="1"/>
  <c r="AC1898" i="157"/>
  <c r="AC1899" i="157"/>
  <c r="AC1900" i="157"/>
  <c r="AC1901" i="157"/>
  <c r="AD1901" i="157" s="1"/>
  <c r="AC1902" i="157"/>
  <c r="AD1902" i="157" s="1"/>
  <c r="AC1903" i="157"/>
  <c r="AC1904" i="157"/>
  <c r="AC1905" i="157"/>
  <c r="AD1905" i="157" s="1"/>
  <c r="AC1906" i="157"/>
  <c r="AC1907" i="157"/>
  <c r="AC1908" i="157"/>
  <c r="AC1909" i="157"/>
  <c r="AD1909" i="157" s="1"/>
  <c r="AC1910" i="157"/>
  <c r="AD1910" i="157" s="1"/>
  <c r="AC1911" i="157"/>
  <c r="AC1912" i="157"/>
  <c r="AC1913" i="157"/>
  <c r="AD1913" i="157" s="1"/>
  <c r="AC1914" i="157"/>
  <c r="AD1914" i="157" s="1"/>
  <c r="AC1915" i="157"/>
  <c r="AC1916" i="157"/>
  <c r="AC1917" i="157"/>
  <c r="AD1917" i="157" s="1"/>
  <c r="AC1918" i="157"/>
  <c r="AD1918" i="157" s="1"/>
  <c r="AC1919" i="157"/>
  <c r="AC1920" i="157"/>
  <c r="AC1921" i="157"/>
  <c r="AD1921" i="157" s="1"/>
  <c r="AC1922" i="157"/>
  <c r="AD1922" i="157" s="1"/>
  <c r="AC1923" i="157"/>
  <c r="AC1924" i="157"/>
  <c r="AC1925" i="157"/>
  <c r="AD1925" i="157" s="1"/>
  <c r="AC1926" i="157"/>
  <c r="AD1926" i="157" s="1"/>
  <c r="AC1927" i="157"/>
  <c r="AC1928" i="157"/>
  <c r="AC1929" i="157"/>
  <c r="AD1929" i="157" s="1"/>
  <c r="AC1930" i="157"/>
  <c r="AD1930" i="157" s="1"/>
  <c r="AC1931" i="157"/>
  <c r="AC1932" i="157"/>
  <c r="AC1933" i="157"/>
  <c r="AD1933" i="157" s="1"/>
  <c r="AC1934" i="157"/>
  <c r="AD1934" i="157" s="1"/>
  <c r="AC1935" i="157"/>
  <c r="AC1936" i="157"/>
  <c r="AC1937" i="157"/>
  <c r="AD1937" i="157" s="1"/>
  <c r="AC1938" i="157"/>
  <c r="AC1939" i="157"/>
  <c r="AC1940" i="157"/>
  <c r="AC1941" i="157"/>
  <c r="AD1941" i="157" s="1"/>
  <c r="AC1942" i="157"/>
  <c r="AD1942" i="157" s="1"/>
  <c r="AC1943" i="157"/>
  <c r="AC1944" i="157"/>
  <c r="AC1945" i="157"/>
  <c r="AD1945" i="157" s="1"/>
  <c r="AC1946" i="157"/>
  <c r="AC1947" i="157"/>
  <c r="AC1948" i="157"/>
  <c r="AC1949" i="157"/>
  <c r="AD1949" i="157" s="1"/>
  <c r="AC1950" i="157"/>
  <c r="AD1950" i="157" s="1"/>
  <c r="AC1951" i="157"/>
  <c r="AC1952" i="157"/>
  <c r="AC1953" i="157"/>
  <c r="AD1953" i="157" s="1"/>
  <c r="AC1954" i="157"/>
  <c r="AD1954" i="157" s="1"/>
  <c r="AC1955" i="157"/>
  <c r="AC1956" i="157"/>
  <c r="AC1957" i="157"/>
  <c r="AD1957" i="157" s="1"/>
  <c r="AC1958" i="157"/>
  <c r="AD1958" i="157" s="1"/>
  <c r="AC1959" i="157"/>
  <c r="AC1960" i="157"/>
  <c r="AC1961" i="157"/>
  <c r="AD1961" i="157" s="1"/>
  <c r="AC1962" i="157"/>
  <c r="AD1962" i="157" s="1"/>
  <c r="AC1963" i="157"/>
  <c r="AC1964" i="157"/>
  <c r="AC1965" i="157"/>
  <c r="AD1965" i="157" s="1"/>
  <c r="AC1966" i="157"/>
  <c r="AD1966" i="157" s="1"/>
  <c r="AC1967" i="157"/>
  <c r="AC1968" i="157"/>
  <c r="AC1969" i="157"/>
  <c r="AD1969" i="157" s="1"/>
  <c r="AC1970" i="157"/>
  <c r="AC1971" i="157"/>
  <c r="AC1972" i="157"/>
  <c r="AC1973" i="157"/>
  <c r="AD1973" i="157" s="1"/>
  <c r="AC1974" i="157"/>
  <c r="AD1974" i="157" s="1"/>
  <c r="AC1975" i="157"/>
  <c r="AC1976" i="157"/>
  <c r="AC1977" i="157"/>
  <c r="AD1977" i="157" s="1"/>
  <c r="AC1978" i="157"/>
  <c r="AC1979" i="157"/>
  <c r="AC1980" i="157"/>
  <c r="AC1981" i="157"/>
  <c r="AD1981" i="157" s="1"/>
  <c r="AC1982" i="157"/>
  <c r="AD1982" i="157" s="1"/>
  <c r="AC1983" i="157"/>
  <c r="AC1984" i="157"/>
  <c r="AC1985" i="157"/>
  <c r="AD1985" i="157" s="1"/>
  <c r="AC1986" i="157"/>
  <c r="AC1987" i="157"/>
  <c r="AC1988" i="157"/>
  <c r="AC1989" i="157"/>
  <c r="AD1989" i="157" s="1"/>
  <c r="AC1990" i="157"/>
  <c r="AC1991" i="157"/>
  <c r="AC1992" i="157"/>
  <c r="AC1993" i="157"/>
  <c r="AD1993" i="157" s="1"/>
  <c r="AC1994" i="157"/>
  <c r="AD1994" i="157" s="1"/>
  <c r="AC1995" i="157"/>
  <c r="AC1996" i="157"/>
  <c r="AC1997" i="157"/>
  <c r="AD1997" i="157" s="1"/>
  <c r="AC1998" i="157"/>
  <c r="AC1999" i="157"/>
  <c r="AC2000" i="157"/>
  <c r="AC2001" i="157"/>
  <c r="AD2001" i="157" s="1"/>
  <c r="AC2002" i="157"/>
  <c r="AD2002" i="157" s="1"/>
  <c r="AC2003" i="157"/>
  <c r="AC2004" i="157"/>
  <c r="AC2005" i="157"/>
  <c r="AD2005" i="157" s="1"/>
  <c r="AC2006" i="157"/>
  <c r="AD2006" i="157" s="1"/>
  <c r="AC2007" i="157"/>
  <c r="AC2008" i="157"/>
  <c r="AC2009" i="157"/>
  <c r="AD2009" i="157" s="1"/>
  <c r="AC2010" i="157"/>
  <c r="AC2011" i="157"/>
  <c r="AC2012" i="157"/>
  <c r="AC2013" i="157"/>
  <c r="AD2013" i="157" s="1"/>
  <c r="AC2014" i="157"/>
  <c r="AD2014" i="157" s="1"/>
  <c r="AC2015" i="157"/>
  <c r="AC2016" i="157"/>
  <c r="AC2017" i="157"/>
  <c r="AD2017" i="157" s="1"/>
  <c r="AC2018" i="157"/>
  <c r="AC2019" i="157"/>
  <c r="AC2020" i="157"/>
  <c r="AC2021" i="157"/>
  <c r="AD2021" i="157" s="1"/>
  <c r="AC2022" i="157"/>
  <c r="AC2023" i="157"/>
  <c r="AC2024" i="157"/>
  <c r="AC2025" i="157"/>
  <c r="AD2025" i="157" s="1"/>
  <c r="AC2026" i="157"/>
  <c r="AD2026" i="157" s="1"/>
  <c r="AC2027" i="157"/>
  <c r="AC2028" i="157"/>
  <c r="AC2029" i="157"/>
  <c r="AD2029" i="157" s="1"/>
  <c r="AC2030" i="157"/>
  <c r="AC2031" i="157"/>
  <c r="AC2032" i="157"/>
  <c r="AC2033" i="157"/>
  <c r="AD2033" i="157" s="1"/>
  <c r="AC2034" i="157"/>
  <c r="AD2034" i="157" s="1"/>
  <c r="AC2035" i="157"/>
  <c r="AC2036" i="157"/>
  <c r="AC2037" i="157"/>
  <c r="AD2037" i="157" s="1"/>
  <c r="AC2038" i="157"/>
  <c r="AD2038" i="157" s="1"/>
  <c r="AC2039" i="157"/>
  <c r="AC2040" i="157"/>
  <c r="AC2041" i="157"/>
  <c r="AD2041" i="157" s="1"/>
  <c r="AC2042" i="157"/>
  <c r="AC2043" i="157"/>
  <c r="AC2044" i="157"/>
  <c r="AC2045" i="157"/>
  <c r="AD2045" i="157" s="1"/>
  <c r="AC2046" i="157"/>
  <c r="AD2046" i="157" s="1"/>
  <c r="AC2047" i="157"/>
  <c r="AC2048" i="157"/>
  <c r="AC2049" i="157"/>
  <c r="AD2049" i="157" s="1"/>
  <c r="AC2050" i="157"/>
  <c r="AD2050" i="157" s="1"/>
  <c r="AC2051" i="157"/>
  <c r="AC2052" i="157"/>
  <c r="AC2053" i="157"/>
  <c r="AD2053" i="157" s="1"/>
  <c r="AC2054" i="157"/>
  <c r="AD2054" i="157" s="1"/>
  <c r="AC2055" i="157"/>
  <c r="AC2056" i="157"/>
  <c r="AC2057" i="157"/>
  <c r="AD2057" i="157" s="1"/>
  <c r="AC2058" i="157"/>
  <c r="AD2058" i="157" s="1"/>
  <c r="AC2059" i="157"/>
  <c r="AC2060" i="157"/>
  <c r="AC2061" i="157"/>
  <c r="AD2061" i="157" s="1"/>
  <c r="AC2062" i="157"/>
  <c r="AC2063" i="157"/>
  <c r="AC2064" i="157"/>
  <c r="AC2065" i="157"/>
  <c r="AD2065" i="157" s="1"/>
  <c r="AC2066" i="157"/>
  <c r="AD2066" i="157" s="1"/>
  <c r="AC2067" i="157"/>
  <c r="AC2068" i="157"/>
  <c r="AC2069" i="157"/>
  <c r="AD2069" i="157" s="1"/>
  <c r="AC2070" i="157"/>
  <c r="AC2071" i="157"/>
  <c r="AC2072" i="157"/>
  <c r="AC2073" i="157"/>
  <c r="AD2073" i="157" s="1"/>
  <c r="AC2074" i="157"/>
  <c r="AD2074" i="157" s="1"/>
  <c r="AC2075" i="157"/>
  <c r="AC2076" i="157"/>
  <c r="AC2077" i="157"/>
  <c r="AD2077" i="157" s="1"/>
  <c r="AC2078" i="157"/>
  <c r="AD2078" i="157" s="1"/>
  <c r="AC2079" i="157"/>
  <c r="AC2080" i="157"/>
  <c r="AC2081" i="157"/>
  <c r="AD2081" i="157" s="1"/>
  <c r="AC2082" i="157"/>
  <c r="AD2082" i="157" s="1"/>
  <c r="AC2083" i="157"/>
  <c r="AC2084" i="157"/>
  <c r="AC2085" i="157"/>
  <c r="AD2085" i="157" s="1"/>
  <c r="AC2086" i="157"/>
  <c r="AD2086" i="157" s="1"/>
  <c r="AC2087" i="157"/>
  <c r="AC2088" i="157"/>
  <c r="AC2089" i="157"/>
  <c r="AD2089" i="157" s="1"/>
  <c r="AC2090" i="157"/>
  <c r="AD2090" i="157" s="1"/>
  <c r="AC2091" i="157"/>
  <c r="AC2092" i="157"/>
  <c r="AC2093" i="157"/>
  <c r="AD2093" i="157" s="1"/>
  <c r="AC2094" i="157"/>
  <c r="AC2095" i="157"/>
  <c r="AC2096" i="157"/>
  <c r="AC2097" i="157"/>
  <c r="AD2097" i="157" s="1"/>
  <c r="AC2098" i="157"/>
  <c r="AD2098" i="157" s="1"/>
  <c r="AC2099" i="157"/>
  <c r="AC2100" i="157"/>
  <c r="AC2101" i="157"/>
  <c r="AD2101" i="157" s="1"/>
  <c r="AC2102" i="157"/>
  <c r="AC2103" i="157"/>
  <c r="AC2104" i="157"/>
  <c r="AC2105" i="157"/>
  <c r="AD2105" i="157" s="1"/>
  <c r="AC2106" i="157"/>
  <c r="AD2106" i="157" s="1"/>
  <c r="AC2107" i="157"/>
  <c r="AC2108" i="157"/>
  <c r="AC2109" i="157"/>
  <c r="AD2109" i="157" s="1"/>
  <c r="AC2110" i="157"/>
  <c r="AC2111" i="157"/>
  <c r="AC2112" i="157"/>
  <c r="AC2113" i="157"/>
  <c r="AD2113" i="157" s="1"/>
  <c r="AC2114" i="157"/>
  <c r="AC2115" i="157"/>
  <c r="AC2116" i="157"/>
  <c r="AC2117" i="157"/>
  <c r="AD2117" i="157" s="1"/>
  <c r="AC2118" i="157"/>
  <c r="AD2118" i="157" s="1"/>
  <c r="AC2119" i="157"/>
  <c r="AC2120" i="157"/>
  <c r="AC2121" i="157"/>
  <c r="AD2121" i="157" s="1"/>
  <c r="AC2122" i="157"/>
  <c r="AC2123" i="157"/>
  <c r="AC2124" i="157"/>
  <c r="AC2125" i="157"/>
  <c r="AD2125" i="157" s="1"/>
  <c r="AC2126" i="157"/>
  <c r="AD2126" i="157" s="1"/>
  <c r="AC2127" i="157"/>
  <c r="AC2128" i="157"/>
  <c r="AC2129" i="157"/>
  <c r="AD2129" i="157" s="1"/>
  <c r="AC2130" i="157"/>
  <c r="AD2130" i="157" s="1"/>
  <c r="AC2131" i="157"/>
  <c r="AC2132" i="157"/>
  <c r="AC2133" i="157"/>
  <c r="AD2133" i="157" s="1"/>
  <c r="AC2134" i="157"/>
  <c r="AC2135" i="157"/>
  <c r="AC2136" i="157"/>
  <c r="AC2137" i="157"/>
  <c r="AD2137" i="157" s="1"/>
  <c r="AC2138" i="157"/>
  <c r="AD2138" i="157" s="1"/>
  <c r="AC2139" i="157"/>
  <c r="AC2140" i="157"/>
  <c r="AC2141" i="157"/>
  <c r="AD2141" i="157" s="1"/>
  <c r="AC2142" i="157"/>
  <c r="AC2143" i="157"/>
  <c r="AC2144" i="157"/>
  <c r="AC2145" i="157"/>
  <c r="AD2145" i="157" s="1"/>
  <c r="AC2146" i="157"/>
  <c r="AC2147" i="157"/>
  <c r="AC2148" i="157"/>
  <c r="AC2149" i="157"/>
  <c r="AD2149" i="157" s="1"/>
  <c r="AC2150" i="157"/>
  <c r="AD2150" i="157" s="1"/>
  <c r="AC2151" i="157"/>
  <c r="AC2152" i="157"/>
  <c r="AC2153" i="157"/>
  <c r="AD2153" i="157" s="1"/>
  <c r="AC2154" i="157"/>
  <c r="AC2155" i="157"/>
  <c r="AC2156" i="157"/>
  <c r="AC2157" i="157"/>
  <c r="AD2157" i="157" s="1"/>
  <c r="AC2158" i="157"/>
  <c r="AD2158" i="157" s="1"/>
  <c r="AC2159" i="157"/>
  <c r="AC2160" i="157"/>
  <c r="AC2161" i="157"/>
  <c r="AD2161" i="157" s="1"/>
  <c r="AC2162" i="157"/>
  <c r="AD2162" i="157" s="1"/>
  <c r="AC2163" i="157"/>
  <c r="AC2164" i="157"/>
  <c r="AC2165" i="157"/>
  <c r="AD2165" i="157" s="1"/>
  <c r="AC2166" i="157"/>
  <c r="AC2167" i="157"/>
  <c r="AC2168" i="157"/>
  <c r="AC2169" i="157"/>
  <c r="AD2169" i="157" s="1"/>
  <c r="AC2170" i="157"/>
  <c r="AD2170" i="157" s="1"/>
  <c r="AC2171" i="157"/>
  <c r="AC2172" i="157"/>
  <c r="AC2173" i="157"/>
  <c r="AC2174" i="157"/>
  <c r="AD2174" i="157" s="1"/>
  <c r="AC2175" i="157"/>
  <c r="AC2176" i="157"/>
  <c r="AC2177" i="157"/>
  <c r="AD2177" i="157" s="1"/>
  <c r="AC2178" i="157"/>
  <c r="AD2178" i="157" s="1"/>
  <c r="AC2179" i="157"/>
  <c r="AC2180" i="157"/>
  <c r="AC2181" i="157"/>
  <c r="AD2181" i="157" s="1"/>
  <c r="AC2182" i="157"/>
  <c r="AD2182" i="157" s="1"/>
  <c r="AC2183" i="157"/>
  <c r="AC2184" i="157"/>
  <c r="AC2185" i="157"/>
  <c r="AD2185" i="157" s="1"/>
  <c r="AC2186" i="157"/>
  <c r="AC2187" i="157"/>
  <c r="AC2188" i="157"/>
  <c r="AC2189" i="157"/>
  <c r="AD2189" i="157" s="1"/>
  <c r="AC2190" i="157"/>
  <c r="AD2190" i="157" s="1"/>
  <c r="AC2191" i="157"/>
  <c r="AC2192" i="157"/>
  <c r="AC2193" i="157"/>
  <c r="AD2193" i="157" s="1"/>
  <c r="AC2194" i="157"/>
  <c r="AC2195" i="157"/>
  <c r="AC2196" i="157"/>
  <c r="AC2197" i="157"/>
  <c r="AD2197" i="157" s="1"/>
  <c r="AC2198" i="157"/>
  <c r="AD2198" i="157" s="1"/>
  <c r="AC2199" i="157"/>
  <c r="AC2200" i="157"/>
  <c r="AC2201" i="157"/>
  <c r="AD2201" i="157" s="1"/>
  <c r="AC2202" i="157"/>
  <c r="AC2203" i="157"/>
  <c r="AC2204" i="157"/>
  <c r="AC2205" i="157"/>
  <c r="AD2205" i="157" s="1"/>
  <c r="AC2206" i="157"/>
  <c r="AD2206" i="157" s="1"/>
  <c r="AC2207" i="157"/>
  <c r="AC2208" i="157"/>
  <c r="AC2209" i="157"/>
  <c r="AD2209" i="157" s="1"/>
  <c r="AC2210" i="157"/>
  <c r="AC2211" i="157"/>
  <c r="AC2212" i="157"/>
  <c r="AC2213" i="157"/>
  <c r="AD2213" i="157" s="1"/>
  <c r="AC2214" i="157"/>
  <c r="AD2214" i="157" s="1"/>
  <c r="AC2215" i="157"/>
  <c r="AC2216" i="157"/>
  <c r="AC2217" i="157"/>
  <c r="AD2217" i="157" s="1"/>
  <c r="AC2218" i="157"/>
  <c r="AC2219" i="157"/>
  <c r="AC2220" i="157"/>
  <c r="AC2221" i="157"/>
  <c r="AD2221" i="157" s="1"/>
  <c r="AC2222" i="157"/>
  <c r="AD2222" i="157" s="1"/>
  <c r="AC2223" i="157"/>
  <c r="AC2224" i="157"/>
  <c r="AC2225" i="157"/>
  <c r="AD2225" i="157" s="1"/>
  <c r="AC2226" i="157"/>
  <c r="AC2227" i="157"/>
  <c r="AC2228" i="157"/>
  <c r="AC2229" i="157"/>
  <c r="AD2229" i="157" s="1"/>
  <c r="AC2230" i="157"/>
  <c r="AD2230" i="157" s="1"/>
  <c r="AC2231" i="157"/>
  <c r="AC2232" i="157"/>
  <c r="AC2233" i="157"/>
  <c r="AD2233" i="157" s="1"/>
  <c r="AC2234" i="157"/>
  <c r="AC2235" i="157"/>
  <c r="AC2236" i="157"/>
  <c r="AC2237" i="157"/>
  <c r="AD2237" i="157" s="1"/>
  <c r="AC2238" i="157"/>
  <c r="AC2239" i="157"/>
  <c r="AC2240" i="157"/>
  <c r="AC2241" i="157"/>
  <c r="AD2241" i="157" s="1"/>
  <c r="AC2242" i="157"/>
  <c r="AD2242" i="157" s="1"/>
  <c r="AC2243" i="157"/>
  <c r="AC2244" i="157"/>
  <c r="AC2245" i="157"/>
  <c r="AD2245" i="157" s="1"/>
  <c r="AC2246" i="157"/>
  <c r="AC2247" i="157"/>
  <c r="AC2248" i="157"/>
  <c r="AC2249" i="157"/>
  <c r="AD2249" i="157" s="1"/>
  <c r="AC2250" i="157"/>
  <c r="AD2250" i="157" s="1"/>
  <c r="AC2251" i="157"/>
  <c r="AC2252" i="157"/>
  <c r="AC2253" i="157"/>
  <c r="AD2253" i="157" s="1"/>
  <c r="AC2254" i="157"/>
  <c r="AC2255" i="157"/>
  <c r="AC2256" i="157"/>
  <c r="AC2257" i="157"/>
  <c r="AD2257" i="157" s="1"/>
  <c r="AC2258" i="157"/>
  <c r="AD2258" i="157" s="1"/>
  <c r="AC2259" i="157"/>
  <c r="AC2260" i="157"/>
  <c r="AC2261" i="157"/>
  <c r="AD2261" i="157" s="1"/>
  <c r="AC2262" i="157"/>
  <c r="AC2263" i="157"/>
  <c r="AC2264" i="157"/>
  <c r="AC2265" i="157"/>
  <c r="AD2265" i="157" s="1"/>
  <c r="AC2266" i="157"/>
  <c r="AD2266" i="157" s="1"/>
  <c r="AC2267" i="157"/>
  <c r="AC2268" i="157"/>
  <c r="AC2269" i="157"/>
  <c r="AD2269" i="157" s="1"/>
  <c r="AC2270" i="157"/>
  <c r="AC2271" i="157"/>
  <c r="AC2272" i="157"/>
  <c r="AC2273" i="157"/>
  <c r="AD2273" i="157" s="1"/>
  <c r="AC2274" i="157"/>
  <c r="AD2274" i="157" s="1"/>
  <c r="AC2275" i="157"/>
  <c r="AC2276" i="157"/>
  <c r="AC2277" i="157"/>
  <c r="AD2277" i="157" s="1"/>
  <c r="AC2278" i="157"/>
  <c r="AC2279" i="157"/>
  <c r="AC2280" i="157"/>
  <c r="AC2281" i="157"/>
  <c r="AD2281" i="157" s="1"/>
  <c r="AC2282" i="157"/>
  <c r="AD2282" i="157" s="1"/>
  <c r="AC2283" i="157"/>
  <c r="AC2284" i="157"/>
  <c r="AC2285" i="157"/>
  <c r="AD2285" i="157" s="1"/>
  <c r="AC2286" i="157"/>
  <c r="AC2287" i="157"/>
  <c r="AC2288" i="157"/>
  <c r="AC2289" i="157"/>
  <c r="AD2289" i="157" s="1"/>
  <c r="AC2290" i="157"/>
  <c r="AD2290" i="157" s="1"/>
  <c r="AC2291" i="157"/>
  <c r="AC2292" i="157"/>
  <c r="AC2293" i="157"/>
  <c r="AD2293" i="157" s="1"/>
  <c r="AC2294" i="157"/>
  <c r="AC2295" i="157"/>
  <c r="AC2296" i="157"/>
  <c r="AC2297" i="157"/>
  <c r="AD2297" i="157" s="1"/>
  <c r="AC2298" i="157"/>
  <c r="AD2298" i="157" s="1"/>
  <c r="AC2299" i="157"/>
  <c r="AC2300" i="157"/>
  <c r="AC2301" i="157"/>
  <c r="AC2302" i="157"/>
  <c r="AC2303" i="157"/>
  <c r="AC2304" i="157"/>
  <c r="AC2305" i="157"/>
  <c r="AD2305" i="157" s="1"/>
  <c r="AC2306" i="157"/>
  <c r="AD2306" i="157" s="1"/>
  <c r="AC2307" i="157"/>
  <c r="AC2308" i="157"/>
  <c r="AC2309" i="157"/>
  <c r="AD2309" i="157" s="1"/>
  <c r="AC2310" i="157"/>
  <c r="AC2311" i="157"/>
  <c r="AC2312" i="157"/>
  <c r="AC2313" i="157"/>
  <c r="AD2313" i="157" s="1"/>
  <c r="AC2314" i="157"/>
  <c r="AD2314" i="157" s="1"/>
  <c r="AC2315" i="157"/>
  <c r="AC2316" i="157"/>
  <c r="AC2317" i="157"/>
  <c r="AD2317" i="157" s="1"/>
  <c r="AC2318" i="157"/>
  <c r="AC2319" i="157"/>
  <c r="AC2320" i="157"/>
  <c r="AC2321" i="157"/>
  <c r="AD2321" i="157" s="1"/>
  <c r="AC2322" i="157"/>
  <c r="AD2322" i="157" s="1"/>
  <c r="AC2323" i="157"/>
  <c r="AC2324" i="157"/>
  <c r="AC2325" i="157"/>
  <c r="AD2325" i="157" s="1"/>
  <c r="AC2326" i="157"/>
  <c r="AC2327" i="157"/>
  <c r="AC2328" i="157"/>
  <c r="AC2329" i="157"/>
  <c r="AD2329" i="157" s="1"/>
  <c r="AC2330" i="157"/>
  <c r="AD2330" i="157" s="1"/>
  <c r="AC2331" i="157"/>
  <c r="AC2332" i="157"/>
  <c r="AC2333" i="157"/>
  <c r="AD2333" i="157" s="1"/>
  <c r="AC2334" i="157"/>
  <c r="AC2335" i="157"/>
  <c r="AC2336" i="157"/>
  <c r="AC2337" i="157"/>
  <c r="AD2337" i="157" s="1"/>
  <c r="AC2338" i="157"/>
  <c r="AD2338" i="157" s="1"/>
  <c r="AC2339" i="157"/>
  <c r="AC2340" i="157"/>
  <c r="AC2341" i="157"/>
  <c r="AD2341" i="157" s="1"/>
  <c r="AC2342" i="157"/>
  <c r="AC2343" i="157"/>
  <c r="AC2344" i="157"/>
  <c r="AC2345" i="157"/>
  <c r="AD2345" i="157" s="1"/>
  <c r="AC2346" i="157"/>
  <c r="AD2346" i="157" s="1"/>
  <c r="AC2347" i="157"/>
  <c r="AC2348" i="157"/>
  <c r="AC2349" i="157"/>
  <c r="AD2349" i="157" s="1"/>
  <c r="AC2350" i="157"/>
  <c r="AC2351" i="157"/>
  <c r="AC2352" i="157"/>
  <c r="AC2353" i="157"/>
  <c r="AD2353" i="157" s="1"/>
  <c r="AC2354" i="157"/>
  <c r="AD2354" i="157" s="1"/>
  <c r="AC2355" i="157"/>
  <c r="AC2356" i="157"/>
  <c r="AC2357" i="157"/>
  <c r="AD2357" i="157" s="1"/>
  <c r="AC2358" i="157"/>
  <c r="AC2359" i="157"/>
  <c r="AC2360" i="157"/>
  <c r="AC2361" i="157"/>
  <c r="AD2361" i="157" s="1"/>
  <c r="AC2362" i="157"/>
  <c r="AD2362" i="157" s="1"/>
  <c r="AC2363" i="157"/>
  <c r="AC2364" i="157"/>
  <c r="AC2365" i="157"/>
  <c r="AD2365" i="157" s="1"/>
  <c r="AC2366" i="157"/>
  <c r="AD2366" i="157" s="1"/>
  <c r="AC2367" i="157"/>
  <c r="AC2368" i="157"/>
  <c r="AC2369" i="157"/>
  <c r="AD2369" i="157" s="1"/>
  <c r="AC2370" i="157"/>
  <c r="AC2371" i="157"/>
  <c r="AC2372" i="157"/>
  <c r="AC2373" i="157"/>
  <c r="AD2373" i="157" s="1"/>
  <c r="AC2374" i="157"/>
  <c r="AD2374" i="157" s="1"/>
  <c r="AC2375" i="157"/>
  <c r="AC2376" i="157"/>
  <c r="AC2377" i="157"/>
  <c r="AD2377" i="157" s="1"/>
  <c r="AC2378" i="157"/>
  <c r="AC2379" i="157"/>
  <c r="AC2380" i="157"/>
  <c r="AC2381" i="157"/>
  <c r="AD2381" i="157" s="1"/>
  <c r="AC2382" i="157"/>
  <c r="AD2382" i="157" s="1"/>
  <c r="AC2383" i="157"/>
  <c r="AC2384" i="157"/>
  <c r="AC2385" i="157"/>
  <c r="AD2385" i="157" s="1"/>
  <c r="AC2386" i="157"/>
  <c r="AC2387" i="157"/>
  <c r="AC2388" i="157"/>
  <c r="AC2389" i="157"/>
  <c r="AD2389" i="157" s="1"/>
  <c r="AC2390" i="157"/>
  <c r="AD2390" i="157" s="1"/>
  <c r="AC2391" i="157"/>
  <c r="AC2392" i="157"/>
  <c r="AC2393" i="157"/>
  <c r="AD2393" i="157" s="1"/>
  <c r="AC2394" i="157"/>
  <c r="AC2395" i="157"/>
  <c r="AC2396" i="157"/>
  <c r="AC2397" i="157"/>
  <c r="AD2397" i="157" s="1"/>
  <c r="AC2398" i="157"/>
  <c r="AD2398" i="157" s="1"/>
  <c r="AC2399" i="157"/>
  <c r="AC2400" i="157"/>
  <c r="AC2401" i="157"/>
  <c r="AD2401" i="157" s="1"/>
  <c r="AC2402" i="157"/>
  <c r="AC2403" i="157"/>
  <c r="AC2404" i="157"/>
  <c r="AC2405" i="157"/>
  <c r="AD2405" i="157" s="1"/>
  <c r="AC2406" i="157"/>
  <c r="AD2406" i="157" s="1"/>
  <c r="AC2407" i="157"/>
  <c r="AC2408" i="157"/>
  <c r="AC2409" i="157"/>
  <c r="AD2409" i="157" s="1"/>
  <c r="AC2410" i="157"/>
  <c r="AC2411" i="157"/>
  <c r="AC2412" i="157"/>
  <c r="AC2413" i="157"/>
  <c r="AD2413" i="157" s="1"/>
  <c r="AC2414" i="157"/>
  <c r="AD2414" i="157" s="1"/>
  <c r="AC2415" i="157"/>
  <c r="AC2416" i="157"/>
  <c r="AC2417" i="157"/>
  <c r="AD2417" i="157" s="1"/>
  <c r="AC2418" i="157"/>
  <c r="AC2419" i="157"/>
  <c r="AC2420" i="157"/>
  <c r="AC2421" i="157"/>
  <c r="AD2421" i="157" s="1"/>
  <c r="AC2422" i="157"/>
  <c r="AD2422" i="157" s="1"/>
  <c r="AC2423" i="157"/>
  <c r="AC2424" i="157"/>
  <c r="AC2425" i="157"/>
  <c r="AD2425" i="157" s="1"/>
  <c r="AC2426" i="157"/>
  <c r="AC2427" i="157"/>
  <c r="AC2428" i="157"/>
  <c r="AC2429" i="157"/>
  <c r="AD2429" i="157" s="1"/>
  <c r="AC2430" i="157"/>
  <c r="AD2430" i="157" s="1"/>
  <c r="AC2431" i="157"/>
  <c r="AC2432" i="157"/>
  <c r="AC2433" i="157"/>
  <c r="AD2433" i="157" s="1"/>
  <c r="AC2434" i="157"/>
  <c r="AC2435" i="157"/>
  <c r="AC2436" i="157"/>
  <c r="AC2437" i="157"/>
  <c r="AD2437" i="157" s="1"/>
  <c r="AC2438" i="157"/>
  <c r="AD2438" i="157" s="1"/>
  <c r="AC2439" i="157"/>
  <c r="AC2440" i="157"/>
  <c r="AC2441" i="157"/>
  <c r="AD2441" i="157" s="1"/>
  <c r="AC2442" i="157"/>
  <c r="AC2443" i="157"/>
  <c r="AC2444" i="157"/>
  <c r="AC2445" i="157"/>
  <c r="AD2445" i="157" s="1"/>
  <c r="AC2446" i="157"/>
  <c r="AD2446" i="157" s="1"/>
  <c r="AC2447" i="157"/>
  <c r="AC2448" i="157"/>
  <c r="AC2449" i="157"/>
  <c r="AD2449" i="157" s="1"/>
  <c r="AC2450" i="157"/>
  <c r="AC2451" i="157"/>
  <c r="AC2452" i="157"/>
  <c r="AC2453" i="157"/>
  <c r="AD2453" i="157" s="1"/>
  <c r="AC2454" i="157"/>
  <c r="AD2454" i="157" s="1"/>
  <c r="AC2455" i="157"/>
  <c r="AC2456" i="157"/>
  <c r="AC2457" i="157"/>
  <c r="AD2457" i="157" s="1"/>
  <c r="AC2458" i="157"/>
  <c r="AC2459" i="157"/>
  <c r="AC2460" i="157"/>
  <c r="AC2461" i="157"/>
  <c r="AD2461" i="157" s="1"/>
  <c r="AC2462" i="157"/>
  <c r="AD2462" i="157" s="1"/>
  <c r="AC2463" i="157"/>
  <c r="AC2464" i="157"/>
  <c r="AC2465" i="157"/>
  <c r="AD2465" i="157" s="1"/>
  <c r="AC2466" i="157"/>
  <c r="AC2467" i="157"/>
  <c r="AC2468" i="157"/>
  <c r="AC2469" i="157"/>
  <c r="AD2469" i="157" s="1"/>
  <c r="AC2470" i="157"/>
  <c r="AD2470" i="157" s="1"/>
  <c r="AC2471" i="157"/>
  <c r="AC2472" i="157"/>
  <c r="AC2473" i="157"/>
  <c r="AD2473" i="157" s="1"/>
  <c r="AC2474" i="157"/>
  <c r="AC2475" i="157"/>
  <c r="AC2476" i="157"/>
  <c r="AC2477" i="157"/>
  <c r="AD2477" i="157" s="1"/>
  <c r="AC2478" i="157"/>
  <c r="AD2478" i="157" s="1"/>
  <c r="AC2479" i="157"/>
  <c r="AC2480" i="157"/>
  <c r="AC2481" i="157"/>
  <c r="AD2481" i="157" s="1"/>
  <c r="AC2482" i="157"/>
  <c r="AC2483" i="157"/>
  <c r="AC2484" i="157"/>
  <c r="AC2485" i="157"/>
  <c r="AD2485" i="157" s="1"/>
  <c r="AC2486" i="157"/>
  <c r="AD2486" i="157" s="1"/>
  <c r="AC2487" i="157"/>
  <c r="AC2488" i="157"/>
  <c r="AC2489" i="157"/>
  <c r="AD2489" i="157" s="1"/>
  <c r="AC2490" i="157"/>
  <c r="AC2491" i="157"/>
  <c r="AC2492" i="157"/>
  <c r="AC2493" i="157"/>
  <c r="AD2493" i="157" s="1"/>
  <c r="AC2494" i="157"/>
  <c r="AC2495" i="157"/>
  <c r="AC2496" i="157"/>
  <c r="AC2497" i="157"/>
  <c r="AD2497" i="157" s="1"/>
  <c r="AC2498" i="157"/>
  <c r="AD2498" i="157" s="1"/>
  <c r="AC2499" i="157"/>
  <c r="AC2500" i="157"/>
  <c r="AC2501" i="157"/>
  <c r="AD2501" i="157" s="1"/>
  <c r="AC2502" i="157"/>
  <c r="AC2503" i="157"/>
  <c r="AC2504" i="157"/>
  <c r="AC2505" i="157"/>
  <c r="AD2505" i="157" s="1"/>
  <c r="AC2506" i="157"/>
  <c r="AD2506" i="157" s="1"/>
  <c r="AC2507" i="157"/>
  <c r="AC2508" i="157"/>
  <c r="AC2509" i="157"/>
  <c r="AD2509" i="157" s="1"/>
  <c r="AC2510" i="157"/>
  <c r="AC2511" i="157"/>
  <c r="AC2512" i="157"/>
  <c r="AC2513" i="157"/>
  <c r="AD2513" i="157" s="1"/>
  <c r="AC2514" i="157"/>
  <c r="AD2514" i="157" s="1"/>
  <c r="AC2515" i="157"/>
  <c r="AC2516" i="157"/>
  <c r="AC2517" i="157"/>
  <c r="AD2517" i="157" s="1"/>
  <c r="AC2518" i="157"/>
  <c r="AC2519" i="157"/>
  <c r="AC2520" i="157"/>
  <c r="AC2521" i="157"/>
  <c r="AD2521" i="157" s="1"/>
  <c r="AC2522" i="157"/>
  <c r="AC2523" i="157"/>
  <c r="AC2524" i="157"/>
  <c r="AC2525" i="157"/>
  <c r="AD2525" i="157" s="1"/>
  <c r="AC2526" i="157"/>
  <c r="AD2526" i="157" s="1"/>
  <c r="AC2527" i="157"/>
  <c r="AC2528" i="157"/>
  <c r="AC2529" i="157"/>
  <c r="AD2529" i="157" s="1"/>
  <c r="AC2530" i="157"/>
  <c r="AC2531" i="157"/>
  <c r="AC2532" i="157"/>
  <c r="AC2533" i="157"/>
  <c r="AD2533" i="157" s="1"/>
  <c r="AC2534" i="157"/>
  <c r="AD2534" i="157" s="1"/>
  <c r="AC2535" i="157"/>
  <c r="AC2536" i="157"/>
  <c r="AC2537" i="157"/>
  <c r="AD2537" i="157" s="1"/>
  <c r="AC2538" i="157"/>
  <c r="AC2539" i="157"/>
  <c r="AC2540" i="157"/>
  <c r="AC2541" i="157"/>
  <c r="AD2541" i="157" s="1"/>
  <c r="AC2542" i="157"/>
  <c r="AD2542" i="157" s="1"/>
  <c r="AC2543" i="157"/>
  <c r="AC2544" i="157"/>
  <c r="AC2545" i="157"/>
  <c r="AD2545" i="157" s="1"/>
  <c r="AC2546" i="157"/>
  <c r="AC2547" i="157"/>
  <c r="AC2548" i="157"/>
  <c r="AC2549" i="157"/>
  <c r="AD2549" i="157" s="1"/>
  <c r="AC2550" i="157"/>
  <c r="AD2550" i="157" s="1"/>
  <c r="AC2551" i="157"/>
  <c r="AC2552" i="157"/>
  <c r="AC2553" i="157"/>
  <c r="AD2553" i="157" s="1"/>
  <c r="AC2554" i="157"/>
  <c r="AD2554" i="157" s="1"/>
  <c r="AC2555" i="157"/>
  <c r="AC2556" i="157"/>
  <c r="AC2557" i="157"/>
  <c r="AD2557" i="157" s="1"/>
  <c r="AC2558" i="157"/>
  <c r="AC2559" i="157"/>
  <c r="AC2560" i="157"/>
  <c r="AC2561" i="157"/>
  <c r="AD2561" i="157" s="1"/>
  <c r="AC2562" i="157"/>
  <c r="AD2562" i="157" s="1"/>
  <c r="AC2563" i="157"/>
  <c r="AC2564" i="157"/>
  <c r="AC2565" i="157"/>
  <c r="AD2565" i="157" s="1"/>
  <c r="AC2566" i="157"/>
  <c r="AC2567" i="157"/>
  <c r="AC2568" i="157"/>
  <c r="AC2569" i="157"/>
  <c r="AD2569" i="157" s="1"/>
  <c r="AC2570" i="157"/>
  <c r="AD2570" i="157" s="1"/>
  <c r="AC2571" i="157"/>
  <c r="AC2572" i="157"/>
  <c r="AC2573" i="157"/>
  <c r="AD2573" i="157" s="1"/>
  <c r="AC2574" i="157"/>
  <c r="AC2575" i="157"/>
  <c r="AC2576" i="157"/>
  <c r="AC2577" i="157"/>
  <c r="AD2577" i="157" s="1"/>
  <c r="AC2578" i="157"/>
  <c r="AD2578" i="157" s="1"/>
  <c r="AC2579" i="157"/>
  <c r="AC2580" i="157"/>
  <c r="AC2581" i="157"/>
  <c r="AD2581" i="157" s="1"/>
  <c r="AC2582" i="157"/>
  <c r="AC2583" i="157"/>
  <c r="AC2584" i="157"/>
  <c r="AC2585" i="157"/>
  <c r="AD2585" i="157" s="1"/>
  <c r="AC2586" i="157"/>
  <c r="AC2587" i="157"/>
  <c r="AC2588" i="157"/>
  <c r="AC2589" i="157"/>
  <c r="AD2589" i="157" s="1"/>
  <c r="AC2590" i="157"/>
  <c r="AD2590" i="157" s="1"/>
  <c r="AC2591" i="157"/>
  <c r="AC2592" i="157"/>
  <c r="AC2593" i="157"/>
  <c r="AD2593" i="157" s="1"/>
  <c r="AC2594" i="157"/>
  <c r="AC2595" i="157"/>
  <c r="AC2596" i="157"/>
  <c r="AC2597" i="157"/>
  <c r="AD2597" i="157" s="1"/>
  <c r="AC2598" i="157"/>
  <c r="AD2598" i="157" s="1"/>
  <c r="AC2599" i="157"/>
  <c r="AC2600" i="157"/>
  <c r="AC2601" i="157"/>
  <c r="AD2601" i="157" s="1"/>
  <c r="AC2602" i="157"/>
  <c r="AC2603" i="157"/>
  <c r="AC2604" i="157"/>
  <c r="AC2605" i="157"/>
  <c r="AD2605" i="157" s="1"/>
  <c r="AC2606" i="157"/>
  <c r="AD2606" i="157" s="1"/>
  <c r="AC2607" i="157"/>
  <c r="AC2608" i="157"/>
  <c r="AC2609" i="157"/>
  <c r="AD2609" i="157" s="1"/>
  <c r="AC2610" i="157"/>
  <c r="AC2611" i="157"/>
  <c r="AC2612" i="157"/>
  <c r="AC2613" i="157"/>
  <c r="AD2613" i="157" s="1"/>
  <c r="AC2614" i="157"/>
  <c r="AD2614" i="157" s="1"/>
  <c r="AC2615" i="157"/>
  <c r="AC2616" i="157"/>
  <c r="AC2617" i="157"/>
  <c r="AD2617" i="157" s="1"/>
  <c r="AC2618" i="157"/>
  <c r="AD2618" i="157" s="1"/>
  <c r="AC2619" i="157"/>
  <c r="AC2620" i="157"/>
  <c r="AC2621" i="157"/>
  <c r="AD2621" i="157" s="1"/>
  <c r="AC2622" i="157"/>
  <c r="AC2623" i="157"/>
  <c r="AC2624" i="157"/>
  <c r="AC2625" i="157"/>
  <c r="AD2625" i="157" s="1"/>
  <c r="AC2626" i="157"/>
  <c r="AD2626" i="157" s="1"/>
  <c r="AC2627" i="157"/>
  <c r="AC2628" i="157"/>
  <c r="AC2629" i="157"/>
  <c r="AD2629" i="157" s="1"/>
  <c r="AC2630" i="157"/>
  <c r="AC2631" i="157"/>
  <c r="AC2632" i="157"/>
  <c r="AC2633" i="157"/>
  <c r="AD2633" i="157" s="1"/>
  <c r="AC2634" i="157"/>
  <c r="AD2634" i="157" s="1"/>
  <c r="AC2635" i="157"/>
  <c r="AC2636" i="157"/>
  <c r="AC2637" i="157"/>
  <c r="AD2637" i="157" s="1"/>
  <c r="AC2638" i="157"/>
  <c r="AC2639" i="157"/>
  <c r="AC2640" i="157"/>
  <c r="AC2641" i="157"/>
  <c r="AD2641" i="157" s="1"/>
  <c r="AC2642" i="157"/>
  <c r="AD2642" i="157" s="1"/>
  <c r="AC2643" i="157"/>
  <c r="AC2644" i="157"/>
  <c r="AC2645" i="157"/>
  <c r="AD2645" i="157" s="1"/>
  <c r="AC2646" i="157"/>
  <c r="AC2647" i="157"/>
  <c r="AC2648" i="157"/>
  <c r="AC2649" i="157"/>
  <c r="AD2649" i="157" s="1"/>
  <c r="AC2650" i="157"/>
  <c r="AC2651" i="157"/>
  <c r="AC2652" i="157"/>
  <c r="AC2653" i="157"/>
  <c r="AD2653" i="157" s="1"/>
  <c r="AC2654" i="157"/>
  <c r="AD2654" i="157" s="1"/>
  <c r="AC2655" i="157"/>
  <c r="AC2656" i="157"/>
  <c r="AC2657" i="157"/>
  <c r="AD2657" i="157" s="1"/>
  <c r="AC2658" i="157"/>
  <c r="AC2659" i="157"/>
  <c r="AC2660" i="157"/>
  <c r="AC2661" i="157"/>
  <c r="AD2661" i="157" s="1"/>
  <c r="AC2662" i="157"/>
  <c r="AD2662" i="157" s="1"/>
  <c r="AC2663" i="157"/>
  <c r="AC2664" i="157"/>
  <c r="AC2665" i="157"/>
  <c r="AD2665" i="157" s="1"/>
  <c r="AC2666" i="157"/>
  <c r="AC2667" i="157"/>
  <c r="AC2668" i="157"/>
  <c r="AC2669" i="157"/>
  <c r="AD2669" i="157" s="1"/>
  <c r="AC2670" i="157"/>
  <c r="AD2670" i="157" s="1"/>
  <c r="AC2671" i="157"/>
  <c r="AC2672" i="157"/>
  <c r="AC2673" i="157"/>
  <c r="AD2673" i="157" s="1"/>
  <c r="AC2674" i="157"/>
  <c r="AC2675" i="157"/>
  <c r="AC2676" i="157"/>
  <c r="AC2677" i="157"/>
  <c r="AD2677" i="157" s="1"/>
  <c r="AC2678" i="157"/>
  <c r="AD2678" i="157" s="1"/>
  <c r="AC2679" i="157"/>
  <c r="AC2680" i="157"/>
  <c r="AC2681" i="157"/>
  <c r="AD2681" i="157" s="1"/>
  <c r="AC2682" i="157"/>
  <c r="AD2682" i="157" s="1"/>
  <c r="AC2683" i="157"/>
  <c r="AC2684" i="157"/>
  <c r="AC2685" i="157"/>
  <c r="AD2685" i="157" s="1"/>
  <c r="AC2686" i="157"/>
  <c r="AC2687" i="157"/>
  <c r="AC2688" i="157"/>
  <c r="AC2689" i="157"/>
  <c r="AD2689" i="157" s="1"/>
  <c r="AC2690" i="157"/>
  <c r="AD2690" i="157" s="1"/>
  <c r="AC2691" i="157"/>
  <c r="AC2692" i="157"/>
  <c r="AC2693" i="157"/>
  <c r="AD2693" i="157" s="1"/>
  <c r="AC2694" i="157"/>
  <c r="AC2695" i="157"/>
  <c r="AC2696" i="157"/>
  <c r="AC2697" i="157"/>
  <c r="AD2697" i="157" s="1"/>
  <c r="AC2698" i="157"/>
  <c r="AD2698" i="157" s="1"/>
  <c r="AC2699" i="157"/>
  <c r="AC2700" i="157"/>
  <c r="AC2701" i="157"/>
  <c r="AD2701" i="157" s="1"/>
  <c r="AC2702" i="157"/>
  <c r="AC2703" i="157"/>
  <c r="AC2704" i="157"/>
  <c r="AC2705" i="157"/>
  <c r="AD2705" i="157" s="1"/>
  <c r="AC2706" i="157"/>
  <c r="AD2706" i="157" s="1"/>
  <c r="AC2707" i="157"/>
  <c r="AC2708" i="157"/>
  <c r="AC2709" i="157"/>
  <c r="AD2709" i="157" s="1"/>
  <c r="AC2710" i="157"/>
  <c r="AC2711" i="157"/>
  <c r="AC2712" i="157"/>
  <c r="AC2713" i="157"/>
  <c r="AD2713" i="157" s="1"/>
  <c r="AC2714" i="157"/>
  <c r="AC2715" i="157"/>
  <c r="AC2716" i="157"/>
  <c r="AC2717" i="157"/>
  <c r="AD2717" i="157" s="1"/>
  <c r="AC2718" i="157"/>
  <c r="AD2718" i="157" s="1"/>
  <c r="AC2719" i="157"/>
  <c r="AC2720" i="157"/>
  <c r="AC2721" i="157"/>
  <c r="AD2721" i="157" s="1"/>
  <c r="AC2722" i="157"/>
  <c r="AC2723" i="157"/>
  <c r="AC2724" i="157"/>
  <c r="AC2725" i="157"/>
  <c r="AD2725" i="157" s="1"/>
  <c r="AC2726" i="157"/>
  <c r="AD2726" i="157" s="1"/>
  <c r="AC2727" i="157"/>
  <c r="AC2728" i="157"/>
  <c r="AC2729" i="157"/>
  <c r="AD2729" i="157" s="1"/>
  <c r="AC2730" i="157"/>
  <c r="AC2731" i="157"/>
  <c r="AC2732" i="157"/>
  <c r="AC2733" i="157"/>
  <c r="AD2733" i="157" s="1"/>
  <c r="AC2734" i="157"/>
  <c r="AD2734" i="157" s="1"/>
  <c r="AC2735" i="157"/>
  <c r="AC2736" i="157"/>
  <c r="AC2737" i="157"/>
  <c r="AD2737" i="157" s="1"/>
  <c r="AC2738" i="157"/>
  <c r="AC2739" i="157"/>
  <c r="AC2740" i="157"/>
  <c r="AC2741" i="157"/>
  <c r="AD2741" i="157" s="1"/>
  <c r="AC2742" i="157"/>
  <c r="AD2742" i="157" s="1"/>
  <c r="AC2743" i="157"/>
  <c r="AC2744" i="157"/>
  <c r="AC2745" i="157"/>
  <c r="AD2745" i="157" s="1"/>
  <c r="AC2746" i="157"/>
  <c r="AD2746" i="157" s="1"/>
  <c r="AC2747" i="157"/>
  <c r="AC2748" i="157"/>
  <c r="AC2749" i="157"/>
  <c r="AD2749" i="157" s="1"/>
  <c r="AC2750" i="157"/>
  <c r="AC2751" i="157"/>
  <c r="AC2752" i="157"/>
  <c r="AC2753" i="157"/>
  <c r="AD2753" i="157" s="1"/>
  <c r="AC2754" i="157"/>
  <c r="AD2754" i="157" s="1"/>
  <c r="AC2755" i="157"/>
  <c r="AC2756" i="157"/>
  <c r="AC2757" i="157"/>
  <c r="AD2757" i="157" s="1"/>
  <c r="AC2758" i="157"/>
  <c r="AC2759" i="157"/>
  <c r="AC2760" i="157"/>
  <c r="AC2761" i="157"/>
  <c r="AD2761" i="157" s="1"/>
  <c r="AC2762" i="157"/>
  <c r="AD2762" i="157" s="1"/>
  <c r="AC2763" i="157"/>
  <c r="AC2764" i="157"/>
  <c r="AC2765" i="157"/>
  <c r="AD2765" i="157" s="1"/>
  <c r="AC2766" i="157"/>
  <c r="AC2767" i="157"/>
  <c r="AC2768" i="157"/>
  <c r="AC2769" i="157"/>
  <c r="AD2769" i="157" s="1"/>
  <c r="AC2770" i="157"/>
  <c r="AD2770" i="157" s="1"/>
  <c r="AC2771" i="157"/>
  <c r="AC2772" i="157"/>
  <c r="AC2773" i="157"/>
  <c r="AD2773" i="157" s="1"/>
  <c r="AC2774" i="157"/>
  <c r="AC2775" i="157"/>
  <c r="AC2776" i="157"/>
  <c r="AC2777" i="157"/>
  <c r="AD2777" i="157" s="1"/>
  <c r="AC2778" i="157"/>
  <c r="AC2779" i="157"/>
  <c r="AC2780" i="157"/>
  <c r="AC2781" i="157"/>
  <c r="AD2781" i="157" s="1"/>
  <c r="AC2782" i="157"/>
  <c r="AD2782" i="157" s="1"/>
  <c r="AC2783" i="157"/>
  <c r="AC2784" i="157"/>
  <c r="AC2785" i="157"/>
  <c r="AD2785" i="157" s="1"/>
  <c r="AC2786" i="157"/>
  <c r="AC2787" i="157"/>
  <c r="AC2788" i="157"/>
  <c r="AC2789" i="157"/>
  <c r="AD2789" i="157" s="1"/>
  <c r="AC2790" i="157"/>
  <c r="AD2790" i="157" s="1"/>
  <c r="AC2791" i="157"/>
  <c r="AC2792" i="157"/>
  <c r="AC2793" i="157"/>
  <c r="AD2793" i="157" s="1"/>
  <c r="AC2794" i="157"/>
  <c r="AC2795" i="157"/>
  <c r="AC2796" i="157"/>
  <c r="AC2797" i="157"/>
  <c r="AD2797" i="157" s="1"/>
  <c r="AC2798" i="157"/>
  <c r="AD2798" i="157" s="1"/>
  <c r="AC2799" i="157"/>
  <c r="AC2800" i="157"/>
  <c r="AC2801" i="157"/>
  <c r="AD2801" i="157" s="1"/>
  <c r="AC2802" i="157"/>
  <c r="AC2803" i="157"/>
  <c r="AC2804" i="157"/>
  <c r="AC2805" i="157"/>
  <c r="AD2805" i="157" s="1"/>
  <c r="AC2806" i="157"/>
  <c r="AD2806" i="157" s="1"/>
  <c r="AC2807" i="157"/>
  <c r="AC2808" i="157"/>
  <c r="AC2809" i="157"/>
  <c r="AD2809" i="157" s="1"/>
  <c r="AC2810" i="157"/>
  <c r="AD2810" i="157" s="1"/>
  <c r="AC2811" i="157"/>
  <c r="AC2812" i="157"/>
  <c r="AC2813" i="157"/>
  <c r="AD2813" i="157" s="1"/>
  <c r="AC2814" i="157"/>
  <c r="AC2815" i="157"/>
  <c r="AC2816" i="157"/>
  <c r="AC2817" i="157"/>
  <c r="AD2817" i="157" s="1"/>
  <c r="AC2818" i="157"/>
  <c r="AD2818" i="157" s="1"/>
  <c r="AC2819" i="157"/>
  <c r="AC2820" i="157"/>
  <c r="AC2821" i="157"/>
  <c r="AD2821" i="157" s="1"/>
  <c r="AC2822" i="157"/>
  <c r="AC2823" i="157"/>
  <c r="AC2824" i="157"/>
  <c r="AC2825" i="157"/>
  <c r="AD2825" i="157" s="1"/>
  <c r="AC2826" i="157"/>
  <c r="AD2826" i="157" s="1"/>
  <c r="AC2827" i="157"/>
  <c r="AC2828" i="157"/>
  <c r="AC2829" i="157"/>
  <c r="AD2829" i="157" s="1"/>
  <c r="AC2830" i="157"/>
  <c r="AC2831" i="157"/>
  <c r="AC2832" i="157"/>
  <c r="AC2833" i="157"/>
  <c r="AD2833" i="157" s="1"/>
  <c r="AC2834" i="157"/>
  <c r="AD2834" i="157" s="1"/>
  <c r="AC2835" i="157"/>
  <c r="AC2836" i="157"/>
  <c r="AC2837" i="157"/>
  <c r="AD2837" i="157" s="1"/>
  <c r="AC2838" i="157"/>
  <c r="AC2839" i="157"/>
  <c r="AC2840" i="157"/>
  <c r="AC2841" i="157"/>
  <c r="AD2841" i="157" s="1"/>
  <c r="AC2842" i="157"/>
  <c r="AC2843" i="157"/>
  <c r="AC2844" i="157"/>
  <c r="AC2845" i="157"/>
  <c r="AD2845" i="157" s="1"/>
  <c r="AC2846" i="157"/>
  <c r="AD2846" i="157" s="1"/>
  <c r="AC2847" i="157"/>
  <c r="AC2848" i="157"/>
  <c r="AC2849" i="157"/>
  <c r="AD2849" i="157" s="1"/>
  <c r="AC2850" i="157"/>
  <c r="AC2851" i="157"/>
  <c r="AC2852" i="157"/>
  <c r="AC2853" i="157"/>
  <c r="AD2853" i="157" s="1"/>
  <c r="AC2854" i="157"/>
  <c r="AD2854" i="157" s="1"/>
  <c r="AC2855" i="157"/>
  <c r="AC2856" i="157"/>
  <c r="AC2857" i="157"/>
  <c r="AD2857" i="157" s="1"/>
  <c r="AC2858" i="157"/>
  <c r="AC2859" i="157"/>
  <c r="AC2860" i="157"/>
  <c r="AC2861" i="157"/>
  <c r="AD2861" i="157" s="1"/>
  <c r="AC2862" i="157"/>
  <c r="AD2862" i="157" s="1"/>
  <c r="AC2863" i="157"/>
  <c r="AC2864" i="157"/>
  <c r="AC2865" i="157"/>
  <c r="AD2865" i="157" s="1"/>
  <c r="AC2866" i="157"/>
  <c r="AC2867" i="157"/>
  <c r="AC2868" i="157"/>
  <c r="AC2869" i="157"/>
  <c r="AD2869" i="157" s="1"/>
  <c r="AC2870" i="157"/>
  <c r="AD2870" i="157" s="1"/>
  <c r="AC2871" i="157"/>
  <c r="AC2872" i="157"/>
  <c r="AC2873" i="157"/>
  <c r="AD2873" i="157" s="1"/>
  <c r="AC2874" i="157"/>
  <c r="AD2874" i="157" s="1"/>
  <c r="AC2875" i="157"/>
  <c r="AC2876" i="157"/>
  <c r="AC2877" i="157"/>
  <c r="AD2877" i="157" s="1"/>
  <c r="AC2878" i="157"/>
  <c r="AC2879" i="157"/>
  <c r="AC2880" i="157"/>
  <c r="AC2881" i="157"/>
  <c r="AD2881" i="157" s="1"/>
  <c r="AC2882" i="157"/>
  <c r="AD2882" i="157" s="1"/>
  <c r="AC2883" i="157"/>
  <c r="AC2884" i="157"/>
  <c r="AC2885" i="157"/>
  <c r="AD2885" i="157" s="1"/>
  <c r="AC2886" i="157"/>
  <c r="AC2887" i="157"/>
  <c r="AC2888" i="157"/>
  <c r="AC2889" i="157"/>
  <c r="AD2889" i="157" s="1"/>
  <c r="AC2890" i="157"/>
  <c r="AD2890" i="157" s="1"/>
  <c r="AC2891" i="157"/>
  <c r="AC2892" i="157"/>
  <c r="AC2893" i="157"/>
  <c r="AD2893" i="157" s="1"/>
  <c r="AC2894" i="157"/>
  <c r="AC2895" i="157"/>
  <c r="AC2896" i="157"/>
  <c r="AC2897" i="157"/>
  <c r="AD2897" i="157" s="1"/>
  <c r="AC2898" i="157"/>
  <c r="AD2898" i="157" s="1"/>
  <c r="AC2899" i="157"/>
  <c r="AC2900" i="157"/>
  <c r="AC2901" i="157"/>
  <c r="AD2901" i="157" s="1"/>
  <c r="AC2902" i="157"/>
  <c r="AC2903" i="157"/>
  <c r="AC2904" i="157"/>
  <c r="AC2905" i="157"/>
  <c r="AD2905" i="157" s="1"/>
  <c r="AC2906" i="157"/>
  <c r="AC2907" i="157"/>
  <c r="AC2908" i="157"/>
  <c r="AC2909" i="157"/>
  <c r="AD2909" i="157" s="1"/>
  <c r="AC2910" i="157"/>
  <c r="AD2910" i="157" s="1"/>
  <c r="AC2911" i="157"/>
  <c r="AC2912" i="157"/>
  <c r="AC2913" i="157"/>
  <c r="AD2913" i="157" s="1"/>
  <c r="AC2914" i="157"/>
  <c r="AC2915" i="157"/>
  <c r="AC2916" i="157"/>
  <c r="AC2917" i="157"/>
  <c r="AD2917" i="157" s="1"/>
  <c r="AC2918" i="157"/>
  <c r="AD2918" i="157" s="1"/>
  <c r="AC2919" i="157"/>
  <c r="AC2920" i="157"/>
  <c r="AC2921" i="157"/>
  <c r="AD2921" i="157" s="1"/>
  <c r="AC2922" i="157"/>
  <c r="AC2923" i="157"/>
  <c r="AC2924" i="157"/>
  <c r="AC2925" i="157"/>
  <c r="AD2925" i="157" s="1"/>
  <c r="AC2926" i="157"/>
  <c r="AD2926" i="157" s="1"/>
  <c r="AC2927" i="157"/>
  <c r="AC2928" i="157"/>
  <c r="AC2929" i="157"/>
  <c r="AD2929" i="157" s="1"/>
  <c r="AC2930" i="157"/>
  <c r="AC2931" i="157"/>
  <c r="AC2932" i="157"/>
  <c r="AC2933" i="157"/>
  <c r="AD2933" i="157" s="1"/>
  <c r="AC2934" i="157"/>
  <c r="AD2934" i="157" s="1"/>
  <c r="AC2935" i="157"/>
  <c r="AC2936" i="157"/>
  <c r="AC2937" i="157"/>
  <c r="AD2937" i="157" s="1"/>
  <c r="AC2938" i="157"/>
  <c r="AD2938" i="157" s="1"/>
  <c r="AC2939" i="157"/>
  <c r="AC2940" i="157"/>
  <c r="AC2941" i="157"/>
  <c r="AD2941" i="157" s="1"/>
  <c r="AC2942" i="157"/>
  <c r="AC2943" i="157"/>
  <c r="AC2944" i="157"/>
  <c r="AC2945" i="157"/>
  <c r="AD2945" i="157" s="1"/>
  <c r="AC2946" i="157"/>
  <c r="AD2946" i="157" s="1"/>
  <c r="AC2947" i="157"/>
  <c r="AC2948" i="157"/>
  <c r="AC2949" i="157"/>
  <c r="AD2949" i="157" s="1"/>
  <c r="AC2950" i="157"/>
  <c r="AC2951" i="157"/>
  <c r="AC2952" i="157"/>
  <c r="AC2953" i="157"/>
  <c r="AD2953" i="157" s="1"/>
  <c r="AC2954" i="157"/>
  <c r="AD2954" i="157" s="1"/>
  <c r="AC2955" i="157"/>
  <c r="AC2956" i="157"/>
  <c r="AC2957" i="157"/>
  <c r="AD2957" i="157" s="1"/>
  <c r="AC2958" i="157"/>
  <c r="AC2959" i="157"/>
  <c r="AC2960" i="157"/>
  <c r="AC2961" i="157"/>
  <c r="AD2961" i="157" s="1"/>
  <c r="AC2962" i="157"/>
  <c r="AD2962" i="157" s="1"/>
  <c r="AC2963" i="157"/>
  <c r="AC2964" i="157"/>
  <c r="AC2965" i="157"/>
  <c r="AD2965" i="157" s="1"/>
  <c r="AC2966" i="157"/>
  <c r="AC2967" i="157"/>
  <c r="AC2968" i="157"/>
  <c r="AC2969" i="157"/>
  <c r="AD2969" i="157" s="1"/>
  <c r="AC2970" i="157"/>
  <c r="AC2971" i="157"/>
  <c r="AC2972" i="157"/>
  <c r="AC2973" i="157"/>
  <c r="AD2973" i="157" s="1"/>
  <c r="AC2974" i="157"/>
  <c r="AD2974" i="157" s="1"/>
  <c r="AC2975" i="157"/>
  <c r="AC2976" i="157"/>
  <c r="AC2977" i="157"/>
  <c r="AD2977" i="157" s="1"/>
  <c r="AC2978" i="157"/>
  <c r="AC2979" i="157"/>
  <c r="AC2980" i="157"/>
  <c r="AC2981" i="157"/>
  <c r="AD2981" i="157" s="1"/>
  <c r="AC2982" i="157"/>
  <c r="AD2982" i="157" s="1"/>
  <c r="AC2983" i="157"/>
  <c r="AC2984" i="157"/>
  <c r="AC2985" i="157"/>
  <c r="AD2985" i="157" s="1"/>
  <c r="AC2986" i="157"/>
  <c r="AD2986" i="157" s="1"/>
  <c r="AC2987" i="157"/>
  <c r="AC2988" i="157"/>
  <c r="AC2989" i="157"/>
  <c r="AD2989" i="157" s="1"/>
  <c r="AC2990" i="157"/>
  <c r="AD2990" i="157" s="1"/>
  <c r="AC2991" i="157"/>
  <c r="AC2992" i="157"/>
  <c r="AC2993" i="157"/>
  <c r="AD2993" i="157" s="1"/>
  <c r="AC2994" i="157"/>
  <c r="AD2994" i="157" s="1"/>
  <c r="AC2995" i="157"/>
  <c r="AC2996" i="157"/>
  <c r="AC2997" i="157"/>
  <c r="AD2997" i="157" s="1"/>
  <c r="AC2998" i="157"/>
  <c r="AC2999" i="157"/>
  <c r="AC3000" i="157"/>
  <c r="AC3001" i="157"/>
  <c r="AD3001" i="157" s="1"/>
  <c r="AC3002" i="157"/>
  <c r="AD3002" i="157" s="1"/>
  <c r="AC3003" i="157"/>
  <c r="AC3004" i="157"/>
  <c r="AC3005" i="157"/>
  <c r="AD3005" i="157" s="1"/>
  <c r="AD8" i="157"/>
  <c r="AD11" i="157"/>
  <c r="AD12" i="157"/>
  <c r="AD15" i="157"/>
  <c r="AD18" i="157"/>
  <c r="AD19" i="157"/>
  <c r="AD23" i="157"/>
  <c r="AD24" i="157"/>
  <c r="AD27" i="157"/>
  <c r="AD28" i="157"/>
  <c r="AD31" i="157"/>
  <c r="AD32" i="157"/>
  <c r="AD35" i="157"/>
  <c r="AD39" i="157"/>
  <c r="AD43" i="157"/>
  <c r="AD47" i="157"/>
  <c r="AD48" i="157"/>
  <c r="AD51" i="157"/>
  <c r="AD55" i="157"/>
  <c r="AD59" i="157"/>
  <c r="AD60" i="157"/>
  <c r="AD63" i="157"/>
  <c r="AD64" i="157"/>
  <c r="AD67" i="157"/>
  <c r="AD71" i="157"/>
  <c r="AD75" i="157"/>
  <c r="AD76" i="157"/>
  <c r="AD79" i="157"/>
  <c r="AD83" i="157"/>
  <c r="AD84" i="157"/>
  <c r="AD87" i="157"/>
  <c r="AD91" i="157"/>
  <c r="AD92" i="157"/>
  <c r="AD95" i="157"/>
  <c r="AD96" i="157"/>
  <c r="AD99" i="157"/>
  <c r="AD103" i="157"/>
  <c r="AD107" i="157"/>
  <c r="AD111" i="157"/>
  <c r="AD112" i="157"/>
  <c r="AD115" i="157"/>
  <c r="AD119" i="157"/>
  <c r="AD123" i="157"/>
  <c r="AD124" i="157"/>
  <c r="AD127" i="157"/>
  <c r="AD128" i="157"/>
  <c r="AD131" i="157"/>
  <c r="AD135" i="157"/>
  <c r="AD139" i="157"/>
  <c r="AD140" i="157"/>
  <c r="AD143" i="157"/>
  <c r="AD147" i="157"/>
  <c r="AD148" i="157"/>
  <c r="AD151" i="157"/>
  <c r="AD155" i="157"/>
  <c r="AD156" i="157"/>
  <c r="AD159" i="157"/>
  <c r="AD160" i="157"/>
  <c r="AD163" i="157"/>
  <c r="AD164" i="157"/>
  <c r="AD167" i="157"/>
  <c r="AD171" i="157"/>
  <c r="AD175" i="157"/>
  <c r="AD176" i="157"/>
  <c r="AD179" i="157"/>
  <c r="AD183" i="157"/>
  <c r="AD187" i="157"/>
  <c r="AD188" i="157"/>
  <c r="AD191" i="157"/>
  <c r="AD192" i="157"/>
  <c r="AD194" i="157"/>
  <c r="AD195" i="157"/>
  <c r="AD199" i="157"/>
  <c r="AD203" i="157"/>
  <c r="AD204" i="157"/>
  <c r="AD207" i="157"/>
  <c r="AD211" i="157"/>
  <c r="AD215" i="157"/>
  <c r="AD219" i="157"/>
  <c r="AD220" i="157"/>
  <c r="AD223" i="157"/>
  <c r="AD224" i="157"/>
  <c r="AD227" i="157"/>
  <c r="AD231" i="157"/>
  <c r="AD235" i="157"/>
  <c r="AD239" i="157"/>
  <c r="AD240" i="157"/>
  <c r="AD243" i="157"/>
  <c r="AD247" i="157"/>
  <c r="AD251" i="157"/>
  <c r="AD252" i="157"/>
  <c r="AD255" i="157"/>
  <c r="AD256" i="157"/>
  <c r="AD258" i="157"/>
  <c r="AD259" i="157"/>
  <c r="AD263" i="157"/>
  <c r="AD267" i="157"/>
  <c r="AD268" i="157"/>
  <c r="AD271" i="157"/>
  <c r="AD275" i="157"/>
  <c r="AD279" i="157"/>
  <c r="AD283" i="157"/>
  <c r="AD284" i="157"/>
  <c r="AD287" i="157"/>
  <c r="AD288" i="157"/>
  <c r="AD291" i="157"/>
  <c r="AD295" i="157"/>
  <c r="AD299" i="157"/>
  <c r="AD303" i="157"/>
  <c r="AD304" i="157"/>
  <c r="AD307" i="157"/>
  <c r="AD311" i="157"/>
  <c r="AD315" i="157"/>
  <c r="AD316" i="157"/>
  <c r="AD319" i="157"/>
  <c r="AD320" i="157"/>
  <c r="AD323" i="157"/>
  <c r="AD327" i="157"/>
  <c r="AD331" i="157"/>
  <c r="AD332" i="157"/>
  <c r="AD335" i="157"/>
  <c r="AD339" i="157"/>
  <c r="AD340" i="157"/>
  <c r="AD343" i="157"/>
  <c r="AD347" i="157"/>
  <c r="AD348" i="157"/>
  <c r="AD351" i="157"/>
  <c r="AD352" i="157"/>
  <c r="AD355" i="157"/>
  <c r="AD356" i="157"/>
  <c r="AD359" i="157"/>
  <c r="AD363" i="157"/>
  <c r="AD367" i="157"/>
  <c r="AD368" i="157"/>
  <c r="AD371" i="157"/>
  <c r="AD375" i="157"/>
  <c r="AD379" i="157"/>
  <c r="AD383" i="157"/>
  <c r="AD384" i="157"/>
  <c r="AD387" i="157"/>
  <c r="AD391" i="157"/>
  <c r="AD395" i="157"/>
  <c r="AD400" i="157"/>
  <c r="AD403" i="157"/>
  <c r="AD404" i="157"/>
  <c r="AD416" i="157"/>
  <c r="AD423" i="157"/>
  <c r="AD432" i="157"/>
  <c r="AD448" i="157"/>
  <c r="AD451" i="157"/>
  <c r="AD464" i="157"/>
  <c r="AD471" i="157"/>
  <c r="AD480" i="157"/>
  <c r="AD483" i="157"/>
  <c r="AD484" i="157"/>
  <c r="AD491" i="157"/>
  <c r="AD496" i="157"/>
  <c r="AD503" i="157"/>
  <c r="AD507" i="157"/>
  <c r="AD511" i="157"/>
  <c r="AD512" i="157"/>
  <c r="AD519" i="157"/>
  <c r="AD523" i="157"/>
  <c r="AD528" i="157"/>
  <c r="AD531" i="157"/>
  <c r="AD532" i="157"/>
  <c r="AD536" i="157"/>
  <c r="AD544" i="157"/>
  <c r="AD548" i="157"/>
  <c r="AD555" i="157"/>
  <c r="AD559" i="157"/>
  <c r="AD560" i="157"/>
  <c r="AD563" i="157"/>
  <c r="AD571" i="157"/>
  <c r="AD575" i="157"/>
  <c r="AD576" i="157"/>
  <c r="AD583" i="157"/>
  <c r="AD584" i="157"/>
  <c r="AD590" i="157"/>
  <c r="AD592" i="157"/>
  <c r="AD599" i="157"/>
  <c r="AD600" i="157"/>
  <c r="AD603" i="157"/>
  <c r="AD608" i="157"/>
  <c r="AD616" i="157"/>
  <c r="AD623" i="157"/>
  <c r="AD624" i="157"/>
  <c r="AD627" i="157"/>
  <c r="AD631" i="157"/>
  <c r="AD632" i="157"/>
  <c r="AD639" i="157"/>
  <c r="AD640" i="157"/>
  <c r="AD648" i="157"/>
  <c r="AD654" i="157"/>
  <c r="AD656" i="157"/>
  <c r="AD664" i="157"/>
  <c r="AD672" i="157"/>
  <c r="AD676" i="157"/>
  <c r="AD680" i="157"/>
  <c r="AD688" i="157"/>
  <c r="AD692" i="157"/>
  <c r="AD696" i="157"/>
  <c r="AD704" i="157"/>
  <c r="AD708" i="157"/>
  <c r="AD712" i="157"/>
  <c r="AD716" i="157"/>
  <c r="AD720" i="157"/>
  <c r="AD724" i="157"/>
  <c r="AD728" i="157"/>
  <c r="AD732" i="157"/>
  <c r="AD736" i="157"/>
  <c r="AD740" i="157"/>
  <c r="AD744" i="157"/>
  <c r="AD747" i="157"/>
  <c r="AD748" i="157"/>
  <c r="AD752" i="157"/>
  <c r="AD755" i="157"/>
  <c r="AD756" i="157"/>
  <c r="AD760" i="157"/>
  <c r="AD764" i="157"/>
  <c r="AD768" i="157"/>
  <c r="AD772" i="157"/>
  <c r="AD776" i="157"/>
  <c r="AD780" i="157"/>
  <c r="AD784" i="157"/>
  <c r="AD788" i="157"/>
  <c r="AD791" i="157"/>
  <c r="AD792" i="157"/>
  <c r="AD796" i="157"/>
  <c r="AD800" i="157"/>
  <c r="AD804" i="157"/>
  <c r="AD808" i="157"/>
  <c r="AD812" i="157"/>
  <c r="AD815" i="157"/>
  <c r="AD816" i="157"/>
  <c r="AD820" i="157"/>
  <c r="AD823" i="157"/>
  <c r="AD824" i="157"/>
  <c r="AD828" i="157"/>
  <c r="AD832" i="157"/>
  <c r="AD836" i="157"/>
  <c r="AD840" i="157"/>
  <c r="AD844" i="157"/>
  <c r="AD848" i="157"/>
  <c r="AD852" i="157"/>
  <c r="AD856" i="157"/>
  <c r="AD860" i="157"/>
  <c r="AD863" i="157"/>
  <c r="AD864" i="157"/>
  <c r="AD868" i="157"/>
  <c r="AD872" i="157"/>
  <c r="AD876" i="157"/>
  <c r="AD880" i="157"/>
  <c r="AD884" i="157"/>
  <c r="AD887" i="157"/>
  <c r="AD888" i="157"/>
  <c r="AD892" i="157"/>
  <c r="AD893" i="157"/>
  <c r="AD896" i="157"/>
  <c r="AD900" i="157"/>
  <c r="AD904" i="157"/>
  <c r="AD908" i="157"/>
  <c r="AD912" i="157"/>
  <c r="AD916" i="157"/>
  <c r="AD920" i="157"/>
  <c r="AD924" i="157"/>
  <c r="AD928" i="157"/>
  <c r="AD931" i="157"/>
  <c r="AD932" i="157"/>
  <c r="AD936" i="157"/>
  <c r="AD940" i="157"/>
  <c r="AD944" i="157"/>
  <c r="AD948" i="157"/>
  <c r="AD952" i="157"/>
  <c r="AD955" i="157"/>
  <c r="AD956" i="157"/>
  <c r="AD960" i="157"/>
  <c r="AD963" i="157"/>
  <c r="AD964" i="157"/>
  <c r="AD968" i="157"/>
  <c r="AD972" i="157"/>
  <c r="AD976" i="157"/>
  <c r="AD980" i="157"/>
  <c r="AD984" i="157"/>
  <c r="AD988" i="157"/>
  <c r="AD992" i="157"/>
  <c r="AD996" i="157"/>
  <c r="AD1000" i="157"/>
  <c r="AD1004" i="157"/>
  <c r="AD1008" i="157"/>
  <c r="AD1011" i="157"/>
  <c r="AD1012" i="157"/>
  <c r="AD1016" i="157"/>
  <c r="AD1019" i="157"/>
  <c r="AD1020" i="157"/>
  <c r="AD1024" i="157"/>
  <c r="AD1028" i="157"/>
  <c r="AD1032" i="157"/>
  <c r="AD1036" i="157"/>
  <c r="AD1040" i="157"/>
  <c r="AD1044" i="157"/>
  <c r="AD1047" i="157"/>
  <c r="AD1048" i="157"/>
  <c r="AD1052" i="157"/>
  <c r="AD1053" i="157"/>
  <c r="AD1056" i="157"/>
  <c r="AD1060" i="157"/>
  <c r="AD1064" i="157"/>
  <c r="AD1068" i="157"/>
  <c r="AD1072" i="157"/>
  <c r="AD1076" i="157"/>
  <c r="AD1079" i="157"/>
  <c r="AD1080" i="157"/>
  <c r="AD1084" i="157"/>
  <c r="AD1085" i="157"/>
  <c r="AD1088" i="157"/>
  <c r="AD1092" i="157"/>
  <c r="AD1096" i="157"/>
  <c r="AD1099" i="157"/>
  <c r="AD1100" i="157"/>
  <c r="AD1104" i="157"/>
  <c r="AD1108" i="157"/>
  <c r="AD1112" i="157"/>
  <c r="AD1116" i="157"/>
  <c r="AD1120" i="157"/>
  <c r="AD1124" i="157"/>
  <c r="AD1127" i="157"/>
  <c r="AD1128" i="157"/>
  <c r="AD1139" i="157"/>
  <c r="AD1149" i="157"/>
  <c r="AD1164" i="157"/>
  <c r="AD1175" i="157"/>
  <c r="AD1187" i="157"/>
  <c r="AD1199" i="157"/>
  <c r="AD1215" i="157"/>
  <c r="AD1223" i="157"/>
  <c r="AD1243" i="157"/>
  <c r="AD1249" i="157"/>
  <c r="AD1264" i="157"/>
  <c r="AD1275" i="157"/>
  <c r="AD1288" i="157"/>
  <c r="AD1295" i="157"/>
  <c r="AD1307" i="157"/>
  <c r="AD1315" i="157"/>
  <c r="AD1323" i="157"/>
  <c r="AD1328" i="157"/>
  <c r="AD1338" i="157"/>
  <c r="AD1343" i="157"/>
  <c r="AD1352" i="157"/>
  <c r="AD1358" i="157"/>
  <c r="AD1366" i="157"/>
  <c r="AD1371" i="157"/>
  <c r="AD1380" i="157"/>
  <c r="AD1386" i="157"/>
  <c r="AD1395" i="157"/>
  <c r="AD1400" i="157"/>
  <c r="AD1408" i="157"/>
  <c r="AD1414" i="157"/>
  <c r="AD1423" i="157"/>
  <c r="AD1428" i="157"/>
  <c r="AD1438" i="157"/>
  <c r="AD1443" i="157"/>
  <c r="AD1451" i="157"/>
  <c r="AD1456" i="157"/>
  <c r="AD1466" i="157"/>
  <c r="AD1471" i="157"/>
  <c r="AD1480" i="157"/>
  <c r="AD1486" i="157"/>
  <c r="AD1494" i="157"/>
  <c r="AD1499" i="157"/>
  <c r="AD1508" i="157"/>
  <c r="AD1514" i="157"/>
  <c r="AD1523" i="157"/>
  <c r="AD1528" i="157"/>
  <c r="AD1536" i="157"/>
  <c r="AD1542" i="157"/>
  <c r="AD1551" i="157"/>
  <c r="AD1556" i="157"/>
  <c r="AD1566" i="157"/>
  <c r="AD1571" i="157"/>
  <c r="AD1579" i="157"/>
  <c r="AD1584" i="157"/>
  <c r="AD1594" i="157"/>
  <c r="AD1599" i="157"/>
  <c r="AD1608" i="157"/>
  <c r="AD1614" i="157"/>
  <c r="AD1622" i="157"/>
  <c r="AD1627" i="157"/>
  <c r="AD1636" i="157"/>
  <c r="AD1642" i="157"/>
  <c r="AD1651" i="157"/>
  <c r="AD1656" i="157"/>
  <c r="AD1663" i="157"/>
  <c r="AD1664" i="157"/>
  <c r="AD1672" i="157"/>
  <c r="AD1674" i="157"/>
  <c r="AD1680" i="157"/>
  <c r="AD1684" i="157"/>
  <c r="AD1691" i="157"/>
  <c r="AD1694" i="157"/>
  <c r="AD1700" i="157"/>
  <c r="AD1702" i="157"/>
  <c r="AD1710" i="157"/>
  <c r="AD1712" i="157"/>
  <c r="AD1720" i="157"/>
  <c r="AD1722" i="157"/>
  <c r="AD1728" i="157"/>
  <c r="AD1731" i="157"/>
  <c r="AD1738" i="157"/>
  <c r="AD1742" i="157"/>
  <c r="AD1748" i="157"/>
  <c r="AD1750" i="157"/>
  <c r="AD1758" i="157"/>
  <c r="AD1759" i="157"/>
  <c r="AD1766" i="157"/>
  <c r="AD1770" i="157"/>
  <c r="AD1776" i="157"/>
  <c r="AD1779" i="157"/>
  <c r="AD1786" i="157"/>
  <c r="AD1787" i="157"/>
  <c r="AD1795" i="157"/>
  <c r="AD1798" i="157"/>
  <c r="AD1806" i="157"/>
  <c r="AD1807" i="157"/>
  <c r="AD1814" i="157"/>
  <c r="AD1816" i="157"/>
  <c r="AD1824" i="157"/>
  <c r="AD1830" i="157"/>
  <c r="AD1840" i="157"/>
  <c r="AD1842" i="157"/>
  <c r="AD1853" i="157"/>
  <c r="AD1854" i="157"/>
  <c r="AD1862" i="157"/>
  <c r="AD1866" i="157"/>
  <c r="AD1874" i="157"/>
  <c r="AD1876" i="157"/>
  <c r="AD1884" i="157"/>
  <c r="AD1886" i="157"/>
  <c r="AD1894" i="157"/>
  <c r="AD1898" i="157"/>
  <c r="AD1906" i="157"/>
  <c r="AD1908" i="157"/>
  <c r="AD1916" i="157"/>
  <c r="AD1924" i="157"/>
  <c r="AD1928" i="157"/>
  <c r="AD1936" i="157"/>
  <c r="AD1938" i="157"/>
  <c r="AD1946" i="157"/>
  <c r="AD1948" i="157"/>
  <c r="AD1956" i="157"/>
  <c r="AD1960" i="157"/>
  <c r="AD1968" i="157"/>
  <c r="AD1970" i="157"/>
  <c r="AD1978" i="157"/>
  <c r="AD1980" i="157"/>
  <c r="AD1986" i="157"/>
  <c r="AD1990" i="157"/>
  <c r="AD1998" i="157"/>
  <c r="AD2000" i="157"/>
  <c r="AD2008" i="157"/>
  <c r="AD2010" i="157"/>
  <c r="AD2018" i="157"/>
  <c r="AD2022" i="157"/>
  <c r="AD2030" i="157"/>
  <c r="AD2032" i="157"/>
  <c r="AD2040" i="157"/>
  <c r="AD2042" i="157"/>
  <c r="AD2048" i="157"/>
  <c r="AD2052" i="157"/>
  <c r="AD2060" i="157"/>
  <c r="AD2062" i="157"/>
  <c r="AD2070" i="157"/>
  <c r="AD2072" i="157"/>
  <c r="AD2080" i="157"/>
  <c r="AD2084" i="157"/>
  <c r="AD2092" i="157"/>
  <c r="AD2094" i="157"/>
  <c r="AD2102" i="157"/>
  <c r="AD2104" i="157"/>
  <c r="AD2110" i="157"/>
  <c r="AD2114" i="157"/>
  <c r="AD2122" i="157"/>
  <c r="AD2124" i="157"/>
  <c r="AD2132" i="157"/>
  <c r="AD2134" i="157"/>
  <c r="AD2142" i="157"/>
  <c r="AD2146" i="157"/>
  <c r="AD2154" i="157"/>
  <c r="AD2156" i="157"/>
  <c r="AD2164" i="157"/>
  <c r="AD2166" i="157"/>
  <c r="AD2173" i="157"/>
  <c r="AD2176" i="157"/>
  <c r="AD2184" i="157"/>
  <c r="AD2186" i="157"/>
  <c r="AD2192" i="157"/>
  <c r="AD2194" i="157"/>
  <c r="AD2200" i="157"/>
  <c r="AD2202" i="157"/>
  <c r="AD2208" i="157"/>
  <c r="AD2210" i="157"/>
  <c r="AD2216" i="157"/>
  <c r="AD2218" i="157"/>
  <c r="AD2224" i="157"/>
  <c r="AD2226" i="157"/>
  <c r="AD2232" i="157"/>
  <c r="AD2234" i="157"/>
  <c r="AD2238" i="157"/>
  <c r="AD2240" i="157"/>
  <c r="AD2246" i="157"/>
  <c r="AD2248" i="157"/>
  <c r="AD2254" i="157"/>
  <c r="AD2256" i="157"/>
  <c r="AD2262" i="157"/>
  <c r="AD2264" i="157"/>
  <c r="AD2270" i="157"/>
  <c r="AD2272" i="157"/>
  <c r="AD2278" i="157"/>
  <c r="AD2280" i="157"/>
  <c r="AD2286" i="157"/>
  <c r="AD2288" i="157"/>
  <c r="AD2294" i="157"/>
  <c r="AD2296" i="157"/>
  <c r="AD2301" i="157"/>
  <c r="AD2302" i="157"/>
  <c r="AD2308" i="157"/>
  <c r="AD2310" i="157"/>
  <c r="AD2316" i="157"/>
  <c r="AD2318" i="157"/>
  <c r="AD2324" i="157"/>
  <c r="AD2326" i="157"/>
  <c r="AD2332" i="157"/>
  <c r="AD2334" i="157"/>
  <c r="AD2340" i="157"/>
  <c r="AD2342" i="157"/>
  <c r="AD2348" i="157"/>
  <c r="AD2350" i="157"/>
  <c r="AD2356" i="157"/>
  <c r="AD2358" i="157"/>
  <c r="AD2364" i="157"/>
  <c r="AD2370" i="157"/>
  <c r="AD2372" i="157"/>
  <c r="AD2378" i="157"/>
  <c r="AD2380" i="157"/>
  <c r="AD2386" i="157"/>
  <c r="AD2388" i="157"/>
  <c r="AD2394" i="157"/>
  <c r="AD2396" i="157"/>
  <c r="AD2402" i="157"/>
  <c r="AD2404" i="157"/>
  <c r="AD2410" i="157"/>
  <c r="AD2412" i="157"/>
  <c r="AD2418" i="157"/>
  <c r="AD2420" i="157"/>
  <c r="AD2426" i="157"/>
  <c r="AD2428" i="157"/>
  <c r="AD2432" i="157"/>
  <c r="AD2434" i="157"/>
  <c r="AD2440" i="157"/>
  <c r="AD2442" i="157"/>
  <c r="AD2448" i="157"/>
  <c r="AD2450" i="157"/>
  <c r="AD2456" i="157"/>
  <c r="AD2458" i="157"/>
  <c r="AD2464" i="157"/>
  <c r="AD2466" i="157"/>
  <c r="AD2472" i="157"/>
  <c r="AD2474" i="157"/>
  <c r="AD2480" i="157"/>
  <c r="AD2482" i="157"/>
  <c r="AD2488" i="157"/>
  <c r="AD2490" i="157"/>
  <c r="AD2494" i="157"/>
  <c r="AD2496" i="157"/>
  <c r="AD2502" i="157"/>
  <c r="AD2503" i="157"/>
  <c r="AD2508" i="157"/>
  <c r="AD2510" i="157"/>
  <c r="AD2516" i="157"/>
  <c r="AD2518" i="157"/>
  <c r="AD2522" i="157"/>
  <c r="AD2524" i="157"/>
  <c r="AD2530" i="157"/>
  <c r="AD2532" i="157"/>
  <c r="AD2536" i="157"/>
  <c r="AD2538" i="157"/>
  <c r="AD2544" i="157"/>
  <c r="AD2546" i="157"/>
  <c r="AD2551" i="157"/>
  <c r="AD2552" i="157"/>
  <c r="AD2558" i="157"/>
  <c r="AD2560" i="157"/>
  <c r="AD2566" i="157"/>
  <c r="AD2567" i="157"/>
  <c r="AD2572" i="157"/>
  <c r="AD2574" i="157"/>
  <c r="AD2580" i="157"/>
  <c r="AD2582" i="157"/>
  <c r="AD2586" i="157"/>
  <c r="AD2588" i="157"/>
  <c r="AD2594" i="157"/>
  <c r="AD2596" i="157"/>
  <c r="AD2600" i="157"/>
  <c r="AD2602" i="157"/>
  <c r="AD2608" i="157"/>
  <c r="AD2610" i="157"/>
  <c r="AD2615" i="157"/>
  <c r="AD2616" i="157"/>
  <c r="AD2622" i="157"/>
  <c r="AD2624" i="157"/>
  <c r="AD2630" i="157"/>
  <c r="AD2631" i="157"/>
  <c r="AD2636" i="157"/>
  <c r="AD2638" i="157"/>
  <c r="AD2644" i="157"/>
  <c r="AD2646" i="157"/>
  <c r="AD2650" i="157"/>
  <c r="AD2652" i="157"/>
  <c r="AD2658" i="157"/>
  <c r="AD2660" i="157"/>
  <c r="AD2664" i="157"/>
  <c r="AD2666" i="157"/>
  <c r="AD2672" i="157"/>
  <c r="AD2674" i="157"/>
  <c r="AD2679" i="157"/>
  <c r="AD2680" i="157"/>
  <c r="AD2686" i="157"/>
  <c r="AD2688" i="157"/>
  <c r="AD2694" i="157"/>
  <c r="AD2695" i="157"/>
  <c r="AD2700" i="157"/>
  <c r="AD2702" i="157"/>
  <c r="AD2708" i="157"/>
  <c r="AD2710" i="157"/>
  <c r="AD2714" i="157"/>
  <c r="AD2716" i="157"/>
  <c r="AD2722" i="157"/>
  <c r="AD2724" i="157"/>
  <c r="AD2728" i="157"/>
  <c r="AD2730" i="157"/>
  <c r="AD2736" i="157"/>
  <c r="AD2738" i="157"/>
  <c r="AD2743" i="157"/>
  <c r="AD2744" i="157"/>
  <c r="AD2750" i="157"/>
  <c r="AD2752" i="157"/>
  <c r="AD2758" i="157"/>
  <c r="AD2759" i="157"/>
  <c r="AD2764" i="157"/>
  <c r="AD2766" i="157"/>
  <c r="AD2772" i="157"/>
  <c r="AD2774" i="157"/>
  <c r="AD2778" i="157"/>
  <c r="AD2780" i="157"/>
  <c r="AD2786" i="157"/>
  <c r="AD2788" i="157"/>
  <c r="AD2792" i="157"/>
  <c r="AD2794" i="157"/>
  <c r="AD2800" i="157"/>
  <c r="AD2802" i="157"/>
  <c r="AD2807" i="157"/>
  <c r="AD2808" i="157"/>
  <c r="AD2814" i="157"/>
  <c r="AD2816" i="157"/>
  <c r="AD2822" i="157"/>
  <c r="AD2823" i="157"/>
  <c r="AD2828" i="157"/>
  <c r="AD2830" i="157"/>
  <c r="AD2836" i="157"/>
  <c r="AD2838" i="157"/>
  <c r="AD2842" i="157"/>
  <c r="AD2844" i="157"/>
  <c r="AD2850" i="157"/>
  <c r="AD2852" i="157"/>
  <c r="AD2856" i="157"/>
  <c r="AD2858" i="157"/>
  <c r="AD2864" i="157"/>
  <c r="AD2866" i="157"/>
  <c r="AD2871" i="157"/>
  <c r="AD2872" i="157"/>
  <c r="AD2878" i="157"/>
  <c r="AD2880" i="157"/>
  <c r="AD2886" i="157"/>
  <c r="AD2887" i="157"/>
  <c r="AD2892" i="157"/>
  <c r="AD2894" i="157"/>
  <c r="AD2900" i="157"/>
  <c r="AD2902" i="157"/>
  <c r="AD2906" i="157"/>
  <c r="AD2908" i="157"/>
  <c r="AD2914" i="157"/>
  <c r="AD2916" i="157"/>
  <c r="AD2920" i="157"/>
  <c r="AD2922" i="157"/>
  <c r="AD2928" i="157"/>
  <c r="AD2930" i="157"/>
  <c r="AD2935" i="157"/>
  <c r="AD2936" i="157"/>
  <c r="AD2942" i="157"/>
  <c r="AD2944" i="157"/>
  <c r="AD2950" i="157"/>
  <c r="AD2951" i="157"/>
  <c r="AD2956" i="157"/>
  <c r="AD2958" i="157"/>
  <c r="AD2964" i="157"/>
  <c r="AD2966" i="157"/>
  <c r="AD2970" i="157"/>
  <c r="AD2972" i="157"/>
  <c r="AD2978" i="157"/>
  <c r="AD2980" i="157"/>
  <c r="AD2984" i="157"/>
  <c r="AD2988" i="157"/>
  <c r="AD2996" i="157"/>
  <c r="AD2998" i="157"/>
  <c r="AD3004" i="157"/>
  <c r="U2" i="15"/>
  <c r="U3" i="15"/>
  <c r="U4" i="15"/>
  <c r="U5" i="15"/>
  <c r="U7" i="15"/>
  <c r="U10" i="15"/>
  <c r="U11" i="15"/>
  <c r="U12" i="15"/>
  <c r="U13" i="15"/>
  <c r="U14" i="15"/>
  <c r="U16" i="15"/>
  <c r="U17" i="15"/>
  <c r="U18" i="15"/>
  <c r="U19" i="15"/>
  <c r="U21" i="15"/>
  <c r="U22" i="15"/>
  <c r="U23" i="15"/>
  <c r="U24" i="15"/>
  <c r="U28" i="15"/>
  <c r="G22" i="16"/>
  <c r="G12" i="16" s="1"/>
  <c r="AD558" i="157" l="1"/>
  <c r="AD494" i="157"/>
  <c r="AD366" i="157"/>
  <c r="AD686" i="157"/>
  <c r="AD670" i="157"/>
  <c r="AD638" i="157"/>
  <c r="AD622" i="157"/>
  <c r="AD606" i="157"/>
  <c r="AD574" i="157"/>
  <c r="AD510" i="157"/>
  <c r="AD446" i="157"/>
  <c r="AD382" i="157"/>
  <c r="AD526" i="157"/>
  <c r="AD462" i="157"/>
  <c r="AD414" i="157"/>
  <c r="AD700" i="157"/>
  <c r="AD336" i="157"/>
  <c r="AD324" i="157"/>
  <c r="AD312" i="157"/>
  <c r="AD272" i="157"/>
  <c r="AD260" i="157"/>
  <c r="AD248" i="157"/>
  <c r="AD208" i="157"/>
  <c r="AD196" i="157"/>
  <c r="AD184" i="157"/>
  <c r="AD144" i="157"/>
  <c r="AD132" i="157"/>
  <c r="AD120" i="157"/>
  <c r="AD80" i="157"/>
  <c r="AD68" i="157"/>
  <c r="AD56" i="157"/>
  <c r="AD16" i="157"/>
  <c r="G11" i="16"/>
  <c r="AD2071" i="157"/>
  <c r="AD2067" i="157"/>
  <c r="AD2063" i="157"/>
  <c r="AD2059" i="157"/>
  <c r="AD2055" i="157"/>
  <c r="AD2051" i="157"/>
  <c r="AD2047" i="157"/>
  <c r="AD2043" i="157"/>
  <c r="AD2039" i="157"/>
  <c r="AD2035" i="157"/>
  <c r="AD2031" i="157"/>
  <c r="AD2027" i="157"/>
  <c r="AD2023" i="157"/>
  <c r="AD2019" i="157"/>
  <c r="AD2015" i="157"/>
  <c r="AD2011" i="157"/>
  <c r="AD2007" i="157"/>
  <c r="AD2003" i="157"/>
  <c r="AD1999" i="157"/>
  <c r="AD1995" i="157"/>
  <c r="AD1991" i="157"/>
  <c r="AD1987" i="157"/>
  <c r="AD1983" i="157"/>
  <c r="AD1979" i="157"/>
  <c r="AD1975" i="157"/>
  <c r="AD1971" i="157"/>
  <c r="AD1967" i="157"/>
  <c r="AD1963" i="157"/>
  <c r="AD1959" i="157"/>
  <c r="AD1955" i="157"/>
  <c r="AD1951" i="157"/>
  <c r="AD1947" i="157"/>
  <c r="AD1943" i="157"/>
  <c r="AD1939" i="157"/>
  <c r="AD1935" i="157"/>
  <c r="AD1931" i="157"/>
  <c r="AD1927" i="157"/>
  <c r="AD1923" i="157"/>
  <c r="AD1919" i="157"/>
  <c r="AD1915" i="157"/>
  <c r="AD1911" i="157"/>
  <c r="AD1907" i="157"/>
  <c r="AD1903" i="157"/>
  <c r="AD1899" i="157"/>
  <c r="AD1895" i="157"/>
  <c r="AD1891" i="157"/>
  <c r="AD1887" i="157"/>
  <c r="AD1883" i="157"/>
  <c r="AD1879" i="157"/>
  <c r="AD1875" i="157"/>
  <c r="AD1871" i="157"/>
  <c r="AD1867" i="157"/>
  <c r="AD1863" i="157"/>
  <c r="AD1859" i="157"/>
  <c r="AD1855" i="157"/>
  <c r="AD1851" i="157"/>
  <c r="AD1847" i="157"/>
  <c r="AD1843" i="157"/>
  <c r="AD1839" i="157"/>
  <c r="AD1835" i="157"/>
  <c r="AD1831" i="157"/>
  <c r="AD1827" i="157"/>
  <c r="AD1823" i="157"/>
  <c r="AD350" i="157"/>
  <c r="AD334" i="157"/>
  <c r="AD318" i="157"/>
  <c r="AD302" i="157"/>
  <c r="AD286" i="157"/>
  <c r="AD270" i="157"/>
  <c r="AD254" i="157"/>
  <c r="AD238" i="157"/>
  <c r="AD222" i="157"/>
  <c r="AD206" i="157"/>
  <c r="AD190" i="157"/>
  <c r="AD174" i="157"/>
  <c r="AD158" i="157"/>
  <c r="AD142" i="157"/>
  <c r="AD126" i="157"/>
  <c r="AD110" i="157"/>
  <c r="AD94" i="157"/>
  <c r="AD78" i="157"/>
  <c r="AD62" i="157"/>
  <c r="AD46" i="157"/>
  <c r="AD30" i="157"/>
  <c r="AD14" i="157"/>
  <c r="J800" i="6"/>
  <c r="K800" i="6"/>
  <c r="E800" i="6"/>
  <c r="A1657" i="697"/>
  <c r="C1657" i="697"/>
  <c r="B1657" i="697" s="1"/>
  <c r="F1657" i="697"/>
  <c r="N1657" i="697"/>
  <c r="O1657" i="697"/>
  <c r="U1657" i="697"/>
  <c r="Y1657" i="697" s="1"/>
  <c r="V1657" i="697"/>
  <c r="W1657" i="697" s="1"/>
  <c r="Z1657" i="697"/>
  <c r="A1656" i="697"/>
  <c r="C1656" i="697"/>
  <c r="B1656" i="697" s="1"/>
  <c r="F1656" i="697"/>
  <c r="N1656" i="697"/>
  <c r="O1656" i="697"/>
  <c r="U1656" i="697"/>
  <c r="Y1656" i="697" s="1"/>
  <c r="V1656" i="697"/>
  <c r="W1656" i="697" s="1"/>
  <c r="Z1656" i="697"/>
  <c r="T1657" i="697" l="1"/>
  <c r="X1657" i="697"/>
  <c r="P1657" i="697" s="1"/>
  <c r="Q1657" i="697" s="1"/>
  <c r="R1657" i="697" s="1"/>
  <c r="D1657" i="697" s="1"/>
  <c r="T1656" i="697"/>
  <c r="X1656" i="697"/>
  <c r="P1656" i="697" s="1"/>
  <c r="Q1656" i="697" s="1"/>
  <c r="R1656" i="697" s="1"/>
  <c r="D1656" i="697" s="1"/>
  <c r="A1655" i="697" l="1"/>
  <c r="C1655" i="697"/>
  <c r="B1655" i="697" s="1"/>
  <c r="F1655" i="697"/>
  <c r="O1655" i="697"/>
  <c r="U1655" i="697"/>
  <c r="Y1655" i="697" s="1"/>
  <c r="V1655" i="697"/>
  <c r="W1655" i="697" s="1"/>
  <c r="Z1655" i="697"/>
  <c r="A1654" i="697"/>
  <c r="C1654" i="697"/>
  <c r="B1654" i="697" s="1"/>
  <c r="F1654" i="697"/>
  <c r="N1654" i="697"/>
  <c r="O1654" i="697"/>
  <c r="U1654" i="697"/>
  <c r="Y1654" i="697" s="1"/>
  <c r="V1654" i="697"/>
  <c r="W1654" i="697" s="1"/>
  <c r="Z1654" i="697"/>
  <c r="A1652" i="697"/>
  <c r="A1653" i="697"/>
  <c r="C1652" i="697"/>
  <c r="B1652" i="697" s="1"/>
  <c r="C1653" i="697"/>
  <c r="B1653" i="697" s="1"/>
  <c r="F1652" i="697"/>
  <c r="F1653" i="697"/>
  <c r="N1652" i="697"/>
  <c r="N1653" i="697"/>
  <c r="O1652" i="697"/>
  <c r="O1653" i="697"/>
  <c r="U1652" i="697"/>
  <c r="Y1652" i="697" s="1"/>
  <c r="U1653" i="697"/>
  <c r="Y1653" i="697" s="1"/>
  <c r="V1652" i="697"/>
  <c r="W1652" i="697" s="1"/>
  <c r="V1653" i="697"/>
  <c r="W1653" i="697" s="1"/>
  <c r="Z1652" i="697"/>
  <c r="Z1653" i="697"/>
  <c r="A1651" i="697"/>
  <c r="C1651" i="697"/>
  <c r="B1651" i="697" s="1"/>
  <c r="F1651" i="697"/>
  <c r="N1651" i="697"/>
  <c r="O1651" i="697"/>
  <c r="T1651" i="697"/>
  <c r="U1651" i="697"/>
  <c r="Y1651" i="697" s="1"/>
  <c r="V1651" i="697"/>
  <c r="W1651" i="697" s="1"/>
  <c r="Z1651" i="697"/>
  <c r="A1650" i="697"/>
  <c r="C1650" i="697"/>
  <c r="B1650" i="697" s="1"/>
  <c r="F1650" i="697"/>
  <c r="N1650" i="697"/>
  <c r="O1650" i="697"/>
  <c r="U1650" i="697"/>
  <c r="Y1650" i="697" s="1"/>
  <c r="V1650" i="697"/>
  <c r="W1650" i="697" s="1"/>
  <c r="Z1650" i="697"/>
  <c r="A1649" i="697"/>
  <c r="C1649" i="697"/>
  <c r="B1649" i="697" s="1"/>
  <c r="F1649" i="697"/>
  <c r="N1649" i="697"/>
  <c r="O1649" i="697"/>
  <c r="U1649" i="697"/>
  <c r="Y1649" i="697" s="1"/>
  <c r="V1649" i="697"/>
  <c r="W1649" i="697" s="1"/>
  <c r="Z1649" i="697"/>
  <c r="A1648" i="697"/>
  <c r="C1648" i="697"/>
  <c r="B1648" i="697" s="1"/>
  <c r="F1648" i="697"/>
  <c r="N1648" i="697"/>
  <c r="O1648" i="697"/>
  <c r="U1648" i="697"/>
  <c r="Y1648" i="697" s="1"/>
  <c r="V1648" i="697"/>
  <c r="W1648" i="697" s="1"/>
  <c r="Z1648" i="697"/>
  <c r="A1647" i="697"/>
  <c r="C1647" i="697"/>
  <c r="B1647" i="697" s="1"/>
  <c r="F1647" i="697"/>
  <c r="N1647" i="697"/>
  <c r="O1647" i="697"/>
  <c r="U1647" i="697"/>
  <c r="Y1647" i="697" s="1"/>
  <c r="V1647" i="697"/>
  <c r="W1647" i="697" s="1"/>
  <c r="Z1647" i="697"/>
  <c r="A143" i="104"/>
  <c r="B143" i="104"/>
  <c r="C143" i="104"/>
  <c r="I143" i="104"/>
  <c r="A1646" i="697"/>
  <c r="C1646" i="697"/>
  <c r="B1646" i="697" s="1"/>
  <c r="F1646" i="697"/>
  <c r="N1646" i="697"/>
  <c r="O1646" i="697"/>
  <c r="U1646" i="697"/>
  <c r="Y1646" i="697" s="1"/>
  <c r="V1646" i="697"/>
  <c r="W1646" i="697" s="1"/>
  <c r="Z1646" i="697"/>
  <c r="T1654" i="697" l="1"/>
  <c r="T1650" i="697"/>
  <c r="T1653" i="697"/>
  <c r="X1654" i="697"/>
  <c r="P1654" i="697" s="1"/>
  <c r="Q1654" i="697" s="1"/>
  <c r="R1654" i="697" s="1"/>
  <c r="T1652" i="697"/>
  <c r="X1653" i="697"/>
  <c r="P1653" i="697" s="1"/>
  <c r="Q1653" i="697" s="1"/>
  <c r="R1653" i="697" s="1"/>
  <c r="X1655" i="697"/>
  <c r="P1655" i="697" s="1"/>
  <c r="Q1655" i="697" s="1"/>
  <c r="R1655" i="697" s="1"/>
  <c r="T1655" i="697"/>
  <c r="X1652" i="697"/>
  <c r="P1652" i="697" s="1"/>
  <c r="Q1652" i="697" s="1"/>
  <c r="R1652" i="697" s="1"/>
  <c r="X1650" i="697"/>
  <c r="P1650" i="697" s="1"/>
  <c r="Q1650" i="697" s="1"/>
  <c r="R1650" i="697" s="1"/>
  <c r="D1650" i="697" s="1"/>
  <c r="X1651" i="697"/>
  <c r="P1651" i="697" s="1"/>
  <c r="Q1651" i="697" s="1"/>
  <c r="R1651" i="697" s="1"/>
  <c r="D1651" i="697" s="1"/>
  <c r="T1649" i="697"/>
  <c r="X1649" i="697"/>
  <c r="P1649" i="697" s="1"/>
  <c r="Q1649" i="697" s="1"/>
  <c r="R1649" i="697" s="1"/>
  <c r="T1648" i="697"/>
  <c r="X1648" i="697"/>
  <c r="P1648" i="697" s="1"/>
  <c r="Q1648" i="697" s="1"/>
  <c r="R1648" i="697" s="1"/>
  <c r="D1648" i="697" s="1"/>
  <c r="T1647" i="697"/>
  <c r="X1646" i="697"/>
  <c r="P1646" i="697" s="1"/>
  <c r="Q1646" i="697" s="1"/>
  <c r="R1646" i="697" s="1"/>
  <c r="X1647" i="697"/>
  <c r="P1647" i="697" s="1"/>
  <c r="Q1647" i="697" s="1"/>
  <c r="R1647" i="697" s="1"/>
  <c r="D1647" i="697" s="1"/>
  <c r="T1646" i="697"/>
  <c r="A142" i="104"/>
  <c r="B142" i="104"/>
  <c r="C142" i="104"/>
  <c r="I142" i="104"/>
  <c r="A1645" i="697"/>
  <c r="C1645" i="697"/>
  <c r="B1645" i="697" s="1"/>
  <c r="F1645" i="697"/>
  <c r="N1645" i="697"/>
  <c r="O1645" i="697"/>
  <c r="U1645" i="697"/>
  <c r="Y1645" i="697" s="1"/>
  <c r="V1645" i="697"/>
  <c r="W1645" i="697" s="1"/>
  <c r="Z1645" i="697"/>
  <c r="A1644" i="697"/>
  <c r="C1644" i="697"/>
  <c r="B1644" i="697" s="1"/>
  <c r="F1644" i="697"/>
  <c r="N1644" i="697"/>
  <c r="O1644" i="697"/>
  <c r="T1644" i="697"/>
  <c r="U1644" i="697"/>
  <c r="Y1644" i="697" s="1"/>
  <c r="V1644" i="697"/>
  <c r="W1644" i="697" s="1"/>
  <c r="Z1644" i="697"/>
  <c r="A1643" i="697"/>
  <c r="C1643" i="697"/>
  <c r="B1643" i="697" s="1"/>
  <c r="F1643" i="697"/>
  <c r="N1643" i="697"/>
  <c r="O1643" i="697"/>
  <c r="U1643" i="697"/>
  <c r="V1643" i="697"/>
  <c r="W1643" i="697" s="1"/>
  <c r="Z1643" i="697"/>
  <c r="A1642" i="697"/>
  <c r="C1642" i="697"/>
  <c r="B1642" i="697" s="1"/>
  <c r="F1642" i="697"/>
  <c r="N1642" i="697"/>
  <c r="O1642" i="697"/>
  <c r="U1642" i="697"/>
  <c r="Y1642" i="697" s="1"/>
  <c r="V1642" i="697"/>
  <c r="W1642" i="697" s="1"/>
  <c r="Z1642" i="697"/>
  <c r="A1641" i="697"/>
  <c r="C1641" i="697"/>
  <c r="B1641" i="697" s="1"/>
  <c r="F1641" i="697"/>
  <c r="N1641" i="697"/>
  <c r="O1641" i="697"/>
  <c r="U1641" i="697"/>
  <c r="V1641" i="697"/>
  <c r="W1641" i="697" s="1"/>
  <c r="Z1641" i="697"/>
  <c r="A1640" i="697"/>
  <c r="C1640" i="697"/>
  <c r="B1640" i="697" s="1"/>
  <c r="F1640" i="697"/>
  <c r="N1640" i="697"/>
  <c r="O1640" i="697"/>
  <c r="U1640" i="697"/>
  <c r="Y1640" i="697" s="1"/>
  <c r="V1640" i="697"/>
  <c r="W1640" i="697" s="1"/>
  <c r="Z1640" i="697"/>
  <c r="A1639" i="697"/>
  <c r="C1639" i="697"/>
  <c r="T1639" i="697" s="1"/>
  <c r="F1639" i="697"/>
  <c r="N1639" i="697"/>
  <c r="O1639" i="697"/>
  <c r="U1639" i="697"/>
  <c r="Y1639" i="697" s="1"/>
  <c r="V1639" i="697"/>
  <c r="W1639" i="697" s="1"/>
  <c r="Z1639" i="697"/>
  <c r="A1638" i="697"/>
  <c r="C1638" i="697"/>
  <c r="B1638" i="697" s="1"/>
  <c r="F1638" i="697"/>
  <c r="N1638" i="697"/>
  <c r="O1638" i="697"/>
  <c r="U1638" i="697"/>
  <c r="Y1638" i="697" s="1"/>
  <c r="V1638" i="697"/>
  <c r="W1638" i="697" s="1"/>
  <c r="Z1638" i="697"/>
  <c r="D1655" i="697" l="1"/>
  <c r="D1654" i="697"/>
  <c r="D1653" i="697"/>
  <c r="D1652" i="697"/>
  <c r="T1645" i="697"/>
  <c r="X1645" i="697"/>
  <c r="P1645" i="697" s="1"/>
  <c r="Q1645" i="697" s="1"/>
  <c r="R1645" i="697" s="1"/>
  <c r="X1644" i="697"/>
  <c r="P1644" i="697" s="1"/>
  <c r="Q1644" i="697" s="1"/>
  <c r="R1644" i="697" s="1"/>
  <c r="D1644" i="697" s="1"/>
  <c r="X1643" i="697"/>
  <c r="Y1643" i="697"/>
  <c r="T1643" i="697"/>
  <c r="X1642" i="697"/>
  <c r="P1642" i="697" s="1"/>
  <c r="Q1642" i="697" s="1"/>
  <c r="R1642" i="697" s="1"/>
  <c r="D1642" i="697" s="1"/>
  <c r="T1642" i="697"/>
  <c r="T1641" i="697"/>
  <c r="T1640" i="697"/>
  <c r="X1641" i="697"/>
  <c r="Y1641" i="697"/>
  <c r="X1639" i="697"/>
  <c r="P1639" i="697" s="1"/>
  <c r="Q1639" i="697" s="1"/>
  <c r="R1639" i="697" s="1"/>
  <c r="X1640" i="697"/>
  <c r="P1640" i="697" s="1"/>
  <c r="Q1640" i="697" s="1"/>
  <c r="R1640" i="697" s="1"/>
  <c r="D1640" i="697" s="1"/>
  <c r="B1639" i="697"/>
  <c r="X1638" i="697"/>
  <c r="P1638" i="697" s="1"/>
  <c r="Q1638" i="697" s="1"/>
  <c r="R1638" i="697" s="1"/>
  <c r="D1638" i="697" s="1"/>
  <c r="T1638" i="697"/>
  <c r="J799" i="6"/>
  <c r="K799" i="6"/>
  <c r="F799" i="6"/>
  <c r="E799" i="6"/>
  <c r="E798" i="6"/>
  <c r="F798" i="6"/>
  <c r="J798" i="6"/>
  <c r="K798" i="6"/>
  <c r="A1637" i="697"/>
  <c r="C1637" i="697"/>
  <c r="B1637" i="697" s="1"/>
  <c r="F1637" i="697"/>
  <c r="O1637" i="697"/>
  <c r="T1637" i="697"/>
  <c r="U1637" i="697"/>
  <c r="V1637" i="697"/>
  <c r="W1637" i="697" s="1"/>
  <c r="Z1637" i="697"/>
  <c r="A1636" i="697"/>
  <c r="C1636" i="697"/>
  <c r="B1636" i="697" s="1"/>
  <c r="F1636" i="697"/>
  <c r="N1636" i="697"/>
  <c r="O1636" i="697"/>
  <c r="T1636" i="697"/>
  <c r="U1636" i="697"/>
  <c r="Y1636" i="697" s="1"/>
  <c r="V1636" i="697"/>
  <c r="W1636" i="697" s="1"/>
  <c r="Z1636" i="697"/>
  <c r="E797" i="6"/>
  <c r="J797" i="6"/>
  <c r="K797" i="6"/>
  <c r="E796" i="6"/>
  <c r="F796" i="6"/>
  <c r="J796" i="6"/>
  <c r="K796" i="6"/>
  <c r="J795" i="6"/>
  <c r="K795" i="6"/>
  <c r="F795" i="6"/>
  <c r="E795" i="6"/>
  <c r="A1635" i="697"/>
  <c r="C1635" i="697"/>
  <c r="B1635" i="697" s="1"/>
  <c r="F1635" i="697"/>
  <c r="N1635" i="697"/>
  <c r="O1635" i="697"/>
  <c r="U1635" i="697"/>
  <c r="Y1635" i="697" s="1"/>
  <c r="V1635" i="697"/>
  <c r="W1635" i="697" s="1"/>
  <c r="Z1635" i="697"/>
  <c r="R1551" i="697"/>
  <c r="R1550" i="697"/>
  <c r="R1549" i="697"/>
  <c r="I135" i="104"/>
  <c r="I136" i="104"/>
  <c r="I137" i="104"/>
  <c r="I138" i="104"/>
  <c r="I139" i="104"/>
  <c r="I140" i="104"/>
  <c r="I141" i="104"/>
  <c r="I134" i="104"/>
  <c r="A141" i="104"/>
  <c r="B141" i="104"/>
  <c r="C141" i="104"/>
  <c r="A1615" i="697"/>
  <c r="C1615" i="697"/>
  <c r="B1615" i="697" s="1"/>
  <c r="F1615" i="697"/>
  <c r="N1615" i="697"/>
  <c r="O1615" i="697"/>
  <c r="U1615" i="697"/>
  <c r="Y1615" i="697" s="1"/>
  <c r="V1615" i="697"/>
  <c r="W1615" i="697" s="1"/>
  <c r="Z1615" i="697"/>
  <c r="P1643" i="697" l="1"/>
  <c r="Q1643" i="697" s="1"/>
  <c r="R1643" i="697" s="1"/>
  <c r="D1643" i="697" s="1"/>
  <c r="P1641" i="697"/>
  <c r="Q1641" i="697" s="1"/>
  <c r="R1641" i="697" s="1"/>
  <c r="D1641" i="697" s="1"/>
  <c r="X1637" i="697"/>
  <c r="P1637" i="697" s="1"/>
  <c r="Q1637" i="697" s="1"/>
  <c r="R1637" i="697" s="1"/>
  <c r="D1637" i="697" s="1"/>
  <c r="Y1637" i="697"/>
  <c r="X1636" i="697"/>
  <c r="P1636" i="697" s="1"/>
  <c r="Q1636" i="697" s="1"/>
  <c r="R1636" i="697" s="1"/>
  <c r="D1636" i="697" s="1"/>
  <c r="X1635" i="697"/>
  <c r="P1635" i="697" s="1"/>
  <c r="Q1635" i="697" s="1"/>
  <c r="R1635" i="697" s="1"/>
  <c r="D1635" i="697" s="1"/>
  <c r="T1635" i="697"/>
  <c r="X1615" i="697"/>
  <c r="P1615" i="697" s="1"/>
  <c r="Q1615" i="697" s="1"/>
  <c r="R1615" i="697" s="1"/>
  <c r="T1615" i="697"/>
  <c r="D1645" i="697" l="1"/>
  <c r="D1646" i="697"/>
  <c r="A1594" i="697"/>
  <c r="C1594" i="697"/>
  <c r="B1594" i="697" s="1"/>
  <c r="F1594" i="697"/>
  <c r="N1594" i="697"/>
  <c r="O1594" i="697"/>
  <c r="U1594" i="697"/>
  <c r="Y1594" i="697" s="1"/>
  <c r="V1594" i="697"/>
  <c r="W1594" i="697" s="1"/>
  <c r="Z1594" i="697"/>
  <c r="R1596" i="697"/>
  <c r="R1597" i="697"/>
  <c r="F794" i="6"/>
  <c r="F777" i="6"/>
  <c r="F762" i="6"/>
  <c r="F750" i="6"/>
  <c r="F727" i="6"/>
  <c r="F516" i="6"/>
  <c r="J794" i="6"/>
  <c r="K794" i="6"/>
  <c r="E794" i="6"/>
  <c r="A1632" i="697"/>
  <c r="C1632" i="697"/>
  <c r="B1632" i="697" s="1"/>
  <c r="F1632" i="697"/>
  <c r="N1632" i="697"/>
  <c r="O1632" i="697"/>
  <c r="S1632" i="697"/>
  <c r="T1632" i="697"/>
  <c r="U1632" i="697"/>
  <c r="Y1632" i="697" s="1"/>
  <c r="V1632" i="697"/>
  <c r="W1632" i="697" s="1"/>
  <c r="Z1632" i="697"/>
  <c r="A1631" i="697"/>
  <c r="C1631" i="697"/>
  <c r="B1631" i="697" s="1"/>
  <c r="F1631" i="697"/>
  <c r="N1631" i="697"/>
  <c r="O1631" i="697"/>
  <c r="T1631" i="697"/>
  <c r="U1631" i="697"/>
  <c r="Y1631" i="697" s="1"/>
  <c r="V1631" i="697"/>
  <c r="W1631" i="697" s="1"/>
  <c r="Z1631" i="697"/>
  <c r="A1630" i="697"/>
  <c r="C1630" i="697"/>
  <c r="B1630" i="697" s="1"/>
  <c r="F1630" i="697"/>
  <c r="N1630" i="697"/>
  <c r="O1630" i="697"/>
  <c r="T1630" i="697"/>
  <c r="U1630" i="697"/>
  <c r="Y1630" i="697" s="1"/>
  <c r="V1630" i="697"/>
  <c r="W1630" i="697" s="1"/>
  <c r="Z1630" i="697"/>
  <c r="A1612" i="697"/>
  <c r="C1612" i="697"/>
  <c r="B1612" i="697" s="1"/>
  <c r="F1612" i="697"/>
  <c r="O1612" i="697"/>
  <c r="U1612" i="697"/>
  <c r="Y1612" i="697" s="1"/>
  <c r="V1612" i="697"/>
  <c r="W1612" i="697" s="1"/>
  <c r="Z1612" i="697"/>
  <c r="A1628" i="697"/>
  <c r="C1628" i="697"/>
  <c r="B1628" i="697" s="1"/>
  <c r="F1628" i="697"/>
  <c r="N1628" i="697"/>
  <c r="S1628" i="697"/>
  <c r="T1628" i="697"/>
  <c r="U1628" i="697"/>
  <c r="Y1628" i="697" s="1"/>
  <c r="V1628" i="697"/>
  <c r="W1628" i="697" s="1"/>
  <c r="Z1628" i="697"/>
  <c r="A1627" i="697"/>
  <c r="C1627" i="697"/>
  <c r="B1627" i="697" s="1"/>
  <c r="F1627" i="697"/>
  <c r="N1627" i="697"/>
  <c r="O1627" i="697"/>
  <c r="S1627" i="697"/>
  <c r="T1627" i="697"/>
  <c r="U1627" i="697"/>
  <c r="Y1627" i="697" s="1"/>
  <c r="V1627" i="697"/>
  <c r="W1627" i="697" s="1"/>
  <c r="Z1627" i="697"/>
  <c r="A1626" i="697"/>
  <c r="C1626" i="697"/>
  <c r="B1626" i="697" s="1"/>
  <c r="F1626" i="697"/>
  <c r="N1626" i="697"/>
  <c r="S1626" i="697"/>
  <c r="U1626" i="697"/>
  <c r="Y1626" i="697" s="1"/>
  <c r="V1626" i="697"/>
  <c r="W1626" i="697" s="1"/>
  <c r="Z1626" i="697"/>
  <c r="T1594" i="697" l="1"/>
  <c r="X1594" i="697"/>
  <c r="P1594" i="697" s="1"/>
  <c r="Q1594" i="697" s="1"/>
  <c r="R1594" i="697" s="1"/>
  <c r="D1594" i="697" s="1"/>
  <c r="X1632" i="697"/>
  <c r="P1632" i="697" s="1"/>
  <c r="Q1632" i="697" s="1"/>
  <c r="R1632" i="697" s="1"/>
  <c r="D1632" i="697" s="1"/>
  <c r="X1612" i="697"/>
  <c r="P1612" i="697" s="1"/>
  <c r="Q1612" i="697" s="1"/>
  <c r="R1612" i="697" s="1"/>
  <c r="D1612" i="697" s="1"/>
  <c r="X1631" i="697"/>
  <c r="P1631" i="697" s="1"/>
  <c r="Q1631" i="697" s="1"/>
  <c r="R1631" i="697" s="1"/>
  <c r="X1630" i="697"/>
  <c r="P1630" i="697" s="1"/>
  <c r="Q1630" i="697" s="1"/>
  <c r="R1630" i="697" s="1"/>
  <c r="X1628" i="697"/>
  <c r="P1628" i="697" s="1"/>
  <c r="Q1628" i="697" s="1"/>
  <c r="R1628" i="697" s="1"/>
  <c r="D1628" i="697" s="1"/>
  <c r="T1612" i="697"/>
  <c r="X1627" i="697"/>
  <c r="P1627" i="697" s="1"/>
  <c r="Q1627" i="697" s="1"/>
  <c r="R1627" i="697" s="1"/>
  <c r="D1627" i="697" s="1"/>
  <c r="X1626" i="697"/>
  <c r="P1626" i="697" s="1"/>
  <c r="Q1626" i="697" s="1"/>
  <c r="R1626" i="697" s="1"/>
  <c r="D1626" i="697" s="1"/>
  <c r="T1626" i="697"/>
  <c r="D1630" i="697" l="1"/>
  <c r="D1631" i="697"/>
  <c r="A1625" i="697"/>
  <c r="C1625" i="697"/>
  <c r="B1625" i="697" s="1"/>
  <c r="F1625" i="697"/>
  <c r="N1625" i="697"/>
  <c r="O1625" i="697"/>
  <c r="U1625" i="697"/>
  <c r="Y1625" i="697" s="1"/>
  <c r="V1625" i="697"/>
  <c r="W1625" i="697" s="1"/>
  <c r="Z1625" i="697"/>
  <c r="A1624" i="697"/>
  <c r="C1624" i="697"/>
  <c r="B1624" i="697" s="1"/>
  <c r="F1624" i="697"/>
  <c r="N1624" i="697"/>
  <c r="O1624" i="697"/>
  <c r="T1624" i="697"/>
  <c r="U1624" i="697"/>
  <c r="Y1624" i="697" s="1"/>
  <c r="V1624" i="697"/>
  <c r="W1624" i="697" s="1"/>
  <c r="Z1624" i="697"/>
  <c r="A1572" i="697"/>
  <c r="A1573" i="697"/>
  <c r="C1572" i="697"/>
  <c r="B1572" i="697" s="1"/>
  <c r="C1573" i="697"/>
  <c r="B1573" i="697" s="1"/>
  <c r="F1572" i="697"/>
  <c r="F1573" i="697"/>
  <c r="N1572" i="697"/>
  <c r="N1573" i="697"/>
  <c r="O1572" i="697"/>
  <c r="O1573" i="697"/>
  <c r="U1572" i="697"/>
  <c r="Y1572" i="697" s="1"/>
  <c r="U1573" i="697"/>
  <c r="Y1573" i="697" s="1"/>
  <c r="V1572" i="697"/>
  <c r="W1572" i="697" s="1"/>
  <c r="V1573" i="697"/>
  <c r="W1573" i="697" s="1"/>
  <c r="Z1572" i="697"/>
  <c r="Z1573" i="697"/>
  <c r="A1559" i="697"/>
  <c r="C1559" i="697"/>
  <c r="B1559" i="697" s="1"/>
  <c r="F1559" i="697"/>
  <c r="N1559" i="697"/>
  <c r="U1559" i="697"/>
  <c r="Y1559" i="697" s="1"/>
  <c r="V1559" i="697"/>
  <c r="W1559" i="697" s="1"/>
  <c r="Z1559" i="697"/>
  <c r="D792" i="6"/>
  <c r="D775" i="6"/>
  <c r="D788" i="6"/>
  <c r="D770" i="6"/>
  <c r="D790" i="6"/>
  <c r="D774" i="6"/>
  <c r="D756" i="6"/>
  <c r="F285" i="6"/>
  <c r="M1620" i="697"/>
  <c r="A1620" i="697"/>
  <c r="C1620" i="697"/>
  <c r="B1620" i="697" s="1"/>
  <c r="F1620" i="697"/>
  <c r="N1620" i="697"/>
  <c r="O1620" i="697"/>
  <c r="T1620" i="697"/>
  <c r="U1620" i="697"/>
  <c r="Y1620" i="697" s="1"/>
  <c r="V1620" i="697"/>
  <c r="W1620" i="697" s="1"/>
  <c r="Z1620" i="697"/>
  <c r="A1539" i="697"/>
  <c r="C1539" i="697"/>
  <c r="B1539" i="697" s="1"/>
  <c r="F1539" i="697"/>
  <c r="N1539" i="697"/>
  <c r="O1539" i="697"/>
  <c r="U1539" i="697"/>
  <c r="Y1539" i="697" s="1"/>
  <c r="V1539" i="697"/>
  <c r="W1539" i="697" s="1"/>
  <c r="Z1539" i="697"/>
  <c r="A1618" i="697"/>
  <c r="C1618" i="697"/>
  <c r="B1618" i="697" s="1"/>
  <c r="F1618" i="697"/>
  <c r="N1618" i="697"/>
  <c r="O1618" i="697"/>
  <c r="T1618" i="697"/>
  <c r="U1618" i="697"/>
  <c r="V1618" i="697"/>
  <c r="W1618" i="697" s="1"/>
  <c r="Z1618" i="697"/>
  <c r="A1617" i="697"/>
  <c r="C1617" i="697"/>
  <c r="B1617" i="697" s="1"/>
  <c r="F1617" i="697"/>
  <c r="N1617" i="697"/>
  <c r="O1617" i="697"/>
  <c r="S1617" i="697"/>
  <c r="T1617" i="697"/>
  <c r="U1617" i="697"/>
  <c r="Y1617" i="697" s="1"/>
  <c r="V1617" i="697"/>
  <c r="W1617" i="697" s="1"/>
  <c r="Z1617" i="697"/>
  <c r="G14" i="16" l="1"/>
  <c r="T1572" i="697"/>
  <c r="T1539" i="697"/>
  <c r="X1624" i="697"/>
  <c r="P1624" i="697" s="1"/>
  <c r="Q1624" i="697" s="1"/>
  <c r="R1624" i="697" s="1"/>
  <c r="D1624" i="697" s="1"/>
  <c r="X1625" i="697"/>
  <c r="P1625" i="697" s="1"/>
  <c r="Q1625" i="697" s="1"/>
  <c r="R1625" i="697" s="1"/>
  <c r="D1625" i="697" s="1"/>
  <c r="T1625" i="697"/>
  <c r="X1573" i="697"/>
  <c r="P1573" i="697" s="1"/>
  <c r="Q1573" i="697" s="1"/>
  <c r="R1573" i="697" s="1"/>
  <c r="X1572" i="697"/>
  <c r="P1572" i="697" s="1"/>
  <c r="Q1572" i="697" s="1"/>
  <c r="R1572" i="697" s="1"/>
  <c r="T1573" i="697"/>
  <c r="X1559" i="697"/>
  <c r="P1559" i="697" s="1"/>
  <c r="Q1559" i="697" s="1"/>
  <c r="R1559" i="697" s="1"/>
  <c r="D1559" i="697" s="1"/>
  <c r="T1559" i="697"/>
  <c r="X1620" i="697"/>
  <c r="P1620" i="697" s="1"/>
  <c r="Q1620" i="697" s="1"/>
  <c r="R1620" i="697" s="1"/>
  <c r="D1620" i="697" s="1"/>
  <c r="X1539" i="697"/>
  <c r="P1539" i="697" s="1"/>
  <c r="Q1539" i="697" s="1"/>
  <c r="R1539" i="697" s="1"/>
  <c r="D1539" i="697" s="1"/>
  <c r="X1618" i="697"/>
  <c r="Y1618" i="697"/>
  <c r="X1617" i="697"/>
  <c r="P1617" i="697" s="1"/>
  <c r="Q1617" i="697" s="1"/>
  <c r="R1617" i="697" s="1"/>
  <c r="D1617" i="697" s="1"/>
  <c r="A1616" i="697"/>
  <c r="C1616" i="697"/>
  <c r="B1616" i="697" s="1"/>
  <c r="F1616" i="697"/>
  <c r="N1616" i="697"/>
  <c r="O1616" i="697"/>
  <c r="S1616" i="697"/>
  <c r="T1616" i="697"/>
  <c r="U1616" i="697"/>
  <c r="Y1616" i="697" s="1"/>
  <c r="V1616" i="697"/>
  <c r="W1616" i="697" s="1"/>
  <c r="Z1616" i="697"/>
  <c r="A140" i="104"/>
  <c r="B140" i="104"/>
  <c r="C140" i="104"/>
  <c r="A1608" i="697"/>
  <c r="C1608" i="697"/>
  <c r="B1608" i="697" s="1"/>
  <c r="F1608" i="697"/>
  <c r="N1608" i="697"/>
  <c r="O1608" i="697"/>
  <c r="U1608" i="697"/>
  <c r="Y1608" i="697" s="1"/>
  <c r="V1608" i="697"/>
  <c r="W1608" i="697" s="1"/>
  <c r="Z1608" i="697"/>
  <c r="A1634" i="697"/>
  <c r="C1634" i="697"/>
  <c r="B1634" i="697" s="1"/>
  <c r="F1634" i="697"/>
  <c r="N1634" i="697"/>
  <c r="O1634" i="697"/>
  <c r="U1634" i="697"/>
  <c r="Y1634" i="697" s="1"/>
  <c r="V1634" i="697"/>
  <c r="W1634" i="697" s="1"/>
  <c r="Z1634" i="697"/>
  <c r="A1613" i="697"/>
  <c r="C1613" i="697"/>
  <c r="B1613" i="697" s="1"/>
  <c r="F1613" i="697"/>
  <c r="N1613" i="697"/>
  <c r="O1613" i="697"/>
  <c r="T1613" i="697"/>
  <c r="U1613" i="697"/>
  <c r="Y1613" i="697" s="1"/>
  <c r="V1613" i="697"/>
  <c r="W1613" i="697" s="1"/>
  <c r="Z1613" i="697"/>
  <c r="A1556" i="697"/>
  <c r="C1556" i="697"/>
  <c r="B1556" i="697" s="1"/>
  <c r="F1556" i="697"/>
  <c r="N1556" i="697"/>
  <c r="O1556" i="697"/>
  <c r="U1556" i="697"/>
  <c r="Y1556" i="697" s="1"/>
  <c r="V1556" i="697"/>
  <c r="W1556" i="697" s="1"/>
  <c r="Z1556" i="697"/>
  <c r="A1555" i="697"/>
  <c r="C1555" i="697"/>
  <c r="B1555" i="697" s="1"/>
  <c r="F1555" i="697"/>
  <c r="N1555" i="697"/>
  <c r="O1555" i="697"/>
  <c r="U1555" i="697"/>
  <c r="Y1555" i="697" s="1"/>
  <c r="V1555" i="697"/>
  <c r="W1555" i="697" s="1"/>
  <c r="Z1555" i="697"/>
  <c r="A1585" i="697"/>
  <c r="C1585" i="697"/>
  <c r="B1585" i="697" s="1"/>
  <c r="F1585" i="697"/>
  <c r="N1585" i="697"/>
  <c r="O1585" i="697"/>
  <c r="U1585" i="697"/>
  <c r="Y1585" i="697" s="1"/>
  <c r="V1585" i="697"/>
  <c r="W1585" i="697" s="1"/>
  <c r="Z1585" i="697"/>
  <c r="A1547" i="697"/>
  <c r="C1547" i="697"/>
  <c r="B1547" i="697" s="1"/>
  <c r="F1547" i="697"/>
  <c r="N1547" i="697"/>
  <c r="O1547" i="697"/>
  <c r="U1547" i="697"/>
  <c r="Y1547" i="697" s="1"/>
  <c r="V1547" i="697"/>
  <c r="W1547" i="697" s="1"/>
  <c r="Z1547" i="697"/>
  <c r="J793" i="6"/>
  <c r="K793" i="6"/>
  <c r="F793" i="6"/>
  <c r="E793" i="6"/>
  <c r="C792" i="6"/>
  <c r="J791" i="6"/>
  <c r="K791" i="6"/>
  <c r="F791" i="6"/>
  <c r="E791" i="6"/>
  <c r="C790" i="6"/>
  <c r="J789" i="6"/>
  <c r="K789" i="6"/>
  <c r="F789" i="6"/>
  <c r="E789" i="6"/>
  <c r="C788" i="6"/>
  <c r="D1573" i="697" l="1"/>
  <c r="D1572" i="697"/>
  <c r="P1618" i="697"/>
  <c r="Q1618" i="697" s="1"/>
  <c r="R1618" i="697" s="1"/>
  <c r="D1618" i="697" s="1"/>
  <c r="T1608" i="697"/>
  <c r="X1608" i="697"/>
  <c r="P1608" i="697" s="1"/>
  <c r="Q1608" i="697" s="1"/>
  <c r="R1608" i="697" s="1"/>
  <c r="T1634" i="697"/>
  <c r="X1616" i="697"/>
  <c r="P1616" i="697" s="1"/>
  <c r="Q1616" i="697" s="1"/>
  <c r="R1616" i="697" s="1"/>
  <c r="D1616" i="697" s="1"/>
  <c r="X1634" i="697"/>
  <c r="P1634" i="697" s="1"/>
  <c r="Q1634" i="697" s="1"/>
  <c r="R1634" i="697" s="1"/>
  <c r="D1634" i="697" s="1"/>
  <c r="T1556" i="697"/>
  <c r="X1556" i="697"/>
  <c r="P1556" i="697" s="1"/>
  <c r="Q1556" i="697" s="1"/>
  <c r="R1556" i="697" s="1"/>
  <c r="X1613" i="697"/>
  <c r="P1613" i="697" s="1"/>
  <c r="Q1613" i="697" s="1"/>
  <c r="R1613" i="697" s="1"/>
  <c r="D1613" i="697" s="1"/>
  <c r="X1555" i="697"/>
  <c r="P1555" i="697" s="1"/>
  <c r="Q1555" i="697" s="1"/>
  <c r="R1555" i="697" s="1"/>
  <c r="T1555" i="697"/>
  <c r="X1585" i="697"/>
  <c r="P1585" i="697" s="1"/>
  <c r="Q1585" i="697" s="1"/>
  <c r="R1585" i="697" s="1"/>
  <c r="G17" i="16" s="1"/>
  <c r="T1585" i="697"/>
  <c r="T1547" i="697"/>
  <c r="X1547" i="697"/>
  <c r="P1547" i="697" s="1"/>
  <c r="Q1547" i="697" s="1"/>
  <c r="R1547" i="697" s="1"/>
  <c r="J792" i="6"/>
  <c r="K792" i="6"/>
  <c r="E792" i="6"/>
  <c r="J790" i="6"/>
  <c r="K790" i="6"/>
  <c r="E790" i="6"/>
  <c r="J788" i="6"/>
  <c r="K788" i="6"/>
  <c r="E788" i="6"/>
  <c r="A139" i="104"/>
  <c r="B139" i="104"/>
  <c r="C139" i="104"/>
  <c r="A1560" i="697"/>
  <c r="C1560" i="697"/>
  <c r="B1560" i="697" s="1"/>
  <c r="F1560" i="697"/>
  <c r="N1560" i="697"/>
  <c r="O1560" i="697"/>
  <c r="U1560" i="697"/>
  <c r="Y1560" i="697" s="1"/>
  <c r="V1560" i="697"/>
  <c r="W1560" i="697" s="1"/>
  <c r="Z1560" i="697"/>
  <c r="A1509" i="697"/>
  <c r="C1509" i="697"/>
  <c r="B1509" i="697" s="1"/>
  <c r="F1509" i="697"/>
  <c r="O1509" i="697"/>
  <c r="T1509" i="697"/>
  <c r="U1509" i="697"/>
  <c r="V1509" i="697"/>
  <c r="W1509" i="697" s="1"/>
  <c r="Z1509" i="697"/>
  <c r="A1520" i="697"/>
  <c r="C1520" i="697"/>
  <c r="B1520" i="697" s="1"/>
  <c r="F1520" i="697"/>
  <c r="N1520" i="697"/>
  <c r="O1520" i="697"/>
  <c r="S1520" i="697"/>
  <c r="T1520" i="697"/>
  <c r="U1520" i="697"/>
  <c r="Y1520" i="697" s="1"/>
  <c r="V1520" i="697"/>
  <c r="W1520" i="697" s="1"/>
  <c r="Z1520" i="697"/>
  <c r="A1501" i="697"/>
  <c r="C1501" i="697"/>
  <c r="B1501" i="697" s="1"/>
  <c r="F1501" i="697"/>
  <c r="N1501" i="697"/>
  <c r="O1501" i="697"/>
  <c r="S1501" i="697"/>
  <c r="T1501" i="697"/>
  <c r="U1501" i="697"/>
  <c r="Y1501" i="697" s="1"/>
  <c r="V1501" i="697"/>
  <c r="W1501" i="697" s="1"/>
  <c r="Z1501" i="697"/>
  <c r="O1090" i="697"/>
  <c r="N1090" i="697"/>
  <c r="O1322" i="697"/>
  <c r="N1322" i="697"/>
  <c r="O1323" i="697"/>
  <c r="N1323" i="697"/>
  <c r="N1619" i="697"/>
  <c r="O1619" i="697"/>
  <c r="O1621" i="697"/>
  <c r="N1621" i="697"/>
  <c r="A1629" i="697"/>
  <c r="A1623" i="697"/>
  <c r="A1622" i="697"/>
  <c r="C1629" i="697"/>
  <c r="B1629" i="697" s="1"/>
  <c r="C1623" i="697"/>
  <c r="B1623" i="697" s="1"/>
  <c r="C1622" i="697"/>
  <c r="B1622" i="697" s="1"/>
  <c r="F1629" i="697"/>
  <c r="F1623" i="697"/>
  <c r="F1622" i="697"/>
  <c r="N1629" i="697"/>
  <c r="N1623" i="697"/>
  <c r="N1622" i="697"/>
  <c r="O1629" i="697"/>
  <c r="O1623" i="697"/>
  <c r="O1622" i="697"/>
  <c r="U1629" i="697"/>
  <c r="Y1629" i="697" s="1"/>
  <c r="U1623" i="697"/>
  <c r="Y1623" i="697" s="1"/>
  <c r="U1622" i="697"/>
  <c r="Y1622" i="697" s="1"/>
  <c r="V1629" i="697"/>
  <c r="W1629" i="697" s="1"/>
  <c r="V1623" i="697"/>
  <c r="W1623" i="697" s="1"/>
  <c r="V1622" i="697"/>
  <c r="W1622" i="697" s="1"/>
  <c r="Z1629" i="697"/>
  <c r="Z1623" i="697"/>
  <c r="Z1622" i="697"/>
  <c r="E787" i="6"/>
  <c r="J787" i="6"/>
  <c r="K787" i="6"/>
  <c r="A1536" i="697"/>
  <c r="C1536" i="697"/>
  <c r="B1536" i="697" s="1"/>
  <c r="F1536" i="697"/>
  <c r="O1536" i="697"/>
  <c r="S1536" i="697"/>
  <c r="T1536" i="697"/>
  <c r="U1536" i="697"/>
  <c r="Y1536" i="697" s="1"/>
  <c r="V1536" i="697"/>
  <c r="W1536" i="697" s="1"/>
  <c r="Z1536" i="697"/>
  <c r="A1535" i="697"/>
  <c r="C1535" i="697"/>
  <c r="B1535" i="697" s="1"/>
  <c r="D1535" i="697"/>
  <c r="F1535" i="697"/>
  <c r="N1535" i="697"/>
  <c r="O1535" i="697"/>
  <c r="S1535" i="697"/>
  <c r="T1535" i="697"/>
  <c r="U1535" i="697"/>
  <c r="Y1535" i="697" s="1"/>
  <c r="V1535" i="697"/>
  <c r="W1535" i="697" s="1"/>
  <c r="Z1535" i="697"/>
  <c r="A1534" i="697"/>
  <c r="C1534" i="697"/>
  <c r="B1534" i="697" s="1"/>
  <c r="F1534" i="697"/>
  <c r="N1534" i="697"/>
  <c r="O1534" i="697"/>
  <c r="T1534" i="697"/>
  <c r="U1534" i="697"/>
  <c r="Y1534" i="697" s="1"/>
  <c r="V1534" i="697"/>
  <c r="W1534" i="697" s="1"/>
  <c r="Z1534" i="697"/>
  <c r="A1537" i="697"/>
  <c r="C1537" i="697"/>
  <c r="B1537" i="697" s="1"/>
  <c r="D1537" i="697"/>
  <c r="F1537" i="697"/>
  <c r="N1537" i="697"/>
  <c r="O1537" i="697"/>
  <c r="S1537" i="697"/>
  <c r="T1537" i="697"/>
  <c r="U1537" i="697"/>
  <c r="Y1537" i="697" s="1"/>
  <c r="V1537" i="697"/>
  <c r="W1537" i="697" s="1"/>
  <c r="Z1537" i="697"/>
  <c r="A1527" i="697"/>
  <c r="C1527" i="697"/>
  <c r="B1527" i="697" s="1"/>
  <c r="F1527" i="697"/>
  <c r="N1527" i="697"/>
  <c r="O1527" i="697"/>
  <c r="T1527" i="697"/>
  <c r="U1527" i="697"/>
  <c r="Y1527" i="697" s="1"/>
  <c r="V1527" i="697"/>
  <c r="W1527" i="697" s="1"/>
  <c r="Z1527" i="697"/>
  <c r="A1528" i="697"/>
  <c r="C1528" i="697"/>
  <c r="B1528" i="697" s="1"/>
  <c r="F1528" i="697"/>
  <c r="N1528" i="697"/>
  <c r="O1528" i="697"/>
  <c r="T1528" i="697"/>
  <c r="U1528" i="697"/>
  <c r="Y1528" i="697" s="1"/>
  <c r="V1528" i="697"/>
  <c r="W1528" i="697" s="1"/>
  <c r="Z1528" i="697"/>
  <c r="E786" i="6"/>
  <c r="J786" i="6"/>
  <c r="K786" i="6"/>
  <c r="E785" i="6"/>
  <c r="F785" i="6"/>
  <c r="J785" i="6"/>
  <c r="K785" i="6"/>
  <c r="A1529" i="697"/>
  <c r="C1529" i="697"/>
  <c r="B1529" i="697" s="1"/>
  <c r="F1529" i="697"/>
  <c r="N1529" i="697"/>
  <c r="O1529" i="697"/>
  <c r="S1529" i="697"/>
  <c r="T1529" i="697"/>
  <c r="U1529" i="697"/>
  <c r="Y1529" i="697" s="1"/>
  <c r="V1529" i="697"/>
  <c r="W1529" i="697" s="1"/>
  <c r="Z1529" i="697"/>
  <c r="A1526" i="697"/>
  <c r="C1526" i="697"/>
  <c r="B1526" i="697" s="1"/>
  <c r="F1526" i="697"/>
  <c r="N1526" i="697"/>
  <c r="O1526" i="697"/>
  <c r="T1526" i="697"/>
  <c r="U1526" i="697"/>
  <c r="Y1526" i="697" s="1"/>
  <c r="V1526" i="697"/>
  <c r="W1526" i="697" s="1"/>
  <c r="Z1526" i="697"/>
  <c r="A138" i="104"/>
  <c r="B138" i="104"/>
  <c r="C138" i="104"/>
  <c r="A1548" i="697"/>
  <c r="C1548" i="697"/>
  <c r="B1548" i="697" s="1"/>
  <c r="F1548" i="697"/>
  <c r="N1548" i="697"/>
  <c r="O1548" i="697"/>
  <c r="U1548" i="697"/>
  <c r="Y1548" i="697" s="1"/>
  <c r="V1548" i="697"/>
  <c r="W1548" i="697" s="1"/>
  <c r="Z1548" i="697"/>
  <c r="A1510" i="697"/>
  <c r="C1510" i="697"/>
  <c r="B1510" i="697" s="1"/>
  <c r="F1510" i="697"/>
  <c r="N1510" i="697"/>
  <c r="O1510" i="697"/>
  <c r="T1510" i="697"/>
  <c r="U1510" i="697"/>
  <c r="Y1510" i="697" s="1"/>
  <c r="V1510" i="697"/>
  <c r="W1510" i="697" s="1"/>
  <c r="Z1510" i="697"/>
  <c r="F24" i="16"/>
  <c r="F22" i="16"/>
  <c r="F30" i="16"/>
  <c r="AA7" i="157"/>
  <c r="AB7" i="157" s="1"/>
  <c r="AC7" i="157"/>
  <c r="D1649" i="697" l="1"/>
  <c r="D1547" i="697"/>
  <c r="D1639" i="697"/>
  <c r="D1585" i="697"/>
  <c r="D1555" i="697"/>
  <c r="D1556" i="697"/>
  <c r="T1560" i="697"/>
  <c r="X1560" i="697"/>
  <c r="P1560" i="697" s="1"/>
  <c r="Q1560" i="697" s="1"/>
  <c r="R1560" i="697" s="1"/>
  <c r="X1509" i="697"/>
  <c r="Q1509" i="697" s="1"/>
  <c r="R1509" i="697" s="1"/>
  <c r="Y1509" i="697"/>
  <c r="X1520" i="697"/>
  <c r="P1520" i="697" s="1"/>
  <c r="Q1520" i="697" s="1"/>
  <c r="R1520" i="697" s="1"/>
  <c r="D1520" i="697" s="1"/>
  <c r="T1623" i="697"/>
  <c r="T1622" i="697"/>
  <c r="T1629" i="697"/>
  <c r="X1629" i="697"/>
  <c r="P1629" i="697" s="1"/>
  <c r="Q1629" i="697" s="1"/>
  <c r="X1501" i="697"/>
  <c r="P1501" i="697" s="1"/>
  <c r="Q1501" i="697" s="1"/>
  <c r="R1501" i="697" s="1"/>
  <c r="D1501" i="697" s="1"/>
  <c r="X1622" i="697"/>
  <c r="P1622" i="697" s="1"/>
  <c r="Q1622" i="697" s="1"/>
  <c r="R1622" i="697" s="1"/>
  <c r="X1623" i="697"/>
  <c r="P1623" i="697" s="1"/>
  <c r="Q1623" i="697" s="1"/>
  <c r="R1623" i="697" s="1"/>
  <c r="R1629" i="697"/>
  <c r="X1535" i="697"/>
  <c r="P1535" i="697" s="1"/>
  <c r="Q1535" i="697" s="1"/>
  <c r="R1535" i="697" s="1"/>
  <c r="X1536" i="697"/>
  <c r="P1536" i="697" s="1"/>
  <c r="R1536" i="697"/>
  <c r="D1536" i="697" s="1"/>
  <c r="X1537" i="697"/>
  <c r="P1537" i="697" s="1"/>
  <c r="Q1537" i="697" s="1"/>
  <c r="R1537" i="697" s="1"/>
  <c r="X1534" i="697"/>
  <c r="P1534" i="697" s="1"/>
  <c r="R1534" i="697"/>
  <c r="D1534" i="697" s="1"/>
  <c r="X1527" i="697"/>
  <c r="P1527" i="697" s="1"/>
  <c r="Q1527" i="697" s="1"/>
  <c r="R1527" i="697" s="1"/>
  <c r="D1527" i="697" s="1"/>
  <c r="X1528" i="697"/>
  <c r="P1528" i="697" s="1"/>
  <c r="Q1528" i="697" s="1"/>
  <c r="R1528" i="697" s="1"/>
  <c r="D1528" i="697" s="1"/>
  <c r="X1529" i="697"/>
  <c r="P1529" i="697" s="1"/>
  <c r="Q1529" i="697" s="1"/>
  <c r="R1529" i="697" s="1"/>
  <c r="D1529" i="697" s="1"/>
  <c r="T1548" i="697"/>
  <c r="X1526" i="697"/>
  <c r="P1526" i="697" s="1"/>
  <c r="Q1526" i="697" s="1"/>
  <c r="R1526" i="697" s="1"/>
  <c r="D1526" i="697" s="1"/>
  <c r="X1548" i="697"/>
  <c r="P1548" i="697" s="1"/>
  <c r="Q1548" i="697" s="1"/>
  <c r="R1548" i="697" s="1"/>
  <c r="D1548" i="697" s="1"/>
  <c r="X1510" i="697"/>
  <c r="P1510" i="697" s="1"/>
  <c r="Q1510" i="697" s="1"/>
  <c r="R1510" i="697" s="1"/>
  <c r="D1510" i="697" s="1"/>
  <c r="AD7" i="157"/>
  <c r="A1292" i="697"/>
  <c r="A103" i="697"/>
  <c r="A104" i="697"/>
  <c r="A22" i="697"/>
  <c r="A23" i="697"/>
  <c r="A12" i="697"/>
  <c r="A196" i="697"/>
  <c r="A4" i="697"/>
  <c r="A24" i="697"/>
  <c r="A208" i="697"/>
  <c r="A6" i="697"/>
  <c r="A13" i="697"/>
  <c r="A14" i="697"/>
  <c r="A2" i="697"/>
  <c r="A16" i="697"/>
  <c r="A17" i="697"/>
  <c r="A34" i="697"/>
  <c r="A15" i="697"/>
  <c r="A45" i="697"/>
  <c r="A77" i="697"/>
  <c r="A117" i="697"/>
  <c r="A79" i="697"/>
  <c r="A78" i="697"/>
  <c r="A80" i="697"/>
  <c r="A40" i="697"/>
  <c r="A3" i="697"/>
  <c r="A209" i="697"/>
  <c r="A5" i="697"/>
  <c r="A18" i="697"/>
  <c r="A20" i="697"/>
  <c r="A19" i="697"/>
  <c r="A7" i="697"/>
  <c r="A8" i="697"/>
  <c r="A10" i="697"/>
  <c r="A105" i="697"/>
  <c r="A106" i="697"/>
  <c r="A107" i="697"/>
  <c r="A11" i="697"/>
  <c r="A81" i="697"/>
  <c r="A174" i="697"/>
  <c r="A175" i="697"/>
  <c r="A82" i="697"/>
  <c r="A84" i="697"/>
  <c r="A118" i="697"/>
  <c r="A85" i="697"/>
  <c r="A83" i="697"/>
  <c r="A86" i="697"/>
  <c r="A87" i="697"/>
  <c r="A21" i="697"/>
  <c r="A210" i="697"/>
  <c r="A88" i="697"/>
  <c r="A27" i="697"/>
  <c r="A28" i="697"/>
  <c r="A29" i="697"/>
  <c r="A30" i="697"/>
  <c r="A31" i="697"/>
  <c r="A32" i="697"/>
  <c r="A33" i="697"/>
  <c r="A219" i="697"/>
  <c r="A90" i="697"/>
  <c r="A89" i="697"/>
  <c r="A96" i="697"/>
  <c r="A115" i="697"/>
  <c r="A125" i="697"/>
  <c r="A67" i="697"/>
  <c r="A171" i="697"/>
  <c r="A75" i="697"/>
  <c r="A46" i="697"/>
  <c r="A47" i="697"/>
  <c r="A48" i="697"/>
  <c r="A37" i="697"/>
  <c r="A53" i="697"/>
  <c r="A54" i="697"/>
  <c r="A55" i="697"/>
  <c r="A56" i="697"/>
  <c r="A57" i="697"/>
  <c r="A49" i="697"/>
  <c r="A50" i="697"/>
  <c r="A51" i="697"/>
  <c r="A119" i="697"/>
  <c r="A52" i="697"/>
  <c r="A114" i="697"/>
  <c r="A35" i="697"/>
  <c r="A58" i="697"/>
  <c r="A59" i="697"/>
  <c r="A60" i="697"/>
  <c r="A61" i="697"/>
  <c r="A62" i="697"/>
  <c r="A63" i="697"/>
  <c r="A126" i="697"/>
  <c r="A116" i="697"/>
  <c r="A120" i="697"/>
  <c r="A91" i="697"/>
  <c r="A133" i="697"/>
  <c r="A92" i="697"/>
  <c r="A93" i="697"/>
  <c r="A36" i="697"/>
  <c r="A108" i="697"/>
  <c r="A109" i="697"/>
  <c r="A110" i="697"/>
  <c r="A111" i="697"/>
  <c r="A64" i="697"/>
  <c r="A213" i="697"/>
  <c r="A134" i="697"/>
  <c r="A131" i="697"/>
  <c r="A140" i="697"/>
  <c r="A38" i="697"/>
  <c r="A399" i="697"/>
  <c r="A68" i="697"/>
  <c r="A65" i="697"/>
  <c r="A176" i="697"/>
  <c r="A127" i="697"/>
  <c r="A129" i="697"/>
  <c r="A97" i="697"/>
  <c r="A206" i="697"/>
  <c r="A39" i="697"/>
  <c r="A66" i="697"/>
  <c r="A230" i="697"/>
  <c r="A254" i="697"/>
  <c r="A160" i="697"/>
  <c r="A42" i="697"/>
  <c r="A41" i="697"/>
  <c r="A76" i="697"/>
  <c r="A44" i="697"/>
  <c r="A121" i="697"/>
  <c r="A43" i="697"/>
  <c r="A236" i="697"/>
  <c r="A255" i="697"/>
  <c r="A26" i="697"/>
  <c r="A25" i="697"/>
  <c r="A94" i="697"/>
  <c r="A237" i="697"/>
  <c r="A214" i="697"/>
  <c r="A256" i="697"/>
  <c r="A135" i="697"/>
  <c r="A161" i="697"/>
  <c r="A257" i="697"/>
  <c r="A207" i="697"/>
  <c r="A162" i="697"/>
  <c r="A177" i="697"/>
  <c r="A122" i="697"/>
  <c r="A163" i="697"/>
  <c r="A69" i="697"/>
  <c r="A70" i="697"/>
  <c r="A71" i="697"/>
  <c r="A72" i="697"/>
  <c r="A73" i="697"/>
  <c r="A74" i="697"/>
  <c r="A258" i="697"/>
  <c r="A178" i="697"/>
  <c r="A155" i="697"/>
  <c r="A146" i="697"/>
  <c r="A156" i="697"/>
  <c r="A157" i="697"/>
  <c r="A211" i="697"/>
  <c r="A145" i="697"/>
  <c r="A151" i="697"/>
  <c r="A152" i="697"/>
  <c r="A153" i="697"/>
  <c r="A154" i="697"/>
  <c r="A141" i="697"/>
  <c r="A142" i="697"/>
  <c r="A143" i="697"/>
  <c r="A144" i="697"/>
  <c r="A150" i="697"/>
  <c r="A158" i="697"/>
  <c r="A229" i="697"/>
  <c r="A95" i="697"/>
  <c r="A159" i="697"/>
  <c r="A240" i="697"/>
  <c r="A101" i="697"/>
  <c r="A100" i="697"/>
  <c r="A98" i="697"/>
  <c r="A99" i="697"/>
  <c r="A284" i="697"/>
  <c r="A102" i="697"/>
  <c r="A275" i="697"/>
  <c r="A197" i="697"/>
  <c r="A231" i="697"/>
  <c r="A148" i="697"/>
  <c r="A112" i="697"/>
  <c r="A147" i="697"/>
  <c r="A113" i="697"/>
  <c r="A259" i="697"/>
  <c r="A123" i="697"/>
  <c r="A252" i="697"/>
  <c r="A238" i="697"/>
  <c r="A232" i="697"/>
  <c r="A253" i="697"/>
  <c r="A233" i="697"/>
  <c r="A835" i="697"/>
  <c r="A124" i="697"/>
  <c r="A234" i="697"/>
  <c r="A244" i="697"/>
  <c r="A260" i="697"/>
  <c r="A181" i="697"/>
  <c r="A182" i="697"/>
  <c r="A183" i="697"/>
  <c r="A184" i="697"/>
  <c r="A172" i="697"/>
  <c r="A330" i="697"/>
  <c r="A245" i="697"/>
  <c r="A128" i="697"/>
  <c r="A285" i="697"/>
  <c r="A130" i="697"/>
  <c r="A132" i="697"/>
  <c r="A198" i="697"/>
  <c r="A349" i="697"/>
  <c r="A185" i="697"/>
  <c r="A312" i="697"/>
  <c r="A136" i="697"/>
  <c r="A277" i="697"/>
  <c r="A241" i="697"/>
  <c r="A276" i="697"/>
  <c r="A408" i="697"/>
  <c r="A286" i="697"/>
  <c r="A278" i="697"/>
  <c r="A279" i="697"/>
  <c r="A280" i="697"/>
  <c r="A149" i="697"/>
  <c r="A261" i="697"/>
  <c r="A137" i="697"/>
  <c r="A220" i="697"/>
  <c r="A394" i="697"/>
  <c r="A305" i="697"/>
  <c r="A164" i="697"/>
  <c r="A138" i="697"/>
  <c r="A139" i="697"/>
  <c r="A186" i="697"/>
  <c r="A221" i="697"/>
  <c r="A281" i="697"/>
  <c r="A331" i="697"/>
  <c r="A262" i="697"/>
  <c r="A263" i="697"/>
  <c r="A306" i="697"/>
  <c r="A320" i="697"/>
  <c r="A332" i="697"/>
  <c r="A199" i="697"/>
  <c r="A373" i="697"/>
  <c r="A357" i="697"/>
  <c r="A282" i="697"/>
  <c r="A170" i="697"/>
  <c r="A165" i="697"/>
  <c r="A166" i="697"/>
  <c r="A167" i="697"/>
  <c r="A168" i="697"/>
  <c r="A169" i="697"/>
  <c r="A333" i="697"/>
  <c r="A374" i="697"/>
  <c r="A194" i="697"/>
  <c r="A201" i="697"/>
  <c r="A173" i="697"/>
  <c r="A200" i="697"/>
  <c r="A265" i="697"/>
  <c r="A266" i="697"/>
  <c r="A235" i="697"/>
  <c r="A192" i="697"/>
  <c r="A193" i="697"/>
  <c r="A187" i="697"/>
  <c r="A188" i="697"/>
  <c r="A189" i="697"/>
  <c r="A190" i="697"/>
  <c r="A191" i="697"/>
  <c r="A195" i="697"/>
  <c r="A215" i="697"/>
  <c r="A307" i="697"/>
  <c r="A179" i="697"/>
  <c r="A180" i="697"/>
  <c r="A313" i="697"/>
  <c r="A267" i="697"/>
  <c r="A268" i="697"/>
  <c r="A269" i="697"/>
  <c r="A222" i="697"/>
  <c r="A335" i="697"/>
  <c r="A376" i="697"/>
  <c r="A204" i="697"/>
  <c r="A334" i="697"/>
  <c r="A442" i="697"/>
  <c r="A202" i="697"/>
  <c r="A203" i="697"/>
  <c r="A301" i="697"/>
  <c r="A375" i="697"/>
  <c r="A223" i="697"/>
  <c r="A224" i="697"/>
  <c r="A225" i="697"/>
  <c r="A226" i="697"/>
  <c r="A205" i="697"/>
  <c r="A303" i="697"/>
  <c r="A336" i="697"/>
  <c r="A337" i="697"/>
  <c r="A308" i="697"/>
  <c r="A216" i="697"/>
  <c r="A212" i="697"/>
  <c r="A338" i="697"/>
  <c r="A530" i="697"/>
  <c r="A395" i="697"/>
  <c r="A217" i="697"/>
  <c r="A377" i="697"/>
  <c r="A218" i="697"/>
  <c r="A227" i="697"/>
  <c r="A297" i="697"/>
  <c r="A340" i="697"/>
  <c r="A339" i="697"/>
  <c r="A228" i="697"/>
  <c r="A298" i="697"/>
  <c r="A504" i="697"/>
  <c r="A242" i="697"/>
  <c r="A341" i="697"/>
  <c r="A314" i="697"/>
  <c r="A361" i="697"/>
  <c r="A342" i="697"/>
  <c r="A283" i="697"/>
  <c r="A531" i="697"/>
  <c r="A270" i="697"/>
  <c r="A271" i="697"/>
  <c r="A343" i="697"/>
  <c r="A315" i="697"/>
  <c r="A239" i="697"/>
  <c r="A344" i="697"/>
  <c r="A346" i="697"/>
  <c r="A345" i="697"/>
  <c r="A411" i="697"/>
  <c r="A378" i="697"/>
  <c r="A347" i="697"/>
  <c r="A379" i="697"/>
  <c r="A407" i="697"/>
  <c r="A362" i="697"/>
  <c r="A363" i="697"/>
  <c r="A243" i="697"/>
  <c r="A364" i="697"/>
  <c r="A406" i="697"/>
  <c r="A348" i="697"/>
  <c r="A380" i="697"/>
  <c r="A272" i="697"/>
  <c r="A246" i="697"/>
  <c r="A287" i="697"/>
  <c r="A365" i="697"/>
  <c r="A274" i="697"/>
  <c r="A247" i="697"/>
  <c r="A248" i="697"/>
  <c r="A249" i="697"/>
  <c r="A250" i="697"/>
  <c r="A251" i="697"/>
  <c r="A273" i="697"/>
  <c r="A291" i="697"/>
  <c r="A292" i="697"/>
  <c r="A422" i="697"/>
  <c r="A388" i="697"/>
  <c r="A302" i="697"/>
  <c r="A290" i="697"/>
  <c r="A316" i="697"/>
  <c r="A317" i="697"/>
  <c r="A288" i="697"/>
  <c r="A289" i="697"/>
  <c r="A293" i="697"/>
  <c r="A294" i="697"/>
  <c r="A264" i="697"/>
  <c r="A389" i="697"/>
  <c r="A460" i="697"/>
  <c r="A461" i="697"/>
  <c r="A462" i="697"/>
  <c r="A463" i="697"/>
  <c r="A464" i="697"/>
  <c r="A505" i="697"/>
  <c r="A669" i="697"/>
  <c r="A423" i="697"/>
  <c r="A396" i="697"/>
  <c r="A409" i="697"/>
  <c r="A381" i="697"/>
  <c r="A424" i="697"/>
  <c r="A382" i="697"/>
  <c r="A443" i="697"/>
  <c r="A506" i="697"/>
  <c r="A507" i="697"/>
  <c r="A524" i="697"/>
  <c r="A485" i="697"/>
  <c r="A296" i="697"/>
  <c r="A295" i="697"/>
  <c r="A523" i="697"/>
  <c r="A425" i="697"/>
  <c r="A410" i="697"/>
  <c r="A444" i="697"/>
  <c r="A352" i="697"/>
  <c r="A397" i="697"/>
  <c r="A299" i="697"/>
  <c r="A300" i="697"/>
  <c r="A383" i="697"/>
  <c r="A508" i="697"/>
  <c r="A509" i="697"/>
  <c r="A510" i="697"/>
  <c r="A384" i="697"/>
  <c r="A426" i="697"/>
  <c r="A532" i="697"/>
  <c r="A304" i="697"/>
  <c r="A614" i="697"/>
  <c r="A360" i="697"/>
  <c r="A427" i="697"/>
  <c r="A428" i="697"/>
  <c r="A309" i="697"/>
  <c r="A465" i="697"/>
  <c r="A466" i="697"/>
  <c r="A311" i="697"/>
  <c r="A543" i="697"/>
  <c r="A544" i="697"/>
  <c r="A310" i="697"/>
  <c r="A445" i="697"/>
  <c r="A413" i="697"/>
  <c r="A450" i="697"/>
  <c r="A487" i="697"/>
  <c r="A318" i="697"/>
  <c r="A319" i="697"/>
  <c r="A518" i="697"/>
  <c r="A519" i="697"/>
  <c r="A451" i="697"/>
  <c r="A452" i="697"/>
  <c r="A429" i="697"/>
  <c r="A467" i="697"/>
  <c r="A468" i="697"/>
  <c r="A390" i="697"/>
  <c r="A326" i="697"/>
  <c r="A321" i="697"/>
  <c r="A322" i="697"/>
  <c r="A323" i="697"/>
  <c r="A324" i="697"/>
  <c r="A325" i="697"/>
  <c r="A391" i="697"/>
  <c r="A355" i="697"/>
  <c r="A386" i="697"/>
  <c r="A670" i="697"/>
  <c r="A327" i="697"/>
  <c r="A328" i="697"/>
  <c r="A385" i="697"/>
  <c r="A400" i="697"/>
  <c r="A401" i="697"/>
  <c r="A329" i="697"/>
  <c r="A353" i="697"/>
  <c r="A354" i="697"/>
  <c r="A469" i="697"/>
  <c r="A358" i="697"/>
  <c r="A520" i="697"/>
  <c r="A430" i="697"/>
  <c r="A367" i="697"/>
  <c r="A453" i="697"/>
  <c r="A623" i="697"/>
  <c r="A546" i="697"/>
  <c r="A624" i="697"/>
  <c r="A625" i="697"/>
  <c r="A431" i="697"/>
  <c r="A350" i="697"/>
  <c r="A446" i="697"/>
  <c r="A414" i="697"/>
  <c r="A432" i="697"/>
  <c r="A454" i="697"/>
  <c r="A351" i="697"/>
  <c r="A455" i="697"/>
  <c r="A488" i="697"/>
  <c r="A502" i="697"/>
  <c r="A370" i="697"/>
  <c r="A369" i="697"/>
  <c r="A470" i="697"/>
  <c r="A402" i="697"/>
  <c r="A356" i="697"/>
  <c r="A371" i="697"/>
  <c r="A489" i="697"/>
  <c r="A626" i="697"/>
  <c r="A627" i="697"/>
  <c r="A490" i="697"/>
  <c r="A359" i="697"/>
  <c r="A471" i="697"/>
  <c r="A368" i="697"/>
  <c r="A525" i="697"/>
  <c r="A472" i="697"/>
  <c r="A366" i="697"/>
  <c r="A491" i="697"/>
  <c r="A492" i="697"/>
  <c r="A433" i="697"/>
  <c r="A473" i="697"/>
  <c r="A493" i="697"/>
  <c r="A372" i="697"/>
  <c r="A526" i="697"/>
  <c r="A387" i="697"/>
  <c r="A474" i="697"/>
  <c r="A475" i="697"/>
  <c r="A476" i="697"/>
  <c r="A477" i="697"/>
  <c r="A398" i="697"/>
  <c r="A434" i="697"/>
  <c r="A628" i="697"/>
  <c r="A527" i="697"/>
  <c r="A545" i="697"/>
  <c r="A392" i="697"/>
  <c r="A435" i="697"/>
  <c r="A436" i="697"/>
  <c r="A393" i="697"/>
  <c r="A404" i="697"/>
  <c r="A403" i="697"/>
  <c r="A511" i="697"/>
  <c r="A512" i="697"/>
  <c r="A513" i="697"/>
  <c r="A514" i="697"/>
  <c r="A671" i="697"/>
  <c r="A478" i="697"/>
  <c r="A494" i="697"/>
  <c r="A629" i="697"/>
  <c r="A584" i="697"/>
  <c r="A405" i="697"/>
  <c r="A538" i="697"/>
  <c r="A539" i="697"/>
  <c r="A528" i="697"/>
  <c r="A554" i="697"/>
  <c r="A555" i="697"/>
  <c r="A412" i="697"/>
  <c r="A637" i="697"/>
  <c r="A415" i="697"/>
  <c r="A479" i="697"/>
  <c r="A480" i="697"/>
  <c r="A615" i="697"/>
  <c r="A592" i="697"/>
  <c r="A441" i="697"/>
  <c r="A662" i="697"/>
  <c r="A449" i="697"/>
  <c r="A416" i="697"/>
  <c r="A417" i="697"/>
  <c r="A418" i="697"/>
  <c r="A419" i="697"/>
  <c r="A420" i="697"/>
  <c r="A421" i="697"/>
  <c r="A486" i="697"/>
  <c r="A498" i="697"/>
  <c r="A499" i="697"/>
  <c r="A447" i="697"/>
  <c r="A448" i="697"/>
  <c r="A457" i="697"/>
  <c r="A481" i="697"/>
  <c r="A515" i="697"/>
  <c r="A673" i="697"/>
  <c r="A439" i="697"/>
  <c r="A672" i="697"/>
  <c r="A616" i="697"/>
  <c r="A617" i="697"/>
  <c r="A529" i="697"/>
  <c r="A437" i="697"/>
  <c r="A438" i="697"/>
  <c r="A547" i="697"/>
  <c r="A548" i="697"/>
  <c r="A714" i="697"/>
  <c r="A674" i="697"/>
  <c r="A440" i="697"/>
  <c r="A500" i="697"/>
  <c r="A715" i="697"/>
  <c r="A716" i="697"/>
  <c r="A657" i="697"/>
  <c r="A638" i="697"/>
  <c r="A456" i="697"/>
  <c r="A639" i="697"/>
  <c r="A593" i="697"/>
  <c r="A675" i="697"/>
  <c r="A556" i="697"/>
  <c r="A594" i="697"/>
  <c r="A459" i="697"/>
  <c r="A458" i="697"/>
  <c r="A645" i="697"/>
  <c r="A482" i="697"/>
  <c r="A676" i="697"/>
  <c r="A677" i="697"/>
  <c r="A483" i="697"/>
  <c r="A663" i="697"/>
  <c r="A678" i="697"/>
  <c r="A557" i="697"/>
  <c r="A558" i="697"/>
  <c r="A559" i="697"/>
  <c r="A560" i="697"/>
  <c r="A679" i="697"/>
  <c r="A595" i="697"/>
  <c r="A484" i="697"/>
  <c r="A495" i="697"/>
  <c r="A561" i="697"/>
  <c r="A562" i="697"/>
  <c r="A563" i="697"/>
  <c r="A564" i="697"/>
  <c r="A731" i="697"/>
  <c r="A658" i="697"/>
  <c r="A590" i="697"/>
  <c r="A497" i="697"/>
  <c r="A496" i="697"/>
  <c r="A516" i="697"/>
  <c r="A517" i="697"/>
  <c r="A618" i="697"/>
  <c r="A619" i="697"/>
  <c r="A680" i="697"/>
  <c r="A501" i="697"/>
  <c r="A503" i="697"/>
  <c r="A620" i="697"/>
  <c r="A596" i="697"/>
  <c r="A701" i="697"/>
  <c r="A664" i="697"/>
  <c r="A659" i="697"/>
  <c r="A681" i="697"/>
  <c r="A565" i="697"/>
  <c r="A566" i="697"/>
  <c r="A567" i="697"/>
  <c r="A568" i="697"/>
  <c r="A621" i="697"/>
  <c r="A702" i="697"/>
  <c r="A732" i="697"/>
  <c r="A751" i="697"/>
  <c r="A717" i="697"/>
  <c r="A646" i="697"/>
  <c r="A521" i="697"/>
  <c r="A682" i="697"/>
  <c r="A522" i="697"/>
  <c r="A533" i="697"/>
  <c r="A551" i="697"/>
  <c r="A577" i="697"/>
  <c r="A610" i="697"/>
  <c r="A752" i="697"/>
  <c r="A534" i="697"/>
  <c r="A581" i="697"/>
  <c r="A587" i="697"/>
  <c r="A588" i="697"/>
  <c r="A660" i="697"/>
  <c r="A718" i="697"/>
  <c r="A549" i="697"/>
  <c r="A550" i="697"/>
  <c r="A552" i="697"/>
  <c r="A753" i="697"/>
  <c r="A782" i="697"/>
  <c r="A536" i="697"/>
  <c r="A683" i="697"/>
  <c r="A866" i="697"/>
  <c r="A578" i="697"/>
  <c r="A535" i="697"/>
  <c r="A684" i="697"/>
  <c r="A754" i="697"/>
  <c r="A537" i="697"/>
  <c r="A540" i="697"/>
  <c r="A755" i="697"/>
  <c r="A685" i="697"/>
  <c r="A686" i="697"/>
  <c r="A705" i="697"/>
  <c r="A541" i="697"/>
  <c r="A542" i="697"/>
  <c r="A687" i="697"/>
  <c r="A733" i="697"/>
  <c r="A836" i="697"/>
  <c r="A756" i="697"/>
  <c r="A569" i="697"/>
  <c r="A706" i="697"/>
  <c r="A707" i="697"/>
  <c r="A734" i="697"/>
  <c r="A735" i="697"/>
  <c r="A580" i="697"/>
  <c r="A585" i="697"/>
  <c r="A630" i="697"/>
  <c r="A553" i="697"/>
  <c r="A749" i="697"/>
  <c r="A688" i="697"/>
  <c r="A837" i="697"/>
  <c r="A634" i="697"/>
  <c r="A757" i="697"/>
  <c r="A783" i="697"/>
  <c r="A689" i="697"/>
  <c r="A576" i="697"/>
  <c r="A758" i="697"/>
  <c r="A759" i="697"/>
  <c r="A760" i="697"/>
  <c r="A690" i="697"/>
  <c r="A579" i="697"/>
  <c r="A784" i="697"/>
  <c r="A838" i="697"/>
  <c r="A761" i="697"/>
  <c r="A811" i="697"/>
  <c r="A691" i="697"/>
  <c r="A815" i="697"/>
  <c r="A889" i="697"/>
  <c r="A582" i="697"/>
  <c r="A665" i="697"/>
  <c r="A583" i="697"/>
  <c r="A586" i="697"/>
  <c r="A692" i="697"/>
  <c r="A719" i="697"/>
  <c r="A661" i="697"/>
  <c r="A762" i="697"/>
  <c r="A763" i="697"/>
  <c r="A611" i="697"/>
  <c r="A816" i="697"/>
  <c r="A720" i="697"/>
  <c r="A693" i="697"/>
  <c r="A589" i="697"/>
  <c r="A839" i="697"/>
  <c r="A591" i="697"/>
  <c r="A721" i="697"/>
  <c r="A597" i="697"/>
  <c r="A598" i="697"/>
  <c r="A764" i="697"/>
  <c r="A694" i="697"/>
  <c r="A840" i="697"/>
  <c r="A793" i="697"/>
  <c r="A765" i="697"/>
  <c r="A601" i="697"/>
  <c r="A695" i="697"/>
  <c r="A599" i="697"/>
  <c r="A600" i="697"/>
  <c r="A812" i="697"/>
  <c r="A785" i="697"/>
  <c r="A722" i="697"/>
  <c r="A602" i="697"/>
  <c r="A603" i="697"/>
  <c r="A604" i="697"/>
  <c r="A605" i="697"/>
  <c r="A606" i="697"/>
  <c r="A607" i="697"/>
  <c r="A608" i="697"/>
  <c r="A609" i="697"/>
  <c r="A742" i="697"/>
  <c r="A738" i="697"/>
  <c r="A739" i="697"/>
  <c r="A740" i="697"/>
  <c r="A741" i="697"/>
  <c r="A766" i="697"/>
  <c r="A923" i="697"/>
  <c r="A902" i="697"/>
  <c r="A654" i="697"/>
  <c r="A723" i="697"/>
  <c r="A650" i="697"/>
  <c r="A854" i="697"/>
  <c r="A649" i="697"/>
  <c r="A696" i="697"/>
  <c r="A697" i="697"/>
  <c r="A647" i="697"/>
  <c r="A648" i="697"/>
  <c r="A698" i="697"/>
  <c r="A612" i="697"/>
  <c r="A613" i="697"/>
  <c r="A651" i="697"/>
  <c r="A767" i="697"/>
  <c r="A769" i="697"/>
  <c r="A631" i="697"/>
  <c r="A743" i="697"/>
  <c r="A622" i="697"/>
  <c r="A841" i="697"/>
  <c r="A768" i="697"/>
  <c r="A632" i="697"/>
  <c r="A633" i="697"/>
  <c r="A770" i="697"/>
  <c r="A640" i="697"/>
  <c r="A744" i="697"/>
  <c r="A890" i="697"/>
  <c r="A867" i="697"/>
  <c r="A855" i="697"/>
  <c r="A635" i="697"/>
  <c r="A891" i="697"/>
  <c r="A699" i="697"/>
  <c r="A903" i="697"/>
  <c r="A773" i="697"/>
  <c r="A636" i="697"/>
  <c r="A641" i="697"/>
  <c r="A652" i="697"/>
  <c r="A642" i="697"/>
  <c r="A643" i="697"/>
  <c r="A868" i="697"/>
  <c r="A892" i="697"/>
  <c r="A856" i="697"/>
  <c r="A842" i="697"/>
  <c r="A893" i="697"/>
  <c r="A843" i="697"/>
  <c r="A644" i="697"/>
  <c r="A799" i="697"/>
  <c r="A844" i="697"/>
  <c r="A857" i="697"/>
  <c r="A653" i="697"/>
  <c r="A655" i="697"/>
  <c r="A858" i="697"/>
  <c r="A656" i="697"/>
  <c r="A745" i="697"/>
  <c r="A746" i="697"/>
  <c r="A666" i="697"/>
  <c r="A859" i="697"/>
  <c r="A747" i="697"/>
  <c r="A924" i="697"/>
  <c r="A925" i="697"/>
  <c r="A926" i="697"/>
  <c r="A869" i="697"/>
  <c r="A667" i="697"/>
  <c r="A750" i="697"/>
  <c r="A668" i="697"/>
  <c r="A845" i="697"/>
  <c r="A1029" i="697"/>
  <c r="A700" i="697"/>
  <c r="A703" i="697"/>
  <c r="A704" i="697"/>
  <c r="A927" i="697"/>
  <c r="A928" i="697"/>
  <c r="A879" i="697"/>
  <c r="A846" i="697"/>
  <c r="A929" i="697"/>
  <c r="A861" i="697"/>
  <c r="A794" i="697"/>
  <c r="A860" i="697"/>
  <c r="A930" i="697"/>
  <c r="A894" i="697"/>
  <c r="A870" i="697"/>
  <c r="A862" i="697"/>
  <c r="A931" i="697"/>
  <c r="A932" i="697"/>
  <c r="A933" i="697"/>
  <c r="A708" i="697"/>
  <c r="A709" i="697"/>
  <c r="A710" i="697"/>
  <c r="A711" i="697"/>
  <c r="A712" i="697"/>
  <c r="A713" i="697"/>
  <c r="A787" i="697"/>
  <c r="A788" i="697"/>
  <c r="A952" i="697"/>
  <c r="A786" i="697"/>
  <c r="A809" i="697"/>
  <c r="A810" i="697"/>
  <c r="A736" i="697"/>
  <c r="A748" i="697"/>
  <c r="A774" i="697"/>
  <c r="A775" i="697"/>
  <c r="A776" i="697"/>
  <c r="A789" i="697"/>
  <c r="A934" i="697"/>
  <c r="A724" i="697"/>
  <c r="A725" i="697"/>
  <c r="A726" i="697"/>
  <c r="A727" i="697"/>
  <c r="A790" i="697"/>
  <c r="A1021" i="697"/>
  <c r="A728" i="697"/>
  <c r="A729" i="697"/>
  <c r="A730" i="697"/>
  <c r="A953" i="697"/>
  <c r="A871" i="697"/>
  <c r="A817" i="697"/>
  <c r="A737" i="697"/>
  <c r="A1084" i="697"/>
  <c r="A880" i="697"/>
  <c r="A863" i="697"/>
  <c r="A570" i="697"/>
  <c r="A571" i="697"/>
  <c r="A572" i="697"/>
  <c r="A573" i="697"/>
  <c r="A574" i="697"/>
  <c r="A575" i="697"/>
  <c r="A771" i="697"/>
  <c r="A772" i="697"/>
  <c r="A954" i="697"/>
  <c r="A955" i="697"/>
  <c r="A982" i="697"/>
  <c r="A777" i="697"/>
  <c r="A956" i="697"/>
  <c r="A981" i="697"/>
  <c r="A980" i="697"/>
  <c r="A983" i="697"/>
  <c r="A904" i="697"/>
  <c r="A984" i="697"/>
  <c r="A912" i="697"/>
  <c r="A913" i="697"/>
  <c r="A778" i="697"/>
  <c r="A957" i="697"/>
  <c r="A881" i="697"/>
  <c r="A779" i="697"/>
  <c r="A780" i="697"/>
  <c r="A905" i="697"/>
  <c r="A985" i="697"/>
  <c r="A781" i="697"/>
  <c r="A906" i="697"/>
  <c r="A948" i="697"/>
  <c r="A935" i="697"/>
  <c r="A936" i="697"/>
  <c r="A791" i="697"/>
  <c r="A795" i="697"/>
  <c r="A937" i="697"/>
  <c r="A986" i="697"/>
  <c r="A895" i="697"/>
  <c r="A896" i="697"/>
  <c r="A914" i="697"/>
  <c r="A958" i="697"/>
  <c r="A792" i="697"/>
  <c r="A987" i="697"/>
  <c r="A801" i="697"/>
  <c r="A989" i="697"/>
  <c r="A959" i="697"/>
  <c r="A800" i="697"/>
  <c r="A796" i="697"/>
  <c r="A988" i="697"/>
  <c r="A797" i="697"/>
  <c r="A798" i="697"/>
  <c r="A802" i="697"/>
  <c r="A990" i="697"/>
  <c r="A803" i="697"/>
  <c r="A804" i="697"/>
  <c r="A805" i="697"/>
  <c r="A806" i="697"/>
  <c r="A807" i="697"/>
  <c r="A808" i="697"/>
  <c r="A1022" i="697"/>
  <c r="A1005" i="697"/>
  <c r="A814" i="697"/>
  <c r="A813" i="697"/>
  <c r="A991" i="697"/>
  <c r="A993" i="697"/>
  <c r="A992" i="697"/>
  <c r="A818" i="697"/>
  <c r="A938" i="697"/>
  <c r="A819" i="697"/>
  <c r="A820" i="697"/>
  <c r="A823" i="697"/>
  <c r="A824" i="697"/>
  <c r="A825" i="697"/>
  <c r="A826" i="697"/>
  <c r="A827" i="697"/>
  <c r="A828" i="697"/>
  <c r="A939" i="697"/>
  <c r="A821" i="697"/>
  <c r="A822" i="697"/>
  <c r="A918" i="697"/>
  <c r="A898" i="697"/>
  <c r="A829" i="697"/>
  <c r="A830" i="697"/>
  <c r="A847" i="697"/>
  <c r="A831" i="697"/>
  <c r="A832" i="697"/>
  <c r="A833" i="697"/>
  <c r="A1000" i="697"/>
  <c r="A960" i="697"/>
  <c r="A834" i="697"/>
  <c r="A1030" i="697"/>
  <c r="A877" i="697"/>
  <c r="A897" i="697"/>
  <c r="A916" i="697"/>
  <c r="A917" i="697"/>
  <c r="A852" i="697"/>
  <c r="A872" i="697"/>
  <c r="A886" i="697"/>
  <c r="A848" i="697"/>
  <c r="A915" i="697"/>
  <c r="A1143" i="697"/>
  <c r="A875" i="697"/>
  <c r="A876" i="697"/>
  <c r="A878" i="697"/>
  <c r="A994" i="697"/>
  <c r="A850" i="697"/>
  <c r="A849" i="697"/>
  <c r="A1002" i="697"/>
  <c r="A899" i="697"/>
  <c r="A1001" i="697"/>
  <c r="A1006" i="697"/>
  <c r="A851" i="697"/>
  <c r="A940" i="697"/>
  <c r="A941" i="697"/>
  <c r="A1007" i="697"/>
  <c r="A995" i="697"/>
  <c r="A1212" i="697"/>
  <c r="A853" i="697"/>
  <c r="A1023" i="697"/>
  <c r="A1008" i="697"/>
  <c r="A1044" i="697"/>
  <c r="A864" i="697"/>
  <c r="A865" i="697"/>
  <c r="A942" i="697"/>
  <c r="A1024" i="697"/>
  <c r="A873" i="697"/>
  <c r="A943" i="697"/>
  <c r="A1045" i="697"/>
  <c r="A1046" i="697"/>
  <c r="A1047" i="697"/>
  <c r="A874" i="697"/>
  <c r="A1025" i="697"/>
  <c r="A1031" i="697"/>
  <c r="A1048" i="697"/>
  <c r="A882" i="697"/>
  <c r="A883" i="697"/>
  <c r="A884" i="697"/>
  <c r="A885" i="697"/>
  <c r="A1049" i="697"/>
  <c r="A1050" i="697"/>
  <c r="A900" i="697"/>
  <c r="A887" i="697"/>
  <c r="A888" i="697"/>
  <c r="A1091" i="697"/>
  <c r="A1068" i="697"/>
  <c r="A1075" i="697"/>
  <c r="A901" i="697"/>
  <c r="A1096" i="697"/>
  <c r="A907" i="697"/>
  <c r="A908" i="697"/>
  <c r="A909" i="697"/>
  <c r="A910" i="697"/>
  <c r="A911" i="697"/>
  <c r="A1168" i="697"/>
  <c r="A944" i="697"/>
  <c r="A1097" i="697"/>
  <c r="A1069" i="697"/>
  <c r="A1051" i="697"/>
  <c r="A922" i="697"/>
  <c r="A919" i="697"/>
  <c r="A920" i="697"/>
  <c r="A921" i="697"/>
  <c r="A1076" i="697"/>
  <c r="A945" i="697"/>
  <c r="A1162" i="697"/>
  <c r="A1169" i="697"/>
  <c r="A1083" i="697"/>
  <c r="A946" i="697"/>
  <c r="A1082" i="697"/>
  <c r="A1131" i="697"/>
  <c r="A1077" i="697"/>
  <c r="A1052" i="697"/>
  <c r="A1098" i="697"/>
  <c r="A1070" i="697"/>
  <c r="A1085" i="697"/>
  <c r="A947" i="697"/>
  <c r="A9" i="697"/>
  <c r="A1032" i="697"/>
  <c r="A1053" i="697"/>
  <c r="A949" i="697"/>
  <c r="A950" i="697"/>
  <c r="A1092" i="697"/>
  <c r="A1099" i="697"/>
  <c r="A1130" i="697"/>
  <c r="A1078" i="697"/>
  <c r="A951" i="697"/>
  <c r="A1037" i="697"/>
  <c r="A1071" i="697"/>
  <c r="A1100" i="697"/>
  <c r="A1086" i="697"/>
  <c r="A1089" i="697"/>
  <c r="A1101" i="697"/>
  <c r="A1087" i="697"/>
  <c r="A1238" i="697"/>
  <c r="A1088" i="697"/>
  <c r="A1009" i="697"/>
  <c r="A972" i="697"/>
  <c r="A1054" i="697"/>
  <c r="A1033" i="697"/>
  <c r="A1102" i="697"/>
  <c r="A1010" i="697"/>
  <c r="A961" i="697"/>
  <c r="A962" i="697"/>
  <c r="A963" i="697"/>
  <c r="A964" i="697"/>
  <c r="A965" i="697"/>
  <c r="A966" i="697"/>
  <c r="A967" i="697"/>
  <c r="A968" i="697"/>
  <c r="A969" i="697"/>
  <c r="A970" i="697"/>
  <c r="A971" i="697"/>
  <c r="A1055" i="697"/>
  <c r="A1056" i="697"/>
  <c r="A1057" i="697"/>
  <c r="A1058" i="697"/>
  <c r="A1059" i="697"/>
  <c r="A1060" i="697"/>
  <c r="A1017" i="697"/>
  <c r="A1190" i="697"/>
  <c r="A1018" i="697"/>
  <c r="A973" i="697"/>
  <c r="A974" i="697"/>
  <c r="A1124" i="697"/>
  <c r="A996" i="697"/>
  <c r="A1118" i="697"/>
  <c r="A1013" i="697"/>
  <c r="A1189" i="697"/>
  <c r="A1014" i="697"/>
  <c r="A975" i="697"/>
  <c r="A1015" i="697"/>
  <c r="A1016" i="697"/>
  <c r="A976" i="697"/>
  <c r="A1040" i="697"/>
  <c r="A977" i="697"/>
  <c r="A1093" i="697"/>
  <c r="A1112" i="697"/>
  <c r="A1011" i="697"/>
  <c r="A1103" i="697"/>
  <c r="A1012" i="697"/>
  <c r="A1019" i="697"/>
  <c r="A978" i="697"/>
  <c r="A1213" i="697"/>
  <c r="A1061" i="697"/>
  <c r="A1104" i="697"/>
  <c r="A1320" i="697"/>
  <c r="A1293" i="697"/>
  <c r="A1191" i="697"/>
  <c r="A1206" i="697"/>
  <c r="A1289" i="697"/>
  <c r="A1253" i="697"/>
  <c r="A1321" i="697"/>
  <c r="A1239" i="697"/>
  <c r="A1157" i="697"/>
  <c r="A997" i="697"/>
  <c r="A998" i="697"/>
  <c r="A999" i="697"/>
  <c r="A1604" i="697"/>
  <c r="A1158" i="697"/>
  <c r="A1132" i="697"/>
  <c r="A1003" i="697"/>
  <c r="A1062" i="697"/>
  <c r="A1063" i="697"/>
  <c r="A1004" i="697"/>
  <c r="A1170" i="697"/>
  <c r="A1020" i="697"/>
  <c r="A1270" i="697"/>
  <c r="A1271" i="697"/>
  <c r="A1176" i="697"/>
  <c r="A1294" i="697"/>
  <c r="A1034" i="697"/>
  <c r="A1163" i="697"/>
  <c r="A1026" i="697"/>
  <c r="A1027" i="697"/>
  <c r="A1028" i="697"/>
  <c r="A1252" i="697"/>
  <c r="A1133" i="697"/>
  <c r="A1177" i="697"/>
  <c r="A1036" i="697"/>
  <c r="A1035" i="697"/>
  <c r="A1248" i="697"/>
  <c r="A1171" i="697"/>
  <c r="A1192" i="697"/>
  <c r="A1038" i="697"/>
  <c r="A1079" i="697"/>
  <c r="A1178" i="697"/>
  <c r="A1039" i="697"/>
  <c r="A1229" i="697"/>
  <c r="A1179" i="697"/>
  <c r="A1113" i="697"/>
  <c r="A1080" i="697"/>
  <c r="A1180" i="697"/>
  <c r="A1295" i="697"/>
  <c r="A1041" i="697"/>
  <c r="A1214" i="697"/>
  <c r="A1042" i="697"/>
  <c r="A1043" i="697"/>
  <c r="A1072" i="697"/>
  <c r="A1066" i="697"/>
  <c r="A1067" i="697"/>
  <c r="A1372" i="697"/>
  <c r="A1065" i="697"/>
  <c r="A1296" i="697"/>
  <c r="A1064" i="697"/>
  <c r="A1144" i="697"/>
  <c r="A1182" i="697"/>
  <c r="A1183" i="697"/>
  <c r="A1203" i="697"/>
  <c r="A1073" i="697"/>
  <c r="A1074" i="697"/>
  <c r="A1081" i="697"/>
  <c r="A1181" i="697"/>
  <c r="A1090" i="697"/>
  <c r="A1322" i="697"/>
  <c r="A1184" i="697"/>
  <c r="A1228" i="697"/>
  <c r="A1272" i="697"/>
  <c r="A1193" i="697"/>
  <c r="A1094" i="697"/>
  <c r="A1323" i="697"/>
  <c r="A1290" i="697"/>
  <c r="A1216" i="697"/>
  <c r="A1240" i="697"/>
  <c r="A1105" i="697"/>
  <c r="A1095" i="697"/>
  <c r="A1215" i="697"/>
  <c r="A1230" i="697"/>
  <c r="A979" i="697"/>
  <c r="A1106" i="697"/>
  <c r="A1107" i="697"/>
  <c r="A1273" i="697"/>
  <c r="A1108" i="697"/>
  <c r="A1297" i="697"/>
  <c r="A1110" i="697"/>
  <c r="A1138" i="697"/>
  <c r="A1109" i="697"/>
  <c r="A1111" i="697"/>
  <c r="A1126" i="697"/>
  <c r="A1145" i="697"/>
  <c r="A1150" i="697"/>
  <c r="A1134" i="697"/>
  <c r="A1274" i="697"/>
  <c r="A1275" i="697"/>
  <c r="A1146" i="697"/>
  <c r="A1147" i="697"/>
  <c r="A1148" i="697"/>
  <c r="A1149" i="697"/>
  <c r="A1151" i="697"/>
  <c r="A1114" i="697"/>
  <c r="A1135" i="697"/>
  <c r="A1125" i="697"/>
  <c r="A1127" i="697"/>
  <c r="A1266" i="697"/>
  <c r="A1115" i="697"/>
  <c r="A1116" i="697"/>
  <c r="A1117" i="697"/>
  <c r="A1152" i="697"/>
  <c r="A1241" i="697"/>
  <c r="A1120" i="697"/>
  <c r="A1119" i="697"/>
  <c r="A1217" i="697"/>
  <c r="A1121" i="697"/>
  <c r="A1122" i="697"/>
  <c r="A1123" i="697"/>
  <c r="A1194" i="697"/>
  <c r="A1128" i="697"/>
  <c r="A1129" i="697"/>
  <c r="A1174" i="697"/>
  <c r="A1136" i="697"/>
  <c r="A1235" i="697"/>
  <c r="A1326" i="697"/>
  <c r="A1207" i="697"/>
  <c r="A1254" i="697"/>
  <c r="A1137" i="697"/>
  <c r="A1365" i="697"/>
  <c r="A1327" i="697"/>
  <c r="A1139" i="697"/>
  <c r="A1140" i="697"/>
  <c r="A1141" i="697"/>
  <c r="A1160" i="697"/>
  <c r="A1153" i="697"/>
  <c r="A1142" i="697"/>
  <c r="A1159" i="697"/>
  <c r="A1154" i="697"/>
  <c r="A1155" i="697"/>
  <c r="A1156" i="697"/>
  <c r="A1366" i="697"/>
  <c r="A1185" i="697"/>
  <c r="A1161" i="697"/>
  <c r="A1334" i="697"/>
  <c r="A1255" i="697"/>
  <c r="A1298" i="697"/>
  <c r="A1267" i="697"/>
  <c r="A1195" i="697"/>
  <c r="A1196" i="697"/>
  <c r="A1268" i="697"/>
  <c r="A1164" i="697"/>
  <c r="A1335" i="697"/>
  <c r="A1328" i="697"/>
  <c r="A1165" i="697"/>
  <c r="A1166" i="697"/>
  <c r="A1276" i="697"/>
  <c r="A1277" i="697"/>
  <c r="A1256" i="697"/>
  <c r="A1172" i="697"/>
  <c r="A1330" i="697"/>
  <c r="A1324" i="697"/>
  <c r="A1299" i="697"/>
  <c r="A1586" i="697"/>
  <c r="A1175" i="697"/>
  <c r="A1173" i="697"/>
  <c r="A1329" i="697"/>
  <c r="A1300" i="697"/>
  <c r="A1367" i="697"/>
  <c r="A1368" i="697"/>
  <c r="A1378" i="697"/>
  <c r="A1377" i="697"/>
  <c r="A1301" i="697"/>
  <c r="A1331" i="697"/>
  <c r="A1186" i="697"/>
  <c r="A1187" i="697"/>
  <c r="A1357" i="697"/>
  <c r="A1369" i="697"/>
  <c r="A1439" i="697"/>
  <c r="A1302" i="697"/>
  <c r="A1188" i="697"/>
  <c r="A1278" i="697"/>
  <c r="A1358" i="697"/>
  <c r="A1197" i="697"/>
  <c r="A1198" i="697"/>
  <c r="A1199" i="697"/>
  <c r="A1200" i="697"/>
  <c r="A1201" i="697"/>
  <c r="A1202" i="697"/>
  <c r="A1208" i="697"/>
  <c r="A1242" i="697"/>
  <c r="A1359" i="697"/>
  <c r="A1222" i="697"/>
  <c r="A1223" i="697"/>
  <c r="A1204" i="697"/>
  <c r="A1167" i="697"/>
  <c r="A1220" i="697"/>
  <c r="A1221" i="697"/>
  <c r="A1257" i="697"/>
  <c r="A1205" i="697"/>
  <c r="A1218" i="697"/>
  <c r="A1224" i="697"/>
  <c r="A1219" i="697"/>
  <c r="A1209" i="697"/>
  <c r="A1337" i="697"/>
  <c r="A1338" i="697"/>
  <c r="A1339" i="697"/>
  <c r="A1340" i="697"/>
  <c r="A1373" i="697"/>
  <c r="A1258" i="697"/>
  <c r="A1336" i="697"/>
  <c r="A1210" i="697"/>
  <c r="A1211" i="697"/>
  <c r="A1225" i="697"/>
  <c r="A1226" i="697"/>
  <c r="A1285" i="697"/>
  <c r="A1259" i="697"/>
  <c r="A1227" i="697"/>
  <c r="A1477" i="697"/>
  <c r="A1379" i="697"/>
  <c r="A1303" i="697"/>
  <c r="A1345" i="697"/>
  <c r="A1360" i="697"/>
  <c r="A1440" i="697"/>
  <c r="A1394" i="697"/>
  <c r="A1344" i="697"/>
  <c r="A1231" i="697"/>
  <c r="A1361" i="697"/>
  <c r="A1269" i="697"/>
  <c r="A1232" i="697"/>
  <c r="A1233" i="697"/>
  <c r="A1423" i="697"/>
  <c r="A1325" i="697"/>
  <c r="A1243" i="697"/>
  <c r="A1492" i="697"/>
  <c r="A1234" i="697"/>
  <c r="A1380" i="697"/>
  <c r="A1496" i="697"/>
  <c r="A1249" i="697"/>
  <c r="A1363" i="697"/>
  <c r="A1236" i="697"/>
  <c r="A1237" i="697"/>
  <c r="A1464" i="697"/>
  <c r="A1374" i="697"/>
  <c r="A1247" i="697"/>
  <c r="A1245" i="697"/>
  <c r="A1244" i="697"/>
  <c r="A1410" i="697"/>
  <c r="A1411" i="697"/>
  <c r="A1370" i="697"/>
  <c r="A1417" i="697"/>
  <c r="A1381" i="697"/>
  <c r="A1246" i="697"/>
  <c r="A1250" i="697"/>
  <c r="A1251" i="697"/>
  <c r="A1432" i="697"/>
  <c r="A1375" i="697"/>
  <c r="A1382" i="697"/>
  <c r="A1260" i="697"/>
  <c r="A1279" i="697"/>
  <c r="A1280" i="697"/>
  <c r="A1281" i="697"/>
  <c r="A1282" i="697"/>
  <c r="A1283" i="697"/>
  <c r="A1433" i="697"/>
  <c r="A1434" i="697"/>
  <c r="A1261" i="697"/>
  <c r="A1264" i="697"/>
  <c r="A1262" i="697"/>
  <c r="A1263" i="697"/>
  <c r="A1383" i="697"/>
  <c r="A1265" i="697"/>
  <c r="A1579" i="697"/>
  <c r="A1395" i="697"/>
  <c r="A1441" i="697"/>
  <c r="A1305" i="697"/>
  <c r="A1286" i="697"/>
  <c r="A1306" i="697"/>
  <c r="A1451" i="697"/>
  <c r="A1455" i="697"/>
  <c r="A1319" i="697"/>
  <c r="A1435" i="697"/>
  <c r="A1284" i="697"/>
  <c r="A1287" i="697"/>
  <c r="A1442" i="697"/>
  <c r="A1412" i="697"/>
  <c r="A1396" i="697"/>
  <c r="A1288" i="697"/>
  <c r="A1397" i="697"/>
  <c r="A1514" i="697"/>
  <c r="A1413" i="697"/>
  <c r="A1388" i="697"/>
  <c r="A1291" i="697"/>
  <c r="A1493" i="697"/>
  <c r="A1497" i="697"/>
  <c r="A1389" i="697"/>
  <c r="A1304" i="697"/>
  <c r="A1398" i="697"/>
  <c r="A1418" i="697"/>
  <c r="A1317" i="697"/>
  <c r="A1307" i="697"/>
  <c r="A1308" i="697"/>
  <c r="A1309" i="697"/>
  <c r="A1310" i="697"/>
  <c r="A1311" i="697"/>
  <c r="A1312" i="697"/>
  <c r="A1313" i="697"/>
  <c r="A1314" i="697"/>
  <c r="A1315" i="697"/>
  <c r="A1316" i="697"/>
  <c r="A1399" i="697"/>
  <c r="A1414" i="697"/>
  <c r="A1352" i="697"/>
  <c r="A1349" i="697"/>
  <c r="A1465" i="697"/>
  <c r="A1347" i="697"/>
  <c r="A1353" i="697"/>
  <c r="A1348" i="697"/>
  <c r="A1400" i="697"/>
  <c r="A1401" i="697"/>
  <c r="A1350" i="697"/>
  <c r="A1351" i="697"/>
  <c r="A1386" i="697"/>
  <c r="A1318" i="697"/>
  <c r="A1346" i="697"/>
  <c r="A1354" i="697"/>
  <c r="A1429" i="697"/>
  <c r="A1478" i="697"/>
  <c r="A1580" i="697"/>
  <c r="A1578" i="697"/>
  <c r="A1355" i="697"/>
  <c r="A1332" i="697"/>
  <c r="A1333" i="697"/>
  <c r="A1581" i="697"/>
  <c r="A1479" i="697"/>
  <c r="A1473" i="697"/>
  <c r="A1515" i="697"/>
  <c r="A1342" i="697"/>
  <c r="A1341" i="697"/>
  <c r="A1424" i="697"/>
  <c r="A1343" i="697"/>
  <c r="A1475" i="697"/>
  <c r="A1521" i="697"/>
  <c r="A1480" i="697"/>
  <c r="A1600" i="697"/>
  <c r="A1466" i="697"/>
  <c r="A1425" i="697"/>
  <c r="A1481" i="697"/>
  <c r="A1356" i="697"/>
  <c r="A1482" i="697"/>
  <c r="A1516" i="697"/>
  <c r="A1474" i="697"/>
  <c r="A1483" i="697"/>
  <c r="A1362" i="697"/>
  <c r="A1484" i="697"/>
  <c r="A1485" i="697"/>
  <c r="A1390" i="697"/>
  <c r="A1364" i="697"/>
  <c r="A1530" i="697"/>
  <c r="A1517" i="697"/>
  <c r="A1376" i="697"/>
  <c r="A1402" i="697"/>
  <c r="A1403" i="697"/>
  <c r="A1404" i="697"/>
  <c r="A1405" i="697"/>
  <c r="A1371" i="697"/>
  <c r="A1589" i="697"/>
  <c r="A1436" i="697"/>
  <c r="A1557" i="697"/>
  <c r="A1437" i="697"/>
  <c r="A1569" i="697"/>
  <c r="A1486" i="697"/>
  <c r="A1605" i="697"/>
  <c r="A1518" i="697"/>
  <c r="A1558" i="697"/>
  <c r="A1487" i="697"/>
  <c r="A1553" i="697"/>
  <c r="A1384" i="697"/>
  <c r="A1385" i="697"/>
  <c r="A1387" i="697"/>
  <c r="A1570" i="697"/>
  <c r="A1595" i="697"/>
  <c r="A1574" i="697"/>
  <c r="A1393" i="697"/>
  <c r="A1391" i="697"/>
  <c r="A1392" i="697"/>
  <c r="A1415" i="697"/>
  <c r="A1554" i="697"/>
  <c r="A1406" i="697"/>
  <c r="A1590" i="697"/>
  <c r="A1407" i="697"/>
  <c r="A1588" i="697"/>
  <c r="A1438" i="697"/>
  <c r="A1488" i="697"/>
  <c r="A1601" i="697"/>
  <c r="A1443" i="697"/>
  <c r="A1447" i="697"/>
  <c r="A1445" i="697"/>
  <c r="A1420" i="697"/>
  <c r="A1408" i="697"/>
  <c r="A1498" i="697"/>
  <c r="A1499" i="697"/>
  <c r="A1500" i="697"/>
  <c r="A1446" i="697"/>
  <c r="A1522" i="697"/>
  <c r="A1523" i="697"/>
  <c r="A1490" i="697"/>
  <c r="A1571" i="697"/>
  <c r="A1444" i="697"/>
  <c r="A1448" i="697"/>
  <c r="A1565" i="697"/>
  <c r="A1416" i="697"/>
  <c r="A1489" i="697"/>
  <c r="A1602" i="697"/>
  <c r="A1591" i="697"/>
  <c r="A1611" i="697"/>
  <c r="A1419" i="697"/>
  <c r="A1592" i="697"/>
  <c r="A1593" i="697"/>
  <c r="A1422" i="697"/>
  <c r="A1421" i="697"/>
  <c r="A1545" i="697"/>
  <c r="A1460" i="697"/>
  <c r="A1525" i="697"/>
  <c r="A1426" i="697"/>
  <c r="A1461" i="697"/>
  <c r="A1462" i="697"/>
  <c r="A1427" i="697"/>
  <c r="A1428" i="697"/>
  <c r="A1449" i="697"/>
  <c r="A1431" i="697"/>
  <c r="A1430" i="697"/>
  <c r="A1491" i="697"/>
  <c r="A1452" i="697"/>
  <c r="A1575" i="697"/>
  <c r="A1456" i="697"/>
  <c r="A1450" i="697"/>
  <c r="A1567" i="697"/>
  <c r="A1566" i="697"/>
  <c r="A1524" i="697"/>
  <c r="A1458" i="697"/>
  <c r="A1457" i="697"/>
  <c r="A1463" i="697"/>
  <c r="A1453" i="697"/>
  <c r="A1409" i="697"/>
  <c r="A1454" i="697"/>
  <c r="A1576" i="697"/>
  <c r="A1633" i="697"/>
  <c r="A1562" i="697"/>
  <c r="A1459" i="697"/>
  <c r="A1543" i="697"/>
  <c r="A1541" i="697"/>
  <c r="A1470" i="697"/>
  <c r="A1468" i="697"/>
  <c r="A1467" i="697"/>
  <c r="A1469" i="697"/>
  <c r="A1606" i="697"/>
  <c r="A1476" i="697"/>
  <c r="A1471" i="697"/>
  <c r="A1472" i="697"/>
  <c r="A1577" i="697"/>
  <c r="A1582" i="697"/>
  <c r="A1549" i="697"/>
  <c r="A1550" i="697"/>
  <c r="A1540" i="697"/>
  <c r="A1531" i="697"/>
  <c r="A1587" i="697"/>
  <c r="A1563" i="697"/>
  <c r="A1546" i="697"/>
  <c r="A1564" i="697"/>
  <c r="A1614" i="697"/>
  <c r="A1544" i="697"/>
  <c r="A1607" i="697"/>
  <c r="A1494" i="697"/>
  <c r="A1495" i="697"/>
  <c r="A1568" i="697"/>
  <c r="A1538" i="697"/>
  <c r="A1533" i="697"/>
  <c r="A1551" i="697"/>
  <c r="A1532" i="697"/>
  <c r="A1542" i="697"/>
  <c r="A1596" i="697"/>
  <c r="A1610" i="697"/>
  <c r="A1597" i="697"/>
  <c r="A1583" i="697"/>
  <c r="A1603" i="697"/>
  <c r="A1619" i="697"/>
  <c r="A1584" i="697"/>
  <c r="A1502" i="697"/>
  <c r="A1503" i="697"/>
  <c r="A1504" i="697"/>
  <c r="A1505" i="697"/>
  <c r="A1506" i="697"/>
  <c r="A1507" i="697"/>
  <c r="A1508" i="697"/>
  <c r="A1621" i="697"/>
  <c r="A1609" i="697"/>
  <c r="A1561" i="697"/>
  <c r="A1511" i="697"/>
  <c r="A1512" i="697"/>
  <c r="A1552" i="697"/>
  <c r="A1598" i="697"/>
  <c r="A1599" i="697"/>
  <c r="A1513" i="697"/>
  <c r="A1519" i="697"/>
  <c r="C1292" i="697"/>
  <c r="B1292" i="697" s="1"/>
  <c r="C103" i="697"/>
  <c r="B103" i="697" s="1"/>
  <c r="C104" i="697"/>
  <c r="B104" i="697" s="1"/>
  <c r="C22" i="697"/>
  <c r="B22" i="697" s="1"/>
  <c r="C23" i="697"/>
  <c r="B23" i="697" s="1"/>
  <c r="C12" i="697"/>
  <c r="B12" i="697" s="1"/>
  <c r="C196" i="697"/>
  <c r="B196" i="697" s="1"/>
  <c r="C4" i="697"/>
  <c r="B4" i="697" s="1"/>
  <c r="C24" i="697"/>
  <c r="B24" i="697" s="1"/>
  <c r="C208" i="697"/>
  <c r="B208" i="697" s="1"/>
  <c r="C6" i="697"/>
  <c r="B6" i="697" s="1"/>
  <c r="C13" i="697"/>
  <c r="B13" i="697" s="1"/>
  <c r="C14" i="697"/>
  <c r="B14" i="697" s="1"/>
  <c r="C2" i="697"/>
  <c r="B2" i="697" s="1"/>
  <c r="C16" i="697"/>
  <c r="B16" i="697" s="1"/>
  <c r="C17" i="697"/>
  <c r="B17" i="697" s="1"/>
  <c r="C34" i="697"/>
  <c r="B34" i="697" s="1"/>
  <c r="C15" i="697"/>
  <c r="B15" i="697" s="1"/>
  <c r="C45" i="697"/>
  <c r="B45" i="697" s="1"/>
  <c r="C77" i="697"/>
  <c r="B77" i="697" s="1"/>
  <c r="C117" i="697"/>
  <c r="B117" i="697" s="1"/>
  <c r="C79" i="697"/>
  <c r="B79" i="697" s="1"/>
  <c r="C78" i="697"/>
  <c r="B78" i="697" s="1"/>
  <c r="C80" i="697"/>
  <c r="B80" i="697" s="1"/>
  <c r="C40" i="697"/>
  <c r="B40" i="697" s="1"/>
  <c r="C3" i="697"/>
  <c r="B3" i="697" s="1"/>
  <c r="C209" i="697"/>
  <c r="B209" i="697" s="1"/>
  <c r="C5" i="697"/>
  <c r="B5" i="697" s="1"/>
  <c r="C18" i="697"/>
  <c r="B18" i="697" s="1"/>
  <c r="C20" i="697"/>
  <c r="B20" i="697" s="1"/>
  <c r="C19" i="697"/>
  <c r="B19" i="697" s="1"/>
  <c r="C7" i="697"/>
  <c r="B7" i="697" s="1"/>
  <c r="C8" i="697"/>
  <c r="B8" i="697" s="1"/>
  <c r="C10" i="697"/>
  <c r="B10" i="697" s="1"/>
  <c r="C105" i="697"/>
  <c r="B105" i="697" s="1"/>
  <c r="C106" i="697"/>
  <c r="B106" i="697" s="1"/>
  <c r="C107" i="697"/>
  <c r="B107" i="697" s="1"/>
  <c r="C11" i="697"/>
  <c r="B11" i="697" s="1"/>
  <c r="C81" i="697"/>
  <c r="B81" i="697" s="1"/>
  <c r="C174" i="697"/>
  <c r="B174" i="697" s="1"/>
  <c r="C175" i="697"/>
  <c r="B175" i="697" s="1"/>
  <c r="C82" i="697"/>
  <c r="B82" i="697" s="1"/>
  <c r="C84" i="697"/>
  <c r="B84" i="697" s="1"/>
  <c r="C118" i="697"/>
  <c r="B118" i="697" s="1"/>
  <c r="C85" i="697"/>
  <c r="B85" i="697" s="1"/>
  <c r="C83" i="697"/>
  <c r="B83" i="697" s="1"/>
  <c r="C86" i="697"/>
  <c r="B86" i="697" s="1"/>
  <c r="C87" i="697"/>
  <c r="B87" i="697" s="1"/>
  <c r="C21" i="697"/>
  <c r="B21" i="697" s="1"/>
  <c r="C210" i="697"/>
  <c r="B210" i="697" s="1"/>
  <c r="C88" i="697"/>
  <c r="B88" i="697" s="1"/>
  <c r="C27" i="697"/>
  <c r="B27" i="697" s="1"/>
  <c r="C28" i="697"/>
  <c r="B28" i="697" s="1"/>
  <c r="C29" i="697"/>
  <c r="B29" i="697" s="1"/>
  <c r="C30" i="697"/>
  <c r="B30" i="697" s="1"/>
  <c r="C31" i="697"/>
  <c r="B31" i="697" s="1"/>
  <c r="C32" i="697"/>
  <c r="B32" i="697" s="1"/>
  <c r="C33" i="697"/>
  <c r="B33" i="697" s="1"/>
  <c r="C219" i="697"/>
  <c r="B219" i="697" s="1"/>
  <c r="C90" i="697"/>
  <c r="B90" i="697" s="1"/>
  <c r="C89" i="697"/>
  <c r="B89" i="697" s="1"/>
  <c r="C96" i="697"/>
  <c r="B96" i="697" s="1"/>
  <c r="C115" i="697"/>
  <c r="B115" i="697" s="1"/>
  <c r="C125" i="697"/>
  <c r="B125" i="697" s="1"/>
  <c r="C67" i="697"/>
  <c r="B67" i="697" s="1"/>
  <c r="C171" i="697"/>
  <c r="B171" i="697" s="1"/>
  <c r="C75" i="697"/>
  <c r="B75" i="697" s="1"/>
  <c r="C46" i="697"/>
  <c r="B46" i="697" s="1"/>
  <c r="C47" i="697"/>
  <c r="B47" i="697" s="1"/>
  <c r="C48" i="697"/>
  <c r="B48" i="697" s="1"/>
  <c r="C37" i="697"/>
  <c r="B37" i="697" s="1"/>
  <c r="C53" i="697"/>
  <c r="B53" i="697" s="1"/>
  <c r="C54" i="697"/>
  <c r="B54" i="697" s="1"/>
  <c r="C55" i="697"/>
  <c r="B55" i="697" s="1"/>
  <c r="C56" i="697"/>
  <c r="B56" i="697" s="1"/>
  <c r="C57" i="697"/>
  <c r="B57" i="697" s="1"/>
  <c r="C49" i="697"/>
  <c r="B49" i="697" s="1"/>
  <c r="C50" i="697"/>
  <c r="B50" i="697" s="1"/>
  <c r="C51" i="697"/>
  <c r="B51" i="697" s="1"/>
  <c r="C119" i="697"/>
  <c r="B119" i="697" s="1"/>
  <c r="C52" i="697"/>
  <c r="B52" i="697" s="1"/>
  <c r="C114" i="697"/>
  <c r="B114" i="697" s="1"/>
  <c r="C35" i="697"/>
  <c r="B35" i="697" s="1"/>
  <c r="C58" i="697"/>
  <c r="B58" i="697" s="1"/>
  <c r="C59" i="697"/>
  <c r="B59" i="697" s="1"/>
  <c r="C60" i="697"/>
  <c r="B60" i="697" s="1"/>
  <c r="C61" i="697"/>
  <c r="B61" i="697" s="1"/>
  <c r="C62" i="697"/>
  <c r="B62" i="697" s="1"/>
  <c r="C63" i="697"/>
  <c r="B63" i="697" s="1"/>
  <c r="C126" i="697"/>
  <c r="B126" i="697" s="1"/>
  <c r="C116" i="697"/>
  <c r="B116" i="697" s="1"/>
  <c r="C120" i="697"/>
  <c r="B120" i="697" s="1"/>
  <c r="C91" i="697"/>
  <c r="B91" i="697" s="1"/>
  <c r="C133" i="697"/>
  <c r="B133" i="697" s="1"/>
  <c r="C92" i="697"/>
  <c r="B92" i="697" s="1"/>
  <c r="C93" i="697"/>
  <c r="B93" i="697" s="1"/>
  <c r="C36" i="697"/>
  <c r="B36" i="697" s="1"/>
  <c r="C108" i="697"/>
  <c r="B108" i="697" s="1"/>
  <c r="C109" i="697"/>
  <c r="B109" i="697" s="1"/>
  <c r="C110" i="697"/>
  <c r="B110" i="697" s="1"/>
  <c r="C111" i="697"/>
  <c r="B111" i="697" s="1"/>
  <c r="C64" i="697"/>
  <c r="B64" i="697" s="1"/>
  <c r="C213" i="697"/>
  <c r="B213" i="697" s="1"/>
  <c r="C134" i="697"/>
  <c r="B134" i="697" s="1"/>
  <c r="C131" i="697"/>
  <c r="B131" i="697" s="1"/>
  <c r="C140" i="697"/>
  <c r="B140" i="697" s="1"/>
  <c r="C38" i="697"/>
  <c r="B38" i="697" s="1"/>
  <c r="C399" i="697"/>
  <c r="B399" i="697" s="1"/>
  <c r="C68" i="697"/>
  <c r="B68" i="697" s="1"/>
  <c r="C65" i="697"/>
  <c r="B65" i="697" s="1"/>
  <c r="C176" i="697"/>
  <c r="B176" i="697" s="1"/>
  <c r="C127" i="697"/>
  <c r="B127" i="697" s="1"/>
  <c r="C129" i="697"/>
  <c r="B129" i="697" s="1"/>
  <c r="C97" i="697"/>
  <c r="B97" i="697" s="1"/>
  <c r="C206" i="697"/>
  <c r="B206" i="697" s="1"/>
  <c r="C39" i="697"/>
  <c r="B39" i="697" s="1"/>
  <c r="C66" i="697"/>
  <c r="B66" i="697" s="1"/>
  <c r="C230" i="697"/>
  <c r="B230" i="697" s="1"/>
  <c r="C254" i="697"/>
  <c r="B254" i="697" s="1"/>
  <c r="C160" i="697"/>
  <c r="B160" i="697" s="1"/>
  <c r="C42" i="697"/>
  <c r="B42" i="697" s="1"/>
  <c r="C41" i="697"/>
  <c r="B41" i="697" s="1"/>
  <c r="C76" i="697"/>
  <c r="B76" i="697" s="1"/>
  <c r="C44" i="697"/>
  <c r="B44" i="697" s="1"/>
  <c r="C121" i="697"/>
  <c r="B121" i="697" s="1"/>
  <c r="C43" i="697"/>
  <c r="B43" i="697" s="1"/>
  <c r="C236" i="697"/>
  <c r="B236" i="697" s="1"/>
  <c r="C255" i="697"/>
  <c r="B255" i="697" s="1"/>
  <c r="C26" i="697"/>
  <c r="B26" i="697" s="1"/>
  <c r="C25" i="697"/>
  <c r="B25" i="697" s="1"/>
  <c r="C94" i="697"/>
  <c r="B94" i="697" s="1"/>
  <c r="C237" i="697"/>
  <c r="B237" i="697" s="1"/>
  <c r="C214" i="697"/>
  <c r="B214" i="697" s="1"/>
  <c r="C256" i="697"/>
  <c r="B256" i="697" s="1"/>
  <c r="C135" i="697"/>
  <c r="B135" i="697" s="1"/>
  <c r="C161" i="697"/>
  <c r="B161" i="697" s="1"/>
  <c r="C257" i="697"/>
  <c r="B257" i="697" s="1"/>
  <c r="C207" i="697"/>
  <c r="B207" i="697" s="1"/>
  <c r="C162" i="697"/>
  <c r="B162" i="697" s="1"/>
  <c r="C177" i="697"/>
  <c r="B177" i="697" s="1"/>
  <c r="C122" i="697"/>
  <c r="B122" i="697" s="1"/>
  <c r="C163" i="697"/>
  <c r="B163" i="697" s="1"/>
  <c r="C69" i="697"/>
  <c r="B69" i="697" s="1"/>
  <c r="C70" i="697"/>
  <c r="B70" i="697" s="1"/>
  <c r="C71" i="697"/>
  <c r="B71" i="697" s="1"/>
  <c r="C72" i="697"/>
  <c r="B72" i="697" s="1"/>
  <c r="C73" i="697"/>
  <c r="B73" i="697" s="1"/>
  <c r="C74" i="697"/>
  <c r="B74" i="697" s="1"/>
  <c r="C258" i="697"/>
  <c r="B258" i="697" s="1"/>
  <c r="C178" i="697"/>
  <c r="B178" i="697" s="1"/>
  <c r="C155" i="697"/>
  <c r="B155" i="697" s="1"/>
  <c r="C146" i="697"/>
  <c r="B146" i="697" s="1"/>
  <c r="C156" i="697"/>
  <c r="B156" i="697" s="1"/>
  <c r="C157" i="697"/>
  <c r="B157" i="697" s="1"/>
  <c r="C211" i="697"/>
  <c r="B211" i="697" s="1"/>
  <c r="C145" i="697"/>
  <c r="B145" i="697" s="1"/>
  <c r="C151" i="697"/>
  <c r="B151" i="697" s="1"/>
  <c r="C152" i="697"/>
  <c r="B152" i="697" s="1"/>
  <c r="C153" i="697"/>
  <c r="B153" i="697" s="1"/>
  <c r="C154" i="697"/>
  <c r="B154" i="697" s="1"/>
  <c r="C141" i="697"/>
  <c r="B141" i="697" s="1"/>
  <c r="C142" i="697"/>
  <c r="B142" i="697" s="1"/>
  <c r="C143" i="697"/>
  <c r="B143" i="697" s="1"/>
  <c r="C144" i="697"/>
  <c r="B144" i="697" s="1"/>
  <c r="C150" i="697"/>
  <c r="B150" i="697" s="1"/>
  <c r="C158" i="697"/>
  <c r="B158" i="697" s="1"/>
  <c r="C229" i="697"/>
  <c r="B229" i="697" s="1"/>
  <c r="C95" i="697"/>
  <c r="B95" i="697" s="1"/>
  <c r="C159" i="697"/>
  <c r="B159" i="697" s="1"/>
  <c r="C240" i="697"/>
  <c r="B240" i="697" s="1"/>
  <c r="C101" i="697"/>
  <c r="B101" i="697" s="1"/>
  <c r="C100" i="697"/>
  <c r="B100" i="697" s="1"/>
  <c r="C98" i="697"/>
  <c r="B98" i="697" s="1"/>
  <c r="C99" i="697"/>
  <c r="B99" i="697" s="1"/>
  <c r="C284" i="697"/>
  <c r="B284" i="697" s="1"/>
  <c r="C102" i="697"/>
  <c r="B102" i="697" s="1"/>
  <c r="C275" i="697"/>
  <c r="B275" i="697" s="1"/>
  <c r="C197" i="697"/>
  <c r="B197" i="697" s="1"/>
  <c r="C231" i="697"/>
  <c r="B231" i="697" s="1"/>
  <c r="C148" i="697"/>
  <c r="B148" i="697" s="1"/>
  <c r="C112" i="697"/>
  <c r="B112" i="697" s="1"/>
  <c r="C147" i="697"/>
  <c r="B147" i="697" s="1"/>
  <c r="C113" i="697"/>
  <c r="B113" i="697" s="1"/>
  <c r="C259" i="697"/>
  <c r="B259" i="697" s="1"/>
  <c r="C123" i="697"/>
  <c r="B123" i="697" s="1"/>
  <c r="C252" i="697"/>
  <c r="B252" i="697" s="1"/>
  <c r="C238" i="697"/>
  <c r="B238" i="697" s="1"/>
  <c r="C232" i="697"/>
  <c r="B232" i="697" s="1"/>
  <c r="C253" i="697"/>
  <c r="B253" i="697" s="1"/>
  <c r="C233" i="697"/>
  <c r="B233" i="697" s="1"/>
  <c r="C835" i="697"/>
  <c r="B835" i="697" s="1"/>
  <c r="C124" i="697"/>
  <c r="B124" i="697" s="1"/>
  <c r="C234" i="697"/>
  <c r="B234" i="697" s="1"/>
  <c r="C244" i="697"/>
  <c r="B244" i="697" s="1"/>
  <c r="C260" i="697"/>
  <c r="B260" i="697" s="1"/>
  <c r="C181" i="697"/>
  <c r="B181" i="697" s="1"/>
  <c r="C182" i="697"/>
  <c r="B182" i="697" s="1"/>
  <c r="C183" i="697"/>
  <c r="B183" i="697" s="1"/>
  <c r="C184" i="697"/>
  <c r="B184" i="697" s="1"/>
  <c r="C172" i="697"/>
  <c r="B172" i="697" s="1"/>
  <c r="C330" i="697"/>
  <c r="B330" i="697" s="1"/>
  <c r="C245" i="697"/>
  <c r="B245" i="697" s="1"/>
  <c r="C128" i="697"/>
  <c r="B128" i="697" s="1"/>
  <c r="C285" i="697"/>
  <c r="B285" i="697" s="1"/>
  <c r="C130" i="697"/>
  <c r="B130" i="697" s="1"/>
  <c r="C132" i="697"/>
  <c r="B132" i="697" s="1"/>
  <c r="C198" i="697"/>
  <c r="B198" i="697" s="1"/>
  <c r="C349" i="697"/>
  <c r="B349" i="697" s="1"/>
  <c r="C185" i="697"/>
  <c r="B185" i="697" s="1"/>
  <c r="C312" i="697"/>
  <c r="B312" i="697" s="1"/>
  <c r="C136" i="697"/>
  <c r="B136" i="697" s="1"/>
  <c r="C277" i="697"/>
  <c r="B277" i="697" s="1"/>
  <c r="C241" i="697"/>
  <c r="B241" i="697" s="1"/>
  <c r="C276" i="697"/>
  <c r="B276" i="697" s="1"/>
  <c r="C408" i="697"/>
  <c r="B408" i="697" s="1"/>
  <c r="C286" i="697"/>
  <c r="B286" i="697" s="1"/>
  <c r="C278" i="697"/>
  <c r="B278" i="697" s="1"/>
  <c r="C279" i="697"/>
  <c r="B279" i="697" s="1"/>
  <c r="C280" i="697"/>
  <c r="B280" i="697" s="1"/>
  <c r="C149" i="697"/>
  <c r="B149" i="697" s="1"/>
  <c r="C261" i="697"/>
  <c r="B261" i="697" s="1"/>
  <c r="C137" i="697"/>
  <c r="B137" i="697" s="1"/>
  <c r="C220" i="697"/>
  <c r="B220" i="697" s="1"/>
  <c r="C394" i="697"/>
  <c r="B394" i="697" s="1"/>
  <c r="C305" i="697"/>
  <c r="B305" i="697" s="1"/>
  <c r="C164" i="697"/>
  <c r="B164" i="697" s="1"/>
  <c r="C138" i="697"/>
  <c r="B138" i="697" s="1"/>
  <c r="C139" i="697"/>
  <c r="B139" i="697" s="1"/>
  <c r="C186" i="697"/>
  <c r="B186" i="697" s="1"/>
  <c r="C221" i="697"/>
  <c r="B221" i="697" s="1"/>
  <c r="C281" i="697"/>
  <c r="B281" i="697" s="1"/>
  <c r="C331" i="697"/>
  <c r="B331" i="697" s="1"/>
  <c r="C262" i="697"/>
  <c r="B262" i="697" s="1"/>
  <c r="C263" i="697"/>
  <c r="B263" i="697" s="1"/>
  <c r="C306" i="697"/>
  <c r="B306" i="697" s="1"/>
  <c r="C320" i="697"/>
  <c r="B320" i="697" s="1"/>
  <c r="C332" i="697"/>
  <c r="B332" i="697" s="1"/>
  <c r="C199" i="697"/>
  <c r="B199" i="697" s="1"/>
  <c r="C373" i="697"/>
  <c r="B373" i="697" s="1"/>
  <c r="C357" i="697"/>
  <c r="B357" i="697" s="1"/>
  <c r="C282" i="697"/>
  <c r="B282" i="697" s="1"/>
  <c r="C170" i="697"/>
  <c r="B170" i="697" s="1"/>
  <c r="C165" i="697"/>
  <c r="B165" i="697" s="1"/>
  <c r="C166" i="697"/>
  <c r="B166" i="697" s="1"/>
  <c r="C167" i="697"/>
  <c r="B167" i="697" s="1"/>
  <c r="C168" i="697"/>
  <c r="B168" i="697" s="1"/>
  <c r="C169" i="697"/>
  <c r="B169" i="697" s="1"/>
  <c r="C333" i="697"/>
  <c r="B333" i="697" s="1"/>
  <c r="C374" i="697"/>
  <c r="B374" i="697" s="1"/>
  <c r="C194" i="697"/>
  <c r="B194" i="697" s="1"/>
  <c r="C201" i="697"/>
  <c r="B201" i="697" s="1"/>
  <c r="C173" i="697"/>
  <c r="B173" i="697" s="1"/>
  <c r="C200" i="697"/>
  <c r="B200" i="697" s="1"/>
  <c r="C265" i="697"/>
  <c r="B265" i="697" s="1"/>
  <c r="C266" i="697"/>
  <c r="B266" i="697" s="1"/>
  <c r="C235" i="697"/>
  <c r="B235" i="697" s="1"/>
  <c r="C192" i="697"/>
  <c r="B192" i="697" s="1"/>
  <c r="C193" i="697"/>
  <c r="B193" i="697" s="1"/>
  <c r="C187" i="697"/>
  <c r="B187" i="697" s="1"/>
  <c r="C188" i="697"/>
  <c r="B188" i="697" s="1"/>
  <c r="C189" i="697"/>
  <c r="B189" i="697" s="1"/>
  <c r="C190" i="697"/>
  <c r="B190" i="697" s="1"/>
  <c r="C191" i="697"/>
  <c r="B191" i="697" s="1"/>
  <c r="C195" i="697"/>
  <c r="B195" i="697" s="1"/>
  <c r="C215" i="697"/>
  <c r="B215" i="697" s="1"/>
  <c r="C307" i="697"/>
  <c r="B307" i="697" s="1"/>
  <c r="C179" i="697"/>
  <c r="B179" i="697" s="1"/>
  <c r="C180" i="697"/>
  <c r="B180" i="697" s="1"/>
  <c r="C313" i="697"/>
  <c r="B313" i="697" s="1"/>
  <c r="C267" i="697"/>
  <c r="B267" i="697" s="1"/>
  <c r="C268" i="697"/>
  <c r="B268" i="697" s="1"/>
  <c r="C269" i="697"/>
  <c r="B269" i="697" s="1"/>
  <c r="C222" i="697"/>
  <c r="B222" i="697" s="1"/>
  <c r="C335" i="697"/>
  <c r="B335" i="697" s="1"/>
  <c r="C376" i="697"/>
  <c r="B376" i="697" s="1"/>
  <c r="C204" i="697"/>
  <c r="B204" i="697" s="1"/>
  <c r="C334" i="697"/>
  <c r="B334" i="697" s="1"/>
  <c r="C442" i="697"/>
  <c r="B442" i="697" s="1"/>
  <c r="C202" i="697"/>
  <c r="B202" i="697" s="1"/>
  <c r="C203" i="697"/>
  <c r="B203" i="697" s="1"/>
  <c r="C301" i="697"/>
  <c r="B301" i="697" s="1"/>
  <c r="C375" i="697"/>
  <c r="B375" i="697" s="1"/>
  <c r="C223" i="697"/>
  <c r="B223" i="697" s="1"/>
  <c r="C224" i="697"/>
  <c r="B224" i="697" s="1"/>
  <c r="C225" i="697"/>
  <c r="B225" i="697" s="1"/>
  <c r="C226" i="697"/>
  <c r="B226" i="697" s="1"/>
  <c r="C205" i="697"/>
  <c r="B205" i="697" s="1"/>
  <c r="C303" i="697"/>
  <c r="B303" i="697" s="1"/>
  <c r="C336" i="697"/>
  <c r="B336" i="697" s="1"/>
  <c r="C337" i="697"/>
  <c r="B337" i="697" s="1"/>
  <c r="C308" i="697"/>
  <c r="B308" i="697" s="1"/>
  <c r="C216" i="697"/>
  <c r="B216" i="697" s="1"/>
  <c r="C212" i="697"/>
  <c r="B212" i="697" s="1"/>
  <c r="C338" i="697"/>
  <c r="B338" i="697" s="1"/>
  <c r="C530" i="697"/>
  <c r="B530" i="697" s="1"/>
  <c r="C395" i="697"/>
  <c r="B395" i="697" s="1"/>
  <c r="C217" i="697"/>
  <c r="B217" i="697" s="1"/>
  <c r="C377" i="697"/>
  <c r="B377" i="697" s="1"/>
  <c r="C218" i="697"/>
  <c r="B218" i="697" s="1"/>
  <c r="C227" i="697"/>
  <c r="B227" i="697" s="1"/>
  <c r="C297" i="697"/>
  <c r="B297" i="697" s="1"/>
  <c r="C340" i="697"/>
  <c r="B340" i="697" s="1"/>
  <c r="C339" i="697"/>
  <c r="B339" i="697" s="1"/>
  <c r="C228" i="697"/>
  <c r="B228" i="697" s="1"/>
  <c r="C298" i="697"/>
  <c r="B298" i="697" s="1"/>
  <c r="C504" i="697"/>
  <c r="B504" i="697" s="1"/>
  <c r="C242" i="697"/>
  <c r="B242" i="697" s="1"/>
  <c r="C341" i="697"/>
  <c r="B341" i="697" s="1"/>
  <c r="C314" i="697"/>
  <c r="B314" i="697" s="1"/>
  <c r="C361" i="697"/>
  <c r="B361" i="697" s="1"/>
  <c r="C342" i="697"/>
  <c r="B342" i="697" s="1"/>
  <c r="C283" i="697"/>
  <c r="B283" i="697" s="1"/>
  <c r="C531" i="697"/>
  <c r="B531" i="697" s="1"/>
  <c r="C270" i="697"/>
  <c r="B270" i="697" s="1"/>
  <c r="C271" i="697"/>
  <c r="B271" i="697" s="1"/>
  <c r="C343" i="697"/>
  <c r="B343" i="697" s="1"/>
  <c r="C315" i="697"/>
  <c r="B315" i="697" s="1"/>
  <c r="C239" i="697"/>
  <c r="B239" i="697" s="1"/>
  <c r="C344" i="697"/>
  <c r="B344" i="697" s="1"/>
  <c r="C346" i="697"/>
  <c r="B346" i="697" s="1"/>
  <c r="C345" i="697"/>
  <c r="B345" i="697" s="1"/>
  <c r="C411" i="697"/>
  <c r="B411" i="697" s="1"/>
  <c r="C378" i="697"/>
  <c r="B378" i="697" s="1"/>
  <c r="C347" i="697"/>
  <c r="B347" i="697" s="1"/>
  <c r="C379" i="697"/>
  <c r="B379" i="697" s="1"/>
  <c r="C407" i="697"/>
  <c r="B407" i="697" s="1"/>
  <c r="C362" i="697"/>
  <c r="B362" i="697" s="1"/>
  <c r="C363" i="697"/>
  <c r="B363" i="697" s="1"/>
  <c r="C243" i="697"/>
  <c r="B243" i="697" s="1"/>
  <c r="C364" i="697"/>
  <c r="B364" i="697" s="1"/>
  <c r="C406" i="697"/>
  <c r="B406" i="697" s="1"/>
  <c r="C348" i="697"/>
  <c r="B348" i="697" s="1"/>
  <c r="C380" i="697"/>
  <c r="B380" i="697" s="1"/>
  <c r="C272" i="697"/>
  <c r="B272" i="697" s="1"/>
  <c r="C246" i="697"/>
  <c r="B246" i="697" s="1"/>
  <c r="C287" i="697"/>
  <c r="B287" i="697" s="1"/>
  <c r="C365" i="697"/>
  <c r="B365" i="697" s="1"/>
  <c r="C274" i="697"/>
  <c r="B274" i="697" s="1"/>
  <c r="C247" i="697"/>
  <c r="B247" i="697" s="1"/>
  <c r="C248" i="697"/>
  <c r="B248" i="697" s="1"/>
  <c r="C249" i="697"/>
  <c r="B249" i="697" s="1"/>
  <c r="C250" i="697"/>
  <c r="B250" i="697" s="1"/>
  <c r="C251" i="697"/>
  <c r="B251" i="697" s="1"/>
  <c r="C273" i="697"/>
  <c r="B273" i="697" s="1"/>
  <c r="C291" i="697"/>
  <c r="B291" i="697" s="1"/>
  <c r="C292" i="697"/>
  <c r="B292" i="697" s="1"/>
  <c r="C422" i="697"/>
  <c r="B422" i="697" s="1"/>
  <c r="C388" i="697"/>
  <c r="B388" i="697" s="1"/>
  <c r="C302" i="697"/>
  <c r="B302" i="697" s="1"/>
  <c r="C290" i="697"/>
  <c r="B290" i="697" s="1"/>
  <c r="C316" i="697"/>
  <c r="B316" i="697" s="1"/>
  <c r="C317" i="697"/>
  <c r="B317" i="697" s="1"/>
  <c r="C288" i="697"/>
  <c r="B288" i="697" s="1"/>
  <c r="C289" i="697"/>
  <c r="B289" i="697" s="1"/>
  <c r="C293" i="697"/>
  <c r="B293" i="697" s="1"/>
  <c r="C294" i="697"/>
  <c r="B294" i="697" s="1"/>
  <c r="C264" i="697"/>
  <c r="B264" i="697" s="1"/>
  <c r="C389" i="697"/>
  <c r="B389" i="697" s="1"/>
  <c r="C460" i="697"/>
  <c r="B460" i="697" s="1"/>
  <c r="C461" i="697"/>
  <c r="B461" i="697" s="1"/>
  <c r="C462" i="697"/>
  <c r="B462" i="697" s="1"/>
  <c r="C463" i="697"/>
  <c r="B463" i="697" s="1"/>
  <c r="C464" i="697"/>
  <c r="B464" i="697" s="1"/>
  <c r="C505" i="697"/>
  <c r="B505" i="697" s="1"/>
  <c r="C669" i="697"/>
  <c r="B669" i="697" s="1"/>
  <c r="C423" i="697"/>
  <c r="B423" i="697" s="1"/>
  <c r="C396" i="697"/>
  <c r="B396" i="697" s="1"/>
  <c r="C409" i="697"/>
  <c r="B409" i="697" s="1"/>
  <c r="C381" i="697"/>
  <c r="B381" i="697" s="1"/>
  <c r="C424" i="697"/>
  <c r="B424" i="697" s="1"/>
  <c r="C382" i="697"/>
  <c r="B382" i="697" s="1"/>
  <c r="C443" i="697"/>
  <c r="B443" i="697" s="1"/>
  <c r="C506" i="697"/>
  <c r="B506" i="697" s="1"/>
  <c r="C507" i="697"/>
  <c r="B507" i="697" s="1"/>
  <c r="C524" i="697"/>
  <c r="B524" i="697" s="1"/>
  <c r="C485" i="697"/>
  <c r="B485" i="697" s="1"/>
  <c r="C296" i="697"/>
  <c r="B296" i="697" s="1"/>
  <c r="C295" i="697"/>
  <c r="B295" i="697" s="1"/>
  <c r="C523" i="697"/>
  <c r="B523" i="697" s="1"/>
  <c r="C425" i="697"/>
  <c r="B425" i="697" s="1"/>
  <c r="C410" i="697"/>
  <c r="B410" i="697" s="1"/>
  <c r="C444" i="697"/>
  <c r="B444" i="697" s="1"/>
  <c r="C352" i="697"/>
  <c r="B352" i="697" s="1"/>
  <c r="C397" i="697"/>
  <c r="B397" i="697" s="1"/>
  <c r="C299" i="697"/>
  <c r="B299" i="697" s="1"/>
  <c r="C300" i="697"/>
  <c r="B300" i="697" s="1"/>
  <c r="C383" i="697"/>
  <c r="B383" i="697" s="1"/>
  <c r="C508" i="697"/>
  <c r="B508" i="697" s="1"/>
  <c r="C509" i="697"/>
  <c r="B509" i="697" s="1"/>
  <c r="C510" i="697"/>
  <c r="B510" i="697" s="1"/>
  <c r="C384" i="697"/>
  <c r="B384" i="697" s="1"/>
  <c r="C426" i="697"/>
  <c r="B426" i="697" s="1"/>
  <c r="C532" i="697"/>
  <c r="B532" i="697" s="1"/>
  <c r="C304" i="697"/>
  <c r="B304" i="697" s="1"/>
  <c r="C614" i="697"/>
  <c r="B614" i="697" s="1"/>
  <c r="C360" i="697"/>
  <c r="B360" i="697" s="1"/>
  <c r="C427" i="697"/>
  <c r="B427" i="697" s="1"/>
  <c r="C428" i="697"/>
  <c r="B428" i="697" s="1"/>
  <c r="C309" i="697"/>
  <c r="B309" i="697" s="1"/>
  <c r="C465" i="697"/>
  <c r="B465" i="697" s="1"/>
  <c r="C466" i="697"/>
  <c r="B466" i="697" s="1"/>
  <c r="C311" i="697"/>
  <c r="B311" i="697" s="1"/>
  <c r="C543" i="697"/>
  <c r="B543" i="697" s="1"/>
  <c r="C544" i="697"/>
  <c r="B544" i="697" s="1"/>
  <c r="C310" i="697"/>
  <c r="B310" i="697" s="1"/>
  <c r="C445" i="697"/>
  <c r="B445" i="697" s="1"/>
  <c r="C413" i="697"/>
  <c r="B413" i="697" s="1"/>
  <c r="C450" i="697"/>
  <c r="B450" i="697" s="1"/>
  <c r="C487" i="697"/>
  <c r="B487" i="697" s="1"/>
  <c r="C318" i="697"/>
  <c r="B318" i="697" s="1"/>
  <c r="C319" i="697"/>
  <c r="B319" i="697" s="1"/>
  <c r="C518" i="697"/>
  <c r="B518" i="697" s="1"/>
  <c r="C519" i="697"/>
  <c r="B519" i="697" s="1"/>
  <c r="C451" i="697"/>
  <c r="B451" i="697" s="1"/>
  <c r="C452" i="697"/>
  <c r="B452" i="697" s="1"/>
  <c r="C429" i="697"/>
  <c r="B429" i="697" s="1"/>
  <c r="C467" i="697"/>
  <c r="B467" i="697" s="1"/>
  <c r="C468" i="697"/>
  <c r="B468" i="697" s="1"/>
  <c r="C390" i="697"/>
  <c r="B390" i="697" s="1"/>
  <c r="C326" i="697"/>
  <c r="B326" i="697" s="1"/>
  <c r="C321" i="697"/>
  <c r="B321" i="697" s="1"/>
  <c r="C322" i="697"/>
  <c r="B322" i="697" s="1"/>
  <c r="C323" i="697"/>
  <c r="B323" i="697" s="1"/>
  <c r="C324" i="697"/>
  <c r="B324" i="697" s="1"/>
  <c r="C325" i="697"/>
  <c r="B325" i="697" s="1"/>
  <c r="C391" i="697"/>
  <c r="B391" i="697" s="1"/>
  <c r="C355" i="697"/>
  <c r="B355" i="697" s="1"/>
  <c r="C386" i="697"/>
  <c r="B386" i="697" s="1"/>
  <c r="C670" i="697"/>
  <c r="B670" i="697" s="1"/>
  <c r="C327" i="697"/>
  <c r="B327" i="697" s="1"/>
  <c r="C328" i="697"/>
  <c r="B328" i="697" s="1"/>
  <c r="C385" i="697"/>
  <c r="B385" i="697" s="1"/>
  <c r="C400" i="697"/>
  <c r="B400" i="697" s="1"/>
  <c r="C401" i="697"/>
  <c r="B401" i="697" s="1"/>
  <c r="C329" i="697"/>
  <c r="B329" i="697" s="1"/>
  <c r="C353" i="697"/>
  <c r="B353" i="697" s="1"/>
  <c r="C354" i="697"/>
  <c r="B354" i="697" s="1"/>
  <c r="C469" i="697"/>
  <c r="B469" i="697" s="1"/>
  <c r="C358" i="697"/>
  <c r="B358" i="697" s="1"/>
  <c r="C520" i="697"/>
  <c r="B520" i="697" s="1"/>
  <c r="C430" i="697"/>
  <c r="B430" i="697" s="1"/>
  <c r="C367" i="697"/>
  <c r="B367" i="697" s="1"/>
  <c r="C453" i="697"/>
  <c r="B453" i="697" s="1"/>
  <c r="C623" i="697"/>
  <c r="B623" i="697" s="1"/>
  <c r="C546" i="697"/>
  <c r="B546" i="697" s="1"/>
  <c r="C624" i="697"/>
  <c r="B624" i="697" s="1"/>
  <c r="C625" i="697"/>
  <c r="B625" i="697" s="1"/>
  <c r="C431" i="697"/>
  <c r="B431" i="697" s="1"/>
  <c r="C350" i="697"/>
  <c r="B350" i="697" s="1"/>
  <c r="C446" i="697"/>
  <c r="B446" i="697" s="1"/>
  <c r="C414" i="697"/>
  <c r="B414" i="697" s="1"/>
  <c r="C432" i="697"/>
  <c r="B432" i="697" s="1"/>
  <c r="C454" i="697"/>
  <c r="B454" i="697" s="1"/>
  <c r="C351" i="697"/>
  <c r="B351" i="697" s="1"/>
  <c r="C455" i="697"/>
  <c r="B455" i="697" s="1"/>
  <c r="C488" i="697"/>
  <c r="B488" i="697" s="1"/>
  <c r="C502" i="697"/>
  <c r="B502" i="697" s="1"/>
  <c r="C370" i="697"/>
  <c r="B370" i="697" s="1"/>
  <c r="C369" i="697"/>
  <c r="B369" i="697" s="1"/>
  <c r="C470" i="697"/>
  <c r="B470" i="697" s="1"/>
  <c r="C402" i="697"/>
  <c r="B402" i="697" s="1"/>
  <c r="C356" i="697"/>
  <c r="B356" i="697" s="1"/>
  <c r="C371" i="697"/>
  <c r="B371" i="697" s="1"/>
  <c r="C489" i="697"/>
  <c r="B489" i="697" s="1"/>
  <c r="C626" i="697"/>
  <c r="B626" i="697" s="1"/>
  <c r="C627" i="697"/>
  <c r="B627" i="697" s="1"/>
  <c r="C490" i="697"/>
  <c r="B490" i="697" s="1"/>
  <c r="C359" i="697"/>
  <c r="B359" i="697" s="1"/>
  <c r="C471" i="697"/>
  <c r="B471" i="697" s="1"/>
  <c r="C368" i="697"/>
  <c r="B368" i="697" s="1"/>
  <c r="C525" i="697"/>
  <c r="B525" i="697" s="1"/>
  <c r="C472" i="697"/>
  <c r="B472" i="697" s="1"/>
  <c r="C366" i="697"/>
  <c r="B366" i="697" s="1"/>
  <c r="C491" i="697"/>
  <c r="B491" i="697" s="1"/>
  <c r="C492" i="697"/>
  <c r="B492" i="697" s="1"/>
  <c r="C433" i="697"/>
  <c r="B433" i="697" s="1"/>
  <c r="C473" i="697"/>
  <c r="B473" i="697" s="1"/>
  <c r="C493" i="697"/>
  <c r="B493" i="697" s="1"/>
  <c r="C372" i="697"/>
  <c r="B372" i="697" s="1"/>
  <c r="C526" i="697"/>
  <c r="B526" i="697" s="1"/>
  <c r="C387" i="697"/>
  <c r="B387" i="697" s="1"/>
  <c r="C474" i="697"/>
  <c r="B474" i="697" s="1"/>
  <c r="C475" i="697"/>
  <c r="B475" i="697" s="1"/>
  <c r="C476" i="697"/>
  <c r="B476" i="697" s="1"/>
  <c r="C477" i="697"/>
  <c r="B477" i="697" s="1"/>
  <c r="C398" i="697"/>
  <c r="B398" i="697" s="1"/>
  <c r="C434" i="697"/>
  <c r="B434" i="697" s="1"/>
  <c r="C628" i="697"/>
  <c r="B628" i="697" s="1"/>
  <c r="C527" i="697"/>
  <c r="B527" i="697" s="1"/>
  <c r="C545" i="697"/>
  <c r="B545" i="697" s="1"/>
  <c r="C392" i="697"/>
  <c r="B392" i="697" s="1"/>
  <c r="C435" i="697"/>
  <c r="B435" i="697" s="1"/>
  <c r="C436" i="697"/>
  <c r="B436" i="697" s="1"/>
  <c r="C393" i="697"/>
  <c r="B393" i="697" s="1"/>
  <c r="C404" i="697"/>
  <c r="B404" i="697" s="1"/>
  <c r="C403" i="697"/>
  <c r="B403" i="697" s="1"/>
  <c r="C511" i="697"/>
  <c r="B511" i="697" s="1"/>
  <c r="C512" i="697"/>
  <c r="B512" i="697" s="1"/>
  <c r="C513" i="697"/>
  <c r="B513" i="697" s="1"/>
  <c r="C514" i="697"/>
  <c r="B514" i="697" s="1"/>
  <c r="C671" i="697"/>
  <c r="B671" i="697" s="1"/>
  <c r="C478" i="697"/>
  <c r="B478" i="697" s="1"/>
  <c r="C494" i="697"/>
  <c r="B494" i="697" s="1"/>
  <c r="C629" i="697"/>
  <c r="B629" i="697" s="1"/>
  <c r="C584" i="697"/>
  <c r="B584" i="697" s="1"/>
  <c r="C405" i="697"/>
  <c r="B405" i="697" s="1"/>
  <c r="C538" i="697"/>
  <c r="B538" i="697" s="1"/>
  <c r="C539" i="697"/>
  <c r="B539" i="697" s="1"/>
  <c r="C528" i="697"/>
  <c r="B528" i="697" s="1"/>
  <c r="C554" i="697"/>
  <c r="B554" i="697" s="1"/>
  <c r="C555" i="697"/>
  <c r="B555" i="697" s="1"/>
  <c r="C412" i="697"/>
  <c r="B412" i="697" s="1"/>
  <c r="C637" i="697"/>
  <c r="B637" i="697" s="1"/>
  <c r="C415" i="697"/>
  <c r="B415" i="697" s="1"/>
  <c r="C479" i="697"/>
  <c r="B479" i="697" s="1"/>
  <c r="C480" i="697"/>
  <c r="B480" i="697" s="1"/>
  <c r="C615" i="697"/>
  <c r="B615" i="697" s="1"/>
  <c r="C592" i="697"/>
  <c r="B592" i="697" s="1"/>
  <c r="C441" i="697"/>
  <c r="B441" i="697" s="1"/>
  <c r="C662" i="697"/>
  <c r="B662" i="697" s="1"/>
  <c r="C449" i="697"/>
  <c r="B449" i="697" s="1"/>
  <c r="C416" i="697"/>
  <c r="B416" i="697" s="1"/>
  <c r="C417" i="697"/>
  <c r="B417" i="697" s="1"/>
  <c r="C418" i="697"/>
  <c r="B418" i="697" s="1"/>
  <c r="C419" i="697"/>
  <c r="B419" i="697" s="1"/>
  <c r="C420" i="697"/>
  <c r="B420" i="697" s="1"/>
  <c r="C421" i="697"/>
  <c r="B421" i="697" s="1"/>
  <c r="C486" i="697"/>
  <c r="B486" i="697" s="1"/>
  <c r="C498" i="697"/>
  <c r="B498" i="697" s="1"/>
  <c r="C499" i="697"/>
  <c r="B499" i="697" s="1"/>
  <c r="C447" i="697"/>
  <c r="B447" i="697" s="1"/>
  <c r="C448" i="697"/>
  <c r="B448" i="697" s="1"/>
  <c r="C457" i="697"/>
  <c r="B457" i="697" s="1"/>
  <c r="C481" i="697"/>
  <c r="B481" i="697" s="1"/>
  <c r="C515" i="697"/>
  <c r="B515" i="697" s="1"/>
  <c r="C673" i="697"/>
  <c r="B673" i="697" s="1"/>
  <c r="C439" i="697"/>
  <c r="B439" i="697" s="1"/>
  <c r="C672" i="697"/>
  <c r="B672" i="697" s="1"/>
  <c r="C616" i="697"/>
  <c r="B616" i="697" s="1"/>
  <c r="C617" i="697"/>
  <c r="B617" i="697" s="1"/>
  <c r="C529" i="697"/>
  <c r="B529" i="697" s="1"/>
  <c r="C437" i="697"/>
  <c r="B437" i="697" s="1"/>
  <c r="C438" i="697"/>
  <c r="B438" i="697" s="1"/>
  <c r="C547" i="697"/>
  <c r="B547" i="697" s="1"/>
  <c r="C548" i="697"/>
  <c r="B548" i="697" s="1"/>
  <c r="C714" i="697"/>
  <c r="B714" i="697" s="1"/>
  <c r="C674" i="697"/>
  <c r="B674" i="697" s="1"/>
  <c r="C440" i="697"/>
  <c r="B440" i="697" s="1"/>
  <c r="C500" i="697"/>
  <c r="B500" i="697" s="1"/>
  <c r="C715" i="697"/>
  <c r="B715" i="697" s="1"/>
  <c r="C716" i="697"/>
  <c r="B716" i="697" s="1"/>
  <c r="C657" i="697"/>
  <c r="B657" i="697" s="1"/>
  <c r="C638" i="697"/>
  <c r="B638" i="697" s="1"/>
  <c r="C456" i="697"/>
  <c r="B456" i="697" s="1"/>
  <c r="C639" i="697"/>
  <c r="B639" i="697" s="1"/>
  <c r="C593" i="697"/>
  <c r="B593" i="697" s="1"/>
  <c r="C675" i="697"/>
  <c r="B675" i="697" s="1"/>
  <c r="C556" i="697"/>
  <c r="B556" i="697" s="1"/>
  <c r="C594" i="697"/>
  <c r="B594" i="697" s="1"/>
  <c r="C459" i="697"/>
  <c r="B459" i="697" s="1"/>
  <c r="C458" i="697"/>
  <c r="B458" i="697" s="1"/>
  <c r="C645" i="697"/>
  <c r="B645" i="697" s="1"/>
  <c r="C482" i="697"/>
  <c r="B482" i="697" s="1"/>
  <c r="C676" i="697"/>
  <c r="B676" i="697" s="1"/>
  <c r="C677" i="697"/>
  <c r="B677" i="697" s="1"/>
  <c r="C483" i="697"/>
  <c r="B483" i="697" s="1"/>
  <c r="C663" i="697"/>
  <c r="B663" i="697" s="1"/>
  <c r="C678" i="697"/>
  <c r="B678" i="697" s="1"/>
  <c r="C557" i="697"/>
  <c r="B557" i="697" s="1"/>
  <c r="C558" i="697"/>
  <c r="B558" i="697" s="1"/>
  <c r="C559" i="697"/>
  <c r="B559" i="697" s="1"/>
  <c r="C560" i="697"/>
  <c r="B560" i="697" s="1"/>
  <c r="C679" i="697"/>
  <c r="B679" i="697" s="1"/>
  <c r="C595" i="697"/>
  <c r="B595" i="697" s="1"/>
  <c r="C484" i="697"/>
  <c r="B484" i="697" s="1"/>
  <c r="C495" i="697"/>
  <c r="B495" i="697" s="1"/>
  <c r="C561" i="697"/>
  <c r="B561" i="697" s="1"/>
  <c r="C562" i="697"/>
  <c r="B562" i="697" s="1"/>
  <c r="C563" i="697"/>
  <c r="B563" i="697" s="1"/>
  <c r="C564" i="697"/>
  <c r="B564" i="697" s="1"/>
  <c r="C731" i="697"/>
  <c r="B731" i="697" s="1"/>
  <c r="C658" i="697"/>
  <c r="B658" i="697" s="1"/>
  <c r="C590" i="697"/>
  <c r="B590" i="697" s="1"/>
  <c r="C497" i="697"/>
  <c r="B497" i="697" s="1"/>
  <c r="C496" i="697"/>
  <c r="B496" i="697" s="1"/>
  <c r="C516" i="697"/>
  <c r="B516" i="697" s="1"/>
  <c r="C517" i="697"/>
  <c r="B517" i="697" s="1"/>
  <c r="C618" i="697"/>
  <c r="B618" i="697" s="1"/>
  <c r="C619" i="697"/>
  <c r="B619" i="697" s="1"/>
  <c r="C680" i="697"/>
  <c r="B680" i="697" s="1"/>
  <c r="C501" i="697"/>
  <c r="B501" i="697" s="1"/>
  <c r="C503" i="697"/>
  <c r="B503" i="697" s="1"/>
  <c r="C620" i="697"/>
  <c r="B620" i="697" s="1"/>
  <c r="C596" i="697"/>
  <c r="B596" i="697" s="1"/>
  <c r="C701" i="697"/>
  <c r="B701" i="697" s="1"/>
  <c r="C664" i="697"/>
  <c r="B664" i="697" s="1"/>
  <c r="C659" i="697"/>
  <c r="B659" i="697" s="1"/>
  <c r="C681" i="697"/>
  <c r="B681" i="697" s="1"/>
  <c r="C565" i="697"/>
  <c r="B565" i="697" s="1"/>
  <c r="C566" i="697"/>
  <c r="B566" i="697" s="1"/>
  <c r="C567" i="697"/>
  <c r="B567" i="697" s="1"/>
  <c r="C568" i="697"/>
  <c r="B568" i="697" s="1"/>
  <c r="C621" i="697"/>
  <c r="B621" i="697" s="1"/>
  <c r="C702" i="697"/>
  <c r="B702" i="697" s="1"/>
  <c r="C732" i="697"/>
  <c r="B732" i="697" s="1"/>
  <c r="C751" i="697"/>
  <c r="B751" i="697" s="1"/>
  <c r="C717" i="697"/>
  <c r="B717" i="697" s="1"/>
  <c r="C646" i="697"/>
  <c r="B646" i="697" s="1"/>
  <c r="C521" i="697"/>
  <c r="B521" i="697" s="1"/>
  <c r="C682" i="697"/>
  <c r="B682" i="697" s="1"/>
  <c r="C522" i="697"/>
  <c r="B522" i="697" s="1"/>
  <c r="C533" i="697"/>
  <c r="B533" i="697" s="1"/>
  <c r="C551" i="697"/>
  <c r="B551" i="697" s="1"/>
  <c r="C577" i="697"/>
  <c r="B577" i="697" s="1"/>
  <c r="C610" i="697"/>
  <c r="B610" i="697" s="1"/>
  <c r="C752" i="697"/>
  <c r="B752" i="697" s="1"/>
  <c r="C534" i="697"/>
  <c r="B534" i="697" s="1"/>
  <c r="C581" i="697"/>
  <c r="B581" i="697" s="1"/>
  <c r="C587" i="697"/>
  <c r="B587" i="697" s="1"/>
  <c r="C588" i="697"/>
  <c r="B588" i="697" s="1"/>
  <c r="C660" i="697"/>
  <c r="B660" i="697" s="1"/>
  <c r="C718" i="697"/>
  <c r="B718" i="697" s="1"/>
  <c r="C549" i="697"/>
  <c r="B549" i="697" s="1"/>
  <c r="C550" i="697"/>
  <c r="B550" i="697" s="1"/>
  <c r="C552" i="697"/>
  <c r="B552" i="697" s="1"/>
  <c r="C753" i="697"/>
  <c r="B753" i="697" s="1"/>
  <c r="C782" i="697"/>
  <c r="B782" i="697" s="1"/>
  <c r="C536" i="697"/>
  <c r="B536" i="697" s="1"/>
  <c r="C683" i="697"/>
  <c r="B683" i="697" s="1"/>
  <c r="C866" i="697"/>
  <c r="B866" i="697" s="1"/>
  <c r="C578" i="697"/>
  <c r="B578" i="697" s="1"/>
  <c r="C535" i="697"/>
  <c r="B535" i="697" s="1"/>
  <c r="C684" i="697"/>
  <c r="B684" i="697" s="1"/>
  <c r="C754" i="697"/>
  <c r="B754" i="697" s="1"/>
  <c r="C537" i="697"/>
  <c r="B537" i="697" s="1"/>
  <c r="C540" i="697"/>
  <c r="B540" i="697" s="1"/>
  <c r="C755" i="697"/>
  <c r="B755" i="697" s="1"/>
  <c r="C685" i="697"/>
  <c r="B685" i="697" s="1"/>
  <c r="C686" i="697"/>
  <c r="B686" i="697" s="1"/>
  <c r="C705" i="697"/>
  <c r="B705" i="697" s="1"/>
  <c r="C541" i="697"/>
  <c r="B541" i="697" s="1"/>
  <c r="C542" i="697"/>
  <c r="B542" i="697" s="1"/>
  <c r="C687" i="697"/>
  <c r="B687" i="697" s="1"/>
  <c r="C733" i="697"/>
  <c r="B733" i="697" s="1"/>
  <c r="C836" i="697"/>
  <c r="B836" i="697" s="1"/>
  <c r="C756" i="697"/>
  <c r="B756" i="697" s="1"/>
  <c r="C569" i="697"/>
  <c r="B569" i="697" s="1"/>
  <c r="C706" i="697"/>
  <c r="B706" i="697" s="1"/>
  <c r="C707" i="697"/>
  <c r="B707" i="697" s="1"/>
  <c r="C734" i="697"/>
  <c r="B734" i="697" s="1"/>
  <c r="C735" i="697"/>
  <c r="B735" i="697" s="1"/>
  <c r="C580" i="697"/>
  <c r="B580" i="697" s="1"/>
  <c r="C585" i="697"/>
  <c r="B585" i="697" s="1"/>
  <c r="C630" i="697"/>
  <c r="B630" i="697" s="1"/>
  <c r="C553" i="697"/>
  <c r="B553" i="697" s="1"/>
  <c r="C749" i="697"/>
  <c r="B749" i="697" s="1"/>
  <c r="C688" i="697"/>
  <c r="B688" i="697" s="1"/>
  <c r="C837" i="697"/>
  <c r="B837" i="697" s="1"/>
  <c r="C634" i="697"/>
  <c r="B634" i="697" s="1"/>
  <c r="C757" i="697"/>
  <c r="B757" i="697" s="1"/>
  <c r="C783" i="697"/>
  <c r="B783" i="697" s="1"/>
  <c r="C689" i="697"/>
  <c r="B689" i="697" s="1"/>
  <c r="C576" i="697"/>
  <c r="B576" i="697" s="1"/>
  <c r="C758" i="697"/>
  <c r="B758" i="697" s="1"/>
  <c r="C759" i="697"/>
  <c r="B759" i="697" s="1"/>
  <c r="C760" i="697"/>
  <c r="B760" i="697" s="1"/>
  <c r="C690" i="697"/>
  <c r="B690" i="697" s="1"/>
  <c r="C579" i="697"/>
  <c r="B579" i="697" s="1"/>
  <c r="C784" i="697"/>
  <c r="B784" i="697" s="1"/>
  <c r="C838" i="697"/>
  <c r="B838" i="697" s="1"/>
  <c r="C761" i="697"/>
  <c r="B761" i="697" s="1"/>
  <c r="C811" i="697"/>
  <c r="B811" i="697" s="1"/>
  <c r="C691" i="697"/>
  <c r="B691" i="697" s="1"/>
  <c r="C815" i="697"/>
  <c r="B815" i="697" s="1"/>
  <c r="C889" i="697"/>
  <c r="B889" i="697" s="1"/>
  <c r="C582" i="697"/>
  <c r="B582" i="697" s="1"/>
  <c r="C665" i="697"/>
  <c r="B665" i="697" s="1"/>
  <c r="C583" i="697"/>
  <c r="B583" i="697" s="1"/>
  <c r="C586" i="697"/>
  <c r="B586" i="697" s="1"/>
  <c r="C692" i="697"/>
  <c r="B692" i="697" s="1"/>
  <c r="C719" i="697"/>
  <c r="B719" i="697" s="1"/>
  <c r="C661" i="697"/>
  <c r="B661" i="697" s="1"/>
  <c r="C762" i="697"/>
  <c r="B762" i="697" s="1"/>
  <c r="C763" i="697"/>
  <c r="B763" i="697" s="1"/>
  <c r="C611" i="697"/>
  <c r="B611" i="697" s="1"/>
  <c r="C816" i="697"/>
  <c r="B816" i="697" s="1"/>
  <c r="C720" i="697"/>
  <c r="B720" i="697" s="1"/>
  <c r="C693" i="697"/>
  <c r="B693" i="697" s="1"/>
  <c r="C589" i="697"/>
  <c r="B589" i="697" s="1"/>
  <c r="C839" i="697"/>
  <c r="B839" i="697" s="1"/>
  <c r="C591" i="697"/>
  <c r="B591" i="697" s="1"/>
  <c r="C721" i="697"/>
  <c r="B721" i="697" s="1"/>
  <c r="C597" i="697"/>
  <c r="B597" i="697" s="1"/>
  <c r="C598" i="697"/>
  <c r="B598" i="697" s="1"/>
  <c r="C764" i="697"/>
  <c r="B764" i="697" s="1"/>
  <c r="C694" i="697"/>
  <c r="B694" i="697" s="1"/>
  <c r="C840" i="697"/>
  <c r="B840" i="697" s="1"/>
  <c r="C793" i="697"/>
  <c r="B793" i="697" s="1"/>
  <c r="C765" i="697"/>
  <c r="B765" i="697" s="1"/>
  <c r="C601" i="697"/>
  <c r="B601" i="697" s="1"/>
  <c r="C695" i="697"/>
  <c r="B695" i="697" s="1"/>
  <c r="C599" i="697"/>
  <c r="B599" i="697" s="1"/>
  <c r="C600" i="697"/>
  <c r="B600" i="697" s="1"/>
  <c r="C812" i="697"/>
  <c r="B812" i="697" s="1"/>
  <c r="C785" i="697"/>
  <c r="B785" i="697" s="1"/>
  <c r="C722" i="697"/>
  <c r="B722" i="697" s="1"/>
  <c r="C602" i="697"/>
  <c r="B602" i="697" s="1"/>
  <c r="C603" i="697"/>
  <c r="B603" i="697" s="1"/>
  <c r="C604" i="697"/>
  <c r="B604" i="697" s="1"/>
  <c r="C605" i="697"/>
  <c r="B605" i="697" s="1"/>
  <c r="C606" i="697"/>
  <c r="B606" i="697" s="1"/>
  <c r="C607" i="697"/>
  <c r="B607" i="697" s="1"/>
  <c r="C608" i="697"/>
  <c r="B608" i="697" s="1"/>
  <c r="C609" i="697"/>
  <c r="B609" i="697" s="1"/>
  <c r="C742" i="697"/>
  <c r="B742" i="697" s="1"/>
  <c r="C738" i="697"/>
  <c r="B738" i="697" s="1"/>
  <c r="C739" i="697"/>
  <c r="B739" i="697" s="1"/>
  <c r="C740" i="697"/>
  <c r="B740" i="697" s="1"/>
  <c r="C741" i="697"/>
  <c r="B741" i="697" s="1"/>
  <c r="C766" i="697"/>
  <c r="B766" i="697" s="1"/>
  <c r="C923" i="697"/>
  <c r="B923" i="697" s="1"/>
  <c r="C902" i="697"/>
  <c r="B902" i="697" s="1"/>
  <c r="C654" i="697"/>
  <c r="B654" i="697" s="1"/>
  <c r="C723" i="697"/>
  <c r="B723" i="697" s="1"/>
  <c r="C650" i="697"/>
  <c r="B650" i="697" s="1"/>
  <c r="C854" i="697"/>
  <c r="B854" i="697" s="1"/>
  <c r="C649" i="697"/>
  <c r="B649" i="697" s="1"/>
  <c r="C696" i="697"/>
  <c r="B696" i="697" s="1"/>
  <c r="C697" i="697"/>
  <c r="B697" i="697" s="1"/>
  <c r="C647" i="697"/>
  <c r="B647" i="697" s="1"/>
  <c r="C648" i="697"/>
  <c r="B648" i="697" s="1"/>
  <c r="C698" i="697"/>
  <c r="B698" i="697" s="1"/>
  <c r="C612" i="697"/>
  <c r="B612" i="697" s="1"/>
  <c r="C613" i="697"/>
  <c r="B613" i="697" s="1"/>
  <c r="C651" i="697"/>
  <c r="B651" i="697" s="1"/>
  <c r="C767" i="697"/>
  <c r="B767" i="697" s="1"/>
  <c r="C769" i="697"/>
  <c r="B769" i="697" s="1"/>
  <c r="C631" i="697"/>
  <c r="B631" i="697" s="1"/>
  <c r="C743" i="697"/>
  <c r="B743" i="697" s="1"/>
  <c r="C622" i="697"/>
  <c r="B622" i="697" s="1"/>
  <c r="C841" i="697"/>
  <c r="B841" i="697" s="1"/>
  <c r="C768" i="697"/>
  <c r="B768" i="697" s="1"/>
  <c r="C632" i="697"/>
  <c r="B632" i="697" s="1"/>
  <c r="C633" i="697"/>
  <c r="B633" i="697" s="1"/>
  <c r="C770" i="697"/>
  <c r="B770" i="697" s="1"/>
  <c r="C640" i="697"/>
  <c r="B640" i="697" s="1"/>
  <c r="C744" i="697"/>
  <c r="B744" i="697" s="1"/>
  <c r="C890" i="697"/>
  <c r="B890" i="697" s="1"/>
  <c r="C867" i="697"/>
  <c r="B867" i="697" s="1"/>
  <c r="C855" i="697"/>
  <c r="B855" i="697" s="1"/>
  <c r="C635" i="697"/>
  <c r="B635" i="697" s="1"/>
  <c r="C891" i="697"/>
  <c r="B891" i="697" s="1"/>
  <c r="C699" i="697"/>
  <c r="B699" i="697" s="1"/>
  <c r="C903" i="697"/>
  <c r="B903" i="697" s="1"/>
  <c r="C773" i="697"/>
  <c r="B773" i="697" s="1"/>
  <c r="C636" i="697"/>
  <c r="B636" i="697" s="1"/>
  <c r="C641" i="697"/>
  <c r="B641" i="697" s="1"/>
  <c r="C652" i="697"/>
  <c r="B652" i="697" s="1"/>
  <c r="C642" i="697"/>
  <c r="B642" i="697" s="1"/>
  <c r="C643" i="697"/>
  <c r="B643" i="697" s="1"/>
  <c r="C868" i="697"/>
  <c r="B868" i="697" s="1"/>
  <c r="C892" i="697"/>
  <c r="B892" i="697" s="1"/>
  <c r="C856" i="697"/>
  <c r="B856" i="697" s="1"/>
  <c r="C842" i="697"/>
  <c r="B842" i="697" s="1"/>
  <c r="C893" i="697"/>
  <c r="B893" i="697" s="1"/>
  <c r="C843" i="697"/>
  <c r="B843" i="697" s="1"/>
  <c r="C644" i="697"/>
  <c r="B644" i="697" s="1"/>
  <c r="C799" i="697"/>
  <c r="B799" i="697" s="1"/>
  <c r="C844" i="697"/>
  <c r="B844" i="697" s="1"/>
  <c r="C857" i="697"/>
  <c r="B857" i="697" s="1"/>
  <c r="C653" i="697"/>
  <c r="B653" i="697" s="1"/>
  <c r="C655" i="697"/>
  <c r="B655" i="697" s="1"/>
  <c r="C858" i="697"/>
  <c r="B858" i="697" s="1"/>
  <c r="C656" i="697"/>
  <c r="B656" i="697" s="1"/>
  <c r="C745" i="697"/>
  <c r="B745" i="697" s="1"/>
  <c r="C746" i="697"/>
  <c r="B746" i="697" s="1"/>
  <c r="C666" i="697"/>
  <c r="B666" i="697" s="1"/>
  <c r="C859" i="697"/>
  <c r="B859" i="697" s="1"/>
  <c r="C747" i="697"/>
  <c r="B747" i="697" s="1"/>
  <c r="C924" i="697"/>
  <c r="B924" i="697" s="1"/>
  <c r="C925" i="697"/>
  <c r="B925" i="697" s="1"/>
  <c r="C926" i="697"/>
  <c r="B926" i="697" s="1"/>
  <c r="C869" i="697"/>
  <c r="B869" i="697" s="1"/>
  <c r="C667" i="697"/>
  <c r="B667" i="697" s="1"/>
  <c r="C750" i="697"/>
  <c r="B750" i="697" s="1"/>
  <c r="C668" i="697"/>
  <c r="B668" i="697" s="1"/>
  <c r="C845" i="697"/>
  <c r="B845" i="697" s="1"/>
  <c r="C1029" i="697"/>
  <c r="B1029" i="697" s="1"/>
  <c r="C700" i="697"/>
  <c r="B700" i="697" s="1"/>
  <c r="C703" i="697"/>
  <c r="B703" i="697" s="1"/>
  <c r="C704" i="697"/>
  <c r="B704" i="697" s="1"/>
  <c r="C927" i="697"/>
  <c r="B927" i="697" s="1"/>
  <c r="C928" i="697"/>
  <c r="B928" i="697" s="1"/>
  <c r="C879" i="697"/>
  <c r="B879" i="697" s="1"/>
  <c r="C846" i="697"/>
  <c r="B846" i="697" s="1"/>
  <c r="C929" i="697"/>
  <c r="B929" i="697" s="1"/>
  <c r="C861" i="697"/>
  <c r="B861" i="697" s="1"/>
  <c r="C794" i="697"/>
  <c r="B794" i="697" s="1"/>
  <c r="C860" i="697"/>
  <c r="B860" i="697" s="1"/>
  <c r="C930" i="697"/>
  <c r="B930" i="697" s="1"/>
  <c r="C894" i="697"/>
  <c r="B894" i="697" s="1"/>
  <c r="C870" i="697"/>
  <c r="B870" i="697" s="1"/>
  <c r="C862" i="697"/>
  <c r="B862" i="697" s="1"/>
  <c r="C931" i="697"/>
  <c r="B931" i="697" s="1"/>
  <c r="C932" i="697"/>
  <c r="B932" i="697" s="1"/>
  <c r="C933" i="697"/>
  <c r="B933" i="697" s="1"/>
  <c r="C708" i="697"/>
  <c r="B708" i="697" s="1"/>
  <c r="C709" i="697"/>
  <c r="B709" i="697" s="1"/>
  <c r="C710" i="697"/>
  <c r="B710" i="697" s="1"/>
  <c r="C711" i="697"/>
  <c r="B711" i="697" s="1"/>
  <c r="C712" i="697"/>
  <c r="B712" i="697" s="1"/>
  <c r="C713" i="697"/>
  <c r="B713" i="697" s="1"/>
  <c r="C787" i="697"/>
  <c r="B787" i="697" s="1"/>
  <c r="C788" i="697"/>
  <c r="B788" i="697" s="1"/>
  <c r="C952" i="697"/>
  <c r="B952" i="697" s="1"/>
  <c r="C786" i="697"/>
  <c r="B786" i="697" s="1"/>
  <c r="C809" i="697"/>
  <c r="B809" i="697" s="1"/>
  <c r="C810" i="697"/>
  <c r="B810" i="697" s="1"/>
  <c r="C736" i="697"/>
  <c r="B736" i="697" s="1"/>
  <c r="C748" i="697"/>
  <c r="B748" i="697" s="1"/>
  <c r="C774" i="697"/>
  <c r="B774" i="697" s="1"/>
  <c r="C775" i="697"/>
  <c r="B775" i="697" s="1"/>
  <c r="C776" i="697"/>
  <c r="B776" i="697" s="1"/>
  <c r="C789" i="697"/>
  <c r="B789" i="697" s="1"/>
  <c r="C934" i="697"/>
  <c r="B934" i="697" s="1"/>
  <c r="C724" i="697"/>
  <c r="B724" i="697" s="1"/>
  <c r="C725" i="697"/>
  <c r="B725" i="697" s="1"/>
  <c r="C726" i="697"/>
  <c r="B726" i="697" s="1"/>
  <c r="C727" i="697"/>
  <c r="B727" i="697" s="1"/>
  <c r="C790" i="697"/>
  <c r="B790" i="697" s="1"/>
  <c r="C1021" i="697"/>
  <c r="B1021" i="697" s="1"/>
  <c r="C728" i="697"/>
  <c r="B728" i="697" s="1"/>
  <c r="C729" i="697"/>
  <c r="B729" i="697" s="1"/>
  <c r="C730" i="697"/>
  <c r="B730" i="697" s="1"/>
  <c r="C953" i="697"/>
  <c r="B953" i="697" s="1"/>
  <c r="C871" i="697"/>
  <c r="B871" i="697" s="1"/>
  <c r="C817" i="697"/>
  <c r="B817" i="697" s="1"/>
  <c r="C737" i="697"/>
  <c r="B737" i="697" s="1"/>
  <c r="C1084" i="697"/>
  <c r="B1084" i="697" s="1"/>
  <c r="C880" i="697"/>
  <c r="B880" i="697" s="1"/>
  <c r="C863" i="697"/>
  <c r="B863" i="697" s="1"/>
  <c r="C570" i="697"/>
  <c r="B570" i="697" s="1"/>
  <c r="C571" i="697"/>
  <c r="B571" i="697" s="1"/>
  <c r="C572" i="697"/>
  <c r="B572" i="697" s="1"/>
  <c r="C573" i="697"/>
  <c r="B573" i="697" s="1"/>
  <c r="C574" i="697"/>
  <c r="B574" i="697" s="1"/>
  <c r="C575" i="697"/>
  <c r="B575" i="697" s="1"/>
  <c r="C771" i="697"/>
  <c r="B771" i="697" s="1"/>
  <c r="C772" i="697"/>
  <c r="B772" i="697" s="1"/>
  <c r="C954" i="697"/>
  <c r="B954" i="697" s="1"/>
  <c r="C955" i="697"/>
  <c r="B955" i="697" s="1"/>
  <c r="C982" i="697"/>
  <c r="B982" i="697" s="1"/>
  <c r="C777" i="697"/>
  <c r="B777" i="697" s="1"/>
  <c r="C956" i="697"/>
  <c r="B956" i="697" s="1"/>
  <c r="C981" i="697"/>
  <c r="B981" i="697" s="1"/>
  <c r="C980" i="697"/>
  <c r="B980" i="697" s="1"/>
  <c r="C983" i="697"/>
  <c r="B983" i="697" s="1"/>
  <c r="C904" i="697"/>
  <c r="B904" i="697" s="1"/>
  <c r="C984" i="697"/>
  <c r="B984" i="697" s="1"/>
  <c r="C912" i="697"/>
  <c r="B912" i="697" s="1"/>
  <c r="C913" i="697"/>
  <c r="B913" i="697" s="1"/>
  <c r="C778" i="697"/>
  <c r="B778" i="697" s="1"/>
  <c r="C957" i="697"/>
  <c r="B957" i="697" s="1"/>
  <c r="C881" i="697"/>
  <c r="B881" i="697" s="1"/>
  <c r="C779" i="697"/>
  <c r="B779" i="697" s="1"/>
  <c r="C780" i="697"/>
  <c r="B780" i="697" s="1"/>
  <c r="C905" i="697"/>
  <c r="B905" i="697" s="1"/>
  <c r="C985" i="697"/>
  <c r="B985" i="697" s="1"/>
  <c r="C781" i="697"/>
  <c r="B781" i="697" s="1"/>
  <c r="C906" i="697"/>
  <c r="B906" i="697" s="1"/>
  <c r="C948" i="697"/>
  <c r="B948" i="697" s="1"/>
  <c r="C935" i="697"/>
  <c r="B935" i="697" s="1"/>
  <c r="C936" i="697"/>
  <c r="B936" i="697" s="1"/>
  <c r="C791" i="697"/>
  <c r="B791" i="697" s="1"/>
  <c r="C795" i="697"/>
  <c r="B795" i="697" s="1"/>
  <c r="C937" i="697"/>
  <c r="B937" i="697" s="1"/>
  <c r="C986" i="697"/>
  <c r="B986" i="697" s="1"/>
  <c r="C895" i="697"/>
  <c r="B895" i="697" s="1"/>
  <c r="C896" i="697"/>
  <c r="B896" i="697" s="1"/>
  <c r="C914" i="697"/>
  <c r="B914" i="697" s="1"/>
  <c r="C958" i="697"/>
  <c r="B958" i="697" s="1"/>
  <c r="C792" i="697"/>
  <c r="B792" i="697" s="1"/>
  <c r="C987" i="697"/>
  <c r="B987" i="697" s="1"/>
  <c r="C801" i="697"/>
  <c r="B801" i="697" s="1"/>
  <c r="C989" i="697"/>
  <c r="B989" i="697" s="1"/>
  <c r="C959" i="697"/>
  <c r="B959" i="697" s="1"/>
  <c r="C800" i="697"/>
  <c r="B800" i="697" s="1"/>
  <c r="C796" i="697"/>
  <c r="B796" i="697" s="1"/>
  <c r="C988" i="697"/>
  <c r="B988" i="697" s="1"/>
  <c r="C797" i="697"/>
  <c r="B797" i="697" s="1"/>
  <c r="C798" i="697"/>
  <c r="B798" i="697" s="1"/>
  <c r="C802" i="697"/>
  <c r="B802" i="697" s="1"/>
  <c r="C990" i="697"/>
  <c r="B990" i="697" s="1"/>
  <c r="C803" i="697"/>
  <c r="B803" i="697" s="1"/>
  <c r="C804" i="697"/>
  <c r="B804" i="697" s="1"/>
  <c r="C805" i="697"/>
  <c r="B805" i="697" s="1"/>
  <c r="C806" i="697"/>
  <c r="B806" i="697" s="1"/>
  <c r="C807" i="697"/>
  <c r="B807" i="697" s="1"/>
  <c r="C808" i="697"/>
  <c r="B808" i="697" s="1"/>
  <c r="C1022" i="697"/>
  <c r="B1022" i="697" s="1"/>
  <c r="C1005" i="697"/>
  <c r="B1005" i="697" s="1"/>
  <c r="C814" i="697"/>
  <c r="B814" i="697" s="1"/>
  <c r="C813" i="697"/>
  <c r="B813" i="697" s="1"/>
  <c r="C991" i="697"/>
  <c r="B991" i="697" s="1"/>
  <c r="C993" i="697"/>
  <c r="B993" i="697" s="1"/>
  <c r="C992" i="697"/>
  <c r="B992" i="697" s="1"/>
  <c r="C818" i="697"/>
  <c r="B818" i="697" s="1"/>
  <c r="C938" i="697"/>
  <c r="B938" i="697" s="1"/>
  <c r="C819" i="697"/>
  <c r="B819" i="697" s="1"/>
  <c r="C820" i="697"/>
  <c r="B820" i="697" s="1"/>
  <c r="C823" i="697"/>
  <c r="B823" i="697" s="1"/>
  <c r="C824" i="697"/>
  <c r="B824" i="697" s="1"/>
  <c r="C825" i="697"/>
  <c r="B825" i="697" s="1"/>
  <c r="C826" i="697"/>
  <c r="B826" i="697" s="1"/>
  <c r="C827" i="697"/>
  <c r="B827" i="697" s="1"/>
  <c r="C828" i="697"/>
  <c r="B828" i="697" s="1"/>
  <c r="C939" i="697"/>
  <c r="B939" i="697" s="1"/>
  <c r="C821" i="697"/>
  <c r="B821" i="697" s="1"/>
  <c r="C822" i="697"/>
  <c r="B822" i="697" s="1"/>
  <c r="C918" i="697"/>
  <c r="B918" i="697" s="1"/>
  <c r="C898" i="697"/>
  <c r="B898" i="697" s="1"/>
  <c r="C829" i="697"/>
  <c r="B829" i="697" s="1"/>
  <c r="C830" i="697"/>
  <c r="B830" i="697" s="1"/>
  <c r="C847" i="697"/>
  <c r="B847" i="697" s="1"/>
  <c r="C831" i="697"/>
  <c r="B831" i="697" s="1"/>
  <c r="C832" i="697"/>
  <c r="B832" i="697" s="1"/>
  <c r="C833" i="697"/>
  <c r="B833" i="697" s="1"/>
  <c r="C1000" i="697"/>
  <c r="B1000" i="697" s="1"/>
  <c r="C960" i="697"/>
  <c r="B960" i="697" s="1"/>
  <c r="C834" i="697"/>
  <c r="B834" i="697" s="1"/>
  <c r="C1030" i="697"/>
  <c r="B1030" i="697" s="1"/>
  <c r="C877" i="697"/>
  <c r="B877" i="697" s="1"/>
  <c r="C897" i="697"/>
  <c r="B897" i="697" s="1"/>
  <c r="C916" i="697"/>
  <c r="B916" i="697" s="1"/>
  <c r="C917" i="697"/>
  <c r="B917" i="697" s="1"/>
  <c r="C852" i="697"/>
  <c r="B852" i="697" s="1"/>
  <c r="C872" i="697"/>
  <c r="B872" i="697" s="1"/>
  <c r="C886" i="697"/>
  <c r="B886" i="697" s="1"/>
  <c r="C848" i="697"/>
  <c r="B848" i="697" s="1"/>
  <c r="C915" i="697"/>
  <c r="B915" i="697" s="1"/>
  <c r="C1143" i="697"/>
  <c r="B1143" i="697" s="1"/>
  <c r="C875" i="697"/>
  <c r="B875" i="697" s="1"/>
  <c r="C876" i="697"/>
  <c r="B876" i="697" s="1"/>
  <c r="C878" i="697"/>
  <c r="B878" i="697" s="1"/>
  <c r="C994" i="697"/>
  <c r="B994" i="697" s="1"/>
  <c r="C850" i="697"/>
  <c r="B850" i="697" s="1"/>
  <c r="C849" i="697"/>
  <c r="B849" i="697" s="1"/>
  <c r="C1002" i="697"/>
  <c r="B1002" i="697" s="1"/>
  <c r="C899" i="697"/>
  <c r="B899" i="697" s="1"/>
  <c r="C1001" i="697"/>
  <c r="B1001" i="697" s="1"/>
  <c r="C1006" i="697"/>
  <c r="B1006" i="697" s="1"/>
  <c r="C851" i="697"/>
  <c r="B851" i="697" s="1"/>
  <c r="C940" i="697"/>
  <c r="B940" i="697" s="1"/>
  <c r="C941" i="697"/>
  <c r="B941" i="697" s="1"/>
  <c r="C1007" i="697"/>
  <c r="B1007" i="697" s="1"/>
  <c r="C995" i="697"/>
  <c r="B995" i="697" s="1"/>
  <c r="C1212" i="697"/>
  <c r="B1212" i="697" s="1"/>
  <c r="C853" i="697"/>
  <c r="B853" i="697" s="1"/>
  <c r="C1023" i="697"/>
  <c r="B1023" i="697" s="1"/>
  <c r="C1008" i="697"/>
  <c r="B1008" i="697" s="1"/>
  <c r="C1044" i="697"/>
  <c r="B1044" i="697" s="1"/>
  <c r="C864" i="697"/>
  <c r="B864" i="697" s="1"/>
  <c r="C865" i="697"/>
  <c r="B865" i="697" s="1"/>
  <c r="C942" i="697"/>
  <c r="B942" i="697" s="1"/>
  <c r="C1024" i="697"/>
  <c r="B1024" i="697" s="1"/>
  <c r="C873" i="697"/>
  <c r="B873" i="697" s="1"/>
  <c r="C943" i="697"/>
  <c r="B943" i="697" s="1"/>
  <c r="C1045" i="697"/>
  <c r="B1045" i="697" s="1"/>
  <c r="C1046" i="697"/>
  <c r="B1046" i="697" s="1"/>
  <c r="C1047" i="697"/>
  <c r="B1047" i="697" s="1"/>
  <c r="C874" i="697"/>
  <c r="B874" i="697" s="1"/>
  <c r="C1025" i="697"/>
  <c r="B1025" i="697" s="1"/>
  <c r="C1031" i="697"/>
  <c r="B1031" i="697" s="1"/>
  <c r="C1048" i="697"/>
  <c r="B1048" i="697" s="1"/>
  <c r="C882" i="697"/>
  <c r="B882" i="697" s="1"/>
  <c r="C883" i="697"/>
  <c r="B883" i="697" s="1"/>
  <c r="C884" i="697"/>
  <c r="B884" i="697" s="1"/>
  <c r="C885" i="697"/>
  <c r="B885" i="697" s="1"/>
  <c r="C1049" i="697"/>
  <c r="B1049" i="697" s="1"/>
  <c r="C1050" i="697"/>
  <c r="B1050" i="697" s="1"/>
  <c r="C900" i="697"/>
  <c r="B900" i="697" s="1"/>
  <c r="C887" i="697"/>
  <c r="B887" i="697" s="1"/>
  <c r="C888" i="697"/>
  <c r="B888" i="697" s="1"/>
  <c r="C1091" i="697"/>
  <c r="B1091" i="697" s="1"/>
  <c r="C1068" i="697"/>
  <c r="B1068" i="697" s="1"/>
  <c r="C1075" i="697"/>
  <c r="B1075" i="697" s="1"/>
  <c r="C901" i="697"/>
  <c r="B901" i="697" s="1"/>
  <c r="C1096" i="697"/>
  <c r="B1096" i="697" s="1"/>
  <c r="C907" i="697"/>
  <c r="B907" i="697" s="1"/>
  <c r="C908" i="697"/>
  <c r="B908" i="697" s="1"/>
  <c r="C909" i="697"/>
  <c r="B909" i="697" s="1"/>
  <c r="C910" i="697"/>
  <c r="B910" i="697" s="1"/>
  <c r="C911" i="697"/>
  <c r="B911" i="697" s="1"/>
  <c r="C1168" i="697"/>
  <c r="B1168" i="697" s="1"/>
  <c r="C944" i="697"/>
  <c r="B944" i="697" s="1"/>
  <c r="C1097" i="697"/>
  <c r="B1097" i="697" s="1"/>
  <c r="C1069" i="697"/>
  <c r="B1069" i="697" s="1"/>
  <c r="C1051" i="697"/>
  <c r="B1051" i="697" s="1"/>
  <c r="C922" i="697"/>
  <c r="B922" i="697" s="1"/>
  <c r="C919" i="697"/>
  <c r="B919" i="697" s="1"/>
  <c r="C920" i="697"/>
  <c r="B920" i="697" s="1"/>
  <c r="C921" i="697"/>
  <c r="B921" i="697" s="1"/>
  <c r="C1076" i="697"/>
  <c r="B1076" i="697" s="1"/>
  <c r="C945" i="697"/>
  <c r="B945" i="697" s="1"/>
  <c r="C1162" i="697"/>
  <c r="B1162" i="697" s="1"/>
  <c r="C1169" i="697"/>
  <c r="B1169" i="697" s="1"/>
  <c r="C1083" i="697"/>
  <c r="B1083" i="697" s="1"/>
  <c r="C946" i="697"/>
  <c r="B946" i="697" s="1"/>
  <c r="C1082" i="697"/>
  <c r="B1082" i="697" s="1"/>
  <c r="C1131" i="697"/>
  <c r="B1131" i="697" s="1"/>
  <c r="C1077" i="697"/>
  <c r="B1077" i="697" s="1"/>
  <c r="C1052" i="697"/>
  <c r="B1052" i="697" s="1"/>
  <c r="C1098" i="697"/>
  <c r="B1098" i="697" s="1"/>
  <c r="C1070" i="697"/>
  <c r="B1070" i="697" s="1"/>
  <c r="C1085" i="697"/>
  <c r="B1085" i="697" s="1"/>
  <c r="C947" i="697"/>
  <c r="B947" i="697" s="1"/>
  <c r="C9" i="697"/>
  <c r="B9" i="697" s="1"/>
  <c r="C1032" i="697"/>
  <c r="B1032" i="697" s="1"/>
  <c r="C1053" i="697"/>
  <c r="B1053" i="697" s="1"/>
  <c r="C949" i="697"/>
  <c r="B949" i="697" s="1"/>
  <c r="C950" i="697"/>
  <c r="B950" i="697" s="1"/>
  <c r="C1092" i="697"/>
  <c r="B1092" i="697" s="1"/>
  <c r="C1099" i="697"/>
  <c r="B1099" i="697" s="1"/>
  <c r="C1130" i="697"/>
  <c r="B1130" i="697" s="1"/>
  <c r="C1078" i="697"/>
  <c r="B1078" i="697" s="1"/>
  <c r="C951" i="697"/>
  <c r="B951" i="697" s="1"/>
  <c r="C1037" i="697"/>
  <c r="B1037" i="697" s="1"/>
  <c r="C1071" i="697"/>
  <c r="B1071" i="697" s="1"/>
  <c r="C1100" i="697"/>
  <c r="B1100" i="697" s="1"/>
  <c r="C1086" i="697"/>
  <c r="B1086" i="697" s="1"/>
  <c r="C1089" i="697"/>
  <c r="B1089" i="697" s="1"/>
  <c r="C1101" i="697"/>
  <c r="B1101" i="697" s="1"/>
  <c r="C1087" i="697"/>
  <c r="B1087" i="697" s="1"/>
  <c r="C1238" i="697"/>
  <c r="B1238" i="697" s="1"/>
  <c r="C1088" i="697"/>
  <c r="B1088" i="697" s="1"/>
  <c r="C1009" i="697"/>
  <c r="B1009" i="697" s="1"/>
  <c r="C972" i="697"/>
  <c r="B972" i="697" s="1"/>
  <c r="C1054" i="697"/>
  <c r="B1054" i="697" s="1"/>
  <c r="C1033" i="697"/>
  <c r="B1033" i="697" s="1"/>
  <c r="C1102" i="697"/>
  <c r="B1102" i="697" s="1"/>
  <c r="C1010" i="697"/>
  <c r="B1010" i="697" s="1"/>
  <c r="C961" i="697"/>
  <c r="B961" i="697" s="1"/>
  <c r="C962" i="697"/>
  <c r="B962" i="697" s="1"/>
  <c r="C963" i="697"/>
  <c r="B963" i="697" s="1"/>
  <c r="C964" i="697"/>
  <c r="B964" i="697" s="1"/>
  <c r="C965" i="697"/>
  <c r="B965" i="697" s="1"/>
  <c r="C966" i="697"/>
  <c r="B966" i="697" s="1"/>
  <c r="C967" i="697"/>
  <c r="B967" i="697" s="1"/>
  <c r="C968" i="697"/>
  <c r="B968" i="697" s="1"/>
  <c r="C969" i="697"/>
  <c r="B969" i="697" s="1"/>
  <c r="C970" i="697"/>
  <c r="B970" i="697" s="1"/>
  <c r="C971" i="697"/>
  <c r="B971" i="697" s="1"/>
  <c r="C1055" i="697"/>
  <c r="B1055" i="697" s="1"/>
  <c r="C1056" i="697"/>
  <c r="B1056" i="697" s="1"/>
  <c r="C1057" i="697"/>
  <c r="B1057" i="697" s="1"/>
  <c r="C1058" i="697"/>
  <c r="B1058" i="697" s="1"/>
  <c r="C1059" i="697"/>
  <c r="B1059" i="697" s="1"/>
  <c r="C1060" i="697"/>
  <c r="B1060" i="697" s="1"/>
  <c r="C1017" i="697"/>
  <c r="B1017" i="697" s="1"/>
  <c r="C1190" i="697"/>
  <c r="B1190" i="697" s="1"/>
  <c r="C1018" i="697"/>
  <c r="B1018" i="697" s="1"/>
  <c r="C973" i="697"/>
  <c r="B973" i="697" s="1"/>
  <c r="C974" i="697"/>
  <c r="B974" i="697" s="1"/>
  <c r="C1124" i="697"/>
  <c r="B1124" i="697" s="1"/>
  <c r="C996" i="697"/>
  <c r="B996" i="697" s="1"/>
  <c r="C1118" i="697"/>
  <c r="B1118" i="697" s="1"/>
  <c r="C1013" i="697"/>
  <c r="B1013" i="697" s="1"/>
  <c r="C1189" i="697"/>
  <c r="B1189" i="697" s="1"/>
  <c r="C1014" i="697"/>
  <c r="B1014" i="697" s="1"/>
  <c r="C975" i="697"/>
  <c r="B975" i="697" s="1"/>
  <c r="C1015" i="697"/>
  <c r="B1015" i="697" s="1"/>
  <c r="C1016" i="697"/>
  <c r="B1016" i="697" s="1"/>
  <c r="C976" i="697"/>
  <c r="B976" i="697" s="1"/>
  <c r="C1040" i="697"/>
  <c r="B1040" i="697" s="1"/>
  <c r="C977" i="697"/>
  <c r="B977" i="697" s="1"/>
  <c r="C1093" i="697"/>
  <c r="B1093" i="697" s="1"/>
  <c r="C1112" i="697"/>
  <c r="B1112" i="697" s="1"/>
  <c r="C1011" i="697"/>
  <c r="B1011" i="697" s="1"/>
  <c r="C1103" i="697"/>
  <c r="B1103" i="697" s="1"/>
  <c r="C1012" i="697"/>
  <c r="B1012" i="697" s="1"/>
  <c r="C1019" i="697"/>
  <c r="B1019" i="697" s="1"/>
  <c r="C978" i="697"/>
  <c r="B978" i="697" s="1"/>
  <c r="C1213" i="697"/>
  <c r="B1213" i="697" s="1"/>
  <c r="C1061" i="697"/>
  <c r="B1061" i="697" s="1"/>
  <c r="C1104" i="697"/>
  <c r="B1104" i="697" s="1"/>
  <c r="C1320" i="697"/>
  <c r="B1320" i="697" s="1"/>
  <c r="C1293" i="697"/>
  <c r="B1293" i="697" s="1"/>
  <c r="C1191" i="697"/>
  <c r="B1191" i="697" s="1"/>
  <c r="C1206" i="697"/>
  <c r="B1206" i="697" s="1"/>
  <c r="C1289" i="697"/>
  <c r="B1289" i="697" s="1"/>
  <c r="C1253" i="697"/>
  <c r="B1253" i="697" s="1"/>
  <c r="C1321" i="697"/>
  <c r="B1321" i="697" s="1"/>
  <c r="C1239" i="697"/>
  <c r="B1239" i="697" s="1"/>
  <c r="C1157" i="697"/>
  <c r="B1157" i="697" s="1"/>
  <c r="C997" i="697"/>
  <c r="B997" i="697" s="1"/>
  <c r="C998" i="697"/>
  <c r="B998" i="697" s="1"/>
  <c r="C999" i="697"/>
  <c r="B999" i="697" s="1"/>
  <c r="C1604" i="697"/>
  <c r="B1604" i="697" s="1"/>
  <c r="C1158" i="697"/>
  <c r="B1158" i="697" s="1"/>
  <c r="C1132" i="697"/>
  <c r="B1132" i="697" s="1"/>
  <c r="C1003" i="697"/>
  <c r="B1003" i="697" s="1"/>
  <c r="C1062" i="697"/>
  <c r="B1062" i="697" s="1"/>
  <c r="C1063" i="697"/>
  <c r="B1063" i="697" s="1"/>
  <c r="C1004" i="697"/>
  <c r="B1004" i="697" s="1"/>
  <c r="C1170" i="697"/>
  <c r="B1170" i="697" s="1"/>
  <c r="C1020" i="697"/>
  <c r="B1020" i="697" s="1"/>
  <c r="C1270" i="697"/>
  <c r="B1270" i="697" s="1"/>
  <c r="C1271" i="697"/>
  <c r="B1271" i="697" s="1"/>
  <c r="C1176" i="697"/>
  <c r="B1176" i="697" s="1"/>
  <c r="C1294" i="697"/>
  <c r="B1294" i="697" s="1"/>
  <c r="C1034" i="697"/>
  <c r="B1034" i="697" s="1"/>
  <c r="C1163" i="697"/>
  <c r="B1163" i="697" s="1"/>
  <c r="C1026" i="697"/>
  <c r="B1026" i="697" s="1"/>
  <c r="C1027" i="697"/>
  <c r="B1027" i="697" s="1"/>
  <c r="C1028" i="697"/>
  <c r="B1028" i="697" s="1"/>
  <c r="C1252" i="697"/>
  <c r="B1252" i="697" s="1"/>
  <c r="C1133" i="697"/>
  <c r="B1133" i="697" s="1"/>
  <c r="C1177" i="697"/>
  <c r="B1177" i="697" s="1"/>
  <c r="C1036" i="697"/>
  <c r="B1036" i="697" s="1"/>
  <c r="C1035" i="697"/>
  <c r="B1035" i="697" s="1"/>
  <c r="C1248" i="697"/>
  <c r="B1248" i="697" s="1"/>
  <c r="C1171" i="697"/>
  <c r="B1171" i="697" s="1"/>
  <c r="C1192" i="697"/>
  <c r="B1192" i="697" s="1"/>
  <c r="C1038" i="697"/>
  <c r="B1038" i="697" s="1"/>
  <c r="C1079" i="697"/>
  <c r="B1079" i="697" s="1"/>
  <c r="C1178" i="697"/>
  <c r="B1178" i="697" s="1"/>
  <c r="C1039" i="697"/>
  <c r="B1039" i="697" s="1"/>
  <c r="C1229" i="697"/>
  <c r="B1229" i="697" s="1"/>
  <c r="C1179" i="697"/>
  <c r="B1179" i="697" s="1"/>
  <c r="C1113" i="697"/>
  <c r="B1113" i="697" s="1"/>
  <c r="C1080" i="697"/>
  <c r="B1080" i="697" s="1"/>
  <c r="C1180" i="697"/>
  <c r="B1180" i="697" s="1"/>
  <c r="C1295" i="697"/>
  <c r="B1295" i="697" s="1"/>
  <c r="C1041" i="697"/>
  <c r="B1041" i="697" s="1"/>
  <c r="C1214" i="697"/>
  <c r="B1214" i="697" s="1"/>
  <c r="C1042" i="697"/>
  <c r="B1042" i="697" s="1"/>
  <c r="C1043" i="697"/>
  <c r="B1043" i="697" s="1"/>
  <c r="C1072" i="697"/>
  <c r="B1072" i="697" s="1"/>
  <c r="C1066" i="697"/>
  <c r="B1066" i="697" s="1"/>
  <c r="C1067" i="697"/>
  <c r="B1067" i="697" s="1"/>
  <c r="C1372" i="697"/>
  <c r="B1372" i="697" s="1"/>
  <c r="C1065" i="697"/>
  <c r="B1065" i="697" s="1"/>
  <c r="C1296" i="697"/>
  <c r="B1296" i="697" s="1"/>
  <c r="C1064" i="697"/>
  <c r="B1064" i="697" s="1"/>
  <c r="C1144" i="697"/>
  <c r="B1144" i="697" s="1"/>
  <c r="C1182" i="697"/>
  <c r="B1182" i="697" s="1"/>
  <c r="C1183" i="697"/>
  <c r="B1183" i="697" s="1"/>
  <c r="C1203" i="697"/>
  <c r="B1203" i="697" s="1"/>
  <c r="C1073" i="697"/>
  <c r="B1073" i="697" s="1"/>
  <c r="C1074" i="697"/>
  <c r="B1074" i="697" s="1"/>
  <c r="C1081" i="697"/>
  <c r="B1081" i="697" s="1"/>
  <c r="C1181" i="697"/>
  <c r="B1181" i="697" s="1"/>
  <c r="C1090" i="697"/>
  <c r="B1090" i="697" s="1"/>
  <c r="C1322" i="697"/>
  <c r="B1322" i="697" s="1"/>
  <c r="C1184" i="697"/>
  <c r="B1184" i="697" s="1"/>
  <c r="C1228" i="697"/>
  <c r="B1228" i="697" s="1"/>
  <c r="C1272" i="697"/>
  <c r="B1272" i="697" s="1"/>
  <c r="C1193" i="697"/>
  <c r="B1193" i="697" s="1"/>
  <c r="C1094" i="697"/>
  <c r="B1094" i="697" s="1"/>
  <c r="C1323" i="697"/>
  <c r="B1323" i="697" s="1"/>
  <c r="C1290" i="697"/>
  <c r="B1290" i="697" s="1"/>
  <c r="C1216" i="697"/>
  <c r="B1216" i="697" s="1"/>
  <c r="C1240" i="697"/>
  <c r="B1240" i="697" s="1"/>
  <c r="C1105" i="697"/>
  <c r="B1105" i="697" s="1"/>
  <c r="C1095" i="697"/>
  <c r="B1095" i="697" s="1"/>
  <c r="C1215" i="697"/>
  <c r="B1215" i="697" s="1"/>
  <c r="C1230" i="697"/>
  <c r="B1230" i="697" s="1"/>
  <c r="C979" i="697"/>
  <c r="B979" i="697" s="1"/>
  <c r="C1106" i="697"/>
  <c r="B1106" i="697" s="1"/>
  <c r="C1107" i="697"/>
  <c r="B1107" i="697" s="1"/>
  <c r="C1273" i="697"/>
  <c r="B1273" i="697" s="1"/>
  <c r="C1108" i="697"/>
  <c r="B1108" i="697" s="1"/>
  <c r="C1297" i="697"/>
  <c r="B1297" i="697" s="1"/>
  <c r="C1110" i="697"/>
  <c r="B1110" i="697" s="1"/>
  <c r="C1138" i="697"/>
  <c r="B1138" i="697" s="1"/>
  <c r="C1109" i="697"/>
  <c r="B1109" i="697" s="1"/>
  <c r="C1111" i="697"/>
  <c r="B1111" i="697" s="1"/>
  <c r="C1126" i="697"/>
  <c r="B1126" i="697" s="1"/>
  <c r="C1145" i="697"/>
  <c r="B1145" i="697" s="1"/>
  <c r="C1150" i="697"/>
  <c r="B1150" i="697" s="1"/>
  <c r="C1134" i="697"/>
  <c r="B1134" i="697" s="1"/>
  <c r="C1274" i="697"/>
  <c r="B1274" i="697" s="1"/>
  <c r="C1275" i="697"/>
  <c r="B1275" i="697" s="1"/>
  <c r="C1146" i="697"/>
  <c r="B1146" i="697" s="1"/>
  <c r="C1147" i="697"/>
  <c r="B1147" i="697" s="1"/>
  <c r="C1148" i="697"/>
  <c r="B1148" i="697" s="1"/>
  <c r="C1149" i="697"/>
  <c r="B1149" i="697" s="1"/>
  <c r="C1151" i="697"/>
  <c r="B1151" i="697" s="1"/>
  <c r="C1114" i="697"/>
  <c r="B1114" i="697" s="1"/>
  <c r="C1135" i="697"/>
  <c r="B1135" i="697" s="1"/>
  <c r="C1125" i="697"/>
  <c r="B1125" i="697" s="1"/>
  <c r="C1127" i="697"/>
  <c r="B1127" i="697" s="1"/>
  <c r="C1266" i="697"/>
  <c r="B1266" i="697" s="1"/>
  <c r="C1115" i="697"/>
  <c r="B1115" i="697" s="1"/>
  <c r="C1116" i="697"/>
  <c r="B1116" i="697" s="1"/>
  <c r="C1117" i="697"/>
  <c r="B1117" i="697" s="1"/>
  <c r="C1152" i="697"/>
  <c r="B1152" i="697" s="1"/>
  <c r="C1241" i="697"/>
  <c r="B1241" i="697" s="1"/>
  <c r="C1120" i="697"/>
  <c r="B1120" i="697" s="1"/>
  <c r="C1119" i="697"/>
  <c r="B1119" i="697" s="1"/>
  <c r="C1217" i="697"/>
  <c r="B1217" i="697" s="1"/>
  <c r="C1121" i="697"/>
  <c r="B1121" i="697" s="1"/>
  <c r="C1122" i="697"/>
  <c r="B1122" i="697" s="1"/>
  <c r="C1123" i="697"/>
  <c r="B1123" i="697" s="1"/>
  <c r="C1194" i="697"/>
  <c r="B1194" i="697" s="1"/>
  <c r="C1128" i="697"/>
  <c r="B1128" i="697" s="1"/>
  <c r="C1129" i="697"/>
  <c r="B1129" i="697" s="1"/>
  <c r="C1174" i="697"/>
  <c r="B1174" i="697" s="1"/>
  <c r="C1136" i="697"/>
  <c r="B1136" i="697" s="1"/>
  <c r="C1235" i="697"/>
  <c r="B1235" i="697" s="1"/>
  <c r="C1326" i="697"/>
  <c r="B1326" i="697" s="1"/>
  <c r="C1207" i="697"/>
  <c r="B1207" i="697" s="1"/>
  <c r="C1254" i="697"/>
  <c r="B1254" i="697" s="1"/>
  <c r="C1137" i="697"/>
  <c r="B1137" i="697" s="1"/>
  <c r="C1365" i="697"/>
  <c r="B1365" i="697" s="1"/>
  <c r="C1327" i="697"/>
  <c r="B1327" i="697" s="1"/>
  <c r="C1139" i="697"/>
  <c r="B1139" i="697" s="1"/>
  <c r="C1140" i="697"/>
  <c r="B1140" i="697" s="1"/>
  <c r="C1141" i="697"/>
  <c r="B1141" i="697" s="1"/>
  <c r="C1160" i="697"/>
  <c r="B1160" i="697" s="1"/>
  <c r="C1153" i="697"/>
  <c r="B1153" i="697" s="1"/>
  <c r="C1142" i="697"/>
  <c r="B1142" i="697" s="1"/>
  <c r="C1159" i="697"/>
  <c r="B1159" i="697" s="1"/>
  <c r="C1154" i="697"/>
  <c r="B1154" i="697" s="1"/>
  <c r="C1155" i="697"/>
  <c r="B1155" i="697" s="1"/>
  <c r="C1156" i="697"/>
  <c r="B1156" i="697" s="1"/>
  <c r="C1366" i="697"/>
  <c r="B1366" i="697" s="1"/>
  <c r="C1185" i="697"/>
  <c r="B1185" i="697" s="1"/>
  <c r="C1161" i="697"/>
  <c r="B1161" i="697" s="1"/>
  <c r="C1334" i="697"/>
  <c r="B1334" i="697" s="1"/>
  <c r="C1255" i="697"/>
  <c r="B1255" i="697" s="1"/>
  <c r="C1298" i="697"/>
  <c r="B1298" i="697" s="1"/>
  <c r="C1267" i="697"/>
  <c r="B1267" i="697" s="1"/>
  <c r="C1195" i="697"/>
  <c r="B1195" i="697" s="1"/>
  <c r="C1196" i="697"/>
  <c r="B1196" i="697" s="1"/>
  <c r="C1268" i="697"/>
  <c r="B1268" i="697" s="1"/>
  <c r="C1164" i="697"/>
  <c r="B1164" i="697" s="1"/>
  <c r="C1335" i="697"/>
  <c r="B1335" i="697" s="1"/>
  <c r="C1328" i="697"/>
  <c r="B1328" i="697" s="1"/>
  <c r="C1165" i="697"/>
  <c r="B1165" i="697" s="1"/>
  <c r="C1166" i="697"/>
  <c r="B1166" i="697" s="1"/>
  <c r="C1276" i="697"/>
  <c r="B1276" i="697" s="1"/>
  <c r="C1277" i="697"/>
  <c r="B1277" i="697" s="1"/>
  <c r="C1256" i="697"/>
  <c r="B1256" i="697" s="1"/>
  <c r="C1172" i="697"/>
  <c r="B1172" i="697" s="1"/>
  <c r="C1330" i="697"/>
  <c r="B1330" i="697" s="1"/>
  <c r="C1324" i="697"/>
  <c r="B1324" i="697" s="1"/>
  <c r="C1299" i="697"/>
  <c r="B1299" i="697" s="1"/>
  <c r="C1586" i="697"/>
  <c r="B1586" i="697" s="1"/>
  <c r="C1175" i="697"/>
  <c r="B1175" i="697" s="1"/>
  <c r="C1173" i="697"/>
  <c r="B1173" i="697" s="1"/>
  <c r="C1329" i="697"/>
  <c r="B1329" i="697" s="1"/>
  <c r="C1300" i="697"/>
  <c r="B1300" i="697" s="1"/>
  <c r="C1367" i="697"/>
  <c r="B1367" i="697" s="1"/>
  <c r="C1368" i="697"/>
  <c r="B1368" i="697" s="1"/>
  <c r="C1378" i="697"/>
  <c r="B1378" i="697" s="1"/>
  <c r="C1377" i="697"/>
  <c r="B1377" i="697" s="1"/>
  <c r="C1301" i="697"/>
  <c r="B1301" i="697" s="1"/>
  <c r="C1331" i="697"/>
  <c r="B1331" i="697" s="1"/>
  <c r="C1186" i="697"/>
  <c r="B1186" i="697" s="1"/>
  <c r="C1187" i="697"/>
  <c r="B1187" i="697" s="1"/>
  <c r="C1357" i="697"/>
  <c r="B1357" i="697" s="1"/>
  <c r="C1369" i="697"/>
  <c r="B1369" i="697" s="1"/>
  <c r="C1439" i="697"/>
  <c r="B1439" i="697" s="1"/>
  <c r="C1302" i="697"/>
  <c r="B1302" i="697" s="1"/>
  <c r="C1188" i="697"/>
  <c r="B1188" i="697" s="1"/>
  <c r="C1278" i="697"/>
  <c r="B1278" i="697" s="1"/>
  <c r="C1358" i="697"/>
  <c r="B1358" i="697" s="1"/>
  <c r="C1197" i="697"/>
  <c r="B1197" i="697" s="1"/>
  <c r="C1198" i="697"/>
  <c r="B1198" i="697" s="1"/>
  <c r="C1199" i="697"/>
  <c r="B1199" i="697" s="1"/>
  <c r="C1200" i="697"/>
  <c r="B1200" i="697" s="1"/>
  <c r="C1201" i="697"/>
  <c r="B1201" i="697" s="1"/>
  <c r="C1202" i="697"/>
  <c r="B1202" i="697" s="1"/>
  <c r="C1208" i="697"/>
  <c r="B1208" i="697" s="1"/>
  <c r="C1242" i="697"/>
  <c r="B1242" i="697" s="1"/>
  <c r="C1359" i="697"/>
  <c r="B1359" i="697" s="1"/>
  <c r="C1222" i="697"/>
  <c r="B1222" i="697" s="1"/>
  <c r="C1223" i="697"/>
  <c r="B1223" i="697" s="1"/>
  <c r="C1204" i="697"/>
  <c r="B1204" i="697" s="1"/>
  <c r="C1167" i="697"/>
  <c r="B1167" i="697" s="1"/>
  <c r="C1220" i="697"/>
  <c r="B1220" i="697" s="1"/>
  <c r="C1221" i="697"/>
  <c r="B1221" i="697" s="1"/>
  <c r="C1257" i="697"/>
  <c r="B1257" i="697" s="1"/>
  <c r="C1205" i="697"/>
  <c r="B1205" i="697" s="1"/>
  <c r="C1218" i="697"/>
  <c r="B1218" i="697" s="1"/>
  <c r="C1224" i="697"/>
  <c r="B1224" i="697" s="1"/>
  <c r="C1219" i="697"/>
  <c r="B1219" i="697" s="1"/>
  <c r="C1209" i="697"/>
  <c r="B1209" i="697" s="1"/>
  <c r="C1337" i="697"/>
  <c r="B1337" i="697" s="1"/>
  <c r="C1338" i="697"/>
  <c r="B1338" i="697" s="1"/>
  <c r="C1339" i="697"/>
  <c r="B1339" i="697" s="1"/>
  <c r="C1340" i="697"/>
  <c r="B1340" i="697" s="1"/>
  <c r="C1373" i="697"/>
  <c r="B1373" i="697" s="1"/>
  <c r="C1258" i="697"/>
  <c r="B1258" i="697" s="1"/>
  <c r="C1336" i="697"/>
  <c r="B1336" i="697" s="1"/>
  <c r="C1210" i="697"/>
  <c r="B1210" i="697" s="1"/>
  <c r="C1211" i="697"/>
  <c r="B1211" i="697" s="1"/>
  <c r="C1225" i="697"/>
  <c r="B1225" i="697" s="1"/>
  <c r="C1226" i="697"/>
  <c r="B1226" i="697" s="1"/>
  <c r="C1285" i="697"/>
  <c r="B1285" i="697" s="1"/>
  <c r="C1259" i="697"/>
  <c r="B1259" i="697" s="1"/>
  <c r="C1227" i="697"/>
  <c r="B1227" i="697" s="1"/>
  <c r="C1477" i="697"/>
  <c r="B1477" i="697" s="1"/>
  <c r="C1379" i="697"/>
  <c r="B1379" i="697" s="1"/>
  <c r="C1303" i="697"/>
  <c r="B1303" i="697" s="1"/>
  <c r="C1345" i="697"/>
  <c r="B1345" i="697" s="1"/>
  <c r="C1360" i="697"/>
  <c r="B1360" i="697" s="1"/>
  <c r="C1440" i="697"/>
  <c r="B1440" i="697" s="1"/>
  <c r="C1394" i="697"/>
  <c r="B1394" i="697" s="1"/>
  <c r="C1344" i="697"/>
  <c r="B1344" i="697" s="1"/>
  <c r="C1231" i="697"/>
  <c r="B1231" i="697" s="1"/>
  <c r="C1361" i="697"/>
  <c r="B1361" i="697" s="1"/>
  <c r="C1269" i="697"/>
  <c r="B1269" i="697" s="1"/>
  <c r="C1232" i="697"/>
  <c r="B1232" i="697" s="1"/>
  <c r="C1233" i="697"/>
  <c r="B1233" i="697" s="1"/>
  <c r="C1423" i="697"/>
  <c r="B1423" i="697" s="1"/>
  <c r="C1325" i="697"/>
  <c r="B1325" i="697" s="1"/>
  <c r="C1243" i="697"/>
  <c r="B1243" i="697" s="1"/>
  <c r="C1492" i="697"/>
  <c r="B1492" i="697" s="1"/>
  <c r="C1234" i="697"/>
  <c r="B1234" i="697" s="1"/>
  <c r="C1380" i="697"/>
  <c r="B1380" i="697" s="1"/>
  <c r="C1496" i="697"/>
  <c r="B1496" i="697" s="1"/>
  <c r="C1249" i="697"/>
  <c r="B1249" i="697" s="1"/>
  <c r="C1363" i="697"/>
  <c r="B1363" i="697" s="1"/>
  <c r="C1236" i="697"/>
  <c r="B1236" i="697" s="1"/>
  <c r="C1237" i="697"/>
  <c r="B1237" i="697" s="1"/>
  <c r="C1464" i="697"/>
  <c r="B1464" i="697" s="1"/>
  <c r="C1374" i="697"/>
  <c r="B1374" i="697" s="1"/>
  <c r="C1247" i="697"/>
  <c r="B1247" i="697" s="1"/>
  <c r="C1245" i="697"/>
  <c r="B1245" i="697" s="1"/>
  <c r="C1244" i="697"/>
  <c r="B1244" i="697" s="1"/>
  <c r="C1410" i="697"/>
  <c r="B1410" i="697" s="1"/>
  <c r="C1411" i="697"/>
  <c r="B1411" i="697" s="1"/>
  <c r="C1370" i="697"/>
  <c r="B1370" i="697" s="1"/>
  <c r="C1417" i="697"/>
  <c r="B1417" i="697" s="1"/>
  <c r="C1381" i="697"/>
  <c r="B1381" i="697" s="1"/>
  <c r="C1246" i="697"/>
  <c r="B1246" i="697" s="1"/>
  <c r="C1250" i="697"/>
  <c r="B1250" i="697" s="1"/>
  <c r="C1251" i="697"/>
  <c r="B1251" i="697" s="1"/>
  <c r="C1432" i="697"/>
  <c r="B1432" i="697" s="1"/>
  <c r="C1375" i="697"/>
  <c r="B1375" i="697" s="1"/>
  <c r="C1382" i="697"/>
  <c r="B1382" i="697" s="1"/>
  <c r="C1260" i="697"/>
  <c r="B1260" i="697" s="1"/>
  <c r="C1279" i="697"/>
  <c r="B1279" i="697" s="1"/>
  <c r="C1280" i="697"/>
  <c r="B1280" i="697" s="1"/>
  <c r="C1281" i="697"/>
  <c r="B1281" i="697" s="1"/>
  <c r="C1282" i="697"/>
  <c r="B1282" i="697" s="1"/>
  <c r="C1283" i="697"/>
  <c r="B1283" i="697" s="1"/>
  <c r="C1433" i="697"/>
  <c r="B1433" i="697" s="1"/>
  <c r="C1434" i="697"/>
  <c r="B1434" i="697" s="1"/>
  <c r="C1261" i="697"/>
  <c r="B1261" i="697" s="1"/>
  <c r="C1264" i="697"/>
  <c r="B1264" i="697" s="1"/>
  <c r="C1262" i="697"/>
  <c r="B1262" i="697" s="1"/>
  <c r="C1263" i="697"/>
  <c r="B1263" i="697" s="1"/>
  <c r="C1383" i="697"/>
  <c r="B1383" i="697" s="1"/>
  <c r="C1265" i="697"/>
  <c r="B1265" i="697" s="1"/>
  <c r="C1579" i="697"/>
  <c r="B1579" i="697" s="1"/>
  <c r="C1395" i="697"/>
  <c r="B1395" i="697" s="1"/>
  <c r="C1441" i="697"/>
  <c r="B1441" i="697" s="1"/>
  <c r="C1305" i="697"/>
  <c r="B1305" i="697" s="1"/>
  <c r="C1286" i="697"/>
  <c r="B1286" i="697" s="1"/>
  <c r="C1306" i="697"/>
  <c r="B1306" i="697" s="1"/>
  <c r="C1451" i="697"/>
  <c r="B1451" i="697" s="1"/>
  <c r="C1455" i="697"/>
  <c r="B1455" i="697" s="1"/>
  <c r="C1319" i="697"/>
  <c r="B1319" i="697" s="1"/>
  <c r="C1435" i="697"/>
  <c r="B1435" i="697" s="1"/>
  <c r="C1284" i="697"/>
  <c r="B1284" i="697" s="1"/>
  <c r="C1287" i="697"/>
  <c r="B1287" i="697" s="1"/>
  <c r="C1442" i="697"/>
  <c r="B1442" i="697" s="1"/>
  <c r="C1412" i="697"/>
  <c r="B1412" i="697" s="1"/>
  <c r="C1396" i="697"/>
  <c r="B1396" i="697" s="1"/>
  <c r="C1288" i="697"/>
  <c r="B1288" i="697" s="1"/>
  <c r="C1397" i="697"/>
  <c r="B1397" i="697" s="1"/>
  <c r="C1514" i="697"/>
  <c r="B1514" i="697" s="1"/>
  <c r="C1413" i="697"/>
  <c r="B1413" i="697" s="1"/>
  <c r="C1388" i="697"/>
  <c r="B1388" i="697" s="1"/>
  <c r="C1291" i="697"/>
  <c r="B1291" i="697" s="1"/>
  <c r="C1493" i="697"/>
  <c r="B1493" i="697" s="1"/>
  <c r="C1497" i="697"/>
  <c r="B1497" i="697" s="1"/>
  <c r="C1389" i="697"/>
  <c r="B1389" i="697" s="1"/>
  <c r="C1304" i="697"/>
  <c r="B1304" i="697" s="1"/>
  <c r="C1398" i="697"/>
  <c r="B1398" i="697" s="1"/>
  <c r="C1418" i="697"/>
  <c r="B1418" i="697" s="1"/>
  <c r="C1317" i="697"/>
  <c r="B1317" i="697" s="1"/>
  <c r="C1307" i="697"/>
  <c r="B1307" i="697" s="1"/>
  <c r="C1308" i="697"/>
  <c r="B1308" i="697" s="1"/>
  <c r="C1309" i="697"/>
  <c r="B1309" i="697" s="1"/>
  <c r="C1310" i="697"/>
  <c r="B1310" i="697" s="1"/>
  <c r="C1311" i="697"/>
  <c r="B1311" i="697" s="1"/>
  <c r="C1312" i="697"/>
  <c r="B1312" i="697" s="1"/>
  <c r="C1313" i="697"/>
  <c r="B1313" i="697" s="1"/>
  <c r="C1314" i="697"/>
  <c r="B1314" i="697" s="1"/>
  <c r="C1315" i="697"/>
  <c r="B1315" i="697" s="1"/>
  <c r="C1316" i="697"/>
  <c r="B1316" i="697" s="1"/>
  <c r="C1399" i="697"/>
  <c r="B1399" i="697" s="1"/>
  <c r="C1414" i="697"/>
  <c r="B1414" i="697" s="1"/>
  <c r="C1352" i="697"/>
  <c r="B1352" i="697" s="1"/>
  <c r="C1349" i="697"/>
  <c r="B1349" i="697" s="1"/>
  <c r="C1465" i="697"/>
  <c r="B1465" i="697" s="1"/>
  <c r="C1347" i="697"/>
  <c r="B1347" i="697" s="1"/>
  <c r="C1353" i="697"/>
  <c r="B1353" i="697" s="1"/>
  <c r="C1348" i="697"/>
  <c r="B1348" i="697" s="1"/>
  <c r="C1400" i="697"/>
  <c r="B1400" i="697" s="1"/>
  <c r="C1401" i="697"/>
  <c r="B1401" i="697" s="1"/>
  <c r="C1350" i="697"/>
  <c r="B1350" i="697" s="1"/>
  <c r="C1351" i="697"/>
  <c r="B1351" i="697" s="1"/>
  <c r="C1386" i="697"/>
  <c r="B1386" i="697" s="1"/>
  <c r="C1318" i="697"/>
  <c r="B1318" i="697" s="1"/>
  <c r="C1346" i="697"/>
  <c r="B1346" i="697" s="1"/>
  <c r="C1354" i="697"/>
  <c r="B1354" i="697" s="1"/>
  <c r="C1429" i="697"/>
  <c r="B1429" i="697" s="1"/>
  <c r="C1478" i="697"/>
  <c r="B1478" i="697" s="1"/>
  <c r="C1580" i="697"/>
  <c r="B1580" i="697" s="1"/>
  <c r="C1578" i="697"/>
  <c r="B1578" i="697" s="1"/>
  <c r="C1355" i="697"/>
  <c r="B1355" i="697" s="1"/>
  <c r="C1332" i="697"/>
  <c r="B1332" i="697" s="1"/>
  <c r="C1333" i="697"/>
  <c r="B1333" i="697" s="1"/>
  <c r="C1581" i="697"/>
  <c r="B1581" i="697" s="1"/>
  <c r="C1479" i="697"/>
  <c r="B1479" i="697" s="1"/>
  <c r="C1473" i="697"/>
  <c r="B1473" i="697" s="1"/>
  <c r="C1515" i="697"/>
  <c r="B1515" i="697" s="1"/>
  <c r="C1342" i="697"/>
  <c r="B1342" i="697" s="1"/>
  <c r="C1341" i="697"/>
  <c r="B1341" i="697" s="1"/>
  <c r="C1424" i="697"/>
  <c r="B1424" i="697" s="1"/>
  <c r="C1343" i="697"/>
  <c r="B1343" i="697" s="1"/>
  <c r="C1475" i="697"/>
  <c r="B1475" i="697" s="1"/>
  <c r="C1521" i="697"/>
  <c r="B1521" i="697" s="1"/>
  <c r="C1480" i="697"/>
  <c r="B1480" i="697" s="1"/>
  <c r="C1600" i="697"/>
  <c r="B1600" i="697" s="1"/>
  <c r="C1466" i="697"/>
  <c r="B1466" i="697" s="1"/>
  <c r="C1425" i="697"/>
  <c r="B1425" i="697" s="1"/>
  <c r="C1481" i="697"/>
  <c r="B1481" i="697" s="1"/>
  <c r="C1356" i="697"/>
  <c r="B1356" i="697" s="1"/>
  <c r="C1482" i="697"/>
  <c r="B1482" i="697" s="1"/>
  <c r="C1516" i="697"/>
  <c r="B1516" i="697" s="1"/>
  <c r="C1474" i="697"/>
  <c r="B1474" i="697" s="1"/>
  <c r="C1483" i="697"/>
  <c r="B1483" i="697" s="1"/>
  <c r="C1362" i="697"/>
  <c r="B1362" i="697" s="1"/>
  <c r="C1484" i="697"/>
  <c r="B1484" i="697" s="1"/>
  <c r="C1485" i="697"/>
  <c r="B1485" i="697" s="1"/>
  <c r="C1390" i="697"/>
  <c r="B1390" i="697" s="1"/>
  <c r="C1364" i="697"/>
  <c r="B1364" i="697" s="1"/>
  <c r="C1530" i="697"/>
  <c r="B1530" i="697" s="1"/>
  <c r="C1517" i="697"/>
  <c r="B1517" i="697" s="1"/>
  <c r="C1376" i="697"/>
  <c r="B1376" i="697" s="1"/>
  <c r="C1402" i="697"/>
  <c r="B1402" i="697" s="1"/>
  <c r="C1403" i="697"/>
  <c r="B1403" i="697" s="1"/>
  <c r="C1404" i="697"/>
  <c r="B1404" i="697" s="1"/>
  <c r="C1405" i="697"/>
  <c r="B1405" i="697" s="1"/>
  <c r="C1371" i="697"/>
  <c r="B1371" i="697" s="1"/>
  <c r="C1589" i="697"/>
  <c r="B1589" i="697" s="1"/>
  <c r="C1436" i="697"/>
  <c r="B1436" i="697" s="1"/>
  <c r="C1557" i="697"/>
  <c r="B1557" i="697" s="1"/>
  <c r="C1437" i="697"/>
  <c r="B1437" i="697" s="1"/>
  <c r="C1569" i="697"/>
  <c r="B1569" i="697" s="1"/>
  <c r="C1486" i="697"/>
  <c r="B1486" i="697" s="1"/>
  <c r="C1605" i="697"/>
  <c r="B1605" i="697" s="1"/>
  <c r="C1518" i="697"/>
  <c r="B1518" i="697" s="1"/>
  <c r="C1558" i="697"/>
  <c r="B1558" i="697" s="1"/>
  <c r="C1487" i="697"/>
  <c r="B1487" i="697" s="1"/>
  <c r="C1553" i="697"/>
  <c r="B1553" i="697" s="1"/>
  <c r="C1384" i="697"/>
  <c r="B1384" i="697" s="1"/>
  <c r="C1385" i="697"/>
  <c r="B1385" i="697" s="1"/>
  <c r="C1387" i="697"/>
  <c r="B1387" i="697" s="1"/>
  <c r="C1570" i="697"/>
  <c r="B1570" i="697" s="1"/>
  <c r="C1595" i="697"/>
  <c r="B1595" i="697" s="1"/>
  <c r="C1574" i="697"/>
  <c r="B1574" i="697" s="1"/>
  <c r="C1393" i="697"/>
  <c r="B1393" i="697" s="1"/>
  <c r="C1391" i="697"/>
  <c r="B1391" i="697" s="1"/>
  <c r="C1392" i="697"/>
  <c r="B1392" i="697" s="1"/>
  <c r="C1415" i="697"/>
  <c r="B1415" i="697" s="1"/>
  <c r="C1554" i="697"/>
  <c r="B1554" i="697" s="1"/>
  <c r="C1406" i="697"/>
  <c r="B1406" i="697" s="1"/>
  <c r="C1590" i="697"/>
  <c r="B1590" i="697" s="1"/>
  <c r="C1407" i="697"/>
  <c r="B1407" i="697" s="1"/>
  <c r="C1588" i="697"/>
  <c r="B1588" i="697" s="1"/>
  <c r="C1438" i="697"/>
  <c r="B1438" i="697" s="1"/>
  <c r="C1488" i="697"/>
  <c r="B1488" i="697" s="1"/>
  <c r="C1601" i="697"/>
  <c r="B1601" i="697" s="1"/>
  <c r="C1443" i="697"/>
  <c r="B1443" i="697" s="1"/>
  <c r="C1447" i="697"/>
  <c r="B1447" i="697" s="1"/>
  <c r="C1445" i="697"/>
  <c r="B1445" i="697" s="1"/>
  <c r="C1420" i="697"/>
  <c r="B1420" i="697" s="1"/>
  <c r="C1408" i="697"/>
  <c r="B1408" i="697" s="1"/>
  <c r="C1498" i="697"/>
  <c r="B1498" i="697" s="1"/>
  <c r="C1499" i="697"/>
  <c r="B1499" i="697" s="1"/>
  <c r="C1500" i="697"/>
  <c r="B1500" i="697" s="1"/>
  <c r="C1446" i="697"/>
  <c r="B1446" i="697" s="1"/>
  <c r="C1522" i="697"/>
  <c r="B1522" i="697" s="1"/>
  <c r="C1523" i="697"/>
  <c r="B1523" i="697" s="1"/>
  <c r="C1490" i="697"/>
  <c r="B1490" i="697" s="1"/>
  <c r="C1571" i="697"/>
  <c r="B1571" i="697" s="1"/>
  <c r="C1444" i="697"/>
  <c r="B1444" i="697" s="1"/>
  <c r="C1448" i="697"/>
  <c r="B1448" i="697" s="1"/>
  <c r="C1565" i="697"/>
  <c r="B1565" i="697" s="1"/>
  <c r="C1416" i="697"/>
  <c r="B1416" i="697" s="1"/>
  <c r="C1489" i="697"/>
  <c r="B1489" i="697" s="1"/>
  <c r="C1602" i="697"/>
  <c r="B1602" i="697" s="1"/>
  <c r="C1591" i="697"/>
  <c r="B1591" i="697" s="1"/>
  <c r="C1611" i="697"/>
  <c r="B1611" i="697" s="1"/>
  <c r="C1419" i="697"/>
  <c r="B1419" i="697" s="1"/>
  <c r="C1592" i="697"/>
  <c r="B1592" i="697" s="1"/>
  <c r="C1593" i="697"/>
  <c r="B1593" i="697" s="1"/>
  <c r="C1422" i="697"/>
  <c r="B1422" i="697" s="1"/>
  <c r="C1421" i="697"/>
  <c r="B1421" i="697" s="1"/>
  <c r="C1545" i="697"/>
  <c r="B1545" i="697" s="1"/>
  <c r="C1460" i="697"/>
  <c r="B1460" i="697" s="1"/>
  <c r="C1525" i="697"/>
  <c r="B1525" i="697" s="1"/>
  <c r="C1426" i="697"/>
  <c r="B1426" i="697" s="1"/>
  <c r="C1461" i="697"/>
  <c r="B1461" i="697" s="1"/>
  <c r="C1462" i="697"/>
  <c r="B1462" i="697" s="1"/>
  <c r="C1427" i="697"/>
  <c r="B1427" i="697" s="1"/>
  <c r="C1428" i="697"/>
  <c r="B1428" i="697" s="1"/>
  <c r="C1449" i="697"/>
  <c r="B1449" i="697" s="1"/>
  <c r="C1431" i="697"/>
  <c r="B1431" i="697" s="1"/>
  <c r="C1430" i="697"/>
  <c r="B1430" i="697" s="1"/>
  <c r="C1491" i="697"/>
  <c r="B1491" i="697" s="1"/>
  <c r="C1452" i="697"/>
  <c r="B1452" i="697" s="1"/>
  <c r="C1575" i="697"/>
  <c r="B1575" i="697" s="1"/>
  <c r="C1456" i="697"/>
  <c r="B1456" i="697" s="1"/>
  <c r="C1450" i="697"/>
  <c r="B1450" i="697" s="1"/>
  <c r="C1567" i="697"/>
  <c r="B1567" i="697" s="1"/>
  <c r="C1566" i="697"/>
  <c r="B1566" i="697" s="1"/>
  <c r="C1524" i="697"/>
  <c r="B1524" i="697" s="1"/>
  <c r="C1458" i="697"/>
  <c r="B1458" i="697" s="1"/>
  <c r="C1457" i="697"/>
  <c r="B1457" i="697" s="1"/>
  <c r="C1463" i="697"/>
  <c r="B1463" i="697" s="1"/>
  <c r="C1453" i="697"/>
  <c r="B1453" i="697" s="1"/>
  <c r="C1409" i="697"/>
  <c r="B1409" i="697" s="1"/>
  <c r="C1454" i="697"/>
  <c r="B1454" i="697" s="1"/>
  <c r="C1576" i="697"/>
  <c r="B1576" i="697" s="1"/>
  <c r="C1633" i="697"/>
  <c r="B1633" i="697" s="1"/>
  <c r="C1562" i="697"/>
  <c r="B1562" i="697" s="1"/>
  <c r="C1459" i="697"/>
  <c r="B1459" i="697" s="1"/>
  <c r="C1543" i="697"/>
  <c r="B1543" i="697" s="1"/>
  <c r="C1541" i="697"/>
  <c r="B1541" i="697" s="1"/>
  <c r="C1470" i="697"/>
  <c r="B1470" i="697" s="1"/>
  <c r="C1468" i="697"/>
  <c r="B1468" i="697" s="1"/>
  <c r="C1467" i="697"/>
  <c r="B1467" i="697" s="1"/>
  <c r="C1469" i="697"/>
  <c r="B1469" i="697" s="1"/>
  <c r="C1606" i="697"/>
  <c r="B1606" i="697" s="1"/>
  <c r="C1476" i="697"/>
  <c r="B1476" i="697" s="1"/>
  <c r="C1471" i="697"/>
  <c r="B1471" i="697" s="1"/>
  <c r="C1472" i="697"/>
  <c r="B1472" i="697" s="1"/>
  <c r="C1577" i="697"/>
  <c r="B1577" i="697" s="1"/>
  <c r="C1582" i="697"/>
  <c r="B1582" i="697" s="1"/>
  <c r="C1549" i="697"/>
  <c r="B1549" i="697" s="1"/>
  <c r="C1550" i="697"/>
  <c r="B1550" i="697" s="1"/>
  <c r="C1540" i="697"/>
  <c r="B1540" i="697" s="1"/>
  <c r="C1531" i="697"/>
  <c r="B1531" i="697" s="1"/>
  <c r="C1587" i="697"/>
  <c r="B1587" i="697" s="1"/>
  <c r="C1563" i="697"/>
  <c r="B1563" i="697" s="1"/>
  <c r="C1546" i="697"/>
  <c r="B1546" i="697" s="1"/>
  <c r="C1564" i="697"/>
  <c r="B1564" i="697" s="1"/>
  <c r="C1614" i="697"/>
  <c r="B1614" i="697" s="1"/>
  <c r="C1544" i="697"/>
  <c r="B1544" i="697" s="1"/>
  <c r="C1607" i="697"/>
  <c r="B1607" i="697" s="1"/>
  <c r="C1494" i="697"/>
  <c r="B1494" i="697" s="1"/>
  <c r="C1495" i="697"/>
  <c r="B1495" i="697" s="1"/>
  <c r="C1568" i="697"/>
  <c r="B1568" i="697" s="1"/>
  <c r="C1538" i="697"/>
  <c r="B1538" i="697" s="1"/>
  <c r="C1533" i="697"/>
  <c r="B1533" i="697" s="1"/>
  <c r="C1551" i="697"/>
  <c r="B1551" i="697" s="1"/>
  <c r="C1532" i="697"/>
  <c r="B1532" i="697" s="1"/>
  <c r="C1542" i="697"/>
  <c r="B1542" i="697" s="1"/>
  <c r="C1596" i="697"/>
  <c r="B1596" i="697" s="1"/>
  <c r="C1610" i="697"/>
  <c r="B1610" i="697" s="1"/>
  <c r="C1597" i="697"/>
  <c r="B1597" i="697" s="1"/>
  <c r="C1583" i="697"/>
  <c r="B1583" i="697" s="1"/>
  <c r="C1603" i="697"/>
  <c r="B1603" i="697" s="1"/>
  <c r="C1619" i="697"/>
  <c r="B1619" i="697" s="1"/>
  <c r="C1584" i="697"/>
  <c r="B1584" i="697" s="1"/>
  <c r="C1502" i="697"/>
  <c r="B1502" i="697" s="1"/>
  <c r="C1503" i="697"/>
  <c r="B1503" i="697" s="1"/>
  <c r="C1504" i="697"/>
  <c r="B1504" i="697" s="1"/>
  <c r="C1505" i="697"/>
  <c r="B1505" i="697" s="1"/>
  <c r="C1506" i="697"/>
  <c r="B1506" i="697" s="1"/>
  <c r="C1507" i="697"/>
  <c r="B1507" i="697" s="1"/>
  <c r="C1508" i="697"/>
  <c r="B1508" i="697" s="1"/>
  <c r="C1621" i="697"/>
  <c r="B1621" i="697" s="1"/>
  <c r="C1609" i="697"/>
  <c r="B1609" i="697" s="1"/>
  <c r="C1561" i="697"/>
  <c r="B1561" i="697" s="1"/>
  <c r="C1511" i="697"/>
  <c r="B1511" i="697" s="1"/>
  <c r="C1512" i="697"/>
  <c r="B1512" i="697" s="1"/>
  <c r="C1552" i="697"/>
  <c r="B1552" i="697" s="1"/>
  <c r="C1598" i="697"/>
  <c r="B1598" i="697" s="1"/>
  <c r="C1599" i="697"/>
  <c r="B1599" i="697" s="1"/>
  <c r="C1513" i="697"/>
  <c r="B1513" i="697" s="1"/>
  <c r="C1519" i="697"/>
  <c r="B1519" i="697" s="1"/>
  <c r="D1292" i="697"/>
  <c r="D23" i="697"/>
  <c r="D12" i="697"/>
  <c r="D196" i="697"/>
  <c r="D4" i="697"/>
  <c r="D24" i="697"/>
  <c r="D208" i="697"/>
  <c r="D6" i="697"/>
  <c r="D13" i="697"/>
  <c r="D14" i="697"/>
  <c r="D16" i="697"/>
  <c r="D17" i="697"/>
  <c r="D34" i="697"/>
  <c r="D40" i="697"/>
  <c r="D3" i="697"/>
  <c r="D209" i="697"/>
  <c r="D5" i="697"/>
  <c r="D18" i="697"/>
  <c r="D20" i="697"/>
  <c r="D19" i="697"/>
  <c r="D7" i="697"/>
  <c r="D10" i="697"/>
  <c r="D107" i="697"/>
  <c r="D11" i="697"/>
  <c r="D84" i="697"/>
  <c r="D87" i="697"/>
  <c r="D21" i="697"/>
  <c r="D27" i="697"/>
  <c r="D28" i="697"/>
  <c r="D29" i="697"/>
  <c r="D30" i="697"/>
  <c r="D31" i="697"/>
  <c r="D32" i="697"/>
  <c r="D33" i="697"/>
  <c r="D219" i="697"/>
  <c r="D96" i="697"/>
  <c r="D115" i="697"/>
  <c r="D125" i="697"/>
  <c r="D67" i="697"/>
  <c r="D171" i="697"/>
  <c r="D37" i="697"/>
  <c r="D53" i="697"/>
  <c r="D54" i="697"/>
  <c r="D55" i="697"/>
  <c r="D56" i="697"/>
  <c r="D57" i="697"/>
  <c r="D35" i="697"/>
  <c r="D116" i="697"/>
  <c r="D133" i="697"/>
  <c r="D36" i="697"/>
  <c r="D64" i="697"/>
  <c r="D131" i="697"/>
  <c r="D140" i="697"/>
  <c r="D38" i="697"/>
  <c r="D399" i="697"/>
  <c r="D68" i="697"/>
  <c r="D65" i="697"/>
  <c r="D127" i="697"/>
  <c r="D129" i="697"/>
  <c r="D97" i="697"/>
  <c r="D206" i="697"/>
  <c r="D39" i="697"/>
  <c r="D66" i="697"/>
  <c r="D160" i="697"/>
  <c r="D41" i="697"/>
  <c r="D44" i="697"/>
  <c r="D43" i="697"/>
  <c r="D236" i="697"/>
  <c r="D26" i="697"/>
  <c r="D25" i="697"/>
  <c r="D94" i="697"/>
  <c r="D237" i="697"/>
  <c r="D214" i="697"/>
  <c r="D161" i="697"/>
  <c r="D162" i="697"/>
  <c r="D163" i="697"/>
  <c r="D69" i="697"/>
  <c r="D70" i="697"/>
  <c r="D71" i="697"/>
  <c r="D72" i="697"/>
  <c r="D73" i="697"/>
  <c r="D74" i="697"/>
  <c r="D155" i="697"/>
  <c r="D146" i="697"/>
  <c r="D156" i="697"/>
  <c r="D157" i="697"/>
  <c r="D211" i="697"/>
  <c r="D145" i="697"/>
  <c r="D151" i="697"/>
  <c r="D152" i="697"/>
  <c r="D153" i="697"/>
  <c r="D154" i="697"/>
  <c r="D158" i="697"/>
  <c r="D229" i="697"/>
  <c r="D95" i="697"/>
  <c r="D159" i="697"/>
  <c r="D101" i="697"/>
  <c r="D100" i="697"/>
  <c r="D98" i="697"/>
  <c r="D99" i="697"/>
  <c r="D148" i="697"/>
  <c r="D112" i="697"/>
  <c r="D147" i="697"/>
  <c r="D113" i="697"/>
  <c r="D238" i="697"/>
  <c r="D124" i="697"/>
  <c r="D244" i="697"/>
  <c r="D184" i="697"/>
  <c r="D330" i="697"/>
  <c r="D245" i="697"/>
  <c r="D130" i="697"/>
  <c r="D132" i="697"/>
  <c r="D198" i="697"/>
  <c r="D349" i="697"/>
  <c r="D276" i="697"/>
  <c r="D408" i="697"/>
  <c r="D149" i="697"/>
  <c r="D261" i="697"/>
  <c r="D137" i="697"/>
  <c r="D220" i="697"/>
  <c r="D164" i="697"/>
  <c r="D138" i="697"/>
  <c r="D221" i="697"/>
  <c r="D306" i="697"/>
  <c r="D320" i="697"/>
  <c r="D199" i="697"/>
  <c r="D357" i="697"/>
  <c r="D282" i="697"/>
  <c r="D170" i="697"/>
  <c r="D165" i="697"/>
  <c r="D166" i="697"/>
  <c r="D167" i="697"/>
  <c r="D168" i="697"/>
  <c r="D169" i="697"/>
  <c r="D194" i="697"/>
  <c r="D201" i="697"/>
  <c r="D173" i="697"/>
  <c r="D200" i="697"/>
  <c r="D266" i="697"/>
  <c r="D235" i="697"/>
  <c r="D192" i="697"/>
  <c r="D193" i="697"/>
  <c r="D195" i="697"/>
  <c r="D215" i="697"/>
  <c r="D179" i="697"/>
  <c r="D313" i="697"/>
  <c r="D222" i="697"/>
  <c r="D335" i="697"/>
  <c r="D376" i="697"/>
  <c r="D204" i="697"/>
  <c r="D334" i="697"/>
  <c r="D442" i="697"/>
  <c r="D202" i="697"/>
  <c r="D203" i="697"/>
  <c r="D375" i="697"/>
  <c r="D223" i="697"/>
  <c r="D224" i="697"/>
  <c r="D225" i="697"/>
  <c r="D226" i="697"/>
  <c r="D205" i="697"/>
  <c r="D336" i="697"/>
  <c r="D216" i="697"/>
  <c r="D212" i="697"/>
  <c r="D218" i="697"/>
  <c r="D297" i="697"/>
  <c r="D339" i="697"/>
  <c r="D298" i="697"/>
  <c r="D242" i="697"/>
  <c r="D346" i="697"/>
  <c r="D411" i="697"/>
  <c r="D378" i="697"/>
  <c r="D379" i="697"/>
  <c r="D243" i="697"/>
  <c r="D272" i="697"/>
  <c r="D246" i="697"/>
  <c r="D274" i="697"/>
  <c r="D247" i="697"/>
  <c r="D248" i="697"/>
  <c r="D249" i="697"/>
  <c r="D250" i="697"/>
  <c r="D251" i="697"/>
  <c r="D273" i="697"/>
  <c r="D291" i="697"/>
  <c r="D292" i="697"/>
  <c r="D388" i="697"/>
  <c r="D302" i="697"/>
  <c r="D290" i="697"/>
  <c r="D316" i="697"/>
  <c r="D317" i="697"/>
  <c r="D293" i="697"/>
  <c r="D294" i="697"/>
  <c r="D264" i="697"/>
  <c r="D389" i="697"/>
  <c r="D382" i="697"/>
  <c r="D506" i="697"/>
  <c r="D507" i="697"/>
  <c r="D296" i="697"/>
  <c r="D295" i="697"/>
  <c r="D523" i="697"/>
  <c r="D425" i="697"/>
  <c r="D383" i="697"/>
  <c r="D508" i="697"/>
  <c r="D509" i="697"/>
  <c r="D510" i="697"/>
  <c r="D384" i="697"/>
  <c r="D532" i="697"/>
  <c r="D304" i="697"/>
  <c r="D360" i="697"/>
  <c r="D309" i="697"/>
  <c r="D465" i="697"/>
  <c r="D466" i="697"/>
  <c r="D311" i="697"/>
  <c r="D543" i="697"/>
  <c r="D544" i="697"/>
  <c r="D310" i="697"/>
  <c r="D413" i="697"/>
  <c r="D318" i="697"/>
  <c r="D518" i="697"/>
  <c r="D519" i="697"/>
  <c r="D452" i="697"/>
  <c r="D390" i="697"/>
  <c r="D326" i="697"/>
  <c r="D321" i="697"/>
  <c r="D322" i="697"/>
  <c r="D323" i="697"/>
  <c r="D324" i="697"/>
  <c r="D325" i="697"/>
  <c r="D355" i="697"/>
  <c r="D386" i="697"/>
  <c r="D327" i="697"/>
  <c r="D328" i="697"/>
  <c r="D385" i="697"/>
  <c r="D400" i="697"/>
  <c r="D401" i="697"/>
  <c r="D329" i="697"/>
  <c r="D358" i="697"/>
  <c r="D520" i="697"/>
  <c r="D367" i="697"/>
  <c r="D546" i="697"/>
  <c r="D350" i="697"/>
  <c r="D414" i="697"/>
  <c r="D351" i="697"/>
  <c r="D370" i="697"/>
  <c r="D369" i="697"/>
  <c r="D402" i="697"/>
  <c r="D371" i="697"/>
  <c r="D626" i="697"/>
  <c r="D359" i="697"/>
  <c r="D368" i="697"/>
  <c r="D366" i="697"/>
  <c r="D372" i="697"/>
  <c r="D387" i="697"/>
  <c r="D398" i="697"/>
  <c r="D628" i="697"/>
  <c r="D545" i="697"/>
  <c r="D392" i="697"/>
  <c r="D393" i="697"/>
  <c r="D404" i="697"/>
  <c r="D403" i="697"/>
  <c r="D511" i="697"/>
  <c r="D512" i="697"/>
  <c r="D513" i="697"/>
  <c r="D514" i="697"/>
  <c r="D478" i="697"/>
  <c r="D584" i="697"/>
  <c r="D412" i="697"/>
  <c r="D415" i="697"/>
  <c r="D441" i="697"/>
  <c r="D449" i="697"/>
  <c r="D416" i="697"/>
  <c r="D417" i="697"/>
  <c r="D418" i="697"/>
  <c r="D419" i="697"/>
  <c r="D420" i="697"/>
  <c r="D421" i="697"/>
  <c r="D486" i="697"/>
  <c r="D498" i="697"/>
  <c r="D499" i="697"/>
  <c r="D457" i="697"/>
  <c r="D481" i="697"/>
  <c r="D439" i="697"/>
  <c r="D529" i="697"/>
  <c r="D437" i="697"/>
  <c r="D438" i="697"/>
  <c r="D547" i="697"/>
  <c r="D548" i="697"/>
  <c r="D714" i="697"/>
  <c r="D500" i="697"/>
  <c r="D715" i="697"/>
  <c r="D716" i="697"/>
  <c r="D657" i="697"/>
  <c r="D456" i="697"/>
  <c r="D675" i="697"/>
  <c r="D556" i="697"/>
  <c r="D459" i="697"/>
  <c r="D458" i="697"/>
  <c r="D482" i="697"/>
  <c r="D483" i="697"/>
  <c r="D663" i="697"/>
  <c r="D484" i="697"/>
  <c r="D495" i="697"/>
  <c r="D731" i="697"/>
  <c r="D590" i="697"/>
  <c r="D497" i="697"/>
  <c r="D496" i="697"/>
  <c r="D516" i="697"/>
  <c r="D517" i="697"/>
  <c r="D501" i="697"/>
  <c r="D503" i="697"/>
  <c r="D681" i="697"/>
  <c r="D702" i="697"/>
  <c r="D732" i="697"/>
  <c r="D522" i="697"/>
  <c r="D533" i="697"/>
  <c r="D551" i="697"/>
  <c r="D577" i="697"/>
  <c r="D752" i="697"/>
  <c r="D534" i="697"/>
  <c r="D581" i="697"/>
  <c r="D587" i="697"/>
  <c r="D588" i="697"/>
  <c r="D552" i="697"/>
  <c r="D753" i="697"/>
  <c r="D782" i="697"/>
  <c r="D536" i="697"/>
  <c r="D866" i="697"/>
  <c r="D578" i="697"/>
  <c r="D535" i="697"/>
  <c r="D541" i="697"/>
  <c r="D542" i="697"/>
  <c r="D733" i="697"/>
  <c r="D569" i="697"/>
  <c r="D734" i="697"/>
  <c r="D735" i="697"/>
  <c r="D580" i="697"/>
  <c r="D585" i="697"/>
  <c r="D630" i="697"/>
  <c r="D553" i="697"/>
  <c r="D634" i="697"/>
  <c r="D783" i="697"/>
  <c r="D576" i="697"/>
  <c r="D758" i="697"/>
  <c r="D579" i="697"/>
  <c r="D784" i="697"/>
  <c r="D811" i="697"/>
  <c r="D691" i="697"/>
  <c r="D582" i="697"/>
  <c r="D583" i="697"/>
  <c r="D586" i="697"/>
  <c r="D719" i="697"/>
  <c r="D611" i="697"/>
  <c r="D720" i="697"/>
  <c r="D589" i="697"/>
  <c r="D597" i="697"/>
  <c r="D598" i="697"/>
  <c r="D764" i="697"/>
  <c r="D601" i="697"/>
  <c r="D599" i="697"/>
  <c r="D600" i="697"/>
  <c r="D812" i="697"/>
  <c r="D602" i="697"/>
  <c r="D603" i="697"/>
  <c r="D604" i="697"/>
  <c r="D605" i="697"/>
  <c r="D606" i="697"/>
  <c r="D607" i="697"/>
  <c r="D608" i="697"/>
  <c r="D609" i="697"/>
  <c r="D742" i="697"/>
  <c r="D739" i="697"/>
  <c r="D740" i="697"/>
  <c r="D741" i="697"/>
  <c r="D923" i="697"/>
  <c r="D902" i="697"/>
  <c r="D654" i="697"/>
  <c r="D650" i="697"/>
  <c r="D649" i="697"/>
  <c r="D696" i="697"/>
  <c r="D697" i="697"/>
  <c r="D698" i="697"/>
  <c r="D613" i="697"/>
  <c r="D651" i="697"/>
  <c r="D769" i="697"/>
  <c r="D631" i="697"/>
  <c r="D743" i="697"/>
  <c r="D622" i="697"/>
  <c r="D640" i="697"/>
  <c r="D744" i="697"/>
  <c r="D867" i="697"/>
  <c r="D635" i="697"/>
  <c r="D891" i="697"/>
  <c r="D699" i="697"/>
  <c r="D903" i="697"/>
  <c r="D773" i="697"/>
  <c r="D636" i="697"/>
  <c r="D641" i="697"/>
  <c r="D652" i="697"/>
  <c r="D642" i="697"/>
  <c r="D643" i="697"/>
  <c r="D856" i="697"/>
  <c r="D644" i="697"/>
  <c r="D799" i="697"/>
  <c r="D857" i="697"/>
  <c r="D653" i="697"/>
  <c r="D655" i="697"/>
  <c r="D656" i="697"/>
  <c r="D745" i="697"/>
  <c r="D746" i="697"/>
  <c r="D666" i="697"/>
  <c r="D924" i="697"/>
  <c r="D925" i="697"/>
  <c r="D926" i="697"/>
  <c r="D667" i="697"/>
  <c r="D750" i="697"/>
  <c r="D700" i="697"/>
  <c r="D703" i="697"/>
  <c r="D704" i="697"/>
  <c r="D927" i="697"/>
  <c r="D928" i="697"/>
  <c r="D929" i="697"/>
  <c r="D931" i="697"/>
  <c r="D932" i="697"/>
  <c r="D708" i="697"/>
  <c r="D709" i="697"/>
  <c r="D710" i="697"/>
  <c r="D711" i="697"/>
  <c r="D712" i="697"/>
  <c r="D713" i="697"/>
  <c r="D787" i="697"/>
  <c r="D788" i="697"/>
  <c r="D786" i="697"/>
  <c r="D809" i="697"/>
  <c r="D810" i="697"/>
  <c r="D736" i="697"/>
  <c r="D748" i="697"/>
  <c r="D789" i="697"/>
  <c r="D934" i="697"/>
  <c r="D724" i="697"/>
  <c r="D725" i="697"/>
  <c r="D726" i="697"/>
  <c r="D790" i="697"/>
  <c r="D728" i="697"/>
  <c r="D729" i="697"/>
  <c r="D730" i="697"/>
  <c r="D737" i="697"/>
  <c r="D863" i="697"/>
  <c r="D771" i="697"/>
  <c r="D772" i="697"/>
  <c r="D954" i="697"/>
  <c r="D955" i="697"/>
  <c r="D982" i="697"/>
  <c r="D956" i="697"/>
  <c r="D904" i="697"/>
  <c r="D912" i="697"/>
  <c r="D913" i="697"/>
  <c r="D778" i="697"/>
  <c r="D957" i="697"/>
  <c r="D779" i="697"/>
  <c r="D780" i="697"/>
  <c r="D905" i="697"/>
  <c r="D781" i="697"/>
  <c r="D936" i="697"/>
  <c r="D791" i="697"/>
  <c r="D795" i="697"/>
  <c r="D895" i="697"/>
  <c r="D896" i="697"/>
  <c r="D958" i="697"/>
  <c r="D792" i="697"/>
  <c r="D801" i="697"/>
  <c r="D959" i="697"/>
  <c r="D800" i="697"/>
  <c r="D796" i="697"/>
  <c r="D797" i="697"/>
  <c r="D802" i="697"/>
  <c r="D803" i="697"/>
  <c r="D804" i="697"/>
  <c r="D805" i="697"/>
  <c r="D806" i="697"/>
  <c r="D807" i="697"/>
  <c r="D808" i="697"/>
  <c r="D1005" i="697"/>
  <c r="D814" i="697"/>
  <c r="D813" i="697"/>
  <c r="D991" i="697"/>
  <c r="D993" i="697"/>
  <c r="D818" i="697"/>
  <c r="D819" i="697"/>
  <c r="D820" i="697"/>
  <c r="D823" i="697"/>
  <c r="D824" i="697"/>
  <c r="D825" i="697"/>
  <c r="D826" i="697"/>
  <c r="D827" i="697"/>
  <c r="D828" i="697"/>
  <c r="D939" i="697"/>
  <c r="D821" i="697"/>
  <c r="D822" i="697"/>
  <c r="D918" i="697"/>
  <c r="D898" i="697"/>
  <c r="D847" i="697"/>
  <c r="D831" i="697"/>
  <c r="D832" i="697"/>
  <c r="D960" i="697"/>
  <c r="D877" i="697"/>
  <c r="D897" i="697"/>
  <c r="D916" i="697"/>
  <c r="D917" i="697"/>
  <c r="D852" i="697"/>
  <c r="D872" i="697"/>
  <c r="D886" i="697"/>
  <c r="D848" i="697"/>
  <c r="D878" i="697"/>
  <c r="D850" i="697"/>
  <c r="D849" i="697"/>
  <c r="D1002" i="697"/>
  <c r="D899" i="697"/>
  <c r="D1001" i="697"/>
  <c r="D1006" i="697"/>
  <c r="D851" i="697"/>
  <c r="D1007" i="697"/>
  <c r="D1212" i="697"/>
  <c r="D1008" i="697"/>
  <c r="D864" i="697"/>
  <c r="D942" i="697"/>
  <c r="D873" i="697"/>
  <c r="D943" i="697"/>
  <c r="D1046" i="697"/>
  <c r="D874" i="697"/>
  <c r="D882" i="697"/>
  <c r="D883" i="697"/>
  <c r="D884" i="697"/>
  <c r="D885" i="697"/>
  <c r="D900" i="697"/>
  <c r="D887" i="697"/>
  <c r="D1075" i="697"/>
  <c r="D901" i="697"/>
  <c r="D907" i="697"/>
  <c r="D908" i="697"/>
  <c r="D909" i="697"/>
  <c r="D910" i="697"/>
  <c r="D911" i="697"/>
  <c r="D944" i="697"/>
  <c r="D922" i="697"/>
  <c r="D919" i="697"/>
  <c r="D920" i="697"/>
  <c r="D921" i="697"/>
  <c r="D945" i="697"/>
  <c r="D1169" i="697"/>
  <c r="D1083" i="697"/>
  <c r="D946" i="697"/>
  <c r="D1082" i="697"/>
  <c r="D1131" i="697"/>
  <c r="D1077" i="697"/>
  <c r="D1098" i="697"/>
  <c r="D947" i="697"/>
  <c r="D9" i="697"/>
  <c r="D949" i="697"/>
  <c r="D950" i="697"/>
  <c r="D1078" i="697"/>
  <c r="D951" i="697"/>
  <c r="D1037" i="697"/>
  <c r="D1238" i="697"/>
  <c r="D1009" i="697"/>
  <c r="D1033" i="697"/>
  <c r="D1010" i="697"/>
  <c r="D961" i="697"/>
  <c r="D962" i="697"/>
  <c r="D963" i="697"/>
  <c r="D964" i="697"/>
  <c r="D965" i="697"/>
  <c r="D966" i="697"/>
  <c r="D967" i="697"/>
  <c r="D968" i="697"/>
  <c r="D969" i="697"/>
  <c r="D970" i="697"/>
  <c r="D971" i="697"/>
  <c r="D1017" i="697"/>
  <c r="D1018" i="697"/>
  <c r="D973" i="697"/>
  <c r="D974" i="697"/>
  <c r="D1124" i="697"/>
  <c r="D996" i="697"/>
  <c r="D1118" i="697"/>
  <c r="D1013" i="697"/>
  <c r="D1189" i="697"/>
  <c r="D1014" i="697"/>
  <c r="D975" i="697"/>
  <c r="D1015" i="697"/>
  <c r="D1016" i="697"/>
  <c r="D976" i="697"/>
  <c r="D1040" i="697"/>
  <c r="D977" i="697"/>
  <c r="D1019" i="697"/>
  <c r="D978" i="697"/>
  <c r="D1213" i="697"/>
  <c r="D1289" i="697"/>
  <c r="D1253" i="697"/>
  <c r="D997" i="697"/>
  <c r="D1132" i="697"/>
  <c r="D1003" i="697"/>
  <c r="D1004" i="697"/>
  <c r="D1170" i="697"/>
  <c r="D1020" i="697"/>
  <c r="D1034" i="697"/>
  <c r="D1026" i="697"/>
  <c r="D1028" i="697"/>
  <c r="D1133" i="697"/>
  <c r="D1177" i="697"/>
  <c r="D1036" i="697"/>
  <c r="D1035" i="697"/>
  <c r="D1248" i="697"/>
  <c r="D1171" i="697"/>
  <c r="D1038" i="697"/>
  <c r="D1079" i="697"/>
  <c r="D1178" i="697"/>
  <c r="D1039" i="697"/>
  <c r="D1080" i="697"/>
  <c r="D1295" i="697"/>
  <c r="D1041" i="697"/>
  <c r="D1042" i="697"/>
  <c r="D1043" i="697"/>
  <c r="D1072" i="697"/>
  <c r="D1065" i="697"/>
  <c r="D1064" i="697"/>
  <c r="D1203" i="697"/>
  <c r="D1073" i="697"/>
  <c r="D1074" i="697"/>
  <c r="D1081" i="697"/>
  <c r="D1228" i="697"/>
  <c r="D1290" i="697"/>
  <c r="D1105" i="697"/>
  <c r="D1095" i="697"/>
  <c r="D1230" i="697"/>
  <c r="D979" i="697"/>
  <c r="D1106" i="697"/>
  <c r="D1107" i="697"/>
  <c r="D1273" i="697"/>
  <c r="D1108" i="697"/>
  <c r="D1110" i="697"/>
  <c r="D1138" i="697"/>
  <c r="D1109" i="697"/>
  <c r="D1111" i="697"/>
  <c r="D1150" i="697"/>
  <c r="D1134" i="697"/>
  <c r="D1146" i="697"/>
  <c r="D1147" i="697"/>
  <c r="D1148" i="697"/>
  <c r="D1149" i="697"/>
  <c r="D1151" i="697"/>
  <c r="D1114" i="697"/>
  <c r="D1135" i="697"/>
  <c r="D1127" i="697"/>
  <c r="D1266" i="697"/>
  <c r="D1115" i="697"/>
  <c r="D1116" i="697"/>
  <c r="D1117" i="697"/>
  <c r="D1152" i="697"/>
  <c r="D1241" i="697"/>
  <c r="D1119" i="697"/>
  <c r="D1121" i="697"/>
  <c r="D1122" i="697"/>
  <c r="D1123" i="697"/>
  <c r="D1129" i="697"/>
  <c r="D1136" i="697"/>
  <c r="D1207" i="697"/>
  <c r="D1137" i="697"/>
  <c r="D1365" i="697"/>
  <c r="D1140" i="697"/>
  <c r="D1141" i="697"/>
  <c r="D1160" i="697"/>
  <c r="D1142" i="697"/>
  <c r="D1159" i="697"/>
  <c r="D1154" i="697"/>
  <c r="D1155" i="697"/>
  <c r="D1156" i="697"/>
  <c r="D1161" i="697"/>
  <c r="D1334" i="697"/>
  <c r="D1195" i="697"/>
  <c r="D1196" i="697"/>
  <c r="D1268" i="697"/>
  <c r="D1164" i="697"/>
  <c r="D1335" i="697"/>
  <c r="D1324" i="697"/>
  <c r="D1175" i="697"/>
  <c r="D1173" i="697"/>
  <c r="D1378" i="697"/>
  <c r="D1377" i="697"/>
  <c r="D1187" i="697"/>
  <c r="D1302" i="697"/>
  <c r="D1197" i="697"/>
  <c r="D1198" i="697"/>
  <c r="D1199" i="697"/>
  <c r="D1200" i="697"/>
  <c r="D1201" i="697"/>
  <c r="D1202" i="697"/>
  <c r="D1208" i="697"/>
  <c r="D1242" i="697"/>
  <c r="D1223" i="697"/>
  <c r="D1204" i="697"/>
  <c r="D1167" i="697"/>
  <c r="D1220" i="697"/>
  <c r="D1221" i="697"/>
  <c r="D1257" i="697"/>
  <c r="D1205" i="697"/>
  <c r="D1224" i="697"/>
  <c r="D1209" i="697"/>
  <c r="D1337" i="697"/>
  <c r="D1338" i="697"/>
  <c r="D1339" i="697"/>
  <c r="D1340" i="697"/>
  <c r="D1373" i="697"/>
  <c r="D1258" i="697"/>
  <c r="D1336" i="697"/>
  <c r="D1210" i="697"/>
  <c r="D1211" i="697"/>
  <c r="D1225" i="697"/>
  <c r="D1226" i="697"/>
  <c r="D1285" i="697"/>
  <c r="D1259" i="697"/>
  <c r="D1227" i="697"/>
  <c r="D1440" i="697"/>
  <c r="D1269" i="697"/>
  <c r="D1232" i="697"/>
  <c r="D1233" i="697"/>
  <c r="D1423" i="697"/>
  <c r="D1325" i="697"/>
  <c r="D1243" i="697"/>
  <c r="D1496" i="697"/>
  <c r="D1249" i="697"/>
  <c r="D1363" i="697"/>
  <c r="D1464" i="697"/>
  <c r="D1247" i="697"/>
  <c r="D1244" i="697"/>
  <c r="D1410" i="697"/>
  <c r="D1411" i="697"/>
  <c r="D1246" i="697"/>
  <c r="D1250" i="697"/>
  <c r="D1251" i="697"/>
  <c r="D1375" i="697"/>
  <c r="D1260" i="697"/>
  <c r="D1261" i="697"/>
  <c r="D1264" i="697"/>
  <c r="D1262" i="697"/>
  <c r="D1263" i="697"/>
  <c r="D1395" i="697"/>
  <c r="D1305" i="697"/>
  <c r="D1286" i="697"/>
  <c r="D1306" i="697"/>
  <c r="D1451" i="697"/>
  <c r="D1455" i="697"/>
  <c r="D1319" i="697"/>
  <c r="D1287" i="697"/>
  <c r="D1442" i="697"/>
  <c r="D1412" i="697"/>
  <c r="D1396" i="697"/>
  <c r="D1288" i="697"/>
  <c r="D1514" i="697"/>
  <c r="D1413" i="697"/>
  <c r="D1291" i="697"/>
  <c r="D1418" i="697"/>
  <c r="D1317" i="697"/>
  <c r="D1307" i="697"/>
  <c r="D1308" i="697"/>
  <c r="D1309" i="697"/>
  <c r="D1310" i="697"/>
  <c r="D1311" i="697"/>
  <c r="D1312" i="697"/>
  <c r="D1313" i="697"/>
  <c r="D1314" i="697"/>
  <c r="D1315" i="697"/>
  <c r="D1316" i="697"/>
  <c r="D1349" i="697"/>
  <c r="D1353" i="697"/>
  <c r="D1348" i="697"/>
  <c r="D1350" i="697"/>
  <c r="D1351" i="697"/>
  <c r="D1386" i="697"/>
  <c r="D1318" i="697"/>
  <c r="D1354" i="697"/>
  <c r="D1355" i="697"/>
  <c r="D1332" i="697"/>
  <c r="D1333" i="697"/>
  <c r="D1473" i="697"/>
  <c r="D1515" i="697"/>
  <c r="D1342" i="697"/>
  <c r="D1341" i="697"/>
  <c r="D1343" i="697"/>
  <c r="D1466" i="697"/>
  <c r="D1356" i="697"/>
  <c r="D1516" i="697"/>
  <c r="D1362" i="697"/>
  <c r="D1390" i="697"/>
  <c r="D1364" i="697"/>
  <c r="D1517" i="697"/>
  <c r="D1376" i="697"/>
  <c r="D1518" i="697"/>
  <c r="D1384" i="697"/>
  <c r="D1385" i="697"/>
  <c r="D1387" i="697"/>
  <c r="D1391" i="697"/>
  <c r="D1392" i="697"/>
  <c r="D1415" i="697"/>
  <c r="D1406" i="697"/>
  <c r="D1488" i="697"/>
  <c r="D1447" i="697"/>
  <c r="D1445" i="697"/>
  <c r="D1420" i="697"/>
  <c r="D1408" i="697"/>
  <c r="D1498" i="697"/>
  <c r="D1499" i="697"/>
  <c r="D1500" i="697"/>
  <c r="D1446" i="697"/>
  <c r="D1490" i="697"/>
  <c r="D1448" i="697"/>
  <c r="D1422" i="697"/>
  <c r="D1421" i="697"/>
  <c r="D1426" i="697"/>
  <c r="D1449" i="697"/>
  <c r="D1431" i="697"/>
  <c r="D1491" i="697"/>
  <c r="D1452" i="697"/>
  <c r="D1456" i="697"/>
  <c r="D1450" i="697"/>
  <c r="D1458" i="697"/>
  <c r="D1457" i="697"/>
  <c r="D1453" i="697"/>
  <c r="D1409" i="697"/>
  <c r="D1454" i="697"/>
  <c r="D1470" i="697"/>
  <c r="D1468" i="697"/>
  <c r="D1467" i="697"/>
  <c r="D1469" i="697"/>
  <c r="D1476" i="697"/>
  <c r="D1471" i="697"/>
  <c r="D1494" i="697"/>
  <c r="D1495" i="697"/>
  <c r="D1502" i="697"/>
  <c r="D1503" i="697"/>
  <c r="D1504" i="697"/>
  <c r="D1505" i="697"/>
  <c r="D1506" i="697"/>
  <c r="D1507" i="697"/>
  <c r="D1508" i="697"/>
  <c r="D1511" i="697"/>
  <c r="D1512" i="697"/>
  <c r="D1513" i="697"/>
  <c r="D1519" i="697"/>
  <c r="F1292" i="697"/>
  <c r="F103" i="697"/>
  <c r="F104" i="697"/>
  <c r="F22" i="697"/>
  <c r="F23" i="697"/>
  <c r="F12" i="697"/>
  <c r="F196" i="697"/>
  <c r="F4" i="697"/>
  <c r="F24" i="697"/>
  <c r="F208" i="697"/>
  <c r="F6" i="697"/>
  <c r="F13" i="697"/>
  <c r="F14" i="697"/>
  <c r="F2" i="697"/>
  <c r="F16" i="697"/>
  <c r="F17" i="697"/>
  <c r="F34" i="697"/>
  <c r="F15" i="697"/>
  <c r="F45" i="697"/>
  <c r="F77" i="697"/>
  <c r="F117" i="697"/>
  <c r="F79" i="697"/>
  <c r="F78" i="697"/>
  <c r="F80" i="697"/>
  <c r="F40" i="697"/>
  <c r="F3" i="697"/>
  <c r="F209" i="697"/>
  <c r="F5" i="697"/>
  <c r="F18" i="697"/>
  <c r="F20" i="697"/>
  <c r="F19" i="697"/>
  <c r="F7" i="697"/>
  <c r="F8" i="697"/>
  <c r="F10" i="697"/>
  <c r="F105" i="697"/>
  <c r="F106" i="697"/>
  <c r="F107" i="697"/>
  <c r="F11" i="697"/>
  <c r="F81" i="697"/>
  <c r="F174" i="697"/>
  <c r="F175" i="697"/>
  <c r="F82" i="697"/>
  <c r="F84" i="697"/>
  <c r="F118" i="697"/>
  <c r="F85" i="697"/>
  <c r="F83" i="697"/>
  <c r="F86" i="697"/>
  <c r="F87" i="697"/>
  <c r="F21" i="697"/>
  <c r="F210" i="697"/>
  <c r="F88" i="697"/>
  <c r="F27" i="697"/>
  <c r="F28" i="697"/>
  <c r="F29" i="697"/>
  <c r="F30" i="697"/>
  <c r="F31" i="697"/>
  <c r="F32" i="697"/>
  <c r="F33" i="697"/>
  <c r="F219" i="697"/>
  <c r="F90" i="697"/>
  <c r="F89" i="697"/>
  <c r="F96" i="697"/>
  <c r="F115" i="697"/>
  <c r="F125" i="697"/>
  <c r="F67" i="697"/>
  <c r="F171" i="697"/>
  <c r="F75" i="697"/>
  <c r="F46" i="697"/>
  <c r="F47" i="697"/>
  <c r="F48" i="697"/>
  <c r="F37" i="697"/>
  <c r="F53" i="697"/>
  <c r="F54" i="697"/>
  <c r="F55" i="697"/>
  <c r="F56" i="697"/>
  <c r="F57" i="697"/>
  <c r="F49" i="697"/>
  <c r="F50" i="697"/>
  <c r="F51" i="697"/>
  <c r="F119" i="697"/>
  <c r="F52" i="697"/>
  <c r="F114" i="697"/>
  <c r="F35" i="697"/>
  <c r="F58" i="697"/>
  <c r="F59" i="697"/>
  <c r="F60" i="697"/>
  <c r="F61" i="697"/>
  <c r="F62" i="697"/>
  <c r="F63" i="697"/>
  <c r="F126" i="697"/>
  <c r="F116" i="697"/>
  <c r="F120" i="697"/>
  <c r="F91" i="697"/>
  <c r="F133" i="697"/>
  <c r="F92" i="697"/>
  <c r="F93" i="697"/>
  <c r="F36" i="697"/>
  <c r="F108" i="697"/>
  <c r="F109" i="697"/>
  <c r="F110" i="697"/>
  <c r="F111" i="697"/>
  <c r="F64" i="697"/>
  <c r="F213" i="697"/>
  <c r="F134" i="697"/>
  <c r="F131" i="697"/>
  <c r="F140" i="697"/>
  <c r="F38" i="697"/>
  <c r="F399" i="697"/>
  <c r="F68" i="697"/>
  <c r="F65" i="697"/>
  <c r="F176" i="697"/>
  <c r="F127" i="697"/>
  <c r="F129" i="697"/>
  <c r="F97" i="697"/>
  <c r="F206" i="697"/>
  <c r="F39" i="697"/>
  <c r="F66" i="697"/>
  <c r="F230" i="697"/>
  <c r="F254" i="697"/>
  <c r="F160" i="697"/>
  <c r="F42" i="697"/>
  <c r="F41" i="697"/>
  <c r="F76" i="697"/>
  <c r="F44" i="697"/>
  <c r="F121" i="697"/>
  <c r="F43" i="697"/>
  <c r="F236" i="697"/>
  <c r="F255" i="697"/>
  <c r="F26" i="697"/>
  <c r="F25" i="697"/>
  <c r="F94" i="697"/>
  <c r="F237" i="697"/>
  <c r="F214" i="697"/>
  <c r="F256" i="697"/>
  <c r="F135" i="697"/>
  <c r="F161" i="697"/>
  <c r="F257" i="697"/>
  <c r="F207" i="697"/>
  <c r="F162" i="697"/>
  <c r="F177" i="697"/>
  <c r="F122" i="697"/>
  <c r="F163" i="697"/>
  <c r="F69" i="697"/>
  <c r="F70" i="697"/>
  <c r="F71" i="697"/>
  <c r="F72" i="697"/>
  <c r="F73" i="697"/>
  <c r="F74" i="697"/>
  <c r="F258" i="697"/>
  <c r="F178" i="697"/>
  <c r="F155" i="697"/>
  <c r="F146" i="697"/>
  <c r="F156" i="697"/>
  <c r="F157" i="697"/>
  <c r="F211" i="697"/>
  <c r="F145" i="697"/>
  <c r="F151" i="697"/>
  <c r="F152" i="697"/>
  <c r="F153" i="697"/>
  <c r="F154" i="697"/>
  <c r="F141" i="697"/>
  <c r="F142" i="697"/>
  <c r="F143" i="697"/>
  <c r="F144" i="697"/>
  <c r="F150" i="697"/>
  <c r="F158" i="697"/>
  <c r="F229" i="697"/>
  <c r="F95" i="697"/>
  <c r="F159" i="697"/>
  <c r="F240" i="697"/>
  <c r="F101" i="697"/>
  <c r="F100" i="697"/>
  <c r="F98" i="697"/>
  <c r="F99" i="697"/>
  <c r="F284" i="697"/>
  <c r="F102" i="697"/>
  <c r="F275" i="697"/>
  <c r="F197" i="697"/>
  <c r="F231" i="697"/>
  <c r="F148" i="697"/>
  <c r="F112" i="697"/>
  <c r="F147" i="697"/>
  <c r="F113" i="697"/>
  <c r="F259" i="697"/>
  <c r="F123" i="697"/>
  <c r="F252" i="697"/>
  <c r="F238" i="697"/>
  <c r="F232" i="697"/>
  <c r="F253" i="697"/>
  <c r="F233" i="697"/>
  <c r="F835" i="697"/>
  <c r="F124" i="697"/>
  <c r="F234" i="697"/>
  <c r="F244" i="697"/>
  <c r="F260" i="697"/>
  <c r="F181" i="697"/>
  <c r="F182" i="697"/>
  <c r="F183" i="697"/>
  <c r="F184" i="697"/>
  <c r="F172" i="697"/>
  <c r="F330" i="697"/>
  <c r="F245" i="697"/>
  <c r="F128" i="697"/>
  <c r="F285" i="697"/>
  <c r="F130" i="697"/>
  <c r="F132" i="697"/>
  <c r="F198" i="697"/>
  <c r="F349" i="697"/>
  <c r="F185" i="697"/>
  <c r="F312" i="697"/>
  <c r="F136" i="697"/>
  <c r="F277" i="697"/>
  <c r="F241" i="697"/>
  <c r="F276" i="697"/>
  <c r="F408" i="697"/>
  <c r="F286" i="697"/>
  <c r="F278" i="697"/>
  <c r="F279" i="697"/>
  <c r="F280" i="697"/>
  <c r="F149" i="697"/>
  <c r="F261" i="697"/>
  <c r="F137" i="697"/>
  <c r="F220" i="697"/>
  <c r="F394" i="697"/>
  <c r="F305" i="697"/>
  <c r="F164" i="697"/>
  <c r="F138" i="697"/>
  <c r="F139" i="697"/>
  <c r="F186" i="697"/>
  <c r="F221" i="697"/>
  <c r="F281" i="697"/>
  <c r="F331" i="697"/>
  <c r="F262" i="697"/>
  <c r="F263" i="697"/>
  <c r="F306" i="697"/>
  <c r="F320" i="697"/>
  <c r="F332" i="697"/>
  <c r="F199" i="697"/>
  <c r="F373" i="697"/>
  <c r="F357" i="697"/>
  <c r="F282" i="697"/>
  <c r="F170" i="697"/>
  <c r="F165" i="697"/>
  <c r="F166" i="697"/>
  <c r="F167" i="697"/>
  <c r="F168" i="697"/>
  <c r="F169" i="697"/>
  <c r="F333" i="697"/>
  <c r="F374" i="697"/>
  <c r="F194" i="697"/>
  <c r="F201" i="697"/>
  <c r="F173" i="697"/>
  <c r="F200" i="697"/>
  <c r="F265" i="697"/>
  <c r="F266" i="697"/>
  <c r="F235" i="697"/>
  <c r="F192" i="697"/>
  <c r="F193" i="697"/>
  <c r="F187" i="697"/>
  <c r="F188" i="697"/>
  <c r="F189" i="697"/>
  <c r="F190" i="697"/>
  <c r="F191" i="697"/>
  <c r="F195" i="697"/>
  <c r="F215" i="697"/>
  <c r="F307" i="697"/>
  <c r="F179" i="697"/>
  <c r="F180" i="697"/>
  <c r="F313" i="697"/>
  <c r="F267" i="697"/>
  <c r="F268" i="697"/>
  <c r="F269" i="697"/>
  <c r="F222" i="697"/>
  <c r="F335" i="697"/>
  <c r="F376" i="697"/>
  <c r="F204" i="697"/>
  <c r="F334" i="697"/>
  <c r="F442" i="697"/>
  <c r="F202" i="697"/>
  <c r="F203" i="697"/>
  <c r="F301" i="697"/>
  <c r="F375" i="697"/>
  <c r="F223" i="697"/>
  <c r="F224" i="697"/>
  <c r="F225" i="697"/>
  <c r="F226" i="697"/>
  <c r="F205" i="697"/>
  <c r="F303" i="697"/>
  <c r="F336" i="697"/>
  <c r="F337" i="697"/>
  <c r="F308" i="697"/>
  <c r="F216" i="697"/>
  <c r="F212" i="697"/>
  <c r="F338" i="697"/>
  <c r="F530" i="697"/>
  <c r="F395" i="697"/>
  <c r="F217" i="697"/>
  <c r="F377" i="697"/>
  <c r="F218" i="697"/>
  <c r="F227" i="697"/>
  <c r="F297" i="697"/>
  <c r="F340" i="697"/>
  <c r="F339" i="697"/>
  <c r="F228" i="697"/>
  <c r="F298" i="697"/>
  <c r="F504" i="697"/>
  <c r="F242" i="697"/>
  <c r="F341" i="697"/>
  <c r="F314" i="697"/>
  <c r="F361" i="697"/>
  <c r="F342" i="697"/>
  <c r="F283" i="697"/>
  <c r="F531" i="697"/>
  <c r="F270" i="697"/>
  <c r="F271" i="697"/>
  <c r="F343" i="697"/>
  <c r="F315" i="697"/>
  <c r="F239" i="697"/>
  <c r="F344" i="697"/>
  <c r="F346" i="697"/>
  <c r="F345" i="697"/>
  <c r="F411" i="697"/>
  <c r="F378" i="697"/>
  <c r="F347" i="697"/>
  <c r="F379" i="697"/>
  <c r="F407" i="697"/>
  <c r="F362" i="697"/>
  <c r="F363" i="697"/>
  <c r="F243" i="697"/>
  <c r="F364" i="697"/>
  <c r="F406" i="697"/>
  <c r="F348" i="697"/>
  <c r="F380" i="697"/>
  <c r="F272" i="697"/>
  <c r="F246" i="697"/>
  <c r="F287" i="697"/>
  <c r="F365" i="697"/>
  <c r="F274" i="697"/>
  <c r="F247" i="697"/>
  <c r="F248" i="697"/>
  <c r="F249" i="697"/>
  <c r="F250" i="697"/>
  <c r="F251" i="697"/>
  <c r="F273" i="697"/>
  <c r="F291" i="697"/>
  <c r="F292" i="697"/>
  <c r="F422" i="697"/>
  <c r="F388" i="697"/>
  <c r="F302" i="697"/>
  <c r="F290" i="697"/>
  <c r="F316" i="697"/>
  <c r="F317" i="697"/>
  <c r="F288" i="697"/>
  <c r="F289" i="697"/>
  <c r="F293" i="697"/>
  <c r="F294" i="697"/>
  <c r="F264" i="697"/>
  <c r="F389" i="697"/>
  <c r="F460" i="697"/>
  <c r="F461" i="697"/>
  <c r="F462" i="697"/>
  <c r="F463" i="697"/>
  <c r="F464" i="697"/>
  <c r="F505" i="697"/>
  <c r="F669" i="697"/>
  <c r="F423" i="697"/>
  <c r="F396" i="697"/>
  <c r="F409" i="697"/>
  <c r="F381" i="697"/>
  <c r="F424" i="697"/>
  <c r="F382" i="697"/>
  <c r="F443" i="697"/>
  <c r="F506" i="697"/>
  <c r="F507" i="697"/>
  <c r="F524" i="697"/>
  <c r="F485" i="697"/>
  <c r="F296" i="697"/>
  <c r="F295" i="697"/>
  <c r="F523" i="697"/>
  <c r="F425" i="697"/>
  <c r="F410" i="697"/>
  <c r="F444" i="697"/>
  <c r="F352" i="697"/>
  <c r="F397" i="697"/>
  <c r="F299" i="697"/>
  <c r="F300" i="697"/>
  <c r="F383" i="697"/>
  <c r="F508" i="697"/>
  <c r="F509" i="697"/>
  <c r="F510" i="697"/>
  <c r="F384" i="697"/>
  <c r="F426" i="697"/>
  <c r="F532" i="697"/>
  <c r="F304" i="697"/>
  <c r="F614" i="697"/>
  <c r="F360" i="697"/>
  <c r="F427" i="697"/>
  <c r="F428" i="697"/>
  <c r="F309" i="697"/>
  <c r="F465" i="697"/>
  <c r="F466" i="697"/>
  <c r="F311" i="697"/>
  <c r="F543" i="697"/>
  <c r="F544" i="697"/>
  <c r="F310" i="697"/>
  <c r="F445" i="697"/>
  <c r="F413" i="697"/>
  <c r="F450" i="697"/>
  <c r="F487" i="697"/>
  <c r="F318" i="697"/>
  <c r="F319" i="697"/>
  <c r="F518" i="697"/>
  <c r="F519" i="697"/>
  <c r="F451" i="697"/>
  <c r="F452" i="697"/>
  <c r="F429" i="697"/>
  <c r="F467" i="697"/>
  <c r="F468" i="697"/>
  <c r="F390" i="697"/>
  <c r="F326" i="697"/>
  <c r="F321" i="697"/>
  <c r="F322" i="697"/>
  <c r="F323" i="697"/>
  <c r="F324" i="697"/>
  <c r="F325" i="697"/>
  <c r="F391" i="697"/>
  <c r="F355" i="697"/>
  <c r="F386" i="697"/>
  <c r="F670" i="697"/>
  <c r="F327" i="697"/>
  <c r="F328" i="697"/>
  <c r="F385" i="697"/>
  <c r="F400" i="697"/>
  <c r="F401" i="697"/>
  <c r="F329" i="697"/>
  <c r="F353" i="697"/>
  <c r="F354" i="697"/>
  <c r="F469" i="697"/>
  <c r="F358" i="697"/>
  <c r="F520" i="697"/>
  <c r="F430" i="697"/>
  <c r="F367" i="697"/>
  <c r="F453" i="697"/>
  <c r="F623" i="697"/>
  <c r="F546" i="697"/>
  <c r="F624" i="697"/>
  <c r="F625" i="697"/>
  <c r="F431" i="697"/>
  <c r="F350" i="697"/>
  <c r="F446" i="697"/>
  <c r="F414" i="697"/>
  <c r="F432" i="697"/>
  <c r="F454" i="697"/>
  <c r="F351" i="697"/>
  <c r="F455" i="697"/>
  <c r="F488" i="697"/>
  <c r="F502" i="697"/>
  <c r="F370" i="697"/>
  <c r="F369" i="697"/>
  <c r="F470" i="697"/>
  <c r="F402" i="697"/>
  <c r="F356" i="697"/>
  <c r="F371" i="697"/>
  <c r="F489" i="697"/>
  <c r="F626" i="697"/>
  <c r="F627" i="697"/>
  <c r="F490" i="697"/>
  <c r="F359" i="697"/>
  <c r="F471" i="697"/>
  <c r="F368" i="697"/>
  <c r="F525" i="697"/>
  <c r="F472" i="697"/>
  <c r="F366" i="697"/>
  <c r="F491" i="697"/>
  <c r="F492" i="697"/>
  <c r="F433" i="697"/>
  <c r="F473" i="697"/>
  <c r="F493" i="697"/>
  <c r="F372" i="697"/>
  <c r="F526" i="697"/>
  <c r="F387" i="697"/>
  <c r="F474" i="697"/>
  <c r="F475" i="697"/>
  <c r="F476" i="697"/>
  <c r="F477" i="697"/>
  <c r="F398" i="697"/>
  <c r="F434" i="697"/>
  <c r="F628" i="697"/>
  <c r="F527" i="697"/>
  <c r="F545" i="697"/>
  <c r="F392" i="697"/>
  <c r="F435" i="697"/>
  <c r="F436" i="697"/>
  <c r="F393" i="697"/>
  <c r="F404" i="697"/>
  <c r="F403" i="697"/>
  <c r="F511" i="697"/>
  <c r="F512" i="697"/>
  <c r="F513" i="697"/>
  <c r="F514" i="697"/>
  <c r="F671" i="697"/>
  <c r="F478" i="697"/>
  <c r="F494" i="697"/>
  <c r="F629" i="697"/>
  <c r="F584" i="697"/>
  <c r="F405" i="697"/>
  <c r="F538" i="697"/>
  <c r="F539" i="697"/>
  <c r="F528" i="697"/>
  <c r="F554" i="697"/>
  <c r="F555" i="697"/>
  <c r="F412" i="697"/>
  <c r="F637" i="697"/>
  <c r="F415" i="697"/>
  <c r="F479" i="697"/>
  <c r="F480" i="697"/>
  <c r="F615" i="697"/>
  <c r="F592" i="697"/>
  <c r="F441" i="697"/>
  <c r="F662" i="697"/>
  <c r="F449" i="697"/>
  <c r="F416" i="697"/>
  <c r="F417" i="697"/>
  <c r="F418" i="697"/>
  <c r="F419" i="697"/>
  <c r="F420" i="697"/>
  <c r="F421" i="697"/>
  <c r="F486" i="697"/>
  <c r="F498" i="697"/>
  <c r="F499" i="697"/>
  <c r="F447" i="697"/>
  <c r="F448" i="697"/>
  <c r="F457" i="697"/>
  <c r="F481" i="697"/>
  <c r="F515" i="697"/>
  <c r="F673" i="697"/>
  <c r="F439" i="697"/>
  <c r="F672" i="697"/>
  <c r="F616" i="697"/>
  <c r="F617" i="697"/>
  <c r="F529" i="697"/>
  <c r="F437" i="697"/>
  <c r="F438" i="697"/>
  <c r="F547" i="697"/>
  <c r="F548" i="697"/>
  <c r="F714" i="697"/>
  <c r="F674" i="697"/>
  <c r="F440" i="697"/>
  <c r="F500" i="697"/>
  <c r="F715" i="697"/>
  <c r="F716" i="697"/>
  <c r="F657" i="697"/>
  <c r="F638" i="697"/>
  <c r="F456" i="697"/>
  <c r="F639" i="697"/>
  <c r="F593" i="697"/>
  <c r="F675" i="697"/>
  <c r="F556" i="697"/>
  <c r="F594" i="697"/>
  <c r="F459" i="697"/>
  <c r="F458" i="697"/>
  <c r="F645" i="697"/>
  <c r="F482" i="697"/>
  <c r="F676" i="697"/>
  <c r="F677" i="697"/>
  <c r="F483" i="697"/>
  <c r="F663" i="697"/>
  <c r="F678" i="697"/>
  <c r="F557" i="697"/>
  <c r="F558" i="697"/>
  <c r="F559" i="697"/>
  <c r="F560" i="697"/>
  <c r="F679" i="697"/>
  <c r="F595" i="697"/>
  <c r="F484" i="697"/>
  <c r="F495" i="697"/>
  <c r="F561" i="697"/>
  <c r="F562" i="697"/>
  <c r="F563" i="697"/>
  <c r="F564" i="697"/>
  <c r="F731" i="697"/>
  <c r="F658" i="697"/>
  <c r="F590" i="697"/>
  <c r="F497" i="697"/>
  <c r="F496" i="697"/>
  <c r="F516" i="697"/>
  <c r="F517" i="697"/>
  <c r="F618" i="697"/>
  <c r="F619" i="697"/>
  <c r="F680" i="697"/>
  <c r="F501" i="697"/>
  <c r="F503" i="697"/>
  <c r="F620" i="697"/>
  <c r="F596" i="697"/>
  <c r="F701" i="697"/>
  <c r="F664" i="697"/>
  <c r="F659" i="697"/>
  <c r="F681" i="697"/>
  <c r="F565" i="697"/>
  <c r="F566" i="697"/>
  <c r="F567" i="697"/>
  <c r="F568" i="697"/>
  <c r="F621" i="697"/>
  <c r="F702" i="697"/>
  <c r="F732" i="697"/>
  <c r="F751" i="697"/>
  <c r="F717" i="697"/>
  <c r="F646" i="697"/>
  <c r="F521" i="697"/>
  <c r="F682" i="697"/>
  <c r="F522" i="697"/>
  <c r="F533" i="697"/>
  <c r="F551" i="697"/>
  <c r="F577" i="697"/>
  <c r="F610" i="697"/>
  <c r="F752" i="697"/>
  <c r="F534" i="697"/>
  <c r="F581" i="697"/>
  <c r="F587" i="697"/>
  <c r="F588" i="697"/>
  <c r="F660" i="697"/>
  <c r="F718" i="697"/>
  <c r="F549" i="697"/>
  <c r="F550" i="697"/>
  <c r="F552" i="697"/>
  <c r="F753" i="697"/>
  <c r="F782" i="697"/>
  <c r="F536" i="697"/>
  <c r="F683" i="697"/>
  <c r="F866" i="697"/>
  <c r="F578" i="697"/>
  <c r="F535" i="697"/>
  <c r="F684" i="697"/>
  <c r="F754" i="697"/>
  <c r="F537" i="697"/>
  <c r="F540" i="697"/>
  <c r="F755" i="697"/>
  <c r="F685" i="697"/>
  <c r="F686" i="697"/>
  <c r="F705" i="697"/>
  <c r="F541" i="697"/>
  <c r="F542" i="697"/>
  <c r="F687" i="697"/>
  <c r="F733" i="697"/>
  <c r="F836" i="697"/>
  <c r="F756" i="697"/>
  <c r="F569" i="697"/>
  <c r="F706" i="697"/>
  <c r="F707" i="697"/>
  <c r="F734" i="697"/>
  <c r="F735" i="697"/>
  <c r="F580" i="697"/>
  <c r="F585" i="697"/>
  <c r="F630" i="697"/>
  <c r="F553" i="697"/>
  <c r="F749" i="697"/>
  <c r="F688" i="697"/>
  <c r="F837" i="697"/>
  <c r="F634" i="697"/>
  <c r="F757" i="697"/>
  <c r="F783" i="697"/>
  <c r="F689" i="697"/>
  <c r="F576" i="697"/>
  <c r="F758" i="697"/>
  <c r="F759" i="697"/>
  <c r="F760" i="697"/>
  <c r="F690" i="697"/>
  <c r="F579" i="697"/>
  <c r="F784" i="697"/>
  <c r="F838" i="697"/>
  <c r="F761" i="697"/>
  <c r="F811" i="697"/>
  <c r="F691" i="697"/>
  <c r="F815" i="697"/>
  <c r="F889" i="697"/>
  <c r="F582" i="697"/>
  <c r="F665" i="697"/>
  <c r="F583" i="697"/>
  <c r="F586" i="697"/>
  <c r="F692" i="697"/>
  <c r="F719" i="697"/>
  <c r="F661" i="697"/>
  <c r="F762" i="697"/>
  <c r="F763" i="697"/>
  <c r="F611" i="697"/>
  <c r="F816" i="697"/>
  <c r="F720" i="697"/>
  <c r="F693" i="697"/>
  <c r="F589" i="697"/>
  <c r="F839" i="697"/>
  <c r="F591" i="697"/>
  <c r="F721" i="697"/>
  <c r="F597" i="697"/>
  <c r="F598" i="697"/>
  <c r="F764" i="697"/>
  <c r="F694" i="697"/>
  <c r="F840" i="697"/>
  <c r="F793" i="697"/>
  <c r="F765" i="697"/>
  <c r="F601" i="697"/>
  <c r="F695" i="697"/>
  <c r="F599" i="697"/>
  <c r="F600" i="697"/>
  <c r="F812" i="697"/>
  <c r="F785" i="697"/>
  <c r="F722" i="697"/>
  <c r="F602" i="697"/>
  <c r="F603" i="697"/>
  <c r="F604" i="697"/>
  <c r="F605" i="697"/>
  <c r="F606" i="697"/>
  <c r="F607" i="697"/>
  <c r="F608" i="697"/>
  <c r="F609" i="697"/>
  <c r="F742" i="697"/>
  <c r="F738" i="697"/>
  <c r="F739" i="697"/>
  <c r="F740" i="697"/>
  <c r="F741" i="697"/>
  <c r="F766" i="697"/>
  <c r="F923" i="697"/>
  <c r="F902" i="697"/>
  <c r="F654" i="697"/>
  <c r="F723" i="697"/>
  <c r="F650" i="697"/>
  <c r="F854" i="697"/>
  <c r="F649" i="697"/>
  <c r="F696" i="697"/>
  <c r="F697" i="697"/>
  <c r="F647" i="697"/>
  <c r="F648" i="697"/>
  <c r="F698" i="697"/>
  <c r="F612" i="697"/>
  <c r="F613" i="697"/>
  <c r="F651" i="697"/>
  <c r="F767" i="697"/>
  <c r="F769" i="697"/>
  <c r="F631" i="697"/>
  <c r="F743" i="697"/>
  <c r="F622" i="697"/>
  <c r="F841" i="697"/>
  <c r="F768" i="697"/>
  <c r="F632" i="697"/>
  <c r="F633" i="697"/>
  <c r="F770" i="697"/>
  <c r="F640" i="697"/>
  <c r="F744" i="697"/>
  <c r="F890" i="697"/>
  <c r="F867" i="697"/>
  <c r="F855" i="697"/>
  <c r="F635" i="697"/>
  <c r="F891" i="697"/>
  <c r="F699" i="697"/>
  <c r="F903" i="697"/>
  <c r="F773" i="697"/>
  <c r="F636" i="697"/>
  <c r="F641" i="697"/>
  <c r="F652" i="697"/>
  <c r="F642" i="697"/>
  <c r="F643" i="697"/>
  <c r="F868" i="697"/>
  <c r="F892" i="697"/>
  <c r="F856" i="697"/>
  <c r="F842" i="697"/>
  <c r="F893" i="697"/>
  <c r="F843" i="697"/>
  <c r="F644" i="697"/>
  <c r="F799" i="697"/>
  <c r="F844" i="697"/>
  <c r="F857" i="697"/>
  <c r="F653" i="697"/>
  <c r="F655" i="697"/>
  <c r="F858" i="697"/>
  <c r="F656" i="697"/>
  <c r="F745" i="697"/>
  <c r="F746" i="697"/>
  <c r="F666" i="697"/>
  <c r="F859" i="697"/>
  <c r="F747" i="697"/>
  <c r="F924" i="697"/>
  <c r="F925" i="697"/>
  <c r="F926" i="697"/>
  <c r="F869" i="697"/>
  <c r="F667" i="697"/>
  <c r="F750" i="697"/>
  <c r="F668" i="697"/>
  <c r="F845" i="697"/>
  <c r="F1029" i="697"/>
  <c r="F700" i="697"/>
  <c r="F703" i="697"/>
  <c r="F704" i="697"/>
  <c r="F927" i="697"/>
  <c r="F928" i="697"/>
  <c r="F879" i="697"/>
  <c r="F846" i="697"/>
  <c r="F929" i="697"/>
  <c r="F861" i="697"/>
  <c r="F794" i="697"/>
  <c r="F860" i="697"/>
  <c r="F930" i="697"/>
  <c r="F894" i="697"/>
  <c r="F870" i="697"/>
  <c r="F862" i="697"/>
  <c r="F931" i="697"/>
  <c r="F932" i="697"/>
  <c r="F933" i="697"/>
  <c r="F708" i="697"/>
  <c r="F709" i="697"/>
  <c r="F710" i="697"/>
  <c r="F711" i="697"/>
  <c r="F712" i="697"/>
  <c r="F713" i="697"/>
  <c r="F787" i="697"/>
  <c r="F788" i="697"/>
  <c r="F952" i="697"/>
  <c r="F786" i="697"/>
  <c r="F809" i="697"/>
  <c r="F810" i="697"/>
  <c r="F736" i="697"/>
  <c r="F748" i="697"/>
  <c r="F774" i="697"/>
  <c r="F775" i="697"/>
  <c r="F776" i="697"/>
  <c r="F789" i="697"/>
  <c r="F934" i="697"/>
  <c r="F724" i="697"/>
  <c r="F725" i="697"/>
  <c r="F726" i="697"/>
  <c r="F727" i="697"/>
  <c r="F790" i="697"/>
  <c r="F1021" i="697"/>
  <c r="F728" i="697"/>
  <c r="F729" i="697"/>
  <c r="F730" i="697"/>
  <c r="F953" i="697"/>
  <c r="F871" i="697"/>
  <c r="F817" i="697"/>
  <c r="F737" i="697"/>
  <c r="F1084" i="697"/>
  <c r="F880" i="697"/>
  <c r="F863" i="697"/>
  <c r="F570" i="697"/>
  <c r="F571" i="697"/>
  <c r="F572" i="697"/>
  <c r="F573" i="697"/>
  <c r="F574" i="697"/>
  <c r="F575" i="697"/>
  <c r="F771" i="697"/>
  <c r="F772" i="697"/>
  <c r="F954" i="697"/>
  <c r="F955" i="697"/>
  <c r="F982" i="697"/>
  <c r="F777" i="697"/>
  <c r="F956" i="697"/>
  <c r="F981" i="697"/>
  <c r="F980" i="697"/>
  <c r="F983" i="697"/>
  <c r="F904" i="697"/>
  <c r="F984" i="697"/>
  <c r="F912" i="697"/>
  <c r="F913" i="697"/>
  <c r="F778" i="697"/>
  <c r="F957" i="697"/>
  <c r="F881" i="697"/>
  <c r="F779" i="697"/>
  <c r="F780" i="697"/>
  <c r="F905" i="697"/>
  <c r="F985" i="697"/>
  <c r="F781" i="697"/>
  <c r="F906" i="697"/>
  <c r="F948" i="697"/>
  <c r="F935" i="697"/>
  <c r="F936" i="697"/>
  <c r="F791" i="697"/>
  <c r="F795" i="697"/>
  <c r="F937" i="697"/>
  <c r="F986" i="697"/>
  <c r="F895" i="697"/>
  <c r="F896" i="697"/>
  <c r="F914" i="697"/>
  <c r="F958" i="697"/>
  <c r="F792" i="697"/>
  <c r="F987" i="697"/>
  <c r="F801" i="697"/>
  <c r="F989" i="697"/>
  <c r="F959" i="697"/>
  <c r="F800" i="697"/>
  <c r="F796" i="697"/>
  <c r="F988" i="697"/>
  <c r="F797" i="697"/>
  <c r="F798" i="697"/>
  <c r="F802" i="697"/>
  <c r="F990" i="697"/>
  <c r="F803" i="697"/>
  <c r="F804" i="697"/>
  <c r="F805" i="697"/>
  <c r="F806" i="697"/>
  <c r="F807" i="697"/>
  <c r="F808" i="697"/>
  <c r="F1022" i="697"/>
  <c r="F1005" i="697"/>
  <c r="F814" i="697"/>
  <c r="F813" i="697"/>
  <c r="F991" i="697"/>
  <c r="F993" i="697"/>
  <c r="F992" i="697"/>
  <c r="F818" i="697"/>
  <c r="F938" i="697"/>
  <c r="F819" i="697"/>
  <c r="F820" i="697"/>
  <c r="F823" i="697"/>
  <c r="F824" i="697"/>
  <c r="F825" i="697"/>
  <c r="F826" i="697"/>
  <c r="F827" i="697"/>
  <c r="F828" i="697"/>
  <c r="F939" i="697"/>
  <c r="F821" i="697"/>
  <c r="F822" i="697"/>
  <c r="F918" i="697"/>
  <c r="F898" i="697"/>
  <c r="F829" i="697"/>
  <c r="F830" i="697"/>
  <c r="F847" i="697"/>
  <c r="F831" i="697"/>
  <c r="F832" i="697"/>
  <c r="F833" i="697"/>
  <c r="F1000" i="697"/>
  <c r="F960" i="697"/>
  <c r="F834" i="697"/>
  <c r="F1030" i="697"/>
  <c r="F877" i="697"/>
  <c r="F897" i="697"/>
  <c r="F916" i="697"/>
  <c r="F917" i="697"/>
  <c r="F852" i="697"/>
  <c r="F872" i="697"/>
  <c r="F886" i="697"/>
  <c r="F848" i="697"/>
  <c r="F915" i="697"/>
  <c r="F1143" i="697"/>
  <c r="F875" i="697"/>
  <c r="F876" i="697"/>
  <c r="F878" i="697"/>
  <c r="F994" i="697"/>
  <c r="F850" i="697"/>
  <c r="F849" i="697"/>
  <c r="F1002" i="697"/>
  <c r="F899" i="697"/>
  <c r="F1001" i="697"/>
  <c r="F1006" i="697"/>
  <c r="F851" i="697"/>
  <c r="F940" i="697"/>
  <c r="F941" i="697"/>
  <c r="F1007" i="697"/>
  <c r="F995" i="697"/>
  <c r="F1212" i="697"/>
  <c r="F853" i="697"/>
  <c r="F1023" i="697"/>
  <c r="F1008" i="697"/>
  <c r="F1044" i="697"/>
  <c r="F864" i="697"/>
  <c r="F865" i="697"/>
  <c r="F942" i="697"/>
  <c r="F1024" i="697"/>
  <c r="F873" i="697"/>
  <c r="F943" i="697"/>
  <c r="F1045" i="697"/>
  <c r="F1046" i="697"/>
  <c r="F1047" i="697"/>
  <c r="F874" i="697"/>
  <c r="F1025" i="697"/>
  <c r="F1031" i="697"/>
  <c r="F1048" i="697"/>
  <c r="F882" i="697"/>
  <c r="F883" i="697"/>
  <c r="F884" i="697"/>
  <c r="F885" i="697"/>
  <c r="F1049" i="697"/>
  <c r="F1050" i="697"/>
  <c r="F900" i="697"/>
  <c r="F887" i="697"/>
  <c r="F888" i="697"/>
  <c r="F1091" i="697"/>
  <c r="F1068" i="697"/>
  <c r="F1075" i="697"/>
  <c r="F901" i="697"/>
  <c r="F1096" i="697"/>
  <c r="F907" i="697"/>
  <c r="F908" i="697"/>
  <c r="F909" i="697"/>
  <c r="F910" i="697"/>
  <c r="F911" i="697"/>
  <c r="F1168" i="697"/>
  <c r="F944" i="697"/>
  <c r="F1097" i="697"/>
  <c r="F1069" i="697"/>
  <c r="F1051" i="697"/>
  <c r="F922" i="697"/>
  <c r="F919" i="697"/>
  <c r="F920" i="697"/>
  <c r="F921" i="697"/>
  <c r="F1076" i="697"/>
  <c r="F945" i="697"/>
  <c r="F1162" i="697"/>
  <c r="F1169" i="697"/>
  <c r="F1083" i="697"/>
  <c r="F946" i="697"/>
  <c r="F1082" i="697"/>
  <c r="F1131" i="697"/>
  <c r="F1077" i="697"/>
  <c r="F1052" i="697"/>
  <c r="F1098" i="697"/>
  <c r="F1070" i="697"/>
  <c r="F1085" i="697"/>
  <c r="F947" i="697"/>
  <c r="F9" i="697"/>
  <c r="F1032" i="697"/>
  <c r="F1053" i="697"/>
  <c r="F949" i="697"/>
  <c r="F950" i="697"/>
  <c r="F1092" i="697"/>
  <c r="F1099" i="697"/>
  <c r="F1130" i="697"/>
  <c r="F1078" i="697"/>
  <c r="F951" i="697"/>
  <c r="F1037" i="697"/>
  <c r="F1071" i="697"/>
  <c r="F1100" i="697"/>
  <c r="F1086" i="697"/>
  <c r="F1089" i="697"/>
  <c r="F1101" i="697"/>
  <c r="F1087" i="697"/>
  <c r="F1238" i="697"/>
  <c r="F1088" i="697"/>
  <c r="F1009" i="697"/>
  <c r="F972" i="697"/>
  <c r="F1054" i="697"/>
  <c r="F1033" i="697"/>
  <c r="F1102" i="697"/>
  <c r="F1010" i="697"/>
  <c r="F961" i="697"/>
  <c r="F962" i="697"/>
  <c r="F963" i="697"/>
  <c r="F964" i="697"/>
  <c r="F965" i="697"/>
  <c r="F966" i="697"/>
  <c r="F967" i="697"/>
  <c r="F968" i="697"/>
  <c r="F969" i="697"/>
  <c r="F970" i="697"/>
  <c r="F971" i="697"/>
  <c r="F1055" i="697"/>
  <c r="F1056" i="697"/>
  <c r="F1057" i="697"/>
  <c r="F1058" i="697"/>
  <c r="F1059" i="697"/>
  <c r="F1060" i="697"/>
  <c r="F1017" i="697"/>
  <c r="F1190" i="697"/>
  <c r="F1018" i="697"/>
  <c r="F973" i="697"/>
  <c r="F974" i="697"/>
  <c r="F1124" i="697"/>
  <c r="F996" i="697"/>
  <c r="F1118" i="697"/>
  <c r="F1013" i="697"/>
  <c r="F1189" i="697"/>
  <c r="F1014" i="697"/>
  <c r="F975" i="697"/>
  <c r="F1015" i="697"/>
  <c r="F1016" i="697"/>
  <c r="F976" i="697"/>
  <c r="F1040" i="697"/>
  <c r="F977" i="697"/>
  <c r="F1093" i="697"/>
  <c r="F1112" i="697"/>
  <c r="F1011" i="697"/>
  <c r="F1103" i="697"/>
  <c r="F1012" i="697"/>
  <c r="F1019" i="697"/>
  <c r="F978" i="697"/>
  <c r="F1213" i="697"/>
  <c r="F1061" i="697"/>
  <c r="F1104" i="697"/>
  <c r="F1320" i="697"/>
  <c r="F1293" i="697"/>
  <c r="F1191" i="697"/>
  <c r="F1206" i="697"/>
  <c r="F1289" i="697"/>
  <c r="F1253" i="697"/>
  <c r="F1321" i="697"/>
  <c r="F1239" i="697"/>
  <c r="F1157" i="697"/>
  <c r="F997" i="697"/>
  <c r="F998" i="697"/>
  <c r="F999" i="697"/>
  <c r="F1604" i="697"/>
  <c r="F1158" i="697"/>
  <c r="F1132" i="697"/>
  <c r="F1003" i="697"/>
  <c r="F1062" i="697"/>
  <c r="F1063" i="697"/>
  <c r="F1004" i="697"/>
  <c r="F1170" i="697"/>
  <c r="F1020" i="697"/>
  <c r="F1270" i="697"/>
  <c r="F1271" i="697"/>
  <c r="F1176" i="697"/>
  <c r="F1294" i="697"/>
  <c r="F1034" i="697"/>
  <c r="F1163" i="697"/>
  <c r="F1026" i="697"/>
  <c r="F1027" i="697"/>
  <c r="F1028" i="697"/>
  <c r="F1252" i="697"/>
  <c r="F1133" i="697"/>
  <c r="F1177" i="697"/>
  <c r="F1036" i="697"/>
  <c r="F1035" i="697"/>
  <c r="F1248" i="697"/>
  <c r="F1171" i="697"/>
  <c r="F1192" i="697"/>
  <c r="F1038" i="697"/>
  <c r="F1079" i="697"/>
  <c r="F1178" i="697"/>
  <c r="F1039" i="697"/>
  <c r="F1229" i="697"/>
  <c r="F1179" i="697"/>
  <c r="F1113" i="697"/>
  <c r="F1080" i="697"/>
  <c r="F1180" i="697"/>
  <c r="F1295" i="697"/>
  <c r="F1041" i="697"/>
  <c r="F1214" i="697"/>
  <c r="F1042" i="697"/>
  <c r="F1043" i="697"/>
  <c r="F1072" i="697"/>
  <c r="F1066" i="697"/>
  <c r="F1067" i="697"/>
  <c r="F1372" i="697"/>
  <c r="F1065" i="697"/>
  <c r="F1296" i="697"/>
  <c r="F1064" i="697"/>
  <c r="F1144" i="697"/>
  <c r="F1182" i="697"/>
  <c r="F1183" i="697"/>
  <c r="F1203" i="697"/>
  <c r="F1073" i="697"/>
  <c r="F1074" i="697"/>
  <c r="F1081" i="697"/>
  <c r="F1181" i="697"/>
  <c r="F1090" i="697"/>
  <c r="F1322" i="697"/>
  <c r="F1184" i="697"/>
  <c r="F1228" i="697"/>
  <c r="F1272" i="697"/>
  <c r="F1193" i="697"/>
  <c r="F1094" i="697"/>
  <c r="F1323" i="697"/>
  <c r="F1290" i="697"/>
  <c r="F1216" i="697"/>
  <c r="F1240" i="697"/>
  <c r="F1105" i="697"/>
  <c r="F1095" i="697"/>
  <c r="F1215" i="697"/>
  <c r="F1230" i="697"/>
  <c r="F979" i="697"/>
  <c r="F1106" i="697"/>
  <c r="F1107" i="697"/>
  <c r="F1273" i="697"/>
  <c r="F1108" i="697"/>
  <c r="F1297" i="697"/>
  <c r="F1110" i="697"/>
  <c r="F1138" i="697"/>
  <c r="F1109" i="697"/>
  <c r="F1111" i="697"/>
  <c r="F1126" i="697"/>
  <c r="F1145" i="697"/>
  <c r="F1150" i="697"/>
  <c r="F1134" i="697"/>
  <c r="F1274" i="697"/>
  <c r="F1275" i="697"/>
  <c r="F1146" i="697"/>
  <c r="F1147" i="697"/>
  <c r="F1148" i="697"/>
  <c r="F1149" i="697"/>
  <c r="F1151" i="697"/>
  <c r="F1114" i="697"/>
  <c r="F1135" i="697"/>
  <c r="F1125" i="697"/>
  <c r="F1127" i="697"/>
  <c r="F1266" i="697"/>
  <c r="F1115" i="697"/>
  <c r="F1116" i="697"/>
  <c r="F1117" i="697"/>
  <c r="F1152" i="697"/>
  <c r="F1241" i="697"/>
  <c r="F1120" i="697"/>
  <c r="F1119" i="697"/>
  <c r="F1217" i="697"/>
  <c r="F1121" i="697"/>
  <c r="F1122" i="697"/>
  <c r="F1123" i="697"/>
  <c r="F1194" i="697"/>
  <c r="F1128" i="697"/>
  <c r="F1129" i="697"/>
  <c r="F1174" i="697"/>
  <c r="F1136" i="697"/>
  <c r="F1235" i="697"/>
  <c r="F1326" i="697"/>
  <c r="F1207" i="697"/>
  <c r="F1254" i="697"/>
  <c r="F1137" i="697"/>
  <c r="F1365" i="697"/>
  <c r="F1327" i="697"/>
  <c r="F1139" i="697"/>
  <c r="F1140" i="697"/>
  <c r="F1141" i="697"/>
  <c r="F1160" i="697"/>
  <c r="F1153" i="697"/>
  <c r="F1142" i="697"/>
  <c r="F1159" i="697"/>
  <c r="F1154" i="697"/>
  <c r="F1155" i="697"/>
  <c r="F1156" i="697"/>
  <c r="F1366" i="697"/>
  <c r="F1185" i="697"/>
  <c r="F1161" i="697"/>
  <c r="F1334" i="697"/>
  <c r="F1255" i="697"/>
  <c r="F1298" i="697"/>
  <c r="F1267" i="697"/>
  <c r="F1195" i="697"/>
  <c r="F1196" i="697"/>
  <c r="F1268" i="697"/>
  <c r="F1164" i="697"/>
  <c r="F1335" i="697"/>
  <c r="F1328" i="697"/>
  <c r="F1165" i="697"/>
  <c r="F1166" i="697"/>
  <c r="F1276" i="697"/>
  <c r="F1277" i="697"/>
  <c r="F1256" i="697"/>
  <c r="F1172" i="697"/>
  <c r="F1330" i="697"/>
  <c r="F1324" i="697"/>
  <c r="F1299" i="697"/>
  <c r="F1586" i="697"/>
  <c r="F1175" i="697"/>
  <c r="F1173" i="697"/>
  <c r="F1329" i="697"/>
  <c r="F1300" i="697"/>
  <c r="F1367" i="697"/>
  <c r="F1368" i="697"/>
  <c r="F1378" i="697"/>
  <c r="F1377" i="697"/>
  <c r="F1301" i="697"/>
  <c r="F1331" i="697"/>
  <c r="F1186" i="697"/>
  <c r="F1187" i="697"/>
  <c r="F1357" i="697"/>
  <c r="F1369" i="697"/>
  <c r="F1439" i="697"/>
  <c r="F1302" i="697"/>
  <c r="F1188" i="697"/>
  <c r="F1278" i="697"/>
  <c r="F1358" i="697"/>
  <c r="F1197" i="697"/>
  <c r="F1198" i="697"/>
  <c r="F1199" i="697"/>
  <c r="F1200" i="697"/>
  <c r="F1201" i="697"/>
  <c r="F1202" i="697"/>
  <c r="F1208" i="697"/>
  <c r="F1242" i="697"/>
  <c r="F1359" i="697"/>
  <c r="F1222" i="697"/>
  <c r="F1223" i="697"/>
  <c r="F1204" i="697"/>
  <c r="F1167" i="697"/>
  <c r="F1220" i="697"/>
  <c r="F1221" i="697"/>
  <c r="F1257" i="697"/>
  <c r="F1205" i="697"/>
  <c r="F1218" i="697"/>
  <c r="F1224" i="697"/>
  <c r="F1219" i="697"/>
  <c r="F1209" i="697"/>
  <c r="F1337" i="697"/>
  <c r="F1338" i="697"/>
  <c r="F1339" i="697"/>
  <c r="F1340" i="697"/>
  <c r="F1373" i="697"/>
  <c r="F1258" i="697"/>
  <c r="F1336" i="697"/>
  <c r="F1210" i="697"/>
  <c r="F1211" i="697"/>
  <c r="F1225" i="697"/>
  <c r="F1226" i="697"/>
  <c r="F1285" i="697"/>
  <c r="F1259" i="697"/>
  <c r="F1227" i="697"/>
  <c r="F1477" i="697"/>
  <c r="F1379" i="697"/>
  <c r="F1303" i="697"/>
  <c r="F1345" i="697"/>
  <c r="F1360" i="697"/>
  <c r="F1440" i="697"/>
  <c r="F1394" i="697"/>
  <c r="F1344" i="697"/>
  <c r="F1231" i="697"/>
  <c r="F1361" i="697"/>
  <c r="F1269" i="697"/>
  <c r="F1232" i="697"/>
  <c r="F1233" i="697"/>
  <c r="F1423" i="697"/>
  <c r="F1325" i="697"/>
  <c r="F1243" i="697"/>
  <c r="F1492" i="697"/>
  <c r="F1234" i="697"/>
  <c r="F1380" i="697"/>
  <c r="F1496" i="697"/>
  <c r="F1249" i="697"/>
  <c r="F1363" i="697"/>
  <c r="F1236" i="697"/>
  <c r="F1237" i="697"/>
  <c r="F1464" i="697"/>
  <c r="F1374" i="697"/>
  <c r="F1247" i="697"/>
  <c r="F1245" i="697"/>
  <c r="F1244" i="697"/>
  <c r="F1410" i="697"/>
  <c r="F1411" i="697"/>
  <c r="F1370" i="697"/>
  <c r="F1417" i="697"/>
  <c r="F1381" i="697"/>
  <c r="F1246" i="697"/>
  <c r="F1250" i="697"/>
  <c r="F1251" i="697"/>
  <c r="F1432" i="697"/>
  <c r="F1375" i="697"/>
  <c r="F1382" i="697"/>
  <c r="F1260" i="697"/>
  <c r="F1279" i="697"/>
  <c r="F1280" i="697"/>
  <c r="F1281" i="697"/>
  <c r="F1282" i="697"/>
  <c r="F1283" i="697"/>
  <c r="F1433" i="697"/>
  <c r="F1434" i="697"/>
  <c r="F1261" i="697"/>
  <c r="F1264" i="697"/>
  <c r="F1262" i="697"/>
  <c r="F1263" i="697"/>
  <c r="F1383" i="697"/>
  <c r="F1265" i="697"/>
  <c r="F1579" i="697"/>
  <c r="F1395" i="697"/>
  <c r="F1441" i="697"/>
  <c r="F1305" i="697"/>
  <c r="F1286" i="697"/>
  <c r="F1306" i="697"/>
  <c r="F1451" i="697"/>
  <c r="F1455" i="697"/>
  <c r="F1319" i="697"/>
  <c r="F1435" i="697"/>
  <c r="F1284" i="697"/>
  <c r="F1287" i="697"/>
  <c r="F1442" i="697"/>
  <c r="F1412" i="697"/>
  <c r="F1396" i="697"/>
  <c r="F1288" i="697"/>
  <c r="F1397" i="697"/>
  <c r="F1514" i="697"/>
  <c r="F1413" i="697"/>
  <c r="F1388" i="697"/>
  <c r="F1291" i="697"/>
  <c r="F1493" i="697"/>
  <c r="F1497" i="697"/>
  <c r="F1389" i="697"/>
  <c r="F1304" i="697"/>
  <c r="F1398" i="697"/>
  <c r="F1418" i="697"/>
  <c r="F1317" i="697"/>
  <c r="F1307" i="697"/>
  <c r="F1308" i="697"/>
  <c r="F1309" i="697"/>
  <c r="F1310" i="697"/>
  <c r="F1311" i="697"/>
  <c r="F1312" i="697"/>
  <c r="F1313" i="697"/>
  <c r="F1314" i="697"/>
  <c r="F1315" i="697"/>
  <c r="F1316" i="697"/>
  <c r="F1399" i="697"/>
  <c r="F1414" i="697"/>
  <c r="F1352" i="697"/>
  <c r="F1349" i="697"/>
  <c r="F1465" i="697"/>
  <c r="F1347" i="697"/>
  <c r="F1353" i="697"/>
  <c r="F1348" i="697"/>
  <c r="F1400" i="697"/>
  <c r="F1401" i="697"/>
  <c r="F1350" i="697"/>
  <c r="F1351" i="697"/>
  <c r="F1386" i="697"/>
  <c r="F1318" i="697"/>
  <c r="F1346" i="697"/>
  <c r="F1354" i="697"/>
  <c r="F1429" i="697"/>
  <c r="F1478" i="697"/>
  <c r="F1580" i="697"/>
  <c r="F1578" i="697"/>
  <c r="F1355" i="697"/>
  <c r="F1332" i="697"/>
  <c r="F1333" i="697"/>
  <c r="F1581" i="697"/>
  <c r="F1479" i="697"/>
  <c r="F1473" i="697"/>
  <c r="F1515" i="697"/>
  <c r="F1342" i="697"/>
  <c r="F1341" i="697"/>
  <c r="F1424" i="697"/>
  <c r="F1343" i="697"/>
  <c r="F1475" i="697"/>
  <c r="F1521" i="697"/>
  <c r="F1480" i="697"/>
  <c r="F1600" i="697"/>
  <c r="F1466" i="697"/>
  <c r="F1425" i="697"/>
  <c r="F1481" i="697"/>
  <c r="F1356" i="697"/>
  <c r="F1482" i="697"/>
  <c r="F1516" i="697"/>
  <c r="F1474" i="697"/>
  <c r="F1483" i="697"/>
  <c r="F1362" i="697"/>
  <c r="F1484" i="697"/>
  <c r="F1485" i="697"/>
  <c r="F1390" i="697"/>
  <c r="F1364" i="697"/>
  <c r="F1530" i="697"/>
  <c r="F1517" i="697"/>
  <c r="F1376" i="697"/>
  <c r="F1402" i="697"/>
  <c r="F1403" i="697"/>
  <c r="F1404" i="697"/>
  <c r="F1405" i="697"/>
  <c r="F1371" i="697"/>
  <c r="F1589" i="697"/>
  <c r="F1436" i="697"/>
  <c r="F1557" i="697"/>
  <c r="F1437" i="697"/>
  <c r="F1569" i="697"/>
  <c r="F1486" i="697"/>
  <c r="F1605" i="697"/>
  <c r="F1518" i="697"/>
  <c r="F1558" i="697"/>
  <c r="F1487" i="697"/>
  <c r="F1553" i="697"/>
  <c r="F1384" i="697"/>
  <c r="F1385" i="697"/>
  <c r="F1387" i="697"/>
  <c r="F1570" i="697"/>
  <c r="F1595" i="697"/>
  <c r="F1574" i="697"/>
  <c r="F1393" i="697"/>
  <c r="F1391" i="697"/>
  <c r="F1392" i="697"/>
  <c r="F1415" i="697"/>
  <c r="F1554" i="697"/>
  <c r="F1406" i="697"/>
  <c r="F1590" i="697"/>
  <c r="F1407" i="697"/>
  <c r="F1588" i="697"/>
  <c r="F1438" i="697"/>
  <c r="F1488" i="697"/>
  <c r="F1601" i="697"/>
  <c r="F1443" i="697"/>
  <c r="F1447" i="697"/>
  <c r="F1445" i="697"/>
  <c r="F1420" i="697"/>
  <c r="F1408" i="697"/>
  <c r="F1498" i="697"/>
  <c r="F1499" i="697"/>
  <c r="F1500" i="697"/>
  <c r="F1446" i="697"/>
  <c r="F1522" i="697"/>
  <c r="F1523" i="697"/>
  <c r="F1490" i="697"/>
  <c r="F1571" i="697"/>
  <c r="F1444" i="697"/>
  <c r="F1448" i="697"/>
  <c r="F1565" i="697"/>
  <c r="F1416" i="697"/>
  <c r="F1489" i="697"/>
  <c r="F1602" i="697"/>
  <c r="F1591" i="697"/>
  <c r="F1611" i="697"/>
  <c r="F1419" i="697"/>
  <c r="F1592" i="697"/>
  <c r="F1593" i="697"/>
  <c r="F1422" i="697"/>
  <c r="F1421" i="697"/>
  <c r="F1545" i="697"/>
  <c r="F1460" i="697"/>
  <c r="F1525" i="697"/>
  <c r="F1426" i="697"/>
  <c r="F1461" i="697"/>
  <c r="F1462" i="697"/>
  <c r="F1427" i="697"/>
  <c r="F1428" i="697"/>
  <c r="F1449" i="697"/>
  <c r="F1431" i="697"/>
  <c r="F1430" i="697"/>
  <c r="F1491" i="697"/>
  <c r="F1452" i="697"/>
  <c r="F1575" i="697"/>
  <c r="F1456" i="697"/>
  <c r="F1450" i="697"/>
  <c r="F1567" i="697"/>
  <c r="F1566" i="697"/>
  <c r="F1524" i="697"/>
  <c r="F1458" i="697"/>
  <c r="F1457" i="697"/>
  <c r="F1463" i="697"/>
  <c r="F1453" i="697"/>
  <c r="F1409" i="697"/>
  <c r="F1454" i="697"/>
  <c r="F1576" i="697"/>
  <c r="F1633" i="697"/>
  <c r="F1562" i="697"/>
  <c r="F1459" i="697"/>
  <c r="F1543" i="697"/>
  <c r="F1541" i="697"/>
  <c r="F1470" i="697"/>
  <c r="F1468" i="697"/>
  <c r="F1467" i="697"/>
  <c r="F1469" i="697"/>
  <c r="F1606" i="697"/>
  <c r="F1476" i="697"/>
  <c r="F1471" i="697"/>
  <c r="F1472" i="697"/>
  <c r="F1577" i="697"/>
  <c r="F1582" i="697"/>
  <c r="F1549" i="697"/>
  <c r="F1550" i="697"/>
  <c r="F1540" i="697"/>
  <c r="F1531" i="697"/>
  <c r="F1587" i="697"/>
  <c r="F1563" i="697"/>
  <c r="F1546" i="697"/>
  <c r="F1564" i="697"/>
  <c r="F1614" i="697"/>
  <c r="F1544" i="697"/>
  <c r="F1607" i="697"/>
  <c r="F1494" i="697"/>
  <c r="F1495" i="697"/>
  <c r="F1568" i="697"/>
  <c r="F1538" i="697"/>
  <c r="F1533" i="697"/>
  <c r="F1551" i="697"/>
  <c r="F1532" i="697"/>
  <c r="F1542" i="697"/>
  <c r="F1596" i="697"/>
  <c r="F1610" i="697"/>
  <c r="F1597" i="697"/>
  <c r="F1583" i="697"/>
  <c r="F1603" i="697"/>
  <c r="F1619" i="697"/>
  <c r="F1584" i="697"/>
  <c r="F1502" i="697"/>
  <c r="F1503" i="697"/>
  <c r="F1504" i="697"/>
  <c r="F1505" i="697"/>
  <c r="F1506" i="697"/>
  <c r="F1507" i="697"/>
  <c r="F1508" i="697"/>
  <c r="F1621" i="697"/>
  <c r="F1609" i="697"/>
  <c r="F1561" i="697"/>
  <c r="F1511" i="697"/>
  <c r="F1512" i="697"/>
  <c r="F1552" i="697"/>
  <c r="F1598" i="697"/>
  <c r="F1599" i="697"/>
  <c r="F1513" i="697"/>
  <c r="F1519" i="697"/>
  <c r="N1512" i="697"/>
  <c r="N1552" i="697"/>
  <c r="N1598" i="697"/>
  <c r="N1599" i="697"/>
  <c r="N1513" i="697"/>
  <c r="N1519" i="697"/>
  <c r="O1512" i="697"/>
  <c r="O1552" i="697"/>
  <c r="O1598" i="697"/>
  <c r="O1599" i="697"/>
  <c r="O1513" i="697"/>
  <c r="O1519" i="697"/>
  <c r="S1292" i="697"/>
  <c r="S103" i="697"/>
  <c r="S104" i="697"/>
  <c r="S22" i="697"/>
  <c r="S23" i="697"/>
  <c r="S12" i="697"/>
  <c r="S196" i="697"/>
  <c r="S4" i="697"/>
  <c r="S24" i="697"/>
  <c r="S208" i="697"/>
  <c r="S6" i="697"/>
  <c r="S13" i="697"/>
  <c r="S14" i="697"/>
  <c r="S2" i="697"/>
  <c r="S16" i="697"/>
  <c r="S17" i="697"/>
  <c r="S34" i="697"/>
  <c r="S15" i="697"/>
  <c r="S45" i="697"/>
  <c r="S77" i="697"/>
  <c r="S117" i="697"/>
  <c r="S79" i="697"/>
  <c r="S78" i="697"/>
  <c r="S80" i="697"/>
  <c r="S40" i="697"/>
  <c r="S3" i="697"/>
  <c r="S209" i="697"/>
  <c r="S5" i="697"/>
  <c r="S18" i="697"/>
  <c r="S20" i="697"/>
  <c r="S19" i="697"/>
  <c r="S7" i="697"/>
  <c r="S8" i="697"/>
  <c r="S10" i="697"/>
  <c r="S105" i="697"/>
  <c r="S106" i="697"/>
  <c r="S107" i="697"/>
  <c r="S11" i="697"/>
  <c r="S81" i="697"/>
  <c r="S174" i="697"/>
  <c r="S175" i="697"/>
  <c r="S82" i="697"/>
  <c r="S84" i="697"/>
  <c r="S118" i="697"/>
  <c r="S85" i="697"/>
  <c r="S83" i="697"/>
  <c r="S86" i="697"/>
  <c r="S87" i="697"/>
  <c r="S21" i="697"/>
  <c r="S210" i="697"/>
  <c r="S88" i="697"/>
  <c r="S27" i="697"/>
  <c r="S28" i="697"/>
  <c r="S29" i="697"/>
  <c r="S30" i="697"/>
  <c r="S31" i="697"/>
  <c r="S32" i="697"/>
  <c r="S33" i="697"/>
  <c r="S219" i="697"/>
  <c r="S90" i="697"/>
  <c r="S89" i="697"/>
  <c r="S96" i="697"/>
  <c r="S115" i="697"/>
  <c r="S125" i="697"/>
  <c r="S67" i="697"/>
  <c r="S171" i="697"/>
  <c r="S75" i="697"/>
  <c r="S46" i="697"/>
  <c r="S47" i="697"/>
  <c r="S48" i="697"/>
  <c r="S37" i="697"/>
  <c r="S53" i="697"/>
  <c r="S54" i="697"/>
  <c r="S55" i="697"/>
  <c r="S56" i="697"/>
  <c r="S57" i="697"/>
  <c r="S49" i="697"/>
  <c r="S50" i="697"/>
  <c r="S51" i="697"/>
  <c r="S119" i="697"/>
  <c r="S52" i="697"/>
  <c r="S114" i="697"/>
  <c r="S35" i="697"/>
  <c r="S58" i="697"/>
  <c r="S59" i="697"/>
  <c r="S60" i="697"/>
  <c r="S61" i="697"/>
  <c r="S62" i="697"/>
  <c r="S63" i="697"/>
  <c r="S126" i="697"/>
  <c r="S116" i="697"/>
  <c r="S120" i="697"/>
  <c r="S91" i="697"/>
  <c r="S133" i="697"/>
  <c r="S92" i="697"/>
  <c r="S93" i="697"/>
  <c r="S36" i="697"/>
  <c r="S108" i="697"/>
  <c r="S109" i="697"/>
  <c r="S110" i="697"/>
  <c r="S111" i="697"/>
  <c r="S64" i="697"/>
  <c r="S213" i="697"/>
  <c r="S134" i="697"/>
  <c r="S131" i="697"/>
  <c r="S140" i="697"/>
  <c r="S38" i="697"/>
  <c r="S399" i="697"/>
  <c r="S68" i="697"/>
  <c r="S65" i="697"/>
  <c r="S176" i="697"/>
  <c r="S127" i="697"/>
  <c r="S129" i="697"/>
  <c r="S97" i="697"/>
  <c r="S206" i="697"/>
  <c r="S39" i="697"/>
  <c r="S66" i="697"/>
  <c r="S230" i="697"/>
  <c r="S254" i="697"/>
  <c r="S160" i="697"/>
  <c r="S42" i="697"/>
  <c r="S41" i="697"/>
  <c r="S76" i="697"/>
  <c r="S44" i="697"/>
  <c r="S121" i="697"/>
  <c r="S43" i="697"/>
  <c r="S236" i="697"/>
  <c r="S255" i="697"/>
  <c r="S26" i="697"/>
  <c r="S25" i="697"/>
  <c r="S94" i="697"/>
  <c r="S237" i="697"/>
  <c r="S214" i="697"/>
  <c r="S256" i="697"/>
  <c r="S135" i="697"/>
  <c r="S161" i="697"/>
  <c r="S257" i="697"/>
  <c r="S207" i="697"/>
  <c r="S162" i="697"/>
  <c r="S177" i="697"/>
  <c r="S122" i="697"/>
  <c r="S163" i="697"/>
  <c r="S69" i="697"/>
  <c r="S70" i="697"/>
  <c r="S71" i="697"/>
  <c r="S72" i="697"/>
  <c r="S73" i="697"/>
  <c r="S74" i="697"/>
  <c r="S258" i="697"/>
  <c r="S178" i="697"/>
  <c r="S155" i="697"/>
  <c r="S146" i="697"/>
  <c r="S156" i="697"/>
  <c r="S157" i="697"/>
  <c r="S211" i="697"/>
  <c r="S145" i="697"/>
  <c r="S151" i="697"/>
  <c r="S152" i="697"/>
  <c r="S153" i="697"/>
  <c r="S154" i="697"/>
  <c r="S141" i="697"/>
  <c r="S142" i="697"/>
  <c r="S143" i="697"/>
  <c r="S144" i="697"/>
  <c r="S150" i="697"/>
  <c r="S158" i="697"/>
  <c r="S229" i="697"/>
  <c r="S95" i="697"/>
  <c r="S159" i="697"/>
  <c r="S240" i="697"/>
  <c r="S101" i="697"/>
  <c r="S100" i="697"/>
  <c r="S98" i="697"/>
  <c r="S99" i="697"/>
  <c r="S284" i="697"/>
  <c r="S102" i="697"/>
  <c r="S275" i="697"/>
  <c r="S197" i="697"/>
  <c r="S231" i="697"/>
  <c r="S148" i="697"/>
  <c r="S112" i="697"/>
  <c r="S147" i="697"/>
  <c r="S113" i="697"/>
  <c r="S259" i="697"/>
  <c r="S123" i="697"/>
  <c r="S252" i="697"/>
  <c r="S238" i="697"/>
  <c r="S232" i="697"/>
  <c r="S253" i="697"/>
  <c r="S233" i="697"/>
  <c r="S835" i="697"/>
  <c r="S124" i="697"/>
  <c r="S234" i="697"/>
  <c r="S244" i="697"/>
  <c r="S260" i="697"/>
  <c r="S181" i="697"/>
  <c r="S182" i="697"/>
  <c r="S183" i="697"/>
  <c r="S184" i="697"/>
  <c r="S172" i="697"/>
  <c r="S330" i="697"/>
  <c r="S245" i="697"/>
  <c r="S128" i="697"/>
  <c r="S285" i="697"/>
  <c r="S130" i="697"/>
  <c r="S132" i="697"/>
  <c r="S198" i="697"/>
  <c r="S349" i="697"/>
  <c r="S185" i="697"/>
  <c r="S312" i="697"/>
  <c r="S136" i="697"/>
  <c r="S277" i="697"/>
  <c r="S241" i="697"/>
  <c r="S276" i="697"/>
  <c r="S408" i="697"/>
  <c r="S286" i="697"/>
  <c r="S278" i="697"/>
  <c r="S279" i="697"/>
  <c r="S280" i="697"/>
  <c r="S149" i="697"/>
  <c r="S261" i="697"/>
  <c r="S137" i="697"/>
  <c r="S220" i="697"/>
  <c r="S394" i="697"/>
  <c r="S305" i="697"/>
  <c r="S164" i="697"/>
  <c r="S138" i="697"/>
  <c r="S139" i="697"/>
  <c r="S186" i="697"/>
  <c r="S221" i="697"/>
  <c r="S281" i="697"/>
  <c r="S331" i="697"/>
  <c r="S262" i="697"/>
  <c r="S263" i="697"/>
  <c r="S306" i="697"/>
  <c r="S320" i="697"/>
  <c r="S332" i="697"/>
  <c r="S199" i="697"/>
  <c r="S373" i="697"/>
  <c r="S357" i="697"/>
  <c r="S282" i="697"/>
  <c r="S170" i="697"/>
  <c r="S165" i="697"/>
  <c r="S166" i="697"/>
  <c r="S167" i="697"/>
  <c r="S168" i="697"/>
  <c r="S169" i="697"/>
  <c r="S333" i="697"/>
  <c r="S374" i="697"/>
  <c r="S194" i="697"/>
  <c r="S201" i="697"/>
  <c r="S173" i="697"/>
  <c r="S200" i="697"/>
  <c r="S265" i="697"/>
  <c r="S266" i="697"/>
  <c r="S235" i="697"/>
  <c r="S192" i="697"/>
  <c r="S193" i="697"/>
  <c r="S187" i="697"/>
  <c r="S188" i="697"/>
  <c r="S189" i="697"/>
  <c r="S190" i="697"/>
  <c r="S191" i="697"/>
  <c r="S195" i="697"/>
  <c r="S215" i="697"/>
  <c r="S307" i="697"/>
  <c r="S179" i="697"/>
  <c r="S180" i="697"/>
  <c r="S313" i="697"/>
  <c r="S267" i="697"/>
  <c r="S268" i="697"/>
  <c r="S269" i="697"/>
  <c r="S222" i="697"/>
  <c r="S335" i="697"/>
  <c r="S376" i="697"/>
  <c r="S204" i="697"/>
  <c r="S334" i="697"/>
  <c r="S442" i="697"/>
  <c r="S202" i="697"/>
  <c r="S203" i="697"/>
  <c r="S301" i="697"/>
  <c r="S375" i="697"/>
  <c r="S223" i="697"/>
  <c r="S224" i="697"/>
  <c r="S225" i="697"/>
  <c r="S226" i="697"/>
  <c r="S205" i="697"/>
  <c r="S303" i="697"/>
  <c r="S336" i="697"/>
  <c r="S337" i="697"/>
  <c r="S308" i="697"/>
  <c r="S216" i="697"/>
  <c r="S212" i="697"/>
  <c r="S338" i="697"/>
  <c r="S530" i="697"/>
  <c r="S395" i="697"/>
  <c r="S217" i="697"/>
  <c r="S377" i="697"/>
  <c r="S218" i="697"/>
  <c r="S227" i="697"/>
  <c r="S297" i="697"/>
  <c r="S340" i="697"/>
  <c r="S339" i="697"/>
  <c r="S228" i="697"/>
  <c r="S298" i="697"/>
  <c r="S504" i="697"/>
  <c r="S242" i="697"/>
  <c r="S341" i="697"/>
  <c r="S314" i="697"/>
  <c r="S361" i="697"/>
  <c r="S342" i="697"/>
  <c r="S283" i="697"/>
  <c r="S531" i="697"/>
  <c r="S270" i="697"/>
  <c r="S271" i="697"/>
  <c r="S343" i="697"/>
  <c r="S315" i="697"/>
  <c r="S239" i="697"/>
  <c r="S344" i="697"/>
  <c r="S346" i="697"/>
  <c r="S345" i="697"/>
  <c r="S411" i="697"/>
  <c r="S378" i="697"/>
  <c r="S347" i="697"/>
  <c r="S379" i="697"/>
  <c r="S407" i="697"/>
  <c r="S362" i="697"/>
  <c r="S363" i="697"/>
  <c r="S243" i="697"/>
  <c r="S364" i="697"/>
  <c r="S406" i="697"/>
  <c r="S348" i="697"/>
  <c r="S380" i="697"/>
  <c r="S272" i="697"/>
  <c r="S246" i="697"/>
  <c r="S287" i="697"/>
  <c r="S365" i="697"/>
  <c r="S274" i="697"/>
  <c r="S247" i="697"/>
  <c r="S248" i="697"/>
  <c r="S249" i="697"/>
  <c r="S250" i="697"/>
  <c r="S251" i="697"/>
  <c r="S273" i="697"/>
  <c r="S291" i="697"/>
  <c r="S292" i="697"/>
  <c r="S422" i="697"/>
  <c r="S388" i="697"/>
  <c r="S302" i="697"/>
  <c r="S290" i="697"/>
  <c r="S316" i="697"/>
  <c r="S317" i="697"/>
  <c r="S288" i="697"/>
  <c r="S289" i="697"/>
  <c r="S293" i="697"/>
  <c r="S294" i="697"/>
  <c r="S264" i="697"/>
  <c r="S389" i="697"/>
  <c r="S460" i="697"/>
  <c r="S461" i="697"/>
  <c r="S462" i="697"/>
  <c r="S463" i="697"/>
  <c r="S464" i="697"/>
  <c r="S505" i="697"/>
  <c r="S669" i="697"/>
  <c r="S423" i="697"/>
  <c r="S396" i="697"/>
  <c r="S409" i="697"/>
  <c r="S381" i="697"/>
  <c r="S424" i="697"/>
  <c r="S382" i="697"/>
  <c r="S443" i="697"/>
  <c r="S506" i="697"/>
  <c r="S507" i="697"/>
  <c r="S524" i="697"/>
  <c r="S485" i="697"/>
  <c r="S296" i="697"/>
  <c r="S295" i="697"/>
  <c r="S523" i="697"/>
  <c r="S425" i="697"/>
  <c r="S410" i="697"/>
  <c r="S444" i="697"/>
  <c r="S352" i="697"/>
  <c r="S397" i="697"/>
  <c r="S299" i="697"/>
  <c r="S300" i="697"/>
  <c r="S383" i="697"/>
  <c r="S508" i="697"/>
  <c r="S509" i="697"/>
  <c r="S510" i="697"/>
  <c r="S384" i="697"/>
  <c r="S426" i="697"/>
  <c r="S532" i="697"/>
  <c r="S304" i="697"/>
  <c r="S614" i="697"/>
  <c r="S360" i="697"/>
  <c r="S427" i="697"/>
  <c r="S428" i="697"/>
  <c r="S309" i="697"/>
  <c r="S465" i="697"/>
  <c r="S466" i="697"/>
  <c r="S311" i="697"/>
  <c r="S543" i="697"/>
  <c r="S544" i="697"/>
  <c r="S310" i="697"/>
  <c r="S445" i="697"/>
  <c r="S413" i="697"/>
  <c r="S450" i="697"/>
  <c r="S487" i="697"/>
  <c r="S318" i="697"/>
  <c r="S319" i="697"/>
  <c r="S518" i="697"/>
  <c r="S519" i="697"/>
  <c r="S451" i="697"/>
  <c r="S452" i="697"/>
  <c r="S429" i="697"/>
  <c r="S467" i="697"/>
  <c r="S468" i="697"/>
  <c r="S390" i="697"/>
  <c r="S326" i="697"/>
  <c r="S321" i="697"/>
  <c r="S322" i="697"/>
  <c r="S323" i="697"/>
  <c r="S324" i="697"/>
  <c r="S325" i="697"/>
  <c r="S391" i="697"/>
  <c r="S355" i="697"/>
  <c r="S386" i="697"/>
  <c r="S670" i="697"/>
  <c r="S327" i="697"/>
  <c r="S328" i="697"/>
  <c r="S385" i="697"/>
  <c r="S400" i="697"/>
  <c r="S401" i="697"/>
  <c r="S329" i="697"/>
  <c r="S353" i="697"/>
  <c r="S354" i="697"/>
  <c r="S469" i="697"/>
  <c r="S358" i="697"/>
  <c r="S520" i="697"/>
  <c r="S430" i="697"/>
  <c r="S367" i="697"/>
  <c r="S453" i="697"/>
  <c r="S623" i="697"/>
  <c r="S546" i="697"/>
  <c r="S624" i="697"/>
  <c r="S625" i="697"/>
  <c r="S431" i="697"/>
  <c r="S350" i="697"/>
  <c r="S446" i="697"/>
  <c r="S414" i="697"/>
  <c r="S432" i="697"/>
  <c r="S454" i="697"/>
  <c r="S351" i="697"/>
  <c r="S455" i="697"/>
  <c r="S488" i="697"/>
  <c r="S502" i="697"/>
  <c r="S370" i="697"/>
  <c r="S369" i="697"/>
  <c r="S470" i="697"/>
  <c r="S402" i="697"/>
  <c r="S356" i="697"/>
  <c r="S371" i="697"/>
  <c r="S489" i="697"/>
  <c r="S626" i="697"/>
  <c r="S627" i="697"/>
  <c r="S490" i="697"/>
  <c r="S359" i="697"/>
  <c r="S471" i="697"/>
  <c r="S368" i="697"/>
  <c r="S525" i="697"/>
  <c r="S472" i="697"/>
  <c r="S366" i="697"/>
  <c r="S491" i="697"/>
  <c r="S492" i="697"/>
  <c r="S433" i="697"/>
  <c r="S473" i="697"/>
  <c r="S493" i="697"/>
  <c r="S372" i="697"/>
  <c r="S526" i="697"/>
  <c r="S387" i="697"/>
  <c r="S474" i="697"/>
  <c r="S475" i="697"/>
  <c r="S476" i="697"/>
  <c r="S477" i="697"/>
  <c r="S398" i="697"/>
  <c r="S434" i="697"/>
  <c r="S628" i="697"/>
  <c r="S527" i="697"/>
  <c r="S545" i="697"/>
  <c r="S392" i="697"/>
  <c r="S435" i="697"/>
  <c r="S436" i="697"/>
  <c r="S393" i="697"/>
  <c r="S404" i="697"/>
  <c r="S403" i="697"/>
  <c r="S511" i="697"/>
  <c r="S512" i="697"/>
  <c r="S513" i="697"/>
  <c r="S514" i="697"/>
  <c r="S671" i="697"/>
  <c r="S478" i="697"/>
  <c r="S494" i="697"/>
  <c r="S629" i="697"/>
  <c r="S584" i="697"/>
  <c r="S405" i="697"/>
  <c r="S538" i="697"/>
  <c r="S539" i="697"/>
  <c r="S528" i="697"/>
  <c r="S554" i="697"/>
  <c r="S555" i="697"/>
  <c r="S412" i="697"/>
  <c r="S637" i="697"/>
  <c r="S415" i="697"/>
  <c r="S479" i="697"/>
  <c r="S480" i="697"/>
  <c r="S615" i="697"/>
  <c r="S592" i="697"/>
  <c r="S441" i="697"/>
  <c r="S662" i="697"/>
  <c r="S449" i="697"/>
  <c r="S416" i="697"/>
  <c r="S417" i="697"/>
  <c r="S418" i="697"/>
  <c r="S419" i="697"/>
  <c r="S420" i="697"/>
  <c r="S421" i="697"/>
  <c r="S486" i="697"/>
  <c r="S498" i="697"/>
  <c r="S499" i="697"/>
  <c r="S447" i="697"/>
  <c r="S448" i="697"/>
  <c r="S457" i="697"/>
  <c r="S481" i="697"/>
  <c r="S515" i="697"/>
  <c r="S673" i="697"/>
  <c r="S439" i="697"/>
  <c r="S672" i="697"/>
  <c r="S616" i="697"/>
  <c r="S617" i="697"/>
  <c r="S529" i="697"/>
  <c r="S437" i="697"/>
  <c r="S438" i="697"/>
  <c r="S547" i="697"/>
  <c r="S548" i="697"/>
  <c r="S714" i="697"/>
  <c r="S674" i="697"/>
  <c r="S440" i="697"/>
  <c r="S500" i="697"/>
  <c r="S715" i="697"/>
  <c r="S716" i="697"/>
  <c r="S657" i="697"/>
  <c r="S638" i="697"/>
  <c r="S456" i="697"/>
  <c r="S639" i="697"/>
  <c r="S593" i="697"/>
  <c r="S675" i="697"/>
  <c r="S556" i="697"/>
  <c r="S594" i="697"/>
  <c r="S459" i="697"/>
  <c r="S458" i="697"/>
  <c r="S645" i="697"/>
  <c r="S482" i="697"/>
  <c r="S676" i="697"/>
  <c r="S677" i="697"/>
  <c r="S483" i="697"/>
  <c r="S663" i="697"/>
  <c r="S678" i="697"/>
  <c r="S557" i="697"/>
  <c r="S558" i="697"/>
  <c r="S559" i="697"/>
  <c r="S560" i="697"/>
  <c r="S679" i="697"/>
  <c r="S595" i="697"/>
  <c r="S484" i="697"/>
  <c r="S495" i="697"/>
  <c r="S561" i="697"/>
  <c r="S562" i="697"/>
  <c r="S563" i="697"/>
  <c r="S564" i="697"/>
  <c r="S731" i="697"/>
  <c r="S658" i="697"/>
  <c r="S590" i="697"/>
  <c r="S497" i="697"/>
  <c r="S496" i="697"/>
  <c r="S516" i="697"/>
  <c r="S517" i="697"/>
  <c r="S618" i="697"/>
  <c r="S619" i="697"/>
  <c r="S680" i="697"/>
  <c r="S501" i="697"/>
  <c r="S503" i="697"/>
  <c r="S620" i="697"/>
  <c r="S596" i="697"/>
  <c r="S701" i="697"/>
  <c r="S664" i="697"/>
  <c r="S659" i="697"/>
  <c r="S681" i="697"/>
  <c r="S565" i="697"/>
  <c r="S566" i="697"/>
  <c r="S567" i="697"/>
  <c r="S568" i="697"/>
  <c r="S621" i="697"/>
  <c r="S702" i="697"/>
  <c r="S732" i="697"/>
  <c r="S751" i="697"/>
  <c r="S717" i="697"/>
  <c r="S646" i="697"/>
  <c r="S521" i="697"/>
  <c r="S682" i="697"/>
  <c r="S522" i="697"/>
  <c r="S533" i="697"/>
  <c r="S551" i="697"/>
  <c r="S577" i="697"/>
  <c r="S610" i="697"/>
  <c r="S752" i="697"/>
  <c r="S534" i="697"/>
  <c r="S581" i="697"/>
  <c r="S587" i="697"/>
  <c r="S588" i="697"/>
  <c r="S660" i="697"/>
  <c r="S718" i="697"/>
  <c r="S549" i="697"/>
  <c r="S550" i="697"/>
  <c r="S552" i="697"/>
  <c r="S753" i="697"/>
  <c r="S782" i="697"/>
  <c r="S536" i="697"/>
  <c r="S683" i="697"/>
  <c r="S866" i="697"/>
  <c r="S578" i="697"/>
  <c r="S535" i="697"/>
  <c r="S684" i="697"/>
  <c r="S754" i="697"/>
  <c r="S537" i="697"/>
  <c r="S540" i="697"/>
  <c r="S755" i="697"/>
  <c r="S685" i="697"/>
  <c r="S686" i="697"/>
  <c r="S705" i="697"/>
  <c r="S541" i="697"/>
  <c r="S542" i="697"/>
  <c r="S687" i="697"/>
  <c r="S733" i="697"/>
  <c r="S836" i="697"/>
  <c r="S756" i="697"/>
  <c r="S569" i="697"/>
  <c r="S706" i="697"/>
  <c r="S707" i="697"/>
  <c r="S734" i="697"/>
  <c r="S735" i="697"/>
  <c r="S580" i="697"/>
  <c r="S585" i="697"/>
  <c r="S630" i="697"/>
  <c r="S553" i="697"/>
  <c r="S749" i="697"/>
  <c r="S688" i="697"/>
  <c r="S837" i="697"/>
  <c r="S634" i="697"/>
  <c r="S757" i="697"/>
  <c r="S783" i="697"/>
  <c r="S689" i="697"/>
  <c r="S576" i="697"/>
  <c r="S758" i="697"/>
  <c r="S759" i="697"/>
  <c r="S760" i="697"/>
  <c r="S690" i="697"/>
  <c r="S579" i="697"/>
  <c r="S784" i="697"/>
  <c r="S838" i="697"/>
  <c r="S761" i="697"/>
  <c r="S811" i="697"/>
  <c r="S691" i="697"/>
  <c r="S815" i="697"/>
  <c r="S889" i="697"/>
  <c r="S582" i="697"/>
  <c r="S665" i="697"/>
  <c r="S583" i="697"/>
  <c r="S586" i="697"/>
  <c r="S692" i="697"/>
  <c r="S719" i="697"/>
  <c r="S661" i="697"/>
  <c r="S762" i="697"/>
  <c r="S763" i="697"/>
  <c r="S611" i="697"/>
  <c r="S816" i="697"/>
  <c r="S720" i="697"/>
  <c r="S693" i="697"/>
  <c r="S589" i="697"/>
  <c r="S839" i="697"/>
  <c r="S591" i="697"/>
  <c r="S721" i="697"/>
  <c r="S597" i="697"/>
  <c r="S598" i="697"/>
  <c r="S764" i="697"/>
  <c r="S694" i="697"/>
  <c r="S840" i="697"/>
  <c r="S793" i="697"/>
  <c r="S765" i="697"/>
  <c r="S601" i="697"/>
  <c r="S695" i="697"/>
  <c r="S599" i="697"/>
  <c r="S600" i="697"/>
  <c r="S812" i="697"/>
  <c r="S785" i="697"/>
  <c r="S722" i="697"/>
  <c r="S602" i="697"/>
  <c r="S603" i="697"/>
  <c r="S604" i="697"/>
  <c r="S605" i="697"/>
  <c r="S606" i="697"/>
  <c r="S607" i="697"/>
  <c r="S608" i="697"/>
  <c r="S609" i="697"/>
  <c r="S742" i="697"/>
  <c r="S738" i="697"/>
  <c r="S739" i="697"/>
  <c r="S740" i="697"/>
  <c r="S741" i="697"/>
  <c r="S766" i="697"/>
  <c r="S923" i="697"/>
  <c r="S902" i="697"/>
  <c r="S654" i="697"/>
  <c r="S723" i="697"/>
  <c r="S650" i="697"/>
  <c r="S854" i="697"/>
  <c r="S649" i="697"/>
  <c r="S696" i="697"/>
  <c r="S697" i="697"/>
  <c r="S647" i="697"/>
  <c r="S648" i="697"/>
  <c r="S698" i="697"/>
  <c r="S612" i="697"/>
  <c r="S613" i="697"/>
  <c r="S651" i="697"/>
  <c r="S767" i="697"/>
  <c r="S769" i="697"/>
  <c r="S631" i="697"/>
  <c r="S743" i="697"/>
  <c r="S622" i="697"/>
  <c r="S841" i="697"/>
  <c r="S768" i="697"/>
  <c r="S632" i="697"/>
  <c r="S633" i="697"/>
  <c r="S770" i="697"/>
  <c r="S640" i="697"/>
  <c r="S744" i="697"/>
  <c r="S890" i="697"/>
  <c r="S867" i="697"/>
  <c r="S855" i="697"/>
  <c r="S635" i="697"/>
  <c r="S891" i="697"/>
  <c r="S699" i="697"/>
  <c r="S903" i="697"/>
  <c r="S773" i="697"/>
  <c r="S636" i="697"/>
  <c r="S641" i="697"/>
  <c r="S652" i="697"/>
  <c r="S642" i="697"/>
  <c r="S643" i="697"/>
  <c r="S868" i="697"/>
  <c r="S892" i="697"/>
  <c r="S856" i="697"/>
  <c r="S842" i="697"/>
  <c r="S893" i="697"/>
  <c r="S843" i="697"/>
  <c r="S644" i="697"/>
  <c r="S799" i="697"/>
  <c r="S844" i="697"/>
  <c r="S857" i="697"/>
  <c r="S653" i="697"/>
  <c r="S655" i="697"/>
  <c r="S858" i="697"/>
  <c r="S656" i="697"/>
  <c r="S745" i="697"/>
  <c r="S746" i="697"/>
  <c r="S666" i="697"/>
  <c r="S859" i="697"/>
  <c r="S747" i="697"/>
  <c r="S924" i="697"/>
  <c r="S925" i="697"/>
  <c r="S926" i="697"/>
  <c r="S869" i="697"/>
  <c r="S667" i="697"/>
  <c r="S750" i="697"/>
  <c r="S668" i="697"/>
  <c r="S845" i="697"/>
  <c r="S1029" i="697"/>
  <c r="S700" i="697"/>
  <c r="S703" i="697"/>
  <c r="S704" i="697"/>
  <c r="S927" i="697"/>
  <c r="S928" i="697"/>
  <c r="S879" i="697"/>
  <c r="S846" i="697"/>
  <c r="S929" i="697"/>
  <c r="S861" i="697"/>
  <c r="S794" i="697"/>
  <c r="S860" i="697"/>
  <c r="S930" i="697"/>
  <c r="S894" i="697"/>
  <c r="S870" i="697"/>
  <c r="S862" i="697"/>
  <c r="S931" i="697"/>
  <c r="S932" i="697"/>
  <c r="S933" i="697"/>
  <c r="S708" i="697"/>
  <c r="S709" i="697"/>
  <c r="S710" i="697"/>
  <c r="S711" i="697"/>
  <c r="S712" i="697"/>
  <c r="S713" i="697"/>
  <c r="S787" i="697"/>
  <c r="S788" i="697"/>
  <c r="S952" i="697"/>
  <c r="S786" i="697"/>
  <c r="S809" i="697"/>
  <c r="S810" i="697"/>
  <c r="S736" i="697"/>
  <c r="S748" i="697"/>
  <c r="S774" i="697"/>
  <c r="S775" i="697"/>
  <c r="S776" i="697"/>
  <c r="S789" i="697"/>
  <c r="S934" i="697"/>
  <c r="S724" i="697"/>
  <c r="S725" i="697"/>
  <c r="S726" i="697"/>
  <c r="S727" i="697"/>
  <c r="S790" i="697"/>
  <c r="S1021" i="697"/>
  <c r="S728" i="697"/>
  <c r="S729" i="697"/>
  <c r="S730" i="697"/>
  <c r="S953" i="697"/>
  <c r="S871" i="697"/>
  <c r="S817" i="697"/>
  <c r="S737" i="697"/>
  <c r="S1084" i="697"/>
  <c r="S880" i="697"/>
  <c r="S863" i="697"/>
  <c r="S570" i="697"/>
  <c r="S571" i="697"/>
  <c r="S572" i="697"/>
  <c r="S573" i="697"/>
  <c r="S574" i="697"/>
  <c r="S575" i="697"/>
  <c r="S771" i="697"/>
  <c r="S772" i="697"/>
  <c r="S954" i="697"/>
  <c r="S955" i="697"/>
  <c r="S982" i="697"/>
  <c r="S777" i="697"/>
  <c r="S956" i="697"/>
  <c r="S981" i="697"/>
  <c r="S980" i="697"/>
  <c r="S983" i="697"/>
  <c r="S904" i="697"/>
  <c r="S984" i="697"/>
  <c r="S912" i="697"/>
  <c r="S913" i="697"/>
  <c r="S778" i="697"/>
  <c r="S957" i="697"/>
  <c r="S881" i="697"/>
  <c r="S779" i="697"/>
  <c r="S780" i="697"/>
  <c r="S905" i="697"/>
  <c r="S985" i="697"/>
  <c r="S781" i="697"/>
  <c r="S906" i="697"/>
  <c r="S948" i="697"/>
  <c r="S935" i="697"/>
  <c r="S936" i="697"/>
  <c r="S791" i="697"/>
  <c r="S795" i="697"/>
  <c r="S937" i="697"/>
  <c r="S986" i="697"/>
  <c r="S895" i="697"/>
  <c r="S896" i="697"/>
  <c r="S914" i="697"/>
  <c r="S958" i="697"/>
  <c r="S792" i="697"/>
  <c r="S987" i="697"/>
  <c r="S801" i="697"/>
  <c r="S989" i="697"/>
  <c r="S959" i="697"/>
  <c r="S800" i="697"/>
  <c r="S796" i="697"/>
  <c r="S988" i="697"/>
  <c r="S797" i="697"/>
  <c r="S798" i="697"/>
  <c r="S802" i="697"/>
  <c r="S990" i="697"/>
  <c r="S803" i="697"/>
  <c r="S804" i="697"/>
  <c r="S805" i="697"/>
  <c r="S806" i="697"/>
  <c r="S807" i="697"/>
  <c r="S808" i="697"/>
  <c r="S1022" i="697"/>
  <c r="S1005" i="697"/>
  <c r="S814" i="697"/>
  <c r="S813" i="697"/>
  <c r="S991" i="697"/>
  <c r="S993" i="697"/>
  <c r="S992" i="697"/>
  <c r="S818" i="697"/>
  <c r="S938" i="697"/>
  <c r="S819" i="697"/>
  <c r="S820" i="697"/>
  <c r="S823" i="697"/>
  <c r="S824" i="697"/>
  <c r="S825" i="697"/>
  <c r="S826" i="697"/>
  <c r="S827" i="697"/>
  <c r="S828" i="697"/>
  <c r="S939" i="697"/>
  <c r="S821" i="697"/>
  <c r="S822" i="697"/>
  <c r="S918" i="697"/>
  <c r="S898" i="697"/>
  <c r="S829" i="697"/>
  <c r="S830" i="697"/>
  <c r="S847" i="697"/>
  <c r="S831" i="697"/>
  <c r="S832" i="697"/>
  <c r="S833" i="697"/>
  <c r="S1000" i="697"/>
  <c r="S960" i="697"/>
  <c r="S834" i="697"/>
  <c r="S1030" i="697"/>
  <c r="S877" i="697"/>
  <c r="S897" i="697"/>
  <c r="S916" i="697"/>
  <c r="S917" i="697"/>
  <c r="S852" i="697"/>
  <c r="S872" i="697"/>
  <c r="S886" i="697"/>
  <c r="S848" i="697"/>
  <c r="S915" i="697"/>
  <c r="S1143" i="697"/>
  <c r="S875" i="697"/>
  <c r="S876" i="697"/>
  <c r="S878" i="697"/>
  <c r="S994" i="697"/>
  <c r="S850" i="697"/>
  <c r="S849" i="697"/>
  <c r="S1002" i="697"/>
  <c r="S899" i="697"/>
  <c r="S1001" i="697"/>
  <c r="S1006" i="697"/>
  <c r="S851" i="697"/>
  <c r="S940" i="697"/>
  <c r="S941" i="697"/>
  <c r="S1007" i="697"/>
  <c r="S995" i="697"/>
  <c r="S1212" i="697"/>
  <c r="S853" i="697"/>
  <c r="S1023" i="697"/>
  <c r="S1008" i="697"/>
  <c r="S1044" i="697"/>
  <c r="S864" i="697"/>
  <c r="S865" i="697"/>
  <c r="S942" i="697"/>
  <c r="S1024" i="697"/>
  <c r="S873" i="697"/>
  <c r="S943" i="697"/>
  <c r="S1045" i="697"/>
  <c r="S1046" i="697"/>
  <c r="S1047" i="697"/>
  <c r="S874" i="697"/>
  <c r="S1025" i="697"/>
  <c r="S1031" i="697"/>
  <c r="S1048" i="697"/>
  <c r="S882" i="697"/>
  <c r="S883" i="697"/>
  <c r="S884" i="697"/>
  <c r="S885" i="697"/>
  <c r="S1049" i="697"/>
  <c r="S1050" i="697"/>
  <c r="S900" i="697"/>
  <c r="S887" i="697"/>
  <c r="S888" i="697"/>
  <c r="S1091" i="697"/>
  <c r="S1068" i="697"/>
  <c r="S1075" i="697"/>
  <c r="S901" i="697"/>
  <c r="S1096" i="697"/>
  <c r="S907" i="697"/>
  <c r="S908" i="697"/>
  <c r="S909" i="697"/>
  <c r="S910" i="697"/>
  <c r="S911" i="697"/>
  <c r="S1168" i="697"/>
  <c r="S944" i="697"/>
  <c r="S1097" i="697"/>
  <c r="S1069" i="697"/>
  <c r="S1051" i="697"/>
  <c r="S922" i="697"/>
  <c r="S919" i="697"/>
  <c r="S920" i="697"/>
  <c r="S921" i="697"/>
  <c r="S1076" i="697"/>
  <c r="S945" i="697"/>
  <c r="S1162" i="697"/>
  <c r="S1169" i="697"/>
  <c r="S1083" i="697"/>
  <c r="S946" i="697"/>
  <c r="S1082" i="697"/>
  <c r="S1131" i="697"/>
  <c r="S1077" i="697"/>
  <c r="S1052" i="697"/>
  <c r="S1098" i="697"/>
  <c r="S1070" i="697"/>
  <c r="S1085" i="697"/>
  <c r="S947" i="697"/>
  <c r="S9" i="697"/>
  <c r="S1032" i="697"/>
  <c r="S1053" i="697"/>
  <c r="S949" i="697"/>
  <c r="S950" i="697"/>
  <c r="S1092" i="697"/>
  <c r="S1099" i="697"/>
  <c r="S1130" i="697"/>
  <c r="S1078" i="697"/>
  <c r="S951" i="697"/>
  <c r="S1037" i="697"/>
  <c r="S1071" i="697"/>
  <c r="S1100" i="697"/>
  <c r="S1086" i="697"/>
  <c r="S1089" i="697"/>
  <c r="S1101" i="697"/>
  <c r="S1087" i="697"/>
  <c r="S1238" i="697"/>
  <c r="S1088" i="697"/>
  <c r="S1009" i="697"/>
  <c r="S972" i="697"/>
  <c r="S1054" i="697"/>
  <c r="S1033" i="697"/>
  <c r="S1102" i="697"/>
  <c r="S1010" i="697"/>
  <c r="S961" i="697"/>
  <c r="S962" i="697"/>
  <c r="S963" i="697"/>
  <c r="S964" i="697"/>
  <c r="S965" i="697"/>
  <c r="S966" i="697"/>
  <c r="S967" i="697"/>
  <c r="S968" i="697"/>
  <c r="S969" i="697"/>
  <c r="S970" i="697"/>
  <c r="S971" i="697"/>
  <c r="S1055" i="697"/>
  <c r="S1056" i="697"/>
  <c r="S1057" i="697"/>
  <c r="S1058" i="697"/>
  <c r="S1059" i="697"/>
  <c r="S1060" i="697"/>
  <c r="S1017" i="697"/>
  <c r="S1190" i="697"/>
  <c r="S1018" i="697"/>
  <c r="S973" i="697"/>
  <c r="S974" i="697"/>
  <c r="S1124" i="697"/>
  <c r="S996" i="697"/>
  <c r="S1118" i="697"/>
  <c r="S1013" i="697"/>
  <c r="S1189" i="697"/>
  <c r="S1014" i="697"/>
  <c r="S975" i="697"/>
  <c r="S1015" i="697"/>
  <c r="S1016" i="697"/>
  <c r="S976" i="697"/>
  <c r="S1040" i="697"/>
  <c r="S977" i="697"/>
  <c r="S1093" i="697"/>
  <c r="S1112" i="697"/>
  <c r="S1011" i="697"/>
  <c r="S1103" i="697"/>
  <c r="S1012" i="697"/>
  <c r="S1019" i="697"/>
  <c r="S978" i="697"/>
  <c r="S1213" i="697"/>
  <c r="S1061" i="697"/>
  <c r="S1104" i="697"/>
  <c r="S1320" i="697"/>
  <c r="S1293" i="697"/>
  <c r="S1191" i="697"/>
  <c r="S1206" i="697"/>
  <c r="S1289" i="697"/>
  <c r="S1253" i="697"/>
  <c r="S1321" i="697"/>
  <c r="S1239" i="697"/>
  <c r="S1157" i="697"/>
  <c r="S997" i="697"/>
  <c r="S998" i="697"/>
  <c r="S999" i="697"/>
  <c r="S1158" i="697"/>
  <c r="S1132" i="697"/>
  <c r="S1003" i="697"/>
  <c r="S1062" i="697"/>
  <c r="S1063" i="697"/>
  <c r="S1004" i="697"/>
  <c r="S1170" i="697"/>
  <c r="S1020" i="697"/>
  <c r="S1270" i="697"/>
  <c r="S1271" i="697"/>
  <c r="S1176" i="697"/>
  <c r="S1294" i="697"/>
  <c r="S1034" i="697"/>
  <c r="S1163" i="697"/>
  <c r="S1026" i="697"/>
  <c r="S1027" i="697"/>
  <c r="S1028" i="697"/>
  <c r="S1133" i="697"/>
  <c r="S1177" i="697"/>
  <c r="S1036" i="697"/>
  <c r="S1035" i="697"/>
  <c r="S1248" i="697"/>
  <c r="S1171" i="697"/>
  <c r="S1192" i="697"/>
  <c r="S1038" i="697"/>
  <c r="S1079" i="697"/>
  <c r="S1178" i="697"/>
  <c r="S1039" i="697"/>
  <c r="S1229" i="697"/>
  <c r="S1179" i="697"/>
  <c r="S1113" i="697"/>
  <c r="S1080" i="697"/>
  <c r="S1180" i="697"/>
  <c r="S1295" i="697"/>
  <c r="S1041" i="697"/>
  <c r="S1214" i="697"/>
  <c r="S1042" i="697"/>
  <c r="S1043" i="697"/>
  <c r="S1072" i="697"/>
  <c r="S1066" i="697"/>
  <c r="S1067" i="697"/>
  <c r="S1372" i="697"/>
  <c r="S1065" i="697"/>
  <c r="S1296" i="697"/>
  <c r="S1064" i="697"/>
  <c r="S1144" i="697"/>
  <c r="S1182" i="697"/>
  <c r="S1183" i="697"/>
  <c r="S1203" i="697"/>
  <c r="S1073" i="697"/>
  <c r="S1074" i="697"/>
  <c r="S1081" i="697"/>
  <c r="S1181" i="697"/>
  <c r="S1090" i="697"/>
  <c r="S1322" i="697"/>
  <c r="S1184" i="697"/>
  <c r="S1228" i="697"/>
  <c r="S1272" i="697"/>
  <c r="S1193" i="697"/>
  <c r="S1094" i="697"/>
  <c r="S1323" i="697"/>
  <c r="S1290" i="697"/>
  <c r="S1216" i="697"/>
  <c r="S1240" i="697"/>
  <c r="S1105" i="697"/>
  <c r="S1095" i="697"/>
  <c r="S1215" i="697"/>
  <c r="S1230" i="697"/>
  <c r="S979" i="697"/>
  <c r="S1106" i="697"/>
  <c r="S1107" i="697"/>
  <c r="S1273" i="697"/>
  <c r="S1108" i="697"/>
  <c r="S1297" i="697"/>
  <c r="S1110" i="697"/>
  <c r="S1138" i="697"/>
  <c r="S1109" i="697"/>
  <c r="S1111" i="697"/>
  <c r="S1126" i="697"/>
  <c r="S1145" i="697"/>
  <c r="S1150" i="697"/>
  <c r="S1134" i="697"/>
  <c r="S1274" i="697"/>
  <c r="S1275" i="697"/>
  <c r="S1146" i="697"/>
  <c r="S1147" i="697"/>
  <c r="S1148" i="697"/>
  <c r="S1149" i="697"/>
  <c r="S1151" i="697"/>
  <c r="S1114" i="697"/>
  <c r="S1135" i="697"/>
  <c r="S1125" i="697"/>
  <c r="S1127" i="697"/>
  <c r="S1266" i="697"/>
  <c r="S1115" i="697"/>
  <c r="S1116" i="697"/>
  <c r="S1117" i="697"/>
  <c r="S1152" i="697"/>
  <c r="S1241" i="697"/>
  <c r="S1120" i="697"/>
  <c r="S1119" i="697"/>
  <c r="S1217" i="697"/>
  <c r="S1121" i="697"/>
  <c r="S1122" i="697"/>
  <c r="S1123" i="697"/>
  <c r="S1194" i="697"/>
  <c r="S1128" i="697"/>
  <c r="S1129" i="697"/>
  <c r="S1174" i="697"/>
  <c r="S1136" i="697"/>
  <c r="S1235" i="697"/>
  <c r="S1326" i="697"/>
  <c r="S1207" i="697"/>
  <c r="S1254" i="697"/>
  <c r="S1137" i="697"/>
  <c r="S1365" i="697"/>
  <c r="S1327" i="697"/>
  <c r="S1139" i="697"/>
  <c r="S1140" i="697"/>
  <c r="S1141" i="697"/>
  <c r="S1160" i="697"/>
  <c r="S1153" i="697"/>
  <c r="S1142" i="697"/>
  <c r="S1159" i="697"/>
  <c r="S1154" i="697"/>
  <c r="S1155" i="697"/>
  <c r="S1156" i="697"/>
  <c r="S1366" i="697"/>
  <c r="S1185" i="697"/>
  <c r="S1161" i="697"/>
  <c r="S1334" i="697"/>
  <c r="S1255" i="697"/>
  <c r="S1298" i="697"/>
  <c r="S1267" i="697"/>
  <c r="S1195" i="697"/>
  <c r="S1196" i="697"/>
  <c r="S1268" i="697"/>
  <c r="S1164" i="697"/>
  <c r="S1335" i="697"/>
  <c r="S1328" i="697"/>
  <c r="S1165" i="697"/>
  <c r="S1166" i="697"/>
  <c r="S1276" i="697"/>
  <c r="S1277" i="697"/>
  <c r="S1256" i="697"/>
  <c r="S1172" i="697"/>
  <c r="S1330" i="697"/>
  <c r="S1324" i="697"/>
  <c r="S1299" i="697"/>
  <c r="S1175" i="697"/>
  <c r="S1173" i="697"/>
  <c r="S1329" i="697"/>
  <c r="S1300" i="697"/>
  <c r="S1367" i="697"/>
  <c r="S1368" i="697"/>
  <c r="S1378" i="697"/>
  <c r="S1377" i="697"/>
  <c r="S1301" i="697"/>
  <c r="S1331" i="697"/>
  <c r="S1186" i="697"/>
  <c r="S1187" i="697"/>
  <c r="S1357" i="697"/>
  <c r="S1369" i="697"/>
  <c r="S1439" i="697"/>
  <c r="S1302" i="697"/>
  <c r="S1188" i="697"/>
  <c r="S1278" i="697"/>
  <c r="S1358" i="697"/>
  <c r="S1197" i="697"/>
  <c r="S1198" i="697"/>
  <c r="S1199" i="697"/>
  <c r="S1200" i="697"/>
  <c r="S1201" i="697"/>
  <c r="S1202" i="697"/>
  <c r="S1208" i="697"/>
  <c r="S1242" i="697"/>
  <c r="S1359" i="697"/>
  <c r="S1222" i="697"/>
  <c r="S1223" i="697"/>
  <c r="S1204" i="697"/>
  <c r="S1167" i="697"/>
  <c r="S1220" i="697"/>
  <c r="S1221" i="697"/>
  <c r="S1257" i="697"/>
  <c r="S1205" i="697"/>
  <c r="S1218" i="697"/>
  <c r="S1224" i="697"/>
  <c r="S1219" i="697"/>
  <c r="S1209" i="697"/>
  <c r="S1337" i="697"/>
  <c r="S1338" i="697"/>
  <c r="S1339" i="697"/>
  <c r="S1340" i="697"/>
  <c r="S1373" i="697"/>
  <c r="S1258" i="697"/>
  <c r="S1336" i="697"/>
  <c r="S1210" i="697"/>
  <c r="S1211" i="697"/>
  <c r="S1225" i="697"/>
  <c r="S1226" i="697"/>
  <c r="S1285" i="697"/>
  <c r="S1259" i="697"/>
  <c r="S1227" i="697"/>
  <c r="S1477" i="697"/>
  <c r="S1379" i="697"/>
  <c r="S1303" i="697"/>
  <c r="S1345" i="697"/>
  <c r="S1360" i="697"/>
  <c r="S1440" i="697"/>
  <c r="S1394" i="697"/>
  <c r="S1344" i="697"/>
  <c r="S1231" i="697"/>
  <c r="S1361" i="697"/>
  <c r="S1269" i="697"/>
  <c r="S1232" i="697"/>
  <c r="S1233" i="697"/>
  <c r="S1423" i="697"/>
  <c r="S1325" i="697"/>
  <c r="S1243" i="697"/>
  <c r="S1492" i="697"/>
  <c r="S1234" i="697"/>
  <c r="S1380" i="697"/>
  <c r="S1496" i="697"/>
  <c r="S1249" i="697"/>
  <c r="S1363" i="697"/>
  <c r="S1236" i="697"/>
  <c r="S1237" i="697"/>
  <c r="S1464" i="697"/>
  <c r="S1374" i="697"/>
  <c r="S1247" i="697"/>
  <c r="S1245" i="697"/>
  <c r="S1244" i="697"/>
  <c r="S1410" i="697"/>
  <c r="S1411" i="697"/>
  <c r="S1370" i="697"/>
  <c r="S1417" i="697"/>
  <c r="S1381" i="697"/>
  <c r="S1246" i="697"/>
  <c r="S1250" i="697"/>
  <c r="S1251" i="697"/>
  <c r="S1432" i="697"/>
  <c r="S1375" i="697"/>
  <c r="S1382" i="697"/>
  <c r="S1260" i="697"/>
  <c r="S1279" i="697"/>
  <c r="S1280" i="697"/>
  <c r="S1281" i="697"/>
  <c r="S1282" i="697"/>
  <c r="S1283" i="697"/>
  <c r="S1433" i="697"/>
  <c r="S1434" i="697"/>
  <c r="S1261" i="697"/>
  <c r="S1264" i="697"/>
  <c r="S1262" i="697"/>
  <c r="S1263" i="697"/>
  <c r="S1383" i="697"/>
  <c r="S1265" i="697"/>
  <c r="S1395" i="697"/>
  <c r="S1441" i="697"/>
  <c r="S1305" i="697"/>
  <c r="S1286" i="697"/>
  <c r="S1306" i="697"/>
  <c r="S1451" i="697"/>
  <c r="S1455" i="697"/>
  <c r="S1319" i="697"/>
  <c r="S1435" i="697"/>
  <c r="S1284" i="697"/>
  <c r="S1287" i="697"/>
  <c r="S1442" i="697"/>
  <c r="S1412" i="697"/>
  <c r="S1396" i="697"/>
  <c r="S1288" i="697"/>
  <c r="S1397" i="697"/>
  <c r="S1514" i="697"/>
  <c r="S1413" i="697"/>
  <c r="S1388" i="697"/>
  <c r="S1291" i="697"/>
  <c r="S1493" i="697"/>
  <c r="S1497" i="697"/>
  <c r="S1389" i="697"/>
  <c r="S1304" i="697"/>
  <c r="S1398" i="697"/>
  <c r="S1418" i="697"/>
  <c r="S1317" i="697"/>
  <c r="S1307" i="697"/>
  <c r="S1308" i="697"/>
  <c r="S1309" i="697"/>
  <c r="S1310" i="697"/>
  <c r="S1311" i="697"/>
  <c r="S1312" i="697"/>
  <c r="S1313" i="697"/>
  <c r="S1314" i="697"/>
  <c r="S1315" i="697"/>
  <c r="S1316" i="697"/>
  <c r="S1399" i="697"/>
  <c r="S1414" i="697"/>
  <c r="S1352" i="697"/>
  <c r="S1349" i="697"/>
  <c r="S1465" i="697"/>
  <c r="S1347" i="697"/>
  <c r="S1353" i="697"/>
  <c r="S1348" i="697"/>
  <c r="S1400" i="697"/>
  <c r="S1401" i="697"/>
  <c r="S1350" i="697"/>
  <c r="S1351" i="697"/>
  <c r="S1386" i="697"/>
  <c r="S1318" i="697"/>
  <c r="S1346" i="697"/>
  <c r="S1354" i="697"/>
  <c r="S1429" i="697"/>
  <c r="S1478" i="697"/>
  <c r="S1355" i="697"/>
  <c r="S1332" i="697"/>
  <c r="S1333" i="697"/>
  <c r="S1479" i="697"/>
  <c r="S1473" i="697"/>
  <c r="S1515" i="697"/>
  <c r="S1342" i="697"/>
  <c r="S1341" i="697"/>
  <c r="S1424" i="697"/>
  <c r="S1343" i="697"/>
  <c r="S1475" i="697"/>
  <c r="S1521" i="697"/>
  <c r="S1480" i="697"/>
  <c r="S1466" i="697"/>
  <c r="S1425" i="697"/>
  <c r="S1481" i="697"/>
  <c r="S1356" i="697"/>
  <c r="S1482" i="697"/>
  <c r="S1516" i="697"/>
  <c r="S1474" i="697"/>
  <c r="S1483" i="697"/>
  <c r="S1362" i="697"/>
  <c r="S1484" i="697"/>
  <c r="S1485" i="697"/>
  <c r="S1390" i="697"/>
  <c r="S1364" i="697"/>
  <c r="S1517" i="697"/>
  <c r="S1376" i="697"/>
  <c r="S1402" i="697"/>
  <c r="S1403" i="697"/>
  <c r="S1404" i="697"/>
  <c r="S1405" i="697"/>
  <c r="S1371" i="697"/>
  <c r="S1436" i="697"/>
  <c r="S1437" i="697"/>
  <c r="S1486" i="697"/>
  <c r="S1518" i="697"/>
  <c r="S1487" i="697"/>
  <c r="S1384" i="697"/>
  <c r="S1385" i="697"/>
  <c r="S1387" i="697"/>
  <c r="S1393" i="697"/>
  <c r="S1391" i="697"/>
  <c r="S1392" i="697"/>
  <c r="S1415" i="697"/>
  <c r="S1406" i="697"/>
  <c r="S1407" i="697"/>
  <c r="S1438" i="697"/>
  <c r="S1488" i="697"/>
  <c r="S1443" i="697"/>
  <c r="S1447" i="697"/>
  <c r="S1445" i="697"/>
  <c r="S1420" i="697"/>
  <c r="S1408" i="697"/>
  <c r="S1498" i="697"/>
  <c r="S1499" i="697"/>
  <c r="S1500" i="697"/>
  <c r="S1446" i="697"/>
  <c r="S1522" i="697"/>
  <c r="S1523" i="697"/>
  <c r="S1490" i="697"/>
  <c r="S1444" i="697"/>
  <c r="S1448" i="697"/>
  <c r="S1416" i="697"/>
  <c r="S1489" i="697"/>
  <c r="S1419" i="697"/>
  <c r="S1422" i="697"/>
  <c r="S1421" i="697"/>
  <c r="S1460" i="697"/>
  <c r="S1426" i="697"/>
  <c r="S1461" i="697"/>
  <c r="S1462" i="697"/>
  <c r="S1427" i="697"/>
  <c r="S1428" i="697"/>
  <c r="S1449" i="697"/>
  <c r="S1431" i="697"/>
  <c r="S1430" i="697"/>
  <c r="S1491" i="697"/>
  <c r="S1452" i="697"/>
  <c r="S1456" i="697"/>
  <c r="S1450" i="697"/>
  <c r="S1524" i="697"/>
  <c r="S1458" i="697"/>
  <c r="S1457" i="697"/>
  <c r="S1463" i="697"/>
  <c r="S1453" i="697"/>
  <c r="S1409" i="697"/>
  <c r="S1454" i="697"/>
  <c r="S1470" i="697"/>
  <c r="S1468" i="697"/>
  <c r="S1467" i="697"/>
  <c r="S1469" i="697"/>
  <c r="S1476" i="697"/>
  <c r="S1471" i="697"/>
  <c r="S1472" i="697"/>
  <c r="S1494" i="697"/>
  <c r="S1495" i="697"/>
  <c r="S1502" i="697"/>
  <c r="S1503" i="697"/>
  <c r="S1504" i="697"/>
  <c r="S1505" i="697"/>
  <c r="S1506" i="697"/>
  <c r="S1507" i="697"/>
  <c r="S1508" i="697"/>
  <c r="S1511" i="697"/>
  <c r="S1512" i="697"/>
  <c r="S1513" i="697"/>
  <c r="S1519" i="697"/>
  <c r="T1292" i="697"/>
  <c r="T103" i="697"/>
  <c r="T104" i="697"/>
  <c r="T22" i="697"/>
  <c r="T23" i="697"/>
  <c r="T12" i="697"/>
  <c r="T196" i="697"/>
  <c r="T4" i="697"/>
  <c r="T24" i="697"/>
  <c r="T208" i="697"/>
  <c r="T6" i="697"/>
  <c r="T13" i="697"/>
  <c r="T14" i="697"/>
  <c r="T2" i="697"/>
  <c r="T16" i="697"/>
  <c r="T17" i="697"/>
  <c r="T34" i="697"/>
  <c r="T15" i="697"/>
  <c r="T45" i="697"/>
  <c r="T77" i="697"/>
  <c r="T117" i="697"/>
  <c r="T79" i="697"/>
  <c r="T78" i="697"/>
  <c r="T80" i="697"/>
  <c r="T40" i="697"/>
  <c r="T3" i="697"/>
  <c r="T209" i="697"/>
  <c r="T5" i="697"/>
  <c r="T18" i="697"/>
  <c r="T20" i="697"/>
  <c r="T19" i="697"/>
  <c r="T7" i="697"/>
  <c r="T8" i="697"/>
  <c r="T10" i="697"/>
  <c r="T105" i="697"/>
  <c r="T106" i="697"/>
  <c r="T107" i="697"/>
  <c r="T11" i="697"/>
  <c r="T81" i="697"/>
  <c r="T174" i="697"/>
  <c r="T175" i="697"/>
  <c r="T82" i="697"/>
  <c r="T84" i="697"/>
  <c r="T118" i="697"/>
  <c r="T85" i="697"/>
  <c r="T83" i="697"/>
  <c r="T86" i="697"/>
  <c r="T87" i="697"/>
  <c r="T21" i="697"/>
  <c r="T210" i="697"/>
  <c r="T88" i="697"/>
  <c r="T27" i="697"/>
  <c r="T28" i="697"/>
  <c r="T29" i="697"/>
  <c r="T30" i="697"/>
  <c r="T31" i="697"/>
  <c r="T32" i="697"/>
  <c r="T33" i="697"/>
  <c r="T219" i="697"/>
  <c r="T90" i="697"/>
  <c r="T89" i="697"/>
  <c r="T96" i="697"/>
  <c r="T115" i="697"/>
  <c r="T125" i="697"/>
  <c r="T67" i="697"/>
  <c r="T171" i="697"/>
  <c r="T75" i="697"/>
  <c r="T46" i="697"/>
  <c r="T47" i="697"/>
  <c r="T48" i="697"/>
  <c r="T37" i="697"/>
  <c r="T53" i="697"/>
  <c r="T54" i="697"/>
  <c r="T55" i="697"/>
  <c r="T56" i="697"/>
  <c r="T57" i="697"/>
  <c r="T49" i="697"/>
  <c r="T50" i="697"/>
  <c r="T51" i="697"/>
  <c r="T119" i="697"/>
  <c r="T52" i="697"/>
  <c r="T114" i="697"/>
  <c r="T35" i="697"/>
  <c r="T58" i="697"/>
  <c r="T59" i="697"/>
  <c r="T60" i="697"/>
  <c r="T61" i="697"/>
  <c r="T62" i="697"/>
  <c r="T63" i="697"/>
  <c r="T126" i="697"/>
  <c r="T116" i="697"/>
  <c r="T120" i="697"/>
  <c r="T91" i="697"/>
  <c r="T133" i="697"/>
  <c r="T92" i="697"/>
  <c r="T93" i="697"/>
  <c r="T36" i="697"/>
  <c r="T108" i="697"/>
  <c r="T109" i="697"/>
  <c r="T110" i="697"/>
  <c r="T111" i="697"/>
  <c r="T64" i="697"/>
  <c r="T213" i="697"/>
  <c r="T134" i="697"/>
  <c r="T131" i="697"/>
  <c r="T140" i="697"/>
  <c r="T38" i="697"/>
  <c r="T399" i="697"/>
  <c r="T68" i="697"/>
  <c r="T65" i="697"/>
  <c r="T176" i="697"/>
  <c r="T127" i="697"/>
  <c r="T129" i="697"/>
  <c r="T97" i="697"/>
  <c r="T206" i="697"/>
  <c r="T39" i="697"/>
  <c r="T66" i="697"/>
  <c r="T230" i="697"/>
  <c r="T254" i="697"/>
  <c r="T160" i="697"/>
  <c r="T42" i="697"/>
  <c r="T41" i="697"/>
  <c r="T76" i="697"/>
  <c r="T44" i="697"/>
  <c r="T121" i="697"/>
  <c r="T43" i="697"/>
  <c r="T236" i="697"/>
  <c r="T255" i="697"/>
  <c r="T26" i="697"/>
  <c r="T25" i="697"/>
  <c r="T94" i="697"/>
  <c r="T237" i="697"/>
  <c r="T214" i="697"/>
  <c r="T256" i="697"/>
  <c r="T135" i="697"/>
  <c r="T161" i="697"/>
  <c r="T257" i="697"/>
  <c r="T207" i="697"/>
  <c r="T162" i="697"/>
  <c r="T177" i="697"/>
  <c r="T122" i="697"/>
  <c r="T163" i="697"/>
  <c r="T69" i="697"/>
  <c r="T70" i="697"/>
  <c r="T71" i="697"/>
  <c r="T72" i="697"/>
  <c r="T73" i="697"/>
  <c r="T74" i="697"/>
  <c r="T258" i="697"/>
  <c r="T178" i="697"/>
  <c r="T155" i="697"/>
  <c r="T146" i="697"/>
  <c r="T156" i="697"/>
  <c r="T157" i="697"/>
  <c r="T211" i="697"/>
  <c r="T145" i="697"/>
  <c r="T151" i="697"/>
  <c r="T152" i="697"/>
  <c r="T153" i="697"/>
  <c r="T154" i="697"/>
  <c r="T141" i="697"/>
  <c r="T142" i="697"/>
  <c r="T143" i="697"/>
  <c r="T144" i="697"/>
  <c r="T150" i="697"/>
  <c r="T158" i="697"/>
  <c r="T229" i="697"/>
  <c r="T95" i="697"/>
  <c r="T159" i="697"/>
  <c r="T240" i="697"/>
  <c r="T101" i="697"/>
  <c r="T100" i="697"/>
  <c r="T98" i="697"/>
  <c r="T99" i="697"/>
  <c r="T284" i="697"/>
  <c r="T102" i="697"/>
  <c r="T275" i="697"/>
  <c r="T197" i="697"/>
  <c r="T231" i="697"/>
  <c r="T148" i="697"/>
  <c r="T112" i="697"/>
  <c r="T147" i="697"/>
  <c r="T113" i="697"/>
  <c r="T259" i="697"/>
  <c r="T123" i="697"/>
  <c r="T252" i="697"/>
  <c r="T238" i="697"/>
  <c r="T232" i="697"/>
  <c r="T253" i="697"/>
  <c r="T233" i="697"/>
  <c r="T835" i="697"/>
  <c r="T124" i="697"/>
  <c r="T234" i="697"/>
  <c r="T244" i="697"/>
  <c r="T260" i="697"/>
  <c r="T181" i="697"/>
  <c r="T182" i="697"/>
  <c r="T183" i="697"/>
  <c r="T184" i="697"/>
  <c r="T172" i="697"/>
  <c r="T330" i="697"/>
  <c r="T245" i="697"/>
  <c r="T128" i="697"/>
  <c r="T285" i="697"/>
  <c r="T130" i="697"/>
  <c r="T132" i="697"/>
  <c r="T198" i="697"/>
  <c r="T349" i="697"/>
  <c r="T185" i="697"/>
  <c r="T312" i="697"/>
  <c r="T136" i="697"/>
  <c r="T277" i="697"/>
  <c r="T241" i="697"/>
  <c r="T276" i="697"/>
  <c r="T408" i="697"/>
  <c r="T286" i="697"/>
  <c r="T278" i="697"/>
  <c r="T279" i="697"/>
  <c r="T280" i="697"/>
  <c r="T149" i="697"/>
  <c r="T261" i="697"/>
  <c r="T137" i="697"/>
  <c r="T220" i="697"/>
  <c r="T394" i="697"/>
  <c r="T305" i="697"/>
  <c r="T164" i="697"/>
  <c r="T138" i="697"/>
  <c r="T139" i="697"/>
  <c r="T186" i="697"/>
  <c r="T221" i="697"/>
  <c r="T281" i="697"/>
  <c r="T331" i="697"/>
  <c r="T262" i="697"/>
  <c r="T263" i="697"/>
  <c r="T306" i="697"/>
  <c r="T320" i="697"/>
  <c r="T332" i="697"/>
  <c r="T199" i="697"/>
  <c r="T373" i="697"/>
  <c r="T357" i="697"/>
  <c r="T282" i="697"/>
  <c r="T170" i="697"/>
  <c r="T165" i="697"/>
  <c r="T166" i="697"/>
  <c r="T167" i="697"/>
  <c r="T168" i="697"/>
  <c r="T169" i="697"/>
  <c r="T333" i="697"/>
  <c r="T374" i="697"/>
  <c r="T194" i="697"/>
  <c r="T201" i="697"/>
  <c r="T173" i="697"/>
  <c r="T200" i="697"/>
  <c r="T265" i="697"/>
  <c r="T266" i="697"/>
  <c r="T235" i="697"/>
  <c r="T192" i="697"/>
  <c r="T193" i="697"/>
  <c r="T187" i="697"/>
  <c r="T188" i="697"/>
  <c r="T189" i="697"/>
  <c r="T190" i="697"/>
  <c r="T191" i="697"/>
  <c r="T195" i="697"/>
  <c r="T215" i="697"/>
  <c r="T307" i="697"/>
  <c r="T179" i="697"/>
  <c r="T180" i="697"/>
  <c r="T313" i="697"/>
  <c r="T267" i="697"/>
  <c r="T268" i="697"/>
  <c r="T269" i="697"/>
  <c r="T222" i="697"/>
  <c r="T335" i="697"/>
  <c r="T376" i="697"/>
  <c r="T204" i="697"/>
  <c r="T334" i="697"/>
  <c r="T442" i="697"/>
  <c r="T202" i="697"/>
  <c r="T203" i="697"/>
  <c r="T301" i="697"/>
  <c r="T375" i="697"/>
  <c r="T223" i="697"/>
  <c r="T224" i="697"/>
  <c r="T225" i="697"/>
  <c r="T226" i="697"/>
  <c r="T205" i="697"/>
  <c r="T303" i="697"/>
  <c r="T336" i="697"/>
  <c r="T337" i="697"/>
  <c r="T308" i="697"/>
  <c r="T216" i="697"/>
  <c r="T212" i="697"/>
  <c r="T338" i="697"/>
  <c r="T530" i="697"/>
  <c r="T395" i="697"/>
  <c r="T217" i="697"/>
  <c r="T377" i="697"/>
  <c r="T218" i="697"/>
  <c r="T227" i="697"/>
  <c r="T297" i="697"/>
  <c r="T340" i="697"/>
  <c r="T339" i="697"/>
  <c r="T228" i="697"/>
  <c r="T298" i="697"/>
  <c r="T504" i="697"/>
  <c r="T242" i="697"/>
  <c r="T341" i="697"/>
  <c r="T314" i="697"/>
  <c r="T361" i="697"/>
  <c r="T342" i="697"/>
  <c r="T283" i="697"/>
  <c r="T531" i="697"/>
  <c r="T270" i="697"/>
  <c r="T271" i="697"/>
  <c r="T343" i="697"/>
  <c r="T315" i="697"/>
  <c r="T239" i="697"/>
  <c r="T344" i="697"/>
  <c r="T346" i="697"/>
  <c r="T345" i="697"/>
  <c r="T411" i="697"/>
  <c r="T378" i="697"/>
  <c r="T347" i="697"/>
  <c r="T379" i="697"/>
  <c r="T407" i="697"/>
  <c r="T362" i="697"/>
  <c r="T363" i="697"/>
  <c r="T243" i="697"/>
  <c r="T364" i="697"/>
  <c r="T406" i="697"/>
  <c r="T348" i="697"/>
  <c r="T380" i="697"/>
  <c r="T272" i="697"/>
  <c r="T246" i="697"/>
  <c r="T287" i="697"/>
  <c r="T365" i="697"/>
  <c r="T274" i="697"/>
  <c r="T247" i="697"/>
  <c r="T248" i="697"/>
  <c r="T249" i="697"/>
  <c r="T250" i="697"/>
  <c r="T251" i="697"/>
  <c r="T273" i="697"/>
  <c r="T291" i="697"/>
  <c r="T292" i="697"/>
  <c r="T422" i="697"/>
  <c r="T388" i="697"/>
  <c r="T302" i="697"/>
  <c r="T290" i="697"/>
  <c r="T316" i="697"/>
  <c r="T317" i="697"/>
  <c r="T288" i="697"/>
  <c r="T289" i="697"/>
  <c r="T293" i="697"/>
  <c r="T294" i="697"/>
  <c r="T264" i="697"/>
  <c r="T389" i="697"/>
  <c r="T460" i="697"/>
  <c r="T461" i="697"/>
  <c r="T462" i="697"/>
  <c r="T463" i="697"/>
  <c r="T464" i="697"/>
  <c r="T505" i="697"/>
  <c r="T669" i="697"/>
  <c r="T423" i="697"/>
  <c r="T396" i="697"/>
  <c r="T409" i="697"/>
  <c r="T381" i="697"/>
  <c r="T424" i="697"/>
  <c r="T382" i="697"/>
  <c r="T443" i="697"/>
  <c r="T506" i="697"/>
  <c r="T507" i="697"/>
  <c r="T524" i="697"/>
  <c r="T485" i="697"/>
  <c r="T296" i="697"/>
  <c r="T295" i="697"/>
  <c r="T523" i="697"/>
  <c r="T425" i="697"/>
  <c r="T410" i="697"/>
  <c r="T444" i="697"/>
  <c r="T352" i="697"/>
  <c r="T397" i="697"/>
  <c r="T299" i="697"/>
  <c r="T300" i="697"/>
  <c r="T383" i="697"/>
  <c r="T508" i="697"/>
  <c r="T509" i="697"/>
  <c r="T510" i="697"/>
  <c r="T384" i="697"/>
  <c r="T426" i="697"/>
  <c r="T532" i="697"/>
  <c r="T304" i="697"/>
  <c r="T614" i="697"/>
  <c r="T360" i="697"/>
  <c r="T427" i="697"/>
  <c r="T428" i="697"/>
  <c r="T309" i="697"/>
  <c r="T465" i="697"/>
  <c r="T466" i="697"/>
  <c r="T311" i="697"/>
  <c r="T543" i="697"/>
  <c r="T544" i="697"/>
  <c r="T310" i="697"/>
  <c r="T445" i="697"/>
  <c r="T413" i="697"/>
  <c r="T450" i="697"/>
  <c r="T487" i="697"/>
  <c r="T318" i="697"/>
  <c r="T319" i="697"/>
  <c r="T518" i="697"/>
  <c r="T519" i="697"/>
  <c r="T451" i="697"/>
  <c r="T452" i="697"/>
  <c r="T429" i="697"/>
  <c r="T467" i="697"/>
  <c r="T468" i="697"/>
  <c r="T390" i="697"/>
  <c r="T326" i="697"/>
  <c r="T321" i="697"/>
  <c r="T322" i="697"/>
  <c r="T323" i="697"/>
  <c r="T324" i="697"/>
  <c r="T325" i="697"/>
  <c r="T391" i="697"/>
  <c r="T355" i="697"/>
  <c r="T386" i="697"/>
  <c r="T670" i="697"/>
  <c r="T327" i="697"/>
  <c r="T328" i="697"/>
  <c r="T385" i="697"/>
  <c r="T400" i="697"/>
  <c r="T401" i="697"/>
  <c r="T329" i="697"/>
  <c r="T353" i="697"/>
  <c r="T354" i="697"/>
  <c r="T469" i="697"/>
  <c r="T358" i="697"/>
  <c r="T520" i="697"/>
  <c r="T430" i="697"/>
  <c r="T367" i="697"/>
  <c r="T453" i="697"/>
  <c r="T623" i="697"/>
  <c r="T546" i="697"/>
  <c r="T624" i="697"/>
  <c r="T625" i="697"/>
  <c r="T431" i="697"/>
  <c r="T350" i="697"/>
  <c r="T446" i="697"/>
  <c r="T414" i="697"/>
  <c r="T432" i="697"/>
  <c r="T454" i="697"/>
  <c r="T351" i="697"/>
  <c r="T455" i="697"/>
  <c r="T488" i="697"/>
  <c r="T502" i="697"/>
  <c r="T370" i="697"/>
  <c r="T369" i="697"/>
  <c r="T470" i="697"/>
  <c r="T402" i="697"/>
  <c r="T356" i="697"/>
  <c r="T371" i="697"/>
  <c r="T489" i="697"/>
  <c r="T626" i="697"/>
  <c r="T627" i="697"/>
  <c r="T490" i="697"/>
  <c r="T359" i="697"/>
  <c r="T471" i="697"/>
  <c r="T368" i="697"/>
  <c r="T525" i="697"/>
  <c r="T472" i="697"/>
  <c r="T366" i="697"/>
  <c r="T491" i="697"/>
  <c r="T492" i="697"/>
  <c r="T433" i="697"/>
  <c r="T473" i="697"/>
  <c r="T493" i="697"/>
  <c r="T372" i="697"/>
  <c r="T526" i="697"/>
  <c r="T387" i="697"/>
  <c r="T474" i="697"/>
  <c r="T475" i="697"/>
  <c r="T476" i="697"/>
  <c r="T477" i="697"/>
  <c r="T398" i="697"/>
  <c r="T434" i="697"/>
  <c r="T628" i="697"/>
  <c r="T527" i="697"/>
  <c r="T545" i="697"/>
  <c r="T392" i="697"/>
  <c r="T435" i="697"/>
  <c r="T436" i="697"/>
  <c r="T393" i="697"/>
  <c r="T404" i="697"/>
  <c r="T403" i="697"/>
  <c r="T511" i="697"/>
  <c r="T512" i="697"/>
  <c r="T513" i="697"/>
  <c r="T514" i="697"/>
  <c r="T671" i="697"/>
  <c r="T478" i="697"/>
  <c r="T494" i="697"/>
  <c r="T629" i="697"/>
  <c r="T584" i="697"/>
  <c r="T405" i="697"/>
  <c r="T538" i="697"/>
  <c r="T539" i="697"/>
  <c r="T528" i="697"/>
  <c r="T554" i="697"/>
  <c r="T555" i="697"/>
  <c r="T412" i="697"/>
  <c r="T637" i="697"/>
  <c r="T415" i="697"/>
  <c r="T479" i="697"/>
  <c r="T480" i="697"/>
  <c r="T615" i="697"/>
  <c r="T592" i="697"/>
  <c r="T441" i="697"/>
  <c r="T662" i="697"/>
  <c r="T449" i="697"/>
  <c r="T416" i="697"/>
  <c r="T417" i="697"/>
  <c r="T418" i="697"/>
  <c r="T419" i="697"/>
  <c r="T420" i="697"/>
  <c r="T421" i="697"/>
  <c r="T486" i="697"/>
  <c r="T498" i="697"/>
  <c r="T499" i="697"/>
  <c r="T447" i="697"/>
  <c r="T448" i="697"/>
  <c r="T457" i="697"/>
  <c r="T481" i="697"/>
  <c r="T515" i="697"/>
  <c r="T673" i="697"/>
  <c r="T439" i="697"/>
  <c r="T672" i="697"/>
  <c r="T616" i="697"/>
  <c r="T617" i="697"/>
  <c r="T529" i="697"/>
  <c r="T437" i="697"/>
  <c r="T438" i="697"/>
  <c r="T547" i="697"/>
  <c r="T548" i="697"/>
  <c r="T714" i="697"/>
  <c r="T674" i="697"/>
  <c r="T440" i="697"/>
  <c r="T500" i="697"/>
  <c r="T715" i="697"/>
  <c r="T716" i="697"/>
  <c r="T657" i="697"/>
  <c r="T638" i="697"/>
  <c r="T456" i="697"/>
  <c r="T639" i="697"/>
  <c r="T593" i="697"/>
  <c r="T675" i="697"/>
  <c r="T556" i="697"/>
  <c r="T594" i="697"/>
  <c r="T459" i="697"/>
  <c r="T458" i="697"/>
  <c r="T645" i="697"/>
  <c r="T482" i="697"/>
  <c r="T676" i="697"/>
  <c r="T677" i="697"/>
  <c r="T483" i="697"/>
  <c r="T663" i="697"/>
  <c r="T678" i="697"/>
  <c r="T557" i="697"/>
  <c r="T558" i="697"/>
  <c r="T559" i="697"/>
  <c r="T560" i="697"/>
  <c r="T679" i="697"/>
  <c r="T595" i="697"/>
  <c r="T484" i="697"/>
  <c r="T495" i="697"/>
  <c r="T561" i="697"/>
  <c r="T562" i="697"/>
  <c r="T563" i="697"/>
  <c r="T564" i="697"/>
  <c r="T731" i="697"/>
  <c r="T658" i="697"/>
  <c r="T590" i="697"/>
  <c r="T497" i="697"/>
  <c r="T496" i="697"/>
  <c r="T516" i="697"/>
  <c r="T517" i="697"/>
  <c r="T618" i="697"/>
  <c r="T619" i="697"/>
  <c r="T680" i="697"/>
  <c r="T501" i="697"/>
  <c r="T503" i="697"/>
  <c r="T620" i="697"/>
  <c r="T596" i="697"/>
  <c r="T701" i="697"/>
  <c r="T664" i="697"/>
  <c r="T659" i="697"/>
  <c r="T681" i="697"/>
  <c r="T565" i="697"/>
  <c r="T566" i="697"/>
  <c r="T567" i="697"/>
  <c r="T568" i="697"/>
  <c r="T621" i="697"/>
  <c r="T702" i="697"/>
  <c r="T732" i="697"/>
  <c r="T751" i="697"/>
  <c r="T717" i="697"/>
  <c r="T646" i="697"/>
  <c r="T521" i="697"/>
  <c r="T682" i="697"/>
  <c r="T522" i="697"/>
  <c r="T533" i="697"/>
  <c r="T551" i="697"/>
  <c r="T577" i="697"/>
  <c r="T610" i="697"/>
  <c r="T752" i="697"/>
  <c r="T534" i="697"/>
  <c r="T581" i="697"/>
  <c r="T587" i="697"/>
  <c r="T588" i="697"/>
  <c r="T660" i="697"/>
  <c r="T718" i="697"/>
  <c r="T549" i="697"/>
  <c r="T550" i="697"/>
  <c r="T552" i="697"/>
  <c r="T753" i="697"/>
  <c r="T782" i="697"/>
  <c r="T536" i="697"/>
  <c r="T683" i="697"/>
  <c r="T866" i="697"/>
  <c r="T578" i="697"/>
  <c r="T535" i="697"/>
  <c r="T684" i="697"/>
  <c r="T754" i="697"/>
  <c r="T537" i="697"/>
  <c r="T540" i="697"/>
  <c r="T755" i="697"/>
  <c r="T685" i="697"/>
  <c r="T686" i="697"/>
  <c r="T705" i="697"/>
  <c r="T541" i="697"/>
  <c r="T542" i="697"/>
  <c r="T687" i="697"/>
  <c r="T733" i="697"/>
  <c r="T836" i="697"/>
  <c r="T756" i="697"/>
  <c r="T569" i="697"/>
  <c r="T706" i="697"/>
  <c r="T707" i="697"/>
  <c r="T734" i="697"/>
  <c r="T735" i="697"/>
  <c r="T580" i="697"/>
  <c r="T585" i="697"/>
  <c r="T630" i="697"/>
  <c r="T553" i="697"/>
  <c r="T749" i="697"/>
  <c r="T688" i="697"/>
  <c r="T837" i="697"/>
  <c r="T634" i="697"/>
  <c r="T757" i="697"/>
  <c r="T783" i="697"/>
  <c r="T689" i="697"/>
  <c r="T576" i="697"/>
  <c r="T758" i="697"/>
  <c r="T759" i="697"/>
  <c r="T760" i="697"/>
  <c r="T690" i="697"/>
  <c r="T579" i="697"/>
  <c r="T784" i="697"/>
  <c r="T838" i="697"/>
  <c r="T761" i="697"/>
  <c r="T811" i="697"/>
  <c r="T691" i="697"/>
  <c r="T815" i="697"/>
  <c r="T889" i="697"/>
  <c r="T582" i="697"/>
  <c r="T665" i="697"/>
  <c r="T583" i="697"/>
  <c r="T586" i="697"/>
  <c r="T692" i="697"/>
  <c r="T719" i="697"/>
  <c r="T661" i="697"/>
  <c r="T762" i="697"/>
  <c r="T763" i="697"/>
  <c r="T611" i="697"/>
  <c r="T816" i="697"/>
  <c r="T720" i="697"/>
  <c r="T693" i="697"/>
  <c r="T589" i="697"/>
  <c r="T839" i="697"/>
  <c r="T591" i="697"/>
  <c r="T721" i="697"/>
  <c r="T597" i="697"/>
  <c r="T598" i="697"/>
  <c r="T764" i="697"/>
  <c r="T694" i="697"/>
  <c r="T840" i="697"/>
  <c r="T793" i="697"/>
  <c r="T765" i="697"/>
  <c r="T601" i="697"/>
  <c r="T695" i="697"/>
  <c r="T599" i="697"/>
  <c r="T600" i="697"/>
  <c r="T812" i="697"/>
  <c r="T785" i="697"/>
  <c r="T722" i="697"/>
  <c r="T602" i="697"/>
  <c r="T603" i="697"/>
  <c r="T604" i="697"/>
  <c r="T605" i="697"/>
  <c r="T606" i="697"/>
  <c r="T607" i="697"/>
  <c r="T608" i="697"/>
  <c r="T609" i="697"/>
  <c r="T742" i="697"/>
  <c r="T738" i="697"/>
  <c r="T739" i="697"/>
  <c r="T740" i="697"/>
  <c r="T741" i="697"/>
  <c r="T766" i="697"/>
  <c r="T923" i="697"/>
  <c r="T902" i="697"/>
  <c r="T654" i="697"/>
  <c r="T723" i="697"/>
  <c r="T650" i="697"/>
  <c r="T854" i="697"/>
  <c r="T649" i="697"/>
  <c r="T696" i="697"/>
  <c r="T697" i="697"/>
  <c r="T647" i="697"/>
  <c r="T648" i="697"/>
  <c r="T698" i="697"/>
  <c r="T612" i="697"/>
  <c r="T613" i="697"/>
  <c r="T651" i="697"/>
  <c r="T767" i="697"/>
  <c r="T769" i="697"/>
  <c r="T631" i="697"/>
  <c r="T743" i="697"/>
  <c r="T622" i="697"/>
  <c r="T841" i="697"/>
  <c r="T768" i="697"/>
  <c r="T632" i="697"/>
  <c r="T633" i="697"/>
  <c r="T770" i="697"/>
  <c r="T640" i="697"/>
  <c r="T744" i="697"/>
  <c r="T890" i="697"/>
  <c r="T867" i="697"/>
  <c r="T855" i="697"/>
  <c r="T635" i="697"/>
  <c r="T891" i="697"/>
  <c r="T699" i="697"/>
  <c r="T903" i="697"/>
  <c r="T773" i="697"/>
  <c r="T636" i="697"/>
  <c r="T641" i="697"/>
  <c r="T652" i="697"/>
  <c r="T642" i="697"/>
  <c r="T643" i="697"/>
  <c r="T868" i="697"/>
  <c r="T892" i="697"/>
  <c r="T856" i="697"/>
  <c r="T842" i="697"/>
  <c r="T893" i="697"/>
  <c r="T843" i="697"/>
  <c r="T644" i="697"/>
  <c r="T799" i="697"/>
  <c r="T844" i="697"/>
  <c r="T857" i="697"/>
  <c r="T653" i="697"/>
  <c r="T655" i="697"/>
  <c r="T858" i="697"/>
  <c r="T656" i="697"/>
  <c r="T745" i="697"/>
  <c r="T746" i="697"/>
  <c r="T666" i="697"/>
  <c r="T859" i="697"/>
  <c r="T747" i="697"/>
  <c r="T924" i="697"/>
  <c r="T925" i="697"/>
  <c r="T926" i="697"/>
  <c r="T869" i="697"/>
  <c r="T667" i="697"/>
  <c r="T750" i="697"/>
  <c r="T668" i="697"/>
  <c r="T845" i="697"/>
  <c r="T1029" i="697"/>
  <c r="T700" i="697"/>
  <c r="T703" i="697"/>
  <c r="T704" i="697"/>
  <c r="T927" i="697"/>
  <c r="T928" i="697"/>
  <c r="T879" i="697"/>
  <c r="T846" i="697"/>
  <c r="T929" i="697"/>
  <c r="T861" i="697"/>
  <c r="T794" i="697"/>
  <c r="T860" i="697"/>
  <c r="T930" i="697"/>
  <c r="T894" i="697"/>
  <c r="T870" i="697"/>
  <c r="T862" i="697"/>
  <c r="T931" i="697"/>
  <c r="T932" i="697"/>
  <c r="T933" i="697"/>
  <c r="T708" i="697"/>
  <c r="T709" i="697"/>
  <c r="T710" i="697"/>
  <c r="T711" i="697"/>
  <c r="T712" i="697"/>
  <c r="T713" i="697"/>
  <c r="T787" i="697"/>
  <c r="T788" i="697"/>
  <c r="T952" i="697"/>
  <c r="T786" i="697"/>
  <c r="T809" i="697"/>
  <c r="T810" i="697"/>
  <c r="T736" i="697"/>
  <c r="T748" i="697"/>
  <c r="T774" i="697"/>
  <c r="T775" i="697"/>
  <c r="T776" i="697"/>
  <c r="T789" i="697"/>
  <c r="T934" i="697"/>
  <c r="T724" i="697"/>
  <c r="T725" i="697"/>
  <c r="T726" i="697"/>
  <c r="T727" i="697"/>
  <c r="T790" i="697"/>
  <c r="T1021" i="697"/>
  <c r="T728" i="697"/>
  <c r="T729" i="697"/>
  <c r="T730" i="697"/>
  <c r="T953" i="697"/>
  <c r="T871" i="697"/>
  <c r="T817" i="697"/>
  <c r="T737" i="697"/>
  <c r="T1084" i="697"/>
  <c r="T880" i="697"/>
  <c r="T863" i="697"/>
  <c r="T570" i="697"/>
  <c r="T571" i="697"/>
  <c r="T572" i="697"/>
  <c r="T573" i="697"/>
  <c r="T574" i="697"/>
  <c r="T575" i="697"/>
  <c r="T771" i="697"/>
  <c r="T772" i="697"/>
  <c r="T954" i="697"/>
  <c r="T955" i="697"/>
  <c r="T982" i="697"/>
  <c r="T777" i="697"/>
  <c r="T956" i="697"/>
  <c r="T981" i="697"/>
  <c r="T980" i="697"/>
  <c r="T983" i="697"/>
  <c r="T904" i="697"/>
  <c r="T984" i="697"/>
  <c r="T912" i="697"/>
  <c r="T913" i="697"/>
  <c r="T778" i="697"/>
  <c r="T957" i="697"/>
  <c r="T881" i="697"/>
  <c r="T779" i="697"/>
  <c r="T780" i="697"/>
  <c r="T905" i="697"/>
  <c r="T985" i="697"/>
  <c r="T781" i="697"/>
  <c r="T906" i="697"/>
  <c r="T948" i="697"/>
  <c r="T935" i="697"/>
  <c r="T936" i="697"/>
  <c r="T791" i="697"/>
  <c r="T795" i="697"/>
  <c r="T937" i="697"/>
  <c r="T986" i="697"/>
  <c r="T895" i="697"/>
  <c r="T896" i="697"/>
  <c r="T914" i="697"/>
  <c r="T958" i="697"/>
  <c r="T792" i="697"/>
  <c r="T987" i="697"/>
  <c r="T801" i="697"/>
  <c r="T989" i="697"/>
  <c r="T959" i="697"/>
  <c r="T800" i="697"/>
  <c r="T796" i="697"/>
  <c r="T988" i="697"/>
  <c r="T797" i="697"/>
  <c r="T798" i="697"/>
  <c r="T802" i="697"/>
  <c r="T990" i="697"/>
  <c r="T803" i="697"/>
  <c r="T804" i="697"/>
  <c r="T805" i="697"/>
  <c r="T806" i="697"/>
  <c r="T807" i="697"/>
  <c r="T808" i="697"/>
  <c r="T1022" i="697"/>
  <c r="T1005" i="697"/>
  <c r="T814" i="697"/>
  <c r="T813" i="697"/>
  <c r="T991" i="697"/>
  <c r="T993" i="697"/>
  <c r="T992" i="697"/>
  <c r="T818" i="697"/>
  <c r="T938" i="697"/>
  <c r="T819" i="697"/>
  <c r="T820" i="697"/>
  <c r="T823" i="697"/>
  <c r="T824" i="697"/>
  <c r="T825" i="697"/>
  <c r="T826" i="697"/>
  <c r="T827" i="697"/>
  <c r="T828" i="697"/>
  <c r="T939" i="697"/>
  <c r="T821" i="697"/>
  <c r="T822" i="697"/>
  <c r="T918" i="697"/>
  <c r="T898" i="697"/>
  <c r="T829" i="697"/>
  <c r="T830" i="697"/>
  <c r="T847" i="697"/>
  <c r="T831" i="697"/>
  <c r="T832" i="697"/>
  <c r="T833" i="697"/>
  <c r="T1000" i="697"/>
  <c r="T960" i="697"/>
  <c r="T834" i="697"/>
  <c r="T1030" i="697"/>
  <c r="T877" i="697"/>
  <c r="T897" i="697"/>
  <c r="T916" i="697"/>
  <c r="T917" i="697"/>
  <c r="T852" i="697"/>
  <c r="T872" i="697"/>
  <c r="T886" i="697"/>
  <c r="T848" i="697"/>
  <c r="T915" i="697"/>
  <c r="T1143" i="697"/>
  <c r="T875" i="697"/>
  <c r="T876" i="697"/>
  <c r="T878" i="697"/>
  <c r="T994" i="697"/>
  <c r="T850" i="697"/>
  <c r="T849" i="697"/>
  <c r="T1002" i="697"/>
  <c r="T899" i="697"/>
  <c r="T1001" i="697"/>
  <c r="T1006" i="697"/>
  <c r="T851" i="697"/>
  <c r="T940" i="697"/>
  <c r="T941" i="697"/>
  <c r="T1007" i="697"/>
  <c r="T995" i="697"/>
  <c r="T1212" i="697"/>
  <c r="T853" i="697"/>
  <c r="T1023" i="697"/>
  <c r="T1008" i="697"/>
  <c r="T1044" i="697"/>
  <c r="T864" i="697"/>
  <c r="T865" i="697"/>
  <c r="T942" i="697"/>
  <c r="T1024" i="697"/>
  <c r="T873" i="697"/>
  <c r="T943" i="697"/>
  <c r="T1045" i="697"/>
  <c r="T1046" i="697"/>
  <c r="T1047" i="697"/>
  <c r="T874" i="697"/>
  <c r="T1025" i="697"/>
  <c r="T1031" i="697"/>
  <c r="T1048" i="697"/>
  <c r="T882" i="697"/>
  <c r="T883" i="697"/>
  <c r="T884" i="697"/>
  <c r="T885" i="697"/>
  <c r="T1049" i="697"/>
  <c r="T1050" i="697"/>
  <c r="T900" i="697"/>
  <c r="T887" i="697"/>
  <c r="T888" i="697"/>
  <c r="T1091" i="697"/>
  <c r="T1068" i="697"/>
  <c r="T1075" i="697"/>
  <c r="T901" i="697"/>
  <c r="T1096" i="697"/>
  <c r="T907" i="697"/>
  <c r="T908" i="697"/>
  <c r="T909" i="697"/>
  <c r="T910" i="697"/>
  <c r="T911" i="697"/>
  <c r="T1168" i="697"/>
  <c r="T944" i="697"/>
  <c r="T1097" i="697"/>
  <c r="T1069" i="697"/>
  <c r="T1051" i="697"/>
  <c r="T922" i="697"/>
  <c r="T919" i="697"/>
  <c r="T920" i="697"/>
  <c r="T921" i="697"/>
  <c r="T1076" i="697"/>
  <c r="T945" i="697"/>
  <c r="T1162" i="697"/>
  <c r="T1169" i="697"/>
  <c r="T1083" i="697"/>
  <c r="T946" i="697"/>
  <c r="T1082" i="697"/>
  <c r="T1131" i="697"/>
  <c r="T1077" i="697"/>
  <c r="T1052" i="697"/>
  <c r="T1098" i="697"/>
  <c r="T1070" i="697"/>
  <c r="T1085" i="697"/>
  <c r="T947" i="697"/>
  <c r="T9" i="697"/>
  <c r="T1032" i="697"/>
  <c r="T1053" i="697"/>
  <c r="T949" i="697"/>
  <c r="T950" i="697"/>
  <c r="T1092" i="697"/>
  <c r="T1099" i="697"/>
  <c r="T1130" i="697"/>
  <c r="T1078" i="697"/>
  <c r="T951" i="697"/>
  <c r="T1037" i="697"/>
  <c r="T1071" i="697"/>
  <c r="T1100" i="697"/>
  <c r="T1086" i="697"/>
  <c r="T1089" i="697"/>
  <c r="T1101" i="697"/>
  <c r="T1087" i="697"/>
  <c r="T1238" i="697"/>
  <c r="T1088" i="697"/>
  <c r="T1009" i="697"/>
  <c r="T972" i="697"/>
  <c r="T1054" i="697"/>
  <c r="T1033" i="697"/>
  <c r="T1102" i="697"/>
  <c r="T1010" i="697"/>
  <c r="T961" i="697"/>
  <c r="T962" i="697"/>
  <c r="T963" i="697"/>
  <c r="T964" i="697"/>
  <c r="T965" i="697"/>
  <c r="T966" i="697"/>
  <c r="T967" i="697"/>
  <c r="T968" i="697"/>
  <c r="T969" i="697"/>
  <c r="T970" i="697"/>
  <c r="T971" i="697"/>
  <c r="T1055" i="697"/>
  <c r="T1056" i="697"/>
  <c r="T1057" i="697"/>
  <c r="T1058" i="697"/>
  <c r="T1059" i="697"/>
  <c r="T1060" i="697"/>
  <c r="T1017" i="697"/>
  <c r="T1190" i="697"/>
  <c r="T1018" i="697"/>
  <c r="T973" i="697"/>
  <c r="T974" i="697"/>
  <c r="T1124" i="697"/>
  <c r="T996" i="697"/>
  <c r="T1118" i="697"/>
  <c r="T1013" i="697"/>
  <c r="T1189" i="697"/>
  <c r="T1014" i="697"/>
  <c r="T975" i="697"/>
  <c r="T1015" i="697"/>
  <c r="T1016" i="697"/>
  <c r="T976" i="697"/>
  <c r="T1040" i="697"/>
  <c r="T977" i="697"/>
  <c r="T1093" i="697"/>
  <c r="T1112" i="697"/>
  <c r="T1011" i="697"/>
  <c r="T1103" i="697"/>
  <c r="T1012" i="697"/>
  <c r="T1019" i="697"/>
  <c r="T978" i="697"/>
  <c r="T1213" i="697"/>
  <c r="T1061" i="697"/>
  <c r="T1104" i="697"/>
  <c r="T1320" i="697"/>
  <c r="T1293" i="697"/>
  <c r="T1191" i="697"/>
  <c r="T1206" i="697"/>
  <c r="T1289" i="697"/>
  <c r="T1253" i="697"/>
  <c r="T1321" i="697"/>
  <c r="T1239" i="697"/>
  <c r="T1157" i="697"/>
  <c r="T997" i="697"/>
  <c r="T998" i="697"/>
  <c r="T999" i="697"/>
  <c r="T1158" i="697"/>
  <c r="T1132" i="697"/>
  <c r="T1003" i="697"/>
  <c r="T1062" i="697"/>
  <c r="T1063" i="697"/>
  <c r="T1004" i="697"/>
  <c r="T1170" i="697"/>
  <c r="T1020" i="697"/>
  <c r="T1270" i="697"/>
  <c r="T1271" i="697"/>
  <c r="T1176" i="697"/>
  <c r="T1294" i="697"/>
  <c r="T1034" i="697"/>
  <c r="T1163" i="697"/>
  <c r="T1026" i="697"/>
  <c r="T1027" i="697"/>
  <c r="T1028" i="697"/>
  <c r="T1252" i="697"/>
  <c r="T1133" i="697"/>
  <c r="T1177" i="697"/>
  <c r="T1036" i="697"/>
  <c r="T1035" i="697"/>
  <c r="T1248" i="697"/>
  <c r="T1171" i="697"/>
  <c r="T1192" i="697"/>
  <c r="T1038" i="697"/>
  <c r="T1079" i="697"/>
  <c r="T1178" i="697"/>
  <c r="T1039" i="697"/>
  <c r="T1229" i="697"/>
  <c r="T1179" i="697"/>
  <c r="T1113" i="697"/>
  <c r="T1080" i="697"/>
  <c r="T1180" i="697"/>
  <c r="T1295" i="697"/>
  <c r="T1041" i="697"/>
  <c r="T1214" i="697"/>
  <c r="T1042" i="697"/>
  <c r="T1043" i="697"/>
  <c r="T1072" i="697"/>
  <c r="T1066" i="697"/>
  <c r="T1067" i="697"/>
  <c r="T1372" i="697"/>
  <c r="T1065" i="697"/>
  <c r="T1296" i="697"/>
  <c r="T1064" i="697"/>
  <c r="T1144" i="697"/>
  <c r="T1182" i="697"/>
  <c r="T1183" i="697"/>
  <c r="T1203" i="697"/>
  <c r="T1073" i="697"/>
  <c r="T1074" i="697"/>
  <c r="T1081" i="697"/>
  <c r="T1181" i="697"/>
  <c r="T1090" i="697"/>
  <c r="T1322" i="697"/>
  <c r="T1184" i="697"/>
  <c r="T1228" i="697"/>
  <c r="T1272" i="697"/>
  <c r="T1193" i="697"/>
  <c r="T1094" i="697"/>
  <c r="T1323" i="697"/>
  <c r="T1290" i="697"/>
  <c r="T1216" i="697"/>
  <c r="T1240" i="697"/>
  <c r="T1105" i="697"/>
  <c r="T1095" i="697"/>
  <c r="T1215" i="697"/>
  <c r="T1230" i="697"/>
  <c r="T979" i="697"/>
  <c r="T1106" i="697"/>
  <c r="T1107" i="697"/>
  <c r="T1273" i="697"/>
  <c r="T1108" i="697"/>
  <c r="T1297" i="697"/>
  <c r="T1110" i="697"/>
  <c r="T1138" i="697"/>
  <c r="T1109" i="697"/>
  <c r="T1111" i="697"/>
  <c r="T1126" i="697"/>
  <c r="T1145" i="697"/>
  <c r="T1150" i="697"/>
  <c r="T1134" i="697"/>
  <c r="T1274" i="697"/>
  <c r="T1275" i="697"/>
  <c r="T1146" i="697"/>
  <c r="T1147" i="697"/>
  <c r="T1148" i="697"/>
  <c r="T1149" i="697"/>
  <c r="T1151" i="697"/>
  <c r="T1114" i="697"/>
  <c r="T1135" i="697"/>
  <c r="T1125" i="697"/>
  <c r="T1127" i="697"/>
  <c r="T1266" i="697"/>
  <c r="T1115" i="697"/>
  <c r="T1116" i="697"/>
  <c r="T1117" i="697"/>
  <c r="T1152" i="697"/>
  <c r="T1241" i="697"/>
  <c r="T1120" i="697"/>
  <c r="T1119" i="697"/>
  <c r="T1217" i="697"/>
  <c r="T1121" i="697"/>
  <c r="T1122" i="697"/>
  <c r="T1123" i="697"/>
  <c r="T1194" i="697"/>
  <c r="T1128" i="697"/>
  <c r="T1129" i="697"/>
  <c r="T1174" i="697"/>
  <c r="T1136" i="697"/>
  <c r="T1235" i="697"/>
  <c r="T1326" i="697"/>
  <c r="T1207" i="697"/>
  <c r="T1254" i="697"/>
  <c r="T1137" i="697"/>
  <c r="T1365" i="697"/>
  <c r="T1327" i="697"/>
  <c r="T1139" i="697"/>
  <c r="T1140" i="697"/>
  <c r="T1141" i="697"/>
  <c r="T1160" i="697"/>
  <c r="T1153" i="697"/>
  <c r="T1142" i="697"/>
  <c r="T1159" i="697"/>
  <c r="T1154" i="697"/>
  <c r="T1155" i="697"/>
  <c r="T1156" i="697"/>
  <c r="T1366" i="697"/>
  <c r="T1185" i="697"/>
  <c r="T1161" i="697"/>
  <c r="T1334" i="697"/>
  <c r="T1255" i="697"/>
  <c r="T1298" i="697"/>
  <c r="T1267" i="697"/>
  <c r="T1195" i="697"/>
  <c r="T1196" i="697"/>
  <c r="T1268" i="697"/>
  <c r="T1164" i="697"/>
  <c r="T1335" i="697"/>
  <c r="T1328" i="697"/>
  <c r="T1165" i="697"/>
  <c r="T1166" i="697"/>
  <c r="T1276" i="697"/>
  <c r="T1277" i="697"/>
  <c r="T1256" i="697"/>
  <c r="T1172" i="697"/>
  <c r="T1330" i="697"/>
  <c r="T1324" i="697"/>
  <c r="T1299" i="697"/>
  <c r="T1586" i="697"/>
  <c r="T1175" i="697"/>
  <c r="T1173" i="697"/>
  <c r="T1329" i="697"/>
  <c r="T1300" i="697"/>
  <c r="T1367" i="697"/>
  <c r="T1368" i="697"/>
  <c r="T1378" i="697"/>
  <c r="T1377" i="697"/>
  <c r="T1301" i="697"/>
  <c r="T1331" i="697"/>
  <c r="T1186" i="697"/>
  <c r="T1187" i="697"/>
  <c r="T1357" i="697"/>
  <c r="T1369" i="697"/>
  <c r="T1439" i="697"/>
  <c r="T1302" i="697"/>
  <c r="T1188" i="697"/>
  <c r="T1278" i="697"/>
  <c r="T1358" i="697"/>
  <c r="T1197" i="697"/>
  <c r="T1198" i="697"/>
  <c r="T1199" i="697"/>
  <c r="T1200" i="697"/>
  <c r="T1201" i="697"/>
  <c r="T1202" i="697"/>
  <c r="T1208" i="697"/>
  <c r="T1242" i="697"/>
  <c r="T1359" i="697"/>
  <c r="T1222" i="697"/>
  <c r="T1223" i="697"/>
  <c r="T1204" i="697"/>
  <c r="T1167" i="697"/>
  <c r="T1220" i="697"/>
  <c r="T1221" i="697"/>
  <c r="T1257" i="697"/>
  <c r="T1205" i="697"/>
  <c r="T1218" i="697"/>
  <c r="T1224" i="697"/>
  <c r="T1219" i="697"/>
  <c r="T1209" i="697"/>
  <c r="T1337" i="697"/>
  <c r="T1338" i="697"/>
  <c r="T1339" i="697"/>
  <c r="T1340" i="697"/>
  <c r="T1373" i="697"/>
  <c r="T1258" i="697"/>
  <c r="T1336" i="697"/>
  <c r="T1210" i="697"/>
  <c r="T1211" i="697"/>
  <c r="T1225" i="697"/>
  <c r="T1226" i="697"/>
  <c r="T1285" i="697"/>
  <c r="T1259" i="697"/>
  <c r="T1227" i="697"/>
  <c r="T1477" i="697"/>
  <c r="T1379" i="697"/>
  <c r="T1303" i="697"/>
  <c r="T1345" i="697"/>
  <c r="T1360" i="697"/>
  <c r="T1440" i="697"/>
  <c r="T1394" i="697"/>
  <c r="T1344" i="697"/>
  <c r="T1231" i="697"/>
  <c r="T1361" i="697"/>
  <c r="T1269" i="697"/>
  <c r="T1232" i="697"/>
  <c r="T1233" i="697"/>
  <c r="T1423" i="697"/>
  <c r="T1325" i="697"/>
  <c r="T1243" i="697"/>
  <c r="T1492" i="697"/>
  <c r="T1234" i="697"/>
  <c r="T1380" i="697"/>
  <c r="T1496" i="697"/>
  <c r="T1249" i="697"/>
  <c r="T1363" i="697"/>
  <c r="T1236" i="697"/>
  <c r="T1237" i="697"/>
  <c r="T1464" i="697"/>
  <c r="T1374" i="697"/>
  <c r="T1247" i="697"/>
  <c r="T1245" i="697"/>
  <c r="T1244" i="697"/>
  <c r="T1410" i="697"/>
  <c r="T1411" i="697"/>
  <c r="T1370" i="697"/>
  <c r="T1417" i="697"/>
  <c r="T1381" i="697"/>
  <c r="T1246" i="697"/>
  <c r="T1250" i="697"/>
  <c r="T1251" i="697"/>
  <c r="T1432" i="697"/>
  <c r="T1375" i="697"/>
  <c r="T1382" i="697"/>
  <c r="T1260" i="697"/>
  <c r="T1279" i="697"/>
  <c r="T1280" i="697"/>
  <c r="T1281" i="697"/>
  <c r="T1282" i="697"/>
  <c r="T1283" i="697"/>
  <c r="T1433" i="697"/>
  <c r="T1434" i="697"/>
  <c r="T1261" i="697"/>
  <c r="T1264" i="697"/>
  <c r="T1262" i="697"/>
  <c r="T1263" i="697"/>
  <c r="T1383" i="697"/>
  <c r="T1265" i="697"/>
  <c r="T1395" i="697"/>
  <c r="T1441" i="697"/>
  <c r="T1305" i="697"/>
  <c r="T1286" i="697"/>
  <c r="T1306" i="697"/>
  <c r="T1451" i="697"/>
  <c r="T1455" i="697"/>
  <c r="T1319" i="697"/>
  <c r="T1435" i="697"/>
  <c r="T1284" i="697"/>
  <c r="T1287" i="697"/>
  <c r="T1442" i="697"/>
  <c r="T1412" i="697"/>
  <c r="T1396" i="697"/>
  <c r="T1288" i="697"/>
  <c r="T1397" i="697"/>
  <c r="T1514" i="697"/>
  <c r="T1413" i="697"/>
  <c r="T1388" i="697"/>
  <c r="T1291" i="697"/>
  <c r="T1493" i="697"/>
  <c r="T1497" i="697"/>
  <c r="T1389" i="697"/>
  <c r="T1304" i="697"/>
  <c r="T1398" i="697"/>
  <c r="T1418" i="697"/>
  <c r="T1317" i="697"/>
  <c r="T1307" i="697"/>
  <c r="T1308" i="697"/>
  <c r="T1309" i="697"/>
  <c r="T1310" i="697"/>
  <c r="T1311" i="697"/>
  <c r="T1312" i="697"/>
  <c r="T1313" i="697"/>
  <c r="T1314" i="697"/>
  <c r="T1315" i="697"/>
  <c r="T1316" i="697"/>
  <c r="T1399" i="697"/>
  <c r="T1414" i="697"/>
  <c r="T1352" i="697"/>
  <c r="T1349" i="697"/>
  <c r="T1465" i="697"/>
  <c r="T1347" i="697"/>
  <c r="T1353" i="697"/>
  <c r="T1348" i="697"/>
  <c r="T1400" i="697"/>
  <c r="T1401" i="697"/>
  <c r="T1350" i="697"/>
  <c r="T1351" i="697"/>
  <c r="T1386" i="697"/>
  <c r="T1318" i="697"/>
  <c r="T1346" i="697"/>
  <c r="T1354" i="697"/>
  <c r="T1429" i="697"/>
  <c r="T1478" i="697"/>
  <c r="T1355" i="697"/>
  <c r="T1332" i="697"/>
  <c r="T1333" i="697"/>
  <c r="T1479" i="697"/>
  <c r="T1473" i="697"/>
  <c r="T1515" i="697"/>
  <c r="T1342" i="697"/>
  <c r="T1341" i="697"/>
  <c r="T1424" i="697"/>
  <c r="T1343" i="697"/>
  <c r="T1475" i="697"/>
  <c r="T1521" i="697"/>
  <c r="T1480" i="697"/>
  <c r="T1466" i="697"/>
  <c r="T1425" i="697"/>
  <c r="T1481" i="697"/>
  <c r="T1356" i="697"/>
  <c r="T1482" i="697"/>
  <c r="T1516" i="697"/>
  <c r="T1474" i="697"/>
  <c r="T1483" i="697"/>
  <c r="T1362" i="697"/>
  <c r="T1484" i="697"/>
  <c r="T1485" i="697"/>
  <c r="T1390" i="697"/>
  <c r="T1364" i="697"/>
  <c r="T1517" i="697"/>
  <c r="T1376" i="697"/>
  <c r="T1402" i="697"/>
  <c r="T1403" i="697"/>
  <c r="T1404" i="697"/>
  <c r="T1405" i="697"/>
  <c r="T1371" i="697"/>
  <c r="T1436" i="697"/>
  <c r="T1437" i="697"/>
  <c r="T1486" i="697"/>
  <c r="T1518" i="697"/>
  <c r="T1487" i="697"/>
  <c r="T1384" i="697"/>
  <c r="T1385" i="697"/>
  <c r="T1387" i="697"/>
  <c r="T1393" i="697"/>
  <c r="T1391" i="697"/>
  <c r="T1392" i="697"/>
  <c r="T1415" i="697"/>
  <c r="T1406" i="697"/>
  <c r="T1407" i="697"/>
  <c r="T1438" i="697"/>
  <c r="T1488" i="697"/>
  <c r="T1443" i="697"/>
  <c r="T1447" i="697"/>
  <c r="T1445" i="697"/>
  <c r="T1420" i="697"/>
  <c r="T1408" i="697"/>
  <c r="T1498" i="697"/>
  <c r="T1499" i="697"/>
  <c r="T1500" i="697"/>
  <c r="T1446" i="697"/>
  <c r="T1522" i="697"/>
  <c r="T1523" i="697"/>
  <c r="T1490" i="697"/>
  <c r="T1444" i="697"/>
  <c r="T1448" i="697"/>
  <c r="T1416" i="697"/>
  <c r="T1489" i="697"/>
  <c r="T1419" i="697"/>
  <c r="T1422" i="697"/>
  <c r="T1421" i="697"/>
  <c r="T1460" i="697"/>
  <c r="T1426" i="697"/>
  <c r="T1461" i="697"/>
  <c r="T1462" i="697"/>
  <c r="T1427" i="697"/>
  <c r="T1428" i="697"/>
  <c r="T1449" i="697"/>
  <c r="T1431" i="697"/>
  <c r="T1430" i="697"/>
  <c r="T1491" i="697"/>
  <c r="T1452" i="697"/>
  <c r="T1456" i="697"/>
  <c r="T1450" i="697"/>
  <c r="T1524" i="697"/>
  <c r="T1458" i="697"/>
  <c r="T1457" i="697"/>
  <c r="T1463" i="697"/>
  <c r="T1453" i="697"/>
  <c r="T1409" i="697"/>
  <c r="T1454" i="697"/>
  <c r="T1470" i="697"/>
  <c r="T1468" i="697"/>
  <c r="T1467" i="697"/>
  <c r="T1469" i="697"/>
  <c r="T1476" i="697"/>
  <c r="T1471" i="697"/>
  <c r="T1472" i="697"/>
  <c r="T1494" i="697"/>
  <c r="T1495" i="697"/>
  <c r="T1502" i="697"/>
  <c r="T1503" i="697"/>
  <c r="T1504" i="697"/>
  <c r="T1505" i="697"/>
  <c r="T1506" i="697"/>
  <c r="T1507" i="697"/>
  <c r="T1508" i="697"/>
  <c r="T1511" i="697"/>
  <c r="T1512" i="697"/>
  <c r="T1513" i="697"/>
  <c r="T1519" i="697"/>
  <c r="U1292" i="697"/>
  <c r="Y1292" i="697" s="1"/>
  <c r="U103" i="697"/>
  <c r="Y103" i="697" s="1"/>
  <c r="U104" i="697"/>
  <c r="Y104" i="697" s="1"/>
  <c r="U22" i="697"/>
  <c r="Y22" i="697" s="1"/>
  <c r="U23" i="697"/>
  <c r="Y23" i="697" s="1"/>
  <c r="U12" i="697"/>
  <c r="Y12" i="697" s="1"/>
  <c r="U196" i="697"/>
  <c r="Y196" i="697" s="1"/>
  <c r="U4" i="697"/>
  <c r="Y4" i="697" s="1"/>
  <c r="U24" i="697"/>
  <c r="Y24" i="697" s="1"/>
  <c r="U208" i="697"/>
  <c r="Y208" i="697" s="1"/>
  <c r="U6" i="697"/>
  <c r="Y6" i="697" s="1"/>
  <c r="U13" i="697"/>
  <c r="Y13" i="697" s="1"/>
  <c r="U14" i="697"/>
  <c r="Y14" i="697" s="1"/>
  <c r="U2" i="697"/>
  <c r="Y2" i="697" s="1"/>
  <c r="U16" i="697"/>
  <c r="Y16" i="697" s="1"/>
  <c r="U17" i="697"/>
  <c r="Y17" i="697" s="1"/>
  <c r="U34" i="697"/>
  <c r="Y34" i="697" s="1"/>
  <c r="U15" i="697"/>
  <c r="Y15" i="697" s="1"/>
  <c r="U45" i="697"/>
  <c r="Y45" i="697" s="1"/>
  <c r="U77" i="697"/>
  <c r="Y77" i="697" s="1"/>
  <c r="U117" i="697"/>
  <c r="Y117" i="697" s="1"/>
  <c r="U79" i="697"/>
  <c r="Y79" i="697" s="1"/>
  <c r="U78" i="697"/>
  <c r="Y78" i="697" s="1"/>
  <c r="U80" i="697"/>
  <c r="Y80" i="697" s="1"/>
  <c r="U40" i="697"/>
  <c r="Y40" i="697" s="1"/>
  <c r="U3" i="697"/>
  <c r="Y3" i="697" s="1"/>
  <c r="U209" i="697"/>
  <c r="Y209" i="697" s="1"/>
  <c r="U5" i="697"/>
  <c r="Y5" i="697" s="1"/>
  <c r="U18" i="697"/>
  <c r="Y18" i="697" s="1"/>
  <c r="U20" i="697"/>
  <c r="Y20" i="697" s="1"/>
  <c r="U19" i="697"/>
  <c r="Y19" i="697" s="1"/>
  <c r="U7" i="697"/>
  <c r="Y7" i="697" s="1"/>
  <c r="U8" i="697"/>
  <c r="Y8" i="697" s="1"/>
  <c r="U10" i="697"/>
  <c r="Y10" i="697" s="1"/>
  <c r="U105" i="697"/>
  <c r="Y105" i="697" s="1"/>
  <c r="U106" i="697"/>
  <c r="Y106" i="697" s="1"/>
  <c r="U107" i="697"/>
  <c r="Y107" i="697" s="1"/>
  <c r="U11" i="697"/>
  <c r="U81" i="697"/>
  <c r="Y81" i="697" s="1"/>
  <c r="U174" i="697"/>
  <c r="Y174" i="697" s="1"/>
  <c r="U175" i="697"/>
  <c r="Y175" i="697" s="1"/>
  <c r="U82" i="697"/>
  <c r="Y82" i="697" s="1"/>
  <c r="U84" i="697"/>
  <c r="Y84" i="697" s="1"/>
  <c r="U118" i="697"/>
  <c r="Y118" i="697" s="1"/>
  <c r="U85" i="697"/>
  <c r="Y85" i="697" s="1"/>
  <c r="U83" i="697"/>
  <c r="U86" i="697"/>
  <c r="Y86" i="697" s="1"/>
  <c r="U87" i="697"/>
  <c r="Y87" i="697" s="1"/>
  <c r="U21" i="697"/>
  <c r="Y21" i="697" s="1"/>
  <c r="U210" i="697"/>
  <c r="Y210" i="697" s="1"/>
  <c r="U88" i="697"/>
  <c r="Y88" i="697" s="1"/>
  <c r="U27" i="697"/>
  <c r="Y27" i="697" s="1"/>
  <c r="U28" i="697"/>
  <c r="Y28" i="697" s="1"/>
  <c r="U29" i="697"/>
  <c r="Y29" i="697" s="1"/>
  <c r="U30" i="697"/>
  <c r="Y30" i="697" s="1"/>
  <c r="U31" i="697"/>
  <c r="U32" i="697"/>
  <c r="Y32" i="697" s="1"/>
  <c r="U33" i="697"/>
  <c r="Y33" i="697" s="1"/>
  <c r="U219" i="697"/>
  <c r="Y219" i="697" s="1"/>
  <c r="U90" i="697"/>
  <c r="Y90" i="697" s="1"/>
  <c r="U89" i="697"/>
  <c r="Y89" i="697" s="1"/>
  <c r="U96" i="697"/>
  <c r="Y96" i="697" s="1"/>
  <c r="U115" i="697"/>
  <c r="Y115" i="697" s="1"/>
  <c r="U125" i="697"/>
  <c r="Y125" i="697" s="1"/>
  <c r="U67" i="697"/>
  <c r="Y67" i="697" s="1"/>
  <c r="U171" i="697"/>
  <c r="Y171" i="697" s="1"/>
  <c r="U75" i="697"/>
  <c r="Y75" i="697" s="1"/>
  <c r="U46" i="697"/>
  <c r="Y46" i="697" s="1"/>
  <c r="U47" i="697"/>
  <c r="Y47" i="697" s="1"/>
  <c r="U48" i="697"/>
  <c r="Y48" i="697" s="1"/>
  <c r="U37" i="697"/>
  <c r="Y37" i="697" s="1"/>
  <c r="U53" i="697"/>
  <c r="Y53" i="697" s="1"/>
  <c r="U54" i="697"/>
  <c r="Y54" i="697" s="1"/>
  <c r="U55" i="697"/>
  <c r="Y55" i="697" s="1"/>
  <c r="U56" i="697"/>
  <c r="Y56" i="697" s="1"/>
  <c r="U57" i="697"/>
  <c r="Y57" i="697" s="1"/>
  <c r="U49" i="697"/>
  <c r="Y49" i="697" s="1"/>
  <c r="U50" i="697"/>
  <c r="Y50" i="697" s="1"/>
  <c r="U51" i="697"/>
  <c r="Y51" i="697" s="1"/>
  <c r="U119" i="697"/>
  <c r="Y119" i="697" s="1"/>
  <c r="U52" i="697"/>
  <c r="Y52" i="697" s="1"/>
  <c r="U114" i="697"/>
  <c r="Y114" i="697" s="1"/>
  <c r="U35" i="697"/>
  <c r="Y35" i="697" s="1"/>
  <c r="U58" i="697"/>
  <c r="Y58" i="697" s="1"/>
  <c r="U59" i="697"/>
  <c r="Y59" i="697" s="1"/>
  <c r="U60" i="697"/>
  <c r="Y60" i="697" s="1"/>
  <c r="U61" i="697"/>
  <c r="Y61" i="697" s="1"/>
  <c r="U62" i="697"/>
  <c r="U63" i="697"/>
  <c r="Y63" i="697" s="1"/>
  <c r="U126" i="697"/>
  <c r="Y126" i="697" s="1"/>
  <c r="U116" i="697"/>
  <c r="Y116" i="697" s="1"/>
  <c r="U120" i="697"/>
  <c r="Y120" i="697" s="1"/>
  <c r="U91" i="697"/>
  <c r="Y91" i="697" s="1"/>
  <c r="U133" i="697"/>
  <c r="Y133" i="697" s="1"/>
  <c r="U92" i="697"/>
  <c r="Y92" i="697" s="1"/>
  <c r="U93" i="697"/>
  <c r="Y93" i="697" s="1"/>
  <c r="U36" i="697"/>
  <c r="Y36" i="697" s="1"/>
  <c r="U108" i="697"/>
  <c r="Y108" i="697" s="1"/>
  <c r="U109" i="697"/>
  <c r="Y109" i="697" s="1"/>
  <c r="U110" i="697"/>
  <c r="Y110" i="697" s="1"/>
  <c r="U111" i="697"/>
  <c r="Y111" i="697" s="1"/>
  <c r="U64" i="697"/>
  <c r="Y64" i="697" s="1"/>
  <c r="U213" i="697"/>
  <c r="Y213" i="697" s="1"/>
  <c r="U134" i="697"/>
  <c r="Y134" i="697" s="1"/>
  <c r="U131" i="697"/>
  <c r="Y131" i="697" s="1"/>
  <c r="U140" i="697"/>
  <c r="Y140" i="697" s="1"/>
  <c r="U38" i="697"/>
  <c r="Y38" i="697" s="1"/>
  <c r="U399" i="697"/>
  <c r="Y399" i="697" s="1"/>
  <c r="U68" i="697"/>
  <c r="Y68" i="697" s="1"/>
  <c r="U65" i="697"/>
  <c r="Y65" i="697" s="1"/>
  <c r="U176" i="697"/>
  <c r="Y176" i="697" s="1"/>
  <c r="U127" i="697"/>
  <c r="Y127" i="697" s="1"/>
  <c r="U129" i="697"/>
  <c r="Y129" i="697" s="1"/>
  <c r="U97" i="697"/>
  <c r="Y97" i="697" s="1"/>
  <c r="U206" i="697"/>
  <c r="Y206" i="697" s="1"/>
  <c r="U39" i="697"/>
  <c r="Y39" i="697" s="1"/>
  <c r="U66" i="697"/>
  <c r="Y66" i="697" s="1"/>
  <c r="U230" i="697"/>
  <c r="Y230" i="697" s="1"/>
  <c r="U254" i="697"/>
  <c r="Y254" i="697" s="1"/>
  <c r="U160" i="697"/>
  <c r="U42" i="697"/>
  <c r="Y42" i="697" s="1"/>
  <c r="U41" i="697"/>
  <c r="Y41" i="697" s="1"/>
  <c r="U76" i="697"/>
  <c r="Y76" i="697" s="1"/>
  <c r="U44" i="697"/>
  <c r="Y44" i="697" s="1"/>
  <c r="U121" i="697"/>
  <c r="Y121" i="697" s="1"/>
  <c r="U43" i="697"/>
  <c r="Y43" i="697" s="1"/>
  <c r="U236" i="697"/>
  <c r="Y236" i="697" s="1"/>
  <c r="U255" i="697"/>
  <c r="Y255" i="697" s="1"/>
  <c r="U26" i="697"/>
  <c r="Y26" i="697" s="1"/>
  <c r="U25" i="697"/>
  <c r="Y25" i="697" s="1"/>
  <c r="U94" i="697"/>
  <c r="Y94" i="697" s="1"/>
  <c r="U237" i="697"/>
  <c r="Y237" i="697" s="1"/>
  <c r="U214" i="697"/>
  <c r="Y214" i="697" s="1"/>
  <c r="U256" i="697"/>
  <c r="Y256" i="697" s="1"/>
  <c r="U135" i="697"/>
  <c r="Y135" i="697" s="1"/>
  <c r="U161" i="697"/>
  <c r="Y161" i="697" s="1"/>
  <c r="U257" i="697"/>
  <c r="Y257" i="697" s="1"/>
  <c r="U207" i="697"/>
  <c r="Y207" i="697" s="1"/>
  <c r="U162" i="697"/>
  <c r="Y162" i="697" s="1"/>
  <c r="U177" i="697"/>
  <c r="Y177" i="697" s="1"/>
  <c r="U122" i="697"/>
  <c r="Y122" i="697" s="1"/>
  <c r="U163" i="697"/>
  <c r="Y163" i="697" s="1"/>
  <c r="U69" i="697"/>
  <c r="Y69" i="697" s="1"/>
  <c r="U70" i="697"/>
  <c r="Y70" i="697" s="1"/>
  <c r="U71" i="697"/>
  <c r="Y71" i="697" s="1"/>
  <c r="U72" i="697"/>
  <c r="Y72" i="697" s="1"/>
  <c r="U73" i="697"/>
  <c r="Y73" i="697" s="1"/>
  <c r="U74" i="697"/>
  <c r="Y74" i="697" s="1"/>
  <c r="U258" i="697"/>
  <c r="Y258" i="697" s="1"/>
  <c r="U178" i="697"/>
  <c r="Y178" i="697" s="1"/>
  <c r="U155" i="697"/>
  <c r="Y155" i="697" s="1"/>
  <c r="U146" i="697"/>
  <c r="Y146" i="697" s="1"/>
  <c r="U156" i="697"/>
  <c r="Y156" i="697" s="1"/>
  <c r="U157" i="697"/>
  <c r="Y157" i="697" s="1"/>
  <c r="U211" i="697"/>
  <c r="Y211" i="697" s="1"/>
  <c r="U145" i="697"/>
  <c r="Y145" i="697" s="1"/>
  <c r="U151" i="697"/>
  <c r="Y151" i="697" s="1"/>
  <c r="U152" i="697"/>
  <c r="Y152" i="697" s="1"/>
  <c r="U153" i="697"/>
  <c r="Y153" i="697" s="1"/>
  <c r="U154" i="697"/>
  <c r="Y154" i="697" s="1"/>
  <c r="U141" i="697"/>
  <c r="Y141" i="697" s="1"/>
  <c r="U142" i="697"/>
  <c r="Y142" i="697" s="1"/>
  <c r="U143" i="697"/>
  <c r="Y143" i="697" s="1"/>
  <c r="U144" i="697"/>
  <c r="Y144" i="697" s="1"/>
  <c r="U150" i="697"/>
  <c r="Y150" i="697" s="1"/>
  <c r="U158" i="697"/>
  <c r="Y158" i="697" s="1"/>
  <c r="U229" i="697"/>
  <c r="Y229" i="697" s="1"/>
  <c r="U95" i="697"/>
  <c r="Y95" i="697" s="1"/>
  <c r="U159" i="697"/>
  <c r="Y159" i="697" s="1"/>
  <c r="U240" i="697"/>
  <c r="Y240" i="697" s="1"/>
  <c r="U101" i="697"/>
  <c r="Y101" i="697" s="1"/>
  <c r="U100" i="697"/>
  <c r="Y100" i="697" s="1"/>
  <c r="U98" i="697"/>
  <c r="Y98" i="697" s="1"/>
  <c r="U99" i="697"/>
  <c r="Y99" i="697" s="1"/>
  <c r="U284" i="697"/>
  <c r="Y284" i="697" s="1"/>
  <c r="U102" i="697"/>
  <c r="Y102" i="697" s="1"/>
  <c r="U275" i="697"/>
  <c r="Y275" i="697" s="1"/>
  <c r="U197" i="697"/>
  <c r="Y197" i="697" s="1"/>
  <c r="U231" i="697"/>
  <c r="Y231" i="697" s="1"/>
  <c r="U148" i="697"/>
  <c r="Y148" i="697" s="1"/>
  <c r="U112" i="697"/>
  <c r="Y112" i="697" s="1"/>
  <c r="U147" i="697"/>
  <c r="Y147" i="697" s="1"/>
  <c r="U113" i="697"/>
  <c r="Y113" i="697" s="1"/>
  <c r="U259" i="697"/>
  <c r="U123" i="697"/>
  <c r="Y123" i="697" s="1"/>
  <c r="U252" i="697"/>
  <c r="Y252" i="697" s="1"/>
  <c r="U238" i="697"/>
  <c r="Y238" i="697" s="1"/>
  <c r="U232" i="697"/>
  <c r="Y232" i="697" s="1"/>
  <c r="U253" i="697"/>
  <c r="Y253" i="697" s="1"/>
  <c r="U233" i="697"/>
  <c r="Y233" i="697" s="1"/>
  <c r="U835" i="697"/>
  <c r="Y835" i="697" s="1"/>
  <c r="U124" i="697"/>
  <c r="Y124" i="697" s="1"/>
  <c r="U234" i="697"/>
  <c r="Y234" i="697" s="1"/>
  <c r="U244" i="697"/>
  <c r="Y244" i="697" s="1"/>
  <c r="U260" i="697"/>
  <c r="Y260" i="697" s="1"/>
  <c r="U181" i="697"/>
  <c r="Y181" i="697" s="1"/>
  <c r="U182" i="697"/>
  <c r="Y182" i="697" s="1"/>
  <c r="U183" i="697"/>
  <c r="Y183" i="697" s="1"/>
  <c r="U184" i="697"/>
  <c r="Y184" i="697" s="1"/>
  <c r="U172" i="697"/>
  <c r="U330" i="697"/>
  <c r="Y330" i="697" s="1"/>
  <c r="U245" i="697"/>
  <c r="Y245" i="697" s="1"/>
  <c r="U128" i="697"/>
  <c r="Y128" i="697" s="1"/>
  <c r="U285" i="697"/>
  <c r="Y285" i="697" s="1"/>
  <c r="U130" i="697"/>
  <c r="Y130" i="697" s="1"/>
  <c r="U132" i="697"/>
  <c r="U198" i="697"/>
  <c r="Y198" i="697" s="1"/>
  <c r="U349" i="697"/>
  <c r="Y349" i="697" s="1"/>
  <c r="U185" i="697"/>
  <c r="Y185" i="697" s="1"/>
  <c r="U312" i="697"/>
  <c r="Y312" i="697" s="1"/>
  <c r="U136" i="697"/>
  <c r="Y136" i="697" s="1"/>
  <c r="U277" i="697"/>
  <c r="Y277" i="697" s="1"/>
  <c r="U241" i="697"/>
  <c r="Y241" i="697" s="1"/>
  <c r="U276" i="697"/>
  <c r="Y276" i="697" s="1"/>
  <c r="U408" i="697"/>
  <c r="Y408" i="697" s="1"/>
  <c r="U286" i="697"/>
  <c r="Y286" i="697" s="1"/>
  <c r="U278" i="697"/>
  <c r="Y278" i="697" s="1"/>
  <c r="U279" i="697"/>
  <c r="Y279" i="697" s="1"/>
  <c r="U280" i="697"/>
  <c r="Y280" i="697" s="1"/>
  <c r="U149" i="697"/>
  <c r="Y149" i="697" s="1"/>
  <c r="U261" i="697"/>
  <c r="Y261" i="697" s="1"/>
  <c r="U137" i="697"/>
  <c r="Y137" i="697" s="1"/>
  <c r="U220" i="697"/>
  <c r="Y220" i="697" s="1"/>
  <c r="U394" i="697"/>
  <c r="Y394" i="697" s="1"/>
  <c r="U305" i="697"/>
  <c r="Y305" i="697" s="1"/>
  <c r="U164" i="697"/>
  <c r="Y164" i="697" s="1"/>
  <c r="U138" i="697"/>
  <c r="Y138" i="697" s="1"/>
  <c r="U139" i="697"/>
  <c r="Y139" i="697" s="1"/>
  <c r="U186" i="697"/>
  <c r="Y186" i="697" s="1"/>
  <c r="U221" i="697"/>
  <c r="U281" i="697"/>
  <c r="Y281" i="697" s="1"/>
  <c r="U331" i="697"/>
  <c r="U262" i="697"/>
  <c r="Y262" i="697" s="1"/>
  <c r="U263" i="697"/>
  <c r="Y263" i="697" s="1"/>
  <c r="U306" i="697"/>
  <c r="Y306" i="697" s="1"/>
  <c r="U320" i="697"/>
  <c r="Y320" i="697" s="1"/>
  <c r="U332" i="697"/>
  <c r="Y332" i="697" s="1"/>
  <c r="U199" i="697"/>
  <c r="Y199" i="697" s="1"/>
  <c r="U373" i="697"/>
  <c r="Y373" i="697" s="1"/>
  <c r="U357" i="697"/>
  <c r="Y357" i="697" s="1"/>
  <c r="U282" i="697"/>
  <c r="Y282" i="697" s="1"/>
  <c r="U170" i="697"/>
  <c r="Y170" i="697" s="1"/>
  <c r="U165" i="697"/>
  <c r="Y165" i="697" s="1"/>
  <c r="U166" i="697"/>
  <c r="Y166" i="697" s="1"/>
  <c r="U167" i="697"/>
  <c r="Y167" i="697" s="1"/>
  <c r="U168" i="697"/>
  <c r="Y168" i="697" s="1"/>
  <c r="U169" i="697"/>
  <c r="Y169" i="697" s="1"/>
  <c r="U333" i="697"/>
  <c r="U374" i="697"/>
  <c r="Y374" i="697" s="1"/>
  <c r="U194" i="697"/>
  <c r="Y194" i="697" s="1"/>
  <c r="U201" i="697"/>
  <c r="Y201" i="697" s="1"/>
  <c r="U173" i="697"/>
  <c r="Y173" i="697" s="1"/>
  <c r="U200" i="697"/>
  <c r="Y200" i="697" s="1"/>
  <c r="U265" i="697"/>
  <c r="Y265" i="697" s="1"/>
  <c r="U266" i="697"/>
  <c r="Y266" i="697" s="1"/>
  <c r="U235" i="697"/>
  <c r="Y235" i="697" s="1"/>
  <c r="U192" i="697"/>
  <c r="Y192" i="697" s="1"/>
  <c r="U193" i="697"/>
  <c r="Y193" i="697" s="1"/>
  <c r="U187" i="697"/>
  <c r="Y187" i="697" s="1"/>
  <c r="U188" i="697"/>
  <c r="Y188" i="697" s="1"/>
  <c r="U189" i="697"/>
  <c r="Y189" i="697" s="1"/>
  <c r="U190" i="697"/>
  <c r="Y190" i="697" s="1"/>
  <c r="U191" i="697"/>
  <c r="Y191" i="697" s="1"/>
  <c r="U195" i="697"/>
  <c r="Y195" i="697" s="1"/>
  <c r="U215" i="697"/>
  <c r="Y215" i="697" s="1"/>
  <c r="U307" i="697"/>
  <c r="Y307" i="697" s="1"/>
  <c r="U179" i="697"/>
  <c r="Y179" i="697" s="1"/>
  <c r="U180" i="697"/>
  <c r="Y180" i="697" s="1"/>
  <c r="U313" i="697"/>
  <c r="Y313" i="697" s="1"/>
  <c r="U267" i="697"/>
  <c r="Y267" i="697" s="1"/>
  <c r="U268" i="697"/>
  <c r="Y268" i="697" s="1"/>
  <c r="U269" i="697"/>
  <c r="Y269" i="697" s="1"/>
  <c r="U222" i="697"/>
  <c r="Y222" i="697" s="1"/>
  <c r="U335" i="697"/>
  <c r="Y335" i="697" s="1"/>
  <c r="U376" i="697"/>
  <c r="Y376" i="697" s="1"/>
  <c r="U204" i="697"/>
  <c r="Y204" i="697" s="1"/>
  <c r="U334" i="697"/>
  <c r="Y334" i="697" s="1"/>
  <c r="U442" i="697"/>
  <c r="Y442" i="697" s="1"/>
  <c r="U202" i="697"/>
  <c r="Y202" i="697" s="1"/>
  <c r="U203" i="697"/>
  <c r="Y203" i="697" s="1"/>
  <c r="U301" i="697"/>
  <c r="Y301" i="697" s="1"/>
  <c r="U375" i="697"/>
  <c r="Y375" i="697" s="1"/>
  <c r="U223" i="697"/>
  <c r="Y223" i="697" s="1"/>
  <c r="U224" i="697"/>
  <c r="Y224" i="697" s="1"/>
  <c r="U225" i="697"/>
  <c r="Y225" i="697" s="1"/>
  <c r="U226" i="697"/>
  <c r="Y226" i="697" s="1"/>
  <c r="U205" i="697"/>
  <c r="Y205" i="697" s="1"/>
  <c r="U303" i="697"/>
  <c r="Y303" i="697" s="1"/>
  <c r="U336" i="697"/>
  <c r="Y336" i="697" s="1"/>
  <c r="U337" i="697"/>
  <c r="Y337" i="697" s="1"/>
  <c r="U308" i="697"/>
  <c r="Y308" i="697" s="1"/>
  <c r="U216" i="697"/>
  <c r="Y216" i="697" s="1"/>
  <c r="U212" i="697"/>
  <c r="Y212" i="697" s="1"/>
  <c r="U338" i="697"/>
  <c r="Y338" i="697" s="1"/>
  <c r="U530" i="697"/>
  <c r="Y530" i="697" s="1"/>
  <c r="U395" i="697"/>
  <c r="Y395" i="697" s="1"/>
  <c r="U217" i="697"/>
  <c r="Y217" i="697" s="1"/>
  <c r="U377" i="697"/>
  <c r="Y377" i="697" s="1"/>
  <c r="U218" i="697"/>
  <c r="Y218" i="697" s="1"/>
  <c r="U227" i="697"/>
  <c r="Y227" i="697" s="1"/>
  <c r="U297" i="697"/>
  <c r="Y297" i="697" s="1"/>
  <c r="U340" i="697"/>
  <c r="Y340" i="697" s="1"/>
  <c r="U339" i="697"/>
  <c r="Y339" i="697" s="1"/>
  <c r="U228" i="697"/>
  <c r="Y228" i="697" s="1"/>
  <c r="U298" i="697"/>
  <c r="Y298" i="697" s="1"/>
  <c r="U504" i="697"/>
  <c r="Y504" i="697" s="1"/>
  <c r="U242" i="697"/>
  <c r="Y242" i="697" s="1"/>
  <c r="U341" i="697"/>
  <c r="Y341" i="697" s="1"/>
  <c r="U314" i="697"/>
  <c r="Y314" i="697" s="1"/>
  <c r="U361" i="697"/>
  <c r="Y361" i="697" s="1"/>
  <c r="U342" i="697"/>
  <c r="Y342" i="697" s="1"/>
  <c r="U283" i="697"/>
  <c r="U531" i="697"/>
  <c r="Y531" i="697" s="1"/>
  <c r="U270" i="697"/>
  <c r="Y270" i="697" s="1"/>
  <c r="U271" i="697"/>
  <c r="Y271" i="697" s="1"/>
  <c r="U343" i="697"/>
  <c r="Y343" i="697" s="1"/>
  <c r="U315" i="697"/>
  <c r="Y315" i="697" s="1"/>
  <c r="U239" i="697"/>
  <c r="Y239" i="697" s="1"/>
  <c r="U344" i="697"/>
  <c r="Y344" i="697" s="1"/>
  <c r="U346" i="697"/>
  <c r="Y346" i="697" s="1"/>
  <c r="U345" i="697"/>
  <c r="Y345" i="697" s="1"/>
  <c r="U411" i="697"/>
  <c r="Y411" i="697" s="1"/>
  <c r="U378" i="697"/>
  <c r="Y378" i="697" s="1"/>
  <c r="U347" i="697"/>
  <c r="Y347" i="697" s="1"/>
  <c r="U379" i="697"/>
  <c r="Y379" i="697" s="1"/>
  <c r="U407" i="697"/>
  <c r="Y407" i="697" s="1"/>
  <c r="U362" i="697"/>
  <c r="Y362" i="697" s="1"/>
  <c r="U363" i="697"/>
  <c r="Y363" i="697" s="1"/>
  <c r="U243" i="697"/>
  <c r="Y243" i="697" s="1"/>
  <c r="U364" i="697"/>
  <c r="Y364" i="697" s="1"/>
  <c r="U406" i="697"/>
  <c r="Y406" i="697" s="1"/>
  <c r="U348" i="697"/>
  <c r="U380" i="697"/>
  <c r="Y380" i="697" s="1"/>
  <c r="U272" i="697"/>
  <c r="Y272" i="697" s="1"/>
  <c r="U246" i="697"/>
  <c r="Y246" i="697" s="1"/>
  <c r="U287" i="697"/>
  <c r="U365" i="697"/>
  <c r="Y365" i="697" s="1"/>
  <c r="U274" i="697"/>
  <c r="Y274" i="697" s="1"/>
  <c r="U247" i="697"/>
  <c r="Y247" i="697" s="1"/>
  <c r="U248" i="697"/>
  <c r="Y248" i="697" s="1"/>
  <c r="U249" i="697"/>
  <c r="Y249" i="697" s="1"/>
  <c r="U250" i="697"/>
  <c r="Y250" i="697" s="1"/>
  <c r="U251" i="697"/>
  <c r="Y251" i="697" s="1"/>
  <c r="U273" i="697"/>
  <c r="Y273" i="697" s="1"/>
  <c r="U291" i="697"/>
  <c r="Y291" i="697" s="1"/>
  <c r="U292" i="697"/>
  <c r="Y292" i="697" s="1"/>
  <c r="U422" i="697"/>
  <c r="Y422" i="697" s="1"/>
  <c r="U388" i="697"/>
  <c r="Y388" i="697" s="1"/>
  <c r="U302" i="697"/>
  <c r="Y302" i="697" s="1"/>
  <c r="U290" i="697"/>
  <c r="Y290" i="697" s="1"/>
  <c r="U316" i="697"/>
  <c r="Y316" i="697" s="1"/>
  <c r="U317" i="697"/>
  <c r="U288" i="697"/>
  <c r="Y288" i="697" s="1"/>
  <c r="U289" i="697"/>
  <c r="Y289" i="697" s="1"/>
  <c r="U293" i="697"/>
  <c r="Y293" i="697" s="1"/>
  <c r="U294" i="697"/>
  <c r="Y294" i="697" s="1"/>
  <c r="U264" i="697"/>
  <c r="Y264" i="697" s="1"/>
  <c r="U389" i="697"/>
  <c r="Y389" i="697" s="1"/>
  <c r="U460" i="697"/>
  <c r="Y460" i="697" s="1"/>
  <c r="U461" i="697"/>
  <c r="Y461" i="697" s="1"/>
  <c r="U462" i="697"/>
  <c r="Y462" i="697" s="1"/>
  <c r="U463" i="697"/>
  <c r="Y463" i="697" s="1"/>
  <c r="U464" i="697"/>
  <c r="Y464" i="697" s="1"/>
  <c r="U505" i="697"/>
  <c r="Y505" i="697" s="1"/>
  <c r="U669" i="697"/>
  <c r="Y669" i="697" s="1"/>
  <c r="U423" i="697"/>
  <c r="Y423" i="697" s="1"/>
  <c r="U396" i="697"/>
  <c r="Y396" i="697" s="1"/>
  <c r="U409" i="697"/>
  <c r="U381" i="697"/>
  <c r="Y381" i="697" s="1"/>
  <c r="U424" i="697"/>
  <c r="Y424" i="697" s="1"/>
  <c r="U382" i="697"/>
  <c r="Y382" i="697" s="1"/>
  <c r="U443" i="697"/>
  <c r="Y443" i="697" s="1"/>
  <c r="U506" i="697"/>
  <c r="Y506" i="697" s="1"/>
  <c r="U507" i="697"/>
  <c r="Y507" i="697" s="1"/>
  <c r="U524" i="697"/>
  <c r="Y524" i="697" s="1"/>
  <c r="U485" i="697"/>
  <c r="Y485" i="697" s="1"/>
  <c r="U296" i="697"/>
  <c r="Y296" i="697" s="1"/>
  <c r="U295" i="697"/>
  <c r="Y295" i="697" s="1"/>
  <c r="U523" i="697"/>
  <c r="Y523" i="697" s="1"/>
  <c r="U425" i="697"/>
  <c r="Y425" i="697" s="1"/>
  <c r="U410" i="697"/>
  <c r="Y410" i="697" s="1"/>
  <c r="U444" i="697"/>
  <c r="Y444" i="697" s="1"/>
  <c r="U352" i="697"/>
  <c r="Y352" i="697" s="1"/>
  <c r="U397" i="697"/>
  <c r="U299" i="697"/>
  <c r="Y299" i="697" s="1"/>
  <c r="U300" i="697"/>
  <c r="Y300" i="697" s="1"/>
  <c r="U383" i="697"/>
  <c r="Y383" i="697" s="1"/>
  <c r="U508" i="697"/>
  <c r="Y508" i="697" s="1"/>
  <c r="U509" i="697"/>
  <c r="Y509" i="697" s="1"/>
  <c r="U510" i="697"/>
  <c r="Y510" i="697" s="1"/>
  <c r="U384" i="697"/>
  <c r="Y384" i="697" s="1"/>
  <c r="U426" i="697"/>
  <c r="Y426" i="697" s="1"/>
  <c r="U532" i="697"/>
  <c r="Y532" i="697" s="1"/>
  <c r="U304" i="697"/>
  <c r="Y304" i="697" s="1"/>
  <c r="U614" i="697"/>
  <c r="Y614" i="697" s="1"/>
  <c r="U360" i="697"/>
  <c r="Y360" i="697" s="1"/>
  <c r="U427" i="697"/>
  <c r="Y427" i="697" s="1"/>
  <c r="U428" i="697"/>
  <c r="Y428" i="697" s="1"/>
  <c r="U309" i="697"/>
  <c r="Y309" i="697" s="1"/>
  <c r="U465" i="697"/>
  <c r="Y465" i="697" s="1"/>
  <c r="U466" i="697"/>
  <c r="Y466" i="697" s="1"/>
  <c r="U311" i="697"/>
  <c r="Y311" i="697" s="1"/>
  <c r="U543" i="697"/>
  <c r="Y543" i="697" s="1"/>
  <c r="U544" i="697"/>
  <c r="Y544" i="697" s="1"/>
  <c r="U310" i="697"/>
  <c r="Y310" i="697" s="1"/>
  <c r="U445" i="697"/>
  <c r="Y445" i="697" s="1"/>
  <c r="U413" i="697"/>
  <c r="Y413" i="697" s="1"/>
  <c r="U450" i="697"/>
  <c r="Y450" i="697" s="1"/>
  <c r="U487" i="697"/>
  <c r="Y487" i="697" s="1"/>
  <c r="U318" i="697"/>
  <c r="Y318" i="697" s="1"/>
  <c r="U319" i="697"/>
  <c r="Y319" i="697" s="1"/>
  <c r="U518" i="697"/>
  <c r="Y518" i="697" s="1"/>
  <c r="U519" i="697"/>
  <c r="Y519" i="697" s="1"/>
  <c r="U451" i="697"/>
  <c r="Y451" i="697" s="1"/>
  <c r="U452" i="697"/>
  <c r="Y452" i="697" s="1"/>
  <c r="U429" i="697"/>
  <c r="U467" i="697"/>
  <c r="Y467" i="697" s="1"/>
  <c r="U468" i="697"/>
  <c r="Y468" i="697" s="1"/>
  <c r="U390" i="697"/>
  <c r="Y390" i="697" s="1"/>
  <c r="U326" i="697"/>
  <c r="Y326" i="697" s="1"/>
  <c r="U321" i="697"/>
  <c r="Y321" i="697" s="1"/>
  <c r="U322" i="697"/>
  <c r="Y322" i="697" s="1"/>
  <c r="U323" i="697"/>
  <c r="Y323" i="697" s="1"/>
  <c r="U324" i="697"/>
  <c r="Y324" i="697" s="1"/>
  <c r="U325" i="697"/>
  <c r="Y325" i="697" s="1"/>
  <c r="U391" i="697"/>
  <c r="Y391" i="697" s="1"/>
  <c r="U355" i="697"/>
  <c r="Y355" i="697" s="1"/>
  <c r="U386" i="697"/>
  <c r="Y386" i="697" s="1"/>
  <c r="U670" i="697"/>
  <c r="Y670" i="697" s="1"/>
  <c r="U327" i="697"/>
  <c r="Y327" i="697" s="1"/>
  <c r="U328" i="697"/>
  <c r="Y328" i="697" s="1"/>
  <c r="U385" i="697"/>
  <c r="U400" i="697"/>
  <c r="Y400" i="697" s="1"/>
  <c r="U401" i="697"/>
  <c r="Y401" i="697" s="1"/>
  <c r="U329" i="697"/>
  <c r="Y329" i="697" s="1"/>
  <c r="U353" i="697"/>
  <c r="Y353" i="697" s="1"/>
  <c r="U354" i="697"/>
  <c r="Y354" i="697" s="1"/>
  <c r="U469" i="697"/>
  <c r="Y469" i="697" s="1"/>
  <c r="U358" i="697"/>
  <c r="Y358" i="697" s="1"/>
  <c r="U520" i="697"/>
  <c r="Y520" i="697" s="1"/>
  <c r="U430" i="697"/>
  <c r="Y430" i="697" s="1"/>
  <c r="U367" i="697"/>
  <c r="U453" i="697"/>
  <c r="Y453" i="697" s="1"/>
  <c r="U623" i="697"/>
  <c r="Y623" i="697" s="1"/>
  <c r="U546" i="697"/>
  <c r="Y546" i="697" s="1"/>
  <c r="U624" i="697"/>
  <c r="Y624" i="697" s="1"/>
  <c r="U625" i="697"/>
  <c r="Y625" i="697" s="1"/>
  <c r="U431" i="697"/>
  <c r="U350" i="697"/>
  <c r="Y350" i="697" s="1"/>
  <c r="U446" i="697"/>
  <c r="Y446" i="697" s="1"/>
  <c r="U414" i="697"/>
  <c r="Y414" i="697" s="1"/>
  <c r="U432" i="697"/>
  <c r="Y432" i="697" s="1"/>
  <c r="U454" i="697"/>
  <c r="Y454" i="697" s="1"/>
  <c r="U351" i="697"/>
  <c r="Y351" i="697" s="1"/>
  <c r="U455" i="697"/>
  <c r="Y455" i="697" s="1"/>
  <c r="U488" i="697"/>
  <c r="Y488" i="697" s="1"/>
  <c r="U502" i="697"/>
  <c r="Y502" i="697" s="1"/>
  <c r="U370" i="697"/>
  <c r="Y370" i="697" s="1"/>
  <c r="U369" i="697"/>
  <c r="Y369" i="697" s="1"/>
  <c r="U470" i="697"/>
  <c r="Y470" i="697" s="1"/>
  <c r="U402" i="697"/>
  <c r="Y402" i="697" s="1"/>
  <c r="U356" i="697"/>
  <c r="Y356" i="697" s="1"/>
  <c r="U371" i="697"/>
  <c r="Y371" i="697" s="1"/>
  <c r="U489" i="697"/>
  <c r="U626" i="697"/>
  <c r="Y626" i="697" s="1"/>
  <c r="U627" i="697"/>
  <c r="Y627" i="697" s="1"/>
  <c r="U490" i="697"/>
  <c r="Y490" i="697" s="1"/>
  <c r="U359" i="697"/>
  <c r="Y359" i="697" s="1"/>
  <c r="U471" i="697"/>
  <c r="Y471" i="697" s="1"/>
  <c r="U368" i="697"/>
  <c r="Y368" i="697" s="1"/>
  <c r="U525" i="697"/>
  <c r="Y525" i="697" s="1"/>
  <c r="U472" i="697"/>
  <c r="Y472" i="697" s="1"/>
  <c r="U366" i="697"/>
  <c r="Y366" i="697" s="1"/>
  <c r="U491" i="697"/>
  <c r="Y491" i="697" s="1"/>
  <c r="U492" i="697"/>
  <c r="Y492" i="697" s="1"/>
  <c r="U433" i="697"/>
  <c r="Y433" i="697" s="1"/>
  <c r="U473" i="697"/>
  <c r="Y473" i="697" s="1"/>
  <c r="U493" i="697"/>
  <c r="Y493" i="697" s="1"/>
  <c r="U372" i="697"/>
  <c r="Y372" i="697" s="1"/>
  <c r="U526" i="697"/>
  <c r="U387" i="697"/>
  <c r="Y387" i="697" s="1"/>
  <c r="U474" i="697"/>
  <c r="Y474" i="697" s="1"/>
  <c r="U475" i="697"/>
  <c r="Y475" i="697" s="1"/>
  <c r="U476" i="697"/>
  <c r="Y476" i="697" s="1"/>
  <c r="U477" i="697"/>
  <c r="Y477" i="697" s="1"/>
  <c r="U398" i="697"/>
  <c r="Y398" i="697" s="1"/>
  <c r="U434" i="697"/>
  <c r="Y434" i="697" s="1"/>
  <c r="U628" i="697"/>
  <c r="Y628" i="697" s="1"/>
  <c r="U527" i="697"/>
  <c r="U545" i="697"/>
  <c r="Y545" i="697" s="1"/>
  <c r="U392" i="697"/>
  <c r="Y392" i="697" s="1"/>
  <c r="U435" i="697"/>
  <c r="Y435" i="697" s="1"/>
  <c r="U436" i="697"/>
  <c r="Y436" i="697" s="1"/>
  <c r="U393" i="697"/>
  <c r="Y393" i="697" s="1"/>
  <c r="U404" i="697"/>
  <c r="Y404" i="697" s="1"/>
  <c r="U403" i="697"/>
  <c r="Y403" i="697" s="1"/>
  <c r="U511" i="697"/>
  <c r="Y511" i="697" s="1"/>
  <c r="U512" i="697"/>
  <c r="Y512" i="697" s="1"/>
  <c r="U513" i="697"/>
  <c r="Y513" i="697" s="1"/>
  <c r="U514" i="697"/>
  <c r="Y514" i="697" s="1"/>
  <c r="U671" i="697"/>
  <c r="Y671" i="697" s="1"/>
  <c r="U478" i="697"/>
  <c r="Y478" i="697" s="1"/>
  <c r="U494" i="697"/>
  <c r="Y494" i="697" s="1"/>
  <c r="U629" i="697"/>
  <c r="Y629" i="697" s="1"/>
  <c r="U584" i="697"/>
  <c r="Y584" i="697" s="1"/>
  <c r="U405" i="697"/>
  <c r="Y405" i="697" s="1"/>
  <c r="U538" i="697"/>
  <c r="Y538" i="697" s="1"/>
  <c r="U539" i="697"/>
  <c r="Y539" i="697" s="1"/>
  <c r="U528" i="697"/>
  <c r="Y528" i="697" s="1"/>
  <c r="U554" i="697"/>
  <c r="Y554" i="697" s="1"/>
  <c r="U555" i="697"/>
  <c r="Y555" i="697" s="1"/>
  <c r="U412" i="697"/>
  <c r="Y412" i="697" s="1"/>
  <c r="U637" i="697"/>
  <c r="U415" i="697"/>
  <c r="Y415" i="697" s="1"/>
  <c r="U479" i="697"/>
  <c r="Y479" i="697" s="1"/>
  <c r="U480" i="697"/>
  <c r="Y480" i="697" s="1"/>
  <c r="U615" i="697"/>
  <c r="Y615" i="697" s="1"/>
  <c r="U592" i="697"/>
  <c r="Y592" i="697" s="1"/>
  <c r="U441" i="697"/>
  <c r="Y441" i="697" s="1"/>
  <c r="U662" i="697"/>
  <c r="Y662" i="697" s="1"/>
  <c r="U449" i="697"/>
  <c r="Y449" i="697" s="1"/>
  <c r="U416" i="697"/>
  <c r="Y416" i="697" s="1"/>
  <c r="U417" i="697"/>
  <c r="Y417" i="697" s="1"/>
  <c r="U418" i="697"/>
  <c r="Y418" i="697" s="1"/>
  <c r="U419" i="697"/>
  <c r="Y419" i="697" s="1"/>
  <c r="U420" i="697"/>
  <c r="Y420" i="697" s="1"/>
  <c r="U421" i="697"/>
  <c r="Y421" i="697" s="1"/>
  <c r="U486" i="697"/>
  <c r="Y486" i="697" s="1"/>
  <c r="U498" i="697"/>
  <c r="Y498" i="697" s="1"/>
  <c r="U499" i="697"/>
  <c r="Y499" i="697" s="1"/>
  <c r="U447" i="697"/>
  <c r="Y447" i="697" s="1"/>
  <c r="U448" i="697"/>
  <c r="Y448" i="697" s="1"/>
  <c r="U457" i="697"/>
  <c r="Y457" i="697" s="1"/>
  <c r="U481" i="697"/>
  <c r="Y481" i="697" s="1"/>
  <c r="U515" i="697"/>
  <c r="Y515" i="697" s="1"/>
  <c r="U673" i="697"/>
  <c r="Y673" i="697" s="1"/>
  <c r="U439" i="697"/>
  <c r="Y439" i="697" s="1"/>
  <c r="U672" i="697"/>
  <c r="Y672" i="697" s="1"/>
  <c r="U616" i="697"/>
  <c r="Y616" i="697" s="1"/>
  <c r="U617" i="697"/>
  <c r="Y617" i="697" s="1"/>
  <c r="U529" i="697"/>
  <c r="Y529" i="697" s="1"/>
  <c r="U437" i="697"/>
  <c r="Y437" i="697" s="1"/>
  <c r="U438" i="697"/>
  <c r="Y438" i="697" s="1"/>
  <c r="U547" i="697"/>
  <c r="Y547" i="697" s="1"/>
  <c r="U548" i="697"/>
  <c r="U714" i="697"/>
  <c r="Y714" i="697" s="1"/>
  <c r="U674" i="697"/>
  <c r="Y674" i="697" s="1"/>
  <c r="U440" i="697"/>
  <c r="Y440" i="697" s="1"/>
  <c r="U500" i="697"/>
  <c r="Y500" i="697" s="1"/>
  <c r="U715" i="697"/>
  <c r="Y715" i="697" s="1"/>
  <c r="U716" i="697"/>
  <c r="Y716" i="697" s="1"/>
  <c r="U657" i="697"/>
  <c r="Y657" i="697" s="1"/>
  <c r="U638" i="697"/>
  <c r="U456" i="697"/>
  <c r="Y456" i="697" s="1"/>
  <c r="U639" i="697"/>
  <c r="Y639" i="697" s="1"/>
  <c r="U593" i="697"/>
  <c r="Y593" i="697" s="1"/>
  <c r="U675" i="697"/>
  <c r="Y675" i="697" s="1"/>
  <c r="U556" i="697"/>
  <c r="Y556" i="697" s="1"/>
  <c r="U594" i="697"/>
  <c r="Y594" i="697" s="1"/>
  <c r="U459" i="697"/>
  <c r="Y459" i="697" s="1"/>
  <c r="U458" i="697"/>
  <c r="U645" i="697"/>
  <c r="Y645" i="697" s="1"/>
  <c r="U482" i="697"/>
  <c r="Y482" i="697" s="1"/>
  <c r="U676" i="697"/>
  <c r="Y676" i="697" s="1"/>
  <c r="U677" i="697"/>
  <c r="U483" i="697"/>
  <c r="Y483" i="697" s="1"/>
  <c r="U663" i="697"/>
  <c r="Y663" i="697" s="1"/>
  <c r="U678" i="697"/>
  <c r="Y678" i="697" s="1"/>
  <c r="U557" i="697"/>
  <c r="Y557" i="697" s="1"/>
  <c r="U558" i="697"/>
  <c r="Y558" i="697" s="1"/>
  <c r="U559" i="697"/>
  <c r="Y559" i="697" s="1"/>
  <c r="U560" i="697"/>
  <c r="Y560" i="697" s="1"/>
  <c r="U679" i="697"/>
  <c r="Y679" i="697" s="1"/>
  <c r="U595" i="697"/>
  <c r="Y595" i="697" s="1"/>
  <c r="U484" i="697"/>
  <c r="Y484" i="697" s="1"/>
  <c r="U495" i="697"/>
  <c r="Y495" i="697" s="1"/>
  <c r="U561" i="697"/>
  <c r="U562" i="697"/>
  <c r="Y562" i="697" s="1"/>
  <c r="U563" i="697"/>
  <c r="Y563" i="697" s="1"/>
  <c r="U564" i="697"/>
  <c r="Y564" i="697" s="1"/>
  <c r="U731" i="697"/>
  <c r="Y731" i="697" s="1"/>
  <c r="U658" i="697"/>
  <c r="Y658" i="697" s="1"/>
  <c r="U590" i="697"/>
  <c r="Y590" i="697" s="1"/>
  <c r="U497" i="697"/>
  <c r="Y497" i="697" s="1"/>
  <c r="U496" i="697"/>
  <c r="Y496" i="697" s="1"/>
  <c r="U516" i="697"/>
  <c r="Y516" i="697" s="1"/>
  <c r="U517" i="697"/>
  <c r="Y517" i="697" s="1"/>
  <c r="U618" i="697"/>
  <c r="Y618" i="697" s="1"/>
  <c r="U619" i="697"/>
  <c r="Y619" i="697" s="1"/>
  <c r="U680" i="697"/>
  <c r="Y680" i="697" s="1"/>
  <c r="U501" i="697"/>
  <c r="Y501" i="697" s="1"/>
  <c r="U503" i="697"/>
  <c r="Y503" i="697" s="1"/>
  <c r="U620" i="697"/>
  <c r="Y620" i="697" s="1"/>
  <c r="U596" i="697"/>
  <c r="Y596" i="697" s="1"/>
  <c r="U701" i="697"/>
  <c r="Y701" i="697" s="1"/>
  <c r="U664" i="697"/>
  <c r="Y664" i="697" s="1"/>
  <c r="U659" i="697"/>
  <c r="Y659" i="697" s="1"/>
  <c r="U681" i="697"/>
  <c r="Y681" i="697" s="1"/>
  <c r="U565" i="697"/>
  <c r="Y565" i="697" s="1"/>
  <c r="U566" i="697"/>
  <c r="Y566" i="697" s="1"/>
  <c r="U567" i="697"/>
  <c r="Y567" i="697" s="1"/>
  <c r="U568" i="697"/>
  <c r="Y568" i="697" s="1"/>
  <c r="U621" i="697"/>
  <c r="Y621" i="697" s="1"/>
  <c r="U702" i="697"/>
  <c r="Y702" i="697" s="1"/>
  <c r="U732" i="697"/>
  <c r="Y732" i="697" s="1"/>
  <c r="U751" i="697"/>
  <c r="Y751" i="697" s="1"/>
  <c r="U717" i="697"/>
  <c r="Y717" i="697" s="1"/>
  <c r="U646" i="697"/>
  <c r="Y646" i="697" s="1"/>
  <c r="U521" i="697"/>
  <c r="Y521" i="697" s="1"/>
  <c r="U682" i="697"/>
  <c r="Y682" i="697" s="1"/>
  <c r="U522" i="697"/>
  <c r="Y522" i="697" s="1"/>
  <c r="U533" i="697"/>
  <c r="Y533" i="697" s="1"/>
  <c r="U551" i="697"/>
  <c r="Y551" i="697" s="1"/>
  <c r="U577" i="697"/>
  <c r="Y577" i="697" s="1"/>
  <c r="U610" i="697"/>
  <c r="Y610" i="697" s="1"/>
  <c r="U752" i="697"/>
  <c r="Y752" i="697" s="1"/>
  <c r="U534" i="697"/>
  <c r="Y534" i="697" s="1"/>
  <c r="U581" i="697"/>
  <c r="Y581" i="697" s="1"/>
  <c r="U587" i="697"/>
  <c r="Y587" i="697" s="1"/>
  <c r="U588" i="697"/>
  <c r="Y588" i="697" s="1"/>
  <c r="U660" i="697"/>
  <c r="Y660" i="697" s="1"/>
  <c r="U718" i="697"/>
  <c r="Y718" i="697" s="1"/>
  <c r="U549" i="697"/>
  <c r="Y549" i="697" s="1"/>
  <c r="U550" i="697"/>
  <c r="Y550" i="697" s="1"/>
  <c r="U552" i="697"/>
  <c r="Y552" i="697" s="1"/>
  <c r="U753" i="697"/>
  <c r="Y753" i="697" s="1"/>
  <c r="U782" i="697"/>
  <c r="Y782" i="697" s="1"/>
  <c r="U536" i="697"/>
  <c r="Y536" i="697" s="1"/>
  <c r="U683" i="697"/>
  <c r="Y683" i="697" s="1"/>
  <c r="U866" i="697"/>
  <c r="Y866" i="697" s="1"/>
  <c r="U578" i="697"/>
  <c r="Y578" i="697" s="1"/>
  <c r="U535" i="697"/>
  <c r="Y535" i="697" s="1"/>
  <c r="U684" i="697"/>
  <c r="Y684" i="697" s="1"/>
  <c r="U754" i="697"/>
  <c r="Y754" i="697" s="1"/>
  <c r="U537" i="697"/>
  <c r="Y537" i="697" s="1"/>
  <c r="U540" i="697"/>
  <c r="Y540" i="697" s="1"/>
  <c r="U755" i="697"/>
  <c r="Y755" i="697" s="1"/>
  <c r="U685" i="697"/>
  <c r="Y685" i="697" s="1"/>
  <c r="U686" i="697"/>
  <c r="Y686" i="697" s="1"/>
  <c r="U705" i="697"/>
  <c r="Y705" i="697" s="1"/>
  <c r="U541" i="697"/>
  <c r="Y541" i="697" s="1"/>
  <c r="U542" i="697"/>
  <c r="Y542" i="697" s="1"/>
  <c r="U687" i="697"/>
  <c r="Y687" i="697" s="1"/>
  <c r="U733" i="697"/>
  <c r="Y733" i="697" s="1"/>
  <c r="U836" i="697"/>
  <c r="Y836" i="697" s="1"/>
  <c r="U756" i="697"/>
  <c r="Y756" i="697" s="1"/>
  <c r="U569" i="697"/>
  <c r="Y569" i="697" s="1"/>
  <c r="U706" i="697"/>
  <c r="Y706" i="697" s="1"/>
  <c r="U707" i="697"/>
  <c r="Y707" i="697" s="1"/>
  <c r="U734" i="697"/>
  <c r="Y734" i="697" s="1"/>
  <c r="U735" i="697"/>
  <c r="Y735" i="697" s="1"/>
  <c r="U580" i="697"/>
  <c r="Y580" i="697" s="1"/>
  <c r="U585" i="697"/>
  <c r="Y585" i="697" s="1"/>
  <c r="U630" i="697"/>
  <c r="Y630" i="697" s="1"/>
  <c r="U553" i="697"/>
  <c r="Y553" i="697" s="1"/>
  <c r="U749" i="697"/>
  <c r="Y749" i="697" s="1"/>
  <c r="U688" i="697"/>
  <c r="Y688" i="697" s="1"/>
  <c r="U837" i="697"/>
  <c r="Y837" i="697" s="1"/>
  <c r="U634" i="697"/>
  <c r="Y634" i="697" s="1"/>
  <c r="U757" i="697"/>
  <c r="Y757" i="697" s="1"/>
  <c r="U783" i="697"/>
  <c r="Y783" i="697" s="1"/>
  <c r="U689" i="697"/>
  <c r="Y689" i="697" s="1"/>
  <c r="U576" i="697"/>
  <c r="Y576" i="697" s="1"/>
  <c r="U758" i="697"/>
  <c r="Y758" i="697" s="1"/>
  <c r="U759" i="697"/>
  <c r="Y759" i="697" s="1"/>
  <c r="U760" i="697"/>
  <c r="Y760" i="697" s="1"/>
  <c r="U690" i="697"/>
  <c r="Y690" i="697" s="1"/>
  <c r="U579" i="697"/>
  <c r="Y579" i="697" s="1"/>
  <c r="U784" i="697"/>
  <c r="Y784" i="697" s="1"/>
  <c r="U838" i="697"/>
  <c r="Y838" i="697" s="1"/>
  <c r="U761" i="697"/>
  <c r="Y761" i="697" s="1"/>
  <c r="U811" i="697"/>
  <c r="Y811" i="697" s="1"/>
  <c r="U691" i="697"/>
  <c r="Y691" i="697" s="1"/>
  <c r="U815" i="697"/>
  <c r="Y815" i="697" s="1"/>
  <c r="U889" i="697"/>
  <c r="Y889" i="697" s="1"/>
  <c r="U582" i="697"/>
  <c r="Y582" i="697" s="1"/>
  <c r="U665" i="697"/>
  <c r="Y665" i="697" s="1"/>
  <c r="U583" i="697"/>
  <c r="Y583" i="697" s="1"/>
  <c r="U586" i="697"/>
  <c r="Y586" i="697" s="1"/>
  <c r="U692" i="697"/>
  <c r="Y692" i="697" s="1"/>
  <c r="U719" i="697"/>
  <c r="Y719" i="697" s="1"/>
  <c r="U661" i="697"/>
  <c r="Y661" i="697" s="1"/>
  <c r="U762" i="697"/>
  <c r="Y762" i="697" s="1"/>
  <c r="U763" i="697"/>
  <c r="Y763" i="697" s="1"/>
  <c r="U611" i="697"/>
  <c r="Y611" i="697" s="1"/>
  <c r="U816" i="697"/>
  <c r="Y816" i="697" s="1"/>
  <c r="U720" i="697"/>
  <c r="Y720" i="697" s="1"/>
  <c r="U693" i="697"/>
  <c r="Y693" i="697" s="1"/>
  <c r="U589" i="697"/>
  <c r="Y589" i="697" s="1"/>
  <c r="U839" i="697"/>
  <c r="Y839" i="697" s="1"/>
  <c r="U591" i="697"/>
  <c r="Y591" i="697" s="1"/>
  <c r="U721" i="697"/>
  <c r="Y721" i="697" s="1"/>
  <c r="U597" i="697"/>
  <c r="Y597" i="697" s="1"/>
  <c r="U598" i="697"/>
  <c r="Y598" i="697" s="1"/>
  <c r="U764" i="697"/>
  <c r="Y764" i="697" s="1"/>
  <c r="U694" i="697"/>
  <c r="Y694" i="697" s="1"/>
  <c r="U840" i="697"/>
  <c r="Y840" i="697" s="1"/>
  <c r="U793" i="697"/>
  <c r="Y793" i="697" s="1"/>
  <c r="U765" i="697"/>
  <c r="Y765" i="697" s="1"/>
  <c r="U601" i="697"/>
  <c r="Y601" i="697" s="1"/>
  <c r="U695" i="697"/>
  <c r="Y695" i="697" s="1"/>
  <c r="U599" i="697"/>
  <c r="Y599" i="697" s="1"/>
  <c r="U600" i="697"/>
  <c r="Y600" i="697" s="1"/>
  <c r="U812" i="697"/>
  <c r="Y812" i="697" s="1"/>
  <c r="U785" i="697"/>
  <c r="Y785" i="697" s="1"/>
  <c r="U722" i="697"/>
  <c r="Y722" i="697" s="1"/>
  <c r="U602" i="697"/>
  <c r="Y602" i="697" s="1"/>
  <c r="U603" i="697"/>
  <c r="Y603" i="697" s="1"/>
  <c r="U604" i="697"/>
  <c r="Y604" i="697" s="1"/>
  <c r="U605" i="697"/>
  <c r="Y605" i="697" s="1"/>
  <c r="U606" i="697"/>
  <c r="Y606" i="697" s="1"/>
  <c r="U607" i="697"/>
  <c r="Y607" i="697" s="1"/>
  <c r="U608" i="697"/>
  <c r="Y608" i="697" s="1"/>
  <c r="U609" i="697"/>
  <c r="Y609" i="697" s="1"/>
  <c r="U742" i="697"/>
  <c r="Y742" i="697" s="1"/>
  <c r="U738" i="697"/>
  <c r="Y738" i="697" s="1"/>
  <c r="U739" i="697"/>
  <c r="Y739" i="697" s="1"/>
  <c r="U740" i="697"/>
  <c r="Y740" i="697" s="1"/>
  <c r="U741" i="697"/>
  <c r="Y741" i="697" s="1"/>
  <c r="U766" i="697"/>
  <c r="Y766" i="697" s="1"/>
  <c r="U923" i="697"/>
  <c r="Y923" i="697" s="1"/>
  <c r="U902" i="697"/>
  <c r="Y902" i="697" s="1"/>
  <c r="U654" i="697"/>
  <c r="Y654" i="697" s="1"/>
  <c r="U723" i="697"/>
  <c r="Y723" i="697" s="1"/>
  <c r="U650" i="697"/>
  <c r="Y650" i="697" s="1"/>
  <c r="U854" i="697"/>
  <c r="Y854" i="697" s="1"/>
  <c r="U649" i="697"/>
  <c r="U696" i="697"/>
  <c r="Y696" i="697" s="1"/>
  <c r="U697" i="697"/>
  <c r="Y697" i="697" s="1"/>
  <c r="U647" i="697"/>
  <c r="Y647" i="697" s="1"/>
  <c r="U648" i="697"/>
  <c r="Y648" i="697" s="1"/>
  <c r="U698" i="697"/>
  <c r="Y698" i="697" s="1"/>
  <c r="U612" i="697"/>
  <c r="Y612" i="697" s="1"/>
  <c r="U613" i="697"/>
  <c r="Y613" i="697" s="1"/>
  <c r="U651" i="697"/>
  <c r="Y651" i="697" s="1"/>
  <c r="U767" i="697"/>
  <c r="Y767" i="697" s="1"/>
  <c r="U769" i="697"/>
  <c r="Y769" i="697" s="1"/>
  <c r="U631" i="697"/>
  <c r="Y631" i="697" s="1"/>
  <c r="U743" i="697"/>
  <c r="Y743" i="697" s="1"/>
  <c r="U622" i="697"/>
  <c r="Y622" i="697" s="1"/>
  <c r="U841" i="697"/>
  <c r="Y841" i="697" s="1"/>
  <c r="U768" i="697"/>
  <c r="Y768" i="697" s="1"/>
  <c r="U632" i="697"/>
  <c r="Y632" i="697" s="1"/>
  <c r="U633" i="697"/>
  <c r="Y633" i="697" s="1"/>
  <c r="U770" i="697"/>
  <c r="Y770" i="697" s="1"/>
  <c r="U640" i="697"/>
  <c r="Y640" i="697" s="1"/>
  <c r="U744" i="697"/>
  <c r="Y744" i="697" s="1"/>
  <c r="U890" i="697"/>
  <c r="Y890" i="697" s="1"/>
  <c r="U867" i="697"/>
  <c r="Y867" i="697" s="1"/>
  <c r="U855" i="697"/>
  <c r="Y855" i="697" s="1"/>
  <c r="U635" i="697"/>
  <c r="Y635" i="697" s="1"/>
  <c r="U891" i="697"/>
  <c r="Y891" i="697" s="1"/>
  <c r="U699" i="697"/>
  <c r="Y699" i="697" s="1"/>
  <c r="U903" i="697"/>
  <c r="Y903" i="697" s="1"/>
  <c r="U773" i="697"/>
  <c r="Y773" i="697" s="1"/>
  <c r="U636" i="697"/>
  <c r="Y636" i="697" s="1"/>
  <c r="U641" i="697"/>
  <c r="Y641" i="697" s="1"/>
  <c r="U652" i="697"/>
  <c r="U642" i="697"/>
  <c r="Y642" i="697" s="1"/>
  <c r="U643" i="697"/>
  <c r="Y643" i="697" s="1"/>
  <c r="U868" i="697"/>
  <c r="Y868" i="697" s="1"/>
  <c r="U892" i="697"/>
  <c r="Y892" i="697" s="1"/>
  <c r="U856" i="697"/>
  <c r="Y856" i="697" s="1"/>
  <c r="U842" i="697"/>
  <c r="Y842" i="697" s="1"/>
  <c r="U893" i="697"/>
  <c r="Y893" i="697" s="1"/>
  <c r="U843" i="697"/>
  <c r="Y843" i="697" s="1"/>
  <c r="U644" i="697"/>
  <c r="Y644" i="697" s="1"/>
  <c r="U799" i="697"/>
  <c r="Y799" i="697" s="1"/>
  <c r="U844" i="697"/>
  <c r="Y844" i="697" s="1"/>
  <c r="U857" i="697"/>
  <c r="Y857" i="697" s="1"/>
  <c r="U653" i="697"/>
  <c r="Y653" i="697" s="1"/>
  <c r="U655" i="697"/>
  <c r="Y655" i="697" s="1"/>
  <c r="U858" i="697"/>
  <c r="Y858" i="697" s="1"/>
  <c r="U656" i="697"/>
  <c r="Y656" i="697" s="1"/>
  <c r="U745" i="697"/>
  <c r="Y745" i="697" s="1"/>
  <c r="U746" i="697"/>
  <c r="Y746" i="697" s="1"/>
  <c r="U666" i="697"/>
  <c r="Y666" i="697" s="1"/>
  <c r="U859" i="697"/>
  <c r="Y859" i="697" s="1"/>
  <c r="U747" i="697"/>
  <c r="Y747" i="697" s="1"/>
  <c r="U924" i="697"/>
  <c r="Y924" i="697" s="1"/>
  <c r="U925" i="697"/>
  <c r="Y925" i="697" s="1"/>
  <c r="U926" i="697"/>
  <c r="Y926" i="697" s="1"/>
  <c r="U869" i="697"/>
  <c r="Y869" i="697" s="1"/>
  <c r="U667" i="697"/>
  <c r="Y667" i="697" s="1"/>
  <c r="U750" i="697"/>
  <c r="Y750" i="697" s="1"/>
  <c r="U668" i="697"/>
  <c r="Y668" i="697" s="1"/>
  <c r="U845" i="697"/>
  <c r="Y845" i="697" s="1"/>
  <c r="U1029" i="697"/>
  <c r="Y1029" i="697" s="1"/>
  <c r="U700" i="697"/>
  <c r="Y700" i="697" s="1"/>
  <c r="U703" i="697"/>
  <c r="Y703" i="697" s="1"/>
  <c r="U704" i="697"/>
  <c r="Y704" i="697" s="1"/>
  <c r="U927" i="697"/>
  <c r="Y927" i="697" s="1"/>
  <c r="U928" i="697"/>
  <c r="Y928" i="697" s="1"/>
  <c r="U879" i="697"/>
  <c r="Y879" i="697" s="1"/>
  <c r="U846" i="697"/>
  <c r="Y846" i="697" s="1"/>
  <c r="U929" i="697"/>
  <c r="Y929" i="697" s="1"/>
  <c r="U861" i="697"/>
  <c r="Y861" i="697" s="1"/>
  <c r="U794" i="697"/>
  <c r="Y794" i="697" s="1"/>
  <c r="U860" i="697"/>
  <c r="Y860" i="697" s="1"/>
  <c r="U930" i="697"/>
  <c r="Y930" i="697" s="1"/>
  <c r="U894" i="697"/>
  <c r="Y894" i="697" s="1"/>
  <c r="U870" i="697"/>
  <c r="Y870" i="697" s="1"/>
  <c r="U862" i="697"/>
  <c r="Y862" i="697" s="1"/>
  <c r="U931" i="697"/>
  <c r="Y931" i="697" s="1"/>
  <c r="U932" i="697"/>
  <c r="Y932" i="697" s="1"/>
  <c r="U933" i="697"/>
  <c r="Y933" i="697" s="1"/>
  <c r="U708" i="697"/>
  <c r="Y708" i="697" s="1"/>
  <c r="U709" i="697"/>
  <c r="Y709" i="697" s="1"/>
  <c r="U710" i="697"/>
  <c r="Y710" i="697" s="1"/>
  <c r="U711" i="697"/>
  <c r="Y711" i="697" s="1"/>
  <c r="U712" i="697"/>
  <c r="Y712" i="697" s="1"/>
  <c r="U713" i="697"/>
  <c r="Y713" i="697" s="1"/>
  <c r="U787" i="697"/>
  <c r="Y787" i="697" s="1"/>
  <c r="U788" i="697"/>
  <c r="Y788" i="697" s="1"/>
  <c r="U952" i="697"/>
  <c r="Y952" i="697" s="1"/>
  <c r="U786" i="697"/>
  <c r="Y786" i="697" s="1"/>
  <c r="U809" i="697"/>
  <c r="Y809" i="697" s="1"/>
  <c r="U810" i="697"/>
  <c r="Y810" i="697" s="1"/>
  <c r="U736" i="697"/>
  <c r="Y736" i="697" s="1"/>
  <c r="U748" i="697"/>
  <c r="Y748" i="697" s="1"/>
  <c r="U774" i="697"/>
  <c r="Y774" i="697" s="1"/>
  <c r="U775" i="697"/>
  <c r="Y775" i="697" s="1"/>
  <c r="U776" i="697"/>
  <c r="Y776" i="697" s="1"/>
  <c r="U789" i="697"/>
  <c r="Y789" i="697" s="1"/>
  <c r="U934" i="697"/>
  <c r="Y934" i="697" s="1"/>
  <c r="U724" i="697"/>
  <c r="Y724" i="697" s="1"/>
  <c r="U725" i="697"/>
  <c r="Y725" i="697" s="1"/>
  <c r="U726" i="697"/>
  <c r="Y726" i="697" s="1"/>
  <c r="U727" i="697"/>
  <c r="Y727" i="697" s="1"/>
  <c r="U790" i="697"/>
  <c r="Y790" i="697" s="1"/>
  <c r="U1021" i="697"/>
  <c r="Y1021" i="697" s="1"/>
  <c r="U728" i="697"/>
  <c r="Y728" i="697" s="1"/>
  <c r="U729" i="697"/>
  <c r="Y729" i="697" s="1"/>
  <c r="U730" i="697"/>
  <c r="Y730" i="697" s="1"/>
  <c r="U953" i="697"/>
  <c r="Y953" i="697" s="1"/>
  <c r="U871" i="697"/>
  <c r="Y871" i="697" s="1"/>
  <c r="U817" i="697"/>
  <c r="Y817" i="697" s="1"/>
  <c r="U737" i="697"/>
  <c r="Y737" i="697" s="1"/>
  <c r="U1084" i="697"/>
  <c r="Y1084" i="697" s="1"/>
  <c r="U880" i="697"/>
  <c r="Y880" i="697" s="1"/>
  <c r="U863" i="697"/>
  <c r="Y863" i="697" s="1"/>
  <c r="U570" i="697"/>
  <c r="Y570" i="697" s="1"/>
  <c r="U571" i="697"/>
  <c r="Y571" i="697" s="1"/>
  <c r="U572" i="697"/>
  <c r="Y572" i="697" s="1"/>
  <c r="U573" i="697"/>
  <c r="Y573" i="697" s="1"/>
  <c r="U574" i="697"/>
  <c r="Y574" i="697" s="1"/>
  <c r="U575" i="697"/>
  <c r="Y575" i="697" s="1"/>
  <c r="U771" i="697"/>
  <c r="Y771" i="697" s="1"/>
  <c r="U772" i="697"/>
  <c r="U954" i="697"/>
  <c r="Y954" i="697" s="1"/>
  <c r="U955" i="697"/>
  <c r="Y955" i="697" s="1"/>
  <c r="U982" i="697"/>
  <c r="Y982" i="697" s="1"/>
  <c r="U777" i="697"/>
  <c r="Y777" i="697" s="1"/>
  <c r="U956" i="697"/>
  <c r="Y956" i="697" s="1"/>
  <c r="U981" i="697"/>
  <c r="Y981" i="697" s="1"/>
  <c r="U980" i="697"/>
  <c r="Y980" i="697" s="1"/>
  <c r="U983" i="697"/>
  <c r="Y983" i="697" s="1"/>
  <c r="U904" i="697"/>
  <c r="Y904" i="697" s="1"/>
  <c r="U984" i="697"/>
  <c r="Y984" i="697" s="1"/>
  <c r="U912" i="697"/>
  <c r="Y912" i="697" s="1"/>
  <c r="U913" i="697"/>
  <c r="Y913" i="697" s="1"/>
  <c r="U778" i="697"/>
  <c r="Y778" i="697" s="1"/>
  <c r="U957" i="697"/>
  <c r="Y957" i="697" s="1"/>
  <c r="U881" i="697"/>
  <c r="Y881" i="697" s="1"/>
  <c r="U779" i="697"/>
  <c r="Y779" i="697" s="1"/>
  <c r="U780" i="697"/>
  <c r="Y780" i="697" s="1"/>
  <c r="U905" i="697"/>
  <c r="Y905" i="697" s="1"/>
  <c r="U985" i="697"/>
  <c r="U781" i="697"/>
  <c r="Y781" i="697" s="1"/>
  <c r="U906" i="697"/>
  <c r="Y906" i="697" s="1"/>
  <c r="U948" i="697"/>
  <c r="Y948" i="697" s="1"/>
  <c r="U935" i="697"/>
  <c r="Y935" i="697" s="1"/>
  <c r="U936" i="697"/>
  <c r="Y936" i="697" s="1"/>
  <c r="U791" i="697"/>
  <c r="Y791" i="697" s="1"/>
  <c r="U795" i="697"/>
  <c r="Y795" i="697" s="1"/>
  <c r="U937" i="697"/>
  <c r="Y937" i="697" s="1"/>
  <c r="U986" i="697"/>
  <c r="Y986" i="697" s="1"/>
  <c r="U895" i="697"/>
  <c r="Y895" i="697" s="1"/>
  <c r="U896" i="697"/>
  <c r="Y896" i="697" s="1"/>
  <c r="U914" i="697"/>
  <c r="Y914" i="697" s="1"/>
  <c r="U958" i="697"/>
  <c r="Y958" i="697" s="1"/>
  <c r="U792" i="697"/>
  <c r="Y792" i="697" s="1"/>
  <c r="U987" i="697"/>
  <c r="Y987" i="697" s="1"/>
  <c r="U801" i="697"/>
  <c r="Y801" i="697" s="1"/>
  <c r="U989" i="697"/>
  <c r="Y989" i="697" s="1"/>
  <c r="U959" i="697"/>
  <c r="Y959" i="697" s="1"/>
  <c r="U800" i="697"/>
  <c r="Y800" i="697" s="1"/>
  <c r="U796" i="697"/>
  <c r="Y796" i="697" s="1"/>
  <c r="U988" i="697"/>
  <c r="Y988" i="697" s="1"/>
  <c r="U797" i="697"/>
  <c r="Y797" i="697" s="1"/>
  <c r="U798" i="697"/>
  <c r="Y798" i="697" s="1"/>
  <c r="U802" i="697"/>
  <c r="Y802" i="697" s="1"/>
  <c r="U990" i="697"/>
  <c r="Y990" i="697" s="1"/>
  <c r="U803" i="697"/>
  <c r="Y803" i="697" s="1"/>
  <c r="U804" i="697"/>
  <c r="Y804" i="697" s="1"/>
  <c r="U805" i="697"/>
  <c r="Y805" i="697" s="1"/>
  <c r="U806" i="697"/>
  <c r="Y806" i="697" s="1"/>
  <c r="U807" i="697"/>
  <c r="Y807" i="697" s="1"/>
  <c r="U808" i="697"/>
  <c r="Y808" i="697" s="1"/>
  <c r="U1022" i="697"/>
  <c r="Y1022" i="697" s="1"/>
  <c r="U1005" i="697"/>
  <c r="Y1005" i="697" s="1"/>
  <c r="U814" i="697"/>
  <c r="Y814" i="697" s="1"/>
  <c r="U813" i="697"/>
  <c r="Y813" i="697" s="1"/>
  <c r="U991" i="697"/>
  <c r="U993" i="697"/>
  <c r="Y993" i="697" s="1"/>
  <c r="U992" i="697"/>
  <c r="Y992" i="697" s="1"/>
  <c r="U818" i="697"/>
  <c r="Y818" i="697" s="1"/>
  <c r="U938" i="697"/>
  <c r="Y938" i="697" s="1"/>
  <c r="U819" i="697"/>
  <c r="Y819" i="697" s="1"/>
  <c r="U820" i="697"/>
  <c r="Y820" i="697" s="1"/>
  <c r="U823" i="697"/>
  <c r="Y823" i="697" s="1"/>
  <c r="U824" i="697"/>
  <c r="Y824" i="697" s="1"/>
  <c r="U825" i="697"/>
  <c r="U826" i="697"/>
  <c r="Y826" i="697" s="1"/>
  <c r="U827" i="697"/>
  <c r="Y827" i="697" s="1"/>
  <c r="U828" i="697"/>
  <c r="Y828" i="697" s="1"/>
  <c r="U939" i="697"/>
  <c r="Y939" i="697" s="1"/>
  <c r="U821" i="697"/>
  <c r="Y821" i="697" s="1"/>
  <c r="U822" i="697"/>
  <c r="Y822" i="697" s="1"/>
  <c r="U918" i="697"/>
  <c r="Y918" i="697" s="1"/>
  <c r="U898" i="697"/>
  <c r="Y898" i="697" s="1"/>
  <c r="U829" i="697"/>
  <c r="Y829" i="697" s="1"/>
  <c r="U830" i="697"/>
  <c r="Y830" i="697" s="1"/>
  <c r="U847" i="697"/>
  <c r="Y847" i="697" s="1"/>
  <c r="U831" i="697"/>
  <c r="U832" i="697"/>
  <c r="Y832" i="697" s="1"/>
  <c r="U833" i="697"/>
  <c r="Y833" i="697" s="1"/>
  <c r="U1000" i="697"/>
  <c r="Y1000" i="697" s="1"/>
  <c r="U960" i="697"/>
  <c r="Y960" i="697" s="1"/>
  <c r="U834" i="697"/>
  <c r="Y834" i="697" s="1"/>
  <c r="U1030" i="697"/>
  <c r="Y1030" i="697" s="1"/>
  <c r="U877" i="697"/>
  <c r="Y877" i="697" s="1"/>
  <c r="U897" i="697"/>
  <c r="Y897" i="697" s="1"/>
  <c r="U916" i="697"/>
  <c r="Y916" i="697" s="1"/>
  <c r="U917" i="697"/>
  <c r="Y917" i="697" s="1"/>
  <c r="U852" i="697"/>
  <c r="Y852" i="697" s="1"/>
  <c r="U872" i="697"/>
  <c r="Y872" i="697" s="1"/>
  <c r="U886" i="697"/>
  <c r="Y886" i="697" s="1"/>
  <c r="U848" i="697"/>
  <c r="Y848" i="697" s="1"/>
  <c r="U915" i="697"/>
  <c r="Y915" i="697" s="1"/>
  <c r="U1143" i="697"/>
  <c r="Y1143" i="697" s="1"/>
  <c r="U875" i="697"/>
  <c r="Y875" i="697" s="1"/>
  <c r="U876" i="697"/>
  <c r="Y876" i="697" s="1"/>
  <c r="U878" i="697"/>
  <c r="Y878" i="697" s="1"/>
  <c r="U994" i="697"/>
  <c r="Y994" i="697" s="1"/>
  <c r="U850" i="697"/>
  <c r="Y850" i="697" s="1"/>
  <c r="U849" i="697"/>
  <c r="Y849" i="697" s="1"/>
  <c r="U1002" i="697"/>
  <c r="Y1002" i="697" s="1"/>
  <c r="U899" i="697"/>
  <c r="U1001" i="697"/>
  <c r="Y1001" i="697" s="1"/>
  <c r="U1006" i="697"/>
  <c r="Y1006" i="697" s="1"/>
  <c r="U851" i="697"/>
  <c r="Y851" i="697" s="1"/>
  <c r="U940" i="697"/>
  <c r="Y940" i="697" s="1"/>
  <c r="U941" i="697"/>
  <c r="Y941" i="697" s="1"/>
  <c r="U1007" i="697"/>
  <c r="Y1007" i="697" s="1"/>
  <c r="U995" i="697"/>
  <c r="Y995" i="697" s="1"/>
  <c r="U1212" i="697"/>
  <c r="Y1212" i="697" s="1"/>
  <c r="U853" i="697"/>
  <c r="Y853" i="697" s="1"/>
  <c r="U1023" i="697"/>
  <c r="Y1023" i="697" s="1"/>
  <c r="U1008" i="697"/>
  <c r="Y1008" i="697" s="1"/>
  <c r="U1044" i="697"/>
  <c r="Y1044" i="697" s="1"/>
  <c r="U864" i="697"/>
  <c r="Y864" i="697" s="1"/>
  <c r="U865" i="697"/>
  <c r="Y865" i="697" s="1"/>
  <c r="U942" i="697"/>
  <c r="Y942" i="697" s="1"/>
  <c r="U1024" i="697"/>
  <c r="U873" i="697"/>
  <c r="Y873" i="697" s="1"/>
  <c r="U943" i="697"/>
  <c r="Y943" i="697" s="1"/>
  <c r="U1045" i="697"/>
  <c r="Y1045" i="697" s="1"/>
  <c r="U1046" i="697"/>
  <c r="Y1046" i="697" s="1"/>
  <c r="U1047" i="697"/>
  <c r="Y1047" i="697" s="1"/>
  <c r="U874" i="697"/>
  <c r="Y874" i="697" s="1"/>
  <c r="U1025" i="697"/>
  <c r="Y1025" i="697" s="1"/>
  <c r="U1031" i="697"/>
  <c r="Y1031" i="697" s="1"/>
  <c r="U1048" i="697"/>
  <c r="Y1048" i="697" s="1"/>
  <c r="U882" i="697"/>
  <c r="Y882" i="697" s="1"/>
  <c r="U883" i="697"/>
  <c r="Y883" i="697" s="1"/>
  <c r="U884" i="697"/>
  <c r="Y884" i="697" s="1"/>
  <c r="U885" i="697"/>
  <c r="Y885" i="697" s="1"/>
  <c r="U1049" i="697"/>
  <c r="Y1049" i="697" s="1"/>
  <c r="U1050" i="697"/>
  <c r="Y1050" i="697" s="1"/>
  <c r="U900" i="697"/>
  <c r="Y900" i="697" s="1"/>
  <c r="U887" i="697"/>
  <c r="Y887" i="697" s="1"/>
  <c r="U888" i="697"/>
  <c r="Y888" i="697" s="1"/>
  <c r="U1091" i="697"/>
  <c r="Y1091" i="697" s="1"/>
  <c r="U1068" i="697"/>
  <c r="Y1068" i="697" s="1"/>
  <c r="U1075" i="697"/>
  <c r="Y1075" i="697" s="1"/>
  <c r="U901" i="697"/>
  <c r="Y901" i="697" s="1"/>
  <c r="U1096" i="697"/>
  <c r="Y1096" i="697" s="1"/>
  <c r="U907" i="697"/>
  <c r="Y907" i="697" s="1"/>
  <c r="U908" i="697"/>
  <c r="Y908" i="697" s="1"/>
  <c r="U909" i="697"/>
  <c r="Y909" i="697" s="1"/>
  <c r="U910" i="697"/>
  <c r="Y910" i="697" s="1"/>
  <c r="U911" i="697"/>
  <c r="Y911" i="697" s="1"/>
  <c r="U1168" i="697"/>
  <c r="Y1168" i="697" s="1"/>
  <c r="U944" i="697"/>
  <c r="Y944" i="697" s="1"/>
  <c r="U1097" i="697"/>
  <c r="Y1097" i="697" s="1"/>
  <c r="U1069" i="697"/>
  <c r="Y1069" i="697" s="1"/>
  <c r="U1051" i="697"/>
  <c r="Y1051" i="697" s="1"/>
  <c r="U922" i="697"/>
  <c r="Y922" i="697" s="1"/>
  <c r="U919" i="697"/>
  <c r="Y919" i="697" s="1"/>
  <c r="U920" i="697"/>
  <c r="U921" i="697"/>
  <c r="Y921" i="697" s="1"/>
  <c r="U1076" i="697"/>
  <c r="Y1076" i="697" s="1"/>
  <c r="U945" i="697"/>
  <c r="Y945" i="697" s="1"/>
  <c r="U1162" i="697"/>
  <c r="Y1162" i="697" s="1"/>
  <c r="U1169" i="697"/>
  <c r="Y1169" i="697" s="1"/>
  <c r="U1083" i="697"/>
  <c r="Y1083" i="697" s="1"/>
  <c r="U946" i="697"/>
  <c r="Y946" i="697" s="1"/>
  <c r="U1082" i="697"/>
  <c r="U1131" i="697"/>
  <c r="Y1131" i="697" s="1"/>
  <c r="U1077" i="697"/>
  <c r="Y1077" i="697" s="1"/>
  <c r="U1052" i="697"/>
  <c r="Y1052" i="697" s="1"/>
  <c r="U1098" i="697"/>
  <c r="Y1098" i="697" s="1"/>
  <c r="U1070" i="697"/>
  <c r="Y1070" i="697" s="1"/>
  <c r="U1085" i="697"/>
  <c r="Y1085" i="697" s="1"/>
  <c r="U947" i="697"/>
  <c r="Y947" i="697" s="1"/>
  <c r="U9" i="697"/>
  <c r="Y9" i="697" s="1"/>
  <c r="U1032" i="697"/>
  <c r="Y1032" i="697" s="1"/>
  <c r="U1053" i="697"/>
  <c r="Y1053" i="697" s="1"/>
  <c r="U949" i="697"/>
  <c r="Y949" i="697" s="1"/>
  <c r="U950" i="697"/>
  <c r="Y950" i="697" s="1"/>
  <c r="U1092" i="697"/>
  <c r="Y1092" i="697" s="1"/>
  <c r="U1099" i="697"/>
  <c r="Y1099" i="697" s="1"/>
  <c r="U1130" i="697"/>
  <c r="Y1130" i="697" s="1"/>
  <c r="U1078" i="697"/>
  <c r="Y1078" i="697" s="1"/>
  <c r="U951" i="697"/>
  <c r="Y951" i="697" s="1"/>
  <c r="U1037" i="697"/>
  <c r="Y1037" i="697" s="1"/>
  <c r="U1071" i="697"/>
  <c r="Y1071" i="697" s="1"/>
  <c r="U1100" i="697"/>
  <c r="Y1100" i="697" s="1"/>
  <c r="U1086" i="697"/>
  <c r="Y1086" i="697" s="1"/>
  <c r="U1089" i="697"/>
  <c r="Y1089" i="697" s="1"/>
  <c r="U1101" i="697"/>
  <c r="Y1101" i="697" s="1"/>
  <c r="U1087" i="697"/>
  <c r="Y1087" i="697" s="1"/>
  <c r="U1238" i="697"/>
  <c r="Y1238" i="697" s="1"/>
  <c r="U1088" i="697"/>
  <c r="Y1088" i="697" s="1"/>
  <c r="U1009" i="697"/>
  <c r="Y1009" i="697" s="1"/>
  <c r="U972" i="697"/>
  <c r="Y972" i="697" s="1"/>
  <c r="U1054" i="697"/>
  <c r="Y1054" i="697" s="1"/>
  <c r="U1033" i="697"/>
  <c r="Y1033" i="697" s="1"/>
  <c r="U1102" i="697"/>
  <c r="Y1102" i="697" s="1"/>
  <c r="U1010" i="697"/>
  <c r="Y1010" i="697" s="1"/>
  <c r="U961" i="697"/>
  <c r="Y961" i="697" s="1"/>
  <c r="U962" i="697"/>
  <c r="Y962" i="697" s="1"/>
  <c r="U963" i="697"/>
  <c r="Y963" i="697" s="1"/>
  <c r="U964" i="697"/>
  <c r="Y964" i="697" s="1"/>
  <c r="U965" i="697"/>
  <c r="Y965" i="697" s="1"/>
  <c r="U966" i="697"/>
  <c r="Y966" i="697" s="1"/>
  <c r="U967" i="697"/>
  <c r="Y967" i="697" s="1"/>
  <c r="U968" i="697"/>
  <c r="Y968" i="697" s="1"/>
  <c r="U969" i="697"/>
  <c r="Y969" i="697" s="1"/>
  <c r="U970" i="697"/>
  <c r="Y970" i="697" s="1"/>
  <c r="U971" i="697"/>
  <c r="Y971" i="697" s="1"/>
  <c r="U1055" i="697"/>
  <c r="Y1055" i="697" s="1"/>
  <c r="U1056" i="697"/>
  <c r="Y1056" i="697" s="1"/>
  <c r="U1057" i="697"/>
  <c r="Y1057" i="697" s="1"/>
  <c r="U1058" i="697"/>
  <c r="Y1058" i="697" s="1"/>
  <c r="U1059" i="697"/>
  <c r="Y1059" i="697" s="1"/>
  <c r="U1060" i="697"/>
  <c r="Y1060" i="697" s="1"/>
  <c r="U1017" i="697"/>
  <c r="Y1017" i="697" s="1"/>
  <c r="U1190" i="697"/>
  <c r="Y1190" i="697" s="1"/>
  <c r="U1018" i="697"/>
  <c r="Y1018" i="697" s="1"/>
  <c r="U973" i="697"/>
  <c r="Y973" i="697" s="1"/>
  <c r="U974" i="697"/>
  <c r="Y974" i="697" s="1"/>
  <c r="U1124" i="697"/>
  <c r="Y1124" i="697" s="1"/>
  <c r="U996" i="697"/>
  <c r="Y996" i="697" s="1"/>
  <c r="U1118" i="697"/>
  <c r="Y1118" i="697" s="1"/>
  <c r="U1013" i="697"/>
  <c r="Y1013" i="697" s="1"/>
  <c r="U1189" i="697"/>
  <c r="Y1189" i="697" s="1"/>
  <c r="U1014" i="697"/>
  <c r="Y1014" i="697" s="1"/>
  <c r="U975" i="697"/>
  <c r="Y975" i="697" s="1"/>
  <c r="U1015" i="697"/>
  <c r="Y1015" i="697" s="1"/>
  <c r="U1016" i="697"/>
  <c r="Y1016" i="697" s="1"/>
  <c r="U976" i="697"/>
  <c r="Y976" i="697" s="1"/>
  <c r="U1040" i="697"/>
  <c r="Y1040" i="697" s="1"/>
  <c r="U977" i="697"/>
  <c r="Y977" i="697" s="1"/>
  <c r="U1093" i="697"/>
  <c r="Y1093" i="697" s="1"/>
  <c r="U1112" i="697"/>
  <c r="Y1112" i="697" s="1"/>
  <c r="U1011" i="697"/>
  <c r="Y1011" i="697" s="1"/>
  <c r="U1103" i="697"/>
  <c r="Y1103" i="697" s="1"/>
  <c r="U1012" i="697"/>
  <c r="Y1012" i="697" s="1"/>
  <c r="U1019" i="697"/>
  <c r="Y1019" i="697" s="1"/>
  <c r="U978" i="697"/>
  <c r="Y978" i="697" s="1"/>
  <c r="U1213" i="697"/>
  <c r="Y1213" i="697" s="1"/>
  <c r="U1061" i="697"/>
  <c r="Y1061" i="697" s="1"/>
  <c r="U1104" i="697"/>
  <c r="Y1104" i="697" s="1"/>
  <c r="U1320" i="697"/>
  <c r="Y1320" i="697" s="1"/>
  <c r="U1293" i="697"/>
  <c r="Y1293" i="697" s="1"/>
  <c r="U1191" i="697"/>
  <c r="Y1191" i="697" s="1"/>
  <c r="U1206" i="697"/>
  <c r="Y1206" i="697" s="1"/>
  <c r="U1289" i="697"/>
  <c r="Y1289" i="697" s="1"/>
  <c r="U1253" i="697"/>
  <c r="Y1253" i="697" s="1"/>
  <c r="U1321" i="697"/>
  <c r="Y1321" i="697" s="1"/>
  <c r="U1239" i="697"/>
  <c r="Y1239" i="697" s="1"/>
  <c r="U1157" i="697"/>
  <c r="Y1157" i="697" s="1"/>
  <c r="U997" i="697"/>
  <c r="Y997" i="697" s="1"/>
  <c r="U998" i="697"/>
  <c r="Y998" i="697" s="1"/>
  <c r="U999" i="697"/>
  <c r="Y999" i="697" s="1"/>
  <c r="U1604" i="697"/>
  <c r="Y1604" i="697" s="1"/>
  <c r="U1158" i="697"/>
  <c r="Y1158" i="697" s="1"/>
  <c r="U1132" i="697"/>
  <c r="Y1132" i="697" s="1"/>
  <c r="U1003" i="697"/>
  <c r="U1062" i="697"/>
  <c r="Y1062" i="697" s="1"/>
  <c r="U1063" i="697"/>
  <c r="Y1063" i="697" s="1"/>
  <c r="U1004" i="697"/>
  <c r="Y1004" i="697" s="1"/>
  <c r="U1170" i="697"/>
  <c r="Y1170" i="697" s="1"/>
  <c r="U1020" i="697"/>
  <c r="Y1020" i="697" s="1"/>
  <c r="U1270" i="697"/>
  <c r="Y1270" i="697" s="1"/>
  <c r="U1271" i="697"/>
  <c r="Y1271" i="697" s="1"/>
  <c r="U1176" i="697"/>
  <c r="Y1176" i="697" s="1"/>
  <c r="U1294" i="697"/>
  <c r="Y1294" i="697" s="1"/>
  <c r="U1034" i="697"/>
  <c r="Y1034" i="697" s="1"/>
  <c r="U1163" i="697"/>
  <c r="Y1163" i="697" s="1"/>
  <c r="U1026" i="697"/>
  <c r="Y1026" i="697" s="1"/>
  <c r="U1027" i="697"/>
  <c r="Y1027" i="697" s="1"/>
  <c r="U1028" i="697"/>
  <c r="Y1028" i="697" s="1"/>
  <c r="U1252" i="697"/>
  <c r="Y1252" i="697" s="1"/>
  <c r="U1133" i="697"/>
  <c r="U1177" i="697"/>
  <c r="Y1177" i="697" s="1"/>
  <c r="U1036" i="697"/>
  <c r="Y1036" i="697" s="1"/>
  <c r="U1035" i="697"/>
  <c r="Y1035" i="697" s="1"/>
  <c r="U1248" i="697"/>
  <c r="Y1248" i="697" s="1"/>
  <c r="U1171" i="697"/>
  <c r="Y1171" i="697" s="1"/>
  <c r="U1192" i="697"/>
  <c r="Y1192" i="697" s="1"/>
  <c r="U1038" i="697"/>
  <c r="Y1038" i="697" s="1"/>
  <c r="U1079" i="697"/>
  <c r="Y1079" i="697" s="1"/>
  <c r="U1178" i="697"/>
  <c r="Y1178" i="697" s="1"/>
  <c r="U1039" i="697"/>
  <c r="Y1039" i="697" s="1"/>
  <c r="U1229" i="697"/>
  <c r="Y1229" i="697" s="1"/>
  <c r="U1179" i="697"/>
  <c r="Y1179" i="697" s="1"/>
  <c r="U1113" i="697"/>
  <c r="Y1113" i="697" s="1"/>
  <c r="U1080" i="697"/>
  <c r="Y1080" i="697" s="1"/>
  <c r="U1180" i="697"/>
  <c r="Y1180" i="697" s="1"/>
  <c r="U1295" i="697"/>
  <c r="Y1295" i="697" s="1"/>
  <c r="U1041" i="697"/>
  <c r="Y1041" i="697" s="1"/>
  <c r="U1214" i="697"/>
  <c r="Y1214" i="697" s="1"/>
  <c r="U1042" i="697"/>
  <c r="Y1042" i="697" s="1"/>
  <c r="U1043" i="697"/>
  <c r="Y1043" i="697" s="1"/>
  <c r="U1072" i="697"/>
  <c r="Y1072" i="697" s="1"/>
  <c r="U1066" i="697"/>
  <c r="Y1066" i="697" s="1"/>
  <c r="U1067" i="697"/>
  <c r="Y1067" i="697" s="1"/>
  <c r="U1372" i="697"/>
  <c r="Y1372" i="697" s="1"/>
  <c r="U1065" i="697"/>
  <c r="Y1065" i="697" s="1"/>
  <c r="U1296" i="697"/>
  <c r="Y1296" i="697" s="1"/>
  <c r="U1064" i="697"/>
  <c r="Y1064" i="697" s="1"/>
  <c r="U1144" i="697"/>
  <c r="Y1144" i="697" s="1"/>
  <c r="U1182" i="697"/>
  <c r="Y1182" i="697" s="1"/>
  <c r="U1183" i="697"/>
  <c r="Y1183" i="697" s="1"/>
  <c r="U1203" i="697"/>
  <c r="Y1203" i="697" s="1"/>
  <c r="U1073" i="697"/>
  <c r="Y1073" i="697" s="1"/>
  <c r="U1074" i="697"/>
  <c r="Y1074" i="697" s="1"/>
  <c r="U1081" i="697"/>
  <c r="Y1081" i="697" s="1"/>
  <c r="U1181" i="697"/>
  <c r="Y1181" i="697" s="1"/>
  <c r="U1090" i="697"/>
  <c r="Y1090" i="697" s="1"/>
  <c r="U1322" i="697"/>
  <c r="Y1322" i="697" s="1"/>
  <c r="U1184" i="697"/>
  <c r="Y1184" i="697" s="1"/>
  <c r="U1228" i="697"/>
  <c r="Y1228" i="697" s="1"/>
  <c r="U1272" i="697"/>
  <c r="Y1272" i="697" s="1"/>
  <c r="U1193" i="697"/>
  <c r="Y1193" i="697" s="1"/>
  <c r="U1094" i="697"/>
  <c r="Y1094" i="697" s="1"/>
  <c r="U1323" i="697"/>
  <c r="Y1323" i="697" s="1"/>
  <c r="U1290" i="697"/>
  <c r="Y1290" i="697" s="1"/>
  <c r="U1216" i="697"/>
  <c r="Y1216" i="697" s="1"/>
  <c r="U1240" i="697"/>
  <c r="Y1240" i="697" s="1"/>
  <c r="U1105" i="697"/>
  <c r="Y1105" i="697" s="1"/>
  <c r="U1095" i="697"/>
  <c r="Y1095" i="697" s="1"/>
  <c r="U1215" i="697"/>
  <c r="Y1215" i="697" s="1"/>
  <c r="U1230" i="697"/>
  <c r="Y1230" i="697" s="1"/>
  <c r="U979" i="697"/>
  <c r="Y979" i="697" s="1"/>
  <c r="U1106" i="697"/>
  <c r="Y1106" i="697" s="1"/>
  <c r="U1107" i="697"/>
  <c r="Y1107" i="697" s="1"/>
  <c r="U1273" i="697"/>
  <c r="Y1273" i="697" s="1"/>
  <c r="U1108" i="697"/>
  <c r="Y1108" i="697" s="1"/>
  <c r="U1297" i="697"/>
  <c r="Y1297" i="697" s="1"/>
  <c r="U1110" i="697"/>
  <c r="Y1110" i="697" s="1"/>
  <c r="U1138" i="697"/>
  <c r="Y1138" i="697" s="1"/>
  <c r="U1109" i="697"/>
  <c r="Y1109" i="697" s="1"/>
  <c r="U1111" i="697"/>
  <c r="Y1111" i="697" s="1"/>
  <c r="U1126" i="697"/>
  <c r="Y1126" i="697" s="1"/>
  <c r="U1145" i="697"/>
  <c r="Y1145" i="697" s="1"/>
  <c r="U1150" i="697"/>
  <c r="Y1150" i="697" s="1"/>
  <c r="U1134" i="697"/>
  <c r="Y1134" i="697" s="1"/>
  <c r="U1274" i="697"/>
  <c r="Y1274" i="697" s="1"/>
  <c r="U1275" i="697"/>
  <c r="Y1275" i="697" s="1"/>
  <c r="U1146" i="697"/>
  <c r="Y1146" i="697" s="1"/>
  <c r="U1147" i="697"/>
  <c r="Y1147" i="697" s="1"/>
  <c r="U1148" i="697"/>
  <c r="Y1148" i="697" s="1"/>
  <c r="U1149" i="697"/>
  <c r="Y1149" i="697" s="1"/>
  <c r="U1151" i="697"/>
  <c r="Y1151" i="697" s="1"/>
  <c r="U1114" i="697"/>
  <c r="Y1114" i="697" s="1"/>
  <c r="U1135" i="697"/>
  <c r="Y1135" i="697" s="1"/>
  <c r="U1125" i="697"/>
  <c r="Y1125" i="697" s="1"/>
  <c r="U1127" i="697"/>
  <c r="Y1127" i="697" s="1"/>
  <c r="U1266" i="697"/>
  <c r="Y1266" i="697" s="1"/>
  <c r="U1115" i="697"/>
  <c r="Y1115" i="697" s="1"/>
  <c r="U1116" i="697"/>
  <c r="Y1116" i="697" s="1"/>
  <c r="U1117" i="697"/>
  <c r="Y1117" i="697" s="1"/>
  <c r="U1152" i="697"/>
  <c r="Y1152" i="697" s="1"/>
  <c r="U1241" i="697"/>
  <c r="U1120" i="697"/>
  <c r="U1119" i="697"/>
  <c r="U1217" i="697"/>
  <c r="Y1217" i="697" s="1"/>
  <c r="U1121" i="697"/>
  <c r="U1122" i="697"/>
  <c r="Y1122" i="697" s="1"/>
  <c r="U1123" i="697"/>
  <c r="Y1123" i="697" s="1"/>
  <c r="U1194" i="697"/>
  <c r="Y1194" i="697" s="1"/>
  <c r="U1128" i="697"/>
  <c r="Y1128" i="697" s="1"/>
  <c r="U1129" i="697"/>
  <c r="Y1129" i="697" s="1"/>
  <c r="U1174" i="697"/>
  <c r="U1136" i="697"/>
  <c r="Y1136" i="697" s="1"/>
  <c r="U1235" i="697"/>
  <c r="U1326" i="697"/>
  <c r="Y1326" i="697" s="1"/>
  <c r="U1207" i="697"/>
  <c r="U1254" i="697"/>
  <c r="Y1254" i="697" s="1"/>
  <c r="U1137" i="697"/>
  <c r="U1365" i="697"/>
  <c r="Y1365" i="697" s="1"/>
  <c r="U1327" i="697"/>
  <c r="U1139" i="697"/>
  <c r="Y1139" i="697" s="1"/>
  <c r="U1140" i="697"/>
  <c r="U1141" i="697"/>
  <c r="U1160" i="697"/>
  <c r="Y1160" i="697" s="1"/>
  <c r="U1153" i="697"/>
  <c r="Y1153" i="697" s="1"/>
  <c r="U1142" i="697"/>
  <c r="U1159" i="697"/>
  <c r="Y1159" i="697" s="1"/>
  <c r="U1154" i="697"/>
  <c r="U1155" i="697"/>
  <c r="Y1155" i="697" s="1"/>
  <c r="U1156" i="697"/>
  <c r="Y1156" i="697" s="1"/>
  <c r="U1366" i="697"/>
  <c r="Y1366" i="697" s="1"/>
  <c r="U1185" i="697"/>
  <c r="Y1185" i="697" s="1"/>
  <c r="U1161" i="697"/>
  <c r="Y1161" i="697" s="1"/>
  <c r="U1334" i="697"/>
  <c r="U1255" i="697"/>
  <c r="U1298" i="697"/>
  <c r="U1267" i="697"/>
  <c r="Y1267" i="697" s="1"/>
  <c r="U1195" i="697"/>
  <c r="U1196" i="697"/>
  <c r="Y1196" i="697" s="1"/>
  <c r="U1268" i="697"/>
  <c r="Y1268" i="697" s="1"/>
  <c r="U1164" i="697"/>
  <c r="Y1164" i="697" s="1"/>
  <c r="U1335" i="697"/>
  <c r="Y1335" i="697" s="1"/>
  <c r="U1328" i="697"/>
  <c r="Y1328" i="697" s="1"/>
  <c r="U1165" i="697"/>
  <c r="Y1165" i="697" s="1"/>
  <c r="U1166" i="697"/>
  <c r="Y1166" i="697" s="1"/>
  <c r="U1276" i="697"/>
  <c r="U1277" i="697"/>
  <c r="U1256" i="697"/>
  <c r="Y1256" i="697" s="1"/>
  <c r="U1172" i="697"/>
  <c r="Y1172" i="697" s="1"/>
  <c r="U1330" i="697"/>
  <c r="U1324" i="697"/>
  <c r="Y1324" i="697" s="1"/>
  <c r="U1299" i="697"/>
  <c r="U1586" i="697"/>
  <c r="Y1586" i="697" s="1"/>
  <c r="U1175" i="697"/>
  <c r="U1173" i="697"/>
  <c r="U1329" i="697"/>
  <c r="Y1329" i="697" s="1"/>
  <c r="U1300" i="697"/>
  <c r="Y1300" i="697" s="1"/>
  <c r="U1367" i="697"/>
  <c r="U1368" i="697"/>
  <c r="Y1368" i="697" s="1"/>
  <c r="U1378" i="697"/>
  <c r="U1377" i="697"/>
  <c r="Y1377" i="697" s="1"/>
  <c r="U1301" i="697"/>
  <c r="Y1301" i="697" s="1"/>
  <c r="U1331" i="697"/>
  <c r="Y1331" i="697" s="1"/>
  <c r="U1186" i="697"/>
  <c r="U1187" i="697"/>
  <c r="Y1187" i="697" s="1"/>
  <c r="U1357" i="697"/>
  <c r="U1369" i="697"/>
  <c r="U1439" i="697"/>
  <c r="U1302" i="697"/>
  <c r="Y1302" i="697" s="1"/>
  <c r="U1188" i="697"/>
  <c r="U1278" i="697"/>
  <c r="Y1278" i="697" s="1"/>
  <c r="U1358" i="697"/>
  <c r="Y1358" i="697" s="1"/>
  <c r="U1197" i="697"/>
  <c r="Y1197" i="697" s="1"/>
  <c r="U1198" i="697"/>
  <c r="Y1198" i="697" s="1"/>
  <c r="U1199" i="697"/>
  <c r="Y1199" i="697" s="1"/>
  <c r="U1200" i="697"/>
  <c r="U1201" i="697"/>
  <c r="Y1201" i="697" s="1"/>
  <c r="U1202" i="697"/>
  <c r="U1208" i="697"/>
  <c r="U1242" i="697"/>
  <c r="U1359" i="697"/>
  <c r="Y1359" i="697" s="1"/>
  <c r="U1222" i="697"/>
  <c r="U1223" i="697"/>
  <c r="Y1223" i="697" s="1"/>
  <c r="U1204" i="697"/>
  <c r="U1167" i="697"/>
  <c r="Y1167" i="697" s="1"/>
  <c r="U1220" i="697"/>
  <c r="U1221" i="697"/>
  <c r="U1257" i="697"/>
  <c r="Y1257" i="697" s="1"/>
  <c r="U1205" i="697"/>
  <c r="Y1205" i="697" s="1"/>
  <c r="U1218" i="697"/>
  <c r="U1224" i="697"/>
  <c r="Y1224" i="697" s="1"/>
  <c r="U1219" i="697"/>
  <c r="Y1219" i="697" s="1"/>
  <c r="U1209" i="697"/>
  <c r="U1337" i="697"/>
  <c r="Y1337" i="697" s="1"/>
  <c r="U1338" i="697"/>
  <c r="Y1338" i="697" s="1"/>
  <c r="U1339" i="697"/>
  <c r="U1340" i="697"/>
  <c r="Y1340" i="697" s="1"/>
  <c r="U1373" i="697"/>
  <c r="U1258" i="697"/>
  <c r="U1336" i="697"/>
  <c r="Y1336" i="697" s="1"/>
  <c r="U1210" i="697"/>
  <c r="U1211" i="697"/>
  <c r="U1225" i="697"/>
  <c r="Y1225" i="697" s="1"/>
  <c r="U1226" i="697"/>
  <c r="U1285" i="697"/>
  <c r="Y1285" i="697" s="1"/>
  <c r="U1259" i="697"/>
  <c r="Y1259" i="697" s="1"/>
  <c r="U1227" i="697"/>
  <c r="Y1227" i="697" s="1"/>
  <c r="U1477" i="697"/>
  <c r="U1379" i="697"/>
  <c r="U1303" i="697"/>
  <c r="U1345" i="697"/>
  <c r="U1360" i="697"/>
  <c r="U1440" i="697"/>
  <c r="Y1440" i="697" s="1"/>
  <c r="U1394" i="697"/>
  <c r="U1344" i="697"/>
  <c r="Y1344" i="697" s="1"/>
  <c r="U1231" i="697"/>
  <c r="Y1231" i="697" s="1"/>
  <c r="U1361" i="697"/>
  <c r="U1269" i="697"/>
  <c r="U1232" i="697"/>
  <c r="U1233" i="697"/>
  <c r="U1423" i="697"/>
  <c r="Y1423" i="697" s="1"/>
  <c r="U1325" i="697"/>
  <c r="U1243" i="697"/>
  <c r="Y1243" i="697" s="1"/>
  <c r="U1492" i="697"/>
  <c r="Y1492" i="697" s="1"/>
  <c r="U1234" i="697"/>
  <c r="U1380" i="697"/>
  <c r="Y1380" i="697" s="1"/>
  <c r="U1496" i="697"/>
  <c r="Y1496" i="697" s="1"/>
  <c r="U1249" i="697"/>
  <c r="U1363" i="697"/>
  <c r="Y1363" i="697" s="1"/>
  <c r="U1236" i="697"/>
  <c r="U1237" i="697"/>
  <c r="U1464" i="697"/>
  <c r="U1374" i="697"/>
  <c r="U1247" i="697"/>
  <c r="U1245" i="697"/>
  <c r="Y1245" i="697" s="1"/>
  <c r="U1244" i="697"/>
  <c r="U1410" i="697"/>
  <c r="U1411" i="697"/>
  <c r="Y1411" i="697" s="1"/>
  <c r="U1370" i="697"/>
  <c r="Y1370" i="697" s="1"/>
  <c r="U1417" i="697"/>
  <c r="Y1417" i="697" s="1"/>
  <c r="U1381" i="697"/>
  <c r="U1246" i="697"/>
  <c r="U1250" i="697"/>
  <c r="U1251" i="697"/>
  <c r="U1432" i="697"/>
  <c r="Y1432" i="697" s="1"/>
  <c r="U1375" i="697"/>
  <c r="Y1375" i="697" s="1"/>
  <c r="U1382" i="697"/>
  <c r="Y1382" i="697" s="1"/>
  <c r="U1260" i="697"/>
  <c r="U1279" i="697"/>
  <c r="U1280" i="697"/>
  <c r="U1281" i="697"/>
  <c r="U1282" i="697"/>
  <c r="U1283" i="697"/>
  <c r="U1433" i="697"/>
  <c r="U1434" i="697"/>
  <c r="Y1434" i="697" s="1"/>
  <c r="U1261" i="697"/>
  <c r="U1264" i="697"/>
  <c r="U1262" i="697"/>
  <c r="Y1262" i="697" s="1"/>
  <c r="U1263" i="697"/>
  <c r="Y1263" i="697" s="1"/>
  <c r="U1383" i="697"/>
  <c r="Y1383" i="697" s="1"/>
  <c r="U1265" i="697"/>
  <c r="Y1265" i="697" s="1"/>
  <c r="U1579" i="697"/>
  <c r="Y1579" i="697" s="1"/>
  <c r="U1395" i="697"/>
  <c r="U1441" i="697"/>
  <c r="Y1441" i="697" s="1"/>
  <c r="U1305" i="697"/>
  <c r="U1286" i="697"/>
  <c r="Y1286" i="697" s="1"/>
  <c r="U1306" i="697"/>
  <c r="Y1306" i="697" s="1"/>
  <c r="U1451" i="697"/>
  <c r="U1455" i="697"/>
  <c r="Y1455" i="697" s="1"/>
  <c r="U1319" i="697"/>
  <c r="U1435" i="697"/>
  <c r="Y1435" i="697" s="1"/>
  <c r="U1284" i="697"/>
  <c r="Y1284" i="697" s="1"/>
  <c r="U1287" i="697"/>
  <c r="U1442" i="697"/>
  <c r="Y1442" i="697" s="1"/>
  <c r="U1412" i="697"/>
  <c r="U1396" i="697"/>
  <c r="U1288" i="697"/>
  <c r="U1397" i="697"/>
  <c r="Y1397" i="697" s="1"/>
  <c r="U1514" i="697"/>
  <c r="Y1514" i="697" s="1"/>
  <c r="U1413" i="697"/>
  <c r="Y1413" i="697" s="1"/>
  <c r="U1388" i="697"/>
  <c r="Y1388" i="697" s="1"/>
  <c r="U1291" i="697"/>
  <c r="Y1291" i="697" s="1"/>
  <c r="U1493" i="697"/>
  <c r="Y1493" i="697" s="1"/>
  <c r="U1497" i="697"/>
  <c r="Y1497" i="697" s="1"/>
  <c r="U1389" i="697"/>
  <c r="U1304" i="697"/>
  <c r="Y1304" i="697" s="1"/>
  <c r="U1398" i="697"/>
  <c r="Y1398" i="697" s="1"/>
  <c r="U1418" i="697"/>
  <c r="Y1418" i="697" s="1"/>
  <c r="U1317" i="697"/>
  <c r="Y1317" i="697" s="1"/>
  <c r="U1307" i="697"/>
  <c r="U1308" i="697"/>
  <c r="Y1308" i="697" s="1"/>
  <c r="U1309" i="697"/>
  <c r="U1310" i="697"/>
  <c r="U1311" i="697"/>
  <c r="Y1311" i="697" s="1"/>
  <c r="U1312" i="697"/>
  <c r="U1313" i="697"/>
  <c r="Y1313" i="697" s="1"/>
  <c r="U1314" i="697"/>
  <c r="Y1314" i="697" s="1"/>
  <c r="U1315" i="697"/>
  <c r="Y1315" i="697" s="1"/>
  <c r="U1316" i="697"/>
  <c r="Y1316" i="697" s="1"/>
  <c r="U1399" i="697"/>
  <c r="U1414" i="697"/>
  <c r="U1352" i="697"/>
  <c r="Y1352" i="697" s="1"/>
  <c r="U1349" i="697"/>
  <c r="Y1349" i="697" s="1"/>
  <c r="U1465" i="697"/>
  <c r="Y1465" i="697" s="1"/>
  <c r="U1347" i="697"/>
  <c r="Y1347" i="697" s="1"/>
  <c r="U1353" i="697"/>
  <c r="Y1353" i="697" s="1"/>
  <c r="U1348" i="697"/>
  <c r="U1400" i="697"/>
  <c r="U1401" i="697"/>
  <c r="U1350" i="697"/>
  <c r="Y1350" i="697" s="1"/>
  <c r="U1351" i="697"/>
  <c r="Y1351" i="697" s="1"/>
  <c r="U1386" i="697"/>
  <c r="Y1386" i="697" s="1"/>
  <c r="U1318" i="697"/>
  <c r="Y1318" i="697" s="1"/>
  <c r="U1346" i="697"/>
  <c r="Y1346" i="697" s="1"/>
  <c r="U1354" i="697"/>
  <c r="U1429" i="697"/>
  <c r="U1478" i="697"/>
  <c r="U1580" i="697"/>
  <c r="Y1580" i="697" s="1"/>
  <c r="U1578" i="697"/>
  <c r="Y1578" i="697" s="1"/>
  <c r="U1355" i="697"/>
  <c r="Y1355" i="697" s="1"/>
  <c r="U1332" i="697"/>
  <c r="U1333" i="697"/>
  <c r="Y1333" i="697" s="1"/>
  <c r="U1581" i="697"/>
  <c r="Y1581" i="697" s="1"/>
  <c r="U1479" i="697"/>
  <c r="U1473" i="697"/>
  <c r="U1515" i="697"/>
  <c r="Y1515" i="697" s="1"/>
  <c r="U1342" i="697"/>
  <c r="Y1342" i="697" s="1"/>
  <c r="U1341" i="697"/>
  <c r="Y1341" i="697" s="1"/>
  <c r="U1424" i="697"/>
  <c r="Y1424" i="697" s="1"/>
  <c r="U1343" i="697"/>
  <c r="Y1343" i="697" s="1"/>
  <c r="U1475" i="697"/>
  <c r="Y1475" i="697" s="1"/>
  <c r="U1521" i="697"/>
  <c r="U1480" i="697"/>
  <c r="U1600" i="697"/>
  <c r="U1466" i="697"/>
  <c r="Y1466" i="697" s="1"/>
  <c r="U1425" i="697"/>
  <c r="Y1425" i="697" s="1"/>
  <c r="U1481" i="697"/>
  <c r="U1356" i="697"/>
  <c r="Y1356" i="697" s="1"/>
  <c r="U1482" i="697"/>
  <c r="U1516" i="697"/>
  <c r="U1474" i="697"/>
  <c r="Y1474" i="697" s="1"/>
  <c r="U1483" i="697"/>
  <c r="U1362" i="697"/>
  <c r="Y1362" i="697" s="1"/>
  <c r="U1484" i="697"/>
  <c r="Y1484" i="697" s="1"/>
  <c r="U1485" i="697"/>
  <c r="U1390" i="697"/>
  <c r="Y1390" i="697" s="1"/>
  <c r="U1364" i="697"/>
  <c r="U1530" i="697"/>
  <c r="U1517" i="697"/>
  <c r="Y1517" i="697" s="1"/>
  <c r="U1376" i="697"/>
  <c r="Y1376" i="697" s="1"/>
  <c r="U1402" i="697"/>
  <c r="Y1402" i="697" s="1"/>
  <c r="U1403" i="697"/>
  <c r="Y1403" i="697" s="1"/>
  <c r="U1404" i="697"/>
  <c r="U1405" i="697"/>
  <c r="Y1405" i="697" s="1"/>
  <c r="U1371" i="697"/>
  <c r="Y1371" i="697" s="1"/>
  <c r="U1589" i="697"/>
  <c r="Y1589" i="697" s="1"/>
  <c r="U1436" i="697"/>
  <c r="U1557" i="697"/>
  <c r="Y1557" i="697" s="1"/>
  <c r="U1437" i="697"/>
  <c r="U1569" i="697"/>
  <c r="U1486" i="697"/>
  <c r="U1605" i="697"/>
  <c r="Y1605" i="697" s="1"/>
  <c r="U1518" i="697"/>
  <c r="Y1518" i="697" s="1"/>
  <c r="U1558" i="697"/>
  <c r="U1487" i="697"/>
  <c r="Y1487" i="697" s="1"/>
  <c r="U1553" i="697"/>
  <c r="Y1553" i="697" s="1"/>
  <c r="U1384" i="697"/>
  <c r="Y1384" i="697" s="1"/>
  <c r="U1385" i="697"/>
  <c r="U1387" i="697"/>
  <c r="U1570" i="697"/>
  <c r="Y1570" i="697" s="1"/>
  <c r="U1595" i="697"/>
  <c r="Y1595" i="697" s="1"/>
  <c r="U1574" i="697"/>
  <c r="U1393" i="697"/>
  <c r="Y1393" i="697" s="1"/>
  <c r="U1391" i="697"/>
  <c r="U1392" i="697"/>
  <c r="Y1392" i="697" s="1"/>
  <c r="U1415" i="697"/>
  <c r="U1554" i="697"/>
  <c r="U1406" i="697"/>
  <c r="Y1406" i="697" s="1"/>
  <c r="U1590" i="697"/>
  <c r="U1407" i="697"/>
  <c r="U1588" i="697"/>
  <c r="Y1588" i="697" s="1"/>
  <c r="U1438" i="697"/>
  <c r="U1488" i="697"/>
  <c r="Y1488" i="697" s="1"/>
  <c r="U1601" i="697"/>
  <c r="U1443" i="697"/>
  <c r="U1447" i="697"/>
  <c r="U1445" i="697"/>
  <c r="Y1445" i="697" s="1"/>
  <c r="U1420" i="697"/>
  <c r="Y1420" i="697" s="1"/>
  <c r="U1408" i="697"/>
  <c r="U1498" i="697"/>
  <c r="U1499" i="697"/>
  <c r="U1500" i="697"/>
  <c r="U1446" i="697"/>
  <c r="Y1446" i="697" s="1"/>
  <c r="U1522" i="697"/>
  <c r="Y1522" i="697" s="1"/>
  <c r="U1523" i="697"/>
  <c r="Y1523" i="697" s="1"/>
  <c r="U1490" i="697"/>
  <c r="U1571" i="697"/>
  <c r="U1444" i="697"/>
  <c r="U1448" i="697"/>
  <c r="Y1448" i="697" s="1"/>
  <c r="U1565" i="697"/>
  <c r="Y1565" i="697" s="1"/>
  <c r="U1416" i="697"/>
  <c r="U1489" i="697"/>
  <c r="Y1489" i="697" s="1"/>
  <c r="U1602" i="697"/>
  <c r="U1591" i="697"/>
  <c r="Y1591" i="697" s="1"/>
  <c r="U1611" i="697"/>
  <c r="Y1611" i="697" s="1"/>
  <c r="U1419" i="697"/>
  <c r="U1592" i="697"/>
  <c r="Y1592" i="697" s="1"/>
  <c r="U1593" i="697"/>
  <c r="U1422" i="697"/>
  <c r="U1421" i="697"/>
  <c r="U1545" i="697"/>
  <c r="U1460" i="697"/>
  <c r="Y1460" i="697" s="1"/>
  <c r="U1525" i="697"/>
  <c r="Y1525" i="697" s="1"/>
  <c r="U1426" i="697"/>
  <c r="U1461" i="697"/>
  <c r="Y1461" i="697" s="1"/>
  <c r="U1462" i="697"/>
  <c r="Y1462" i="697" s="1"/>
  <c r="U1427" i="697"/>
  <c r="U1428" i="697"/>
  <c r="Y1428" i="697" s="1"/>
  <c r="U1449" i="697"/>
  <c r="Y1449" i="697" s="1"/>
  <c r="U1431" i="697"/>
  <c r="U1430" i="697"/>
  <c r="Y1430" i="697" s="1"/>
  <c r="U1491" i="697"/>
  <c r="Y1491" i="697" s="1"/>
  <c r="U1452" i="697"/>
  <c r="U1575" i="697"/>
  <c r="U1456" i="697"/>
  <c r="Y1456" i="697" s="1"/>
  <c r="U1450" i="697"/>
  <c r="U1567" i="697"/>
  <c r="Y1567" i="697" s="1"/>
  <c r="U1566" i="697"/>
  <c r="Y1566" i="697" s="1"/>
  <c r="U1524" i="697"/>
  <c r="Y1524" i="697" s="1"/>
  <c r="U1458" i="697"/>
  <c r="Y1458" i="697" s="1"/>
  <c r="U1457" i="697"/>
  <c r="Y1457" i="697" s="1"/>
  <c r="U1463" i="697"/>
  <c r="U1453" i="697"/>
  <c r="U1409" i="697"/>
  <c r="U1454" i="697"/>
  <c r="U1576" i="697"/>
  <c r="Y1576" i="697" s="1"/>
  <c r="U1633" i="697"/>
  <c r="Y1633" i="697" s="1"/>
  <c r="U1562" i="697"/>
  <c r="U1459" i="697"/>
  <c r="U1543" i="697"/>
  <c r="U1541" i="697"/>
  <c r="Y1541" i="697" s="1"/>
  <c r="U1470" i="697"/>
  <c r="U1468" i="697"/>
  <c r="U1467" i="697"/>
  <c r="Y1467" i="697" s="1"/>
  <c r="U1469" i="697"/>
  <c r="Y1469" i="697" s="1"/>
  <c r="U1606" i="697"/>
  <c r="U1476" i="697"/>
  <c r="U1471" i="697"/>
  <c r="U1472" i="697"/>
  <c r="Y1472" i="697" s="1"/>
  <c r="U1577" i="697"/>
  <c r="U1582" i="697"/>
  <c r="U1549" i="697"/>
  <c r="U1550" i="697"/>
  <c r="Y1550" i="697" s="1"/>
  <c r="U1540" i="697"/>
  <c r="U1531" i="697"/>
  <c r="Y1531" i="697" s="1"/>
  <c r="U1587" i="697"/>
  <c r="Y1587" i="697" s="1"/>
  <c r="U1563" i="697"/>
  <c r="U1546" i="697"/>
  <c r="U1564" i="697"/>
  <c r="U1614" i="697"/>
  <c r="Y1614" i="697" s="1"/>
  <c r="U1544" i="697"/>
  <c r="U1607" i="697"/>
  <c r="U1494" i="697"/>
  <c r="U1495" i="697"/>
  <c r="U1568" i="697"/>
  <c r="U1538" i="697"/>
  <c r="U1533" i="697"/>
  <c r="U1551" i="697"/>
  <c r="Y1551" i="697" s="1"/>
  <c r="U1532" i="697"/>
  <c r="U1542" i="697"/>
  <c r="Y1542" i="697" s="1"/>
  <c r="U1596" i="697"/>
  <c r="U1610" i="697"/>
  <c r="U1597" i="697"/>
  <c r="Y1597" i="697" s="1"/>
  <c r="U1583" i="697"/>
  <c r="U1603" i="697"/>
  <c r="U1619" i="697"/>
  <c r="Y1619" i="697" s="1"/>
  <c r="U1584" i="697"/>
  <c r="Y1584" i="697" s="1"/>
  <c r="U1502" i="697"/>
  <c r="Y1502" i="697" s="1"/>
  <c r="U1503" i="697"/>
  <c r="Y1503" i="697" s="1"/>
  <c r="U1504" i="697"/>
  <c r="Y1504" i="697" s="1"/>
  <c r="U1505" i="697"/>
  <c r="Y1505" i="697" s="1"/>
  <c r="U1506" i="697"/>
  <c r="Y1506" i="697" s="1"/>
  <c r="U1507" i="697"/>
  <c r="U1508" i="697"/>
  <c r="Y1508" i="697" s="1"/>
  <c r="U1621" i="697"/>
  <c r="U1609" i="697"/>
  <c r="U1561" i="697"/>
  <c r="Y1561" i="697" s="1"/>
  <c r="U1511" i="697"/>
  <c r="U1512" i="697"/>
  <c r="U1552" i="697"/>
  <c r="Y1552" i="697" s="1"/>
  <c r="U1598" i="697"/>
  <c r="U1599" i="697"/>
  <c r="U1513" i="697"/>
  <c r="U1519" i="697"/>
  <c r="Y1519" i="697" s="1"/>
  <c r="V1292" i="697"/>
  <c r="W1292" i="697" s="1"/>
  <c r="V103" i="697"/>
  <c r="W103" i="697" s="1"/>
  <c r="V104" i="697"/>
  <c r="V22" i="697"/>
  <c r="W22" i="697" s="1"/>
  <c r="V23" i="697"/>
  <c r="W23" i="697" s="1"/>
  <c r="V12" i="697"/>
  <c r="W12" i="697" s="1"/>
  <c r="V196" i="697"/>
  <c r="W196" i="697" s="1"/>
  <c r="V4" i="697"/>
  <c r="W4" i="697" s="1"/>
  <c r="V24" i="697"/>
  <c r="W24" i="697" s="1"/>
  <c r="V208" i="697"/>
  <c r="W208" i="697" s="1"/>
  <c r="V6" i="697"/>
  <c r="W6" i="697" s="1"/>
  <c r="V13" i="697"/>
  <c r="W13" i="697" s="1"/>
  <c r="V14" i="697"/>
  <c r="W14" i="697" s="1"/>
  <c r="V2" i="697"/>
  <c r="W2" i="697" s="1"/>
  <c r="V16" i="697"/>
  <c r="W16" i="697" s="1"/>
  <c r="V17" i="697"/>
  <c r="W17" i="697" s="1"/>
  <c r="V34" i="697"/>
  <c r="W34" i="697" s="1"/>
  <c r="V15" i="697"/>
  <c r="W15" i="697" s="1"/>
  <c r="V45" i="697"/>
  <c r="W45" i="697" s="1"/>
  <c r="V77" i="697"/>
  <c r="W77" i="697" s="1"/>
  <c r="V117" i="697"/>
  <c r="W117" i="697" s="1"/>
  <c r="V79" i="697"/>
  <c r="W79" i="697" s="1"/>
  <c r="V78" i="697"/>
  <c r="W78" i="697" s="1"/>
  <c r="V80" i="697"/>
  <c r="W80" i="697" s="1"/>
  <c r="V40" i="697"/>
  <c r="W40" i="697" s="1"/>
  <c r="V3" i="697"/>
  <c r="W3" i="697" s="1"/>
  <c r="V209" i="697"/>
  <c r="W209" i="697" s="1"/>
  <c r="V5" i="697"/>
  <c r="W5" i="697" s="1"/>
  <c r="V18" i="697"/>
  <c r="W18" i="697" s="1"/>
  <c r="V20" i="697"/>
  <c r="W20" i="697" s="1"/>
  <c r="V19" i="697"/>
  <c r="W19" i="697" s="1"/>
  <c r="V7" i="697"/>
  <c r="W7" i="697" s="1"/>
  <c r="V8" i="697"/>
  <c r="W8" i="697" s="1"/>
  <c r="V10" i="697"/>
  <c r="W10" i="697" s="1"/>
  <c r="V105" i="697"/>
  <c r="W105" i="697" s="1"/>
  <c r="V106" i="697"/>
  <c r="W106" i="697" s="1"/>
  <c r="V107" i="697"/>
  <c r="W107" i="697" s="1"/>
  <c r="V11" i="697"/>
  <c r="W11" i="697" s="1"/>
  <c r="V81" i="697"/>
  <c r="W81" i="697" s="1"/>
  <c r="V174" i="697"/>
  <c r="W174" i="697" s="1"/>
  <c r="V175" i="697"/>
  <c r="W175" i="697" s="1"/>
  <c r="V82" i="697"/>
  <c r="W82" i="697" s="1"/>
  <c r="V84" i="697"/>
  <c r="W84" i="697" s="1"/>
  <c r="V118" i="697"/>
  <c r="W118" i="697" s="1"/>
  <c r="V85" i="697"/>
  <c r="W85" i="697" s="1"/>
  <c r="V83" i="697"/>
  <c r="W83" i="697" s="1"/>
  <c r="V86" i="697"/>
  <c r="W86" i="697" s="1"/>
  <c r="V87" i="697"/>
  <c r="W87" i="697" s="1"/>
  <c r="V21" i="697"/>
  <c r="W21" i="697" s="1"/>
  <c r="V210" i="697"/>
  <c r="W210" i="697" s="1"/>
  <c r="V88" i="697"/>
  <c r="W88" i="697" s="1"/>
  <c r="V27" i="697"/>
  <c r="W27" i="697" s="1"/>
  <c r="V28" i="697"/>
  <c r="W28" i="697" s="1"/>
  <c r="V29" i="697"/>
  <c r="W29" i="697" s="1"/>
  <c r="V30" i="697"/>
  <c r="W30" i="697" s="1"/>
  <c r="V31" i="697"/>
  <c r="W31" i="697" s="1"/>
  <c r="V32" i="697"/>
  <c r="W32" i="697" s="1"/>
  <c r="V33" i="697"/>
  <c r="W33" i="697" s="1"/>
  <c r="V219" i="697"/>
  <c r="W219" i="697" s="1"/>
  <c r="V90" i="697"/>
  <c r="W90" i="697" s="1"/>
  <c r="V89" i="697"/>
  <c r="W89" i="697" s="1"/>
  <c r="V96" i="697"/>
  <c r="W96" i="697" s="1"/>
  <c r="V115" i="697"/>
  <c r="W115" i="697" s="1"/>
  <c r="V125" i="697"/>
  <c r="W125" i="697" s="1"/>
  <c r="V67" i="697"/>
  <c r="W67" i="697" s="1"/>
  <c r="V171" i="697"/>
  <c r="W171" i="697" s="1"/>
  <c r="V75" i="697"/>
  <c r="W75" i="697" s="1"/>
  <c r="V46" i="697"/>
  <c r="W46" i="697" s="1"/>
  <c r="V47" i="697"/>
  <c r="W47" i="697" s="1"/>
  <c r="V48" i="697"/>
  <c r="W48" i="697" s="1"/>
  <c r="V37" i="697"/>
  <c r="W37" i="697" s="1"/>
  <c r="V53" i="697"/>
  <c r="W53" i="697" s="1"/>
  <c r="V54" i="697"/>
  <c r="W54" i="697" s="1"/>
  <c r="V55" i="697"/>
  <c r="W55" i="697" s="1"/>
  <c r="V56" i="697"/>
  <c r="W56" i="697" s="1"/>
  <c r="V57" i="697"/>
  <c r="W57" i="697" s="1"/>
  <c r="V49" i="697"/>
  <c r="W49" i="697" s="1"/>
  <c r="V50" i="697"/>
  <c r="W50" i="697" s="1"/>
  <c r="V51" i="697"/>
  <c r="W51" i="697" s="1"/>
  <c r="V119" i="697"/>
  <c r="W119" i="697" s="1"/>
  <c r="V52" i="697"/>
  <c r="W52" i="697" s="1"/>
  <c r="V114" i="697"/>
  <c r="W114" i="697" s="1"/>
  <c r="V35" i="697"/>
  <c r="W35" i="697" s="1"/>
  <c r="V58" i="697"/>
  <c r="W58" i="697" s="1"/>
  <c r="V59" i="697"/>
  <c r="W59" i="697" s="1"/>
  <c r="V60" i="697"/>
  <c r="W60" i="697" s="1"/>
  <c r="V61" i="697"/>
  <c r="W61" i="697" s="1"/>
  <c r="V62" i="697"/>
  <c r="W62" i="697" s="1"/>
  <c r="V63" i="697"/>
  <c r="W63" i="697" s="1"/>
  <c r="V126" i="697"/>
  <c r="W126" i="697" s="1"/>
  <c r="V116" i="697"/>
  <c r="W116" i="697" s="1"/>
  <c r="V120" i="697"/>
  <c r="W120" i="697" s="1"/>
  <c r="V91" i="697"/>
  <c r="W91" i="697" s="1"/>
  <c r="V133" i="697"/>
  <c r="W133" i="697" s="1"/>
  <c r="V92" i="697"/>
  <c r="W92" i="697" s="1"/>
  <c r="V93" i="697"/>
  <c r="W93" i="697" s="1"/>
  <c r="V36" i="697"/>
  <c r="W36" i="697" s="1"/>
  <c r="V108" i="697"/>
  <c r="W108" i="697" s="1"/>
  <c r="V109" i="697"/>
  <c r="W109" i="697" s="1"/>
  <c r="V110" i="697"/>
  <c r="W110" i="697" s="1"/>
  <c r="V111" i="697"/>
  <c r="W111" i="697" s="1"/>
  <c r="V64" i="697"/>
  <c r="W64" i="697" s="1"/>
  <c r="V213" i="697"/>
  <c r="W213" i="697" s="1"/>
  <c r="V134" i="697"/>
  <c r="W134" i="697" s="1"/>
  <c r="V131" i="697"/>
  <c r="W131" i="697" s="1"/>
  <c r="V140" i="697"/>
  <c r="W140" i="697" s="1"/>
  <c r="V38" i="697"/>
  <c r="W38" i="697" s="1"/>
  <c r="V399" i="697"/>
  <c r="W399" i="697" s="1"/>
  <c r="V68" i="697"/>
  <c r="W68" i="697" s="1"/>
  <c r="V65" i="697"/>
  <c r="W65" i="697" s="1"/>
  <c r="V176" i="697"/>
  <c r="W176" i="697" s="1"/>
  <c r="V127" i="697"/>
  <c r="W127" i="697" s="1"/>
  <c r="V129" i="697"/>
  <c r="W129" i="697" s="1"/>
  <c r="V97" i="697"/>
  <c r="W97" i="697" s="1"/>
  <c r="V206" i="697"/>
  <c r="W206" i="697" s="1"/>
  <c r="V39" i="697"/>
  <c r="W39" i="697" s="1"/>
  <c r="V66" i="697"/>
  <c r="W66" i="697" s="1"/>
  <c r="V230" i="697"/>
  <c r="W230" i="697" s="1"/>
  <c r="V254" i="697"/>
  <c r="W254" i="697" s="1"/>
  <c r="V160" i="697"/>
  <c r="W160" i="697" s="1"/>
  <c r="V42" i="697"/>
  <c r="W42" i="697" s="1"/>
  <c r="V41" i="697"/>
  <c r="W41" i="697" s="1"/>
  <c r="V76" i="697"/>
  <c r="W76" i="697" s="1"/>
  <c r="V44" i="697"/>
  <c r="W44" i="697" s="1"/>
  <c r="V121" i="697"/>
  <c r="W121" i="697" s="1"/>
  <c r="V43" i="697"/>
  <c r="W43" i="697" s="1"/>
  <c r="V236" i="697"/>
  <c r="W236" i="697" s="1"/>
  <c r="V255" i="697"/>
  <c r="W255" i="697" s="1"/>
  <c r="V26" i="697"/>
  <c r="W26" i="697" s="1"/>
  <c r="V25" i="697"/>
  <c r="W25" i="697" s="1"/>
  <c r="V94" i="697"/>
  <c r="W94" i="697" s="1"/>
  <c r="V237" i="697"/>
  <c r="W237" i="697" s="1"/>
  <c r="V214" i="697"/>
  <c r="W214" i="697" s="1"/>
  <c r="V256" i="697"/>
  <c r="W256" i="697" s="1"/>
  <c r="V135" i="697"/>
  <c r="W135" i="697" s="1"/>
  <c r="V161" i="697"/>
  <c r="W161" i="697" s="1"/>
  <c r="V257" i="697"/>
  <c r="W257" i="697" s="1"/>
  <c r="V207" i="697"/>
  <c r="W207" i="697" s="1"/>
  <c r="V162" i="697"/>
  <c r="W162" i="697" s="1"/>
  <c r="V177" i="697"/>
  <c r="W177" i="697" s="1"/>
  <c r="V122" i="697"/>
  <c r="W122" i="697" s="1"/>
  <c r="V163" i="697"/>
  <c r="W163" i="697" s="1"/>
  <c r="V69" i="697"/>
  <c r="W69" i="697" s="1"/>
  <c r="V70" i="697"/>
  <c r="W70" i="697" s="1"/>
  <c r="V71" i="697"/>
  <c r="W71" i="697" s="1"/>
  <c r="V72" i="697"/>
  <c r="W72" i="697" s="1"/>
  <c r="V73" i="697"/>
  <c r="W73" i="697" s="1"/>
  <c r="V74" i="697"/>
  <c r="W74" i="697" s="1"/>
  <c r="V258" i="697"/>
  <c r="W258" i="697" s="1"/>
  <c r="V178" i="697"/>
  <c r="W178" i="697" s="1"/>
  <c r="V155" i="697"/>
  <c r="W155" i="697" s="1"/>
  <c r="V146" i="697"/>
  <c r="W146" i="697" s="1"/>
  <c r="V156" i="697"/>
  <c r="W156" i="697" s="1"/>
  <c r="V157" i="697"/>
  <c r="W157" i="697" s="1"/>
  <c r="V211" i="697"/>
  <c r="W211" i="697" s="1"/>
  <c r="V145" i="697"/>
  <c r="W145" i="697" s="1"/>
  <c r="V151" i="697"/>
  <c r="W151" i="697" s="1"/>
  <c r="V152" i="697"/>
  <c r="W152" i="697" s="1"/>
  <c r="V153" i="697"/>
  <c r="W153" i="697" s="1"/>
  <c r="V154" i="697"/>
  <c r="W154" i="697" s="1"/>
  <c r="V141" i="697"/>
  <c r="W141" i="697" s="1"/>
  <c r="V142" i="697"/>
  <c r="W142" i="697" s="1"/>
  <c r="V143" i="697"/>
  <c r="W143" i="697" s="1"/>
  <c r="V144" i="697"/>
  <c r="W144" i="697" s="1"/>
  <c r="V150" i="697"/>
  <c r="W150" i="697" s="1"/>
  <c r="V158" i="697"/>
  <c r="W158" i="697" s="1"/>
  <c r="V229" i="697"/>
  <c r="W229" i="697" s="1"/>
  <c r="V95" i="697"/>
  <c r="W95" i="697" s="1"/>
  <c r="V159" i="697"/>
  <c r="W159" i="697" s="1"/>
  <c r="V240" i="697"/>
  <c r="W240" i="697" s="1"/>
  <c r="V101" i="697"/>
  <c r="W101" i="697" s="1"/>
  <c r="V100" i="697"/>
  <c r="W100" i="697" s="1"/>
  <c r="V98" i="697"/>
  <c r="W98" i="697" s="1"/>
  <c r="V99" i="697"/>
  <c r="W99" i="697" s="1"/>
  <c r="V284" i="697"/>
  <c r="W284" i="697" s="1"/>
  <c r="V102" i="697"/>
  <c r="W102" i="697" s="1"/>
  <c r="V275" i="697"/>
  <c r="W275" i="697" s="1"/>
  <c r="V197" i="697"/>
  <c r="W197" i="697" s="1"/>
  <c r="V231" i="697"/>
  <c r="W231" i="697" s="1"/>
  <c r="V148" i="697"/>
  <c r="W148" i="697" s="1"/>
  <c r="V112" i="697"/>
  <c r="W112" i="697" s="1"/>
  <c r="V147" i="697"/>
  <c r="W147" i="697" s="1"/>
  <c r="V113" i="697"/>
  <c r="W113" i="697" s="1"/>
  <c r="V259" i="697"/>
  <c r="W259" i="697" s="1"/>
  <c r="V123" i="697"/>
  <c r="W123" i="697" s="1"/>
  <c r="V252" i="697"/>
  <c r="W252" i="697" s="1"/>
  <c r="V238" i="697"/>
  <c r="W238" i="697" s="1"/>
  <c r="V232" i="697"/>
  <c r="W232" i="697" s="1"/>
  <c r="V253" i="697"/>
  <c r="W253" i="697" s="1"/>
  <c r="V233" i="697"/>
  <c r="W233" i="697" s="1"/>
  <c r="V835" i="697"/>
  <c r="W835" i="697" s="1"/>
  <c r="V124" i="697"/>
  <c r="W124" i="697" s="1"/>
  <c r="V234" i="697"/>
  <c r="W234" i="697" s="1"/>
  <c r="V244" i="697"/>
  <c r="W244" i="697" s="1"/>
  <c r="V260" i="697"/>
  <c r="W260" i="697" s="1"/>
  <c r="V181" i="697"/>
  <c r="W181" i="697" s="1"/>
  <c r="V182" i="697"/>
  <c r="W182" i="697" s="1"/>
  <c r="V183" i="697"/>
  <c r="W183" i="697" s="1"/>
  <c r="V184" i="697"/>
  <c r="W184" i="697" s="1"/>
  <c r="V172" i="697"/>
  <c r="W172" i="697" s="1"/>
  <c r="V330" i="697"/>
  <c r="W330" i="697" s="1"/>
  <c r="V245" i="697"/>
  <c r="W245" i="697" s="1"/>
  <c r="V128" i="697"/>
  <c r="W128" i="697" s="1"/>
  <c r="V285" i="697"/>
  <c r="W285" i="697" s="1"/>
  <c r="V130" i="697"/>
  <c r="W130" i="697" s="1"/>
  <c r="V132" i="697"/>
  <c r="W132" i="697" s="1"/>
  <c r="V198" i="697"/>
  <c r="W198" i="697" s="1"/>
  <c r="V349" i="697"/>
  <c r="W349" i="697" s="1"/>
  <c r="V185" i="697"/>
  <c r="W185" i="697" s="1"/>
  <c r="V312" i="697"/>
  <c r="W312" i="697" s="1"/>
  <c r="V136" i="697"/>
  <c r="W136" i="697" s="1"/>
  <c r="V277" i="697"/>
  <c r="W277" i="697" s="1"/>
  <c r="V241" i="697"/>
  <c r="W241" i="697" s="1"/>
  <c r="V276" i="697"/>
  <c r="W276" i="697" s="1"/>
  <c r="V408" i="697"/>
  <c r="W408" i="697" s="1"/>
  <c r="V286" i="697"/>
  <c r="W286" i="697" s="1"/>
  <c r="V278" i="697"/>
  <c r="W278" i="697" s="1"/>
  <c r="V279" i="697"/>
  <c r="W279" i="697" s="1"/>
  <c r="V280" i="697"/>
  <c r="W280" i="697" s="1"/>
  <c r="V149" i="697"/>
  <c r="W149" i="697" s="1"/>
  <c r="V261" i="697"/>
  <c r="W261" i="697" s="1"/>
  <c r="V137" i="697"/>
  <c r="W137" i="697" s="1"/>
  <c r="V220" i="697"/>
  <c r="W220" i="697" s="1"/>
  <c r="V394" i="697"/>
  <c r="W394" i="697" s="1"/>
  <c r="V305" i="697"/>
  <c r="W305" i="697" s="1"/>
  <c r="V164" i="697"/>
  <c r="W164" i="697" s="1"/>
  <c r="V138" i="697"/>
  <c r="W138" i="697" s="1"/>
  <c r="V139" i="697"/>
  <c r="W139" i="697" s="1"/>
  <c r="V186" i="697"/>
  <c r="W186" i="697" s="1"/>
  <c r="V221" i="697"/>
  <c r="W221" i="697" s="1"/>
  <c r="V281" i="697"/>
  <c r="W281" i="697" s="1"/>
  <c r="V331" i="697"/>
  <c r="W331" i="697" s="1"/>
  <c r="V262" i="697"/>
  <c r="W262" i="697" s="1"/>
  <c r="V263" i="697"/>
  <c r="W263" i="697" s="1"/>
  <c r="V306" i="697"/>
  <c r="W306" i="697" s="1"/>
  <c r="V320" i="697"/>
  <c r="W320" i="697" s="1"/>
  <c r="V332" i="697"/>
  <c r="W332" i="697" s="1"/>
  <c r="V199" i="697"/>
  <c r="W199" i="697" s="1"/>
  <c r="V373" i="697"/>
  <c r="W373" i="697" s="1"/>
  <c r="V357" i="697"/>
  <c r="W357" i="697" s="1"/>
  <c r="V282" i="697"/>
  <c r="W282" i="697" s="1"/>
  <c r="V170" i="697"/>
  <c r="W170" i="697" s="1"/>
  <c r="V165" i="697"/>
  <c r="W165" i="697" s="1"/>
  <c r="V166" i="697"/>
  <c r="W166" i="697" s="1"/>
  <c r="V167" i="697"/>
  <c r="W167" i="697" s="1"/>
  <c r="V168" i="697"/>
  <c r="W168" i="697" s="1"/>
  <c r="V169" i="697"/>
  <c r="W169" i="697" s="1"/>
  <c r="V333" i="697"/>
  <c r="W333" i="697" s="1"/>
  <c r="V374" i="697"/>
  <c r="W374" i="697" s="1"/>
  <c r="V194" i="697"/>
  <c r="W194" i="697" s="1"/>
  <c r="V201" i="697"/>
  <c r="W201" i="697" s="1"/>
  <c r="V173" i="697"/>
  <c r="W173" i="697" s="1"/>
  <c r="V200" i="697"/>
  <c r="W200" i="697" s="1"/>
  <c r="V265" i="697"/>
  <c r="W265" i="697" s="1"/>
  <c r="V266" i="697"/>
  <c r="W266" i="697" s="1"/>
  <c r="V235" i="697"/>
  <c r="W235" i="697" s="1"/>
  <c r="V192" i="697"/>
  <c r="W192" i="697" s="1"/>
  <c r="V193" i="697"/>
  <c r="W193" i="697" s="1"/>
  <c r="V187" i="697"/>
  <c r="W187" i="697" s="1"/>
  <c r="V188" i="697"/>
  <c r="W188" i="697" s="1"/>
  <c r="V189" i="697"/>
  <c r="W189" i="697" s="1"/>
  <c r="V190" i="697"/>
  <c r="W190" i="697" s="1"/>
  <c r="V191" i="697"/>
  <c r="W191" i="697" s="1"/>
  <c r="V195" i="697"/>
  <c r="W195" i="697" s="1"/>
  <c r="V215" i="697"/>
  <c r="W215" i="697" s="1"/>
  <c r="V307" i="697"/>
  <c r="W307" i="697" s="1"/>
  <c r="V179" i="697"/>
  <c r="W179" i="697" s="1"/>
  <c r="V180" i="697"/>
  <c r="W180" i="697" s="1"/>
  <c r="V313" i="697"/>
  <c r="W313" i="697" s="1"/>
  <c r="V267" i="697"/>
  <c r="W267" i="697" s="1"/>
  <c r="V268" i="697"/>
  <c r="W268" i="697" s="1"/>
  <c r="V269" i="697"/>
  <c r="W269" i="697" s="1"/>
  <c r="V222" i="697"/>
  <c r="W222" i="697" s="1"/>
  <c r="V335" i="697"/>
  <c r="W335" i="697" s="1"/>
  <c r="V376" i="697"/>
  <c r="W376" i="697" s="1"/>
  <c r="V204" i="697"/>
  <c r="W204" i="697" s="1"/>
  <c r="V334" i="697"/>
  <c r="W334" i="697" s="1"/>
  <c r="V442" i="697"/>
  <c r="W442" i="697" s="1"/>
  <c r="V202" i="697"/>
  <c r="W202" i="697" s="1"/>
  <c r="V203" i="697"/>
  <c r="W203" i="697" s="1"/>
  <c r="V301" i="697"/>
  <c r="W301" i="697" s="1"/>
  <c r="V375" i="697"/>
  <c r="W375" i="697" s="1"/>
  <c r="V223" i="697"/>
  <c r="W223" i="697" s="1"/>
  <c r="V224" i="697"/>
  <c r="W224" i="697" s="1"/>
  <c r="V225" i="697"/>
  <c r="W225" i="697" s="1"/>
  <c r="V226" i="697"/>
  <c r="W226" i="697" s="1"/>
  <c r="V205" i="697"/>
  <c r="W205" i="697" s="1"/>
  <c r="V303" i="697"/>
  <c r="W303" i="697" s="1"/>
  <c r="V336" i="697"/>
  <c r="W336" i="697" s="1"/>
  <c r="V337" i="697"/>
  <c r="W337" i="697" s="1"/>
  <c r="V308" i="697"/>
  <c r="W308" i="697" s="1"/>
  <c r="V216" i="697"/>
  <c r="W216" i="697" s="1"/>
  <c r="V212" i="697"/>
  <c r="W212" i="697" s="1"/>
  <c r="V338" i="697"/>
  <c r="W338" i="697" s="1"/>
  <c r="V530" i="697"/>
  <c r="W530" i="697" s="1"/>
  <c r="V395" i="697"/>
  <c r="W395" i="697" s="1"/>
  <c r="V217" i="697"/>
  <c r="W217" i="697" s="1"/>
  <c r="V377" i="697"/>
  <c r="W377" i="697" s="1"/>
  <c r="V218" i="697"/>
  <c r="W218" i="697" s="1"/>
  <c r="V227" i="697"/>
  <c r="W227" i="697" s="1"/>
  <c r="V297" i="697"/>
  <c r="W297" i="697" s="1"/>
  <c r="V340" i="697"/>
  <c r="W340" i="697" s="1"/>
  <c r="V339" i="697"/>
  <c r="W339" i="697" s="1"/>
  <c r="V228" i="697"/>
  <c r="W228" i="697" s="1"/>
  <c r="V298" i="697"/>
  <c r="W298" i="697" s="1"/>
  <c r="V504" i="697"/>
  <c r="W504" i="697" s="1"/>
  <c r="V242" i="697"/>
  <c r="W242" i="697" s="1"/>
  <c r="V341" i="697"/>
  <c r="W341" i="697" s="1"/>
  <c r="V314" i="697"/>
  <c r="W314" i="697" s="1"/>
  <c r="V361" i="697"/>
  <c r="W361" i="697" s="1"/>
  <c r="V342" i="697"/>
  <c r="W342" i="697" s="1"/>
  <c r="V283" i="697"/>
  <c r="W283" i="697" s="1"/>
  <c r="V531" i="697"/>
  <c r="W531" i="697" s="1"/>
  <c r="V270" i="697"/>
  <c r="W270" i="697" s="1"/>
  <c r="V271" i="697"/>
  <c r="W271" i="697" s="1"/>
  <c r="V343" i="697"/>
  <c r="W343" i="697" s="1"/>
  <c r="V315" i="697"/>
  <c r="W315" i="697" s="1"/>
  <c r="V239" i="697"/>
  <c r="W239" i="697" s="1"/>
  <c r="V344" i="697"/>
  <c r="W344" i="697" s="1"/>
  <c r="V346" i="697"/>
  <c r="W346" i="697" s="1"/>
  <c r="V345" i="697"/>
  <c r="W345" i="697" s="1"/>
  <c r="V411" i="697"/>
  <c r="W411" i="697" s="1"/>
  <c r="V378" i="697"/>
  <c r="W378" i="697" s="1"/>
  <c r="V347" i="697"/>
  <c r="W347" i="697" s="1"/>
  <c r="V379" i="697"/>
  <c r="W379" i="697" s="1"/>
  <c r="V407" i="697"/>
  <c r="W407" i="697" s="1"/>
  <c r="V362" i="697"/>
  <c r="W362" i="697" s="1"/>
  <c r="V363" i="697"/>
  <c r="W363" i="697" s="1"/>
  <c r="V243" i="697"/>
  <c r="W243" i="697" s="1"/>
  <c r="V364" i="697"/>
  <c r="W364" i="697" s="1"/>
  <c r="V406" i="697"/>
  <c r="W406" i="697" s="1"/>
  <c r="V348" i="697"/>
  <c r="W348" i="697" s="1"/>
  <c r="V380" i="697"/>
  <c r="W380" i="697" s="1"/>
  <c r="V272" i="697"/>
  <c r="W272" i="697" s="1"/>
  <c r="V246" i="697"/>
  <c r="W246" i="697" s="1"/>
  <c r="V287" i="697"/>
  <c r="W287" i="697" s="1"/>
  <c r="V365" i="697"/>
  <c r="W365" i="697" s="1"/>
  <c r="V274" i="697"/>
  <c r="W274" i="697" s="1"/>
  <c r="V247" i="697"/>
  <c r="W247" i="697" s="1"/>
  <c r="V248" i="697"/>
  <c r="W248" i="697" s="1"/>
  <c r="V249" i="697"/>
  <c r="W249" i="697" s="1"/>
  <c r="V250" i="697"/>
  <c r="W250" i="697" s="1"/>
  <c r="V251" i="697"/>
  <c r="W251" i="697" s="1"/>
  <c r="V273" i="697"/>
  <c r="W273" i="697" s="1"/>
  <c r="V291" i="697"/>
  <c r="W291" i="697" s="1"/>
  <c r="V292" i="697"/>
  <c r="W292" i="697" s="1"/>
  <c r="V422" i="697"/>
  <c r="W422" i="697" s="1"/>
  <c r="V388" i="697"/>
  <c r="W388" i="697" s="1"/>
  <c r="V302" i="697"/>
  <c r="W302" i="697" s="1"/>
  <c r="V290" i="697"/>
  <c r="W290" i="697" s="1"/>
  <c r="V316" i="697"/>
  <c r="W316" i="697" s="1"/>
  <c r="V317" i="697"/>
  <c r="W317" i="697" s="1"/>
  <c r="V288" i="697"/>
  <c r="W288" i="697" s="1"/>
  <c r="V289" i="697"/>
  <c r="W289" i="697" s="1"/>
  <c r="V293" i="697"/>
  <c r="W293" i="697" s="1"/>
  <c r="V294" i="697"/>
  <c r="W294" i="697" s="1"/>
  <c r="V264" i="697"/>
  <c r="W264" i="697" s="1"/>
  <c r="V389" i="697"/>
  <c r="W389" i="697" s="1"/>
  <c r="V460" i="697"/>
  <c r="W460" i="697" s="1"/>
  <c r="V461" i="697"/>
  <c r="W461" i="697" s="1"/>
  <c r="V462" i="697"/>
  <c r="W462" i="697" s="1"/>
  <c r="V463" i="697"/>
  <c r="W463" i="697" s="1"/>
  <c r="V464" i="697"/>
  <c r="W464" i="697" s="1"/>
  <c r="V505" i="697"/>
  <c r="W505" i="697" s="1"/>
  <c r="V669" i="697"/>
  <c r="W669" i="697" s="1"/>
  <c r="V423" i="697"/>
  <c r="W423" i="697" s="1"/>
  <c r="V396" i="697"/>
  <c r="W396" i="697" s="1"/>
  <c r="V409" i="697"/>
  <c r="W409" i="697" s="1"/>
  <c r="V381" i="697"/>
  <c r="W381" i="697" s="1"/>
  <c r="V424" i="697"/>
  <c r="W424" i="697" s="1"/>
  <c r="V382" i="697"/>
  <c r="W382" i="697" s="1"/>
  <c r="V443" i="697"/>
  <c r="W443" i="697" s="1"/>
  <c r="V506" i="697"/>
  <c r="W506" i="697" s="1"/>
  <c r="V507" i="697"/>
  <c r="W507" i="697" s="1"/>
  <c r="V524" i="697"/>
  <c r="W524" i="697" s="1"/>
  <c r="V485" i="697"/>
  <c r="W485" i="697" s="1"/>
  <c r="V296" i="697"/>
  <c r="W296" i="697" s="1"/>
  <c r="V295" i="697"/>
  <c r="W295" i="697" s="1"/>
  <c r="V523" i="697"/>
  <c r="W523" i="697" s="1"/>
  <c r="V425" i="697"/>
  <c r="W425" i="697" s="1"/>
  <c r="V410" i="697"/>
  <c r="W410" i="697" s="1"/>
  <c r="V444" i="697"/>
  <c r="W444" i="697" s="1"/>
  <c r="V352" i="697"/>
  <c r="W352" i="697" s="1"/>
  <c r="V397" i="697"/>
  <c r="W397" i="697" s="1"/>
  <c r="V299" i="697"/>
  <c r="W299" i="697" s="1"/>
  <c r="V300" i="697"/>
  <c r="W300" i="697" s="1"/>
  <c r="V383" i="697"/>
  <c r="W383" i="697" s="1"/>
  <c r="V508" i="697"/>
  <c r="W508" i="697" s="1"/>
  <c r="V509" i="697"/>
  <c r="W509" i="697" s="1"/>
  <c r="V510" i="697"/>
  <c r="W510" i="697" s="1"/>
  <c r="V384" i="697"/>
  <c r="W384" i="697" s="1"/>
  <c r="V426" i="697"/>
  <c r="W426" i="697" s="1"/>
  <c r="V532" i="697"/>
  <c r="W532" i="697" s="1"/>
  <c r="V304" i="697"/>
  <c r="W304" i="697" s="1"/>
  <c r="V614" i="697"/>
  <c r="W614" i="697" s="1"/>
  <c r="V360" i="697"/>
  <c r="W360" i="697" s="1"/>
  <c r="V427" i="697"/>
  <c r="W427" i="697" s="1"/>
  <c r="V428" i="697"/>
  <c r="W428" i="697" s="1"/>
  <c r="V309" i="697"/>
  <c r="W309" i="697" s="1"/>
  <c r="V465" i="697"/>
  <c r="W465" i="697" s="1"/>
  <c r="V466" i="697"/>
  <c r="W466" i="697" s="1"/>
  <c r="V311" i="697"/>
  <c r="W311" i="697" s="1"/>
  <c r="V543" i="697"/>
  <c r="W543" i="697" s="1"/>
  <c r="V544" i="697"/>
  <c r="W544" i="697" s="1"/>
  <c r="V310" i="697"/>
  <c r="W310" i="697" s="1"/>
  <c r="V445" i="697"/>
  <c r="W445" i="697" s="1"/>
  <c r="V413" i="697"/>
  <c r="W413" i="697" s="1"/>
  <c r="V450" i="697"/>
  <c r="W450" i="697" s="1"/>
  <c r="V487" i="697"/>
  <c r="W487" i="697" s="1"/>
  <c r="V318" i="697"/>
  <c r="W318" i="697" s="1"/>
  <c r="V319" i="697"/>
  <c r="W319" i="697" s="1"/>
  <c r="V518" i="697"/>
  <c r="W518" i="697" s="1"/>
  <c r="V519" i="697"/>
  <c r="W519" i="697" s="1"/>
  <c r="V451" i="697"/>
  <c r="W451" i="697" s="1"/>
  <c r="V452" i="697"/>
  <c r="W452" i="697" s="1"/>
  <c r="V429" i="697"/>
  <c r="W429" i="697" s="1"/>
  <c r="V467" i="697"/>
  <c r="W467" i="697" s="1"/>
  <c r="V468" i="697"/>
  <c r="W468" i="697" s="1"/>
  <c r="V390" i="697"/>
  <c r="W390" i="697" s="1"/>
  <c r="V326" i="697"/>
  <c r="W326" i="697" s="1"/>
  <c r="V321" i="697"/>
  <c r="W321" i="697" s="1"/>
  <c r="V322" i="697"/>
  <c r="W322" i="697" s="1"/>
  <c r="V323" i="697"/>
  <c r="W323" i="697" s="1"/>
  <c r="V324" i="697"/>
  <c r="W324" i="697" s="1"/>
  <c r="V325" i="697"/>
  <c r="W325" i="697" s="1"/>
  <c r="V391" i="697"/>
  <c r="W391" i="697" s="1"/>
  <c r="V355" i="697"/>
  <c r="W355" i="697" s="1"/>
  <c r="V386" i="697"/>
  <c r="W386" i="697" s="1"/>
  <c r="V670" i="697"/>
  <c r="W670" i="697" s="1"/>
  <c r="V327" i="697"/>
  <c r="W327" i="697" s="1"/>
  <c r="V328" i="697"/>
  <c r="W328" i="697" s="1"/>
  <c r="V385" i="697"/>
  <c r="W385" i="697" s="1"/>
  <c r="V400" i="697"/>
  <c r="W400" i="697" s="1"/>
  <c r="V401" i="697"/>
  <c r="W401" i="697" s="1"/>
  <c r="V329" i="697"/>
  <c r="W329" i="697" s="1"/>
  <c r="V353" i="697"/>
  <c r="W353" i="697" s="1"/>
  <c r="V354" i="697"/>
  <c r="W354" i="697" s="1"/>
  <c r="V469" i="697"/>
  <c r="W469" i="697" s="1"/>
  <c r="V358" i="697"/>
  <c r="W358" i="697" s="1"/>
  <c r="V520" i="697"/>
  <c r="W520" i="697" s="1"/>
  <c r="V430" i="697"/>
  <c r="W430" i="697" s="1"/>
  <c r="V367" i="697"/>
  <c r="W367" i="697" s="1"/>
  <c r="V453" i="697"/>
  <c r="W453" i="697" s="1"/>
  <c r="V623" i="697"/>
  <c r="W623" i="697" s="1"/>
  <c r="V546" i="697"/>
  <c r="W546" i="697" s="1"/>
  <c r="V624" i="697"/>
  <c r="W624" i="697" s="1"/>
  <c r="V625" i="697"/>
  <c r="W625" i="697" s="1"/>
  <c r="V431" i="697"/>
  <c r="W431" i="697" s="1"/>
  <c r="V350" i="697"/>
  <c r="W350" i="697" s="1"/>
  <c r="V446" i="697"/>
  <c r="W446" i="697" s="1"/>
  <c r="V414" i="697"/>
  <c r="W414" i="697" s="1"/>
  <c r="V432" i="697"/>
  <c r="W432" i="697" s="1"/>
  <c r="V454" i="697"/>
  <c r="W454" i="697" s="1"/>
  <c r="V351" i="697"/>
  <c r="W351" i="697" s="1"/>
  <c r="V455" i="697"/>
  <c r="W455" i="697" s="1"/>
  <c r="V488" i="697"/>
  <c r="W488" i="697" s="1"/>
  <c r="V502" i="697"/>
  <c r="W502" i="697" s="1"/>
  <c r="V370" i="697"/>
  <c r="W370" i="697" s="1"/>
  <c r="V369" i="697"/>
  <c r="W369" i="697" s="1"/>
  <c r="V470" i="697"/>
  <c r="W470" i="697" s="1"/>
  <c r="V402" i="697"/>
  <c r="W402" i="697" s="1"/>
  <c r="V356" i="697"/>
  <c r="W356" i="697" s="1"/>
  <c r="V371" i="697"/>
  <c r="W371" i="697" s="1"/>
  <c r="V489" i="697"/>
  <c r="W489" i="697" s="1"/>
  <c r="V626" i="697"/>
  <c r="W626" i="697" s="1"/>
  <c r="V627" i="697"/>
  <c r="W627" i="697" s="1"/>
  <c r="V490" i="697"/>
  <c r="W490" i="697" s="1"/>
  <c r="V359" i="697"/>
  <c r="W359" i="697" s="1"/>
  <c r="V471" i="697"/>
  <c r="W471" i="697" s="1"/>
  <c r="V368" i="697"/>
  <c r="W368" i="697" s="1"/>
  <c r="V525" i="697"/>
  <c r="W525" i="697" s="1"/>
  <c r="V472" i="697"/>
  <c r="W472" i="697" s="1"/>
  <c r="V366" i="697"/>
  <c r="W366" i="697" s="1"/>
  <c r="V491" i="697"/>
  <c r="W491" i="697" s="1"/>
  <c r="V492" i="697"/>
  <c r="W492" i="697" s="1"/>
  <c r="V433" i="697"/>
  <c r="W433" i="697" s="1"/>
  <c r="V473" i="697"/>
  <c r="W473" i="697" s="1"/>
  <c r="V493" i="697"/>
  <c r="W493" i="697" s="1"/>
  <c r="V372" i="697"/>
  <c r="W372" i="697" s="1"/>
  <c r="V526" i="697"/>
  <c r="W526" i="697" s="1"/>
  <c r="V387" i="697"/>
  <c r="W387" i="697" s="1"/>
  <c r="V474" i="697"/>
  <c r="W474" i="697" s="1"/>
  <c r="V475" i="697"/>
  <c r="W475" i="697" s="1"/>
  <c r="V476" i="697"/>
  <c r="W476" i="697" s="1"/>
  <c r="V477" i="697"/>
  <c r="W477" i="697" s="1"/>
  <c r="V398" i="697"/>
  <c r="W398" i="697" s="1"/>
  <c r="V434" i="697"/>
  <c r="W434" i="697" s="1"/>
  <c r="V628" i="697"/>
  <c r="W628" i="697" s="1"/>
  <c r="V527" i="697"/>
  <c r="W527" i="697" s="1"/>
  <c r="V545" i="697"/>
  <c r="W545" i="697" s="1"/>
  <c r="V392" i="697"/>
  <c r="W392" i="697" s="1"/>
  <c r="V435" i="697"/>
  <c r="W435" i="697" s="1"/>
  <c r="V436" i="697"/>
  <c r="W436" i="697" s="1"/>
  <c r="V393" i="697"/>
  <c r="W393" i="697" s="1"/>
  <c r="V404" i="697"/>
  <c r="W404" i="697" s="1"/>
  <c r="V403" i="697"/>
  <c r="W403" i="697" s="1"/>
  <c r="V511" i="697"/>
  <c r="W511" i="697" s="1"/>
  <c r="V512" i="697"/>
  <c r="W512" i="697" s="1"/>
  <c r="V513" i="697"/>
  <c r="W513" i="697" s="1"/>
  <c r="V514" i="697"/>
  <c r="W514" i="697" s="1"/>
  <c r="V671" i="697"/>
  <c r="W671" i="697" s="1"/>
  <c r="V478" i="697"/>
  <c r="W478" i="697" s="1"/>
  <c r="V494" i="697"/>
  <c r="W494" i="697" s="1"/>
  <c r="V629" i="697"/>
  <c r="W629" i="697" s="1"/>
  <c r="V584" i="697"/>
  <c r="W584" i="697" s="1"/>
  <c r="V405" i="697"/>
  <c r="W405" i="697" s="1"/>
  <c r="V538" i="697"/>
  <c r="W538" i="697" s="1"/>
  <c r="V539" i="697"/>
  <c r="W539" i="697" s="1"/>
  <c r="V528" i="697"/>
  <c r="W528" i="697" s="1"/>
  <c r="V554" i="697"/>
  <c r="W554" i="697" s="1"/>
  <c r="V555" i="697"/>
  <c r="W555" i="697" s="1"/>
  <c r="V412" i="697"/>
  <c r="W412" i="697" s="1"/>
  <c r="V637" i="697"/>
  <c r="W637" i="697" s="1"/>
  <c r="V415" i="697"/>
  <c r="W415" i="697" s="1"/>
  <c r="V479" i="697"/>
  <c r="W479" i="697" s="1"/>
  <c r="V480" i="697"/>
  <c r="W480" i="697" s="1"/>
  <c r="V615" i="697"/>
  <c r="W615" i="697" s="1"/>
  <c r="V592" i="697"/>
  <c r="W592" i="697" s="1"/>
  <c r="V441" i="697"/>
  <c r="W441" i="697" s="1"/>
  <c r="V662" i="697"/>
  <c r="W662" i="697" s="1"/>
  <c r="V449" i="697"/>
  <c r="W449" i="697" s="1"/>
  <c r="V416" i="697"/>
  <c r="W416" i="697" s="1"/>
  <c r="V417" i="697"/>
  <c r="W417" i="697" s="1"/>
  <c r="V418" i="697"/>
  <c r="W418" i="697" s="1"/>
  <c r="V419" i="697"/>
  <c r="W419" i="697" s="1"/>
  <c r="V420" i="697"/>
  <c r="W420" i="697" s="1"/>
  <c r="V421" i="697"/>
  <c r="W421" i="697" s="1"/>
  <c r="V486" i="697"/>
  <c r="W486" i="697" s="1"/>
  <c r="V498" i="697"/>
  <c r="W498" i="697" s="1"/>
  <c r="V499" i="697"/>
  <c r="W499" i="697" s="1"/>
  <c r="V447" i="697"/>
  <c r="W447" i="697" s="1"/>
  <c r="V448" i="697"/>
  <c r="W448" i="697" s="1"/>
  <c r="V457" i="697"/>
  <c r="W457" i="697" s="1"/>
  <c r="V481" i="697"/>
  <c r="W481" i="697" s="1"/>
  <c r="V515" i="697"/>
  <c r="W515" i="697" s="1"/>
  <c r="V673" i="697"/>
  <c r="W673" i="697" s="1"/>
  <c r="V439" i="697"/>
  <c r="W439" i="697" s="1"/>
  <c r="V672" i="697"/>
  <c r="W672" i="697" s="1"/>
  <c r="V616" i="697"/>
  <c r="W616" i="697" s="1"/>
  <c r="V617" i="697"/>
  <c r="W617" i="697" s="1"/>
  <c r="V529" i="697"/>
  <c r="W529" i="697" s="1"/>
  <c r="V437" i="697"/>
  <c r="W437" i="697" s="1"/>
  <c r="V438" i="697"/>
  <c r="W438" i="697" s="1"/>
  <c r="V547" i="697"/>
  <c r="W547" i="697" s="1"/>
  <c r="V548" i="697"/>
  <c r="W548" i="697" s="1"/>
  <c r="V714" i="697"/>
  <c r="W714" i="697" s="1"/>
  <c r="V674" i="697"/>
  <c r="W674" i="697" s="1"/>
  <c r="V440" i="697"/>
  <c r="W440" i="697" s="1"/>
  <c r="V500" i="697"/>
  <c r="W500" i="697" s="1"/>
  <c r="V715" i="697"/>
  <c r="W715" i="697" s="1"/>
  <c r="V716" i="697"/>
  <c r="W716" i="697" s="1"/>
  <c r="V657" i="697"/>
  <c r="W657" i="697" s="1"/>
  <c r="V638" i="697"/>
  <c r="W638" i="697" s="1"/>
  <c r="V456" i="697"/>
  <c r="W456" i="697" s="1"/>
  <c r="V639" i="697"/>
  <c r="W639" i="697" s="1"/>
  <c r="V593" i="697"/>
  <c r="W593" i="697" s="1"/>
  <c r="V675" i="697"/>
  <c r="W675" i="697" s="1"/>
  <c r="V556" i="697"/>
  <c r="W556" i="697" s="1"/>
  <c r="V594" i="697"/>
  <c r="W594" i="697" s="1"/>
  <c r="V459" i="697"/>
  <c r="W459" i="697" s="1"/>
  <c r="V458" i="697"/>
  <c r="W458" i="697" s="1"/>
  <c r="V645" i="697"/>
  <c r="W645" i="697" s="1"/>
  <c r="V482" i="697"/>
  <c r="W482" i="697" s="1"/>
  <c r="V676" i="697"/>
  <c r="W676" i="697" s="1"/>
  <c r="V677" i="697"/>
  <c r="W677" i="697" s="1"/>
  <c r="V483" i="697"/>
  <c r="W483" i="697" s="1"/>
  <c r="V663" i="697"/>
  <c r="W663" i="697" s="1"/>
  <c r="V678" i="697"/>
  <c r="W678" i="697" s="1"/>
  <c r="V557" i="697"/>
  <c r="W557" i="697" s="1"/>
  <c r="V558" i="697"/>
  <c r="W558" i="697" s="1"/>
  <c r="V559" i="697"/>
  <c r="W559" i="697" s="1"/>
  <c r="V560" i="697"/>
  <c r="W560" i="697" s="1"/>
  <c r="V679" i="697"/>
  <c r="W679" i="697" s="1"/>
  <c r="V595" i="697"/>
  <c r="W595" i="697" s="1"/>
  <c r="V484" i="697"/>
  <c r="W484" i="697" s="1"/>
  <c r="V495" i="697"/>
  <c r="W495" i="697" s="1"/>
  <c r="V561" i="697"/>
  <c r="W561" i="697" s="1"/>
  <c r="V562" i="697"/>
  <c r="W562" i="697" s="1"/>
  <c r="V563" i="697"/>
  <c r="W563" i="697" s="1"/>
  <c r="V564" i="697"/>
  <c r="W564" i="697" s="1"/>
  <c r="V731" i="697"/>
  <c r="W731" i="697" s="1"/>
  <c r="V658" i="697"/>
  <c r="W658" i="697" s="1"/>
  <c r="V590" i="697"/>
  <c r="W590" i="697" s="1"/>
  <c r="V497" i="697"/>
  <c r="W497" i="697" s="1"/>
  <c r="V496" i="697"/>
  <c r="W496" i="697" s="1"/>
  <c r="V516" i="697"/>
  <c r="W516" i="697" s="1"/>
  <c r="V517" i="697"/>
  <c r="W517" i="697" s="1"/>
  <c r="V618" i="697"/>
  <c r="W618" i="697" s="1"/>
  <c r="V619" i="697"/>
  <c r="W619" i="697" s="1"/>
  <c r="V680" i="697"/>
  <c r="W680" i="697" s="1"/>
  <c r="V501" i="697"/>
  <c r="W501" i="697" s="1"/>
  <c r="V503" i="697"/>
  <c r="W503" i="697" s="1"/>
  <c r="V620" i="697"/>
  <c r="W620" i="697" s="1"/>
  <c r="V596" i="697"/>
  <c r="W596" i="697" s="1"/>
  <c r="V701" i="697"/>
  <c r="W701" i="697" s="1"/>
  <c r="V664" i="697"/>
  <c r="W664" i="697" s="1"/>
  <c r="V659" i="697"/>
  <c r="W659" i="697" s="1"/>
  <c r="V681" i="697"/>
  <c r="W681" i="697" s="1"/>
  <c r="V565" i="697"/>
  <c r="W565" i="697" s="1"/>
  <c r="V566" i="697"/>
  <c r="W566" i="697" s="1"/>
  <c r="V567" i="697"/>
  <c r="W567" i="697" s="1"/>
  <c r="V568" i="697"/>
  <c r="W568" i="697" s="1"/>
  <c r="V621" i="697"/>
  <c r="W621" i="697" s="1"/>
  <c r="V702" i="697"/>
  <c r="W702" i="697" s="1"/>
  <c r="V732" i="697"/>
  <c r="W732" i="697" s="1"/>
  <c r="V751" i="697"/>
  <c r="W751" i="697" s="1"/>
  <c r="V717" i="697"/>
  <c r="W717" i="697" s="1"/>
  <c r="V646" i="697"/>
  <c r="W646" i="697" s="1"/>
  <c r="V521" i="697"/>
  <c r="W521" i="697" s="1"/>
  <c r="V682" i="697"/>
  <c r="W682" i="697" s="1"/>
  <c r="V522" i="697"/>
  <c r="W522" i="697" s="1"/>
  <c r="V533" i="697"/>
  <c r="W533" i="697" s="1"/>
  <c r="V551" i="697"/>
  <c r="W551" i="697" s="1"/>
  <c r="V577" i="697"/>
  <c r="W577" i="697" s="1"/>
  <c r="V610" i="697"/>
  <c r="W610" i="697" s="1"/>
  <c r="V752" i="697"/>
  <c r="W752" i="697" s="1"/>
  <c r="V534" i="697"/>
  <c r="W534" i="697" s="1"/>
  <c r="V581" i="697"/>
  <c r="W581" i="697" s="1"/>
  <c r="V587" i="697"/>
  <c r="W587" i="697" s="1"/>
  <c r="V588" i="697"/>
  <c r="W588" i="697" s="1"/>
  <c r="V660" i="697"/>
  <c r="W660" i="697" s="1"/>
  <c r="V718" i="697"/>
  <c r="W718" i="697" s="1"/>
  <c r="V549" i="697"/>
  <c r="W549" i="697" s="1"/>
  <c r="V550" i="697"/>
  <c r="W550" i="697" s="1"/>
  <c r="V552" i="697"/>
  <c r="W552" i="697" s="1"/>
  <c r="V753" i="697"/>
  <c r="W753" i="697" s="1"/>
  <c r="V782" i="697"/>
  <c r="W782" i="697" s="1"/>
  <c r="V536" i="697"/>
  <c r="W536" i="697" s="1"/>
  <c r="V683" i="697"/>
  <c r="W683" i="697" s="1"/>
  <c r="V866" i="697"/>
  <c r="W866" i="697" s="1"/>
  <c r="V578" i="697"/>
  <c r="W578" i="697" s="1"/>
  <c r="V535" i="697"/>
  <c r="W535" i="697" s="1"/>
  <c r="V684" i="697"/>
  <c r="W684" i="697" s="1"/>
  <c r="V754" i="697"/>
  <c r="W754" i="697" s="1"/>
  <c r="V537" i="697"/>
  <c r="W537" i="697" s="1"/>
  <c r="V540" i="697"/>
  <c r="W540" i="697" s="1"/>
  <c r="V755" i="697"/>
  <c r="W755" i="697" s="1"/>
  <c r="V685" i="697"/>
  <c r="W685" i="697" s="1"/>
  <c r="V686" i="697"/>
  <c r="W686" i="697" s="1"/>
  <c r="V705" i="697"/>
  <c r="W705" i="697" s="1"/>
  <c r="V541" i="697"/>
  <c r="W541" i="697" s="1"/>
  <c r="V542" i="697"/>
  <c r="W542" i="697" s="1"/>
  <c r="V687" i="697"/>
  <c r="W687" i="697" s="1"/>
  <c r="V733" i="697"/>
  <c r="W733" i="697" s="1"/>
  <c r="V836" i="697"/>
  <c r="W836" i="697" s="1"/>
  <c r="V756" i="697"/>
  <c r="W756" i="697" s="1"/>
  <c r="V569" i="697"/>
  <c r="W569" i="697" s="1"/>
  <c r="V706" i="697"/>
  <c r="W706" i="697" s="1"/>
  <c r="V707" i="697"/>
  <c r="W707" i="697" s="1"/>
  <c r="V734" i="697"/>
  <c r="W734" i="697" s="1"/>
  <c r="V735" i="697"/>
  <c r="W735" i="697" s="1"/>
  <c r="V580" i="697"/>
  <c r="W580" i="697" s="1"/>
  <c r="V585" i="697"/>
  <c r="W585" i="697" s="1"/>
  <c r="V630" i="697"/>
  <c r="W630" i="697" s="1"/>
  <c r="V553" i="697"/>
  <c r="W553" i="697" s="1"/>
  <c r="V749" i="697"/>
  <c r="W749" i="697" s="1"/>
  <c r="V688" i="697"/>
  <c r="W688" i="697" s="1"/>
  <c r="V837" i="697"/>
  <c r="W837" i="697" s="1"/>
  <c r="V634" i="697"/>
  <c r="W634" i="697" s="1"/>
  <c r="V757" i="697"/>
  <c r="W757" i="697" s="1"/>
  <c r="V783" i="697"/>
  <c r="W783" i="697" s="1"/>
  <c r="V689" i="697"/>
  <c r="W689" i="697" s="1"/>
  <c r="V576" i="697"/>
  <c r="W576" i="697" s="1"/>
  <c r="V758" i="697"/>
  <c r="W758" i="697" s="1"/>
  <c r="V759" i="697"/>
  <c r="W759" i="697" s="1"/>
  <c r="V760" i="697"/>
  <c r="W760" i="697" s="1"/>
  <c r="V690" i="697"/>
  <c r="W690" i="697" s="1"/>
  <c r="V579" i="697"/>
  <c r="W579" i="697" s="1"/>
  <c r="V784" i="697"/>
  <c r="W784" i="697" s="1"/>
  <c r="V838" i="697"/>
  <c r="W838" i="697" s="1"/>
  <c r="V761" i="697"/>
  <c r="W761" i="697" s="1"/>
  <c r="V811" i="697"/>
  <c r="W811" i="697" s="1"/>
  <c r="V691" i="697"/>
  <c r="W691" i="697" s="1"/>
  <c r="V815" i="697"/>
  <c r="W815" i="697" s="1"/>
  <c r="V889" i="697"/>
  <c r="W889" i="697" s="1"/>
  <c r="V582" i="697"/>
  <c r="W582" i="697" s="1"/>
  <c r="V665" i="697"/>
  <c r="W665" i="697" s="1"/>
  <c r="V583" i="697"/>
  <c r="W583" i="697" s="1"/>
  <c r="V586" i="697"/>
  <c r="W586" i="697" s="1"/>
  <c r="V692" i="697"/>
  <c r="W692" i="697" s="1"/>
  <c r="V719" i="697"/>
  <c r="W719" i="697" s="1"/>
  <c r="V661" i="697"/>
  <c r="W661" i="697" s="1"/>
  <c r="V762" i="697"/>
  <c r="W762" i="697" s="1"/>
  <c r="V763" i="697"/>
  <c r="W763" i="697" s="1"/>
  <c r="V611" i="697"/>
  <c r="W611" i="697" s="1"/>
  <c r="V816" i="697"/>
  <c r="W816" i="697" s="1"/>
  <c r="V720" i="697"/>
  <c r="W720" i="697" s="1"/>
  <c r="V693" i="697"/>
  <c r="W693" i="697" s="1"/>
  <c r="V589" i="697"/>
  <c r="W589" i="697" s="1"/>
  <c r="V839" i="697"/>
  <c r="W839" i="697" s="1"/>
  <c r="V591" i="697"/>
  <c r="W591" i="697" s="1"/>
  <c r="V721" i="697"/>
  <c r="W721" i="697" s="1"/>
  <c r="V597" i="697"/>
  <c r="W597" i="697" s="1"/>
  <c r="V598" i="697"/>
  <c r="W598" i="697" s="1"/>
  <c r="V764" i="697"/>
  <c r="W764" i="697" s="1"/>
  <c r="V694" i="697"/>
  <c r="W694" i="697" s="1"/>
  <c r="V840" i="697"/>
  <c r="W840" i="697" s="1"/>
  <c r="V793" i="697"/>
  <c r="W793" i="697" s="1"/>
  <c r="V765" i="697"/>
  <c r="W765" i="697" s="1"/>
  <c r="V601" i="697"/>
  <c r="W601" i="697" s="1"/>
  <c r="V695" i="697"/>
  <c r="W695" i="697" s="1"/>
  <c r="V599" i="697"/>
  <c r="W599" i="697" s="1"/>
  <c r="V600" i="697"/>
  <c r="W600" i="697" s="1"/>
  <c r="V812" i="697"/>
  <c r="W812" i="697" s="1"/>
  <c r="V785" i="697"/>
  <c r="W785" i="697" s="1"/>
  <c r="V722" i="697"/>
  <c r="W722" i="697" s="1"/>
  <c r="V602" i="697"/>
  <c r="W602" i="697" s="1"/>
  <c r="V603" i="697"/>
  <c r="W603" i="697" s="1"/>
  <c r="V604" i="697"/>
  <c r="W604" i="697" s="1"/>
  <c r="V605" i="697"/>
  <c r="W605" i="697" s="1"/>
  <c r="V606" i="697"/>
  <c r="W606" i="697" s="1"/>
  <c r="V607" i="697"/>
  <c r="W607" i="697" s="1"/>
  <c r="V608" i="697"/>
  <c r="W608" i="697" s="1"/>
  <c r="V609" i="697"/>
  <c r="W609" i="697" s="1"/>
  <c r="V742" i="697"/>
  <c r="W742" i="697" s="1"/>
  <c r="V738" i="697"/>
  <c r="W738" i="697" s="1"/>
  <c r="V739" i="697"/>
  <c r="W739" i="697" s="1"/>
  <c r="V740" i="697"/>
  <c r="W740" i="697" s="1"/>
  <c r="V741" i="697"/>
  <c r="W741" i="697" s="1"/>
  <c r="V766" i="697"/>
  <c r="W766" i="697" s="1"/>
  <c r="V923" i="697"/>
  <c r="W923" i="697" s="1"/>
  <c r="V902" i="697"/>
  <c r="W902" i="697" s="1"/>
  <c r="V654" i="697"/>
  <c r="W654" i="697" s="1"/>
  <c r="V723" i="697"/>
  <c r="W723" i="697" s="1"/>
  <c r="V650" i="697"/>
  <c r="W650" i="697" s="1"/>
  <c r="V854" i="697"/>
  <c r="W854" i="697" s="1"/>
  <c r="V649" i="697"/>
  <c r="W649" i="697" s="1"/>
  <c r="V696" i="697"/>
  <c r="W696" i="697" s="1"/>
  <c r="V697" i="697"/>
  <c r="W697" i="697" s="1"/>
  <c r="V647" i="697"/>
  <c r="W647" i="697" s="1"/>
  <c r="V648" i="697"/>
  <c r="W648" i="697" s="1"/>
  <c r="V698" i="697"/>
  <c r="W698" i="697" s="1"/>
  <c r="V612" i="697"/>
  <c r="W612" i="697" s="1"/>
  <c r="V613" i="697"/>
  <c r="W613" i="697" s="1"/>
  <c r="V651" i="697"/>
  <c r="W651" i="697" s="1"/>
  <c r="V767" i="697"/>
  <c r="W767" i="697" s="1"/>
  <c r="V769" i="697"/>
  <c r="W769" i="697" s="1"/>
  <c r="V631" i="697"/>
  <c r="W631" i="697" s="1"/>
  <c r="V743" i="697"/>
  <c r="W743" i="697" s="1"/>
  <c r="V622" i="697"/>
  <c r="W622" i="697" s="1"/>
  <c r="V841" i="697"/>
  <c r="W841" i="697" s="1"/>
  <c r="V768" i="697"/>
  <c r="W768" i="697" s="1"/>
  <c r="V632" i="697"/>
  <c r="W632" i="697" s="1"/>
  <c r="V633" i="697"/>
  <c r="W633" i="697" s="1"/>
  <c r="V770" i="697"/>
  <c r="W770" i="697" s="1"/>
  <c r="V640" i="697"/>
  <c r="W640" i="697" s="1"/>
  <c r="V744" i="697"/>
  <c r="W744" i="697" s="1"/>
  <c r="V890" i="697"/>
  <c r="W890" i="697" s="1"/>
  <c r="V867" i="697"/>
  <c r="W867" i="697" s="1"/>
  <c r="V855" i="697"/>
  <c r="W855" i="697" s="1"/>
  <c r="V635" i="697"/>
  <c r="W635" i="697" s="1"/>
  <c r="V891" i="697"/>
  <c r="W891" i="697" s="1"/>
  <c r="V699" i="697"/>
  <c r="W699" i="697" s="1"/>
  <c r="V903" i="697"/>
  <c r="W903" i="697" s="1"/>
  <c r="V773" i="697"/>
  <c r="W773" i="697" s="1"/>
  <c r="V636" i="697"/>
  <c r="W636" i="697" s="1"/>
  <c r="V641" i="697"/>
  <c r="W641" i="697" s="1"/>
  <c r="V652" i="697"/>
  <c r="W652" i="697" s="1"/>
  <c r="V642" i="697"/>
  <c r="W642" i="697" s="1"/>
  <c r="V643" i="697"/>
  <c r="W643" i="697" s="1"/>
  <c r="V868" i="697"/>
  <c r="W868" i="697" s="1"/>
  <c r="V892" i="697"/>
  <c r="W892" i="697" s="1"/>
  <c r="V856" i="697"/>
  <c r="W856" i="697" s="1"/>
  <c r="V842" i="697"/>
  <c r="W842" i="697" s="1"/>
  <c r="V893" i="697"/>
  <c r="W893" i="697" s="1"/>
  <c r="V843" i="697"/>
  <c r="W843" i="697" s="1"/>
  <c r="V644" i="697"/>
  <c r="W644" i="697" s="1"/>
  <c r="V799" i="697"/>
  <c r="W799" i="697" s="1"/>
  <c r="V844" i="697"/>
  <c r="W844" i="697" s="1"/>
  <c r="V857" i="697"/>
  <c r="W857" i="697" s="1"/>
  <c r="V653" i="697"/>
  <c r="W653" i="697" s="1"/>
  <c r="V655" i="697"/>
  <c r="W655" i="697" s="1"/>
  <c r="V858" i="697"/>
  <c r="W858" i="697" s="1"/>
  <c r="V656" i="697"/>
  <c r="W656" i="697" s="1"/>
  <c r="V745" i="697"/>
  <c r="W745" i="697" s="1"/>
  <c r="V746" i="697"/>
  <c r="W746" i="697" s="1"/>
  <c r="V666" i="697"/>
  <c r="W666" i="697" s="1"/>
  <c r="V859" i="697"/>
  <c r="W859" i="697" s="1"/>
  <c r="V747" i="697"/>
  <c r="W747" i="697" s="1"/>
  <c r="V924" i="697"/>
  <c r="W924" i="697" s="1"/>
  <c r="V925" i="697"/>
  <c r="W925" i="697" s="1"/>
  <c r="V926" i="697"/>
  <c r="W926" i="697" s="1"/>
  <c r="V869" i="697"/>
  <c r="W869" i="697" s="1"/>
  <c r="V667" i="697"/>
  <c r="W667" i="697" s="1"/>
  <c r="V750" i="697"/>
  <c r="W750" i="697" s="1"/>
  <c r="V668" i="697"/>
  <c r="W668" i="697" s="1"/>
  <c r="V845" i="697"/>
  <c r="W845" i="697" s="1"/>
  <c r="V1029" i="697"/>
  <c r="W1029" i="697" s="1"/>
  <c r="V700" i="697"/>
  <c r="W700" i="697" s="1"/>
  <c r="V703" i="697"/>
  <c r="W703" i="697" s="1"/>
  <c r="V704" i="697"/>
  <c r="W704" i="697" s="1"/>
  <c r="V927" i="697"/>
  <c r="W927" i="697" s="1"/>
  <c r="V928" i="697"/>
  <c r="W928" i="697" s="1"/>
  <c r="V879" i="697"/>
  <c r="W879" i="697" s="1"/>
  <c r="V846" i="697"/>
  <c r="W846" i="697" s="1"/>
  <c r="V929" i="697"/>
  <c r="W929" i="697" s="1"/>
  <c r="V861" i="697"/>
  <c r="W861" i="697" s="1"/>
  <c r="V794" i="697"/>
  <c r="W794" i="697" s="1"/>
  <c r="V860" i="697"/>
  <c r="W860" i="697" s="1"/>
  <c r="V930" i="697"/>
  <c r="W930" i="697" s="1"/>
  <c r="V894" i="697"/>
  <c r="W894" i="697" s="1"/>
  <c r="V870" i="697"/>
  <c r="W870" i="697" s="1"/>
  <c r="V862" i="697"/>
  <c r="W862" i="697" s="1"/>
  <c r="V931" i="697"/>
  <c r="W931" i="697" s="1"/>
  <c r="V932" i="697"/>
  <c r="W932" i="697" s="1"/>
  <c r="V933" i="697"/>
  <c r="W933" i="697" s="1"/>
  <c r="V708" i="697"/>
  <c r="W708" i="697" s="1"/>
  <c r="V709" i="697"/>
  <c r="W709" i="697" s="1"/>
  <c r="V710" i="697"/>
  <c r="W710" i="697" s="1"/>
  <c r="V711" i="697"/>
  <c r="W711" i="697" s="1"/>
  <c r="V712" i="697"/>
  <c r="W712" i="697" s="1"/>
  <c r="V713" i="697"/>
  <c r="W713" i="697" s="1"/>
  <c r="V787" i="697"/>
  <c r="W787" i="697" s="1"/>
  <c r="V788" i="697"/>
  <c r="W788" i="697" s="1"/>
  <c r="V952" i="697"/>
  <c r="W952" i="697" s="1"/>
  <c r="V786" i="697"/>
  <c r="W786" i="697" s="1"/>
  <c r="V809" i="697"/>
  <c r="W809" i="697" s="1"/>
  <c r="V810" i="697"/>
  <c r="W810" i="697" s="1"/>
  <c r="V736" i="697"/>
  <c r="W736" i="697" s="1"/>
  <c r="V748" i="697"/>
  <c r="W748" i="697" s="1"/>
  <c r="V774" i="697"/>
  <c r="W774" i="697" s="1"/>
  <c r="V775" i="697"/>
  <c r="W775" i="697" s="1"/>
  <c r="V776" i="697"/>
  <c r="W776" i="697" s="1"/>
  <c r="V789" i="697"/>
  <c r="W789" i="697" s="1"/>
  <c r="V934" i="697"/>
  <c r="W934" i="697" s="1"/>
  <c r="V724" i="697"/>
  <c r="W724" i="697" s="1"/>
  <c r="V725" i="697"/>
  <c r="W725" i="697" s="1"/>
  <c r="V726" i="697"/>
  <c r="W726" i="697" s="1"/>
  <c r="V727" i="697"/>
  <c r="W727" i="697" s="1"/>
  <c r="V790" i="697"/>
  <c r="W790" i="697" s="1"/>
  <c r="V1021" i="697"/>
  <c r="W1021" i="697" s="1"/>
  <c r="V728" i="697"/>
  <c r="W728" i="697" s="1"/>
  <c r="V729" i="697"/>
  <c r="W729" i="697" s="1"/>
  <c r="V730" i="697"/>
  <c r="W730" i="697" s="1"/>
  <c r="V953" i="697"/>
  <c r="W953" i="697" s="1"/>
  <c r="V871" i="697"/>
  <c r="W871" i="697" s="1"/>
  <c r="V817" i="697"/>
  <c r="W817" i="697" s="1"/>
  <c r="V737" i="697"/>
  <c r="W737" i="697" s="1"/>
  <c r="V1084" i="697"/>
  <c r="W1084" i="697" s="1"/>
  <c r="V880" i="697"/>
  <c r="W880" i="697" s="1"/>
  <c r="V863" i="697"/>
  <c r="W863" i="697" s="1"/>
  <c r="V570" i="697"/>
  <c r="W570" i="697" s="1"/>
  <c r="V571" i="697"/>
  <c r="W571" i="697" s="1"/>
  <c r="V572" i="697"/>
  <c r="W572" i="697" s="1"/>
  <c r="V573" i="697"/>
  <c r="W573" i="697" s="1"/>
  <c r="V574" i="697"/>
  <c r="W574" i="697" s="1"/>
  <c r="V575" i="697"/>
  <c r="W575" i="697" s="1"/>
  <c r="V771" i="697"/>
  <c r="W771" i="697" s="1"/>
  <c r="V772" i="697"/>
  <c r="W772" i="697" s="1"/>
  <c r="V954" i="697"/>
  <c r="W954" i="697" s="1"/>
  <c r="V955" i="697"/>
  <c r="W955" i="697" s="1"/>
  <c r="V982" i="697"/>
  <c r="W982" i="697" s="1"/>
  <c r="V777" i="697"/>
  <c r="W777" i="697" s="1"/>
  <c r="V956" i="697"/>
  <c r="W956" i="697" s="1"/>
  <c r="V981" i="697"/>
  <c r="W981" i="697" s="1"/>
  <c r="V980" i="697"/>
  <c r="W980" i="697" s="1"/>
  <c r="V983" i="697"/>
  <c r="W983" i="697" s="1"/>
  <c r="V904" i="697"/>
  <c r="W904" i="697" s="1"/>
  <c r="V984" i="697"/>
  <c r="W984" i="697" s="1"/>
  <c r="V912" i="697"/>
  <c r="W912" i="697" s="1"/>
  <c r="V913" i="697"/>
  <c r="W913" i="697" s="1"/>
  <c r="V778" i="697"/>
  <c r="W778" i="697" s="1"/>
  <c r="V957" i="697"/>
  <c r="W957" i="697" s="1"/>
  <c r="V881" i="697"/>
  <c r="W881" i="697" s="1"/>
  <c r="V779" i="697"/>
  <c r="W779" i="697" s="1"/>
  <c r="V780" i="697"/>
  <c r="W780" i="697" s="1"/>
  <c r="V905" i="697"/>
  <c r="W905" i="697" s="1"/>
  <c r="V985" i="697"/>
  <c r="W985" i="697" s="1"/>
  <c r="V781" i="697"/>
  <c r="W781" i="697" s="1"/>
  <c r="V906" i="697"/>
  <c r="W906" i="697" s="1"/>
  <c r="V948" i="697"/>
  <c r="W948" i="697" s="1"/>
  <c r="V935" i="697"/>
  <c r="W935" i="697" s="1"/>
  <c r="V936" i="697"/>
  <c r="W936" i="697" s="1"/>
  <c r="V791" i="697"/>
  <c r="W791" i="697" s="1"/>
  <c r="V795" i="697"/>
  <c r="W795" i="697" s="1"/>
  <c r="V937" i="697"/>
  <c r="W937" i="697" s="1"/>
  <c r="V986" i="697"/>
  <c r="W986" i="697" s="1"/>
  <c r="V895" i="697"/>
  <c r="W895" i="697" s="1"/>
  <c r="V896" i="697"/>
  <c r="W896" i="697" s="1"/>
  <c r="V914" i="697"/>
  <c r="W914" i="697" s="1"/>
  <c r="V958" i="697"/>
  <c r="W958" i="697" s="1"/>
  <c r="V792" i="697"/>
  <c r="W792" i="697" s="1"/>
  <c r="V987" i="697"/>
  <c r="W987" i="697" s="1"/>
  <c r="V801" i="697"/>
  <c r="W801" i="697" s="1"/>
  <c r="V989" i="697"/>
  <c r="W989" i="697" s="1"/>
  <c r="V959" i="697"/>
  <c r="W959" i="697" s="1"/>
  <c r="V800" i="697"/>
  <c r="W800" i="697" s="1"/>
  <c r="V796" i="697"/>
  <c r="W796" i="697" s="1"/>
  <c r="V988" i="697"/>
  <c r="W988" i="697" s="1"/>
  <c r="V797" i="697"/>
  <c r="W797" i="697" s="1"/>
  <c r="V798" i="697"/>
  <c r="W798" i="697" s="1"/>
  <c r="V802" i="697"/>
  <c r="W802" i="697" s="1"/>
  <c r="V990" i="697"/>
  <c r="W990" i="697" s="1"/>
  <c r="V803" i="697"/>
  <c r="W803" i="697" s="1"/>
  <c r="V804" i="697"/>
  <c r="W804" i="697" s="1"/>
  <c r="V805" i="697"/>
  <c r="W805" i="697" s="1"/>
  <c r="V806" i="697"/>
  <c r="W806" i="697" s="1"/>
  <c r="V807" i="697"/>
  <c r="W807" i="697" s="1"/>
  <c r="V808" i="697"/>
  <c r="W808" i="697" s="1"/>
  <c r="V1022" i="697"/>
  <c r="W1022" i="697" s="1"/>
  <c r="V1005" i="697"/>
  <c r="W1005" i="697" s="1"/>
  <c r="V814" i="697"/>
  <c r="W814" i="697" s="1"/>
  <c r="V813" i="697"/>
  <c r="W813" i="697" s="1"/>
  <c r="V991" i="697"/>
  <c r="W991" i="697" s="1"/>
  <c r="V993" i="697"/>
  <c r="W993" i="697" s="1"/>
  <c r="V992" i="697"/>
  <c r="W992" i="697" s="1"/>
  <c r="V818" i="697"/>
  <c r="W818" i="697" s="1"/>
  <c r="V938" i="697"/>
  <c r="W938" i="697" s="1"/>
  <c r="V819" i="697"/>
  <c r="W819" i="697" s="1"/>
  <c r="V820" i="697"/>
  <c r="W820" i="697" s="1"/>
  <c r="V823" i="697"/>
  <c r="W823" i="697" s="1"/>
  <c r="V824" i="697"/>
  <c r="W824" i="697" s="1"/>
  <c r="V825" i="697"/>
  <c r="W825" i="697" s="1"/>
  <c r="V826" i="697"/>
  <c r="W826" i="697" s="1"/>
  <c r="V827" i="697"/>
  <c r="W827" i="697" s="1"/>
  <c r="V828" i="697"/>
  <c r="W828" i="697" s="1"/>
  <c r="V939" i="697"/>
  <c r="W939" i="697" s="1"/>
  <c r="V821" i="697"/>
  <c r="W821" i="697" s="1"/>
  <c r="V822" i="697"/>
  <c r="W822" i="697" s="1"/>
  <c r="V918" i="697"/>
  <c r="W918" i="697" s="1"/>
  <c r="V898" i="697"/>
  <c r="W898" i="697" s="1"/>
  <c r="V829" i="697"/>
  <c r="W829" i="697" s="1"/>
  <c r="V830" i="697"/>
  <c r="W830" i="697" s="1"/>
  <c r="V847" i="697"/>
  <c r="W847" i="697" s="1"/>
  <c r="V831" i="697"/>
  <c r="W831" i="697" s="1"/>
  <c r="V832" i="697"/>
  <c r="W832" i="697" s="1"/>
  <c r="V833" i="697"/>
  <c r="W833" i="697" s="1"/>
  <c r="V1000" i="697"/>
  <c r="W1000" i="697" s="1"/>
  <c r="V960" i="697"/>
  <c r="W960" i="697" s="1"/>
  <c r="V834" i="697"/>
  <c r="W834" i="697" s="1"/>
  <c r="V1030" i="697"/>
  <c r="W1030" i="697" s="1"/>
  <c r="V877" i="697"/>
  <c r="W877" i="697" s="1"/>
  <c r="V897" i="697"/>
  <c r="W897" i="697" s="1"/>
  <c r="V916" i="697"/>
  <c r="W916" i="697" s="1"/>
  <c r="V917" i="697"/>
  <c r="W917" i="697" s="1"/>
  <c r="V852" i="697"/>
  <c r="W852" i="697" s="1"/>
  <c r="V872" i="697"/>
  <c r="W872" i="697" s="1"/>
  <c r="V886" i="697"/>
  <c r="W886" i="697" s="1"/>
  <c r="V848" i="697"/>
  <c r="W848" i="697" s="1"/>
  <c r="V915" i="697"/>
  <c r="W915" i="697" s="1"/>
  <c r="V1143" i="697"/>
  <c r="W1143" i="697" s="1"/>
  <c r="V875" i="697"/>
  <c r="W875" i="697" s="1"/>
  <c r="V876" i="697"/>
  <c r="W876" i="697" s="1"/>
  <c r="V878" i="697"/>
  <c r="W878" i="697" s="1"/>
  <c r="V994" i="697"/>
  <c r="W994" i="697" s="1"/>
  <c r="V850" i="697"/>
  <c r="W850" i="697" s="1"/>
  <c r="V849" i="697"/>
  <c r="W849" i="697" s="1"/>
  <c r="V1002" i="697"/>
  <c r="W1002" i="697" s="1"/>
  <c r="V899" i="697"/>
  <c r="W899" i="697" s="1"/>
  <c r="V1001" i="697"/>
  <c r="W1001" i="697" s="1"/>
  <c r="V1006" i="697"/>
  <c r="W1006" i="697" s="1"/>
  <c r="V851" i="697"/>
  <c r="W851" i="697" s="1"/>
  <c r="V940" i="697"/>
  <c r="W940" i="697" s="1"/>
  <c r="V941" i="697"/>
  <c r="W941" i="697" s="1"/>
  <c r="V1007" i="697"/>
  <c r="W1007" i="697" s="1"/>
  <c r="V995" i="697"/>
  <c r="W995" i="697" s="1"/>
  <c r="V1212" i="697"/>
  <c r="W1212" i="697" s="1"/>
  <c r="V853" i="697"/>
  <c r="W853" i="697" s="1"/>
  <c r="V1023" i="697"/>
  <c r="W1023" i="697" s="1"/>
  <c r="V1008" i="697"/>
  <c r="W1008" i="697" s="1"/>
  <c r="V1044" i="697"/>
  <c r="W1044" i="697" s="1"/>
  <c r="V864" i="697"/>
  <c r="W864" i="697" s="1"/>
  <c r="V865" i="697"/>
  <c r="W865" i="697" s="1"/>
  <c r="V942" i="697"/>
  <c r="W942" i="697" s="1"/>
  <c r="V1024" i="697"/>
  <c r="W1024" i="697" s="1"/>
  <c r="V873" i="697"/>
  <c r="W873" i="697" s="1"/>
  <c r="V943" i="697"/>
  <c r="W943" i="697" s="1"/>
  <c r="V1045" i="697"/>
  <c r="W1045" i="697" s="1"/>
  <c r="V1046" i="697"/>
  <c r="W1046" i="697" s="1"/>
  <c r="V1047" i="697"/>
  <c r="W1047" i="697" s="1"/>
  <c r="V874" i="697"/>
  <c r="W874" i="697" s="1"/>
  <c r="V1025" i="697"/>
  <c r="W1025" i="697" s="1"/>
  <c r="V1031" i="697"/>
  <c r="W1031" i="697" s="1"/>
  <c r="V1048" i="697"/>
  <c r="W1048" i="697" s="1"/>
  <c r="V882" i="697"/>
  <c r="W882" i="697" s="1"/>
  <c r="V883" i="697"/>
  <c r="W883" i="697" s="1"/>
  <c r="V884" i="697"/>
  <c r="W884" i="697" s="1"/>
  <c r="V885" i="697"/>
  <c r="W885" i="697" s="1"/>
  <c r="V1049" i="697"/>
  <c r="W1049" i="697" s="1"/>
  <c r="V1050" i="697"/>
  <c r="W1050" i="697" s="1"/>
  <c r="V900" i="697"/>
  <c r="W900" i="697" s="1"/>
  <c r="V887" i="697"/>
  <c r="W887" i="697" s="1"/>
  <c r="V888" i="697"/>
  <c r="W888" i="697" s="1"/>
  <c r="V1091" i="697"/>
  <c r="W1091" i="697" s="1"/>
  <c r="V1068" i="697"/>
  <c r="W1068" i="697" s="1"/>
  <c r="V1075" i="697"/>
  <c r="W1075" i="697" s="1"/>
  <c r="V901" i="697"/>
  <c r="W901" i="697" s="1"/>
  <c r="V1096" i="697"/>
  <c r="W1096" i="697" s="1"/>
  <c r="V907" i="697"/>
  <c r="W907" i="697" s="1"/>
  <c r="V908" i="697"/>
  <c r="W908" i="697" s="1"/>
  <c r="V909" i="697"/>
  <c r="W909" i="697" s="1"/>
  <c r="V910" i="697"/>
  <c r="W910" i="697" s="1"/>
  <c r="V911" i="697"/>
  <c r="W911" i="697" s="1"/>
  <c r="V1168" i="697"/>
  <c r="W1168" i="697" s="1"/>
  <c r="V944" i="697"/>
  <c r="W944" i="697" s="1"/>
  <c r="V1097" i="697"/>
  <c r="W1097" i="697" s="1"/>
  <c r="V1069" i="697"/>
  <c r="W1069" i="697" s="1"/>
  <c r="V1051" i="697"/>
  <c r="W1051" i="697" s="1"/>
  <c r="V922" i="697"/>
  <c r="W922" i="697" s="1"/>
  <c r="V919" i="697"/>
  <c r="W919" i="697" s="1"/>
  <c r="V920" i="697"/>
  <c r="W920" i="697" s="1"/>
  <c r="V921" i="697"/>
  <c r="W921" i="697" s="1"/>
  <c r="V1076" i="697"/>
  <c r="W1076" i="697" s="1"/>
  <c r="V945" i="697"/>
  <c r="W945" i="697" s="1"/>
  <c r="V1162" i="697"/>
  <c r="W1162" i="697" s="1"/>
  <c r="V1169" i="697"/>
  <c r="W1169" i="697" s="1"/>
  <c r="V1083" i="697"/>
  <c r="W1083" i="697" s="1"/>
  <c r="V946" i="697"/>
  <c r="W946" i="697" s="1"/>
  <c r="V1082" i="697"/>
  <c r="W1082" i="697" s="1"/>
  <c r="V1131" i="697"/>
  <c r="W1131" i="697" s="1"/>
  <c r="V1077" i="697"/>
  <c r="W1077" i="697" s="1"/>
  <c r="V1052" i="697"/>
  <c r="W1052" i="697" s="1"/>
  <c r="V1098" i="697"/>
  <c r="W1098" i="697" s="1"/>
  <c r="V1070" i="697"/>
  <c r="W1070" i="697" s="1"/>
  <c r="V1085" i="697"/>
  <c r="W1085" i="697" s="1"/>
  <c r="V947" i="697"/>
  <c r="W947" i="697" s="1"/>
  <c r="V9" i="697"/>
  <c r="W9" i="697" s="1"/>
  <c r="V1032" i="697"/>
  <c r="W1032" i="697" s="1"/>
  <c r="V1053" i="697"/>
  <c r="W1053" i="697" s="1"/>
  <c r="V949" i="697"/>
  <c r="W949" i="697" s="1"/>
  <c r="V950" i="697"/>
  <c r="W950" i="697" s="1"/>
  <c r="V1092" i="697"/>
  <c r="W1092" i="697" s="1"/>
  <c r="V1099" i="697"/>
  <c r="W1099" i="697" s="1"/>
  <c r="V1130" i="697"/>
  <c r="W1130" i="697" s="1"/>
  <c r="V1078" i="697"/>
  <c r="W1078" i="697" s="1"/>
  <c r="V951" i="697"/>
  <c r="W951" i="697" s="1"/>
  <c r="V1037" i="697"/>
  <c r="W1037" i="697" s="1"/>
  <c r="V1071" i="697"/>
  <c r="W1071" i="697" s="1"/>
  <c r="V1100" i="697"/>
  <c r="W1100" i="697" s="1"/>
  <c r="V1086" i="697"/>
  <c r="W1086" i="697" s="1"/>
  <c r="V1089" i="697"/>
  <c r="W1089" i="697" s="1"/>
  <c r="V1101" i="697"/>
  <c r="W1101" i="697" s="1"/>
  <c r="V1087" i="697"/>
  <c r="W1087" i="697" s="1"/>
  <c r="V1238" i="697"/>
  <c r="W1238" i="697" s="1"/>
  <c r="V1088" i="697"/>
  <c r="W1088" i="697" s="1"/>
  <c r="V1009" i="697"/>
  <c r="W1009" i="697" s="1"/>
  <c r="V972" i="697"/>
  <c r="W972" i="697" s="1"/>
  <c r="V1054" i="697"/>
  <c r="W1054" i="697" s="1"/>
  <c r="V1033" i="697"/>
  <c r="W1033" i="697" s="1"/>
  <c r="V1102" i="697"/>
  <c r="W1102" i="697" s="1"/>
  <c r="V1010" i="697"/>
  <c r="W1010" i="697" s="1"/>
  <c r="V961" i="697"/>
  <c r="W961" i="697" s="1"/>
  <c r="V962" i="697"/>
  <c r="W962" i="697" s="1"/>
  <c r="V963" i="697"/>
  <c r="W963" i="697" s="1"/>
  <c r="V964" i="697"/>
  <c r="W964" i="697" s="1"/>
  <c r="V965" i="697"/>
  <c r="W965" i="697" s="1"/>
  <c r="V966" i="697"/>
  <c r="W966" i="697" s="1"/>
  <c r="V967" i="697"/>
  <c r="W967" i="697" s="1"/>
  <c r="V968" i="697"/>
  <c r="W968" i="697" s="1"/>
  <c r="V969" i="697"/>
  <c r="W969" i="697" s="1"/>
  <c r="V970" i="697"/>
  <c r="W970" i="697" s="1"/>
  <c r="V971" i="697"/>
  <c r="W971" i="697" s="1"/>
  <c r="V1055" i="697"/>
  <c r="W1055" i="697" s="1"/>
  <c r="V1056" i="697"/>
  <c r="W1056" i="697" s="1"/>
  <c r="V1057" i="697"/>
  <c r="W1057" i="697" s="1"/>
  <c r="V1058" i="697"/>
  <c r="W1058" i="697" s="1"/>
  <c r="V1059" i="697"/>
  <c r="W1059" i="697" s="1"/>
  <c r="V1060" i="697"/>
  <c r="W1060" i="697" s="1"/>
  <c r="V1017" i="697"/>
  <c r="W1017" i="697" s="1"/>
  <c r="V1190" i="697"/>
  <c r="W1190" i="697" s="1"/>
  <c r="V1018" i="697"/>
  <c r="W1018" i="697" s="1"/>
  <c r="V973" i="697"/>
  <c r="W973" i="697" s="1"/>
  <c r="V974" i="697"/>
  <c r="W974" i="697" s="1"/>
  <c r="V1124" i="697"/>
  <c r="W1124" i="697" s="1"/>
  <c r="V996" i="697"/>
  <c r="W996" i="697" s="1"/>
  <c r="V1118" i="697"/>
  <c r="W1118" i="697" s="1"/>
  <c r="V1013" i="697"/>
  <c r="W1013" i="697" s="1"/>
  <c r="V1189" i="697"/>
  <c r="W1189" i="697" s="1"/>
  <c r="V1014" i="697"/>
  <c r="W1014" i="697" s="1"/>
  <c r="V975" i="697"/>
  <c r="W975" i="697" s="1"/>
  <c r="V1015" i="697"/>
  <c r="W1015" i="697" s="1"/>
  <c r="V1016" i="697"/>
  <c r="W1016" i="697" s="1"/>
  <c r="V976" i="697"/>
  <c r="W976" i="697" s="1"/>
  <c r="V1040" i="697"/>
  <c r="W1040" i="697" s="1"/>
  <c r="V977" i="697"/>
  <c r="W977" i="697" s="1"/>
  <c r="V1093" i="697"/>
  <c r="W1093" i="697" s="1"/>
  <c r="V1112" i="697"/>
  <c r="W1112" i="697" s="1"/>
  <c r="V1011" i="697"/>
  <c r="W1011" i="697" s="1"/>
  <c r="V1103" i="697"/>
  <c r="W1103" i="697" s="1"/>
  <c r="V1012" i="697"/>
  <c r="W1012" i="697" s="1"/>
  <c r="V1019" i="697"/>
  <c r="W1019" i="697" s="1"/>
  <c r="V978" i="697"/>
  <c r="W978" i="697" s="1"/>
  <c r="V1213" i="697"/>
  <c r="W1213" i="697" s="1"/>
  <c r="V1061" i="697"/>
  <c r="W1061" i="697" s="1"/>
  <c r="V1104" i="697"/>
  <c r="W1104" i="697" s="1"/>
  <c r="V1320" i="697"/>
  <c r="W1320" i="697" s="1"/>
  <c r="V1293" i="697"/>
  <c r="W1293" i="697" s="1"/>
  <c r="V1191" i="697"/>
  <c r="W1191" i="697" s="1"/>
  <c r="V1206" i="697"/>
  <c r="W1206" i="697" s="1"/>
  <c r="V1289" i="697"/>
  <c r="W1289" i="697" s="1"/>
  <c r="V1253" i="697"/>
  <c r="W1253" i="697" s="1"/>
  <c r="V1321" i="697"/>
  <c r="W1321" i="697" s="1"/>
  <c r="V1239" i="697"/>
  <c r="W1239" i="697" s="1"/>
  <c r="V1157" i="697"/>
  <c r="W1157" i="697" s="1"/>
  <c r="V997" i="697"/>
  <c r="W997" i="697" s="1"/>
  <c r="V998" i="697"/>
  <c r="W998" i="697" s="1"/>
  <c r="V999" i="697"/>
  <c r="W999" i="697" s="1"/>
  <c r="V1604" i="697"/>
  <c r="W1604" i="697" s="1"/>
  <c r="V1158" i="697"/>
  <c r="W1158" i="697" s="1"/>
  <c r="V1132" i="697"/>
  <c r="W1132" i="697" s="1"/>
  <c r="V1003" i="697"/>
  <c r="W1003" i="697" s="1"/>
  <c r="V1062" i="697"/>
  <c r="W1062" i="697" s="1"/>
  <c r="V1063" i="697"/>
  <c r="W1063" i="697" s="1"/>
  <c r="V1004" i="697"/>
  <c r="W1004" i="697" s="1"/>
  <c r="V1170" i="697"/>
  <c r="W1170" i="697" s="1"/>
  <c r="V1020" i="697"/>
  <c r="W1020" i="697" s="1"/>
  <c r="V1270" i="697"/>
  <c r="W1270" i="697" s="1"/>
  <c r="V1271" i="697"/>
  <c r="W1271" i="697" s="1"/>
  <c r="V1176" i="697"/>
  <c r="W1176" i="697" s="1"/>
  <c r="V1294" i="697"/>
  <c r="W1294" i="697" s="1"/>
  <c r="V1034" i="697"/>
  <c r="W1034" i="697" s="1"/>
  <c r="V1163" i="697"/>
  <c r="W1163" i="697" s="1"/>
  <c r="V1026" i="697"/>
  <c r="W1026" i="697" s="1"/>
  <c r="V1027" i="697"/>
  <c r="W1027" i="697" s="1"/>
  <c r="V1028" i="697"/>
  <c r="W1028" i="697" s="1"/>
  <c r="V1252" i="697"/>
  <c r="W1252" i="697" s="1"/>
  <c r="V1133" i="697"/>
  <c r="W1133" i="697" s="1"/>
  <c r="V1177" i="697"/>
  <c r="W1177" i="697" s="1"/>
  <c r="V1036" i="697"/>
  <c r="W1036" i="697" s="1"/>
  <c r="V1035" i="697"/>
  <c r="W1035" i="697" s="1"/>
  <c r="V1248" i="697"/>
  <c r="W1248" i="697" s="1"/>
  <c r="V1171" i="697"/>
  <c r="W1171" i="697" s="1"/>
  <c r="V1192" i="697"/>
  <c r="W1192" i="697" s="1"/>
  <c r="V1038" i="697"/>
  <c r="W1038" i="697" s="1"/>
  <c r="V1079" i="697"/>
  <c r="W1079" i="697" s="1"/>
  <c r="V1178" i="697"/>
  <c r="W1178" i="697" s="1"/>
  <c r="V1039" i="697"/>
  <c r="W1039" i="697" s="1"/>
  <c r="V1229" i="697"/>
  <c r="W1229" i="697" s="1"/>
  <c r="V1179" i="697"/>
  <c r="W1179" i="697" s="1"/>
  <c r="V1113" i="697"/>
  <c r="W1113" i="697" s="1"/>
  <c r="V1080" i="697"/>
  <c r="W1080" i="697" s="1"/>
  <c r="V1180" i="697"/>
  <c r="W1180" i="697" s="1"/>
  <c r="V1295" i="697"/>
  <c r="W1295" i="697" s="1"/>
  <c r="V1041" i="697"/>
  <c r="W1041" i="697" s="1"/>
  <c r="V1214" i="697"/>
  <c r="W1214" i="697" s="1"/>
  <c r="V1042" i="697"/>
  <c r="W1042" i="697" s="1"/>
  <c r="V1043" i="697"/>
  <c r="W1043" i="697" s="1"/>
  <c r="V1072" i="697"/>
  <c r="W1072" i="697" s="1"/>
  <c r="V1066" i="697"/>
  <c r="W1066" i="697" s="1"/>
  <c r="V1067" i="697"/>
  <c r="W1067" i="697" s="1"/>
  <c r="V1372" i="697"/>
  <c r="W1372" i="697" s="1"/>
  <c r="V1065" i="697"/>
  <c r="W1065" i="697" s="1"/>
  <c r="V1296" i="697"/>
  <c r="W1296" i="697" s="1"/>
  <c r="V1064" i="697"/>
  <c r="W1064" i="697" s="1"/>
  <c r="V1144" i="697"/>
  <c r="W1144" i="697" s="1"/>
  <c r="V1182" i="697"/>
  <c r="W1182" i="697" s="1"/>
  <c r="V1183" i="697"/>
  <c r="W1183" i="697" s="1"/>
  <c r="V1203" i="697"/>
  <c r="W1203" i="697" s="1"/>
  <c r="V1073" i="697"/>
  <c r="W1073" i="697" s="1"/>
  <c r="V1074" i="697"/>
  <c r="W1074" i="697" s="1"/>
  <c r="V1081" i="697"/>
  <c r="W1081" i="697" s="1"/>
  <c r="V1181" i="697"/>
  <c r="W1181" i="697" s="1"/>
  <c r="V1090" i="697"/>
  <c r="W1090" i="697" s="1"/>
  <c r="V1322" i="697"/>
  <c r="W1322" i="697" s="1"/>
  <c r="V1184" i="697"/>
  <c r="W1184" i="697" s="1"/>
  <c r="V1228" i="697"/>
  <c r="W1228" i="697" s="1"/>
  <c r="V1272" i="697"/>
  <c r="W1272" i="697" s="1"/>
  <c r="V1193" i="697"/>
  <c r="W1193" i="697" s="1"/>
  <c r="V1094" i="697"/>
  <c r="W1094" i="697" s="1"/>
  <c r="V1323" i="697"/>
  <c r="W1323" i="697" s="1"/>
  <c r="V1290" i="697"/>
  <c r="W1290" i="697" s="1"/>
  <c r="V1216" i="697"/>
  <c r="W1216" i="697" s="1"/>
  <c r="V1240" i="697"/>
  <c r="W1240" i="697" s="1"/>
  <c r="V1105" i="697"/>
  <c r="W1105" i="697" s="1"/>
  <c r="V1095" i="697"/>
  <c r="W1095" i="697" s="1"/>
  <c r="V1215" i="697"/>
  <c r="W1215" i="697" s="1"/>
  <c r="V1230" i="697"/>
  <c r="W1230" i="697" s="1"/>
  <c r="V979" i="697"/>
  <c r="W979" i="697" s="1"/>
  <c r="V1106" i="697"/>
  <c r="W1106" i="697" s="1"/>
  <c r="V1107" i="697"/>
  <c r="W1107" i="697" s="1"/>
  <c r="V1273" i="697"/>
  <c r="W1273" i="697" s="1"/>
  <c r="V1108" i="697"/>
  <c r="W1108" i="697" s="1"/>
  <c r="V1297" i="697"/>
  <c r="W1297" i="697" s="1"/>
  <c r="V1110" i="697"/>
  <c r="W1110" i="697" s="1"/>
  <c r="V1138" i="697"/>
  <c r="W1138" i="697" s="1"/>
  <c r="V1109" i="697"/>
  <c r="W1109" i="697" s="1"/>
  <c r="V1111" i="697"/>
  <c r="W1111" i="697" s="1"/>
  <c r="V1126" i="697"/>
  <c r="W1126" i="697" s="1"/>
  <c r="V1145" i="697"/>
  <c r="W1145" i="697" s="1"/>
  <c r="V1150" i="697"/>
  <c r="W1150" i="697" s="1"/>
  <c r="V1134" i="697"/>
  <c r="W1134" i="697" s="1"/>
  <c r="V1274" i="697"/>
  <c r="W1274" i="697" s="1"/>
  <c r="V1275" i="697"/>
  <c r="W1275" i="697" s="1"/>
  <c r="V1146" i="697"/>
  <c r="W1146" i="697" s="1"/>
  <c r="V1147" i="697"/>
  <c r="W1147" i="697" s="1"/>
  <c r="V1148" i="697"/>
  <c r="W1148" i="697" s="1"/>
  <c r="V1149" i="697"/>
  <c r="W1149" i="697" s="1"/>
  <c r="V1151" i="697"/>
  <c r="W1151" i="697" s="1"/>
  <c r="V1114" i="697"/>
  <c r="W1114" i="697" s="1"/>
  <c r="V1135" i="697"/>
  <c r="W1135" i="697" s="1"/>
  <c r="V1125" i="697"/>
  <c r="W1125" i="697" s="1"/>
  <c r="V1127" i="697"/>
  <c r="W1127" i="697" s="1"/>
  <c r="V1266" i="697"/>
  <c r="W1266" i="697" s="1"/>
  <c r="V1115" i="697"/>
  <c r="W1115" i="697" s="1"/>
  <c r="V1116" i="697"/>
  <c r="W1116" i="697" s="1"/>
  <c r="V1117" i="697"/>
  <c r="W1117" i="697" s="1"/>
  <c r="V1152" i="697"/>
  <c r="W1152" i="697" s="1"/>
  <c r="V1241" i="697"/>
  <c r="W1241" i="697" s="1"/>
  <c r="V1120" i="697"/>
  <c r="W1120" i="697" s="1"/>
  <c r="V1119" i="697"/>
  <c r="W1119" i="697" s="1"/>
  <c r="V1217" i="697"/>
  <c r="W1217" i="697" s="1"/>
  <c r="V1121" i="697"/>
  <c r="W1121" i="697" s="1"/>
  <c r="V1122" i="697"/>
  <c r="W1122" i="697" s="1"/>
  <c r="V1123" i="697"/>
  <c r="W1123" i="697" s="1"/>
  <c r="V1194" i="697"/>
  <c r="W1194" i="697" s="1"/>
  <c r="V1128" i="697"/>
  <c r="W1128" i="697" s="1"/>
  <c r="V1129" i="697"/>
  <c r="W1129" i="697" s="1"/>
  <c r="V1174" i="697"/>
  <c r="W1174" i="697" s="1"/>
  <c r="V1136" i="697"/>
  <c r="W1136" i="697" s="1"/>
  <c r="V1235" i="697"/>
  <c r="W1235" i="697" s="1"/>
  <c r="V1326" i="697"/>
  <c r="W1326" i="697" s="1"/>
  <c r="V1207" i="697"/>
  <c r="W1207" i="697" s="1"/>
  <c r="V1254" i="697"/>
  <c r="W1254" i="697" s="1"/>
  <c r="V1137" i="697"/>
  <c r="W1137" i="697" s="1"/>
  <c r="V1365" i="697"/>
  <c r="W1365" i="697" s="1"/>
  <c r="V1327" i="697"/>
  <c r="W1327" i="697" s="1"/>
  <c r="V1139" i="697"/>
  <c r="W1139" i="697" s="1"/>
  <c r="V1140" i="697"/>
  <c r="W1140" i="697" s="1"/>
  <c r="V1141" i="697"/>
  <c r="W1141" i="697" s="1"/>
  <c r="V1160" i="697"/>
  <c r="W1160" i="697" s="1"/>
  <c r="V1153" i="697"/>
  <c r="W1153" i="697" s="1"/>
  <c r="V1142" i="697"/>
  <c r="W1142" i="697" s="1"/>
  <c r="V1159" i="697"/>
  <c r="W1159" i="697" s="1"/>
  <c r="V1154" i="697"/>
  <c r="W1154" i="697" s="1"/>
  <c r="V1155" i="697"/>
  <c r="W1155" i="697" s="1"/>
  <c r="V1156" i="697"/>
  <c r="W1156" i="697" s="1"/>
  <c r="V1366" i="697"/>
  <c r="W1366" i="697" s="1"/>
  <c r="V1185" i="697"/>
  <c r="W1185" i="697" s="1"/>
  <c r="V1161" i="697"/>
  <c r="W1161" i="697" s="1"/>
  <c r="V1334" i="697"/>
  <c r="W1334" i="697" s="1"/>
  <c r="V1255" i="697"/>
  <c r="W1255" i="697" s="1"/>
  <c r="V1298" i="697"/>
  <c r="W1298" i="697" s="1"/>
  <c r="V1267" i="697"/>
  <c r="W1267" i="697" s="1"/>
  <c r="V1195" i="697"/>
  <c r="W1195" i="697" s="1"/>
  <c r="V1196" i="697"/>
  <c r="W1196" i="697" s="1"/>
  <c r="V1268" i="697"/>
  <c r="W1268" i="697" s="1"/>
  <c r="V1164" i="697"/>
  <c r="W1164" i="697" s="1"/>
  <c r="V1335" i="697"/>
  <c r="W1335" i="697" s="1"/>
  <c r="V1328" i="697"/>
  <c r="W1328" i="697" s="1"/>
  <c r="V1165" i="697"/>
  <c r="W1165" i="697" s="1"/>
  <c r="V1166" i="697"/>
  <c r="W1166" i="697" s="1"/>
  <c r="V1276" i="697"/>
  <c r="W1276" i="697" s="1"/>
  <c r="V1277" i="697"/>
  <c r="W1277" i="697" s="1"/>
  <c r="V1256" i="697"/>
  <c r="W1256" i="697" s="1"/>
  <c r="V1172" i="697"/>
  <c r="W1172" i="697" s="1"/>
  <c r="V1330" i="697"/>
  <c r="W1330" i="697" s="1"/>
  <c r="V1324" i="697"/>
  <c r="W1324" i="697" s="1"/>
  <c r="V1299" i="697"/>
  <c r="W1299" i="697" s="1"/>
  <c r="V1586" i="697"/>
  <c r="W1586" i="697" s="1"/>
  <c r="V1175" i="697"/>
  <c r="W1175" i="697" s="1"/>
  <c r="V1173" i="697"/>
  <c r="W1173" i="697" s="1"/>
  <c r="V1329" i="697"/>
  <c r="W1329" i="697" s="1"/>
  <c r="V1300" i="697"/>
  <c r="W1300" i="697" s="1"/>
  <c r="V1367" i="697"/>
  <c r="W1367" i="697" s="1"/>
  <c r="V1368" i="697"/>
  <c r="W1368" i="697" s="1"/>
  <c r="V1378" i="697"/>
  <c r="W1378" i="697" s="1"/>
  <c r="V1377" i="697"/>
  <c r="W1377" i="697" s="1"/>
  <c r="V1301" i="697"/>
  <c r="W1301" i="697" s="1"/>
  <c r="V1331" i="697"/>
  <c r="W1331" i="697" s="1"/>
  <c r="V1186" i="697"/>
  <c r="W1186" i="697" s="1"/>
  <c r="V1187" i="697"/>
  <c r="W1187" i="697" s="1"/>
  <c r="V1357" i="697"/>
  <c r="W1357" i="697" s="1"/>
  <c r="V1369" i="697"/>
  <c r="W1369" i="697" s="1"/>
  <c r="V1439" i="697"/>
  <c r="W1439" i="697" s="1"/>
  <c r="V1302" i="697"/>
  <c r="W1302" i="697" s="1"/>
  <c r="V1188" i="697"/>
  <c r="W1188" i="697" s="1"/>
  <c r="V1278" i="697"/>
  <c r="W1278" i="697" s="1"/>
  <c r="V1358" i="697"/>
  <c r="W1358" i="697" s="1"/>
  <c r="V1197" i="697"/>
  <c r="W1197" i="697" s="1"/>
  <c r="V1198" i="697"/>
  <c r="W1198" i="697" s="1"/>
  <c r="V1199" i="697"/>
  <c r="W1199" i="697" s="1"/>
  <c r="V1200" i="697"/>
  <c r="W1200" i="697" s="1"/>
  <c r="V1201" i="697"/>
  <c r="W1201" i="697" s="1"/>
  <c r="V1202" i="697"/>
  <c r="W1202" i="697" s="1"/>
  <c r="V1208" i="697"/>
  <c r="W1208" i="697" s="1"/>
  <c r="V1242" i="697"/>
  <c r="W1242" i="697" s="1"/>
  <c r="V1359" i="697"/>
  <c r="W1359" i="697" s="1"/>
  <c r="V1222" i="697"/>
  <c r="W1222" i="697" s="1"/>
  <c r="V1223" i="697"/>
  <c r="W1223" i="697" s="1"/>
  <c r="V1204" i="697"/>
  <c r="W1204" i="697" s="1"/>
  <c r="V1167" i="697"/>
  <c r="W1167" i="697" s="1"/>
  <c r="V1220" i="697"/>
  <c r="W1220" i="697" s="1"/>
  <c r="V1221" i="697"/>
  <c r="W1221" i="697" s="1"/>
  <c r="V1257" i="697"/>
  <c r="W1257" i="697" s="1"/>
  <c r="V1205" i="697"/>
  <c r="W1205" i="697" s="1"/>
  <c r="V1218" i="697"/>
  <c r="W1218" i="697" s="1"/>
  <c r="V1224" i="697"/>
  <c r="W1224" i="697" s="1"/>
  <c r="V1219" i="697"/>
  <c r="W1219" i="697" s="1"/>
  <c r="V1209" i="697"/>
  <c r="W1209" i="697" s="1"/>
  <c r="V1337" i="697"/>
  <c r="W1337" i="697" s="1"/>
  <c r="V1338" i="697"/>
  <c r="W1338" i="697" s="1"/>
  <c r="V1339" i="697"/>
  <c r="W1339" i="697" s="1"/>
  <c r="V1340" i="697"/>
  <c r="W1340" i="697" s="1"/>
  <c r="V1373" i="697"/>
  <c r="W1373" i="697" s="1"/>
  <c r="V1258" i="697"/>
  <c r="W1258" i="697" s="1"/>
  <c r="V1336" i="697"/>
  <c r="W1336" i="697" s="1"/>
  <c r="V1210" i="697"/>
  <c r="W1210" i="697" s="1"/>
  <c r="V1211" i="697"/>
  <c r="W1211" i="697" s="1"/>
  <c r="V1225" i="697"/>
  <c r="W1225" i="697" s="1"/>
  <c r="V1226" i="697"/>
  <c r="W1226" i="697" s="1"/>
  <c r="V1285" i="697"/>
  <c r="W1285" i="697" s="1"/>
  <c r="V1259" i="697"/>
  <c r="W1259" i="697" s="1"/>
  <c r="V1227" i="697"/>
  <c r="W1227" i="697" s="1"/>
  <c r="V1477" i="697"/>
  <c r="W1477" i="697" s="1"/>
  <c r="V1379" i="697"/>
  <c r="W1379" i="697" s="1"/>
  <c r="V1303" i="697"/>
  <c r="W1303" i="697" s="1"/>
  <c r="V1345" i="697"/>
  <c r="W1345" i="697" s="1"/>
  <c r="V1360" i="697"/>
  <c r="W1360" i="697" s="1"/>
  <c r="V1440" i="697"/>
  <c r="W1440" i="697" s="1"/>
  <c r="V1394" i="697"/>
  <c r="W1394" i="697" s="1"/>
  <c r="V1344" i="697"/>
  <c r="W1344" i="697" s="1"/>
  <c r="V1231" i="697"/>
  <c r="W1231" i="697" s="1"/>
  <c r="V1361" i="697"/>
  <c r="W1361" i="697" s="1"/>
  <c r="V1269" i="697"/>
  <c r="W1269" i="697" s="1"/>
  <c r="V1232" i="697"/>
  <c r="W1232" i="697" s="1"/>
  <c r="V1233" i="697"/>
  <c r="W1233" i="697" s="1"/>
  <c r="V1423" i="697"/>
  <c r="W1423" i="697" s="1"/>
  <c r="V1325" i="697"/>
  <c r="W1325" i="697" s="1"/>
  <c r="V1243" i="697"/>
  <c r="W1243" i="697" s="1"/>
  <c r="V1492" i="697"/>
  <c r="W1492" i="697" s="1"/>
  <c r="V1234" i="697"/>
  <c r="W1234" i="697" s="1"/>
  <c r="V1380" i="697"/>
  <c r="W1380" i="697" s="1"/>
  <c r="V1496" i="697"/>
  <c r="W1496" i="697" s="1"/>
  <c r="V1249" i="697"/>
  <c r="W1249" i="697" s="1"/>
  <c r="V1363" i="697"/>
  <c r="W1363" i="697" s="1"/>
  <c r="V1236" i="697"/>
  <c r="W1236" i="697" s="1"/>
  <c r="V1237" i="697"/>
  <c r="W1237" i="697" s="1"/>
  <c r="V1464" i="697"/>
  <c r="W1464" i="697" s="1"/>
  <c r="V1374" i="697"/>
  <c r="W1374" i="697" s="1"/>
  <c r="V1247" i="697"/>
  <c r="W1247" i="697" s="1"/>
  <c r="V1245" i="697"/>
  <c r="W1245" i="697" s="1"/>
  <c r="V1244" i="697"/>
  <c r="W1244" i="697" s="1"/>
  <c r="V1410" i="697"/>
  <c r="W1410" i="697" s="1"/>
  <c r="V1411" i="697"/>
  <c r="W1411" i="697" s="1"/>
  <c r="V1370" i="697"/>
  <c r="W1370" i="697" s="1"/>
  <c r="V1417" i="697"/>
  <c r="W1417" i="697" s="1"/>
  <c r="V1381" i="697"/>
  <c r="W1381" i="697" s="1"/>
  <c r="V1246" i="697"/>
  <c r="W1246" i="697" s="1"/>
  <c r="V1250" i="697"/>
  <c r="W1250" i="697" s="1"/>
  <c r="V1251" i="697"/>
  <c r="W1251" i="697" s="1"/>
  <c r="V1432" i="697"/>
  <c r="W1432" i="697" s="1"/>
  <c r="V1375" i="697"/>
  <c r="W1375" i="697" s="1"/>
  <c r="V1382" i="697"/>
  <c r="W1382" i="697" s="1"/>
  <c r="V1260" i="697"/>
  <c r="W1260" i="697" s="1"/>
  <c r="V1279" i="697"/>
  <c r="W1279" i="697" s="1"/>
  <c r="V1280" i="697"/>
  <c r="W1280" i="697" s="1"/>
  <c r="V1281" i="697"/>
  <c r="W1281" i="697" s="1"/>
  <c r="V1282" i="697"/>
  <c r="W1282" i="697" s="1"/>
  <c r="V1283" i="697"/>
  <c r="W1283" i="697" s="1"/>
  <c r="V1433" i="697"/>
  <c r="W1433" i="697" s="1"/>
  <c r="V1434" i="697"/>
  <c r="W1434" i="697" s="1"/>
  <c r="V1261" i="697"/>
  <c r="W1261" i="697" s="1"/>
  <c r="V1264" i="697"/>
  <c r="W1264" i="697" s="1"/>
  <c r="V1262" i="697"/>
  <c r="W1262" i="697" s="1"/>
  <c r="V1263" i="697"/>
  <c r="W1263" i="697" s="1"/>
  <c r="V1383" i="697"/>
  <c r="W1383" i="697" s="1"/>
  <c r="V1265" i="697"/>
  <c r="W1265" i="697" s="1"/>
  <c r="V1579" i="697"/>
  <c r="W1579" i="697" s="1"/>
  <c r="V1395" i="697"/>
  <c r="W1395" i="697" s="1"/>
  <c r="V1441" i="697"/>
  <c r="W1441" i="697" s="1"/>
  <c r="V1305" i="697"/>
  <c r="W1305" i="697" s="1"/>
  <c r="V1286" i="697"/>
  <c r="W1286" i="697" s="1"/>
  <c r="V1306" i="697"/>
  <c r="W1306" i="697" s="1"/>
  <c r="V1451" i="697"/>
  <c r="W1451" i="697" s="1"/>
  <c r="V1455" i="697"/>
  <c r="W1455" i="697" s="1"/>
  <c r="V1319" i="697"/>
  <c r="W1319" i="697" s="1"/>
  <c r="V1435" i="697"/>
  <c r="W1435" i="697" s="1"/>
  <c r="V1284" i="697"/>
  <c r="W1284" i="697" s="1"/>
  <c r="V1287" i="697"/>
  <c r="W1287" i="697" s="1"/>
  <c r="V1442" i="697"/>
  <c r="W1442" i="697" s="1"/>
  <c r="V1412" i="697"/>
  <c r="W1412" i="697" s="1"/>
  <c r="V1396" i="697"/>
  <c r="W1396" i="697" s="1"/>
  <c r="V1288" i="697"/>
  <c r="W1288" i="697" s="1"/>
  <c r="V1397" i="697"/>
  <c r="W1397" i="697" s="1"/>
  <c r="V1514" i="697"/>
  <c r="W1514" i="697" s="1"/>
  <c r="V1413" i="697"/>
  <c r="W1413" i="697" s="1"/>
  <c r="V1388" i="697"/>
  <c r="W1388" i="697" s="1"/>
  <c r="V1291" i="697"/>
  <c r="W1291" i="697" s="1"/>
  <c r="V1493" i="697"/>
  <c r="W1493" i="697" s="1"/>
  <c r="V1497" i="697"/>
  <c r="W1497" i="697" s="1"/>
  <c r="V1389" i="697"/>
  <c r="W1389" i="697" s="1"/>
  <c r="V1304" i="697"/>
  <c r="W1304" i="697" s="1"/>
  <c r="V1398" i="697"/>
  <c r="W1398" i="697" s="1"/>
  <c r="V1418" i="697"/>
  <c r="W1418" i="697" s="1"/>
  <c r="V1317" i="697"/>
  <c r="W1317" i="697" s="1"/>
  <c r="V1307" i="697"/>
  <c r="W1307" i="697" s="1"/>
  <c r="V1308" i="697"/>
  <c r="W1308" i="697" s="1"/>
  <c r="V1309" i="697"/>
  <c r="W1309" i="697" s="1"/>
  <c r="V1310" i="697"/>
  <c r="W1310" i="697" s="1"/>
  <c r="V1311" i="697"/>
  <c r="W1311" i="697" s="1"/>
  <c r="V1312" i="697"/>
  <c r="W1312" i="697" s="1"/>
  <c r="V1313" i="697"/>
  <c r="W1313" i="697" s="1"/>
  <c r="V1314" i="697"/>
  <c r="W1314" i="697" s="1"/>
  <c r="V1315" i="697"/>
  <c r="W1315" i="697" s="1"/>
  <c r="V1316" i="697"/>
  <c r="W1316" i="697" s="1"/>
  <c r="V1399" i="697"/>
  <c r="W1399" i="697" s="1"/>
  <c r="V1414" i="697"/>
  <c r="W1414" i="697" s="1"/>
  <c r="V1352" i="697"/>
  <c r="W1352" i="697" s="1"/>
  <c r="V1349" i="697"/>
  <c r="W1349" i="697" s="1"/>
  <c r="V1465" i="697"/>
  <c r="W1465" i="697" s="1"/>
  <c r="V1347" i="697"/>
  <c r="W1347" i="697" s="1"/>
  <c r="V1353" i="697"/>
  <c r="W1353" i="697" s="1"/>
  <c r="V1348" i="697"/>
  <c r="W1348" i="697" s="1"/>
  <c r="V1400" i="697"/>
  <c r="W1400" i="697" s="1"/>
  <c r="V1401" i="697"/>
  <c r="W1401" i="697" s="1"/>
  <c r="V1350" i="697"/>
  <c r="W1350" i="697" s="1"/>
  <c r="V1351" i="697"/>
  <c r="W1351" i="697" s="1"/>
  <c r="V1386" i="697"/>
  <c r="W1386" i="697" s="1"/>
  <c r="V1318" i="697"/>
  <c r="W1318" i="697" s="1"/>
  <c r="V1346" i="697"/>
  <c r="W1346" i="697" s="1"/>
  <c r="V1354" i="697"/>
  <c r="W1354" i="697" s="1"/>
  <c r="V1429" i="697"/>
  <c r="W1429" i="697" s="1"/>
  <c r="V1478" i="697"/>
  <c r="W1478" i="697" s="1"/>
  <c r="V1580" i="697"/>
  <c r="W1580" i="697" s="1"/>
  <c r="V1578" i="697"/>
  <c r="W1578" i="697" s="1"/>
  <c r="V1355" i="697"/>
  <c r="W1355" i="697" s="1"/>
  <c r="V1332" i="697"/>
  <c r="W1332" i="697" s="1"/>
  <c r="V1333" i="697"/>
  <c r="W1333" i="697" s="1"/>
  <c r="V1581" i="697"/>
  <c r="W1581" i="697" s="1"/>
  <c r="V1479" i="697"/>
  <c r="W1479" i="697" s="1"/>
  <c r="V1473" i="697"/>
  <c r="W1473" i="697" s="1"/>
  <c r="V1515" i="697"/>
  <c r="W1515" i="697" s="1"/>
  <c r="V1342" i="697"/>
  <c r="W1342" i="697" s="1"/>
  <c r="V1341" i="697"/>
  <c r="W1341" i="697" s="1"/>
  <c r="V1424" i="697"/>
  <c r="W1424" i="697" s="1"/>
  <c r="V1343" i="697"/>
  <c r="W1343" i="697" s="1"/>
  <c r="V1475" i="697"/>
  <c r="W1475" i="697" s="1"/>
  <c r="V1521" i="697"/>
  <c r="W1521" i="697" s="1"/>
  <c r="V1480" i="697"/>
  <c r="W1480" i="697" s="1"/>
  <c r="V1600" i="697"/>
  <c r="W1600" i="697" s="1"/>
  <c r="V1466" i="697"/>
  <c r="W1466" i="697" s="1"/>
  <c r="V1425" i="697"/>
  <c r="W1425" i="697" s="1"/>
  <c r="V1481" i="697"/>
  <c r="W1481" i="697" s="1"/>
  <c r="V1356" i="697"/>
  <c r="W1356" i="697" s="1"/>
  <c r="V1482" i="697"/>
  <c r="W1482" i="697" s="1"/>
  <c r="V1516" i="697"/>
  <c r="W1516" i="697" s="1"/>
  <c r="V1474" i="697"/>
  <c r="W1474" i="697" s="1"/>
  <c r="V1483" i="697"/>
  <c r="W1483" i="697" s="1"/>
  <c r="V1362" i="697"/>
  <c r="W1362" i="697" s="1"/>
  <c r="V1484" i="697"/>
  <c r="W1484" i="697" s="1"/>
  <c r="V1485" i="697"/>
  <c r="W1485" i="697" s="1"/>
  <c r="V1390" i="697"/>
  <c r="W1390" i="697" s="1"/>
  <c r="V1364" i="697"/>
  <c r="W1364" i="697" s="1"/>
  <c r="V1530" i="697"/>
  <c r="W1530" i="697" s="1"/>
  <c r="V1517" i="697"/>
  <c r="W1517" i="697" s="1"/>
  <c r="V1376" i="697"/>
  <c r="W1376" i="697" s="1"/>
  <c r="V1402" i="697"/>
  <c r="W1402" i="697" s="1"/>
  <c r="V1403" i="697"/>
  <c r="W1403" i="697" s="1"/>
  <c r="V1404" i="697"/>
  <c r="W1404" i="697" s="1"/>
  <c r="V1405" i="697"/>
  <c r="W1405" i="697" s="1"/>
  <c r="V1371" i="697"/>
  <c r="W1371" i="697" s="1"/>
  <c r="V1589" i="697"/>
  <c r="W1589" i="697" s="1"/>
  <c r="V1436" i="697"/>
  <c r="W1436" i="697" s="1"/>
  <c r="V1557" i="697"/>
  <c r="W1557" i="697" s="1"/>
  <c r="V1437" i="697"/>
  <c r="W1437" i="697" s="1"/>
  <c r="V1569" i="697"/>
  <c r="W1569" i="697" s="1"/>
  <c r="V1486" i="697"/>
  <c r="W1486" i="697" s="1"/>
  <c r="V1605" i="697"/>
  <c r="W1605" i="697" s="1"/>
  <c r="V1518" i="697"/>
  <c r="W1518" i="697" s="1"/>
  <c r="V1558" i="697"/>
  <c r="W1558" i="697" s="1"/>
  <c r="V1487" i="697"/>
  <c r="W1487" i="697" s="1"/>
  <c r="V1553" i="697"/>
  <c r="W1553" i="697" s="1"/>
  <c r="V1384" i="697"/>
  <c r="W1384" i="697" s="1"/>
  <c r="V1385" i="697"/>
  <c r="W1385" i="697" s="1"/>
  <c r="V1387" i="697"/>
  <c r="W1387" i="697" s="1"/>
  <c r="V1570" i="697"/>
  <c r="W1570" i="697" s="1"/>
  <c r="V1595" i="697"/>
  <c r="W1595" i="697" s="1"/>
  <c r="V1574" i="697"/>
  <c r="W1574" i="697" s="1"/>
  <c r="V1393" i="697"/>
  <c r="W1393" i="697" s="1"/>
  <c r="V1391" i="697"/>
  <c r="W1391" i="697" s="1"/>
  <c r="V1392" i="697"/>
  <c r="W1392" i="697" s="1"/>
  <c r="V1415" i="697"/>
  <c r="W1415" i="697" s="1"/>
  <c r="V1554" i="697"/>
  <c r="W1554" i="697" s="1"/>
  <c r="V1406" i="697"/>
  <c r="W1406" i="697" s="1"/>
  <c r="V1590" i="697"/>
  <c r="W1590" i="697" s="1"/>
  <c r="V1407" i="697"/>
  <c r="W1407" i="697" s="1"/>
  <c r="V1588" i="697"/>
  <c r="W1588" i="697" s="1"/>
  <c r="V1438" i="697"/>
  <c r="W1438" i="697" s="1"/>
  <c r="V1488" i="697"/>
  <c r="W1488" i="697" s="1"/>
  <c r="V1601" i="697"/>
  <c r="W1601" i="697" s="1"/>
  <c r="V1443" i="697"/>
  <c r="W1443" i="697" s="1"/>
  <c r="V1447" i="697"/>
  <c r="W1447" i="697" s="1"/>
  <c r="V1445" i="697"/>
  <c r="W1445" i="697" s="1"/>
  <c r="V1420" i="697"/>
  <c r="W1420" i="697" s="1"/>
  <c r="V1408" i="697"/>
  <c r="W1408" i="697" s="1"/>
  <c r="V1498" i="697"/>
  <c r="W1498" i="697" s="1"/>
  <c r="V1499" i="697"/>
  <c r="W1499" i="697" s="1"/>
  <c r="V1500" i="697"/>
  <c r="W1500" i="697" s="1"/>
  <c r="V1446" i="697"/>
  <c r="W1446" i="697" s="1"/>
  <c r="V1522" i="697"/>
  <c r="W1522" i="697" s="1"/>
  <c r="V1523" i="697"/>
  <c r="W1523" i="697" s="1"/>
  <c r="V1490" i="697"/>
  <c r="W1490" i="697" s="1"/>
  <c r="V1571" i="697"/>
  <c r="W1571" i="697" s="1"/>
  <c r="V1444" i="697"/>
  <c r="W1444" i="697" s="1"/>
  <c r="V1448" i="697"/>
  <c r="W1448" i="697" s="1"/>
  <c r="V1565" i="697"/>
  <c r="W1565" i="697" s="1"/>
  <c r="V1416" i="697"/>
  <c r="W1416" i="697" s="1"/>
  <c r="V1489" i="697"/>
  <c r="W1489" i="697" s="1"/>
  <c r="V1602" i="697"/>
  <c r="W1602" i="697" s="1"/>
  <c r="V1591" i="697"/>
  <c r="W1591" i="697" s="1"/>
  <c r="V1611" i="697"/>
  <c r="W1611" i="697" s="1"/>
  <c r="V1419" i="697"/>
  <c r="W1419" i="697" s="1"/>
  <c r="V1592" i="697"/>
  <c r="W1592" i="697" s="1"/>
  <c r="V1593" i="697"/>
  <c r="W1593" i="697" s="1"/>
  <c r="V1422" i="697"/>
  <c r="W1422" i="697" s="1"/>
  <c r="V1421" i="697"/>
  <c r="W1421" i="697" s="1"/>
  <c r="V1545" i="697"/>
  <c r="W1545" i="697" s="1"/>
  <c r="V1460" i="697"/>
  <c r="W1460" i="697" s="1"/>
  <c r="V1525" i="697"/>
  <c r="W1525" i="697" s="1"/>
  <c r="V1426" i="697"/>
  <c r="W1426" i="697" s="1"/>
  <c r="V1461" i="697"/>
  <c r="W1461" i="697" s="1"/>
  <c r="V1462" i="697"/>
  <c r="W1462" i="697" s="1"/>
  <c r="V1427" i="697"/>
  <c r="W1427" i="697" s="1"/>
  <c r="V1428" i="697"/>
  <c r="W1428" i="697" s="1"/>
  <c r="V1449" i="697"/>
  <c r="W1449" i="697" s="1"/>
  <c r="V1431" i="697"/>
  <c r="W1431" i="697" s="1"/>
  <c r="V1430" i="697"/>
  <c r="W1430" i="697" s="1"/>
  <c r="V1491" i="697"/>
  <c r="W1491" i="697" s="1"/>
  <c r="V1452" i="697"/>
  <c r="W1452" i="697" s="1"/>
  <c r="V1575" i="697"/>
  <c r="W1575" i="697" s="1"/>
  <c r="V1456" i="697"/>
  <c r="W1456" i="697" s="1"/>
  <c r="V1450" i="697"/>
  <c r="W1450" i="697" s="1"/>
  <c r="V1567" i="697"/>
  <c r="W1567" i="697" s="1"/>
  <c r="V1566" i="697"/>
  <c r="W1566" i="697" s="1"/>
  <c r="V1524" i="697"/>
  <c r="W1524" i="697" s="1"/>
  <c r="V1458" i="697"/>
  <c r="W1458" i="697" s="1"/>
  <c r="V1457" i="697"/>
  <c r="W1457" i="697" s="1"/>
  <c r="V1463" i="697"/>
  <c r="W1463" i="697" s="1"/>
  <c r="V1453" i="697"/>
  <c r="W1453" i="697" s="1"/>
  <c r="V1409" i="697"/>
  <c r="W1409" i="697" s="1"/>
  <c r="V1454" i="697"/>
  <c r="W1454" i="697" s="1"/>
  <c r="V1576" i="697"/>
  <c r="W1576" i="697" s="1"/>
  <c r="V1633" i="697"/>
  <c r="W1633" i="697" s="1"/>
  <c r="V1562" i="697"/>
  <c r="W1562" i="697" s="1"/>
  <c r="V1459" i="697"/>
  <c r="W1459" i="697" s="1"/>
  <c r="V1543" i="697"/>
  <c r="W1543" i="697" s="1"/>
  <c r="V1541" i="697"/>
  <c r="W1541" i="697" s="1"/>
  <c r="V1470" i="697"/>
  <c r="W1470" i="697" s="1"/>
  <c r="V1468" i="697"/>
  <c r="W1468" i="697" s="1"/>
  <c r="V1467" i="697"/>
  <c r="W1467" i="697" s="1"/>
  <c r="V1469" i="697"/>
  <c r="W1469" i="697" s="1"/>
  <c r="V1606" i="697"/>
  <c r="W1606" i="697" s="1"/>
  <c r="V1476" i="697"/>
  <c r="W1476" i="697" s="1"/>
  <c r="V1471" i="697"/>
  <c r="W1471" i="697" s="1"/>
  <c r="V1472" i="697"/>
  <c r="W1472" i="697" s="1"/>
  <c r="V1577" i="697"/>
  <c r="W1577" i="697" s="1"/>
  <c r="V1582" i="697"/>
  <c r="W1582" i="697" s="1"/>
  <c r="V1549" i="697"/>
  <c r="W1549" i="697" s="1"/>
  <c r="V1550" i="697"/>
  <c r="W1550" i="697" s="1"/>
  <c r="V1540" i="697"/>
  <c r="W1540" i="697" s="1"/>
  <c r="V1531" i="697"/>
  <c r="W1531" i="697" s="1"/>
  <c r="V1587" i="697"/>
  <c r="W1587" i="697" s="1"/>
  <c r="V1563" i="697"/>
  <c r="W1563" i="697" s="1"/>
  <c r="V1546" i="697"/>
  <c r="W1546" i="697" s="1"/>
  <c r="V1564" i="697"/>
  <c r="W1564" i="697" s="1"/>
  <c r="V1614" i="697"/>
  <c r="W1614" i="697" s="1"/>
  <c r="V1544" i="697"/>
  <c r="W1544" i="697" s="1"/>
  <c r="V1607" i="697"/>
  <c r="W1607" i="697" s="1"/>
  <c r="V1494" i="697"/>
  <c r="W1494" i="697" s="1"/>
  <c r="V1495" i="697"/>
  <c r="W1495" i="697" s="1"/>
  <c r="V1568" i="697"/>
  <c r="W1568" i="697" s="1"/>
  <c r="V1538" i="697"/>
  <c r="W1538" i="697" s="1"/>
  <c r="V1533" i="697"/>
  <c r="W1533" i="697" s="1"/>
  <c r="V1551" i="697"/>
  <c r="W1551" i="697" s="1"/>
  <c r="V1532" i="697"/>
  <c r="W1532" i="697" s="1"/>
  <c r="V1542" i="697"/>
  <c r="W1542" i="697" s="1"/>
  <c r="V1596" i="697"/>
  <c r="W1596" i="697" s="1"/>
  <c r="V1610" i="697"/>
  <c r="W1610" i="697" s="1"/>
  <c r="V1597" i="697"/>
  <c r="W1597" i="697" s="1"/>
  <c r="V1583" i="697"/>
  <c r="W1583" i="697" s="1"/>
  <c r="V1603" i="697"/>
  <c r="W1603" i="697" s="1"/>
  <c r="V1619" i="697"/>
  <c r="W1619" i="697" s="1"/>
  <c r="V1584" i="697"/>
  <c r="W1584" i="697" s="1"/>
  <c r="V1502" i="697"/>
  <c r="W1502" i="697" s="1"/>
  <c r="V1503" i="697"/>
  <c r="W1503" i="697" s="1"/>
  <c r="V1504" i="697"/>
  <c r="W1504" i="697" s="1"/>
  <c r="V1505" i="697"/>
  <c r="W1505" i="697" s="1"/>
  <c r="V1506" i="697"/>
  <c r="W1506" i="697" s="1"/>
  <c r="V1507" i="697"/>
  <c r="W1507" i="697" s="1"/>
  <c r="V1508" i="697"/>
  <c r="W1508" i="697" s="1"/>
  <c r="V1621" i="697"/>
  <c r="W1621" i="697" s="1"/>
  <c r="V1609" i="697"/>
  <c r="W1609" i="697" s="1"/>
  <c r="V1561" i="697"/>
  <c r="W1561" i="697" s="1"/>
  <c r="V1511" i="697"/>
  <c r="W1511" i="697" s="1"/>
  <c r="V1512" i="697"/>
  <c r="W1512" i="697" s="1"/>
  <c r="V1552" i="697"/>
  <c r="W1552" i="697" s="1"/>
  <c r="V1598" i="697"/>
  <c r="W1598" i="697" s="1"/>
  <c r="V1599" i="697"/>
  <c r="W1599" i="697" s="1"/>
  <c r="V1513" i="697"/>
  <c r="W1513" i="697" s="1"/>
  <c r="V1519" i="697"/>
  <c r="W1519" i="697" s="1"/>
  <c r="W104" i="697"/>
  <c r="Z1292" i="697"/>
  <c r="Z103" i="697"/>
  <c r="Z104" i="697"/>
  <c r="Z22" i="697"/>
  <c r="Z23" i="697"/>
  <c r="Z12" i="697"/>
  <c r="Z196" i="697"/>
  <c r="Z4" i="697"/>
  <c r="Z24" i="697"/>
  <c r="Z208" i="697"/>
  <c r="Z6" i="697"/>
  <c r="Z13" i="697"/>
  <c r="Z14" i="697"/>
  <c r="Z2" i="697"/>
  <c r="Z16" i="697"/>
  <c r="Z17" i="697"/>
  <c r="Z34" i="697"/>
  <c r="Z15" i="697"/>
  <c r="Z45" i="697"/>
  <c r="Z77" i="697"/>
  <c r="Z117" i="697"/>
  <c r="Z79" i="697"/>
  <c r="Z78" i="697"/>
  <c r="Z80" i="697"/>
  <c r="Z40" i="697"/>
  <c r="Z3" i="697"/>
  <c r="Z209" i="697"/>
  <c r="Z5" i="697"/>
  <c r="Z18" i="697"/>
  <c r="Z20" i="697"/>
  <c r="Z19" i="697"/>
  <c r="Z7" i="697"/>
  <c r="Z8" i="697"/>
  <c r="Z10" i="697"/>
  <c r="Z105" i="697"/>
  <c r="Z106" i="697"/>
  <c r="Z107" i="697"/>
  <c r="Z11" i="697"/>
  <c r="Z81" i="697"/>
  <c r="Z174" i="697"/>
  <c r="Z175" i="697"/>
  <c r="Z82" i="697"/>
  <c r="Z84" i="697"/>
  <c r="Z118" i="697"/>
  <c r="Z85" i="697"/>
  <c r="Z83" i="697"/>
  <c r="Z86" i="697"/>
  <c r="Z87" i="697"/>
  <c r="Z21" i="697"/>
  <c r="Z210" i="697"/>
  <c r="Z88" i="697"/>
  <c r="Z27" i="697"/>
  <c r="Z28" i="697"/>
  <c r="Z29" i="697"/>
  <c r="Z30" i="697"/>
  <c r="Z31" i="697"/>
  <c r="Z32" i="697"/>
  <c r="Z33" i="697"/>
  <c r="Z219" i="697"/>
  <c r="Z90" i="697"/>
  <c r="Z89" i="697"/>
  <c r="Z96" i="697"/>
  <c r="Z115" i="697"/>
  <c r="Z125" i="697"/>
  <c r="Z67" i="697"/>
  <c r="Z171" i="697"/>
  <c r="Z75" i="697"/>
  <c r="Z46" i="697"/>
  <c r="Z47" i="697"/>
  <c r="Z48" i="697"/>
  <c r="Z37" i="697"/>
  <c r="Z53" i="697"/>
  <c r="Z54" i="697"/>
  <c r="Z55" i="697"/>
  <c r="Z56" i="697"/>
  <c r="Z57" i="697"/>
  <c r="Z49" i="697"/>
  <c r="Z50" i="697"/>
  <c r="Z51" i="697"/>
  <c r="Z119" i="697"/>
  <c r="Z52" i="697"/>
  <c r="Z114" i="697"/>
  <c r="Z35" i="697"/>
  <c r="Z58" i="697"/>
  <c r="Z59" i="697"/>
  <c r="Z60" i="697"/>
  <c r="Z61" i="697"/>
  <c r="Z62" i="697"/>
  <c r="Z63" i="697"/>
  <c r="Z126" i="697"/>
  <c r="Z116" i="697"/>
  <c r="Z120" i="697"/>
  <c r="Z91" i="697"/>
  <c r="Z133" i="697"/>
  <c r="Z92" i="697"/>
  <c r="Z93" i="697"/>
  <c r="Z36" i="697"/>
  <c r="Z108" i="697"/>
  <c r="Z109" i="697"/>
  <c r="Z110" i="697"/>
  <c r="Z111" i="697"/>
  <c r="Z64" i="697"/>
  <c r="Z213" i="697"/>
  <c r="Z134" i="697"/>
  <c r="Z131" i="697"/>
  <c r="Z140" i="697"/>
  <c r="Z38" i="697"/>
  <c r="Z399" i="697"/>
  <c r="Z68" i="697"/>
  <c r="Z65" i="697"/>
  <c r="Z176" i="697"/>
  <c r="Z127" i="697"/>
  <c r="Z129" i="697"/>
  <c r="Z97" i="697"/>
  <c r="Z206" i="697"/>
  <c r="Z39" i="697"/>
  <c r="Z66" i="697"/>
  <c r="Z230" i="697"/>
  <c r="Z254" i="697"/>
  <c r="Z160" i="697"/>
  <c r="Z42" i="697"/>
  <c r="Z41" i="697"/>
  <c r="Z76" i="697"/>
  <c r="Z44" i="697"/>
  <c r="Z121" i="697"/>
  <c r="Z43" i="697"/>
  <c r="Z236" i="697"/>
  <c r="Z255" i="697"/>
  <c r="Z26" i="697"/>
  <c r="Z25" i="697"/>
  <c r="Z94" i="697"/>
  <c r="Z237" i="697"/>
  <c r="Z214" i="697"/>
  <c r="Z256" i="697"/>
  <c r="Z135" i="697"/>
  <c r="Z161" i="697"/>
  <c r="Z257" i="697"/>
  <c r="Z207" i="697"/>
  <c r="Z162" i="697"/>
  <c r="Z177" i="697"/>
  <c r="Z122" i="697"/>
  <c r="Z163" i="697"/>
  <c r="Z69" i="697"/>
  <c r="Z70" i="697"/>
  <c r="Z71" i="697"/>
  <c r="Z72" i="697"/>
  <c r="Z73" i="697"/>
  <c r="Z74" i="697"/>
  <c r="Z258" i="697"/>
  <c r="Z178" i="697"/>
  <c r="Z155" i="697"/>
  <c r="Z146" i="697"/>
  <c r="Z156" i="697"/>
  <c r="Z157" i="697"/>
  <c r="Z211" i="697"/>
  <c r="Z145" i="697"/>
  <c r="Z151" i="697"/>
  <c r="Z152" i="697"/>
  <c r="Z153" i="697"/>
  <c r="Z154" i="697"/>
  <c r="Z141" i="697"/>
  <c r="Z142" i="697"/>
  <c r="Z143" i="697"/>
  <c r="Z144" i="697"/>
  <c r="Z150" i="697"/>
  <c r="Z158" i="697"/>
  <c r="Z229" i="697"/>
  <c r="Z95" i="697"/>
  <c r="Z159" i="697"/>
  <c r="Z240" i="697"/>
  <c r="Z101" i="697"/>
  <c r="Z100" i="697"/>
  <c r="Z98" i="697"/>
  <c r="Z99" i="697"/>
  <c r="Z284" i="697"/>
  <c r="Z102" i="697"/>
  <c r="Z275" i="697"/>
  <c r="Z197" i="697"/>
  <c r="Z231" i="697"/>
  <c r="Z148" i="697"/>
  <c r="Z112" i="697"/>
  <c r="Z147" i="697"/>
  <c r="Z113" i="697"/>
  <c r="Z259" i="697"/>
  <c r="Z123" i="697"/>
  <c r="Z252" i="697"/>
  <c r="Z238" i="697"/>
  <c r="Z232" i="697"/>
  <c r="Z253" i="697"/>
  <c r="Z233" i="697"/>
  <c r="Z835" i="697"/>
  <c r="Z124" i="697"/>
  <c r="Z234" i="697"/>
  <c r="Z244" i="697"/>
  <c r="Z260" i="697"/>
  <c r="Z181" i="697"/>
  <c r="Z182" i="697"/>
  <c r="Z183" i="697"/>
  <c r="Z184" i="697"/>
  <c r="Z172" i="697"/>
  <c r="Z330" i="697"/>
  <c r="Z245" i="697"/>
  <c r="Z128" i="697"/>
  <c r="Z285" i="697"/>
  <c r="Z130" i="697"/>
  <c r="Z132" i="697"/>
  <c r="Z198" i="697"/>
  <c r="Z349" i="697"/>
  <c r="Z185" i="697"/>
  <c r="Z312" i="697"/>
  <c r="Z136" i="697"/>
  <c r="Z277" i="697"/>
  <c r="Z241" i="697"/>
  <c r="Z276" i="697"/>
  <c r="Z408" i="697"/>
  <c r="Z286" i="697"/>
  <c r="Z278" i="697"/>
  <c r="Z279" i="697"/>
  <c r="Z280" i="697"/>
  <c r="Z149" i="697"/>
  <c r="Z261" i="697"/>
  <c r="Z137" i="697"/>
  <c r="Z220" i="697"/>
  <c r="Z394" i="697"/>
  <c r="Z305" i="697"/>
  <c r="Z164" i="697"/>
  <c r="Z138" i="697"/>
  <c r="Z139" i="697"/>
  <c r="Z186" i="697"/>
  <c r="Z221" i="697"/>
  <c r="Z281" i="697"/>
  <c r="Z331" i="697"/>
  <c r="Z262" i="697"/>
  <c r="Z263" i="697"/>
  <c r="Z306" i="697"/>
  <c r="Z320" i="697"/>
  <c r="Z332" i="697"/>
  <c r="Z199" i="697"/>
  <c r="Z373" i="697"/>
  <c r="Z357" i="697"/>
  <c r="Z282" i="697"/>
  <c r="Z170" i="697"/>
  <c r="Z165" i="697"/>
  <c r="Z166" i="697"/>
  <c r="Z167" i="697"/>
  <c r="Z168" i="697"/>
  <c r="Z169" i="697"/>
  <c r="Z333" i="697"/>
  <c r="Z374" i="697"/>
  <c r="Z194" i="697"/>
  <c r="Z201" i="697"/>
  <c r="Z173" i="697"/>
  <c r="Z200" i="697"/>
  <c r="Z265" i="697"/>
  <c r="Z266" i="697"/>
  <c r="Z235" i="697"/>
  <c r="Z192" i="697"/>
  <c r="Z193" i="697"/>
  <c r="Z187" i="697"/>
  <c r="Z188" i="697"/>
  <c r="Z189" i="697"/>
  <c r="Z190" i="697"/>
  <c r="Z191" i="697"/>
  <c r="Z195" i="697"/>
  <c r="Z215" i="697"/>
  <c r="Z307" i="697"/>
  <c r="Z179" i="697"/>
  <c r="Z180" i="697"/>
  <c r="Z313" i="697"/>
  <c r="Z267" i="697"/>
  <c r="Z268" i="697"/>
  <c r="Z269" i="697"/>
  <c r="Z222" i="697"/>
  <c r="Z335" i="697"/>
  <c r="Z376" i="697"/>
  <c r="Z204" i="697"/>
  <c r="Z334" i="697"/>
  <c r="Z442" i="697"/>
  <c r="Z202" i="697"/>
  <c r="Z203" i="697"/>
  <c r="Z301" i="697"/>
  <c r="Z375" i="697"/>
  <c r="Z223" i="697"/>
  <c r="Z224" i="697"/>
  <c r="Z225" i="697"/>
  <c r="Z226" i="697"/>
  <c r="Z205" i="697"/>
  <c r="Z303" i="697"/>
  <c r="Z336" i="697"/>
  <c r="Z337" i="697"/>
  <c r="Z308" i="697"/>
  <c r="Z216" i="697"/>
  <c r="Z212" i="697"/>
  <c r="Z338" i="697"/>
  <c r="Z530" i="697"/>
  <c r="Z395" i="697"/>
  <c r="Z217" i="697"/>
  <c r="Z377" i="697"/>
  <c r="Z218" i="697"/>
  <c r="Z227" i="697"/>
  <c r="Z297" i="697"/>
  <c r="Z340" i="697"/>
  <c r="Z339" i="697"/>
  <c r="Z228" i="697"/>
  <c r="Z298" i="697"/>
  <c r="Z504" i="697"/>
  <c r="Z242" i="697"/>
  <c r="Z341" i="697"/>
  <c r="Z314" i="697"/>
  <c r="Z361" i="697"/>
  <c r="Z342" i="697"/>
  <c r="Z283" i="697"/>
  <c r="Z531" i="697"/>
  <c r="Z270" i="697"/>
  <c r="Z271" i="697"/>
  <c r="Z343" i="697"/>
  <c r="Z315" i="697"/>
  <c r="Z239" i="697"/>
  <c r="Z344" i="697"/>
  <c r="Z346" i="697"/>
  <c r="Z345" i="697"/>
  <c r="Z411" i="697"/>
  <c r="Z378" i="697"/>
  <c r="Z347" i="697"/>
  <c r="Z379" i="697"/>
  <c r="Z407" i="697"/>
  <c r="Z362" i="697"/>
  <c r="Z363" i="697"/>
  <c r="Z243" i="697"/>
  <c r="Z364" i="697"/>
  <c r="Z406" i="697"/>
  <c r="Z348" i="697"/>
  <c r="Z380" i="697"/>
  <c r="Z272" i="697"/>
  <c r="Z246" i="697"/>
  <c r="Z287" i="697"/>
  <c r="Z365" i="697"/>
  <c r="Z274" i="697"/>
  <c r="Z247" i="697"/>
  <c r="Z248" i="697"/>
  <c r="Z249" i="697"/>
  <c r="Z250" i="697"/>
  <c r="Z251" i="697"/>
  <c r="Z273" i="697"/>
  <c r="Z291" i="697"/>
  <c r="Z292" i="697"/>
  <c r="Z422" i="697"/>
  <c r="Z388" i="697"/>
  <c r="Z302" i="697"/>
  <c r="Z290" i="697"/>
  <c r="Z316" i="697"/>
  <c r="Z317" i="697"/>
  <c r="Z288" i="697"/>
  <c r="Z289" i="697"/>
  <c r="Z293" i="697"/>
  <c r="Z294" i="697"/>
  <c r="Z264" i="697"/>
  <c r="Z389" i="697"/>
  <c r="Z460" i="697"/>
  <c r="Z461" i="697"/>
  <c r="Z462" i="697"/>
  <c r="Z463" i="697"/>
  <c r="Z464" i="697"/>
  <c r="Z505" i="697"/>
  <c r="Z669" i="697"/>
  <c r="Z423" i="697"/>
  <c r="Z396" i="697"/>
  <c r="Z409" i="697"/>
  <c r="Z381" i="697"/>
  <c r="Z424" i="697"/>
  <c r="Z382" i="697"/>
  <c r="Z443" i="697"/>
  <c r="Z506" i="697"/>
  <c r="Z507" i="697"/>
  <c r="Z524" i="697"/>
  <c r="Z485" i="697"/>
  <c r="Z296" i="697"/>
  <c r="Z295" i="697"/>
  <c r="Z523" i="697"/>
  <c r="Z425" i="697"/>
  <c r="Z410" i="697"/>
  <c r="Z444" i="697"/>
  <c r="Z352" i="697"/>
  <c r="Z397" i="697"/>
  <c r="Z299" i="697"/>
  <c r="Z300" i="697"/>
  <c r="Z383" i="697"/>
  <c r="Z508" i="697"/>
  <c r="Z509" i="697"/>
  <c r="Z510" i="697"/>
  <c r="Z384" i="697"/>
  <c r="Z426" i="697"/>
  <c r="Z532" i="697"/>
  <c r="Z304" i="697"/>
  <c r="Z614" i="697"/>
  <c r="Z360" i="697"/>
  <c r="Z427" i="697"/>
  <c r="Z428" i="697"/>
  <c r="Z309" i="697"/>
  <c r="Z465" i="697"/>
  <c r="Z466" i="697"/>
  <c r="Z311" i="697"/>
  <c r="Z543" i="697"/>
  <c r="Z544" i="697"/>
  <c r="Z310" i="697"/>
  <c r="Z445" i="697"/>
  <c r="Z413" i="697"/>
  <c r="Z450" i="697"/>
  <c r="Z487" i="697"/>
  <c r="Z318" i="697"/>
  <c r="Z319" i="697"/>
  <c r="Z518" i="697"/>
  <c r="Z519" i="697"/>
  <c r="Z451" i="697"/>
  <c r="Z452" i="697"/>
  <c r="Z429" i="697"/>
  <c r="Z467" i="697"/>
  <c r="Z468" i="697"/>
  <c r="Z390" i="697"/>
  <c r="Z326" i="697"/>
  <c r="Z321" i="697"/>
  <c r="Z322" i="697"/>
  <c r="Z323" i="697"/>
  <c r="Z324" i="697"/>
  <c r="Z325" i="697"/>
  <c r="Z391" i="697"/>
  <c r="Z355" i="697"/>
  <c r="Z386" i="697"/>
  <c r="Z670" i="697"/>
  <c r="Z327" i="697"/>
  <c r="Z328" i="697"/>
  <c r="Z385" i="697"/>
  <c r="Z400" i="697"/>
  <c r="Z401" i="697"/>
  <c r="Z329" i="697"/>
  <c r="Z353" i="697"/>
  <c r="Z354" i="697"/>
  <c r="Z469" i="697"/>
  <c r="Z358" i="697"/>
  <c r="Z520" i="697"/>
  <c r="Z430" i="697"/>
  <c r="Z367" i="697"/>
  <c r="Z453" i="697"/>
  <c r="Z623" i="697"/>
  <c r="Z546" i="697"/>
  <c r="Z624" i="697"/>
  <c r="Z625" i="697"/>
  <c r="Z431" i="697"/>
  <c r="Z350" i="697"/>
  <c r="Z446" i="697"/>
  <c r="Z414" i="697"/>
  <c r="Z432" i="697"/>
  <c r="Z454" i="697"/>
  <c r="Z351" i="697"/>
  <c r="Z455" i="697"/>
  <c r="Z488" i="697"/>
  <c r="Z502" i="697"/>
  <c r="Z370" i="697"/>
  <c r="Z369" i="697"/>
  <c r="Z470" i="697"/>
  <c r="Z402" i="697"/>
  <c r="Z356" i="697"/>
  <c r="Z371" i="697"/>
  <c r="Z489" i="697"/>
  <c r="Z626" i="697"/>
  <c r="Z627" i="697"/>
  <c r="Z490" i="697"/>
  <c r="Z359" i="697"/>
  <c r="Z471" i="697"/>
  <c r="Z368" i="697"/>
  <c r="Z525" i="697"/>
  <c r="Z472" i="697"/>
  <c r="Z366" i="697"/>
  <c r="Z491" i="697"/>
  <c r="Z492" i="697"/>
  <c r="Z433" i="697"/>
  <c r="Z473" i="697"/>
  <c r="Z493" i="697"/>
  <c r="Z372" i="697"/>
  <c r="Z526" i="697"/>
  <c r="Z387" i="697"/>
  <c r="Z474" i="697"/>
  <c r="Z475" i="697"/>
  <c r="Z476" i="697"/>
  <c r="Z477" i="697"/>
  <c r="Z398" i="697"/>
  <c r="Z434" i="697"/>
  <c r="Z628" i="697"/>
  <c r="Z527" i="697"/>
  <c r="Z545" i="697"/>
  <c r="Z392" i="697"/>
  <c r="Z435" i="697"/>
  <c r="Z436" i="697"/>
  <c r="Z393" i="697"/>
  <c r="Z404" i="697"/>
  <c r="Z403" i="697"/>
  <c r="Z511" i="697"/>
  <c r="Z512" i="697"/>
  <c r="Z513" i="697"/>
  <c r="Z514" i="697"/>
  <c r="Z671" i="697"/>
  <c r="Z478" i="697"/>
  <c r="Z494" i="697"/>
  <c r="Z629" i="697"/>
  <c r="Z584" i="697"/>
  <c r="Z405" i="697"/>
  <c r="Z538" i="697"/>
  <c r="Z539" i="697"/>
  <c r="Z528" i="697"/>
  <c r="Z554" i="697"/>
  <c r="Z555" i="697"/>
  <c r="Z412" i="697"/>
  <c r="Z637" i="697"/>
  <c r="Z415" i="697"/>
  <c r="Z479" i="697"/>
  <c r="Z480" i="697"/>
  <c r="Z615" i="697"/>
  <c r="Z592" i="697"/>
  <c r="Z441" i="697"/>
  <c r="Z662" i="697"/>
  <c r="Z449" i="697"/>
  <c r="Z416" i="697"/>
  <c r="Z417" i="697"/>
  <c r="Z418" i="697"/>
  <c r="Z419" i="697"/>
  <c r="Z420" i="697"/>
  <c r="Z421" i="697"/>
  <c r="Z486" i="697"/>
  <c r="Z498" i="697"/>
  <c r="Z499" i="697"/>
  <c r="Z447" i="697"/>
  <c r="Z448" i="697"/>
  <c r="Z457" i="697"/>
  <c r="Z481" i="697"/>
  <c r="Z515" i="697"/>
  <c r="Z673" i="697"/>
  <c r="Z439" i="697"/>
  <c r="Z672" i="697"/>
  <c r="Z616" i="697"/>
  <c r="Z617" i="697"/>
  <c r="Z529" i="697"/>
  <c r="Z437" i="697"/>
  <c r="Z438" i="697"/>
  <c r="Z547" i="697"/>
  <c r="Z548" i="697"/>
  <c r="Z714" i="697"/>
  <c r="Z674" i="697"/>
  <c r="Z440" i="697"/>
  <c r="Z500" i="697"/>
  <c r="Z715" i="697"/>
  <c r="Z716" i="697"/>
  <c r="Z657" i="697"/>
  <c r="Z638" i="697"/>
  <c r="Z456" i="697"/>
  <c r="Z639" i="697"/>
  <c r="Z593" i="697"/>
  <c r="Z675" i="697"/>
  <c r="Z556" i="697"/>
  <c r="Z594" i="697"/>
  <c r="Z459" i="697"/>
  <c r="Z458" i="697"/>
  <c r="Z645" i="697"/>
  <c r="Z482" i="697"/>
  <c r="Z676" i="697"/>
  <c r="Z677" i="697"/>
  <c r="Z483" i="697"/>
  <c r="Z663" i="697"/>
  <c r="Z678" i="697"/>
  <c r="Z557" i="697"/>
  <c r="Z558" i="697"/>
  <c r="Z559" i="697"/>
  <c r="Z560" i="697"/>
  <c r="Z679" i="697"/>
  <c r="Z595" i="697"/>
  <c r="Z484" i="697"/>
  <c r="Z495" i="697"/>
  <c r="Z561" i="697"/>
  <c r="Z562" i="697"/>
  <c r="Z563" i="697"/>
  <c r="Z564" i="697"/>
  <c r="Z731" i="697"/>
  <c r="Z658" i="697"/>
  <c r="Z590" i="697"/>
  <c r="Z497" i="697"/>
  <c r="Z496" i="697"/>
  <c r="Z516" i="697"/>
  <c r="Z517" i="697"/>
  <c r="Z618" i="697"/>
  <c r="Z619" i="697"/>
  <c r="Z680" i="697"/>
  <c r="Z501" i="697"/>
  <c r="Z503" i="697"/>
  <c r="Z620" i="697"/>
  <c r="Z596" i="697"/>
  <c r="Z701" i="697"/>
  <c r="Z664" i="697"/>
  <c r="Z659" i="697"/>
  <c r="Z681" i="697"/>
  <c r="Z565" i="697"/>
  <c r="Z566" i="697"/>
  <c r="Z567" i="697"/>
  <c r="Z568" i="697"/>
  <c r="Z621" i="697"/>
  <c r="Z702" i="697"/>
  <c r="Z732" i="697"/>
  <c r="Z751" i="697"/>
  <c r="Z717" i="697"/>
  <c r="Z646" i="697"/>
  <c r="Z521" i="697"/>
  <c r="Z682" i="697"/>
  <c r="Z522" i="697"/>
  <c r="Z533" i="697"/>
  <c r="Z551" i="697"/>
  <c r="Z577" i="697"/>
  <c r="Z610" i="697"/>
  <c r="Z752" i="697"/>
  <c r="Z534" i="697"/>
  <c r="Z581" i="697"/>
  <c r="Z587" i="697"/>
  <c r="Z588" i="697"/>
  <c r="Z660" i="697"/>
  <c r="Z718" i="697"/>
  <c r="Z549" i="697"/>
  <c r="Z550" i="697"/>
  <c r="Z552" i="697"/>
  <c r="Z753" i="697"/>
  <c r="Z782" i="697"/>
  <c r="Z536" i="697"/>
  <c r="Z683" i="697"/>
  <c r="Z866" i="697"/>
  <c r="Z578" i="697"/>
  <c r="Z535" i="697"/>
  <c r="Z684" i="697"/>
  <c r="Z754" i="697"/>
  <c r="Z537" i="697"/>
  <c r="Z540" i="697"/>
  <c r="Z755" i="697"/>
  <c r="Z685" i="697"/>
  <c r="Z686" i="697"/>
  <c r="Z705" i="697"/>
  <c r="Z541" i="697"/>
  <c r="Z542" i="697"/>
  <c r="Z687" i="697"/>
  <c r="Z733" i="697"/>
  <c r="Z836" i="697"/>
  <c r="Z756" i="697"/>
  <c r="Z569" i="697"/>
  <c r="Z706" i="697"/>
  <c r="Z707" i="697"/>
  <c r="Z734" i="697"/>
  <c r="Z735" i="697"/>
  <c r="Z580" i="697"/>
  <c r="Z585" i="697"/>
  <c r="Z630" i="697"/>
  <c r="Z553" i="697"/>
  <c r="Z749" i="697"/>
  <c r="Z688" i="697"/>
  <c r="Z837" i="697"/>
  <c r="Z634" i="697"/>
  <c r="Z757" i="697"/>
  <c r="Z783" i="697"/>
  <c r="Z689" i="697"/>
  <c r="Z576" i="697"/>
  <c r="Z758" i="697"/>
  <c r="Z759" i="697"/>
  <c r="Z760" i="697"/>
  <c r="Z690" i="697"/>
  <c r="Z579" i="697"/>
  <c r="Z784" i="697"/>
  <c r="Z838" i="697"/>
  <c r="Z761" i="697"/>
  <c r="Z811" i="697"/>
  <c r="Z691" i="697"/>
  <c r="Z815" i="697"/>
  <c r="Z889" i="697"/>
  <c r="Z582" i="697"/>
  <c r="Z665" i="697"/>
  <c r="Z583" i="697"/>
  <c r="Z586" i="697"/>
  <c r="Z692" i="697"/>
  <c r="Z719" i="697"/>
  <c r="Z661" i="697"/>
  <c r="Z762" i="697"/>
  <c r="Z763" i="697"/>
  <c r="Z611" i="697"/>
  <c r="Z816" i="697"/>
  <c r="Z720" i="697"/>
  <c r="Z693" i="697"/>
  <c r="Z589" i="697"/>
  <c r="Z839" i="697"/>
  <c r="Z591" i="697"/>
  <c r="Z721" i="697"/>
  <c r="Z597" i="697"/>
  <c r="Z598" i="697"/>
  <c r="Z764" i="697"/>
  <c r="Z694" i="697"/>
  <c r="Z840" i="697"/>
  <c r="Z793" i="697"/>
  <c r="Z765" i="697"/>
  <c r="Z601" i="697"/>
  <c r="Z695" i="697"/>
  <c r="Z599" i="697"/>
  <c r="Z600" i="697"/>
  <c r="Z812" i="697"/>
  <c r="Z785" i="697"/>
  <c r="Z722" i="697"/>
  <c r="Z602" i="697"/>
  <c r="Z603" i="697"/>
  <c r="Z604" i="697"/>
  <c r="Z605" i="697"/>
  <c r="Z606" i="697"/>
  <c r="Z607" i="697"/>
  <c r="Z608" i="697"/>
  <c r="Z609" i="697"/>
  <c r="Z742" i="697"/>
  <c r="Z738" i="697"/>
  <c r="Z739" i="697"/>
  <c r="Z740" i="697"/>
  <c r="Z741" i="697"/>
  <c r="Z766" i="697"/>
  <c r="Z923" i="697"/>
  <c r="Z902" i="697"/>
  <c r="Z654" i="697"/>
  <c r="Z723" i="697"/>
  <c r="Z650" i="697"/>
  <c r="Z854" i="697"/>
  <c r="Z649" i="697"/>
  <c r="Z696" i="697"/>
  <c r="Z697" i="697"/>
  <c r="Z647" i="697"/>
  <c r="Z648" i="697"/>
  <c r="Z698" i="697"/>
  <c r="Z612" i="697"/>
  <c r="Z613" i="697"/>
  <c r="Z651" i="697"/>
  <c r="Z767" i="697"/>
  <c r="Z769" i="697"/>
  <c r="Z631" i="697"/>
  <c r="Z743" i="697"/>
  <c r="Z622" i="697"/>
  <c r="Z841" i="697"/>
  <c r="Z768" i="697"/>
  <c r="Z632" i="697"/>
  <c r="Z633" i="697"/>
  <c r="Z770" i="697"/>
  <c r="Z640" i="697"/>
  <c r="Z744" i="697"/>
  <c r="Z890" i="697"/>
  <c r="Z867" i="697"/>
  <c r="Z855" i="697"/>
  <c r="Z635" i="697"/>
  <c r="Z891" i="697"/>
  <c r="Z699" i="697"/>
  <c r="Z903" i="697"/>
  <c r="Z773" i="697"/>
  <c r="Z636" i="697"/>
  <c r="Z641" i="697"/>
  <c r="Z652" i="697"/>
  <c r="Z642" i="697"/>
  <c r="Z643" i="697"/>
  <c r="Z868" i="697"/>
  <c r="Z892" i="697"/>
  <c r="Z856" i="697"/>
  <c r="Z842" i="697"/>
  <c r="Z893" i="697"/>
  <c r="Z843" i="697"/>
  <c r="Z644" i="697"/>
  <c r="Z799" i="697"/>
  <c r="Z844" i="697"/>
  <c r="Z857" i="697"/>
  <c r="Z653" i="697"/>
  <c r="Z655" i="697"/>
  <c r="Z858" i="697"/>
  <c r="Z656" i="697"/>
  <c r="Z745" i="697"/>
  <c r="Z746" i="697"/>
  <c r="Z666" i="697"/>
  <c r="Z859" i="697"/>
  <c r="Z747" i="697"/>
  <c r="Z924" i="697"/>
  <c r="Z925" i="697"/>
  <c r="Z926" i="697"/>
  <c r="Z869" i="697"/>
  <c r="Z667" i="697"/>
  <c r="Z750" i="697"/>
  <c r="Z668" i="697"/>
  <c r="Z845" i="697"/>
  <c r="Z1029" i="697"/>
  <c r="Z700" i="697"/>
  <c r="Z703" i="697"/>
  <c r="Z704" i="697"/>
  <c r="Z927" i="697"/>
  <c r="Z928" i="697"/>
  <c r="Z879" i="697"/>
  <c r="Z846" i="697"/>
  <c r="Z929" i="697"/>
  <c r="Z861" i="697"/>
  <c r="Z794" i="697"/>
  <c r="Z860" i="697"/>
  <c r="Z930" i="697"/>
  <c r="Z894" i="697"/>
  <c r="Z870" i="697"/>
  <c r="Z862" i="697"/>
  <c r="Z931" i="697"/>
  <c r="Z932" i="697"/>
  <c r="Z933" i="697"/>
  <c r="Z708" i="697"/>
  <c r="Z709" i="697"/>
  <c r="Z710" i="697"/>
  <c r="Z711" i="697"/>
  <c r="Z712" i="697"/>
  <c r="Z713" i="697"/>
  <c r="Z787" i="697"/>
  <c r="Z788" i="697"/>
  <c r="Z952" i="697"/>
  <c r="Z786" i="697"/>
  <c r="Z809" i="697"/>
  <c r="Z810" i="697"/>
  <c r="Z736" i="697"/>
  <c r="Z748" i="697"/>
  <c r="Z774" i="697"/>
  <c r="Z775" i="697"/>
  <c r="Z776" i="697"/>
  <c r="Z789" i="697"/>
  <c r="Z934" i="697"/>
  <c r="Z724" i="697"/>
  <c r="Z725" i="697"/>
  <c r="Z726" i="697"/>
  <c r="Z727" i="697"/>
  <c r="Z790" i="697"/>
  <c r="Z1021" i="697"/>
  <c r="Z728" i="697"/>
  <c r="Z729" i="697"/>
  <c r="Z730" i="697"/>
  <c r="Z953" i="697"/>
  <c r="Z871" i="697"/>
  <c r="Z817" i="697"/>
  <c r="Z737" i="697"/>
  <c r="Z1084" i="697"/>
  <c r="Z880" i="697"/>
  <c r="Z863" i="697"/>
  <c r="Z570" i="697"/>
  <c r="Z571" i="697"/>
  <c r="Z572" i="697"/>
  <c r="Z573" i="697"/>
  <c r="Z574" i="697"/>
  <c r="Z575" i="697"/>
  <c r="Z771" i="697"/>
  <c r="Z772" i="697"/>
  <c r="Z954" i="697"/>
  <c r="Z955" i="697"/>
  <c r="Z982" i="697"/>
  <c r="Z777" i="697"/>
  <c r="Z956" i="697"/>
  <c r="Z981" i="697"/>
  <c r="Z980" i="697"/>
  <c r="Z983" i="697"/>
  <c r="Z904" i="697"/>
  <c r="Z984" i="697"/>
  <c r="Z912" i="697"/>
  <c r="Z913" i="697"/>
  <c r="Z778" i="697"/>
  <c r="Z957" i="697"/>
  <c r="Z881" i="697"/>
  <c r="Z779" i="697"/>
  <c r="Z780" i="697"/>
  <c r="Z905" i="697"/>
  <c r="Z985" i="697"/>
  <c r="Z781" i="697"/>
  <c r="Z906" i="697"/>
  <c r="Z948" i="697"/>
  <c r="Z935" i="697"/>
  <c r="Z936" i="697"/>
  <c r="Z791" i="697"/>
  <c r="Z795" i="697"/>
  <c r="Z937" i="697"/>
  <c r="Z986" i="697"/>
  <c r="Z895" i="697"/>
  <c r="Z896" i="697"/>
  <c r="Z914" i="697"/>
  <c r="Z958" i="697"/>
  <c r="Z792" i="697"/>
  <c r="Z987" i="697"/>
  <c r="Z801" i="697"/>
  <c r="Z989" i="697"/>
  <c r="Z959" i="697"/>
  <c r="Z800" i="697"/>
  <c r="Z796" i="697"/>
  <c r="Z988" i="697"/>
  <c r="Z797" i="697"/>
  <c r="Z798" i="697"/>
  <c r="Z802" i="697"/>
  <c r="Z990" i="697"/>
  <c r="Z803" i="697"/>
  <c r="Z804" i="697"/>
  <c r="Z805" i="697"/>
  <c r="Z806" i="697"/>
  <c r="Z807" i="697"/>
  <c r="Z808" i="697"/>
  <c r="Z1022" i="697"/>
  <c r="Z1005" i="697"/>
  <c r="Z814" i="697"/>
  <c r="Z813" i="697"/>
  <c r="Z991" i="697"/>
  <c r="Z993" i="697"/>
  <c r="Z992" i="697"/>
  <c r="Z818" i="697"/>
  <c r="Z938" i="697"/>
  <c r="Z819" i="697"/>
  <c r="Z820" i="697"/>
  <c r="Z823" i="697"/>
  <c r="Z824" i="697"/>
  <c r="Z825" i="697"/>
  <c r="Z826" i="697"/>
  <c r="Z827" i="697"/>
  <c r="Z828" i="697"/>
  <c r="Z939" i="697"/>
  <c r="Z821" i="697"/>
  <c r="Z822" i="697"/>
  <c r="Z918" i="697"/>
  <c r="Z898" i="697"/>
  <c r="Z829" i="697"/>
  <c r="Z830" i="697"/>
  <c r="Z847" i="697"/>
  <c r="Z831" i="697"/>
  <c r="Z832" i="697"/>
  <c r="Z833" i="697"/>
  <c r="Z1000" i="697"/>
  <c r="Z960" i="697"/>
  <c r="Z834" i="697"/>
  <c r="Z1030" i="697"/>
  <c r="Z877" i="697"/>
  <c r="Z897" i="697"/>
  <c r="Z916" i="697"/>
  <c r="Z917" i="697"/>
  <c r="Z852" i="697"/>
  <c r="Z872" i="697"/>
  <c r="Z886" i="697"/>
  <c r="Z848" i="697"/>
  <c r="Z915" i="697"/>
  <c r="Z1143" i="697"/>
  <c r="Z875" i="697"/>
  <c r="Z876" i="697"/>
  <c r="Z878" i="697"/>
  <c r="Z994" i="697"/>
  <c r="Z850" i="697"/>
  <c r="Z849" i="697"/>
  <c r="Z1002" i="697"/>
  <c r="Z899" i="697"/>
  <c r="Z1001" i="697"/>
  <c r="Z1006" i="697"/>
  <c r="Z851" i="697"/>
  <c r="Z940" i="697"/>
  <c r="Z941" i="697"/>
  <c r="Z1007" i="697"/>
  <c r="Z995" i="697"/>
  <c r="Z1212" i="697"/>
  <c r="Z853" i="697"/>
  <c r="Z1023" i="697"/>
  <c r="Z1008" i="697"/>
  <c r="Z1044" i="697"/>
  <c r="Z864" i="697"/>
  <c r="Z865" i="697"/>
  <c r="Z942" i="697"/>
  <c r="Z1024" i="697"/>
  <c r="Z873" i="697"/>
  <c r="Z943" i="697"/>
  <c r="Z1045" i="697"/>
  <c r="Z1046" i="697"/>
  <c r="Z1047" i="697"/>
  <c r="Z874" i="697"/>
  <c r="Z1025" i="697"/>
  <c r="Z1031" i="697"/>
  <c r="Z1048" i="697"/>
  <c r="Z882" i="697"/>
  <c r="Z883" i="697"/>
  <c r="Z884" i="697"/>
  <c r="Z885" i="697"/>
  <c r="Z1049" i="697"/>
  <c r="Z1050" i="697"/>
  <c r="Z900" i="697"/>
  <c r="Z887" i="697"/>
  <c r="Z888" i="697"/>
  <c r="Z1091" i="697"/>
  <c r="Z1068" i="697"/>
  <c r="Z1075" i="697"/>
  <c r="Z901" i="697"/>
  <c r="Z1096" i="697"/>
  <c r="Z907" i="697"/>
  <c r="Z908" i="697"/>
  <c r="Z909" i="697"/>
  <c r="Z910" i="697"/>
  <c r="Z911" i="697"/>
  <c r="Z1168" i="697"/>
  <c r="Z944" i="697"/>
  <c r="Z1097" i="697"/>
  <c r="Z1069" i="697"/>
  <c r="Z1051" i="697"/>
  <c r="Z922" i="697"/>
  <c r="Z919" i="697"/>
  <c r="Z920" i="697"/>
  <c r="Z921" i="697"/>
  <c r="Z1076" i="697"/>
  <c r="Z945" i="697"/>
  <c r="Z1162" i="697"/>
  <c r="Z1169" i="697"/>
  <c r="Z1083" i="697"/>
  <c r="Z946" i="697"/>
  <c r="Z1082" i="697"/>
  <c r="Z1131" i="697"/>
  <c r="Z1077" i="697"/>
  <c r="Z1052" i="697"/>
  <c r="Z1098" i="697"/>
  <c r="Z1070" i="697"/>
  <c r="Z1085" i="697"/>
  <c r="Z947" i="697"/>
  <c r="Z9" i="697"/>
  <c r="Z1032" i="697"/>
  <c r="Z1053" i="697"/>
  <c r="Z949" i="697"/>
  <c r="Z950" i="697"/>
  <c r="Z1092" i="697"/>
  <c r="Z1099" i="697"/>
  <c r="Z1130" i="697"/>
  <c r="Z1078" i="697"/>
  <c r="Z951" i="697"/>
  <c r="Z1037" i="697"/>
  <c r="Z1071" i="697"/>
  <c r="Z1100" i="697"/>
  <c r="Z1086" i="697"/>
  <c r="Z1089" i="697"/>
  <c r="Z1101" i="697"/>
  <c r="Z1087" i="697"/>
  <c r="Z1238" i="697"/>
  <c r="Z1088" i="697"/>
  <c r="Z1009" i="697"/>
  <c r="Z972" i="697"/>
  <c r="Z1054" i="697"/>
  <c r="Z1033" i="697"/>
  <c r="Z1102" i="697"/>
  <c r="Z1010" i="697"/>
  <c r="Z961" i="697"/>
  <c r="Z962" i="697"/>
  <c r="Z963" i="697"/>
  <c r="Z964" i="697"/>
  <c r="Z965" i="697"/>
  <c r="Z966" i="697"/>
  <c r="Z967" i="697"/>
  <c r="Z968" i="697"/>
  <c r="Z969" i="697"/>
  <c r="Z970" i="697"/>
  <c r="Z971" i="697"/>
  <c r="Z1055" i="697"/>
  <c r="Z1056" i="697"/>
  <c r="Z1057" i="697"/>
  <c r="Z1058" i="697"/>
  <c r="Z1059" i="697"/>
  <c r="Z1060" i="697"/>
  <c r="Z1017" i="697"/>
  <c r="Z1190" i="697"/>
  <c r="Z1018" i="697"/>
  <c r="Z973" i="697"/>
  <c r="Z974" i="697"/>
  <c r="Z1124" i="697"/>
  <c r="Z996" i="697"/>
  <c r="Z1118" i="697"/>
  <c r="Z1013" i="697"/>
  <c r="Z1189" i="697"/>
  <c r="Z1014" i="697"/>
  <c r="Z975" i="697"/>
  <c r="Z1015" i="697"/>
  <c r="Z1016" i="697"/>
  <c r="Z976" i="697"/>
  <c r="Z1040" i="697"/>
  <c r="Z977" i="697"/>
  <c r="Z1093" i="697"/>
  <c r="Z1112" i="697"/>
  <c r="Z1011" i="697"/>
  <c r="Z1103" i="697"/>
  <c r="Z1012" i="697"/>
  <c r="Z1019" i="697"/>
  <c r="Z978" i="697"/>
  <c r="Z1213" i="697"/>
  <c r="Z1061" i="697"/>
  <c r="Z1104" i="697"/>
  <c r="Z1320" i="697"/>
  <c r="Z1293" i="697"/>
  <c r="Z1191" i="697"/>
  <c r="Z1206" i="697"/>
  <c r="Z1289" i="697"/>
  <c r="Z1253" i="697"/>
  <c r="Z1321" i="697"/>
  <c r="Z1239" i="697"/>
  <c r="Z1157" i="697"/>
  <c r="Z997" i="697"/>
  <c r="Z998" i="697"/>
  <c r="Z999" i="697"/>
  <c r="Z1604" i="697"/>
  <c r="Z1158" i="697"/>
  <c r="Z1132" i="697"/>
  <c r="Z1003" i="697"/>
  <c r="Z1062" i="697"/>
  <c r="Z1063" i="697"/>
  <c r="Z1004" i="697"/>
  <c r="Z1170" i="697"/>
  <c r="Z1020" i="697"/>
  <c r="Z1270" i="697"/>
  <c r="Z1271" i="697"/>
  <c r="Z1176" i="697"/>
  <c r="Z1294" i="697"/>
  <c r="Z1034" i="697"/>
  <c r="Z1163" i="697"/>
  <c r="Z1026" i="697"/>
  <c r="Z1027" i="697"/>
  <c r="Z1028" i="697"/>
  <c r="Z1252" i="697"/>
  <c r="Z1133" i="697"/>
  <c r="Z1177" i="697"/>
  <c r="Z1036" i="697"/>
  <c r="Z1035" i="697"/>
  <c r="Z1248" i="697"/>
  <c r="Z1171" i="697"/>
  <c r="Z1192" i="697"/>
  <c r="Z1038" i="697"/>
  <c r="Z1079" i="697"/>
  <c r="Z1178" i="697"/>
  <c r="Z1039" i="697"/>
  <c r="Z1229" i="697"/>
  <c r="Z1179" i="697"/>
  <c r="Z1113" i="697"/>
  <c r="Z1080" i="697"/>
  <c r="Z1180" i="697"/>
  <c r="Z1295" i="697"/>
  <c r="Z1041" i="697"/>
  <c r="Z1214" i="697"/>
  <c r="Z1042" i="697"/>
  <c r="Z1043" i="697"/>
  <c r="Z1072" i="697"/>
  <c r="Z1066" i="697"/>
  <c r="Z1067" i="697"/>
  <c r="Z1372" i="697"/>
  <c r="Z1065" i="697"/>
  <c r="Z1296" i="697"/>
  <c r="Z1064" i="697"/>
  <c r="Z1144" i="697"/>
  <c r="Z1182" i="697"/>
  <c r="Z1183" i="697"/>
  <c r="Z1203" i="697"/>
  <c r="Z1073" i="697"/>
  <c r="Z1074" i="697"/>
  <c r="Z1081" i="697"/>
  <c r="Z1181" i="697"/>
  <c r="Z1090" i="697"/>
  <c r="Z1322" i="697"/>
  <c r="Z1184" i="697"/>
  <c r="Z1228" i="697"/>
  <c r="Z1272" i="697"/>
  <c r="Z1193" i="697"/>
  <c r="Z1094" i="697"/>
  <c r="Z1323" i="697"/>
  <c r="Z1290" i="697"/>
  <c r="Z1216" i="697"/>
  <c r="Z1240" i="697"/>
  <c r="Z1105" i="697"/>
  <c r="Z1095" i="697"/>
  <c r="Z1215" i="697"/>
  <c r="Z1230" i="697"/>
  <c r="Z979" i="697"/>
  <c r="Z1106" i="697"/>
  <c r="Z1107" i="697"/>
  <c r="Z1273" i="697"/>
  <c r="Z1108" i="697"/>
  <c r="Z1297" i="697"/>
  <c r="Z1110" i="697"/>
  <c r="Z1138" i="697"/>
  <c r="Z1109" i="697"/>
  <c r="Z1111" i="697"/>
  <c r="Z1126" i="697"/>
  <c r="Z1145" i="697"/>
  <c r="Z1150" i="697"/>
  <c r="Z1134" i="697"/>
  <c r="Z1274" i="697"/>
  <c r="Z1275" i="697"/>
  <c r="Z1146" i="697"/>
  <c r="Z1147" i="697"/>
  <c r="Z1148" i="697"/>
  <c r="Z1149" i="697"/>
  <c r="Z1151" i="697"/>
  <c r="Z1114" i="697"/>
  <c r="Z1135" i="697"/>
  <c r="Z1125" i="697"/>
  <c r="Z1127" i="697"/>
  <c r="Z1266" i="697"/>
  <c r="Z1115" i="697"/>
  <c r="Z1116" i="697"/>
  <c r="Z1117" i="697"/>
  <c r="Z1152" i="697"/>
  <c r="Z1241" i="697"/>
  <c r="Z1120" i="697"/>
  <c r="Z1119" i="697"/>
  <c r="Z1217" i="697"/>
  <c r="Z1121" i="697"/>
  <c r="Z1122" i="697"/>
  <c r="Z1123" i="697"/>
  <c r="Z1194" i="697"/>
  <c r="Z1128" i="697"/>
  <c r="Z1129" i="697"/>
  <c r="Z1174" i="697"/>
  <c r="Z1136" i="697"/>
  <c r="Z1235" i="697"/>
  <c r="Z1326" i="697"/>
  <c r="Z1207" i="697"/>
  <c r="Z1254" i="697"/>
  <c r="Z1137" i="697"/>
  <c r="Z1365" i="697"/>
  <c r="Z1327" i="697"/>
  <c r="Z1139" i="697"/>
  <c r="Z1140" i="697"/>
  <c r="Z1141" i="697"/>
  <c r="Z1160" i="697"/>
  <c r="Z1153" i="697"/>
  <c r="Z1142" i="697"/>
  <c r="Z1159" i="697"/>
  <c r="Z1154" i="697"/>
  <c r="Z1155" i="697"/>
  <c r="Z1156" i="697"/>
  <c r="Z1366" i="697"/>
  <c r="Z1185" i="697"/>
  <c r="Z1161" i="697"/>
  <c r="Z1334" i="697"/>
  <c r="Z1255" i="697"/>
  <c r="Z1298" i="697"/>
  <c r="Z1267" i="697"/>
  <c r="Z1195" i="697"/>
  <c r="Z1196" i="697"/>
  <c r="Z1268" i="697"/>
  <c r="Z1164" i="697"/>
  <c r="Z1335" i="697"/>
  <c r="Z1328" i="697"/>
  <c r="Z1165" i="697"/>
  <c r="Z1166" i="697"/>
  <c r="Z1276" i="697"/>
  <c r="Z1277" i="697"/>
  <c r="Z1256" i="697"/>
  <c r="Z1172" i="697"/>
  <c r="Z1330" i="697"/>
  <c r="Z1324" i="697"/>
  <c r="Z1299" i="697"/>
  <c r="Z1586" i="697"/>
  <c r="Z1175" i="697"/>
  <c r="Z1173" i="697"/>
  <c r="Z1329" i="697"/>
  <c r="Z1300" i="697"/>
  <c r="Z1367" i="697"/>
  <c r="Z1368" i="697"/>
  <c r="Z1378" i="697"/>
  <c r="Z1377" i="697"/>
  <c r="Z1301" i="697"/>
  <c r="Z1331" i="697"/>
  <c r="Z1186" i="697"/>
  <c r="Z1187" i="697"/>
  <c r="Z1357" i="697"/>
  <c r="Z1369" i="697"/>
  <c r="Z1439" i="697"/>
  <c r="Z1302" i="697"/>
  <c r="Z1188" i="697"/>
  <c r="Z1278" i="697"/>
  <c r="Z1358" i="697"/>
  <c r="Z1197" i="697"/>
  <c r="Z1198" i="697"/>
  <c r="Z1199" i="697"/>
  <c r="Z1200" i="697"/>
  <c r="Z1201" i="697"/>
  <c r="Z1202" i="697"/>
  <c r="Z1208" i="697"/>
  <c r="Z1242" i="697"/>
  <c r="Z1359" i="697"/>
  <c r="Z1222" i="697"/>
  <c r="Z1223" i="697"/>
  <c r="Z1204" i="697"/>
  <c r="Z1167" i="697"/>
  <c r="Z1220" i="697"/>
  <c r="Z1221" i="697"/>
  <c r="Z1257" i="697"/>
  <c r="Z1205" i="697"/>
  <c r="Z1218" i="697"/>
  <c r="Z1224" i="697"/>
  <c r="Z1219" i="697"/>
  <c r="Z1209" i="697"/>
  <c r="Z1337" i="697"/>
  <c r="Z1338" i="697"/>
  <c r="Z1339" i="697"/>
  <c r="Z1340" i="697"/>
  <c r="Z1373" i="697"/>
  <c r="Z1258" i="697"/>
  <c r="Z1336" i="697"/>
  <c r="Z1210" i="697"/>
  <c r="Z1211" i="697"/>
  <c r="Z1225" i="697"/>
  <c r="Z1226" i="697"/>
  <c r="Z1285" i="697"/>
  <c r="Z1259" i="697"/>
  <c r="Z1227" i="697"/>
  <c r="Z1477" i="697"/>
  <c r="Z1379" i="697"/>
  <c r="Z1303" i="697"/>
  <c r="Z1345" i="697"/>
  <c r="Z1360" i="697"/>
  <c r="Z1440" i="697"/>
  <c r="Z1394" i="697"/>
  <c r="Z1344" i="697"/>
  <c r="Z1231" i="697"/>
  <c r="Z1361" i="697"/>
  <c r="Z1269" i="697"/>
  <c r="Z1232" i="697"/>
  <c r="Z1233" i="697"/>
  <c r="Z1423" i="697"/>
  <c r="Z1325" i="697"/>
  <c r="Z1243" i="697"/>
  <c r="Z1492" i="697"/>
  <c r="Z1234" i="697"/>
  <c r="Z1380" i="697"/>
  <c r="Z1496" i="697"/>
  <c r="Z1249" i="697"/>
  <c r="Z1363" i="697"/>
  <c r="Z1236" i="697"/>
  <c r="Z1237" i="697"/>
  <c r="Z1464" i="697"/>
  <c r="Z1374" i="697"/>
  <c r="Z1247" i="697"/>
  <c r="Z1245" i="697"/>
  <c r="Z1244" i="697"/>
  <c r="Z1410" i="697"/>
  <c r="Z1411" i="697"/>
  <c r="Z1370" i="697"/>
  <c r="Z1417" i="697"/>
  <c r="Z1381" i="697"/>
  <c r="Z1246" i="697"/>
  <c r="Z1250" i="697"/>
  <c r="Z1251" i="697"/>
  <c r="Z1432" i="697"/>
  <c r="Z1375" i="697"/>
  <c r="Z1382" i="697"/>
  <c r="Z1260" i="697"/>
  <c r="Z1279" i="697"/>
  <c r="Z1280" i="697"/>
  <c r="Z1281" i="697"/>
  <c r="Z1282" i="697"/>
  <c r="Z1283" i="697"/>
  <c r="Z1433" i="697"/>
  <c r="Z1434" i="697"/>
  <c r="Z1261" i="697"/>
  <c r="Z1264" i="697"/>
  <c r="Z1262" i="697"/>
  <c r="Z1263" i="697"/>
  <c r="Z1383" i="697"/>
  <c r="Z1265" i="697"/>
  <c r="Z1579" i="697"/>
  <c r="Z1395" i="697"/>
  <c r="Z1441" i="697"/>
  <c r="Z1305" i="697"/>
  <c r="Z1286" i="697"/>
  <c r="Z1306" i="697"/>
  <c r="Z1451" i="697"/>
  <c r="Z1455" i="697"/>
  <c r="Z1319" i="697"/>
  <c r="Z1435" i="697"/>
  <c r="Z1284" i="697"/>
  <c r="Z1287" i="697"/>
  <c r="Z1442" i="697"/>
  <c r="Z1412" i="697"/>
  <c r="Z1396" i="697"/>
  <c r="Z1288" i="697"/>
  <c r="Z1397" i="697"/>
  <c r="Z1514" i="697"/>
  <c r="Z1413" i="697"/>
  <c r="Z1388" i="697"/>
  <c r="Z1291" i="697"/>
  <c r="Z1493" i="697"/>
  <c r="Z1497" i="697"/>
  <c r="Z1389" i="697"/>
  <c r="Z1304" i="697"/>
  <c r="Z1398" i="697"/>
  <c r="Z1418" i="697"/>
  <c r="Z1317" i="697"/>
  <c r="Z1307" i="697"/>
  <c r="Z1308" i="697"/>
  <c r="Z1309" i="697"/>
  <c r="Z1310" i="697"/>
  <c r="Z1311" i="697"/>
  <c r="Z1312" i="697"/>
  <c r="Z1313" i="697"/>
  <c r="Z1314" i="697"/>
  <c r="Z1315" i="697"/>
  <c r="Z1316" i="697"/>
  <c r="Z1399" i="697"/>
  <c r="Z1414" i="697"/>
  <c r="Z1352" i="697"/>
  <c r="Z1349" i="697"/>
  <c r="Z1465" i="697"/>
  <c r="Z1347" i="697"/>
  <c r="Z1353" i="697"/>
  <c r="Z1348" i="697"/>
  <c r="Z1400" i="697"/>
  <c r="Z1401" i="697"/>
  <c r="Z1350" i="697"/>
  <c r="Z1351" i="697"/>
  <c r="Z1386" i="697"/>
  <c r="Z1318" i="697"/>
  <c r="Z1346" i="697"/>
  <c r="Z1354" i="697"/>
  <c r="Z1429" i="697"/>
  <c r="Z1478" i="697"/>
  <c r="Z1580" i="697"/>
  <c r="Z1578" i="697"/>
  <c r="Z1355" i="697"/>
  <c r="Z1332" i="697"/>
  <c r="Z1333" i="697"/>
  <c r="Z1581" i="697"/>
  <c r="Z1479" i="697"/>
  <c r="Z1473" i="697"/>
  <c r="Z1515" i="697"/>
  <c r="Z1342" i="697"/>
  <c r="Z1341" i="697"/>
  <c r="Z1424" i="697"/>
  <c r="Z1343" i="697"/>
  <c r="Z1475" i="697"/>
  <c r="Z1521" i="697"/>
  <c r="Z1480" i="697"/>
  <c r="Z1600" i="697"/>
  <c r="Z1466" i="697"/>
  <c r="Z1425" i="697"/>
  <c r="Z1481" i="697"/>
  <c r="Z1356" i="697"/>
  <c r="Z1482" i="697"/>
  <c r="Z1516" i="697"/>
  <c r="Z1474" i="697"/>
  <c r="Z1483" i="697"/>
  <c r="Z1362" i="697"/>
  <c r="Z1484" i="697"/>
  <c r="Z1485" i="697"/>
  <c r="Z1390" i="697"/>
  <c r="Z1364" i="697"/>
  <c r="Z1530" i="697"/>
  <c r="Z1517" i="697"/>
  <c r="Z1376" i="697"/>
  <c r="Z1402" i="697"/>
  <c r="Z1403" i="697"/>
  <c r="Z1404" i="697"/>
  <c r="Z1405" i="697"/>
  <c r="Z1371" i="697"/>
  <c r="Z1589" i="697"/>
  <c r="Z1436" i="697"/>
  <c r="Z1557" i="697"/>
  <c r="Z1437" i="697"/>
  <c r="Z1569" i="697"/>
  <c r="Z1486" i="697"/>
  <c r="Z1605" i="697"/>
  <c r="Z1518" i="697"/>
  <c r="Z1558" i="697"/>
  <c r="Z1487" i="697"/>
  <c r="Z1553" i="697"/>
  <c r="Z1384" i="697"/>
  <c r="Z1385" i="697"/>
  <c r="Z1387" i="697"/>
  <c r="Z1570" i="697"/>
  <c r="Z1595" i="697"/>
  <c r="Z1574" i="697"/>
  <c r="Z1393" i="697"/>
  <c r="Z1391" i="697"/>
  <c r="Z1392" i="697"/>
  <c r="Z1415" i="697"/>
  <c r="Z1554" i="697"/>
  <c r="Z1406" i="697"/>
  <c r="Z1590" i="697"/>
  <c r="Z1407" i="697"/>
  <c r="Z1588" i="697"/>
  <c r="Z1438" i="697"/>
  <c r="Z1488" i="697"/>
  <c r="Z1601" i="697"/>
  <c r="Z1443" i="697"/>
  <c r="Z1447" i="697"/>
  <c r="Z1445" i="697"/>
  <c r="Z1420" i="697"/>
  <c r="Z1408" i="697"/>
  <c r="Z1498" i="697"/>
  <c r="Z1499" i="697"/>
  <c r="Z1500" i="697"/>
  <c r="Z1446" i="697"/>
  <c r="Z1522" i="697"/>
  <c r="Z1523" i="697"/>
  <c r="Z1490" i="697"/>
  <c r="Z1571" i="697"/>
  <c r="Z1444" i="697"/>
  <c r="Z1448" i="697"/>
  <c r="Z1565" i="697"/>
  <c r="Z1416" i="697"/>
  <c r="Z1489" i="697"/>
  <c r="Z1602" i="697"/>
  <c r="Z1591" i="697"/>
  <c r="Z1611" i="697"/>
  <c r="Z1419" i="697"/>
  <c r="Z1592" i="697"/>
  <c r="Z1593" i="697"/>
  <c r="Z1422" i="697"/>
  <c r="Z1421" i="697"/>
  <c r="Z1545" i="697"/>
  <c r="Z1460" i="697"/>
  <c r="Z1525" i="697"/>
  <c r="Z1426" i="697"/>
  <c r="Z1461" i="697"/>
  <c r="Z1462" i="697"/>
  <c r="Z1427" i="697"/>
  <c r="Z1428" i="697"/>
  <c r="Z1449" i="697"/>
  <c r="Z1431" i="697"/>
  <c r="Z1430" i="697"/>
  <c r="Z1491" i="697"/>
  <c r="Z1452" i="697"/>
  <c r="Z1575" i="697"/>
  <c r="Z1456" i="697"/>
  <c r="Z1450" i="697"/>
  <c r="Z1567" i="697"/>
  <c r="Z1566" i="697"/>
  <c r="Z1524" i="697"/>
  <c r="Z1458" i="697"/>
  <c r="Z1457" i="697"/>
  <c r="Z1463" i="697"/>
  <c r="Z1453" i="697"/>
  <c r="Z1409" i="697"/>
  <c r="Z1454" i="697"/>
  <c r="Z1576" i="697"/>
  <c r="Z1633" i="697"/>
  <c r="Z1562" i="697"/>
  <c r="Z1459" i="697"/>
  <c r="Z1543" i="697"/>
  <c r="Z1541" i="697"/>
  <c r="Z1470" i="697"/>
  <c r="Z1468" i="697"/>
  <c r="Z1467" i="697"/>
  <c r="Z1469" i="697"/>
  <c r="Z1606" i="697"/>
  <c r="Z1476" i="697"/>
  <c r="Z1471" i="697"/>
  <c r="Z1472" i="697"/>
  <c r="Z1577" i="697"/>
  <c r="Z1582" i="697"/>
  <c r="Z1549" i="697"/>
  <c r="Z1550" i="697"/>
  <c r="Z1540" i="697"/>
  <c r="Z1531" i="697"/>
  <c r="Z1587" i="697"/>
  <c r="Z1563" i="697"/>
  <c r="Z1546" i="697"/>
  <c r="Z1564" i="697"/>
  <c r="Z1614" i="697"/>
  <c r="Z1544" i="697"/>
  <c r="Z1607" i="697"/>
  <c r="Z1494" i="697"/>
  <c r="Z1495" i="697"/>
  <c r="Z1568" i="697"/>
  <c r="Z1538" i="697"/>
  <c r="Z1533" i="697"/>
  <c r="Z1551" i="697"/>
  <c r="Z1532" i="697"/>
  <c r="Z1542" i="697"/>
  <c r="Z1596" i="697"/>
  <c r="Z1610" i="697"/>
  <c r="Z1597" i="697"/>
  <c r="Z1583" i="697"/>
  <c r="Z1603" i="697"/>
  <c r="Z1619" i="697"/>
  <c r="Z1584" i="697"/>
  <c r="Z1502" i="697"/>
  <c r="Z1503" i="697"/>
  <c r="Z1504" i="697"/>
  <c r="Z1505" i="697"/>
  <c r="Z1506" i="697"/>
  <c r="Z1507" i="697"/>
  <c r="Z1508" i="697"/>
  <c r="Z1621" i="697"/>
  <c r="Z1609" i="697"/>
  <c r="Z1561" i="697"/>
  <c r="Z1511" i="697"/>
  <c r="Z1512" i="697"/>
  <c r="Z1552" i="697"/>
  <c r="Z1598" i="697"/>
  <c r="Z1599" i="697"/>
  <c r="Z1513" i="697"/>
  <c r="Z1519" i="697"/>
  <c r="G13" i="16" l="1"/>
  <c r="X861" i="697"/>
  <c r="X928" i="697"/>
  <c r="X700" i="697"/>
  <c r="X750" i="697"/>
  <c r="X925" i="697"/>
  <c r="X666" i="697"/>
  <c r="X858" i="697"/>
  <c r="X844" i="697"/>
  <c r="X893" i="697"/>
  <c r="X868" i="697"/>
  <c r="X641" i="697"/>
  <c r="X699" i="697"/>
  <c r="X867" i="697"/>
  <c r="X770" i="697"/>
  <c r="X841" i="697"/>
  <c r="X769" i="697"/>
  <c r="X612" i="697"/>
  <c r="X697" i="697"/>
  <c r="X650" i="697"/>
  <c r="X923" i="697"/>
  <c r="X739" i="697"/>
  <c r="X608" i="697"/>
  <c r="X604" i="697"/>
  <c r="X785" i="697"/>
  <c r="X695" i="697"/>
  <c r="X840" i="697"/>
  <c r="X597" i="697"/>
  <c r="X589" i="697"/>
  <c r="X611" i="697"/>
  <c r="X719" i="697"/>
  <c r="X665" i="697"/>
  <c r="X691" i="697"/>
  <c r="X784" i="697"/>
  <c r="X759" i="697"/>
  <c r="X783" i="697"/>
  <c r="X688" i="697"/>
  <c r="X585" i="697"/>
  <c r="X707" i="697"/>
  <c r="X836" i="697"/>
  <c r="X541" i="697"/>
  <c r="X755" i="697"/>
  <c r="X684" i="697"/>
  <c r="X683" i="697"/>
  <c r="X552" i="697"/>
  <c r="X660" i="697"/>
  <c r="X534" i="697"/>
  <c r="X551" i="697"/>
  <c r="X521" i="697"/>
  <c r="X732" i="697"/>
  <c r="X567" i="697"/>
  <c r="X659" i="697"/>
  <c r="X620" i="697"/>
  <c r="X619" i="697"/>
  <c r="X496" i="697"/>
  <c r="X731" i="697"/>
  <c r="X679" i="697"/>
  <c r="X557" i="697"/>
  <c r="X675" i="697"/>
  <c r="X500" i="697"/>
  <c r="X529" i="697"/>
  <c r="X439" i="697"/>
  <c r="X457" i="697"/>
  <c r="X498" i="697"/>
  <c r="X419" i="697"/>
  <c r="X449" i="697"/>
  <c r="X615" i="697"/>
  <c r="X528" i="697"/>
  <c r="X671" i="697"/>
  <c r="X436" i="697"/>
  <c r="X477" i="697"/>
  <c r="X387" i="697"/>
  <c r="X473" i="697"/>
  <c r="X366" i="697"/>
  <c r="X471" i="697"/>
  <c r="X626" i="697"/>
  <c r="X402" i="697"/>
  <c r="X502" i="697"/>
  <c r="X454" i="697"/>
  <c r="X350" i="697"/>
  <c r="X546" i="697"/>
  <c r="X430" i="697"/>
  <c r="X354" i="697"/>
  <c r="X400" i="697"/>
  <c r="X670" i="697"/>
  <c r="X325" i="697"/>
  <c r="X321" i="697"/>
  <c r="X467" i="697"/>
  <c r="X519" i="697"/>
  <c r="X487" i="697"/>
  <c r="X310" i="697"/>
  <c r="X466" i="697"/>
  <c r="X427" i="697"/>
  <c r="X532" i="697"/>
  <c r="X509" i="697"/>
  <c r="X299" i="697"/>
  <c r="X410" i="697"/>
  <c r="X296" i="697"/>
  <c r="X506" i="697"/>
  <c r="X381" i="697"/>
  <c r="X669" i="697"/>
  <c r="X462" i="697"/>
  <c r="X264" i="697"/>
  <c r="X288" i="697"/>
  <c r="X302" i="697"/>
  <c r="X291" i="697"/>
  <c r="X249" i="697"/>
  <c r="X365" i="697"/>
  <c r="X380" i="697"/>
  <c r="X243" i="697"/>
  <c r="X379" i="697"/>
  <c r="X345" i="697"/>
  <c r="X315" i="697"/>
  <c r="X531" i="697"/>
  <c r="X314" i="697"/>
  <c r="X298" i="697"/>
  <c r="X297" i="697"/>
  <c r="X217" i="697"/>
  <c r="X212" i="697"/>
  <c r="X336" i="697"/>
  <c r="X225" i="697"/>
  <c r="X301" i="697"/>
  <c r="X334" i="697"/>
  <c r="X222" i="697"/>
  <c r="X313" i="697"/>
  <c r="X215" i="697"/>
  <c r="X189" i="697"/>
  <c r="X192" i="697"/>
  <c r="X200" i="697"/>
  <c r="X374" i="697"/>
  <c r="X167" i="697"/>
  <c r="X282" i="697"/>
  <c r="X332" i="697"/>
  <c r="X262" i="697"/>
  <c r="X186" i="697"/>
  <c r="X305" i="697"/>
  <c r="X261" i="697"/>
  <c r="X278" i="697"/>
  <c r="X241" i="697"/>
  <c r="X185" i="697"/>
  <c r="X130" i="697"/>
  <c r="X330" i="697"/>
  <c r="X182" i="697"/>
  <c r="X234" i="697"/>
  <c r="X253" i="697"/>
  <c r="X123" i="697"/>
  <c r="X112" i="697"/>
  <c r="X275" i="697"/>
  <c r="X98" i="697"/>
  <c r="X159" i="697"/>
  <c r="X150" i="697"/>
  <c r="X141" i="697"/>
  <c r="X151" i="697"/>
  <c r="X156" i="697"/>
  <c r="X258" i="697"/>
  <c r="X71" i="697"/>
  <c r="X122" i="697"/>
  <c r="X257" i="697"/>
  <c r="X214" i="697"/>
  <c r="X26" i="697"/>
  <c r="X121" i="697"/>
  <c r="X42" i="697"/>
  <c r="X66" i="697"/>
  <c r="X129" i="697"/>
  <c r="X68" i="697"/>
  <c r="X131" i="697"/>
  <c r="X111" i="697"/>
  <c r="X36" i="697"/>
  <c r="X91" i="697"/>
  <c r="X63" i="697"/>
  <c r="X59" i="697"/>
  <c r="X52" i="697"/>
  <c r="X49" i="697"/>
  <c r="X54" i="697"/>
  <c r="X47" i="697"/>
  <c r="X67" i="697"/>
  <c r="X89" i="697"/>
  <c r="X32" i="697"/>
  <c r="X28" i="697"/>
  <c r="X21" i="697"/>
  <c r="X85" i="697"/>
  <c r="X175" i="697"/>
  <c r="X107" i="697"/>
  <c r="X8" i="697"/>
  <c r="X18" i="697"/>
  <c r="X40" i="697"/>
  <c r="X117" i="697"/>
  <c r="X34" i="697"/>
  <c r="X14" i="697"/>
  <c r="X24" i="697"/>
  <c r="X23" i="697"/>
  <c r="X1292" i="697"/>
  <c r="X866" i="697"/>
  <c r="X682" i="697"/>
  <c r="X751" i="697"/>
  <c r="X568" i="697"/>
  <c r="X681" i="697"/>
  <c r="X596" i="697"/>
  <c r="X680" i="697"/>
  <c r="X516" i="697"/>
  <c r="X658" i="697"/>
  <c r="X562" i="697"/>
  <c r="X595" i="697"/>
  <c r="X558" i="697"/>
  <c r="X483" i="697"/>
  <c r="X645" i="697"/>
  <c r="X556" i="697"/>
  <c r="X456" i="697"/>
  <c r="X715" i="697"/>
  <c r="X714" i="697"/>
  <c r="X437" i="697"/>
  <c r="X672" i="697"/>
  <c r="X481" i="697"/>
  <c r="X499" i="697"/>
  <c r="X420" i="697"/>
  <c r="X416" i="697"/>
  <c r="X592" i="697"/>
  <c r="X415" i="697"/>
  <c r="X554" i="697"/>
  <c r="X405" i="697"/>
  <c r="X478" i="697"/>
  <c r="X512" i="697"/>
  <c r="X393" i="697"/>
  <c r="X545" i="697"/>
  <c r="X398" i="697"/>
  <c r="X474" i="697"/>
  <c r="X493" i="697"/>
  <c r="X368" i="697"/>
  <c r="X627" i="697"/>
  <c r="X356" i="697"/>
  <c r="X370" i="697"/>
  <c r="X351" i="697"/>
  <c r="X446" i="697"/>
  <c r="X624" i="697"/>
  <c r="X469" i="697"/>
  <c r="X401" i="697"/>
  <c r="X327" i="697"/>
  <c r="X391" i="697"/>
  <c r="X322" i="697"/>
  <c r="X468" i="697"/>
  <c r="X451" i="697"/>
  <c r="X445" i="697"/>
  <c r="X311" i="697"/>
  <c r="X428" i="697"/>
  <c r="X304" i="697"/>
  <c r="X510" i="697"/>
  <c r="X300" i="697"/>
  <c r="X444" i="697"/>
  <c r="X507" i="697"/>
  <c r="X424" i="697"/>
  <c r="X423" i="697"/>
  <c r="X463" i="697"/>
  <c r="X389" i="697"/>
  <c r="X289" i="697"/>
  <c r="X290" i="697"/>
  <c r="X250" i="697"/>
  <c r="X274" i="697"/>
  <c r="X272" i="697"/>
  <c r="X364" i="697"/>
  <c r="X407" i="697"/>
  <c r="X239" i="697"/>
  <c r="X270" i="697"/>
  <c r="X361" i="697"/>
  <c r="X340" i="697"/>
  <c r="X377" i="697"/>
  <c r="X338" i="697"/>
  <c r="X226" i="697"/>
  <c r="X375" i="697"/>
  <c r="X442" i="697"/>
  <c r="X267" i="697"/>
  <c r="X307" i="697"/>
  <c r="X190" i="697"/>
  <c r="X265" i="697"/>
  <c r="X194" i="697"/>
  <c r="X199" i="697"/>
  <c r="X263" i="697"/>
  <c r="X137" i="697"/>
  <c r="X279" i="697"/>
  <c r="X276" i="697"/>
  <c r="X245" i="697"/>
  <c r="X183" i="697"/>
  <c r="X233" i="697"/>
  <c r="X252" i="697"/>
  <c r="X147" i="697"/>
  <c r="X99" i="697"/>
  <c r="X240" i="697"/>
  <c r="X158" i="697"/>
  <c r="X152" i="697"/>
  <c r="X157" i="697"/>
  <c r="X178" i="697"/>
  <c r="X163" i="697"/>
  <c r="X207" i="697"/>
  <c r="X256" i="697"/>
  <c r="X25" i="697"/>
  <c r="X43" i="697"/>
  <c r="X41" i="697"/>
  <c r="X230" i="697"/>
  <c r="X97" i="697"/>
  <c r="X65" i="697"/>
  <c r="X140" i="697"/>
  <c r="X64" i="697"/>
  <c r="X108" i="697"/>
  <c r="X133" i="697"/>
  <c r="X126" i="697"/>
  <c r="X60" i="697"/>
  <c r="X114" i="697"/>
  <c r="X50" i="697"/>
  <c r="X55" i="697"/>
  <c r="X48" i="697"/>
  <c r="X171" i="697"/>
  <c r="X96" i="697"/>
  <c r="X33" i="697"/>
  <c r="X29" i="697"/>
  <c r="X210" i="697"/>
  <c r="X82" i="697"/>
  <c r="X10" i="697"/>
  <c r="X20" i="697"/>
  <c r="X3" i="697"/>
  <c r="X79" i="697"/>
  <c r="X15" i="697"/>
  <c r="X208" i="697"/>
  <c r="X103" i="697"/>
  <c r="X1262" i="697"/>
  <c r="X1411" i="697"/>
  <c r="X1337" i="697"/>
  <c r="X1198" i="697"/>
  <c r="X1156" i="697"/>
  <c r="X1128" i="697"/>
  <c r="X864" i="697"/>
  <c r="X22" i="697"/>
  <c r="X1497" i="697"/>
  <c r="X1256" i="697"/>
  <c r="X1127" i="697"/>
  <c r="X1108" i="697"/>
  <c r="X1420" i="697"/>
  <c r="X1403" i="697"/>
  <c r="X1284" i="697"/>
  <c r="X1231" i="697"/>
  <c r="X1185" i="697"/>
  <c r="X1117" i="697"/>
  <c r="X1151" i="697"/>
  <c r="X1146" i="697"/>
  <c r="X1105" i="697"/>
  <c r="X1228" i="697"/>
  <c r="X1203" i="697"/>
  <c r="X1067" i="697"/>
  <c r="X1042" i="697"/>
  <c r="X1038" i="697"/>
  <c r="X1252" i="697"/>
  <c r="X1271" i="697"/>
  <c r="X1132" i="697"/>
  <c r="X1321" i="697"/>
  <c r="X1061" i="697"/>
  <c r="X1093" i="697"/>
  <c r="X1189" i="697"/>
  <c r="X1190" i="697"/>
  <c r="X971" i="697"/>
  <c r="X1102" i="697"/>
  <c r="X1101" i="697"/>
  <c r="X1130" i="697"/>
  <c r="X947" i="697"/>
  <c r="X946" i="697"/>
  <c r="X919" i="697"/>
  <c r="X910" i="697"/>
  <c r="X1091" i="697"/>
  <c r="X1045" i="697"/>
  <c r="X995" i="697"/>
  <c r="X915" i="697"/>
  <c r="X802" i="697"/>
  <c r="X935" i="697"/>
  <c r="X572" i="697"/>
  <c r="X871" i="697"/>
  <c r="X713" i="697"/>
  <c r="X924" i="697"/>
  <c r="X842" i="697"/>
  <c r="X698" i="697"/>
  <c r="X601" i="697"/>
  <c r="X582" i="697"/>
  <c r="X580" i="697"/>
  <c r="X733" i="697"/>
  <c r="X588" i="697"/>
  <c r="X560" i="697"/>
  <c r="X440" i="697"/>
  <c r="X480" i="697"/>
  <c r="X435" i="697"/>
  <c r="X505" i="697"/>
  <c r="X346" i="697"/>
  <c r="X341" i="697"/>
  <c r="X227" i="697"/>
  <c r="X303" i="697"/>
  <c r="X204" i="697"/>
  <c r="X180" i="697"/>
  <c r="X235" i="697"/>
  <c r="X166" i="697"/>
  <c r="X320" i="697"/>
  <c r="X139" i="697"/>
  <c r="X149" i="697"/>
  <c r="X349" i="697"/>
  <c r="X124" i="697"/>
  <c r="X148" i="697"/>
  <c r="X144" i="697"/>
  <c r="X145" i="697"/>
  <c r="X70" i="697"/>
  <c r="X177" i="697"/>
  <c r="X237" i="697"/>
  <c r="X44" i="697"/>
  <c r="X39" i="697"/>
  <c r="X399" i="697"/>
  <c r="X134" i="697"/>
  <c r="X93" i="697"/>
  <c r="X120" i="697"/>
  <c r="X58" i="697"/>
  <c r="X119" i="697"/>
  <c r="X57" i="697"/>
  <c r="X46" i="697"/>
  <c r="X90" i="697"/>
  <c r="X27" i="697"/>
  <c r="X87" i="697"/>
  <c r="X118" i="697"/>
  <c r="X174" i="697"/>
  <c r="X106" i="697"/>
  <c r="X7" i="697"/>
  <c r="X5" i="697"/>
  <c r="X77" i="697"/>
  <c r="X17" i="697"/>
  <c r="X13" i="697"/>
  <c r="X4" i="697"/>
  <c r="X1150" i="697"/>
  <c r="X1109" i="697"/>
  <c r="X979" i="697"/>
  <c r="X1323" i="697"/>
  <c r="P1323" i="697" s="1"/>
  <c r="Q1323" i="697" s="1"/>
  <c r="R1323" i="697" s="1"/>
  <c r="X1181" i="697"/>
  <c r="X1064" i="697"/>
  <c r="X1180" i="697"/>
  <c r="X1229" i="697"/>
  <c r="X1035" i="697"/>
  <c r="X1163" i="697"/>
  <c r="X1004" i="697"/>
  <c r="X998" i="697"/>
  <c r="X1191" i="697"/>
  <c r="X1012" i="697"/>
  <c r="X1016" i="697"/>
  <c r="X1124" i="697"/>
  <c r="X1058" i="697"/>
  <c r="X967" i="697"/>
  <c r="X963" i="697"/>
  <c r="X1009" i="697"/>
  <c r="X1071" i="697"/>
  <c r="X949" i="697"/>
  <c r="X1052" i="697"/>
  <c r="X945" i="697"/>
  <c r="X1097" i="697"/>
  <c r="X1096" i="697"/>
  <c r="X1050" i="697"/>
  <c r="X1025" i="697"/>
  <c r="X942" i="697"/>
  <c r="X851" i="697"/>
  <c r="X852" i="697"/>
  <c r="X877" i="697"/>
  <c r="X847" i="697"/>
  <c r="X918" i="697"/>
  <c r="X938" i="697"/>
  <c r="X1022" i="697"/>
  <c r="X796" i="697"/>
  <c r="X937" i="697"/>
  <c r="X912" i="697"/>
  <c r="X880" i="697"/>
  <c r="X726" i="697"/>
  <c r="X929" i="697"/>
  <c r="X655" i="697"/>
  <c r="X890" i="697"/>
  <c r="X738" i="697"/>
  <c r="X763" i="697"/>
  <c r="X579" i="697"/>
  <c r="X540" i="697"/>
  <c r="X533" i="697"/>
  <c r="X593" i="697"/>
  <c r="X514" i="697"/>
  <c r="X470" i="697"/>
  <c r="X518" i="697"/>
  <c r="X347" i="697"/>
  <c r="X343" i="697"/>
  <c r="X228" i="697"/>
  <c r="X216" i="697"/>
  <c r="X224" i="697"/>
  <c r="X269" i="697"/>
  <c r="X188" i="697"/>
  <c r="X173" i="697"/>
  <c r="X357" i="697"/>
  <c r="X394" i="697"/>
  <c r="X277" i="697"/>
  <c r="X285" i="697"/>
  <c r="X181" i="697"/>
  <c r="X232" i="697"/>
  <c r="X102" i="697"/>
  <c r="X100" i="697"/>
  <c r="X154" i="697"/>
  <c r="X74" i="697"/>
  <c r="X161" i="697"/>
  <c r="X255" i="697"/>
  <c r="X127" i="697"/>
  <c r="X110" i="697"/>
  <c r="X125" i="697"/>
  <c r="X104" i="697"/>
  <c r="X1449" i="697"/>
  <c r="X1445" i="697"/>
  <c r="X1371" i="697"/>
  <c r="X1581" i="697"/>
  <c r="X1308" i="697"/>
  <c r="X1263" i="697"/>
  <c r="X1496" i="697"/>
  <c r="X1338" i="697"/>
  <c r="X1331" i="697"/>
  <c r="X1366" i="697"/>
  <c r="X1116" i="697"/>
  <c r="X1125" i="697"/>
  <c r="X1149" i="697"/>
  <c r="X1275" i="697"/>
  <c r="X1145" i="697"/>
  <c r="X1138" i="697"/>
  <c r="X1230" i="697"/>
  <c r="X1094" i="697"/>
  <c r="X1184" i="697"/>
  <c r="X1081" i="697"/>
  <c r="X1183" i="697"/>
  <c r="X1296" i="697"/>
  <c r="X1214" i="697"/>
  <c r="X1080" i="697"/>
  <c r="X1039" i="697"/>
  <c r="X1028" i="697"/>
  <c r="X1034" i="697"/>
  <c r="X1158" i="697"/>
  <c r="X997" i="697"/>
  <c r="X1253" i="697"/>
  <c r="X1293" i="697"/>
  <c r="X1213" i="697"/>
  <c r="X1103" i="697"/>
  <c r="X977" i="697"/>
  <c r="X1015" i="697"/>
  <c r="X1013" i="697"/>
  <c r="X974" i="697"/>
  <c r="X1057" i="697"/>
  <c r="X970" i="697"/>
  <c r="X966" i="697"/>
  <c r="X962" i="697"/>
  <c r="X1033" i="697"/>
  <c r="X1088" i="697"/>
  <c r="X1089" i="697"/>
  <c r="X1099" i="697"/>
  <c r="X1053" i="697"/>
  <c r="X1085" i="697"/>
  <c r="X1077" i="697"/>
  <c r="X1083" i="697"/>
  <c r="X1076" i="697"/>
  <c r="X922" i="697"/>
  <c r="X944" i="697"/>
  <c r="X909" i="697"/>
  <c r="X901" i="697"/>
  <c r="X888" i="697"/>
  <c r="X1049" i="697"/>
  <c r="X882" i="697"/>
  <c r="X874" i="697"/>
  <c r="X943" i="697"/>
  <c r="X865" i="697"/>
  <c r="X1023" i="697"/>
  <c r="X1007" i="697"/>
  <c r="X1006" i="697"/>
  <c r="X849" i="697"/>
  <c r="X876" i="697"/>
  <c r="X848" i="697"/>
  <c r="X917" i="697"/>
  <c r="X1030" i="697"/>
  <c r="X833" i="697"/>
  <c r="X830" i="697"/>
  <c r="X822" i="697"/>
  <c r="X827" i="697"/>
  <c r="X823" i="697"/>
  <c r="X818" i="697"/>
  <c r="X813" i="697"/>
  <c r="X808" i="697"/>
  <c r="X804" i="697"/>
  <c r="X798" i="697"/>
  <c r="X800" i="697"/>
  <c r="X987" i="697"/>
  <c r="X896" i="697"/>
  <c r="X795" i="697"/>
  <c r="X948" i="697"/>
  <c r="X905" i="697"/>
  <c r="X957" i="697"/>
  <c r="X984" i="697"/>
  <c r="X981" i="697"/>
  <c r="X955" i="697"/>
  <c r="X575" i="697"/>
  <c r="X571" i="697"/>
  <c r="X953" i="697"/>
  <c r="X1021" i="697"/>
  <c r="X725" i="697"/>
  <c r="X776" i="697"/>
  <c r="X736" i="697"/>
  <c r="X952" i="697"/>
  <c r="X712" i="697"/>
  <c r="X708" i="697"/>
  <c r="X862" i="697"/>
  <c r="X860" i="697"/>
  <c r="X846" i="697"/>
  <c r="X704" i="697"/>
  <c r="X845" i="697"/>
  <c r="X869" i="697"/>
  <c r="X747" i="697"/>
  <c r="X745" i="697"/>
  <c r="X653" i="697"/>
  <c r="X644" i="697"/>
  <c r="X856" i="697"/>
  <c r="X642" i="697"/>
  <c r="X773" i="697"/>
  <c r="X635" i="697"/>
  <c r="X744" i="697"/>
  <c r="X632" i="697"/>
  <c r="X743" i="697"/>
  <c r="X651" i="697"/>
  <c r="X648" i="697"/>
  <c r="X654" i="697"/>
  <c r="X741" i="697"/>
  <c r="X742" i="697"/>
  <c r="X606" i="697"/>
  <c r="X602" i="697"/>
  <c r="X600" i="697"/>
  <c r="X765" i="697"/>
  <c r="X764" i="697"/>
  <c r="X591" i="697"/>
  <c r="X720" i="697"/>
  <c r="X762" i="697"/>
  <c r="X889" i="697"/>
  <c r="X761" i="697"/>
  <c r="X690" i="697"/>
  <c r="X576" i="697"/>
  <c r="X634" i="697"/>
  <c r="X553" i="697"/>
  <c r="X735" i="697"/>
  <c r="X569" i="697"/>
  <c r="X687" i="697"/>
  <c r="X686" i="697"/>
  <c r="X537" i="697"/>
  <c r="X578" i="697"/>
  <c r="X782" i="697"/>
  <c r="X549" i="697"/>
  <c r="X587" i="697"/>
  <c r="X610" i="697"/>
  <c r="X522" i="697"/>
  <c r="X717" i="697"/>
  <c r="X621" i="697"/>
  <c r="X565" i="697"/>
  <c r="X701" i="697"/>
  <c r="X501" i="697"/>
  <c r="X517" i="697"/>
  <c r="X590" i="697"/>
  <c r="X563" i="697"/>
  <c r="X484" i="697"/>
  <c r="X559" i="697"/>
  <c r="X663" i="697"/>
  <c r="X482" i="697"/>
  <c r="X594" i="697"/>
  <c r="X639" i="697"/>
  <c r="X716" i="697"/>
  <c r="X674" i="697"/>
  <c r="X438" i="697"/>
  <c r="X616" i="697"/>
  <c r="X515" i="697"/>
  <c r="X447" i="697"/>
  <c r="X421" i="697"/>
  <c r="X417" i="697"/>
  <c r="X441" i="697"/>
  <c r="X479" i="697"/>
  <c r="X555" i="697"/>
  <c r="X538" i="697"/>
  <c r="X494" i="697"/>
  <c r="X513" i="697"/>
  <c r="X404" i="697"/>
  <c r="X392" i="697"/>
  <c r="X434" i="697"/>
  <c r="X475" i="697"/>
  <c r="X372" i="697"/>
  <c r="X492" i="697"/>
  <c r="X525" i="697"/>
  <c r="X490" i="697"/>
  <c r="X371" i="697"/>
  <c r="X369" i="697"/>
  <c r="X455" i="697"/>
  <c r="X414" i="697"/>
  <c r="X625" i="697"/>
  <c r="X453" i="697"/>
  <c r="X358" i="697"/>
  <c r="X329" i="697"/>
  <c r="X328" i="697"/>
  <c r="X355" i="697"/>
  <c r="X323" i="697"/>
  <c r="X390" i="697"/>
  <c r="X452" i="697"/>
  <c r="X319" i="697"/>
  <c r="X413" i="697"/>
  <c r="X309" i="697"/>
  <c r="X614" i="697"/>
  <c r="X384" i="697"/>
  <c r="X383" i="697"/>
  <c r="X352" i="697"/>
  <c r="X523" i="697"/>
  <c r="X524" i="697"/>
  <c r="X382" i="697"/>
  <c r="X396" i="697"/>
  <c r="X464" i="697"/>
  <c r="X460" i="697"/>
  <c r="X293" i="697"/>
  <c r="X316" i="697"/>
  <c r="X422" i="697"/>
  <c r="X251" i="697"/>
  <c r="X247" i="697"/>
  <c r="X246" i="697"/>
  <c r="X406" i="697"/>
  <c r="X362" i="697"/>
  <c r="X378" i="697"/>
  <c r="X344" i="697"/>
  <c r="X271" i="697"/>
  <c r="X342" i="697"/>
  <c r="X242" i="697"/>
  <c r="X339" i="697"/>
  <c r="X218" i="697"/>
  <c r="X530" i="697"/>
  <c r="X308" i="697"/>
  <c r="X205" i="697"/>
  <c r="X223" i="697"/>
  <c r="X202" i="697"/>
  <c r="X376" i="697"/>
  <c r="X268" i="697"/>
  <c r="X179" i="697"/>
  <c r="X191" i="697"/>
  <c r="X187" i="697"/>
  <c r="X266" i="697"/>
  <c r="X201" i="697"/>
  <c r="X169" i="697"/>
  <c r="X165" i="697"/>
  <c r="X373" i="697"/>
  <c r="X306" i="697"/>
  <c r="X281" i="697"/>
  <c r="X138" i="697"/>
  <c r="X220" i="697"/>
  <c r="X280" i="697"/>
  <c r="X408" i="697"/>
  <c r="X136" i="697"/>
  <c r="X198" i="697"/>
  <c r="X128" i="697"/>
  <c r="X184" i="697"/>
  <c r="X260" i="697"/>
  <c r="X835" i="697"/>
  <c r="X238" i="697"/>
  <c r="X113" i="697"/>
  <c r="X231" i="697"/>
  <c r="X284" i="697"/>
  <c r="X101" i="697"/>
  <c r="X229" i="697"/>
  <c r="X143" i="697"/>
  <c r="X153" i="697"/>
  <c r="X211" i="697"/>
  <c r="X155" i="697"/>
  <c r="X73" i="697"/>
  <c r="X69" i="697"/>
  <c r="X162" i="697"/>
  <c r="X135" i="697"/>
  <c r="X94" i="697"/>
  <c r="X236" i="697"/>
  <c r="X76" i="697"/>
  <c r="X254" i="697"/>
  <c r="X206" i="697"/>
  <c r="X176" i="697"/>
  <c r="X38" i="697"/>
  <c r="X213" i="697"/>
  <c r="X109" i="697"/>
  <c r="X92" i="697"/>
  <c r="X116" i="697"/>
  <c r="X61" i="697"/>
  <c r="X35" i="697"/>
  <c r="X51" i="697"/>
  <c r="X56" i="697"/>
  <c r="X37" i="697"/>
  <c r="X75" i="697"/>
  <c r="X115" i="697"/>
  <c r="X219" i="697"/>
  <c r="X30" i="697"/>
  <c r="X88" i="697"/>
  <c r="X86" i="697"/>
  <c r="X84" i="697"/>
  <c r="X81" i="697"/>
  <c r="X105" i="697"/>
  <c r="X19" i="697"/>
  <c r="X209" i="697"/>
  <c r="X78" i="697"/>
  <c r="X45" i="697"/>
  <c r="X16" i="697"/>
  <c r="X6" i="697"/>
  <c r="X196" i="697"/>
  <c r="X1359" i="697"/>
  <c r="X1201" i="697"/>
  <c r="X1197" i="697"/>
  <c r="X1302" i="697"/>
  <c r="X1187" i="697"/>
  <c r="X1377" i="697"/>
  <c r="X1300" i="697"/>
  <c r="X1586" i="697"/>
  <c r="X1172" i="697"/>
  <c r="X1166" i="697"/>
  <c r="X1164" i="697"/>
  <c r="X1267" i="697"/>
  <c r="X1161" i="697"/>
  <c r="X1155" i="697"/>
  <c r="X1153" i="697"/>
  <c r="X1139" i="697"/>
  <c r="X1254" i="697"/>
  <c r="X1136" i="697"/>
  <c r="X1194" i="697"/>
  <c r="X1217" i="697"/>
  <c r="X1266" i="697"/>
  <c r="X1147" i="697"/>
  <c r="X1297" i="697"/>
  <c r="X1043" i="697"/>
  <c r="X1176" i="697"/>
  <c r="X1170" i="697"/>
  <c r="X1104" i="697"/>
  <c r="X1112" i="697"/>
  <c r="X976" i="697"/>
  <c r="X996" i="697"/>
  <c r="X1018" i="697"/>
  <c r="X1055" i="697"/>
  <c r="X964" i="697"/>
  <c r="X972" i="697"/>
  <c r="X1100" i="697"/>
  <c r="X9" i="697"/>
  <c r="X1069" i="697"/>
  <c r="X907" i="697"/>
  <c r="X1068" i="697"/>
  <c r="X729" i="697"/>
  <c r="X727" i="697"/>
  <c r="X934" i="697"/>
  <c r="X774" i="697"/>
  <c r="X809" i="697"/>
  <c r="X787" i="697"/>
  <c r="X710" i="697"/>
  <c r="X932" i="697"/>
  <c r="X894" i="697"/>
  <c r="X883" i="697"/>
  <c r="X543" i="697"/>
  <c r="X1355" i="697"/>
  <c r="X1084" i="697"/>
  <c r="T1564" i="697"/>
  <c r="T1545" i="697"/>
  <c r="T1596" i="697"/>
  <c r="X168" i="697"/>
  <c r="T1533" i="697"/>
  <c r="T1531" i="697"/>
  <c r="T1602" i="697"/>
  <c r="T1590" i="697"/>
  <c r="T1582" i="697"/>
  <c r="T1459" i="697"/>
  <c r="T1567" i="697"/>
  <c r="T1581" i="697"/>
  <c r="T1578" i="697"/>
  <c r="T1603" i="697"/>
  <c r="T1592" i="697"/>
  <c r="T1595" i="697"/>
  <c r="T1552" i="697"/>
  <c r="T1574" i="697"/>
  <c r="T1569" i="697"/>
  <c r="T1576" i="697"/>
  <c r="T1566" i="697"/>
  <c r="T1575" i="697"/>
  <c r="T1587" i="697"/>
  <c r="T1610" i="697"/>
  <c r="T1593" i="697"/>
  <c r="T1589" i="697"/>
  <c r="T1530" i="697"/>
  <c r="X649" i="697"/>
  <c r="T1551" i="697"/>
  <c r="T1614" i="697"/>
  <c r="T1549" i="697"/>
  <c r="T1601" i="697"/>
  <c r="T1558" i="697"/>
  <c r="Y649" i="697"/>
  <c r="X586" i="697"/>
  <c r="T1543" i="697"/>
  <c r="T1591" i="697"/>
  <c r="T1565" i="697"/>
  <c r="T1561" i="697"/>
  <c r="T1619" i="697"/>
  <c r="T1550" i="697"/>
  <c r="X1036" i="697"/>
  <c r="T1621" i="697"/>
  <c r="T1584" i="697"/>
  <c r="T1568" i="697"/>
  <c r="X1063" i="697"/>
  <c r="T1532" i="697"/>
  <c r="X53" i="697"/>
  <c r="X286" i="697"/>
  <c r="X1240" i="697"/>
  <c r="X80" i="697"/>
  <c r="X1192" i="697"/>
  <c r="X622" i="697"/>
  <c r="Y991" i="697"/>
  <c r="X991" i="697"/>
  <c r="X931" i="697"/>
  <c r="Y985" i="697"/>
  <c r="X985" i="697"/>
  <c r="X980" i="697"/>
  <c r="X603" i="697"/>
  <c r="X577" i="697"/>
  <c r="T1541" i="697"/>
  <c r="T1544" i="697"/>
  <c r="X1273" i="697"/>
  <c r="X1066" i="697"/>
  <c r="X1270" i="697"/>
  <c r="X1017" i="697"/>
  <c r="X1037" i="697"/>
  <c r="T1598" i="697"/>
  <c r="T1597" i="697"/>
  <c r="T1563" i="697"/>
  <c r="T1633" i="697"/>
  <c r="T1525" i="697"/>
  <c r="T1611" i="697"/>
  <c r="T1571" i="697"/>
  <c r="T1588" i="697"/>
  <c r="T1554" i="697"/>
  <c r="X348" i="697"/>
  <c r="X950" i="697"/>
  <c r="Y348" i="697"/>
  <c r="X1002" i="697"/>
  <c r="X828" i="697"/>
  <c r="X801" i="697"/>
  <c r="X982" i="697"/>
  <c r="X748" i="697"/>
  <c r="X1029" i="697"/>
  <c r="X636" i="697"/>
  <c r="X723" i="697"/>
  <c r="X721" i="697"/>
  <c r="X757" i="697"/>
  <c r="X536" i="697"/>
  <c r="X664" i="697"/>
  <c r="X564" i="697"/>
  <c r="X676" i="697"/>
  <c r="X448" i="697"/>
  <c r="X584" i="697"/>
  <c r="X511" i="697"/>
  <c r="X433" i="697"/>
  <c r="X623" i="697"/>
  <c r="X386" i="697"/>
  <c r="X425" i="697"/>
  <c r="X388" i="697"/>
  <c r="Y1003" i="697"/>
  <c r="X1003" i="697"/>
  <c r="Y1082" i="697"/>
  <c r="X1082" i="697"/>
  <c r="Y1024" i="697"/>
  <c r="X1024" i="697"/>
  <c r="Y638" i="697"/>
  <c r="X638" i="697"/>
  <c r="Y637" i="697"/>
  <c r="X637" i="697"/>
  <c r="Y527" i="697"/>
  <c r="X527" i="697"/>
  <c r="X1134" i="697"/>
  <c r="X1179" i="697"/>
  <c r="X1162" i="697"/>
  <c r="X1073" i="697"/>
  <c r="Y561" i="697"/>
  <c r="X561" i="697"/>
  <c r="Y677" i="697"/>
  <c r="X677" i="697"/>
  <c r="Y458" i="697"/>
  <c r="X458" i="697"/>
  <c r="Y548" i="697"/>
  <c r="X548" i="697"/>
  <c r="X1239" i="697"/>
  <c r="X1008" i="697"/>
  <c r="X941" i="697"/>
  <c r="X878" i="697"/>
  <c r="X886" i="697"/>
  <c r="X1000" i="697"/>
  <c r="X829" i="697"/>
  <c r="X824" i="697"/>
  <c r="X992" i="697"/>
  <c r="X805" i="697"/>
  <c r="X797" i="697"/>
  <c r="X914" i="697"/>
  <c r="X791" i="697"/>
  <c r="X881" i="697"/>
  <c r="X904" i="697"/>
  <c r="X771" i="697"/>
  <c r="X570" i="697"/>
  <c r="X728" i="697"/>
  <c r="X789" i="697"/>
  <c r="X786" i="697"/>
  <c r="X709" i="697"/>
  <c r="X930" i="697"/>
  <c r="X927" i="697"/>
  <c r="X667" i="697"/>
  <c r="X746" i="697"/>
  <c r="X799" i="697"/>
  <c r="X643" i="697"/>
  <c r="X891" i="697"/>
  <c r="X633" i="697"/>
  <c r="X767" i="697"/>
  <c r="X696" i="697"/>
  <c r="X766" i="697"/>
  <c r="X607" i="697"/>
  <c r="X812" i="697"/>
  <c r="X694" i="697"/>
  <c r="X693" i="697"/>
  <c r="X692" i="697"/>
  <c r="X811" i="697"/>
  <c r="X758" i="697"/>
  <c r="X749" i="697"/>
  <c r="X706" i="697"/>
  <c r="X705" i="697"/>
  <c r="X535" i="697"/>
  <c r="X550" i="697"/>
  <c r="X752" i="697"/>
  <c r="X702" i="697"/>
  <c r="X618" i="697"/>
  <c r="X617" i="697"/>
  <c r="X418" i="697"/>
  <c r="X539" i="697"/>
  <c r="X360" i="697"/>
  <c r="X652" i="697"/>
  <c r="X793" i="697"/>
  <c r="Y132" i="697"/>
  <c r="X132" i="697"/>
  <c r="Y11" i="697"/>
  <c r="X11" i="697"/>
  <c r="X853" i="697"/>
  <c r="X875" i="697"/>
  <c r="X832" i="697"/>
  <c r="X820" i="697"/>
  <c r="X803" i="697"/>
  <c r="X895" i="697"/>
  <c r="X778" i="697"/>
  <c r="X574" i="697"/>
  <c r="X754" i="697"/>
  <c r="X581" i="697"/>
  <c r="X491" i="697"/>
  <c r="X292" i="697"/>
  <c r="Y652" i="697"/>
  <c r="X850" i="697"/>
  <c r="X834" i="697"/>
  <c r="X826" i="697"/>
  <c r="X807" i="697"/>
  <c r="X792" i="697"/>
  <c r="X780" i="697"/>
  <c r="X954" i="697"/>
  <c r="X730" i="697"/>
  <c r="X790" i="697"/>
  <c r="X724" i="697"/>
  <c r="X775" i="697"/>
  <c r="X810" i="697"/>
  <c r="X788" i="697"/>
  <c r="X711" i="697"/>
  <c r="X933" i="697"/>
  <c r="X870" i="697"/>
  <c r="X794" i="697"/>
  <c r="X879" i="697"/>
  <c r="X703" i="697"/>
  <c r="X668" i="697"/>
  <c r="X926" i="697"/>
  <c r="X859" i="697"/>
  <c r="X656" i="697"/>
  <c r="X857" i="697"/>
  <c r="X843" i="697"/>
  <c r="X892" i="697"/>
  <c r="X903" i="697"/>
  <c r="X855" i="697"/>
  <c r="X640" i="697"/>
  <c r="X768" i="697"/>
  <c r="X631" i="697"/>
  <c r="X613" i="697"/>
  <c r="X647" i="697"/>
  <c r="X854" i="697"/>
  <c r="X902" i="697"/>
  <c r="X740" i="697"/>
  <c r="X609" i="697"/>
  <c r="X605" i="697"/>
  <c r="X722" i="697"/>
  <c r="X599" i="697"/>
  <c r="X598" i="697"/>
  <c r="X839" i="697"/>
  <c r="X816" i="697"/>
  <c r="X661" i="697"/>
  <c r="X583" i="697"/>
  <c r="X815" i="697"/>
  <c r="X838" i="697"/>
  <c r="X760" i="697"/>
  <c r="X689" i="697"/>
  <c r="X837" i="697"/>
  <c r="X630" i="697"/>
  <c r="X734" i="697"/>
  <c r="X756" i="697"/>
  <c r="X542" i="697"/>
  <c r="X685" i="697"/>
  <c r="X718" i="697"/>
  <c r="X318" i="697"/>
  <c r="Y367" i="697"/>
  <c r="X367" i="697"/>
  <c r="Y221" i="697"/>
  <c r="X221" i="697"/>
  <c r="X1001" i="697"/>
  <c r="X916" i="697"/>
  <c r="X821" i="697"/>
  <c r="X814" i="697"/>
  <c r="X959" i="697"/>
  <c r="X906" i="697"/>
  <c r="X956" i="697"/>
  <c r="X737" i="697"/>
  <c r="X753" i="697"/>
  <c r="X295" i="697"/>
  <c r="X2" i="697"/>
  <c r="X12" i="697"/>
  <c r="Y83" i="697"/>
  <c r="X83" i="697"/>
  <c r="X326" i="697"/>
  <c r="X508" i="697"/>
  <c r="X1133" i="697"/>
  <c r="X1014" i="697"/>
  <c r="X920" i="697"/>
  <c r="X899" i="697"/>
  <c r="X872" i="697"/>
  <c r="X831" i="697"/>
  <c r="X825" i="697"/>
  <c r="X1005" i="697"/>
  <c r="X986" i="697"/>
  <c r="X772" i="697"/>
  <c r="Y1133" i="697"/>
  <c r="Y831" i="697"/>
  <c r="Y772" i="697"/>
  <c r="X1114" i="697"/>
  <c r="X1111" i="697"/>
  <c r="X1272" i="697"/>
  <c r="X1144" i="697"/>
  <c r="X999" i="697"/>
  <c r="X968" i="697"/>
  <c r="X1010" i="697"/>
  <c r="X1087" i="697"/>
  <c r="X1078" i="697"/>
  <c r="X911" i="697"/>
  <c r="X1031" i="697"/>
  <c r="X884" i="697"/>
  <c r="X1046" i="697"/>
  <c r="Y920" i="697"/>
  <c r="Y899" i="697"/>
  <c r="Y825" i="697"/>
  <c r="X1152" i="697"/>
  <c r="X1095" i="697"/>
  <c r="X1090" i="697"/>
  <c r="P1090" i="697" s="1"/>
  <c r="Q1090" i="697" s="1"/>
  <c r="R1090" i="697" s="1"/>
  <c r="X1372" i="697"/>
  <c r="X1295" i="697"/>
  <c r="X1079" i="697"/>
  <c r="X1026" i="697"/>
  <c r="X1019" i="697"/>
  <c r="X1059" i="697"/>
  <c r="X1098" i="697"/>
  <c r="X900" i="697"/>
  <c r="X1044" i="697"/>
  <c r="X1212" i="697"/>
  <c r="X940" i="697"/>
  <c r="X994" i="697"/>
  <c r="X1143" i="697"/>
  <c r="X897" i="697"/>
  <c r="X960" i="697"/>
  <c r="X898" i="697"/>
  <c r="X939" i="697"/>
  <c r="X819" i="697"/>
  <c r="X993" i="697"/>
  <c r="X806" i="697"/>
  <c r="X990" i="697"/>
  <c r="X988" i="697"/>
  <c r="X989" i="697"/>
  <c r="X958" i="697"/>
  <c r="X936" i="697"/>
  <c r="X781" i="697"/>
  <c r="X779" i="697"/>
  <c r="X913" i="697"/>
  <c r="X983" i="697"/>
  <c r="X777" i="697"/>
  <c r="X573" i="697"/>
  <c r="X863" i="697"/>
  <c r="X817" i="697"/>
  <c r="X1106" i="697"/>
  <c r="X1290" i="697"/>
  <c r="X1248" i="697"/>
  <c r="X1206" i="697"/>
  <c r="X646" i="697"/>
  <c r="X503" i="697"/>
  <c r="X495" i="697"/>
  <c r="X459" i="697"/>
  <c r="X547" i="697"/>
  <c r="X486" i="697"/>
  <c r="X412" i="697"/>
  <c r="X403" i="697"/>
  <c r="X476" i="697"/>
  <c r="X472" i="697"/>
  <c r="X432" i="697"/>
  <c r="X520" i="697"/>
  <c r="X450" i="697"/>
  <c r="X485" i="697"/>
  <c r="X294" i="697"/>
  <c r="X273" i="697"/>
  <c r="X203" i="697"/>
  <c r="X95" i="697"/>
  <c r="Y526" i="697"/>
  <c r="X526" i="697"/>
  <c r="Y489" i="697"/>
  <c r="X489" i="697"/>
  <c r="Y431" i="697"/>
  <c r="X431" i="697"/>
  <c r="Y385" i="697"/>
  <c r="X385" i="697"/>
  <c r="Y429" i="697"/>
  <c r="X429" i="697"/>
  <c r="X465" i="697"/>
  <c r="Y397" i="697"/>
  <c r="X397" i="697"/>
  <c r="Y409" i="697"/>
  <c r="X409" i="697"/>
  <c r="Y317" i="697"/>
  <c r="X317" i="697"/>
  <c r="Y287" i="697"/>
  <c r="X287" i="697"/>
  <c r="Y283" i="697"/>
  <c r="X283" i="697"/>
  <c r="Y333" i="697"/>
  <c r="X333" i="697"/>
  <c r="Y331" i="697"/>
  <c r="X331" i="697"/>
  <c r="Y172" i="697"/>
  <c r="X172" i="697"/>
  <c r="Y259" i="697"/>
  <c r="X259" i="697"/>
  <c r="Y160" i="697"/>
  <c r="X160" i="697"/>
  <c r="Y62" i="697"/>
  <c r="X62" i="697"/>
  <c r="Y31" i="697"/>
  <c r="X31" i="697"/>
  <c r="X566" i="697"/>
  <c r="X497" i="697"/>
  <c r="X678" i="697"/>
  <c r="X657" i="697"/>
  <c r="X673" i="697"/>
  <c r="X662" i="697"/>
  <c r="X629" i="697"/>
  <c r="X628" i="697"/>
  <c r="X359" i="697"/>
  <c r="X488" i="697"/>
  <c r="X353" i="697"/>
  <c r="X324" i="697"/>
  <c r="X544" i="697"/>
  <c r="X426" i="697"/>
  <c r="X443" i="697"/>
  <c r="X461" i="697"/>
  <c r="X248" i="697"/>
  <c r="X363" i="697"/>
  <c r="X395" i="697"/>
  <c r="X195" i="697"/>
  <c r="X146" i="697"/>
  <c r="T1599" i="697"/>
  <c r="X411" i="697"/>
  <c r="X504" i="697"/>
  <c r="X337" i="697"/>
  <c r="X335" i="697"/>
  <c r="X193" i="697"/>
  <c r="X170" i="697"/>
  <c r="X164" i="697"/>
  <c r="X312" i="697"/>
  <c r="X244" i="697"/>
  <c r="X197" i="697"/>
  <c r="X142" i="697"/>
  <c r="X72" i="697"/>
  <c r="X1115" i="697"/>
  <c r="X1135" i="697"/>
  <c r="X1148" i="697"/>
  <c r="X1274" i="697"/>
  <c r="X1126" i="697"/>
  <c r="X1110" i="697"/>
  <c r="X1107" i="697"/>
  <c r="X1215" i="697"/>
  <c r="X1216" i="697"/>
  <c r="X1193" i="697"/>
  <c r="X1322" i="697"/>
  <c r="P1322" i="697" s="1"/>
  <c r="Q1322" i="697" s="1"/>
  <c r="R1322" i="697" s="1"/>
  <c r="X1074" i="697"/>
  <c r="X1182" i="697"/>
  <c r="X1065" i="697"/>
  <c r="X1072" i="697"/>
  <c r="X1041" i="697"/>
  <c r="X1113" i="697"/>
  <c r="X1178" i="697"/>
  <c r="X1171" i="697"/>
  <c r="X1177" i="697"/>
  <c r="X1027" i="697"/>
  <c r="X1294" i="697"/>
  <c r="X1020" i="697"/>
  <c r="X1062" i="697"/>
  <c r="X1604" i="697"/>
  <c r="X1157" i="697"/>
  <c r="X1289" i="697"/>
  <c r="X1320" i="697"/>
  <c r="X978" i="697"/>
  <c r="X1011" i="697"/>
  <c r="X1040" i="697"/>
  <c r="X975" i="697"/>
  <c r="X1118" i="697"/>
  <c r="X973" i="697"/>
  <c r="X1060" i="697"/>
  <c r="X1056" i="697"/>
  <c r="X969" i="697"/>
  <c r="X965" i="697"/>
  <c r="X961" i="697"/>
  <c r="X1054" i="697"/>
  <c r="X1238" i="697"/>
  <c r="X1086" i="697"/>
  <c r="X951" i="697"/>
  <c r="X1092" i="697"/>
  <c r="X1032" i="697"/>
  <c r="X1070" i="697"/>
  <c r="X1131" i="697"/>
  <c r="X1169" i="697"/>
  <c r="X921" i="697"/>
  <c r="X1051" i="697"/>
  <c r="X1168" i="697"/>
  <c r="X908" i="697"/>
  <c r="X1075" i="697"/>
  <c r="X887" i="697"/>
  <c r="X885" i="697"/>
  <c r="X1048" i="697"/>
  <c r="X1047" i="697"/>
  <c r="X873" i="697"/>
  <c r="T1609" i="697"/>
  <c r="T1583" i="697"/>
  <c r="T1542" i="697"/>
  <c r="T1538" i="697"/>
  <c r="T1607" i="697"/>
  <c r="T1546" i="697"/>
  <c r="T1540" i="697"/>
  <c r="T1577" i="697"/>
  <c r="T1606" i="697"/>
  <c r="T1562" i="697"/>
  <c r="T1570" i="697"/>
  <c r="T1553" i="697"/>
  <c r="T1605" i="697"/>
  <c r="T1557" i="697"/>
  <c r="T1600" i="697"/>
  <c r="T1580" i="697"/>
  <c r="T1579" i="697"/>
  <c r="T1604" i="697"/>
  <c r="X1584" i="697"/>
  <c r="X1336" i="697"/>
  <c r="X1250" i="697"/>
  <c r="X1591" i="697"/>
  <c r="Y1250" i="697"/>
  <c r="X1342" i="697"/>
  <c r="X1494" i="697"/>
  <c r="Y1476" i="697"/>
  <c r="X1476" i="697"/>
  <c r="Y1454" i="697"/>
  <c r="X1454" i="697"/>
  <c r="Y1602" i="697"/>
  <c r="X1602" i="697"/>
  <c r="X1364" i="697"/>
  <c r="Y1364" i="697"/>
  <c r="Y1354" i="697"/>
  <c r="X1354" i="697"/>
  <c r="X1348" i="697"/>
  <c r="Y1348" i="697"/>
  <c r="X1395" i="697"/>
  <c r="Y1395" i="697"/>
  <c r="X1255" i="697"/>
  <c r="Y1255" i="697"/>
  <c r="X1533" i="697"/>
  <c r="Y1533" i="697"/>
  <c r="X1564" i="697"/>
  <c r="Y1564" i="697"/>
  <c r="X1459" i="697"/>
  <c r="X1499" i="697"/>
  <c r="Y1499" i="697"/>
  <c r="X1437" i="697"/>
  <c r="Y1437" i="697"/>
  <c r="X1312" i="697"/>
  <c r="Y1312" i="697"/>
  <c r="X1412" i="697"/>
  <c r="Y1412" i="697"/>
  <c r="Y1237" i="697"/>
  <c r="X1237" i="697"/>
  <c r="X1258" i="697"/>
  <c r="Y1258" i="697"/>
  <c r="X1208" i="697"/>
  <c r="Y1277" i="697"/>
  <c r="X1277" i="697"/>
  <c r="Y1494" i="697"/>
  <c r="Y1208" i="697"/>
  <c r="X1531" i="697"/>
  <c r="X1493" i="697"/>
  <c r="X1326" i="697"/>
  <c r="Y1513" i="697"/>
  <c r="X1513" i="697"/>
  <c r="X1596" i="697"/>
  <c r="Y1596" i="697"/>
  <c r="X1582" i="697"/>
  <c r="Y1582" i="697"/>
  <c r="X1468" i="697"/>
  <c r="Y1468" i="697"/>
  <c r="X1452" i="697"/>
  <c r="Y1452" i="697"/>
  <c r="Y1545" i="697"/>
  <c r="X1545" i="697"/>
  <c r="X1590" i="697"/>
  <c r="X1482" i="697"/>
  <c r="Y1482" i="697"/>
  <c r="X1281" i="697"/>
  <c r="Y1281" i="697"/>
  <c r="X1232" i="697"/>
  <c r="Y1232" i="697"/>
  <c r="X1345" i="697"/>
  <c r="Y1345" i="697"/>
  <c r="Y1221" i="697"/>
  <c r="X1221" i="697"/>
  <c r="X1369" i="697"/>
  <c r="Y1369" i="697"/>
  <c r="X1173" i="697"/>
  <c r="Y1173" i="697"/>
  <c r="X1141" i="697"/>
  <c r="Y1141" i="697"/>
  <c r="Y1120" i="697"/>
  <c r="X1120" i="697"/>
  <c r="Y1590" i="697"/>
  <c r="X1503" i="697"/>
  <c r="X1595" i="697"/>
  <c r="X1598" i="697"/>
  <c r="X1511" i="697"/>
  <c r="X1621" i="697"/>
  <c r="P1621" i="697" s="1"/>
  <c r="Q1621" i="697" s="1"/>
  <c r="R1621" i="697" s="1"/>
  <c r="X1505" i="697"/>
  <c r="X1568" i="697"/>
  <c r="X1544" i="697"/>
  <c r="X1563" i="697"/>
  <c r="X1472" i="697"/>
  <c r="X1490" i="697"/>
  <c r="X1500" i="697"/>
  <c r="X1601" i="697"/>
  <c r="X1407" i="697"/>
  <c r="X1415" i="697"/>
  <c r="X1574" i="697"/>
  <c r="X1385" i="697"/>
  <c r="X1558" i="697"/>
  <c r="X1569" i="697"/>
  <c r="X1530" i="697"/>
  <c r="X1484" i="697"/>
  <c r="X1516" i="697"/>
  <c r="X1425" i="697"/>
  <c r="X1521" i="697"/>
  <c r="X1341" i="697"/>
  <c r="X1479" i="697"/>
  <c r="X1429" i="697"/>
  <c r="X1386" i="697"/>
  <c r="X1400" i="697"/>
  <c r="X1465" i="697"/>
  <c r="X1399" i="697"/>
  <c r="X1313" i="697"/>
  <c r="X1309" i="697"/>
  <c r="X1418" i="697"/>
  <c r="X1413" i="697"/>
  <c r="X1396" i="697"/>
  <c r="X1451" i="697"/>
  <c r="X1441" i="697"/>
  <c r="X1261" i="697"/>
  <c r="X1282" i="697"/>
  <c r="X1260" i="697"/>
  <c r="X1251" i="697"/>
  <c r="X1244" i="697"/>
  <c r="X1464" i="697"/>
  <c r="X1249" i="697"/>
  <c r="X1233" i="697"/>
  <c r="X1360" i="697"/>
  <c r="X1226" i="697"/>
  <c r="X1339" i="697"/>
  <c r="X1257" i="697"/>
  <c r="X1204" i="697"/>
  <c r="X1242" i="697"/>
  <c r="X1200" i="697"/>
  <c r="X1358" i="697"/>
  <c r="X1439" i="697"/>
  <c r="X1186" i="697"/>
  <c r="X1378" i="697"/>
  <c r="X1329" i="697"/>
  <c r="X1299" i="697"/>
  <c r="X1268" i="697"/>
  <c r="X1298" i="697"/>
  <c r="X1154" i="697"/>
  <c r="X1160" i="697"/>
  <c r="X1327" i="697"/>
  <c r="X1207" i="697"/>
  <c r="X1174" i="697"/>
  <c r="X1123" i="697"/>
  <c r="X1119" i="697"/>
  <c r="Y1610" i="697"/>
  <c r="X1610" i="697"/>
  <c r="Y1549" i="697"/>
  <c r="X1549" i="697"/>
  <c r="Y1621" i="697"/>
  <c r="Y1568" i="697"/>
  <c r="Y1530" i="697"/>
  <c r="Y1516" i="697"/>
  <c r="Y1521" i="697"/>
  <c r="Y1479" i="697"/>
  <c r="Y1429" i="697"/>
  <c r="Y1400" i="697"/>
  <c r="Y1399" i="697"/>
  <c r="Y1309" i="697"/>
  <c r="Y1396" i="697"/>
  <c r="Y1451" i="697"/>
  <c r="Y1242" i="697"/>
  <c r="Y1186" i="697"/>
  <c r="Y1207" i="697"/>
  <c r="X1460" i="697"/>
  <c r="X1565" i="697"/>
  <c r="X1383" i="697"/>
  <c r="X1492" i="697"/>
  <c r="X1219" i="697"/>
  <c r="X1165" i="697"/>
  <c r="Y1471" i="697"/>
  <c r="X1471" i="697"/>
  <c r="Y1543" i="697"/>
  <c r="X1543" i="697"/>
  <c r="Y1463" i="697"/>
  <c r="X1463" i="697"/>
  <c r="Y1575" i="697"/>
  <c r="X1575" i="697"/>
  <c r="Y1500" i="697"/>
  <c r="Y1601" i="697"/>
  <c r="Y1415" i="697"/>
  <c r="Y1385" i="697"/>
  <c r="Y1569" i="697"/>
  <c r="Y1282" i="697"/>
  <c r="Y1251" i="697"/>
  <c r="Y1244" i="697"/>
  <c r="Y1249" i="697"/>
  <c r="Y1233" i="697"/>
  <c r="Y1360" i="697"/>
  <c r="Y1226" i="697"/>
  <c r="Y1339" i="697"/>
  <c r="Y1204" i="697"/>
  <c r="Y1439" i="697"/>
  <c r="Y1299" i="697"/>
  <c r="Y1298" i="697"/>
  <c r="Y1327" i="697"/>
  <c r="Y1119" i="697"/>
  <c r="X1551" i="697"/>
  <c r="X1587" i="697"/>
  <c r="X1467" i="697"/>
  <c r="X1566" i="697"/>
  <c r="X1589" i="697"/>
  <c r="X1417" i="697"/>
  <c r="Y1532" i="697"/>
  <c r="X1532" i="697"/>
  <c r="Y1495" i="697"/>
  <c r="X1495" i="697"/>
  <c r="Y1593" i="697"/>
  <c r="X1593" i="697"/>
  <c r="X1477" i="697"/>
  <c r="Y1431" i="697"/>
  <c r="X1431" i="697"/>
  <c r="Y1563" i="697"/>
  <c r="Y1490" i="697"/>
  <c r="Y1407" i="697"/>
  <c r="Y1574" i="697"/>
  <c r="Y1558" i="697"/>
  <c r="Y1261" i="697"/>
  <c r="Y1260" i="697"/>
  <c r="Y1464" i="697"/>
  <c r="Y1477" i="697"/>
  <c r="Y1200" i="697"/>
  <c r="Y1378" i="697"/>
  <c r="Y1154" i="697"/>
  <c r="Y1174" i="697"/>
  <c r="X1597" i="697"/>
  <c r="X1614" i="697"/>
  <c r="X1550" i="697"/>
  <c r="X1576" i="697"/>
  <c r="X1462" i="697"/>
  <c r="X1447" i="697"/>
  <c r="X1444" i="697"/>
  <c r="X1405" i="697"/>
  <c r="Y1447" i="697"/>
  <c r="X1600" i="697"/>
  <c r="X1333" i="697"/>
  <c r="X1307" i="697"/>
  <c r="Y1307" i="697"/>
  <c r="X1319" i="697"/>
  <c r="X1567" i="697"/>
  <c r="X1592" i="697"/>
  <c r="X1523" i="697"/>
  <c r="X1392" i="697"/>
  <c r="X1518" i="697"/>
  <c r="X1362" i="697"/>
  <c r="X1475" i="697"/>
  <c r="X1351" i="697"/>
  <c r="X1316" i="697"/>
  <c r="X1514" i="697"/>
  <c r="X1306" i="697"/>
  <c r="X1382" i="697"/>
  <c r="X1245" i="697"/>
  <c r="X1344" i="697"/>
  <c r="X1225" i="697"/>
  <c r="X1223" i="697"/>
  <c r="X1278" i="697"/>
  <c r="X1324" i="697"/>
  <c r="X1196" i="697"/>
  <c r="X1365" i="697"/>
  <c r="X1122" i="697"/>
  <c r="Y1607" i="697"/>
  <c r="X1607" i="697"/>
  <c r="X1540" i="697"/>
  <c r="Y1540" i="697"/>
  <c r="Y1470" i="697"/>
  <c r="X1470" i="697"/>
  <c r="Y1426" i="697"/>
  <c r="X1426" i="697"/>
  <c r="X1419" i="697"/>
  <c r="X1438" i="697"/>
  <c r="X1391" i="697"/>
  <c r="X1483" i="697"/>
  <c r="Y1483" i="697"/>
  <c r="X1458" i="697"/>
  <c r="X1553" i="697"/>
  <c r="X1352" i="697"/>
  <c r="Y1546" i="697"/>
  <c r="X1546" i="697"/>
  <c r="Y1577" i="697"/>
  <c r="X1577" i="697"/>
  <c r="Y1409" i="697"/>
  <c r="X1409" i="697"/>
  <c r="X1491" i="697"/>
  <c r="Y1421" i="697"/>
  <c r="X1421" i="697"/>
  <c r="X1498" i="697"/>
  <c r="X1570" i="697"/>
  <c r="X1356" i="697"/>
  <c r="Y1419" i="697"/>
  <c r="Y1498" i="697"/>
  <c r="Y1391" i="697"/>
  <c r="Y1444" i="697"/>
  <c r="Y1438" i="697"/>
  <c r="Y1600" i="697"/>
  <c r="Y1319" i="697"/>
  <c r="X1428" i="697"/>
  <c r="X1380" i="697"/>
  <c r="X1259" i="697"/>
  <c r="X1301" i="697"/>
  <c r="X1335" i="697"/>
  <c r="Y1583" i="697"/>
  <c r="X1583" i="697"/>
  <c r="X1542" i="697"/>
  <c r="Y1538" i="697"/>
  <c r="X1538" i="697"/>
  <c r="Y1606" i="697"/>
  <c r="X1606" i="697"/>
  <c r="X1562" i="697"/>
  <c r="Y1562" i="697"/>
  <c r="Y1450" i="697"/>
  <c r="X1450" i="697"/>
  <c r="X1489" i="697"/>
  <c r="X1522" i="697"/>
  <c r="X1406" i="697"/>
  <c r="X1605" i="697"/>
  <c r="X1557" i="697"/>
  <c r="X1376" i="697"/>
  <c r="X1390" i="697"/>
  <c r="X1343" i="697"/>
  <c r="X1515" i="697"/>
  <c r="X1580" i="697"/>
  <c r="X1346" i="697"/>
  <c r="X1350" i="697"/>
  <c r="X1353" i="697"/>
  <c r="X1315" i="697"/>
  <c r="X1311" i="697"/>
  <c r="X1304" i="697"/>
  <c r="X1291" i="697"/>
  <c r="X1397" i="697"/>
  <c r="X1442" i="697"/>
  <c r="X1286" i="697"/>
  <c r="X1579" i="697"/>
  <c r="X1433" i="697"/>
  <c r="Y1433" i="697"/>
  <c r="X1280" i="697"/>
  <c r="Y1280" i="697"/>
  <c r="X1375" i="697"/>
  <c r="X1246" i="697"/>
  <c r="Y1246" i="697"/>
  <c r="X1247" i="697"/>
  <c r="Y1247" i="697"/>
  <c r="Y1236" i="697"/>
  <c r="X1236" i="697"/>
  <c r="Y1325" i="697"/>
  <c r="X1325" i="697"/>
  <c r="X1269" i="697"/>
  <c r="Y1269" i="697"/>
  <c r="X1394" i="697"/>
  <c r="Y1394" i="697"/>
  <c r="Y1303" i="697"/>
  <c r="X1303" i="697"/>
  <c r="X1211" i="697"/>
  <c r="Y1211" i="697"/>
  <c r="X1373" i="697"/>
  <c r="Y1373" i="697"/>
  <c r="X1218" i="697"/>
  <c r="Y1218" i="697"/>
  <c r="X1220" i="697"/>
  <c r="Y1220" i="697"/>
  <c r="X1222" i="697"/>
  <c r="Y1222" i="697"/>
  <c r="X1202" i="697"/>
  <c r="Y1202" i="697"/>
  <c r="X1188" i="697"/>
  <c r="Y1188" i="697"/>
  <c r="X1357" i="697"/>
  <c r="Y1357" i="697"/>
  <c r="Y1367" i="697"/>
  <c r="X1367" i="697"/>
  <c r="X1175" i="697"/>
  <c r="Y1175" i="697"/>
  <c r="X1330" i="697"/>
  <c r="Y1330" i="697"/>
  <c r="Y1276" i="697"/>
  <c r="X1276" i="697"/>
  <c r="X1195" i="697"/>
  <c r="Y1195" i="697"/>
  <c r="X1334" i="697"/>
  <c r="Y1334" i="697"/>
  <c r="Y1142" i="697"/>
  <c r="X1142" i="697"/>
  <c r="X1140" i="697"/>
  <c r="Y1140" i="697"/>
  <c r="X1137" i="697"/>
  <c r="Y1137" i="697"/>
  <c r="X1235" i="697"/>
  <c r="Y1235" i="697"/>
  <c r="X1121" i="697"/>
  <c r="Y1121" i="697"/>
  <c r="X1241" i="697"/>
  <c r="X1633" i="697"/>
  <c r="X1453" i="697"/>
  <c r="X1524" i="697"/>
  <c r="X1430" i="697"/>
  <c r="X1427" i="697"/>
  <c r="X1422" i="697"/>
  <c r="X1416" i="697"/>
  <c r="X1571" i="697"/>
  <c r="X1408" i="697"/>
  <c r="X1443" i="697"/>
  <c r="X1554" i="697"/>
  <c r="X1387" i="697"/>
  <c r="X1486" i="697"/>
  <c r="X1436" i="697"/>
  <c r="X1404" i="697"/>
  <c r="X1485" i="697"/>
  <c r="X1481" i="697"/>
  <c r="X1480" i="697"/>
  <c r="X1473" i="697"/>
  <c r="X1332" i="697"/>
  <c r="X1478" i="697"/>
  <c r="X1401" i="697"/>
  <c r="X1414" i="697"/>
  <c r="X1310" i="697"/>
  <c r="X1389" i="697"/>
  <c r="X1288" i="697"/>
  <c r="X1287" i="697"/>
  <c r="X1305" i="697"/>
  <c r="X1264" i="697"/>
  <c r="X1283" i="697"/>
  <c r="X1279" i="697"/>
  <c r="X1381" i="697"/>
  <c r="X1410" i="697"/>
  <c r="X1374" i="697"/>
  <c r="X1234" i="697"/>
  <c r="X1361" i="697"/>
  <c r="X1379" i="697"/>
  <c r="X1210" i="697"/>
  <c r="X1209" i="697"/>
  <c r="X1167" i="697"/>
  <c r="Y1598" i="697"/>
  <c r="Y1544" i="697"/>
  <c r="Y1459" i="697"/>
  <c r="Y1453" i="697"/>
  <c r="Y1416" i="697"/>
  <c r="Y1571" i="697"/>
  <c r="Y1408" i="697"/>
  <c r="Y1443" i="697"/>
  <c r="Y1554" i="697"/>
  <c r="Y1387" i="697"/>
  <c r="Y1486" i="697"/>
  <c r="Y1436" i="697"/>
  <c r="Y1404" i="697"/>
  <c r="Y1485" i="697"/>
  <c r="Y1481" i="697"/>
  <c r="Y1480" i="697"/>
  <c r="Y1473" i="697"/>
  <c r="Y1332" i="697"/>
  <c r="Y1478" i="697"/>
  <c r="Y1401" i="697"/>
  <c r="Y1414" i="697"/>
  <c r="Y1310" i="697"/>
  <c r="Y1389" i="697"/>
  <c r="Y1288" i="697"/>
  <c r="Y1287" i="697"/>
  <c r="Y1305" i="697"/>
  <c r="Y1264" i="697"/>
  <c r="Y1283" i="697"/>
  <c r="Y1279" i="697"/>
  <c r="Y1381" i="697"/>
  <c r="Y1410" i="697"/>
  <c r="Y1374" i="697"/>
  <c r="Y1234" i="697"/>
  <c r="Y1361" i="697"/>
  <c r="Y1379" i="697"/>
  <c r="Y1210" i="697"/>
  <c r="Y1209" i="697"/>
  <c r="X1469" i="697"/>
  <c r="X1541" i="697"/>
  <c r="X1456" i="697"/>
  <c r="X1525" i="697"/>
  <c r="X1611" i="697"/>
  <c r="X1446" i="697"/>
  <c r="X1588" i="697"/>
  <c r="X1393" i="697"/>
  <c r="X1487" i="697"/>
  <c r="X1517" i="697"/>
  <c r="X1474" i="697"/>
  <c r="X1424" i="697"/>
  <c r="X1318" i="697"/>
  <c r="X1347" i="697"/>
  <c r="X1314" i="697"/>
  <c r="X1317" i="697"/>
  <c r="X1388" i="697"/>
  <c r="X1455" i="697"/>
  <c r="X1265" i="697"/>
  <c r="X1432" i="697"/>
  <c r="X1363" i="697"/>
  <c r="X1423" i="697"/>
  <c r="X1440" i="697"/>
  <c r="X1285" i="697"/>
  <c r="X1340" i="697"/>
  <c r="X1205" i="697"/>
  <c r="Y1511" i="697"/>
  <c r="Y1427" i="697"/>
  <c r="Y1422" i="697"/>
  <c r="Y1512" i="697"/>
  <c r="X1512" i="697"/>
  <c r="Y1507" i="697"/>
  <c r="X1507" i="697"/>
  <c r="X1457" i="697"/>
  <c r="X1461" i="697"/>
  <c r="X1448" i="697"/>
  <c r="X1488" i="697"/>
  <c r="X1384" i="697"/>
  <c r="X1402" i="697"/>
  <c r="X1466" i="697"/>
  <c r="X1578" i="697"/>
  <c r="X1349" i="697"/>
  <c r="X1398" i="697"/>
  <c r="X1435" i="697"/>
  <c r="X1434" i="697"/>
  <c r="X1370" i="697"/>
  <c r="X1243" i="697"/>
  <c r="X1227" i="697"/>
  <c r="X1224" i="697"/>
  <c r="X1199" i="697"/>
  <c r="X1368" i="697"/>
  <c r="X1328" i="697"/>
  <c r="X1159" i="697"/>
  <c r="X1129" i="697"/>
  <c r="Y1241" i="697"/>
  <c r="X1609" i="697"/>
  <c r="X1599" i="697"/>
  <c r="Y1599" i="697"/>
  <c r="Y1609" i="697"/>
  <c r="X1506" i="697"/>
  <c r="X1502" i="697"/>
  <c r="X1519" i="697"/>
  <c r="P1519" i="697" s="1"/>
  <c r="Q1519" i="697" s="1"/>
  <c r="R1519" i="697" s="1"/>
  <c r="X1552" i="697"/>
  <c r="P1552" i="697" s="1"/>
  <c r="Q1552" i="697" s="1"/>
  <c r="D1615" i="697" s="1"/>
  <c r="X1561" i="697"/>
  <c r="X1508" i="697"/>
  <c r="X1504" i="697"/>
  <c r="X1619" i="697"/>
  <c r="P1619" i="697" s="1"/>
  <c r="Q1619" i="697" s="1"/>
  <c r="X1603" i="697"/>
  <c r="Y1603" i="697"/>
  <c r="D1344" i="697"/>
  <c r="D915" i="697"/>
  <c r="D1071" i="697"/>
  <c r="D1525" i="697"/>
  <c r="D892" i="697"/>
  <c r="D1330" i="697"/>
  <c r="D1489" i="697"/>
  <c r="D524" i="697"/>
  <c r="D889" i="697"/>
  <c r="D1296" i="697"/>
  <c r="D90" i="697"/>
  <c r="D526" i="697"/>
  <c r="D890" i="697"/>
  <c r="D85" i="697"/>
  <c r="D893" i="697"/>
  <c r="D1300" i="697"/>
  <c r="D1480" i="697"/>
  <c r="D1486" i="697"/>
  <c r="D1614" i="697"/>
  <c r="D1543" i="697"/>
  <c r="D1126" i="697"/>
  <c r="D1222" i="697"/>
  <c r="D1352" i="697"/>
  <c r="D1438" i="697"/>
  <c r="D1531" i="697"/>
  <c r="D1185" i="697"/>
  <c r="D1542" i="697"/>
  <c r="D839" i="697"/>
  <c r="R1552" i="697" l="1"/>
  <c r="D1560" i="697"/>
  <c r="D1608" i="697"/>
  <c r="R1619" i="697"/>
  <c r="P1512" i="697"/>
  <c r="Q1512" i="697" s="1"/>
  <c r="R1512" i="697" s="1"/>
  <c r="P1513" i="697"/>
  <c r="Q1513" i="697" s="1"/>
  <c r="R1513" i="697" s="1"/>
  <c r="P1598" i="697"/>
  <c r="Q1598" i="697" s="1"/>
  <c r="R1598" i="697" s="1"/>
  <c r="D76" i="697"/>
  <c r="D377" i="697"/>
  <c r="D670" i="697"/>
  <c r="D673" i="697"/>
  <c r="D678" i="697"/>
  <c r="D829" i="697"/>
  <c r="D1271" i="697"/>
  <c r="D1120" i="697"/>
  <c r="D1393" i="697"/>
  <c r="D210" i="697"/>
  <c r="D830" i="697"/>
  <c r="D1128" i="697"/>
  <c r="D1430" i="697"/>
  <c r="D610" i="697"/>
  <c r="D690" i="697"/>
  <c r="D1047" i="697"/>
  <c r="D1153" i="697"/>
  <c r="D1394" i="697"/>
  <c r="D1245" i="697"/>
  <c r="D1284" i="697"/>
  <c r="D1522" i="697"/>
  <c r="D1416" i="697"/>
  <c r="D1524" i="697"/>
  <c r="D217" i="697"/>
  <c r="D669" i="697"/>
  <c r="D685" i="697"/>
  <c r="D1270" i="697"/>
  <c r="D1521" i="697"/>
  <c r="D1523" i="697"/>
  <c r="D1419" i="697"/>
  <c r="P1599" i="697"/>
  <c r="Q1599" i="697" s="1"/>
  <c r="R1599" i="697" s="1"/>
  <c r="D837" i="697"/>
  <c r="D838" i="697"/>
  <c r="D1086" i="697"/>
  <c r="D1320" i="697"/>
  <c r="D1580" i="697"/>
  <c r="D530" i="697"/>
  <c r="D1088" i="697"/>
  <c r="D1578" i="697"/>
  <c r="D1581" i="697"/>
  <c r="D394" i="697"/>
  <c r="D395" i="697"/>
  <c r="D1321" i="697"/>
  <c r="D1087" i="697"/>
  <c r="D493" i="697"/>
  <c r="D680" i="697"/>
  <c r="D682" i="697"/>
  <c r="D1070" i="697"/>
  <c r="D1193" i="697"/>
  <c r="D1600" i="697"/>
  <c r="D136" i="697"/>
  <c r="D342" i="697"/>
  <c r="D490" i="697"/>
  <c r="D492" i="697"/>
  <c r="D494" i="697"/>
  <c r="D952" i="697"/>
  <c r="D953" i="697"/>
  <c r="D1366" i="697"/>
  <c r="D1493" i="697"/>
  <c r="D1602" i="697"/>
  <c r="D1603" i="697"/>
  <c r="D331" i="697"/>
  <c r="D341" i="697"/>
  <c r="D343" i="697"/>
  <c r="D347" i="697"/>
  <c r="D348" i="697"/>
  <c r="D1190" i="697"/>
  <c r="D1191" i="697"/>
  <c r="D123" i="697"/>
  <c r="D487" i="697"/>
  <c r="D679" i="697"/>
  <c r="D684" i="697"/>
  <c r="D1069" i="697"/>
  <c r="D1601" i="697"/>
  <c r="D1492" i="697"/>
  <c r="D48" i="697"/>
  <c r="D60" i="697"/>
  <c r="D256" i="697"/>
  <c r="D263" i="697"/>
  <c r="D423" i="697"/>
  <c r="D428" i="697"/>
  <c r="D672" i="697"/>
  <c r="D689" i="697"/>
  <c r="D1027" i="697"/>
  <c r="D1553" i="697"/>
  <c r="D61" i="697"/>
  <c r="D254" i="697"/>
  <c r="D260" i="697"/>
  <c r="D422" i="697"/>
  <c r="D434" i="697"/>
  <c r="D674" i="697"/>
  <c r="D686" i="697"/>
  <c r="D687" i="697"/>
  <c r="D1030" i="697"/>
  <c r="D1066" i="697"/>
  <c r="D46" i="697"/>
  <c r="D58" i="697"/>
  <c r="D62" i="697"/>
  <c r="D255" i="697"/>
  <c r="D259" i="697"/>
  <c r="D429" i="697"/>
  <c r="D431" i="697"/>
  <c r="D432" i="697"/>
  <c r="D433" i="697"/>
  <c r="D435" i="697"/>
  <c r="D676" i="697"/>
  <c r="D692" i="697"/>
  <c r="D694" i="697"/>
  <c r="D1029" i="697"/>
  <c r="D1067" i="697"/>
  <c r="D1186" i="697"/>
  <c r="D47" i="697"/>
  <c r="D59" i="697"/>
  <c r="D63" i="697"/>
  <c r="D257" i="697"/>
  <c r="D258" i="697"/>
  <c r="D427" i="697"/>
  <c r="D430" i="697"/>
  <c r="D436" i="697"/>
  <c r="D677" i="697"/>
  <c r="D683" i="697"/>
  <c r="D688" i="697"/>
  <c r="D695" i="697"/>
  <c r="D1372" i="697"/>
  <c r="D1554" i="697"/>
  <c r="D338" i="697"/>
  <c r="D340" i="697"/>
  <c r="D407" i="697"/>
  <c r="D760" i="697"/>
  <c r="D1604" i="697"/>
  <c r="D1367" i="697"/>
  <c r="D1605" i="697"/>
  <c r="D1606" i="697"/>
  <c r="D176" i="697"/>
  <c r="D639" i="697"/>
  <c r="D717" i="697"/>
  <c r="D984" i="697"/>
  <c r="D1240" i="697"/>
  <c r="D1369" i="697"/>
  <c r="D1434" i="697"/>
  <c r="D1435" i="697"/>
  <c r="D333" i="697"/>
  <c r="D629" i="697"/>
  <c r="D1022" i="697"/>
  <c r="D1096" i="697"/>
  <c r="D1097" i="697"/>
  <c r="D332" i="697"/>
  <c r="D502" i="697"/>
  <c r="D637" i="697"/>
  <c r="D638" i="697"/>
  <c r="D755" i="697"/>
  <c r="D759" i="697"/>
  <c r="D868" i="697"/>
  <c r="D1239" i="697"/>
  <c r="D751" i="697"/>
  <c r="D1094" i="697"/>
  <c r="D1595" i="697"/>
  <c r="D1091" i="697"/>
  <c r="D197" i="697"/>
  <c r="D624" i="697"/>
  <c r="D854" i="697"/>
  <c r="D859" i="697"/>
  <c r="D1032" i="697"/>
  <c r="D1546" i="697"/>
  <c r="D75" i="697"/>
  <c r="D625" i="697"/>
  <c r="D525" i="697"/>
  <c r="D862" i="697"/>
  <c r="D865" i="697"/>
  <c r="D1326" i="697"/>
  <c r="D1475" i="697"/>
  <c r="D1545" i="697"/>
  <c r="D443" i="697"/>
  <c r="D1229" i="697"/>
  <c r="D1329" i="697"/>
  <c r="D262" i="697"/>
  <c r="D301" i="697"/>
  <c r="D707" i="697"/>
  <c r="D1031" i="697"/>
  <c r="D1206" i="697"/>
  <c r="D1231" i="697"/>
  <c r="D1417" i="697"/>
  <c r="D391" i="697"/>
  <c r="D1092" i="697"/>
  <c r="D128" i="697"/>
  <c r="D723" i="697"/>
  <c r="D1256" i="697"/>
  <c r="D1574" i="697"/>
  <c r="D722" i="697"/>
  <c r="D319" i="697"/>
  <c r="D846" i="697"/>
  <c r="D948" i="697"/>
  <c r="D1103" i="697"/>
  <c r="D174" i="697"/>
  <c r="D177" i="697"/>
  <c r="D721" i="697"/>
  <c r="D842" i="697"/>
  <c r="D175" i="697"/>
  <c r="D471" i="697"/>
  <c r="D1104" i="697"/>
  <c r="D1429" i="697"/>
  <c r="D1610" i="697"/>
  <c r="D1021" i="697"/>
  <c r="D531" i="697"/>
  <c r="D1561" i="697"/>
  <c r="D841" i="697"/>
  <c r="D42" i="697"/>
  <c r="D488" i="697"/>
  <c r="D1577" i="697"/>
  <c r="D446" i="697"/>
  <c r="D1538" i="697"/>
  <c r="D1194" i="697"/>
  <c r="D1374" i="697"/>
  <c r="D2" i="697"/>
  <c r="D834" i="697"/>
  <c r="D632" i="697"/>
  <c r="D1371" i="697"/>
  <c r="D1459" i="697"/>
  <c r="D227" i="697"/>
  <c r="D540" i="697"/>
  <c r="D727" i="697"/>
  <c r="D972" i="697"/>
  <c r="D15" i="697"/>
  <c r="D50" i="697"/>
  <c r="D114" i="697"/>
  <c r="D142" i="697"/>
  <c r="D190" i="697"/>
  <c r="D289" i="697"/>
  <c r="D647" i="697"/>
  <c r="D775" i="697"/>
  <c r="D875" i="697"/>
  <c r="D1011" i="697"/>
  <c r="D1218" i="697"/>
  <c r="D1346" i="697"/>
  <c r="D1444" i="697"/>
  <c r="D51" i="697"/>
  <c r="D143" i="697"/>
  <c r="D187" i="697"/>
  <c r="D191" i="697"/>
  <c r="D352" i="697"/>
  <c r="D447" i="697"/>
  <c r="D549" i="697"/>
  <c r="D648" i="697"/>
  <c r="D776" i="697"/>
  <c r="D876" i="697"/>
  <c r="D1145" i="697"/>
  <c r="D1125" i="697"/>
  <c r="D1345" i="697"/>
  <c r="D1533" i="697"/>
  <c r="D22" i="697"/>
  <c r="D144" i="697"/>
  <c r="D188" i="697"/>
  <c r="D287" i="697"/>
  <c r="D353" i="697"/>
  <c r="D448" i="697"/>
  <c r="D550" i="697"/>
  <c r="D1012" i="697"/>
  <c r="D49" i="697"/>
  <c r="D52" i="697"/>
  <c r="D141" i="697"/>
  <c r="D150" i="697"/>
  <c r="D189" i="697"/>
  <c r="D288" i="697"/>
  <c r="D354" i="697"/>
  <c r="D774" i="697"/>
  <c r="D1347" i="697"/>
  <c r="D1443" i="697"/>
  <c r="D1219" i="697"/>
  <c r="D82" i="697"/>
  <c r="D279" i="697"/>
  <c r="D1562" i="697"/>
  <c r="D280" i="697"/>
  <c r="D281" i="697"/>
  <c r="D614" i="697"/>
  <c r="D616" i="697"/>
  <c r="D1564" i="697"/>
  <c r="D283" i="697"/>
  <c r="D617" i="697"/>
  <c r="D985" i="697"/>
  <c r="D1252" i="697"/>
  <c r="D615" i="697"/>
  <c r="D986" i="697"/>
  <c r="D988" i="697"/>
  <c r="D1100" i="697"/>
  <c r="D1563" i="697"/>
  <c r="D592" i="697"/>
  <c r="D645" i="697"/>
  <c r="D793" i="697"/>
  <c r="D855" i="697"/>
  <c r="D794" i="697"/>
  <c r="D933" i="697"/>
  <c r="D1433" i="697"/>
  <c r="D1607" i="697"/>
  <c r="D1609" i="697"/>
  <c r="D373" i="697"/>
  <c r="D406" i="697"/>
  <c r="D860" i="697"/>
  <c r="D987" i="697"/>
  <c r="D1099" i="697"/>
  <c r="D1214" i="697"/>
  <c r="D1368" i="697"/>
  <c r="D1590" i="697"/>
  <c r="D1592" i="697"/>
  <c r="D93" i="697"/>
  <c r="D593" i="697"/>
  <c r="D646" i="697"/>
  <c r="D705" i="697"/>
  <c r="D706" i="697"/>
  <c r="D930" i="697"/>
  <c r="D374" i="697"/>
  <c r="D894" i="697"/>
  <c r="D1432" i="697"/>
  <c r="D1478" i="697"/>
  <c r="D1589" i="697"/>
  <c r="D1593" i="697"/>
  <c r="D1591" i="697"/>
  <c r="D469" i="697"/>
  <c r="D595" i="697"/>
  <c r="D992" i="697"/>
  <c r="D1357" i="697"/>
  <c r="D88" i="697"/>
  <c r="D538" i="697"/>
  <c r="D1023" i="697"/>
  <c r="D232" i="697"/>
  <c r="D397" i="697"/>
  <c r="D470" i="697"/>
  <c r="D472" i="697"/>
  <c r="D539" i="697"/>
  <c r="D314" i="697"/>
  <c r="D473" i="697"/>
  <c r="D1359" i="697"/>
  <c r="D1575" i="697"/>
  <c r="D1383" i="697"/>
  <c r="D79" i="697"/>
  <c r="D504" i="697"/>
  <c r="D627" i="697"/>
  <c r="D815" i="697"/>
  <c r="D816" i="697"/>
  <c r="D1322" i="697"/>
  <c r="D515" i="697"/>
  <c r="D1084" i="697"/>
  <c r="D505" i="697"/>
  <c r="D1093" i="697"/>
  <c r="D1323" i="697"/>
  <c r="D671" i="697"/>
  <c r="D817" i="697"/>
  <c r="D1090" i="697"/>
  <c r="D1619" i="697"/>
  <c r="D1621" i="697"/>
  <c r="D312" i="697"/>
  <c r="D1168" i="697"/>
  <c r="D623" i="697"/>
  <c r="D1162" i="697"/>
  <c r="D1497" i="697"/>
  <c r="D1588" i="697"/>
  <c r="D207" i="697"/>
  <c r="D451" i="697"/>
  <c r="D1235" i="697"/>
  <c r="D45" i="697"/>
  <c r="D1076" i="697"/>
  <c r="D1370" i="697"/>
  <c r="D303" i="697"/>
  <c r="D749" i="697"/>
  <c r="D881" i="697"/>
  <c r="D1000" i="697"/>
  <c r="D1544" i="697"/>
  <c r="D1474" i="697"/>
  <c r="D253" i="697"/>
  <c r="D1102" i="697"/>
  <c r="D1192" i="697"/>
  <c r="D1380" i="697"/>
  <c r="D1579" i="697"/>
  <c r="D213" i="697"/>
  <c r="D1327" i="697"/>
  <c r="D836" i="697"/>
  <c r="D840" i="697"/>
  <c r="D718" i="697"/>
  <c r="D1294" i="697"/>
  <c r="D1303" i="697"/>
  <c r="D1557" i="697"/>
  <c r="D86" i="697"/>
  <c r="D284" i="697"/>
  <c r="D285" i="697"/>
  <c r="D485" i="697"/>
  <c r="D980" i="697"/>
  <c r="D1299" i="697"/>
  <c r="D1558" i="697"/>
  <c r="D1540" i="697"/>
  <c r="D1437" i="697"/>
  <c r="D1172" i="697"/>
  <c r="D1113" i="697"/>
  <c r="D230" i="697"/>
  <c r="D233" i="697"/>
  <c r="D361" i="697"/>
  <c r="D364" i="697"/>
  <c r="D444" i="697"/>
  <c r="D445" i="697"/>
  <c r="D491" i="697"/>
  <c r="D554" i="697"/>
  <c r="D658" i="697"/>
  <c r="D756" i="697"/>
  <c r="D870" i="697"/>
  <c r="D1157" i="697"/>
  <c r="D1216" i="697"/>
  <c r="D1570" i="697"/>
  <c r="D1583" i="697"/>
  <c r="D78" i="697"/>
  <c r="D231" i="697"/>
  <c r="D362" i="697"/>
  <c r="D765" i="697"/>
  <c r="D869" i="697"/>
  <c r="D981" i="697"/>
  <c r="D1085" i="697"/>
  <c r="D1089" i="697"/>
  <c r="D1158" i="697"/>
  <c r="D1328" i="697"/>
  <c r="D1382" i="697"/>
  <c r="D1582" i="697"/>
  <c r="D77" i="697"/>
  <c r="D80" i="697"/>
  <c r="D277" i="697"/>
  <c r="D363" i="697"/>
  <c r="D409" i="697"/>
  <c r="D757" i="697"/>
  <c r="D763" i="697"/>
  <c r="D766" i="697"/>
  <c r="D871" i="697"/>
  <c r="D1045" i="697"/>
  <c r="D1050" i="697"/>
  <c r="D1180" i="697"/>
  <c r="D1358" i="697"/>
  <c r="D234" i="697"/>
  <c r="D365" i="697"/>
  <c r="D410" i="697"/>
  <c r="D659" i="697"/>
  <c r="D770" i="697"/>
  <c r="D989" i="697"/>
  <c r="D994" i="697"/>
  <c r="D1044" i="697"/>
  <c r="D1217" i="697"/>
  <c r="D1361" i="697"/>
  <c r="D1414" i="697"/>
  <c r="D1571" i="697"/>
  <c r="D1584" i="697"/>
  <c r="D1569" i="697"/>
  <c r="D1360" i="697"/>
  <c r="D1465" i="697"/>
  <c r="D103" i="697"/>
  <c r="D108" i="697"/>
  <c r="D183" i="697"/>
  <c r="D265" i="697"/>
  <c r="D267" i="697"/>
  <c r="D270" i="697"/>
  <c r="D463" i="697"/>
  <c r="D468" i="697"/>
  <c r="D474" i="697"/>
  <c r="D558" i="697"/>
  <c r="D562" i="697"/>
  <c r="D568" i="697"/>
  <c r="D570" i="697"/>
  <c r="D574" i="697"/>
  <c r="D941" i="697"/>
  <c r="D1056" i="697"/>
  <c r="D1060" i="697"/>
  <c r="D1062" i="697"/>
  <c r="D1274" i="697"/>
  <c r="D1276" i="697"/>
  <c r="D1280" i="697"/>
  <c r="D1397" i="697"/>
  <c r="D1405" i="697"/>
  <c r="D1428" i="697"/>
  <c r="D104" i="697"/>
  <c r="D105" i="697"/>
  <c r="D109" i="697"/>
  <c r="D268" i="697"/>
  <c r="D271" i="697"/>
  <c r="D460" i="697"/>
  <c r="D464" i="697"/>
  <c r="D475" i="697"/>
  <c r="D479" i="697"/>
  <c r="D559" i="697"/>
  <c r="D563" i="697"/>
  <c r="D565" i="697"/>
  <c r="D747" i="697"/>
  <c r="D571" i="697"/>
  <c r="D575" i="697"/>
  <c r="D1053" i="697"/>
  <c r="D1057" i="697"/>
  <c r="D1063" i="697"/>
  <c r="D1275" i="697"/>
  <c r="D1277" i="697"/>
  <c r="D1278" i="697"/>
  <c r="D1281" i="697"/>
  <c r="D1398" i="697"/>
  <c r="D1402" i="697"/>
  <c r="D1461" i="697"/>
  <c r="D106" i="697"/>
  <c r="D110" i="697"/>
  <c r="D181" i="697"/>
  <c r="D269" i="697"/>
  <c r="D461" i="697"/>
  <c r="D476" i="697"/>
  <c r="D480" i="697"/>
  <c r="D560" i="697"/>
  <c r="D564" i="697"/>
  <c r="D566" i="697"/>
  <c r="D738" i="697"/>
  <c r="D572" i="697"/>
  <c r="D935" i="697"/>
  <c r="D937" i="697"/>
  <c r="D938" i="697"/>
  <c r="D1052" i="697"/>
  <c r="D1058" i="697"/>
  <c r="D1061" i="697"/>
  <c r="D111" i="697"/>
  <c r="D182" i="697"/>
  <c r="D185" i="697"/>
  <c r="D186" i="697"/>
  <c r="D462" i="697"/>
  <c r="D467" i="697"/>
  <c r="D477" i="697"/>
  <c r="D557" i="697"/>
  <c r="D561" i="697"/>
  <c r="D567" i="697"/>
  <c r="D573" i="697"/>
  <c r="D940" i="697"/>
  <c r="D1055" i="697"/>
  <c r="D1059" i="697"/>
  <c r="D1272" i="697"/>
  <c r="D1279" i="697"/>
  <c r="D1283" i="697"/>
  <c r="D1401" i="697"/>
  <c r="D1463" i="697"/>
  <c r="D1550" i="697"/>
  <c r="D1551" i="697"/>
  <c r="D1282" i="697"/>
  <c r="D1399" i="697"/>
  <c r="D1407" i="697"/>
  <c r="D1552" i="697"/>
  <c r="D1400" i="697"/>
  <c r="D1403" i="697"/>
  <c r="D1462" i="697"/>
  <c r="D1404" i="697"/>
  <c r="D1460" i="697"/>
  <c r="D1427" i="697"/>
  <c r="D1549" i="697"/>
  <c r="D424" i="697"/>
  <c r="D81" i="697"/>
  <c r="D1293" i="697"/>
  <c r="D426" i="697"/>
  <c r="D662" i="697"/>
  <c r="D1298" i="697"/>
  <c r="D275" i="697"/>
  <c r="D278" i="697"/>
  <c r="D665" i="697"/>
  <c r="D983" i="697"/>
  <c r="D1068" i="697"/>
  <c r="D1297" i="697"/>
  <c r="D1611" i="697"/>
  <c r="D239" i="697"/>
  <c r="D300" i="697"/>
  <c r="D356" i="697"/>
  <c r="D405" i="697"/>
  <c r="D668" i="697"/>
  <c r="D853" i="697"/>
  <c r="D1188" i="697"/>
  <c r="D1236" i="697"/>
  <c r="D1304" i="697"/>
  <c r="D537" i="697"/>
  <c r="D591" i="697"/>
  <c r="D798" i="697"/>
  <c r="D833" i="697"/>
  <c r="D888" i="697"/>
  <c r="D1237" i="697"/>
  <c r="D139" i="697"/>
  <c r="D180" i="697"/>
  <c r="D228" i="697"/>
  <c r="D440" i="697"/>
  <c r="D998" i="697"/>
  <c r="D1165" i="697"/>
  <c r="D8" i="697"/>
  <c r="D299" i="697"/>
  <c r="D521" i="697"/>
  <c r="D612" i="697"/>
  <c r="D777" i="697"/>
  <c r="D999" i="697"/>
  <c r="D1139" i="697"/>
  <c r="D1166" i="697"/>
  <c r="D1234" i="697"/>
  <c r="D1265" i="697"/>
  <c r="D1541" i="697"/>
  <c r="D1576" i="697"/>
  <c r="D122" i="697"/>
  <c r="D1101" i="697"/>
  <c r="D845" i="697"/>
  <c r="D843" i="697"/>
  <c r="D252" i="697"/>
  <c r="D307" i="697"/>
  <c r="D754" i="697"/>
  <c r="D1182" i="697"/>
  <c r="D308" i="697"/>
  <c r="D761" i="697"/>
  <c r="D762" i="697"/>
  <c r="D1183" i="697"/>
  <c r="D118" i="697"/>
  <c r="D119" i="697"/>
  <c r="D120" i="697"/>
  <c r="D102" i="697"/>
  <c r="D664" i="697"/>
  <c r="D1130" i="697"/>
  <c r="D1439" i="697"/>
  <c r="D117" i="697"/>
  <c r="D305" i="697"/>
  <c r="D380" i="697"/>
  <c r="D381" i="697"/>
  <c r="D527" i="697"/>
  <c r="D528" i="697"/>
  <c r="D858" i="697"/>
  <c r="D861" i="697"/>
  <c r="D990" i="697"/>
  <c r="D1024" i="697"/>
  <c r="D1441" i="697"/>
  <c r="D1633" i="697"/>
  <c r="D1530" i="697"/>
  <c r="D240" i="697"/>
  <c r="D337" i="697"/>
  <c r="D596" i="697"/>
  <c r="D879" i="697"/>
  <c r="D1048" i="697"/>
  <c r="D1215" i="697"/>
  <c r="D1483" i="697"/>
  <c r="D135" i="697"/>
  <c r="D344" i="697"/>
  <c r="D453" i="697"/>
  <c r="D455" i="697"/>
  <c r="D555" i="697"/>
  <c r="D594" i="697"/>
  <c r="D1049" i="697"/>
  <c r="D1184" i="697"/>
  <c r="D1331" i="697"/>
  <c r="D1482" i="697"/>
  <c r="D1567" i="697"/>
  <c r="D134" i="697"/>
  <c r="D172" i="697"/>
  <c r="D450" i="697"/>
  <c r="D693" i="697"/>
  <c r="D880" i="697"/>
  <c r="D1163" i="697"/>
  <c r="D1181" i="697"/>
  <c r="D241" i="697"/>
  <c r="D345" i="697"/>
  <c r="D454" i="697"/>
  <c r="D660" i="697"/>
  <c r="D1254" i="697"/>
  <c r="D1267" i="697"/>
  <c r="D1379" i="697"/>
  <c r="D1381" i="697"/>
  <c r="D1388" i="697"/>
  <c r="D1389" i="697"/>
  <c r="D1479" i="697"/>
  <c r="D1485" i="697"/>
  <c r="D1566" i="697"/>
  <c r="D1477" i="697"/>
  <c r="D1481" i="697"/>
  <c r="D1487" i="697"/>
  <c r="D1472" i="697"/>
  <c r="D1484" i="697"/>
  <c r="D1565" i="697"/>
  <c r="D1568" i="697"/>
  <c r="D396" i="697"/>
  <c r="D701" i="697"/>
  <c r="D286" i="697"/>
  <c r="D785" i="697"/>
  <c r="D1176" i="697"/>
  <c r="D1179" i="697"/>
  <c r="D1586" i="697"/>
  <c r="D1587" i="697"/>
  <c r="D914" i="697"/>
  <c r="D1174" i="697"/>
  <c r="D1436" i="697"/>
  <c r="D1532" i="697"/>
  <c r="D844" i="697"/>
  <c r="D121" i="697"/>
  <c r="D489" i="697"/>
  <c r="D835" i="697"/>
  <c r="D1509" i="697" l="1"/>
  <c r="G16" i="16"/>
  <c r="G18" i="16" s="1"/>
  <c r="G20" i="16" s="1"/>
  <c r="D1629" i="697"/>
  <c r="D1622" i="697"/>
  <c r="D1623" i="697"/>
  <c r="D767" i="697"/>
  <c r="D620" i="697"/>
  <c r="D92" i="697"/>
  <c r="D1597" i="697"/>
  <c r="D619" i="697"/>
  <c r="D618" i="697"/>
  <c r="D1054" i="697"/>
  <c r="D1424" i="697"/>
  <c r="D89" i="697"/>
  <c r="D621" i="697"/>
  <c r="D661" i="697"/>
  <c r="D1144" i="697"/>
  <c r="D1025" i="697"/>
  <c r="D83" i="697"/>
  <c r="D1598" i="697"/>
  <c r="D1112" i="697"/>
  <c r="D315" i="697"/>
  <c r="D995" i="697"/>
  <c r="D1596" i="697"/>
  <c r="D1599" i="697"/>
  <c r="D1051" i="697"/>
  <c r="D178" i="697"/>
  <c r="D1425" i="697"/>
  <c r="D1143" i="697"/>
  <c r="D91" i="697"/>
  <c r="D633" i="697"/>
  <c r="D1255" i="697"/>
  <c r="D1301" i="697"/>
  <c r="D906" i="697"/>
  <c r="D126" i="697"/>
  <c r="D768" i="697"/>
  <c r="F17" i="16"/>
  <c r="E17" i="16"/>
  <c r="D17" i="16"/>
  <c r="C17" i="16"/>
  <c r="B17" i="16"/>
  <c r="F16" i="16"/>
  <c r="E16" i="16"/>
  <c r="D16" i="16"/>
  <c r="C16" i="16"/>
  <c r="B16" i="16"/>
  <c r="F13" i="16"/>
  <c r="E13" i="16"/>
  <c r="D13" i="16"/>
  <c r="C13" i="16"/>
  <c r="B13" i="16"/>
  <c r="F12" i="16"/>
  <c r="F11" i="16"/>
  <c r="E764" i="6"/>
  <c r="E784" i="6"/>
  <c r="J784" i="6"/>
  <c r="K784" i="6"/>
  <c r="E783" i="6"/>
  <c r="J783" i="6"/>
  <c r="K783" i="6"/>
  <c r="E782" i="6"/>
  <c r="F782" i="6"/>
  <c r="J782" i="6"/>
  <c r="K782" i="6"/>
  <c r="E781" i="6"/>
  <c r="J781" i="6"/>
  <c r="K781" i="6"/>
  <c r="G10" i="16" l="1"/>
  <c r="B8" i="16"/>
  <c r="B9" i="16"/>
  <c r="AD3" i="157"/>
  <c r="A137" i="104" l="1"/>
  <c r="B137" i="104"/>
  <c r="C137" i="104"/>
  <c r="A136" i="104" l="1"/>
  <c r="B136" i="104"/>
  <c r="C136" i="104"/>
  <c r="T28" i="15"/>
  <c r="T24" i="15"/>
  <c r="T23" i="15"/>
  <c r="T22" i="15"/>
  <c r="T21" i="15"/>
  <c r="T19" i="15"/>
  <c r="T18" i="15"/>
  <c r="T17" i="15"/>
  <c r="T16" i="15"/>
  <c r="T14" i="15"/>
  <c r="T13" i="15"/>
  <c r="T12" i="15"/>
  <c r="T11" i="15"/>
  <c r="T10" i="15"/>
  <c r="T7" i="15"/>
  <c r="T5" i="15"/>
  <c r="T4" i="15"/>
  <c r="T3" i="15"/>
  <c r="T2" i="15"/>
  <c r="J780" i="6"/>
  <c r="K780" i="6"/>
  <c r="E780" i="6"/>
  <c r="J779" i="6" l="1"/>
  <c r="K779" i="6"/>
  <c r="F779" i="6"/>
  <c r="E779" i="6"/>
  <c r="J778" i="6"/>
  <c r="K778" i="6"/>
  <c r="F778" i="6"/>
  <c r="E778" i="6"/>
  <c r="E777" i="6" l="1"/>
  <c r="J777" i="6"/>
  <c r="K777" i="6"/>
  <c r="A135" i="104"/>
  <c r="B135" i="104"/>
  <c r="C135" i="104"/>
  <c r="D776" i="6"/>
  <c r="C776" i="6" s="1"/>
  <c r="A134" i="104"/>
  <c r="B134" i="104"/>
  <c r="C134" i="104"/>
  <c r="E776" i="6" l="1"/>
  <c r="J776" i="6"/>
  <c r="K776" i="6"/>
  <c r="I133" i="104" l="1"/>
  <c r="I132" i="104"/>
  <c r="I131" i="104"/>
  <c r="I130" i="104"/>
  <c r="A133" i="104"/>
  <c r="B133" i="104"/>
  <c r="C133" i="104"/>
  <c r="A132" i="104"/>
  <c r="B132" i="104"/>
  <c r="C132" i="104"/>
  <c r="C775" i="6"/>
  <c r="C774" i="6"/>
  <c r="J774" i="6" s="1"/>
  <c r="J773" i="6"/>
  <c r="K773" i="6"/>
  <c r="F773" i="6"/>
  <c r="E773" i="6"/>
  <c r="J775" i="6" l="1"/>
  <c r="K775" i="6"/>
  <c r="E775" i="6"/>
  <c r="E774" i="6"/>
  <c r="K774" i="6"/>
  <c r="J772" i="6" l="1"/>
  <c r="K772" i="6"/>
  <c r="F772" i="6"/>
  <c r="E772" i="6"/>
  <c r="J771" i="6"/>
  <c r="K771" i="6"/>
  <c r="F771" i="6"/>
  <c r="E771" i="6"/>
  <c r="C770" i="6" l="1"/>
  <c r="J770" i="6" s="1"/>
  <c r="F14" i="16"/>
  <c r="K770" i="6" l="1"/>
  <c r="E770" i="6"/>
  <c r="A131" i="104" l="1"/>
  <c r="B131" i="104"/>
  <c r="C131" i="104"/>
  <c r="A130" i="104"/>
  <c r="B130" i="104"/>
  <c r="C130" i="104"/>
  <c r="J769" i="6" l="1"/>
  <c r="E769" i="6"/>
  <c r="J768" i="6"/>
  <c r="K768" i="6"/>
  <c r="F768" i="6"/>
  <c r="E768" i="6"/>
  <c r="J767" i="6"/>
  <c r="K767" i="6"/>
  <c r="E767" i="6"/>
  <c r="K769" i="6" l="1"/>
  <c r="S28" i="15"/>
  <c r="E30" i="16"/>
  <c r="E24" i="16"/>
  <c r="E22" i="16"/>
  <c r="E11" i="16" l="1"/>
  <c r="E12" i="16"/>
  <c r="J766" i="6"/>
  <c r="K766" i="6"/>
  <c r="E766" i="6"/>
  <c r="E765" i="6"/>
  <c r="F765" i="6"/>
  <c r="J765" i="6"/>
  <c r="K765" i="6"/>
  <c r="J764" i="6"/>
  <c r="K764" i="6"/>
  <c r="I129" i="104" l="1"/>
  <c r="I128" i="104"/>
  <c r="I127" i="104"/>
  <c r="I126" i="104"/>
  <c r="I125" i="104"/>
  <c r="I124" i="104"/>
  <c r="I123" i="104"/>
  <c r="I122" i="104"/>
  <c r="I121" i="104"/>
  <c r="I120" i="104"/>
  <c r="A129" i="104" l="1"/>
  <c r="B129" i="104"/>
  <c r="C129" i="104"/>
  <c r="S2" i="15" l="1"/>
  <c r="S24" i="15"/>
  <c r="S23" i="15"/>
  <c r="S22" i="15"/>
  <c r="S21" i="15"/>
  <c r="S19" i="15"/>
  <c r="S18" i="15"/>
  <c r="S17" i="15"/>
  <c r="S16" i="15"/>
  <c r="S14" i="15"/>
  <c r="S13" i="15"/>
  <c r="S12" i="15"/>
  <c r="S11" i="15"/>
  <c r="S10" i="15"/>
  <c r="S7" i="15"/>
  <c r="S5" i="15"/>
  <c r="S4" i="15"/>
  <c r="S3" i="15"/>
  <c r="J763" i="6"/>
  <c r="K763" i="6"/>
  <c r="F763" i="6"/>
  <c r="E763" i="6"/>
  <c r="E762" i="6"/>
  <c r="J762" i="6"/>
  <c r="K762" i="6"/>
  <c r="E761" i="6"/>
  <c r="F761" i="6"/>
  <c r="J761" i="6"/>
  <c r="K761" i="6"/>
  <c r="D760" i="6"/>
  <c r="C760" i="6" s="1"/>
  <c r="A128" i="104"/>
  <c r="B128" i="104"/>
  <c r="C128" i="104"/>
  <c r="A127" i="104"/>
  <c r="B127" i="104"/>
  <c r="C127" i="104"/>
  <c r="A126" i="104"/>
  <c r="B126" i="104"/>
  <c r="C126" i="104"/>
  <c r="F787" i="6" l="1"/>
  <c r="U26" i="15"/>
  <c r="T26" i="15"/>
  <c r="F786" i="6"/>
  <c r="S26" i="15"/>
  <c r="F776" i="6"/>
  <c r="J760" i="6"/>
  <c r="F760" i="6"/>
  <c r="K760" i="6"/>
  <c r="E760" i="6"/>
  <c r="A125" i="104" l="1"/>
  <c r="B125" i="104"/>
  <c r="C125" i="104"/>
  <c r="J759" i="6" l="1"/>
  <c r="K759" i="6"/>
  <c r="F759" i="6"/>
  <c r="E759" i="6"/>
  <c r="D758" i="6"/>
  <c r="C758" i="6" s="1"/>
  <c r="J757" i="6"/>
  <c r="K757" i="6"/>
  <c r="F757" i="6"/>
  <c r="E757" i="6"/>
  <c r="C756" i="6"/>
  <c r="J755" i="6"/>
  <c r="K755" i="6"/>
  <c r="F755" i="6"/>
  <c r="E755" i="6"/>
  <c r="D754" i="6"/>
  <c r="C754" i="6" s="1"/>
  <c r="E744" i="6"/>
  <c r="E745" i="6"/>
  <c r="E747" i="6"/>
  <c r="E748" i="6"/>
  <c r="E749" i="6"/>
  <c r="E751" i="6"/>
  <c r="E753" i="6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8" i="6"/>
  <c r="E59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90" i="6"/>
  <c r="E691" i="6"/>
  <c r="E692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8" i="6"/>
  <c r="E729" i="6"/>
  <c r="E730" i="6"/>
  <c r="E732" i="6"/>
  <c r="E733" i="6"/>
  <c r="E734" i="6"/>
  <c r="E735" i="6"/>
  <c r="E736" i="6"/>
  <c r="E737" i="6"/>
  <c r="E738" i="6"/>
  <c r="E739" i="6"/>
  <c r="E740" i="6"/>
  <c r="E741" i="6"/>
  <c r="E14" i="16" l="1"/>
  <c r="E754" i="6"/>
  <c r="J758" i="6"/>
  <c r="K758" i="6"/>
  <c r="E758" i="6"/>
  <c r="J756" i="6"/>
  <c r="K756" i="6"/>
  <c r="E756" i="6"/>
  <c r="J754" i="6"/>
  <c r="K754" i="6"/>
  <c r="A123" i="104" l="1"/>
  <c r="A124" i="104"/>
  <c r="B123" i="104"/>
  <c r="B124" i="104"/>
  <c r="C123" i="104"/>
  <c r="C124" i="104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4" i="6"/>
  <c r="J396" i="6"/>
  <c r="J398" i="6"/>
  <c r="J400" i="6"/>
  <c r="J402" i="6"/>
  <c r="J404" i="6"/>
  <c r="J406" i="6"/>
  <c r="J407" i="6"/>
  <c r="J409" i="6"/>
  <c r="J411" i="6"/>
  <c r="J413" i="6"/>
  <c r="J415" i="6"/>
  <c r="J418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90" i="6"/>
  <c r="J723" i="6"/>
  <c r="J727" i="6"/>
  <c r="J730" i="6"/>
  <c r="J731" i="6"/>
  <c r="J734" i="6"/>
  <c r="J737" i="6"/>
  <c r="J738" i="6"/>
  <c r="J739" i="6"/>
  <c r="J740" i="6"/>
  <c r="J748" i="6"/>
  <c r="J749" i="6"/>
  <c r="J750" i="6"/>
  <c r="J751" i="6"/>
  <c r="J753" i="6"/>
  <c r="K753" i="6"/>
  <c r="C752" i="6"/>
  <c r="U25" i="15" s="1"/>
  <c r="F751" i="6"/>
  <c r="K751" i="6"/>
  <c r="D750" i="6"/>
  <c r="E750" i="6" s="1"/>
  <c r="D727" i="6"/>
  <c r="E727" i="6" s="1"/>
  <c r="K749" i="6"/>
  <c r="F748" i="6"/>
  <c r="K748" i="6"/>
  <c r="T25" i="15" l="1"/>
  <c r="F764" i="6"/>
  <c r="S25" i="15"/>
  <c r="J752" i="6"/>
  <c r="E752" i="6"/>
  <c r="K750" i="6"/>
  <c r="F752" i="6"/>
  <c r="K752" i="6"/>
  <c r="R28" i="15"/>
  <c r="R26" i="15"/>
  <c r="R25" i="15"/>
  <c r="R24" i="15"/>
  <c r="R23" i="15"/>
  <c r="R22" i="15"/>
  <c r="R21" i="15"/>
  <c r="R19" i="15"/>
  <c r="R18" i="15"/>
  <c r="R17" i="15"/>
  <c r="R16" i="15"/>
  <c r="R14" i="15"/>
  <c r="R13" i="15"/>
  <c r="R12" i="15"/>
  <c r="R11" i="15"/>
  <c r="R10" i="15"/>
  <c r="R7" i="15"/>
  <c r="R5" i="15"/>
  <c r="R4" i="15"/>
  <c r="R3" i="15"/>
  <c r="R2" i="15"/>
  <c r="D30" i="16"/>
  <c r="D24" i="16"/>
  <c r="D22" i="16"/>
  <c r="D11" i="16" l="1"/>
  <c r="D12" i="16"/>
  <c r="A122" i="104"/>
  <c r="B122" i="104"/>
  <c r="C122" i="104"/>
  <c r="A121" i="104"/>
  <c r="B121" i="104"/>
  <c r="C121" i="104"/>
  <c r="A120" i="104"/>
  <c r="B120" i="104"/>
  <c r="C120" i="104"/>
  <c r="I119" i="104" l="1"/>
  <c r="I118" i="104"/>
  <c r="I117" i="104"/>
  <c r="I116" i="104"/>
  <c r="I115" i="104"/>
  <c r="I114" i="104"/>
  <c r="I113" i="104"/>
  <c r="I101" i="104"/>
  <c r="I86" i="104"/>
  <c r="I85" i="104"/>
  <c r="I84" i="104"/>
  <c r="I83" i="104"/>
  <c r="A115" i="104" l="1"/>
  <c r="A116" i="104"/>
  <c r="A117" i="104"/>
  <c r="A118" i="104"/>
  <c r="A119" i="104"/>
  <c r="B115" i="104"/>
  <c r="B116" i="104"/>
  <c r="B117" i="104"/>
  <c r="B118" i="104"/>
  <c r="B119" i="104"/>
  <c r="C115" i="104"/>
  <c r="C116" i="104"/>
  <c r="C117" i="104"/>
  <c r="C118" i="104"/>
  <c r="C119" i="104"/>
  <c r="F747" i="6"/>
  <c r="J747" i="6"/>
  <c r="K747" i="6"/>
  <c r="D746" i="6"/>
  <c r="C746" i="6" s="1"/>
  <c r="E746" i="6" s="1"/>
  <c r="D743" i="6"/>
  <c r="C743" i="6" s="1"/>
  <c r="U9" i="15" s="1"/>
  <c r="D742" i="6"/>
  <c r="C742" i="6" s="1"/>
  <c r="F745" i="6"/>
  <c r="J745" i="6"/>
  <c r="K745" i="6"/>
  <c r="F744" i="6"/>
  <c r="J744" i="6"/>
  <c r="K744" i="6"/>
  <c r="F741" i="6"/>
  <c r="J741" i="6"/>
  <c r="K741" i="6"/>
  <c r="F740" i="6"/>
  <c r="K740" i="6"/>
  <c r="F743" i="6" l="1"/>
  <c r="F756" i="6"/>
  <c r="F790" i="6"/>
  <c r="F774" i="6"/>
  <c r="T9" i="15"/>
  <c r="S9" i="15"/>
  <c r="J742" i="6"/>
  <c r="E742" i="6"/>
  <c r="R9" i="15"/>
  <c r="E743" i="6"/>
  <c r="J743" i="6"/>
  <c r="K746" i="6"/>
  <c r="J746" i="6"/>
  <c r="K743" i="6"/>
  <c r="K742" i="6"/>
  <c r="C22" i="16" l="1"/>
  <c r="F735" i="6"/>
  <c r="J732" i="6"/>
  <c r="J735" i="6"/>
  <c r="K732" i="6"/>
  <c r="K735" i="6"/>
  <c r="K739" i="6"/>
  <c r="F736" i="6"/>
  <c r="J736" i="6"/>
  <c r="K736" i="6"/>
  <c r="K690" i="6"/>
  <c r="C30" i="16" l="1"/>
  <c r="F734" i="6"/>
  <c r="D734" i="6"/>
  <c r="D14" i="16" s="1"/>
  <c r="K734" i="6"/>
  <c r="B23" i="15"/>
  <c r="C23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A114" i="104"/>
  <c r="B114" i="104"/>
  <c r="C114" i="104"/>
  <c r="A113" i="104"/>
  <c r="B113" i="104"/>
  <c r="C113" i="104"/>
  <c r="F729" i="6"/>
  <c r="J729" i="6"/>
  <c r="K729" i="6"/>
  <c r="F728" i="6"/>
  <c r="J728" i="6"/>
  <c r="K728" i="6"/>
  <c r="F432" i="6"/>
  <c r="J432" i="6"/>
  <c r="K432" i="6"/>
  <c r="K738" i="6"/>
  <c r="F725" i="6"/>
  <c r="J725" i="6"/>
  <c r="K725" i="6"/>
  <c r="F724" i="6"/>
  <c r="J724" i="6"/>
  <c r="K724" i="6"/>
  <c r="C726" i="6"/>
  <c r="B20" i="15"/>
  <c r="C20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A86" i="104"/>
  <c r="B86" i="104"/>
  <c r="C86" i="104"/>
  <c r="K737" i="6"/>
  <c r="D731" i="6"/>
  <c r="E731" i="6" s="1"/>
  <c r="F731" i="6"/>
  <c r="F723" i="6"/>
  <c r="K723" i="6"/>
  <c r="F730" i="6"/>
  <c r="K730" i="6"/>
  <c r="U20" i="15" l="1"/>
  <c r="F800" i="6"/>
  <c r="T20" i="15"/>
  <c r="F781" i="6"/>
  <c r="E726" i="6"/>
  <c r="S20" i="15"/>
  <c r="F726" i="6"/>
  <c r="R20" i="15"/>
  <c r="C11" i="16"/>
  <c r="C12" i="16"/>
  <c r="C14" i="16"/>
  <c r="K726" i="6"/>
  <c r="J726" i="6"/>
  <c r="K731" i="6"/>
  <c r="K727" i="6"/>
  <c r="I107" i="104"/>
  <c r="I106" i="104"/>
  <c r="I108" i="104"/>
  <c r="A108" i="104"/>
  <c r="B108" i="104"/>
  <c r="C108" i="104"/>
  <c r="B24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C693" i="6" l="1"/>
  <c r="E693" i="6" s="1"/>
  <c r="J692" i="6"/>
  <c r="K692" i="6"/>
  <c r="F691" i="6"/>
  <c r="J691" i="6"/>
  <c r="K691" i="6"/>
  <c r="F733" i="6"/>
  <c r="J733" i="6"/>
  <c r="K733" i="6"/>
  <c r="F419" i="6"/>
  <c r="J419" i="6"/>
  <c r="K419" i="6"/>
  <c r="Q22" i="15"/>
  <c r="Q28" i="15"/>
  <c r="Q26" i="15"/>
  <c r="Q25" i="15"/>
  <c r="Q21" i="15"/>
  <c r="Q19" i="15"/>
  <c r="Q18" i="15"/>
  <c r="Q17" i="15"/>
  <c r="Q16" i="15"/>
  <c r="Q14" i="15"/>
  <c r="Q13" i="15"/>
  <c r="Q12" i="15"/>
  <c r="Q11" i="15"/>
  <c r="Q10" i="15"/>
  <c r="Q9" i="15"/>
  <c r="Q7" i="15"/>
  <c r="Q5" i="15"/>
  <c r="Q4" i="15"/>
  <c r="Q3" i="15"/>
  <c r="Q2" i="15"/>
  <c r="K516" i="6"/>
  <c r="F663" i="6"/>
  <c r="J663" i="6"/>
  <c r="K663" i="6"/>
  <c r="C676" i="6"/>
  <c r="F599" i="6"/>
  <c r="F600" i="6"/>
  <c r="F601" i="6"/>
  <c r="F602" i="6"/>
  <c r="F603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1" i="6"/>
  <c r="F550" i="6"/>
  <c r="F552" i="6"/>
  <c r="F553" i="6"/>
  <c r="F554" i="6"/>
  <c r="F555" i="6"/>
  <c r="F556" i="6"/>
  <c r="F557" i="6"/>
  <c r="F558" i="6"/>
  <c r="F559" i="6"/>
  <c r="F561" i="6"/>
  <c r="F560" i="6"/>
  <c r="F563" i="6"/>
  <c r="F562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8" i="6"/>
  <c r="F577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D2" i="15"/>
  <c r="E2" i="15"/>
  <c r="F2" i="15"/>
  <c r="G2" i="15"/>
  <c r="H2" i="15"/>
  <c r="I2" i="15"/>
  <c r="J2" i="15"/>
  <c r="K2" i="15"/>
  <c r="L2" i="15"/>
  <c r="M2" i="15"/>
  <c r="N2" i="15"/>
  <c r="D3" i="15"/>
  <c r="E3" i="15"/>
  <c r="F3" i="15"/>
  <c r="G3" i="15"/>
  <c r="H3" i="15"/>
  <c r="I3" i="15"/>
  <c r="J3" i="15"/>
  <c r="K3" i="15"/>
  <c r="L3" i="15"/>
  <c r="M3" i="15"/>
  <c r="N3" i="15"/>
  <c r="D4" i="15"/>
  <c r="E4" i="15"/>
  <c r="F4" i="15"/>
  <c r="G4" i="15"/>
  <c r="H4" i="15"/>
  <c r="I4" i="15"/>
  <c r="J4" i="15"/>
  <c r="K4" i="15"/>
  <c r="L4" i="15"/>
  <c r="M4" i="15"/>
  <c r="N4" i="15"/>
  <c r="D5" i="15"/>
  <c r="E5" i="15"/>
  <c r="F5" i="15"/>
  <c r="G5" i="15"/>
  <c r="H5" i="15"/>
  <c r="I5" i="15"/>
  <c r="J5" i="15"/>
  <c r="K5" i="15"/>
  <c r="L5" i="15"/>
  <c r="M5" i="15"/>
  <c r="N5" i="15"/>
  <c r="D7" i="15"/>
  <c r="E7" i="15"/>
  <c r="F7" i="15"/>
  <c r="G7" i="15"/>
  <c r="H7" i="15"/>
  <c r="I7" i="15"/>
  <c r="J7" i="15"/>
  <c r="K7" i="15"/>
  <c r="L7" i="15"/>
  <c r="M7" i="15"/>
  <c r="N7" i="15"/>
  <c r="D9" i="15"/>
  <c r="E9" i="15"/>
  <c r="F9" i="15"/>
  <c r="G9" i="15"/>
  <c r="H9" i="15"/>
  <c r="I9" i="15"/>
  <c r="J9" i="15"/>
  <c r="K9" i="15"/>
  <c r="L9" i="15"/>
  <c r="M9" i="15"/>
  <c r="N9" i="15"/>
  <c r="D10" i="15"/>
  <c r="E10" i="15"/>
  <c r="F10" i="15"/>
  <c r="G10" i="15"/>
  <c r="H10" i="15"/>
  <c r="I10" i="15"/>
  <c r="J10" i="15"/>
  <c r="K10" i="15"/>
  <c r="L10" i="15"/>
  <c r="M10" i="15"/>
  <c r="N10" i="15"/>
  <c r="D11" i="15"/>
  <c r="E11" i="15"/>
  <c r="F11" i="15"/>
  <c r="G11" i="15"/>
  <c r="H11" i="15"/>
  <c r="I11" i="15"/>
  <c r="J11" i="15"/>
  <c r="K11" i="15"/>
  <c r="L11" i="15"/>
  <c r="M11" i="15"/>
  <c r="N11" i="15"/>
  <c r="D12" i="15"/>
  <c r="E12" i="15"/>
  <c r="F12" i="15"/>
  <c r="G12" i="15"/>
  <c r="H12" i="15"/>
  <c r="I12" i="15"/>
  <c r="J12" i="15"/>
  <c r="K12" i="15"/>
  <c r="L12" i="15"/>
  <c r="M12" i="15"/>
  <c r="N12" i="15"/>
  <c r="D13" i="15"/>
  <c r="E13" i="15"/>
  <c r="F13" i="15"/>
  <c r="G13" i="15"/>
  <c r="H13" i="15"/>
  <c r="I13" i="15"/>
  <c r="J13" i="15"/>
  <c r="K13" i="15"/>
  <c r="L13" i="15"/>
  <c r="M13" i="15"/>
  <c r="N13" i="15"/>
  <c r="D15" i="15"/>
  <c r="E15" i="15"/>
  <c r="F15" i="15"/>
  <c r="G15" i="15"/>
  <c r="H15" i="15"/>
  <c r="I15" i="15"/>
  <c r="J15" i="15"/>
  <c r="K15" i="15"/>
  <c r="L15" i="15"/>
  <c r="M15" i="15"/>
  <c r="N15" i="15"/>
  <c r="D14" i="15"/>
  <c r="E14" i="15"/>
  <c r="F14" i="15"/>
  <c r="G14" i="15"/>
  <c r="H14" i="15"/>
  <c r="I14" i="15"/>
  <c r="J14" i="15"/>
  <c r="K14" i="15"/>
  <c r="L14" i="15"/>
  <c r="M14" i="15"/>
  <c r="N14" i="15"/>
  <c r="D16" i="15"/>
  <c r="E16" i="15"/>
  <c r="F16" i="15"/>
  <c r="G16" i="15"/>
  <c r="H16" i="15"/>
  <c r="I16" i="15"/>
  <c r="J16" i="15"/>
  <c r="K16" i="15"/>
  <c r="L16" i="15"/>
  <c r="M16" i="15"/>
  <c r="N16" i="15"/>
  <c r="D17" i="15"/>
  <c r="E17" i="15"/>
  <c r="F17" i="15"/>
  <c r="G17" i="15"/>
  <c r="H17" i="15"/>
  <c r="I17" i="15"/>
  <c r="J17" i="15"/>
  <c r="K17" i="15"/>
  <c r="L17" i="15"/>
  <c r="M17" i="15"/>
  <c r="N17" i="15"/>
  <c r="D18" i="15"/>
  <c r="E18" i="15"/>
  <c r="F18" i="15"/>
  <c r="G18" i="15"/>
  <c r="H18" i="15"/>
  <c r="I18" i="15"/>
  <c r="J18" i="15"/>
  <c r="K18" i="15"/>
  <c r="L18" i="15"/>
  <c r="M18" i="15"/>
  <c r="N18" i="15"/>
  <c r="D19" i="15"/>
  <c r="E19" i="15"/>
  <c r="F19" i="15"/>
  <c r="G19" i="15"/>
  <c r="H19" i="15"/>
  <c r="I19" i="15"/>
  <c r="J19" i="15"/>
  <c r="K19" i="15"/>
  <c r="L19" i="15"/>
  <c r="M19" i="15"/>
  <c r="N19" i="15"/>
  <c r="D21" i="15"/>
  <c r="E21" i="15"/>
  <c r="F21" i="15"/>
  <c r="G21" i="15"/>
  <c r="H21" i="15"/>
  <c r="I21" i="15"/>
  <c r="J21" i="15"/>
  <c r="K21" i="15"/>
  <c r="L21" i="15"/>
  <c r="M21" i="15"/>
  <c r="N21" i="15"/>
  <c r="D25" i="15"/>
  <c r="E25" i="15"/>
  <c r="F25" i="15"/>
  <c r="G25" i="15"/>
  <c r="H25" i="15"/>
  <c r="I25" i="15"/>
  <c r="J25" i="15"/>
  <c r="K25" i="15"/>
  <c r="L25" i="15"/>
  <c r="M25" i="15"/>
  <c r="N25" i="15"/>
  <c r="D26" i="15"/>
  <c r="E26" i="15"/>
  <c r="F26" i="15"/>
  <c r="G26" i="15"/>
  <c r="H26" i="15"/>
  <c r="I26" i="15"/>
  <c r="J26" i="15"/>
  <c r="K26" i="15"/>
  <c r="L26" i="15"/>
  <c r="M26" i="15"/>
  <c r="N26" i="15"/>
  <c r="D22" i="15"/>
  <c r="E22" i="15"/>
  <c r="F22" i="15"/>
  <c r="G22" i="15"/>
  <c r="H22" i="15"/>
  <c r="I22" i="15"/>
  <c r="J22" i="15"/>
  <c r="K22" i="15"/>
  <c r="L22" i="15"/>
  <c r="M22" i="15"/>
  <c r="N22" i="15"/>
  <c r="C689" i="6"/>
  <c r="P22" i="15"/>
  <c r="P25" i="15"/>
  <c r="P21" i="15"/>
  <c r="P19" i="15"/>
  <c r="P18" i="15"/>
  <c r="P17" i="15"/>
  <c r="P16" i="15"/>
  <c r="P14" i="15"/>
  <c r="P13" i="15"/>
  <c r="P12" i="15"/>
  <c r="P11" i="15"/>
  <c r="P10" i="15"/>
  <c r="P9" i="15"/>
  <c r="P7" i="15"/>
  <c r="P5" i="15"/>
  <c r="P4" i="15"/>
  <c r="P3" i="15"/>
  <c r="P2" i="15"/>
  <c r="A84" i="104"/>
  <c r="A85" i="104"/>
  <c r="B84" i="104"/>
  <c r="B85" i="104"/>
  <c r="C84" i="104"/>
  <c r="C85" i="104"/>
  <c r="J216" i="6"/>
  <c r="T15" i="15" l="1"/>
  <c r="U15" i="15"/>
  <c r="F797" i="6"/>
  <c r="U29" i="15"/>
  <c r="F784" i="6"/>
  <c r="T29" i="15"/>
  <c r="F767" i="6"/>
  <c r="S29" i="15"/>
  <c r="S15" i="15"/>
  <c r="F766" i="6"/>
  <c r="J689" i="6"/>
  <c r="E689" i="6"/>
  <c r="J676" i="6"/>
  <c r="E676" i="6"/>
  <c r="J693" i="6"/>
  <c r="R29" i="15"/>
  <c r="F753" i="6"/>
  <c r="R15" i="15"/>
  <c r="F749" i="6"/>
  <c r="F738" i="6"/>
  <c r="F739" i="6"/>
  <c r="P15" i="15"/>
  <c r="F690" i="6"/>
  <c r="F737" i="6"/>
  <c r="K693" i="6"/>
  <c r="F693" i="6"/>
  <c r="Q15" i="15"/>
  <c r="Q29" i="15"/>
  <c r="F676" i="6"/>
  <c r="K676" i="6"/>
  <c r="F91" i="6"/>
  <c r="F51" i="6"/>
  <c r="J147" i="6"/>
  <c r="J91" i="6"/>
  <c r="J285" i="6"/>
  <c r="J51" i="6"/>
  <c r="K91" i="6"/>
  <c r="K285" i="6"/>
  <c r="K51" i="6"/>
  <c r="F56" i="6"/>
  <c r="J56" i="6"/>
  <c r="K56" i="6"/>
  <c r="F150" i="6"/>
  <c r="J150" i="6"/>
  <c r="K150" i="6"/>
  <c r="B30" i="16"/>
  <c r="B24" i="16"/>
  <c r="B22" i="16"/>
  <c r="J675" i="6"/>
  <c r="J662" i="6"/>
  <c r="K675" i="6"/>
  <c r="K662" i="6"/>
  <c r="K688" i="6"/>
  <c r="F481" i="6"/>
  <c r="J481" i="6"/>
  <c r="K481" i="6"/>
  <c r="F689" i="6"/>
  <c r="K689" i="6"/>
  <c r="F306" i="6"/>
  <c r="J306" i="6"/>
  <c r="K306" i="6"/>
  <c r="D603" i="6"/>
  <c r="E603" i="6" s="1"/>
  <c r="F466" i="6"/>
  <c r="J466" i="6"/>
  <c r="K466" i="6"/>
  <c r="F467" i="6"/>
  <c r="F468" i="6"/>
  <c r="J467" i="6"/>
  <c r="J468" i="6"/>
  <c r="K467" i="6"/>
  <c r="K468" i="6"/>
  <c r="F18" i="16" l="1"/>
  <c r="B11" i="16"/>
  <c r="K603" i="6"/>
  <c r="B12" i="16"/>
  <c r="F20" i="16" l="1"/>
  <c r="F431" i="6"/>
  <c r="K431" i="6"/>
  <c r="F531" i="6"/>
  <c r="K531" i="6"/>
  <c r="F530" i="6"/>
  <c r="K530" i="6"/>
  <c r="A101" i="104" l="1"/>
  <c r="B101" i="104"/>
  <c r="C101" i="104"/>
  <c r="F493" i="6"/>
  <c r="J493" i="6"/>
  <c r="K493" i="6"/>
  <c r="F492" i="6"/>
  <c r="J492" i="6"/>
  <c r="K492" i="6"/>
  <c r="A83" i="104"/>
  <c r="B83" i="104"/>
  <c r="C83" i="104"/>
  <c r="E18" i="16" l="1"/>
  <c r="E20" i="16" l="1"/>
  <c r="I82" i="104" l="1"/>
  <c r="A82" i="104"/>
  <c r="B82" i="104"/>
  <c r="C82" i="104"/>
  <c r="D18" i="16" l="1"/>
  <c r="D20" i="16" s="1"/>
  <c r="F50" i="6" l="1"/>
  <c r="J146" i="6"/>
  <c r="J50" i="6"/>
  <c r="K146" i="6"/>
  <c r="K50" i="6"/>
  <c r="F284" i="6"/>
  <c r="J284" i="6"/>
  <c r="K284" i="6"/>
  <c r="D60" i="6"/>
  <c r="J215" i="6"/>
  <c r="K215" i="6"/>
  <c r="F90" i="6"/>
  <c r="J90" i="6"/>
  <c r="K90" i="6"/>
  <c r="F38" i="6"/>
  <c r="J38" i="6"/>
  <c r="K38" i="6"/>
  <c r="F529" i="6"/>
  <c r="K529" i="6"/>
  <c r="F149" i="6"/>
  <c r="J149" i="6"/>
  <c r="K149" i="6"/>
  <c r="B14" i="16" l="1"/>
  <c r="E60" i="6"/>
  <c r="B7" i="16" s="1"/>
  <c r="O26" i="15" l="1"/>
  <c r="O22" i="15"/>
  <c r="O25" i="15"/>
  <c r="O21" i="15"/>
  <c r="O19" i="15"/>
  <c r="O18" i="15"/>
  <c r="O17" i="15"/>
  <c r="O16" i="15"/>
  <c r="O14" i="15"/>
  <c r="O15" i="15"/>
  <c r="O13" i="15"/>
  <c r="O12" i="15"/>
  <c r="O11" i="15"/>
  <c r="O10" i="15"/>
  <c r="O9" i="15"/>
  <c r="O7" i="15"/>
  <c r="O5" i="15"/>
  <c r="O4" i="15"/>
  <c r="O3" i="15"/>
  <c r="O2" i="15"/>
  <c r="I79" i="104"/>
  <c r="I78" i="104"/>
  <c r="I80" i="104"/>
  <c r="I81" i="104"/>
  <c r="A78" i="104"/>
  <c r="A80" i="104"/>
  <c r="A81" i="104"/>
  <c r="B78" i="104"/>
  <c r="B80" i="104"/>
  <c r="B81" i="104"/>
  <c r="C78" i="104"/>
  <c r="C80" i="104"/>
  <c r="C81" i="104"/>
  <c r="A79" i="104"/>
  <c r="B79" i="104"/>
  <c r="C79" i="104"/>
  <c r="F60" i="6" l="1"/>
  <c r="J60" i="6"/>
  <c r="K60" i="6"/>
  <c r="F59" i="6"/>
  <c r="J59" i="6"/>
  <c r="K59" i="6"/>
  <c r="F58" i="6"/>
  <c r="J58" i="6"/>
  <c r="K58" i="6"/>
  <c r="D527" i="6" l="1"/>
  <c r="E527" i="6" s="1"/>
  <c r="D602" i="6"/>
  <c r="E602" i="6" s="1"/>
  <c r="F515" i="6"/>
  <c r="J515" i="6"/>
  <c r="K515" i="6"/>
  <c r="J674" i="6"/>
  <c r="J661" i="6"/>
  <c r="K674" i="6"/>
  <c r="K661" i="6"/>
  <c r="K687" i="6"/>
  <c r="F480" i="6"/>
  <c r="F491" i="6"/>
  <c r="J480" i="6"/>
  <c r="J491" i="6"/>
  <c r="K480" i="6"/>
  <c r="K491" i="6"/>
  <c r="F464" i="6"/>
  <c r="J464" i="6"/>
  <c r="K464" i="6"/>
  <c r="F465" i="6"/>
  <c r="J465" i="6"/>
  <c r="K465" i="6"/>
  <c r="F430" i="6"/>
  <c r="K430" i="6"/>
  <c r="F420" i="6"/>
  <c r="K420" i="6"/>
  <c r="F528" i="6"/>
  <c r="K528" i="6"/>
  <c r="B22" i="15" l="1"/>
  <c r="C22" i="15"/>
  <c r="F514" i="6"/>
  <c r="J514" i="6"/>
  <c r="K514" i="6"/>
  <c r="I74" i="104"/>
  <c r="I75" i="104"/>
  <c r="I76" i="104"/>
  <c r="I77" i="104"/>
  <c r="A75" i="104"/>
  <c r="A76" i="104"/>
  <c r="A77" i="104"/>
  <c r="B75" i="104"/>
  <c r="B76" i="104"/>
  <c r="B77" i="104"/>
  <c r="C75" i="104"/>
  <c r="C76" i="104"/>
  <c r="C77" i="104"/>
  <c r="A74" i="104"/>
  <c r="B74" i="104"/>
  <c r="C74" i="104"/>
  <c r="A107" i="104"/>
  <c r="B107" i="104"/>
  <c r="C107" i="104"/>
  <c r="A106" i="104"/>
  <c r="B106" i="104"/>
  <c r="C106" i="104"/>
  <c r="I72" i="104"/>
  <c r="I73" i="104"/>
  <c r="A73" i="104"/>
  <c r="B73" i="104"/>
  <c r="C73" i="104"/>
  <c r="A72" i="104"/>
  <c r="B72" i="104"/>
  <c r="C72" i="104"/>
  <c r="K602" i="6" l="1"/>
  <c r="F513" i="6"/>
  <c r="J513" i="6"/>
  <c r="K513" i="6"/>
  <c r="F305" i="6"/>
  <c r="J305" i="6"/>
  <c r="K305" i="6"/>
  <c r="F49" i="6"/>
  <c r="J49" i="6"/>
  <c r="K49" i="6"/>
  <c r="J145" i="6"/>
  <c r="K145" i="6"/>
  <c r="F283" i="6"/>
  <c r="J283" i="6"/>
  <c r="K283" i="6"/>
  <c r="F37" i="6"/>
  <c r="J37" i="6"/>
  <c r="K37" i="6"/>
  <c r="F89" i="6"/>
  <c r="J89" i="6"/>
  <c r="K89" i="6"/>
  <c r="J214" i="6"/>
  <c r="K214" i="6"/>
  <c r="I71" i="104" l="1"/>
  <c r="A71" i="104"/>
  <c r="B71" i="104"/>
  <c r="C71" i="104"/>
  <c r="B18" i="16" l="1"/>
  <c r="C18" i="16"/>
  <c r="C20" i="16" s="1"/>
  <c r="I70" i="104" l="1"/>
  <c r="A70" i="104"/>
  <c r="B70" i="104"/>
  <c r="C70" i="104"/>
  <c r="I100" i="104"/>
  <c r="A100" i="104"/>
  <c r="B100" i="104"/>
  <c r="C100" i="104"/>
  <c r="F343" i="6" l="1"/>
  <c r="J343" i="6"/>
  <c r="K343" i="6"/>
  <c r="F342" i="6"/>
  <c r="J342" i="6"/>
  <c r="K342" i="6"/>
  <c r="F418" i="6"/>
  <c r="K418" i="6"/>
  <c r="D526" i="6" l="1"/>
  <c r="E526" i="6" s="1"/>
  <c r="D601" i="6"/>
  <c r="E601" i="6" s="1"/>
  <c r="F462" i="6" l="1"/>
  <c r="F429" i="6"/>
  <c r="F463" i="6"/>
  <c r="F88" i="6"/>
  <c r="F512" i="6"/>
  <c r="F36" i="6"/>
  <c r="F48" i="6"/>
  <c r="F341" i="6"/>
  <c r="F304" i="6"/>
  <c r="F415" i="6"/>
  <c r="F479" i="6"/>
  <c r="F490" i="6"/>
  <c r="J462" i="6"/>
  <c r="J463" i="6"/>
  <c r="J213" i="6"/>
  <c r="J88" i="6"/>
  <c r="J512" i="6"/>
  <c r="J36" i="6"/>
  <c r="J48" i="6"/>
  <c r="J341" i="6"/>
  <c r="J304" i="6"/>
  <c r="J479" i="6"/>
  <c r="J490" i="6"/>
  <c r="J673" i="6"/>
  <c r="J660" i="6"/>
  <c r="K462" i="6"/>
  <c r="K429" i="6"/>
  <c r="K463" i="6"/>
  <c r="K213" i="6"/>
  <c r="K88" i="6"/>
  <c r="K512" i="6"/>
  <c r="K36" i="6"/>
  <c r="K48" i="6"/>
  <c r="K341" i="6"/>
  <c r="K601" i="6"/>
  <c r="K304" i="6"/>
  <c r="K415" i="6"/>
  <c r="K479" i="6"/>
  <c r="K490" i="6"/>
  <c r="K673" i="6"/>
  <c r="K660" i="6"/>
  <c r="K686" i="6"/>
  <c r="I99" i="104"/>
  <c r="A99" i="104"/>
  <c r="B99" i="104"/>
  <c r="C99" i="104"/>
  <c r="F526" i="6"/>
  <c r="K526" i="6"/>
  <c r="F527" i="6"/>
  <c r="K527" i="6"/>
  <c r="F148" i="6"/>
  <c r="J148" i="6"/>
  <c r="K148" i="6"/>
  <c r="I69" i="104" l="1"/>
  <c r="A69" i="104"/>
  <c r="B69" i="104"/>
  <c r="C69" i="104"/>
  <c r="I68" i="104" l="1"/>
  <c r="I67" i="104"/>
  <c r="A68" i="104"/>
  <c r="B68" i="104"/>
  <c r="C68" i="104"/>
  <c r="A67" i="104"/>
  <c r="B67" i="104"/>
  <c r="C67" i="104"/>
  <c r="J144" i="6" l="1"/>
  <c r="K144" i="6"/>
  <c r="F282" i="6"/>
  <c r="J282" i="6"/>
  <c r="K282" i="6"/>
  <c r="F57" i="6" l="1"/>
  <c r="D57" i="6"/>
  <c r="E57" i="6" s="1"/>
  <c r="J57" i="6"/>
  <c r="K57" i="6" l="1"/>
  <c r="D600" i="6" l="1"/>
  <c r="E600" i="6" s="1"/>
  <c r="D525" i="6"/>
  <c r="E525" i="6" s="1"/>
  <c r="F417" i="6" l="1"/>
  <c r="J417" i="6"/>
  <c r="K417" i="6"/>
  <c r="F416" i="6"/>
  <c r="J416" i="6"/>
  <c r="K416" i="6"/>
  <c r="F461" i="6"/>
  <c r="J461" i="6"/>
  <c r="K461" i="6"/>
  <c r="F35" i="6" l="1"/>
  <c r="F47" i="6"/>
  <c r="F87" i="6"/>
  <c r="F302" i="6"/>
  <c r="F340" i="6"/>
  <c r="F413" i="6"/>
  <c r="F414" i="6"/>
  <c r="F428" i="6"/>
  <c r="F458" i="6"/>
  <c r="F460" i="6"/>
  <c r="F459" i="6"/>
  <c r="F478" i="6"/>
  <c r="F489" i="6"/>
  <c r="F511" i="6"/>
  <c r="F525" i="6"/>
  <c r="J35" i="6"/>
  <c r="J47" i="6"/>
  <c r="J87" i="6"/>
  <c r="J143" i="6"/>
  <c r="J212" i="6"/>
  <c r="J302" i="6"/>
  <c r="J340" i="6"/>
  <c r="J414" i="6"/>
  <c r="J458" i="6"/>
  <c r="J460" i="6"/>
  <c r="J459" i="6"/>
  <c r="J478" i="6"/>
  <c r="J489" i="6"/>
  <c r="J511" i="6"/>
  <c r="J672" i="6"/>
  <c r="J659" i="6"/>
  <c r="K35" i="6"/>
  <c r="K47" i="6"/>
  <c r="K87" i="6"/>
  <c r="K143" i="6"/>
  <c r="K212" i="6"/>
  <c r="K302" i="6"/>
  <c r="K340" i="6"/>
  <c r="K413" i="6"/>
  <c r="K414" i="6"/>
  <c r="K428" i="6"/>
  <c r="K458" i="6"/>
  <c r="K460" i="6"/>
  <c r="K459" i="6"/>
  <c r="K478" i="6"/>
  <c r="K489" i="6"/>
  <c r="K511" i="6"/>
  <c r="K525" i="6"/>
  <c r="K600" i="6"/>
  <c r="K672" i="6"/>
  <c r="K659" i="6"/>
  <c r="K685" i="6"/>
  <c r="F281" i="6"/>
  <c r="J281" i="6"/>
  <c r="K281" i="6"/>
  <c r="A66" i="104"/>
  <c r="B66" i="104"/>
  <c r="C66" i="104"/>
  <c r="I65" i="104" l="1"/>
  <c r="A65" i="104"/>
  <c r="B65" i="104"/>
  <c r="C65" i="104"/>
  <c r="F303" i="6" l="1"/>
  <c r="J303" i="6"/>
  <c r="K303" i="6"/>
  <c r="I98" i="104" l="1"/>
  <c r="A98" i="104"/>
  <c r="B98" i="104"/>
  <c r="C98" i="104"/>
  <c r="I97" i="104"/>
  <c r="A97" i="104"/>
  <c r="B97" i="104"/>
  <c r="C97" i="104"/>
  <c r="F310" i="6"/>
  <c r="J310" i="6"/>
  <c r="K310" i="6"/>
  <c r="D599" i="6" l="1"/>
  <c r="E599" i="6" s="1"/>
  <c r="K599" i="6" l="1"/>
  <c r="F524" i="6"/>
  <c r="K524" i="6"/>
  <c r="F280" i="6"/>
  <c r="F46" i="6"/>
  <c r="F86" i="6"/>
  <c r="F301" i="6"/>
  <c r="F339" i="6"/>
  <c r="F34" i="6"/>
  <c r="F411" i="6"/>
  <c r="F412" i="6"/>
  <c r="F427" i="6"/>
  <c r="F455" i="6"/>
  <c r="F456" i="6"/>
  <c r="F457" i="6"/>
  <c r="F477" i="6"/>
  <c r="F488" i="6"/>
  <c r="F510" i="6"/>
  <c r="J280" i="6"/>
  <c r="J46" i="6"/>
  <c r="J86" i="6"/>
  <c r="J142" i="6"/>
  <c r="J211" i="6"/>
  <c r="J301" i="6"/>
  <c r="J339" i="6"/>
  <c r="J34" i="6"/>
  <c r="J412" i="6"/>
  <c r="J455" i="6"/>
  <c r="J456" i="6"/>
  <c r="J457" i="6"/>
  <c r="J477" i="6"/>
  <c r="J488" i="6"/>
  <c r="J671" i="6"/>
  <c r="J658" i="6"/>
  <c r="J510" i="6"/>
  <c r="K280" i="6"/>
  <c r="K46" i="6"/>
  <c r="K86" i="6"/>
  <c r="K142" i="6"/>
  <c r="K211" i="6"/>
  <c r="K301" i="6"/>
  <c r="K339" i="6"/>
  <c r="K34" i="6"/>
  <c r="K411" i="6"/>
  <c r="K412" i="6"/>
  <c r="K427" i="6"/>
  <c r="K455" i="6"/>
  <c r="K456" i="6"/>
  <c r="K457" i="6"/>
  <c r="K477" i="6"/>
  <c r="K488" i="6"/>
  <c r="K671" i="6"/>
  <c r="K658" i="6"/>
  <c r="K684" i="6"/>
  <c r="K510" i="6"/>
  <c r="I87" i="104" l="1"/>
  <c r="A87" i="104"/>
  <c r="B87" i="104"/>
  <c r="C87" i="104"/>
  <c r="I95" i="104"/>
  <c r="I96" i="104"/>
  <c r="A96" i="104"/>
  <c r="B96" i="104"/>
  <c r="C96" i="104"/>
  <c r="A95" i="104"/>
  <c r="B95" i="104"/>
  <c r="C95" i="104"/>
  <c r="I109" i="104"/>
  <c r="I110" i="104"/>
  <c r="I111" i="104"/>
  <c r="A111" i="104"/>
  <c r="B111" i="104"/>
  <c r="C111" i="104"/>
  <c r="A110" i="104"/>
  <c r="B110" i="104"/>
  <c r="C110" i="104"/>
  <c r="A109" i="104"/>
  <c r="B109" i="104"/>
  <c r="C109" i="104"/>
  <c r="I112" i="104"/>
  <c r="A112" i="104"/>
  <c r="B112" i="104"/>
  <c r="C112" i="104"/>
  <c r="I64" i="104"/>
  <c r="A64" i="104"/>
  <c r="B64" i="104"/>
  <c r="C64" i="104"/>
  <c r="A62" i="104" l="1"/>
  <c r="B62" i="104"/>
  <c r="C62" i="104"/>
  <c r="I62" i="104"/>
  <c r="I63" i="104"/>
  <c r="A63" i="104" l="1"/>
  <c r="B63" i="104"/>
  <c r="C63" i="104"/>
  <c r="I57" i="104" l="1"/>
  <c r="I58" i="104"/>
  <c r="I59" i="104"/>
  <c r="I60" i="104"/>
  <c r="I61" i="104"/>
  <c r="I56" i="104"/>
  <c r="A56" i="104"/>
  <c r="A57" i="104"/>
  <c r="A58" i="104"/>
  <c r="A59" i="104"/>
  <c r="A60" i="104"/>
  <c r="A61" i="104"/>
  <c r="B56" i="104"/>
  <c r="B57" i="104"/>
  <c r="B58" i="104"/>
  <c r="B59" i="104"/>
  <c r="B60" i="104"/>
  <c r="B61" i="104"/>
  <c r="C56" i="104"/>
  <c r="C57" i="104"/>
  <c r="C58" i="104"/>
  <c r="C59" i="104"/>
  <c r="C60" i="104"/>
  <c r="C61" i="104"/>
  <c r="D598" i="6" l="1"/>
  <c r="E598" i="6" s="1"/>
  <c r="F598" i="6"/>
  <c r="F521" i="6"/>
  <c r="K521" i="6"/>
  <c r="F509" i="6"/>
  <c r="J509" i="6"/>
  <c r="K509" i="6"/>
  <c r="J670" i="6"/>
  <c r="J657" i="6"/>
  <c r="K670" i="6"/>
  <c r="K657" i="6"/>
  <c r="K683" i="6"/>
  <c r="F476" i="6"/>
  <c r="F487" i="6"/>
  <c r="J476" i="6"/>
  <c r="J487" i="6"/>
  <c r="K476" i="6"/>
  <c r="K487" i="6"/>
  <c r="F454" i="6"/>
  <c r="J454" i="6"/>
  <c r="K454" i="6"/>
  <c r="F453" i="6"/>
  <c r="J453" i="6"/>
  <c r="K453" i="6"/>
  <c r="F452" i="6"/>
  <c r="J452" i="6"/>
  <c r="K452" i="6"/>
  <c r="F426" i="6"/>
  <c r="K426" i="6"/>
  <c r="F410" i="6"/>
  <c r="J410" i="6"/>
  <c r="K410" i="6"/>
  <c r="F409" i="6"/>
  <c r="K409" i="6"/>
  <c r="F33" i="6"/>
  <c r="J33" i="6"/>
  <c r="K33" i="6"/>
  <c r="F338" i="6"/>
  <c r="J338" i="6"/>
  <c r="K338" i="6"/>
  <c r="F44" i="6"/>
  <c r="F85" i="6"/>
  <c r="F300" i="6"/>
  <c r="J44" i="6"/>
  <c r="J85" i="6"/>
  <c r="J141" i="6"/>
  <c r="J210" i="6"/>
  <c r="J300" i="6"/>
  <c r="K44" i="6"/>
  <c r="K85" i="6"/>
  <c r="K141" i="6"/>
  <c r="K210" i="6"/>
  <c r="K300" i="6"/>
  <c r="K598" i="6" l="1"/>
  <c r="I52" i="104"/>
  <c r="I53" i="104"/>
  <c r="I54" i="104"/>
  <c r="I55" i="104"/>
  <c r="A52" i="104"/>
  <c r="A53" i="104"/>
  <c r="A54" i="104"/>
  <c r="A55" i="104"/>
  <c r="B52" i="104"/>
  <c r="B53" i="104"/>
  <c r="B54" i="104"/>
  <c r="B55" i="104"/>
  <c r="C52" i="104"/>
  <c r="C53" i="104"/>
  <c r="C54" i="104"/>
  <c r="C55" i="104"/>
  <c r="I51" i="104"/>
  <c r="A51" i="104"/>
  <c r="B51" i="104"/>
  <c r="C51" i="104"/>
  <c r="I44" i="104"/>
  <c r="I45" i="104"/>
  <c r="I46" i="104"/>
  <c r="I47" i="104"/>
  <c r="I48" i="104"/>
  <c r="I49" i="104"/>
  <c r="I50" i="104"/>
  <c r="A45" i="104"/>
  <c r="A46" i="104"/>
  <c r="A47" i="104"/>
  <c r="A48" i="104"/>
  <c r="A49" i="104"/>
  <c r="A50" i="104"/>
  <c r="B45" i="104"/>
  <c r="B46" i="104"/>
  <c r="B47" i="104"/>
  <c r="B48" i="104"/>
  <c r="B49" i="104"/>
  <c r="B50" i="104"/>
  <c r="C45" i="104"/>
  <c r="C46" i="104"/>
  <c r="C47" i="104"/>
  <c r="C48" i="104"/>
  <c r="C49" i="104"/>
  <c r="C50" i="104"/>
  <c r="A44" i="104"/>
  <c r="B44" i="104"/>
  <c r="C44" i="104"/>
  <c r="I94" i="104"/>
  <c r="A94" i="104"/>
  <c r="B94" i="104"/>
  <c r="C94" i="104"/>
  <c r="A43" i="104" l="1"/>
  <c r="B43" i="104"/>
  <c r="C43" i="104"/>
  <c r="I43" i="104"/>
  <c r="F279" i="6"/>
  <c r="J279" i="6"/>
  <c r="K279" i="6"/>
  <c r="F523" i="6"/>
  <c r="K523" i="6"/>
  <c r="F522" i="6" l="1"/>
  <c r="K522" i="6"/>
  <c r="F45" i="6" l="1"/>
  <c r="J45" i="6"/>
  <c r="K45" i="6"/>
  <c r="K597" i="6" l="1"/>
  <c r="F508" i="6"/>
  <c r="J508" i="6"/>
  <c r="K508" i="6"/>
  <c r="F407" i="6"/>
  <c r="K407" i="6"/>
  <c r="F278" i="6" l="1"/>
  <c r="J278" i="6"/>
  <c r="K278" i="6"/>
  <c r="F408" i="6"/>
  <c r="F425" i="6"/>
  <c r="F449" i="6"/>
  <c r="F450" i="6"/>
  <c r="F451" i="6"/>
  <c r="F475" i="6"/>
  <c r="F486" i="6"/>
  <c r="F507" i="6"/>
  <c r="F520" i="6"/>
  <c r="J408" i="6"/>
  <c r="J449" i="6"/>
  <c r="J450" i="6"/>
  <c r="J451" i="6"/>
  <c r="J475" i="6"/>
  <c r="J486" i="6"/>
  <c r="J507" i="6"/>
  <c r="J669" i="6"/>
  <c r="J656" i="6"/>
  <c r="K408" i="6"/>
  <c r="K425" i="6"/>
  <c r="K449" i="6"/>
  <c r="K450" i="6"/>
  <c r="K451" i="6"/>
  <c r="K475" i="6"/>
  <c r="K486" i="6"/>
  <c r="K507" i="6"/>
  <c r="K520" i="6"/>
  <c r="K596" i="6"/>
  <c r="K669" i="6"/>
  <c r="K656" i="6"/>
  <c r="K682" i="6"/>
  <c r="F32" i="6"/>
  <c r="F43" i="6"/>
  <c r="F84" i="6"/>
  <c r="F277" i="6"/>
  <c r="F299" i="6"/>
  <c r="F337" i="6"/>
  <c r="F406" i="6"/>
  <c r="J32" i="6"/>
  <c r="J43" i="6"/>
  <c r="J84" i="6"/>
  <c r="J140" i="6"/>
  <c r="J209" i="6"/>
  <c r="J277" i="6"/>
  <c r="J299" i="6"/>
  <c r="J337" i="6"/>
  <c r="K32" i="6"/>
  <c r="K43" i="6"/>
  <c r="K84" i="6"/>
  <c r="K140" i="6"/>
  <c r="K209" i="6"/>
  <c r="K277" i="6"/>
  <c r="K299" i="6"/>
  <c r="K337" i="6"/>
  <c r="K406" i="6"/>
  <c r="I42" i="104" l="1"/>
  <c r="A42" i="104"/>
  <c r="B42" i="104"/>
  <c r="C42" i="104"/>
  <c r="I41" i="104"/>
  <c r="A41" i="104"/>
  <c r="B41" i="104"/>
  <c r="C41" i="104"/>
  <c r="I93" i="104"/>
  <c r="A93" i="104"/>
  <c r="B93" i="104"/>
  <c r="C93" i="104"/>
  <c r="I40" i="104"/>
  <c r="I39" i="104"/>
  <c r="A40" i="104"/>
  <c r="B40" i="104"/>
  <c r="C40" i="104"/>
  <c r="A39" i="104"/>
  <c r="B39" i="104"/>
  <c r="C39" i="104"/>
  <c r="I38" i="104"/>
  <c r="A38" i="104"/>
  <c r="B38" i="104"/>
  <c r="C38" i="104"/>
  <c r="I37" i="104"/>
  <c r="A37" i="104"/>
  <c r="B37" i="104"/>
  <c r="C37" i="104"/>
  <c r="I105" i="104" l="1"/>
  <c r="A105" i="104"/>
  <c r="B105" i="104"/>
  <c r="C105" i="104"/>
  <c r="A29" i="104" l="1"/>
  <c r="B29" i="104"/>
  <c r="C29" i="104"/>
  <c r="I29" i="104"/>
  <c r="I36" i="104" l="1"/>
  <c r="I35" i="104"/>
  <c r="A36" i="104"/>
  <c r="B36" i="104"/>
  <c r="C36" i="104"/>
  <c r="A35" i="104"/>
  <c r="B35" i="104"/>
  <c r="C35" i="104"/>
  <c r="I32" i="104" l="1"/>
  <c r="I33" i="104"/>
  <c r="I34" i="104"/>
  <c r="A34" i="104"/>
  <c r="B34" i="104"/>
  <c r="C34" i="104"/>
  <c r="A33" i="104"/>
  <c r="B33" i="104"/>
  <c r="C33" i="104"/>
  <c r="A32" i="104"/>
  <c r="B32" i="104"/>
  <c r="C32" i="104"/>
  <c r="I31" i="104" l="1"/>
  <c r="I30" i="104"/>
  <c r="A31" i="104"/>
  <c r="B31" i="104"/>
  <c r="C31" i="104"/>
  <c r="A30" i="104"/>
  <c r="B30" i="104"/>
  <c r="C30" i="104"/>
  <c r="F404" i="6"/>
  <c r="F405" i="6"/>
  <c r="J405" i="6"/>
  <c r="K404" i="6"/>
  <c r="K405" i="6"/>
  <c r="F402" i="6"/>
  <c r="F403" i="6"/>
  <c r="F474" i="6"/>
  <c r="F485" i="6"/>
  <c r="J403" i="6"/>
  <c r="J474" i="6"/>
  <c r="J485" i="6"/>
  <c r="J668" i="6"/>
  <c r="J655" i="6"/>
  <c r="K402" i="6"/>
  <c r="K403" i="6"/>
  <c r="K474" i="6"/>
  <c r="K485" i="6"/>
  <c r="K668" i="6"/>
  <c r="K655" i="6"/>
  <c r="K681" i="6"/>
  <c r="F336" i="6"/>
  <c r="F424" i="6"/>
  <c r="F447" i="6"/>
  <c r="F506" i="6"/>
  <c r="F448" i="6"/>
  <c r="F42" i="6"/>
  <c r="J336" i="6"/>
  <c r="J447" i="6"/>
  <c r="J506" i="6"/>
  <c r="J448" i="6"/>
  <c r="J42" i="6"/>
  <c r="K336" i="6"/>
  <c r="K424" i="6"/>
  <c r="K447" i="6"/>
  <c r="K506" i="6"/>
  <c r="K448" i="6"/>
  <c r="K595" i="6"/>
  <c r="K42" i="6"/>
  <c r="F519" i="6"/>
  <c r="F276" i="6"/>
  <c r="F446" i="6"/>
  <c r="F31" i="6"/>
  <c r="F83" i="6"/>
  <c r="F298" i="6"/>
  <c r="J276" i="6"/>
  <c r="J446" i="6"/>
  <c r="J31" i="6"/>
  <c r="J83" i="6"/>
  <c r="J139" i="6"/>
  <c r="J208" i="6"/>
  <c r="J298" i="6"/>
  <c r="K519" i="6"/>
  <c r="K276" i="6"/>
  <c r="K446" i="6"/>
  <c r="K31" i="6"/>
  <c r="K83" i="6"/>
  <c r="K139" i="6"/>
  <c r="K208" i="6"/>
  <c r="K298" i="6"/>
  <c r="K680" i="6"/>
  <c r="J654" i="6"/>
  <c r="K654" i="6"/>
  <c r="J667" i="6"/>
  <c r="K667" i="6"/>
  <c r="F473" i="6"/>
  <c r="J473" i="6"/>
  <c r="K473" i="6"/>
  <c r="F401" i="6"/>
  <c r="J401" i="6"/>
  <c r="K401" i="6"/>
  <c r="F400" i="6"/>
  <c r="K400" i="6"/>
  <c r="F484" i="6"/>
  <c r="J484" i="6"/>
  <c r="K484" i="6"/>
  <c r="F41" i="6"/>
  <c r="J41" i="6"/>
  <c r="K41" i="6"/>
  <c r="K594" i="6"/>
  <c r="F505" i="6"/>
  <c r="J505" i="6"/>
  <c r="K505" i="6"/>
  <c r="F444" i="6"/>
  <c r="J444" i="6"/>
  <c r="K444" i="6"/>
  <c r="F445" i="6"/>
  <c r="J445" i="6"/>
  <c r="K445" i="6"/>
  <c r="F518" i="6"/>
  <c r="F443" i="6"/>
  <c r="F423" i="6"/>
  <c r="J443" i="6"/>
  <c r="K518" i="6"/>
  <c r="K443" i="6"/>
  <c r="K423" i="6"/>
  <c r="J138" i="6"/>
  <c r="K138" i="6"/>
  <c r="I92" i="104" l="1"/>
  <c r="A92" i="104" l="1"/>
  <c r="B92" i="104"/>
  <c r="C92" i="104"/>
  <c r="I91" i="104"/>
  <c r="A91" i="104"/>
  <c r="B91" i="104"/>
  <c r="C91" i="104"/>
  <c r="A26" i="104" l="1"/>
  <c r="B26" i="104"/>
  <c r="C26" i="104"/>
  <c r="I26" i="104"/>
  <c r="I27" i="104"/>
  <c r="A27" i="104"/>
  <c r="B27" i="104"/>
  <c r="C27" i="104"/>
  <c r="F297" i="6" l="1"/>
  <c r="J297" i="6"/>
  <c r="K297" i="6"/>
  <c r="F82" i="6"/>
  <c r="J82" i="6"/>
  <c r="K82" i="6"/>
  <c r="F30" i="6"/>
  <c r="F335" i="6"/>
  <c r="J30" i="6"/>
  <c r="J335" i="6"/>
  <c r="K30" i="6"/>
  <c r="K335" i="6"/>
  <c r="F275" i="6"/>
  <c r="J275" i="6"/>
  <c r="K275" i="6"/>
  <c r="F274" i="6" l="1"/>
  <c r="J274" i="6"/>
  <c r="K274" i="6"/>
  <c r="F440" i="6"/>
  <c r="J440" i="6"/>
  <c r="K440" i="6"/>
  <c r="F442" i="6"/>
  <c r="J442" i="6"/>
  <c r="K442" i="6"/>
  <c r="F422" i="6"/>
  <c r="K422" i="6"/>
  <c r="F441" i="6"/>
  <c r="J441" i="6"/>
  <c r="K441" i="6"/>
  <c r="F472" i="6"/>
  <c r="J472" i="6"/>
  <c r="J666" i="6"/>
  <c r="J653" i="6"/>
  <c r="K472" i="6"/>
  <c r="K666" i="6"/>
  <c r="K653" i="6"/>
  <c r="K679" i="6"/>
  <c r="F483" i="6"/>
  <c r="F29" i="6"/>
  <c r="F81" i="6"/>
  <c r="F273" i="6"/>
  <c r="F296" i="6"/>
  <c r="F334" i="6"/>
  <c r="F504" i="6"/>
  <c r="F398" i="6"/>
  <c r="F399" i="6"/>
  <c r="J483" i="6"/>
  <c r="J29" i="6"/>
  <c r="J81" i="6"/>
  <c r="J137" i="6"/>
  <c r="J207" i="6"/>
  <c r="J273" i="6"/>
  <c r="J296" i="6"/>
  <c r="J334" i="6"/>
  <c r="J504" i="6"/>
  <c r="J399" i="6"/>
  <c r="K483" i="6"/>
  <c r="K29" i="6"/>
  <c r="K81" i="6"/>
  <c r="K137" i="6"/>
  <c r="K207" i="6"/>
  <c r="K273" i="6"/>
  <c r="K296" i="6"/>
  <c r="K334" i="6"/>
  <c r="K504" i="6"/>
  <c r="K593" i="6"/>
  <c r="K398" i="6"/>
  <c r="K399" i="6"/>
  <c r="A22" i="104"/>
  <c r="B22" i="104"/>
  <c r="C22" i="104"/>
  <c r="I22" i="104"/>
  <c r="I23" i="104"/>
  <c r="I24" i="104"/>
  <c r="I25" i="104"/>
  <c r="A24" i="104"/>
  <c r="A25" i="104"/>
  <c r="B24" i="104"/>
  <c r="B25" i="104"/>
  <c r="C24" i="104"/>
  <c r="C25" i="104"/>
  <c r="A23" i="104"/>
  <c r="B23" i="104"/>
  <c r="C23" i="104"/>
  <c r="I90" i="104"/>
  <c r="A90" i="104"/>
  <c r="B90" i="104"/>
  <c r="C90" i="104"/>
  <c r="I28" i="104"/>
  <c r="A28" i="104"/>
  <c r="B28" i="104"/>
  <c r="C28" i="104"/>
  <c r="J206" i="6" l="1"/>
  <c r="K206" i="6"/>
  <c r="F40" i="6"/>
  <c r="J40" i="6"/>
  <c r="K40" i="6"/>
  <c r="B3" i="15"/>
  <c r="C3" i="15"/>
  <c r="J205" i="6"/>
  <c r="K205" i="6"/>
  <c r="I20" i="104"/>
  <c r="I19" i="104"/>
  <c r="A20" i="104"/>
  <c r="B20" i="104"/>
  <c r="C20" i="104"/>
  <c r="A19" i="104"/>
  <c r="B19" i="104"/>
  <c r="C19" i="104"/>
  <c r="I21" i="104"/>
  <c r="A21" i="104"/>
  <c r="B21" i="104"/>
  <c r="C21" i="104"/>
  <c r="I104" i="104" l="1"/>
  <c r="A104" i="104"/>
  <c r="B104" i="104"/>
  <c r="C104" i="104"/>
  <c r="I89" i="104" l="1"/>
  <c r="I18" i="104"/>
  <c r="I17" i="104"/>
  <c r="A89" i="104"/>
  <c r="B89" i="104"/>
  <c r="C89" i="104"/>
  <c r="A18" i="104"/>
  <c r="B18" i="104"/>
  <c r="C18" i="104"/>
  <c r="A17" i="104"/>
  <c r="B17" i="104"/>
  <c r="C17" i="104"/>
  <c r="F517" i="6" l="1"/>
  <c r="K517" i="6"/>
  <c r="B25" i="15"/>
  <c r="C25" i="15"/>
  <c r="F421" i="6"/>
  <c r="K421" i="6"/>
  <c r="B16" i="15"/>
  <c r="C16" i="15"/>
  <c r="F482" i="6"/>
  <c r="J482" i="6"/>
  <c r="K482" i="6"/>
  <c r="B19" i="15"/>
  <c r="C19" i="15"/>
  <c r="F503" i="6"/>
  <c r="J503" i="6"/>
  <c r="K503" i="6"/>
  <c r="F437" i="6"/>
  <c r="J437" i="6"/>
  <c r="K437" i="6"/>
  <c r="F439" i="6"/>
  <c r="J439" i="6"/>
  <c r="K439" i="6"/>
  <c r="F438" i="6"/>
  <c r="J438" i="6"/>
  <c r="K438" i="6"/>
  <c r="F471" i="6"/>
  <c r="J471" i="6"/>
  <c r="K471" i="6"/>
  <c r="F436" i="6"/>
  <c r="J436" i="6"/>
  <c r="K436" i="6"/>
  <c r="F396" i="6"/>
  <c r="F397" i="6"/>
  <c r="J397" i="6"/>
  <c r="K396" i="6"/>
  <c r="K397" i="6"/>
  <c r="K592" i="6"/>
  <c r="I15" i="104"/>
  <c r="A15" i="104"/>
  <c r="B15" i="104"/>
  <c r="C15" i="104"/>
  <c r="I16" i="104"/>
  <c r="A16" i="104"/>
  <c r="B16" i="104"/>
  <c r="C16" i="104"/>
  <c r="F28" i="6" l="1"/>
  <c r="F80" i="6"/>
  <c r="F272" i="6"/>
  <c r="F295" i="6"/>
  <c r="F333" i="6"/>
  <c r="J665" i="6"/>
  <c r="J652" i="6"/>
  <c r="J28" i="6"/>
  <c r="J80" i="6"/>
  <c r="J136" i="6"/>
  <c r="J272" i="6"/>
  <c r="J295" i="6"/>
  <c r="J333" i="6"/>
  <c r="K665" i="6"/>
  <c r="K652" i="6"/>
  <c r="K678" i="6"/>
  <c r="K28" i="6"/>
  <c r="K80" i="6"/>
  <c r="K136" i="6"/>
  <c r="K272" i="6"/>
  <c r="K295" i="6"/>
  <c r="K333" i="6"/>
  <c r="F394" i="6" l="1"/>
  <c r="F395" i="6"/>
  <c r="J395" i="6"/>
  <c r="K394" i="6"/>
  <c r="K395" i="6"/>
  <c r="F470" i="6" l="1"/>
  <c r="J470" i="6"/>
  <c r="K470" i="6"/>
  <c r="F392" i="6"/>
  <c r="F393" i="6"/>
  <c r="J393" i="6"/>
  <c r="J664" i="6"/>
  <c r="J651" i="6"/>
  <c r="K392" i="6"/>
  <c r="K393" i="6"/>
  <c r="K664" i="6"/>
  <c r="K651" i="6"/>
  <c r="K677" i="6"/>
  <c r="F502" i="6"/>
  <c r="F435" i="6"/>
  <c r="J502" i="6"/>
  <c r="J435" i="6"/>
  <c r="K502" i="6"/>
  <c r="K591" i="6"/>
  <c r="K435" i="6"/>
  <c r="F433" i="6"/>
  <c r="F434" i="6"/>
  <c r="J433" i="6"/>
  <c r="J434" i="6"/>
  <c r="K433" i="6"/>
  <c r="K434" i="6"/>
  <c r="F79" i="6"/>
  <c r="J79" i="6"/>
  <c r="K79" i="6"/>
  <c r="J203" i="6"/>
  <c r="K203" i="6"/>
  <c r="I13" i="104"/>
  <c r="I14" i="104"/>
  <c r="A13" i="104"/>
  <c r="B13" i="104"/>
  <c r="C13" i="104"/>
  <c r="A14" i="104"/>
  <c r="B14" i="104"/>
  <c r="C14" i="104"/>
  <c r="I88" i="104"/>
  <c r="A88" i="104"/>
  <c r="B88" i="104"/>
  <c r="C88" i="104"/>
  <c r="I12" i="104"/>
  <c r="A12" i="104"/>
  <c r="B12" i="104"/>
  <c r="C12" i="104"/>
  <c r="I11" i="104" l="1"/>
  <c r="A11" i="104"/>
  <c r="B11" i="104"/>
  <c r="C11" i="104"/>
  <c r="B18" i="15" l="1"/>
  <c r="C18" i="15"/>
  <c r="F469" i="6"/>
  <c r="J469" i="6"/>
  <c r="K469" i="6"/>
  <c r="I10" i="104"/>
  <c r="A10" i="104"/>
  <c r="B10" i="104"/>
  <c r="C10" i="104"/>
  <c r="I9" i="104"/>
  <c r="A9" i="104"/>
  <c r="B9" i="104"/>
  <c r="C9" i="104"/>
  <c r="J135" i="6" l="1"/>
  <c r="K135" i="6"/>
  <c r="F78" i="6"/>
  <c r="F332" i="6"/>
  <c r="F294" i="6"/>
  <c r="F271" i="6"/>
  <c r="J78" i="6"/>
  <c r="J332" i="6"/>
  <c r="J294" i="6"/>
  <c r="J271" i="6"/>
  <c r="J202" i="6"/>
  <c r="K78" i="6"/>
  <c r="K332" i="6"/>
  <c r="K294" i="6"/>
  <c r="K271" i="6"/>
  <c r="K202" i="6"/>
  <c r="F27" i="6"/>
  <c r="J27" i="6"/>
  <c r="K27" i="6"/>
  <c r="K590" i="6"/>
  <c r="F55" i="6"/>
  <c r="J55" i="6"/>
  <c r="K55" i="6"/>
  <c r="J650" i="6"/>
  <c r="K650" i="6"/>
  <c r="F391" i="6" l="1"/>
  <c r="K391" i="6"/>
  <c r="I2" i="104"/>
  <c r="A2" i="104"/>
  <c r="B2" i="104"/>
  <c r="C2" i="104"/>
  <c r="F270" i="6"/>
  <c r="J270" i="6"/>
  <c r="K270" i="6"/>
  <c r="I7" i="104"/>
  <c r="I8" i="104"/>
  <c r="I6" i="104"/>
  <c r="A6" i="104"/>
  <c r="B6" i="104"/>
  <c r="C6" i="104"/>
  <c r="A8" i="104"/>
  <c r="B8" i="104"/>
  <c r="C8" i="104"/>
  <c r="A7" i="104"/>
  <c r="B7" i="104"/>
  <c r="C7" i="104"/>
  <c r="I5" i="104" l="1"/>
  <c r="A5" i="104"/>
  <c r="B5" i="104"/>
  <c r="C5" i="104"/>
  <c r="I4" i="104"/>
  <c r="A4" i="104"/>
  <c r="B4" i="104"/>
  <c r="C4" i="104"/>
  <c r="I3" i="104"/>
  <c r="A3" i="104"/>
  <c r="B3" i="104"/>
  <c r="C3" i="104"/>
  <c r="I103" i="104" l="1"/>
  <c r="A103" i="104"/>
  <c r="B103" i="104"/>
  <c r="C103" i="104"/>
  <c r="I102" i="104"/>
  <c r="A102" i="104"/>
  <c r="B102" i="104"/>
  <c r="C102" i="104"/>
  <c r="F26" i="6"/>
  <c r="F77" i="6"/>
  <c r="F269" i="6"/>
  <c r="F293" i="6"/>
  <c r="F331" i="6"/>
  <c r="F501" i="6"/>
  <c r="J26" i="6"/>
  <c r="J77" i="6"/>
  <c r="J134" i="6"/>
  <c r="J201" i="6"/>
  <c r="J269" i="6"/>
  <c r="J293" i="6"/>
  <c r="J331" i="6"/>
  <c r="J501" i="6"/>
  <c r="K26" i="6"/>
  <c r="K77" i="6"/>
  <c r="K134" i="6"/>
  <c r="K201" i="6"/>
  <c r="K269" i="6"/>
  <c r="K293" i="6"/>
  <c r="K331" i="6"/>
  <c r="K501" i="6"/>
  <c r="C26" i="15"/>
  <c r="C21" i="15"/>
  <c r="C17" i="15"/>
  <c r="C14" i="15"/>
  <c r="C15" i="15"/>
  <c r="C13" i="15"/>
  <c r="C12" i="15"/>
  <c r="C11" i="15"/>
  <c r="C10" i="15"/>
  <c r="C9" i="15"/>
  <c r="C7" i="15"/>
  <c r="C5" i="15"/>
  <c r="C4" i="15"/>
  <c r="C2" i="15"/>
  <c r="F390" i="6"/>
  <c r="K589" i="6"/>
  <c r="K390" i="6"/>
  <c r="F500" i="6"/>
  <c r="J500" i="6"/>
  <c r="K500" i="6"/>
  <c r="F268" i="6" l="1"/>
  <c r="J268" i="6"/>
  <c r="K268" i="6"/>
  <c r="F25" i="6"/>
  <c r="F76" i="6"/>
  <c r="F330" i="6"/>
  <c r="F292" i="6"/>
  <c r="J25" i="6"/>
  <c r="J76" i="6"/>
  <c r="J330" i="6"/>
  <c r="J292" i="6"/>
  <c r="J133" i="6"/>
  <c r="J200" i="6"/>
  <c r="K25" i="6"/>
  <c r="K76" i="6"/>
  <c r="K330" i="6"/>
  <c r="K292" i="6"/>
  <c r="K133" i="6"/>
  <c r="K200" i="6"/>
  <c r="F290" i="6"/>
  <c r="J290" i="6"/>
  <c r="K290" i="6"/>
  <c r="B26" i="15"/>
  <c r="B21" i="15"/>
  <c r="B17" i="15"/>
  <c r="B14" i="15"/>
  <c r="B15" i="15"/>
  <c r="B13" i="15"/>
  <c r="B12" i="15"/>
  <c r="B11" i="15"/>
  <c r="B10" i="15"/>
  <c r="B9" i="15"/>
  <c r="B7" i="15"/>
  <c r="B5" i="15"/>
  <c r="B4" i="15"/>
  <c r="B2" i="15"/>
  <c r="C649" i="6"/>
  <c r="F783" i="6" l="1"/>
  <c r="U27" i="15"/>
  <c r="T27" i="15"/>
  <c r="F780" i="6"/>
  <c r="S27" i="15"/>
  <c r="F769" i="6"/>
  <c r="E649" i="6"/>
  <c r="F732" i="6"/>
  <c r="R27" i="15"/>
  <c r="Q27" i="15"/>
  <c r="F692" i="6"/>
  <c r="P27" i="15"/>
  <c r="G27" i="15"/>
  <c r="K27" i="15"/>
  <c r="D27" i="15"/>
  <c r="H27" i="15"/>
  <c r="L27" i="15"/>
  <c r="E27" i="15"/>
  <c r="I27" i="15"/>
  <c r="M27" i="15"/>
  <c r="F27" i="15"/>
  <c r="J27" i="15"/>
  <c r="N27" i="15"/>
  <c r="P28" i="15"/>
  <c r="F28" i="15"/>
  <c r="J28" i="15"/>
  <c r="N28" i="15"/>
  <c r="G28" i="15"/>
  <c r="K28" i="15"/>
  <c r="D28" i="15"/>
  <c r="H28" i="15"/>
  <c r="L28" i="15"/>
  <c r="E28" i="15"/>
  <c r="I28" i="15"/>
  <c r="M28" i="15"/>
  <c r="P29" i="15"/>
  <c r="D29" i="15"/>
  <c r="H29" i="15"/>
  <c r="L29" i="15"/>
  <c r="E29" i="15"/>
  <c r="I29" i="15"/>
  <c r="M29" i="15"/>
  <c r="F29" i="15"/>
  <c r="J29" i="15"/>
  <c r="N29" i="15"/>
  <c r="G29" i="15"/>
  <c r="K29" i="15"/>
  <c r="F688" i="6"/>
  <c r="F675" i="6"/>
  <c r="F662" i="6"/>
  <c r="F674" i="6"/>
  <c r="O28" i="15"/>
  <c r="F687" i="6"/>
  <c r="O29" i="15"/>
  <c r="F661" i="6"/>
  <c r="O27" i="15"/>
  <c r="F660" i="6"/>
  <c r="F673" i="6"/>
  <c r="F686" i="6"/>
  <c r="F685" i="6"/>
  <c r="F659" i="6"/>
  <c r="F672" i="6"/>
  <c r="F671" i="6"/>
  <c r="F684" i="6"/>
  <c r="F658" i="6"/>
  <c r="F683" i="6"/>
  <c r="F657" i="6"/>
  <c r="F670" i="6"/>
  <c r="F669" i="6"/>
  <c r="F682" i="6"/>
  <c r="F656" i="6"/>
  <c r="F681" i="6"/>
  <c r="F655" i="6"/>
  <c r="F668" i="6"/>
  <c r="F667" i="6"/>
  <c r="F680" i="6"/>
  <c r="F654" i="6"/>
  <c r="F666" i="6"/>
  <c r="F679" i="6"/>
  <c r="F653" i="6"/>
  <c r="F651" i="6"/>
  <c r="F652" i="6"/>
  <c r="F677" i="6"/>
  <c r="F678" i="6"/>
  <c r="F664" i="6"/>
  <c r="F665" i="6"/>
  <c r="C29" i="15"/>
  <c r="C27" i="15"/>
  <c r="F650" i="6"/>
  <c r="C28" i="15"/>
  <c r="B29" i="15"/>
  <c r="B27" i="15"/>
  <c r="B28" i="15"/>
  <c r="F10" i="16" l="1"/>
  <c r="E10" i="16"/>
  <c r="C10" i="16" l="1"/>
  <c r="F649" i="6" l="1"/>
  <c r="J649" i="6"/>
  <c r="K649" i="6"/>
  <c r="F389" i="6"/>
  <c r="K389" i="6"/>
  <c r="K588" i="6"/>
  <c r="F499" i="6"/>
  <c r="J499" i="6"/>
  <c r="K499" i="6"/>
  <c r="F267" i="6"/>
  <c r="J132" i="6"/>
  <c r="J267" i="6"/>
  <c r="J199" i="6"/>
  <c r="K132" i="6"/>
  <c r="K267" i="6"/>
  <c r="K199" i="6"/>
  <c r="F24" i="6"/>
  <c r="F75" i="6"/>
  <c r="F329" i="6"/>
  <c r="F291" i="6"/>
  <c r="J24" i="6"/>
  <c r="J75" i="6"/>
  <c r="J329" i="6"/>
  <c r="J291" i="6"/>
  <c r="K24" i="6"/>
  <c r="K75" i="6"/>
  <c r="K329" i="6"/>
  <c r="K291" i="6"/>
  <c r="F388" i="6" l="1"/>
  <c r="F648" i="6"/>
  <c r="J648" i="6"/>
  <c r="K388" i="6"/>
  <c r="K648" i="6"/>
  <c r="K587" i="6" l="1"/>
  <c r="F289" i="6"/>
  <c r="J289" i="6"/>
  <c r="K289" i="6"/>
  <c r="F266" i="6"/>
  <c r="J266" i="6"/>
  <c r="J131" i="6"/>
  <c r="K131" i="6"/>
  <c r="F498" i="6"/>
  <c r="J498" i="6"/>
  <c r="K498" i="6"/>
  <c r="C198" i="6"/>
  <c r="E198" i="6" s="1"/>
  <c r="F328" i="6"/>
  <c r="J328" i="6"/>
  <c r="K328" i="6"/>
  <c r="F74" i="6"/>
  <c r="J74" i="6"/>
  <c r="K74" i="6"/>
  <c r="F23" i="6"/>
  <c r="J23" i="6"/>
  <c r="K23" i="6"/>
  <c r="F288" i="6"/>
  <c r="J288" i="6"/>
  <c r="K288" i="6"/>
  <c r="K266" i="6" l="1"/>
  <c r="F647" i="6" l="1"/>
  <c r="J647" i="6"/>
  <c r="K647" i="6"/>
  <c r="F497" i="6"/>
  <c r="J497" i="6"/>
  <c r="K497" i="6"/>
  <c r="F387" i="6" l="1"/>
  <c r="K387" i="6"/>
  <c r="B20" i="16" l="1"/>
  <c r="F496" i="6" l="1"/>
  <c r="J496" i="6"/>
  <c r="K496" i="6"/>
  <c r="K586" i="6"/>
  <c r="F327" i="6" l="1"/>
  <c r="J327" i="6"/>
  <c r="K327" i="6"/>
  <c r="J265" i="6"/>
  <c r="C197" i="6"/>
  <c r="E197" i="6" s="1"/>
  <c r="C130" i="6"/>
  <c r="E130" i="6" s="1"/>
  <c r="F73" i="6"/>
  <c r="J73" i="6"/>
  <c r="K73" i="6"/>
  <c r="F22" i="6"/>
  <c r="J22" i="6"/>
  <c r="K22" i="6"/>
  <c r="K265" i="6" l="1"/>
  <c r="K197" i="6"/>
  <c r="J197" i="6"/>
  <c r="F646" i="6"/>
  <c r="J646" i="6"/>
  <c r="K646" i="6"/>
  <c r="F21" i="6" l="1"/>
  <c r="J21" i="6"/>
  <c r="K21" i="6"/>
  <c r="F19" i="6" l="1"/>
  <c r="F20" i="6"/>
  <c r="J19" i="6"/>
  <c r="J20" i="6"/>
  <c r="K19" i="6"/>
  <c r="K20" i="6"/>
  <c r="F18" i="6"/>
  <c r="J18" i="6"/>
  <c r="K18" i="6"/>
  <c r="F17" i="6"/>
  <c r="J17" i="6"/>
  <c r="K17" i="6"/>
  <c r="F386" i="6" l="1"/>
  <c r="K386" i="6"/>
  <c r="F287" i="6"/>
  <c r="J287" i="6"/>
  <c r="K287" i="6"/>
  <c r="K585" i="6" l="1"/>
  <c r="D495" i="6"/>
  <c r="E495" i="6" s="1"/>
  <c r="F495" i="6"/>
  <c r="J495" i="6"/>
  <c r="K495" i="6" l="1"/>
  <c r="K578" i="6" l="1"/>
  <c r="F326" i="6" l="1"/>
  <c r="J326" i="6"/>
  <c r="K326" i="6"/>
  <c r="D196" i="6"/>
  <c r="C196" i="6" s="1"/>
  <c r="D129" i="6"/>
  <c r="C129" i="6" s="1"/>
  <c r="U6" i="15" s="1"/>
  <c r="F72" i="6"/>
  <c r="J72" i="6"/>
  <c r="K72" i="6"/>
  <c r="F16" i="6"/>
  <c r="J16" i="6"/>
  <c r="K16" i="6"/>
  <c r="F645" i="6"/>
  <c r="J645" i="6"/>
  <c r="K645" i="6"/>
  <c r="F788" i="6" l="1"/>
  <c r="U8" i="15"/>
  <c r="F792" i="6"/>
  <c r="G19" i="16"/>
  <c r="G15" i="16" s="1"/>
  <c r="F770" i="6"/>
  <c r="T8" i="15"/>
  <c r="F775" i="6"/>
  <c r="F19" i="16"/>
  <c r="F15" i="16" s="1"/>
  <c r="T6" i="15"/>
  <c r="S6" i="15"/>
  <c r="E19" i="16"/>
  <c r="E15" i="16" s="1"/>
  <c r="F754" i="6"/>
  <c r="S8" i="15"/>
  <c r="E129" i="6"/>
  <c r="F758" i="6"/>
  <c r="R8" i="15"/>
  <c r="E196" i="6"/>
  <c r="F742" i="6"/>
  <c r="D19" i="16"/>
  <c r="D15" i="16" s="1"/>
  <c r="R6" i="15"/>
  <c r="C19" i="16"/>
  <c r="C15" i="16" s="1"/>
  <c r="F746" i="6"/>
  <c r="Q8" i="15"/>
  <c r="Q6" i="15"/>
  <c r="P8" i="15"/>
  <c r="F8" i="15"/>
  <c r="D8" i="15"/>
  <c r="M8" i="15"/>
  <c r="K8" i="15"/>
  <c r="I8" i="15"/>
  <c r="G8" i="15"/>
  <c r="E8" i="15"/>
  <c r="N8" i="15"/>
  <c r="L8" i="15"/>
  <c r="J8" i="15"/>
  <c r="H8" i="15"/>
  <c r="P6" i="15"/>
  <c r="J6" i="15"/>
  <c r="D6" i="15"/>
  <c r="I6" i="15"/>
  <c r="N6" i="15"/>
  <c r="H6" i="15"/>
  <c r="M6" i="15"/>
  <c r="G6" i="15"/>
  <c r="L6" i="15"/>
  <c r="F6" i="15"/>
  <c r="K6" i="15"/>
  <c r="E6" i="15"/>
  <c r="F216" i="6"/>
  <c r="K216" i="6" s="1"/>
  <c r="F147" i="6"/>
  <c r="K147" i="6" s="1"/>
  <c r="O6" i="15"/>
  <c r="F146" i="6"/>
  <c r="O8" i="15"/>
  <c r="F215" i="6"/>
  <c r="F145" i="6"/>
  <c r="F214" i="6"/>
  <c r="F213" i="6"/>
  <c r="F144" i="6"/>
  <c r="F143" i="6"/>
  <c r="F212" i="6"/>
  <c r="F142" i="6"/>
  <c r="F211" i="6"/>
  <c r="F141" i="6"/>
  <c r="F210" i="6"/>
  <c r="F140" i="6"/>
  <c r="F209" i="6"/>
  <c r="F139" i="6"/>
  <c r="F208" i="6"/>
  <c r="F138" i="6"/>
  <c r="F207" i="6"/>
  <c r="F137" i="6"/>
  <c r="F205" i="6"/>
  <c r="F206" i="6"/>
  <c r="F136" i="6"/>
  <c r="F203" i="6"/>
  <c r="F135" i="6"/>
  <c r="F202" i="6"/>
  <c r="F134" i="6"/>
  <c r="F201" i="6"/>
  <c r="F133" i="6"/>
  <c r="C6" i="15"/>
  <c r="F200" i="6"/>
  <c r="C8" i="15"/>
  <c r="B6" i="15"/>
  <c r="B8" i="15"/>
  <c r="F132" i="6"/>
  <c r="F199" i="6"/>
  <c r="F131" i="6"/>
  <c r="F197" i="6"/>
  <c r="K264" i="6"/>
  <c r="J264" i="6"/>
  <c r="F196" i="6"/>
  <c r="J196" i="6"/>
  <c r="K196" i="6"/>
  <c r="K129" i="6"/>
  <c r="F129" i="6"/>
  <c r="J129" i="6"/>
  <c r="F385" i="6" l="1"/>
  <c r="K385" i="6"/>
  <c r="J204" i="6" l="1"/>
  <c r="K204" i="6"/>
  <c r="F204" i="6"/>
  <c r="D494" i="6"/>
  <c r="F494" i="6"/>
  <c r="J494" i="6"/>
  <c r="K494" i="6"/>
  <c r="K584" i="6"/>
  <c r="F286" i="6"/>
  <c r="J286" i="6"/>
  <c r="K286" i="6"/>
  <c r="D309" i="6"/>
  <c r="E309" i="6" s="1"/>
  <c r="F309" i="6"/>
  <c r="J309" i="6"/>
  <c r="F71" i="6"/>
  <c r="J71" i="6"/>
  <c r="K71" i="6"/>
  <c r="F325" i="6"/>
  <c r="J325" i="6"/>
  <c r="K325" i="6"/>
  <c r="F644" i="6"/>
  <c r="J644" i="6"/>
  <c r="K644" i="6"/>
  <c r="K309" i="6" l="1"/>
  <c r="D384" i="6"/>
  <c r="E384" i="6" s="1"/>
  <c r="D383" i="6"/>
  <c r="E383" i="6" s="1"/>
  <c r="F383" i="6"/>
  <c r="F384" i="6"/>
  <c r="K583" i="6"/>
  <c r="K383" i="6" l="1"/>
  <c r="K384" i="6"/>
  <c r="F70" i="6"/>
  <c r="J70" i="6"/>
  <c r="K70" i="6"/>
  <c r="K127" i="6"/>
  <c r="F127" i="6"/>
  <c r="K194" i="6"/>
  <c r="F194" i="6"/>
  <c r="J194" i="6"/>
  <c r="F324" i="6"/>
  <c r="J324" i="6"/>
  <c r="K324" i="6"/>
  <c r="F15" i="6"/>
  <c r="J15" i="6"/>
  <c r="K15" i="6"/>
  <c r="F643" i="6"/>
  <c r="J643" i="6"/>
  <c r="K643" i="6"/>
  <c r="K195" i="6" l="1"/>
  <c r="F195" i="6"/>
  <c r="J195" i="6"/>
  <c r="K128" i="6"/>
  <c r="F128" i="6"/>
  <c r="J128" i="6"/>
  <c r="J127" i="6"/>
  <c r="F217" i="6" l="1"/>
  <c r="F344" i="6"/>
  <c r="F345" i="6"/>
  <c r="F93" i="6"/>
  <c r="F218" i="6"/>
  <c r="F346" i="6"/>
  <c r="F94" i="6"/>
  <c r="F219" i="6"/>
  <c r="F347" i="6"/>
  <c r="F95" i="6"/>
  <c r="F220" i="6"/>
  <c r="F348" i="6"/>
  <c r="F96" i="6"/>
  <c r="F221" i="6"/>
  <c r="F349" i="6"/>
  <c r="F350" i="6"/>
  <c r="F97" i="6"/>
  <c r="F222" i="6"/>
  <c r="F351" i="6"/>
  <c r="F98" i="6"/>
  <c r="F223" i="6"/>
  <c r="F352" i="6"/>
  <c r="F151" i="6"/>
  <c r="F152" i="6"/>
  <c r="F153" i="6"/>
  <c r="F154" i="6"/>
  <c r="F155" i="6"/>
  <c r="F156" i="6"/>
  <c r="F157" i="6"/>
  <c r="F158" i="6"/>
  <c r="F99" i="6"/>
  <c r="F224" i="6"/>
  <c r="F353" i="6"/>
  <c r="F159" i="6"/>
  <c r="F100" i="6"/>
  <c r="F225" i="6"/>
  <c r="F354" i="6"/>
  <c r="F160" i="6"/>
  <c r="F161" i="6"/>
  <c r="F101" i="6"/>
  <c r="F226" i="6"/>
  <c r="F355" i="6"/>
  <c r="F102" i="6"/>
  <c r="F227" i="6"/>
  <c r="F356" i="6"/>
  <c r="F162" i="6"/>
  <c r="F103" i="6"/>
  <c r="F228" i="6"/>
  <c r="F357" i="6"/>
  <c r="F163" i="6"/>
  <c r="F229" i="6"/>
  <c r="F104" i="6"/>
  <c r="F230" i="6"/>
  <c r="F358" i="6"/>
  <c r="F164" i="6"/>
  <c r="F105" i="6"/>
  <c r="F165" i="6"/>
  <c r="F231" i="6"/>
  <c r="F232" i="6"/>
  <c r="F359" i="6"/>
  <c r="F166" i="6"/>
  <c r="F106" i="6"/>
  <c r="F233" i="6"/>
  <c r="F234" i="6"/>
  <c r="F360" i="6"/>
  <c r="F167" i="6"/>
  <c r="F235" i="6"/>
  <c r="F52" i="6"/>
  <c r="F361" i="6"/>
  <c r="F168" i="6"/>
  <c r="F169" i="6"/>
  <c r="F236" i="6"/>
  <c r="F170" i="6"/>
  <c r="F237" i="6"/>
  <c r="F171" i="6"/>
  <c r="F307" i="6"/>
  <c r="F172" i="6"/>
  <c r="F238" i="6"/>
  <c r="F362" i="6"/>
  <c r="F107" i="6"/>
  <c r="F363" i="6"/>
  <c r="F173" i="6"/>
  <c r="F239" i="6"/>
  <c r="F108" i="6"/>
  <c r="F308" i="6"/>
  <c r="F364" i="6"/>
  <c r="F109" i="6"/>
  <c r="F174" i="6"/>
  <c r="F240" i="6"/>
  <c r="F110" i="6"/>
  <c r="F365" i="6"/>
  <c r="F111" i="6"/>
  <c r="F175" i="6"/>
  <c r="F241" i="6"/>
  <c r="F53" i="6"/>
  <c r="F242" i="6"/>
  <c r="F366" i="6"/>
  <c r="F2" i="6"/>
  <c r="F112" i="6"/>
  <c r="F176" i="6"/>
  <c r="F243" i="6"/>
  <c r="F605" i="6"/>
  <c r="F367" i="6"/>
  <c r="F113" i="6"/>
  <c r="F177" i="6"/>
  <c r="F244" i="6"/>
  <c r="F178" i="6"/>
  <c r="F3" i="6"/>
  <c r="F245" i="6"/>
  <c r="F606" i="6"/>
  <c r="F368" i="6"/>
  <c r="F114" i="6"/>
  <c r="F4" i="6"/>
  <c r="F179" i="6"/>
  <c r="F180" i="6"/>
  <c r="F607" i="6"/>
  <c r="F369" i="6"/>
  <c r="F115" i="6"/>
  <c r="F181" i="6"/>
  <c r="F311" i="6"/>
  <c r="F370" i="6"/>
  <c r="F371" i="6"/>
  <c r="F608" i="6"/>
  <c r="F312" i="6"/>
  <c r="F182" i="6"/>
  <c r="F609" i="6"/>
  <c r="F372" i="6"/>
  <c r="F610" i="6"/>
  <c r="F116" i="6"/>
  <c r="F183" i="6"/>
  <c r="F313" i="6"/>
  <c r="F5" i="6"/>
  <c r="F611" i="6"/>
  <c r="F373" i="6"/>
  <c r="F612" i="6"/>
  <c r="F613" i="6"/>
  <c r="F6" i="6"/>
  <c r="F117" i="6"/>
  <c r="F184" i="6"/>
  <c r="F314" i="6"/>
  <c r="F614" i="6"/>
  <c r="F615" i="6"/>
  <c r="F374" i="6"/>
  <c r="F616" i="6"/>
  <c r="F61" i="6"/>
  <c r="F617" i="6"/>
  <c r="F118" i="6"/>
  <c r="F7" i="6"/>
  <c r="F185" i="6"/>
  <c r="F315" i="6"/>
  <c r="F618" i="6"/>
  <c r="F375" i="6"/>
  <c r="F619" i="6"/>
  <c r="F620" i="6"/>
  <c r="F621" i="6"/>
  <c r="F8" i="6"/>
  <c r="F62" i="6"/>
  <c r="F119" i="6"/>
  <c r="F186" i="6"/>
  <c r="F316" i="6"/>
  <c r="F376" i="6"/>
  <c r="F622" i="6"/>
  <c r="F623" i="6"/>
  <c r="F120" i="6"/>
  <c r="F63" i="6"/>
  <c r="F187" i="6"/>
  <c r="F317" i="6"/>
  <c r="F624" i="6"/>
  <c r="F625" i="6"/>
  <c r="F626" i="6"/>
  <c r="F627" i="6"/>
  <c r="F628" i="6"/>
  <c r="F629" i="6"/>
  <c r="F377" i="6"/>
  <c r="F630" i="6"/>
  <c r="F9" i="6"/>
  <c r="F64" i="6"/>
  <c r="F121" i="6"/>
  <c r="F188" i="6"/>
  <c r="F318" i="6"/>
  <c r="F631" i="6"/>
  <c r="F632" i="6"/>
  <c r="F378" i="6"/>
  <c r="F633" i="6"/>
  <c r="F634" i="6"/>
  <c r="F10" i="6"/>
  <c r="F65" i="6"/>
  <c r="F122" i="6"/>
  <c r="F189" i="6"/>
  <c r="F319" i="6"/>
  <c r="F54" i="6"/>
  <c r="F635" i="6"/>
  <c r="F636" i="6"/>
  <c r="F637" i="6"/>
  <c r="F638" i="6"/>
  <c r="F379" i="6"/>
  <c r="F11" i="6"/>
  <c r="F66" i="6"/>
  <c r="F123" i="6"/>
  <c r="F190" i="6"/>
  <c r="F320" i="6"/>
  <c r="F639" i="6"/>
  <c r="F380" i="6"/>
  <c r="F640" i="6"/>
  <c r="F12" i="6"/>
  <c r="F67" i="6"/>
  <c r="F124" i="6"/>
  <c r="F191" i="6"/>
  <c r="F321" i="6"/>
  <c r="F381" i="6"/>
  <c r="F641" i="6"/>
  <c r="F642" i="6"/>
  <c r="F192" i="6"/>
  <c r="F382" i="6"/>
  <c r="F125" i="6"/>
  <c r="F14" i="6"/>
  <c r="F69" i="6"/>
  <c r="F126" i="6"/>
  <c r="F193" i="6"/>
  <c r="F323" i="6"/>
  <c r="F13" i="6"/>
  <c r="F68" i="6"/>
  <c r="F322" i="6"/>
  <c r="F92" i="6"/>
  <c r="K582" i="6" l="1"/>
  <c r="J262" i="6" l="1"/>
  <c r="K262" i="6"/>
  <c r="J642" i="6" l="1"/>
  <c r="K642" i="6"/>
  <c r="J263" i="6" l="1"/>
  <c r="K263" i="6"/>
  <c r="J639" i="6" l="1"/>
  <c r="J640" i="6"/>
  <c r="J12" i="6"/>
  <c r="J67" i="6"/>
  <c r="J124" i="6"/>
  <c r="J191" i="6"/>
  <c r="J259" i="6"/>
  <c r="J321" i="6"/>
  <c r="J641" i="6"/>
  <c r="J13" i="6"/>
  <c r="J68" i="6"/>
  <c r="J192" i="6"/>
  <c r="J260" i="6"/>
  <c r="J322" i="6"/>
  <c r="J125" i="6"/>
  <c r="J14" i="6"/>
  <c r="J69" i="6"/>
  <c r="J126" i="6"/>
  <c r="J193" i="6"/>
  <c r="J261" i="6"/>
  <c r="J323" i="6"/>
  <c r="K639" i="6"/>
  <c r="K380" i="6"/>
  <c r="K640" i="6"/>
  <c r="K12" i="6"/>
  <c r="K67" i="6"/>
  <c r="K124" i="6"/>
  <c r="K191" i="6"/>
  <c r="K259" i="6"/>
  <c r="K321" i="6"/>
  <c r="K580" i="6"/>
  <c r="K381" i="6"/>
  <c r="K641" i="6"/>
  <c r="K13" i="6"/>
  <c r="K68" i="6"/>
  <c r="K192" i="6"/>
  <c r="K260" i="6"/>
  <c r="K322" i="6"/>
  <c r="K125" i="6"/>
  <c r="K581" i="6"/>
  <c r="K382" i="6"/>
  <c r="K14" i="6"/>
  <c r="K69" i="6"/>
  <c r="K126" i="6"/>
  <c r="K193" i="6"/>
  <c r="K261" i="6"/>
  <c r="K323" i="6"/>
  <c r="K579" i="6" l="1"/>
  <c r="K258" i="6"/>
  <c r="K190" i="6"/>
  <c r="J190" i="6"/>
  <c r="K123" i="6"/>
  <c r="J123" i="6"/>
  <c r="K66" i="6"/>
  <c r="J66" i="6"/>
  <c r="K11" i="6"/>
  <c r="J11" i="6"/>
  <c r="K379" i="6"/>
  <c r="K638" i="6"/>
  <c r="J638" i="6"/>
  <c r="K577" i="6"/>
  <c r="K637" i="6"/>
  <c r="J637" i="6"/>
  <c r="K636" i="6"/>
  <c r="J636" i="6"/>
  <c r="K635" i="6"/>
  <c r="J635" i="6"/>
  <c r="K54" i="6"/>
  <c r="J54" i="6"/>
  <c r="K576" i="6"/>
  <c r="K122" i="6"/>
  <c r="J122" i="6"/>
  <c r="K65" i="6"/>
  <c r="J65" i="6"/>
  <c r="K10" i="6"/>
  <c r="J10" i="6"/>
  <c r="K634" i="6"/>
  <c r="J634" i="6"/>
  <c r="K633" i="6"/>
  <c r="J633" i="6"/>
  <c r="K378" i="6"/>
  <c r="K632" i="6"/>
  <c r="J632" i="6"/>
  <c r="K575" i="6"/>
  <c r="K631" i="6"/>
  <c r="J631" i="6"/>
  <c r="K318" i="6"/>
  <c r="J318" i="6"/>
  <c r="K256" i="6"/>
  <c r="J256" i="6"/>
  <c r="K188" i="6"/>
  <c r="J188" i="6"/>
  <c r="K121" i="6"/>
  <c r="J121" i="6"/>
  <c r="K64" i="6"/>
  <c r="J64" i="6"/>
  <c r="K9" i="6"/>
  <c r="J9" i="6"/>
  <c r="K630" i="6"/>
  <c r="J630" i="6"/>
  <c r="K377" i="6"/>
  <c r="K629" i="6"/>
  <c r="J629" i="6"/>
  <c r="K628" i="6"/>
  <c r="J628" i="6"/>
  <c r="K627" i="6"/>
  <c r="J627" i="6"/>
  <c r="K574" i="6"/>
  <c r="K626" i="6"/>
  <c r="J626" i="6"/>
  <c r="K625" i="6"/>
  <c r="J625" i="6"/>
  <c r="K624" i="6"/>
  <c r="J624" i="6"/>
  <c r="K317" i="6"/>
  <c r="J317" i="6"/>
  <c r="K255" i="6"/>
  <c r="J255" i="6"/>
  <c r="K187" i="6"/>
  <c r="J187" i="6"/>
  <c r="K63" i="6"/>
  <c r="J63" i="6"/>
  <c r="K120" i="6"/>
  <c r="J120" i="6"/>
  <c r="K623" i="6"/>
  <c r="J623" i="6"/>
  <c r="K622" i="6"/>
  <c r="J622" i="6"/>
  <c r="K376" i="6"/>
  <c r="K573" i="6"/>
  <c r="K316" i="6"/>
  <c r="J316" i="6"/>
  <c r="K254" i="6"/>
  <c r="J254" i="6"/>
  <c r="K186" i="6"/>
  <c r="J186" i="6"/>
  <c r="K119" i="6"/>
  <c r="J119" i="6"/>
  <c r="K62" i="6"/>
  <c r="J62" i="6"/>
  <c r="K8" i="6"/>
  <c r="J8" i="6"/>
  <c r="K621" i="6"/>
  <c r="J621" i="6"/>
  <c r="K620" i="6"/>
  <c r="J620" i="6"/>
  <c r="K619" i="6"/>
  <c r="J619" i="6"/>
  <c r="K375" i="6"/>
  <c r="K618" i="6"/>
  <c r="J618" i="6"/>
  <c r="K572" i="6"/>
  <c r="K315" i="6"/>
  <c r="J315" i="6"/>
  <c r="K253" i="6"/>
  <c r="J253" i="6"/>
  <c r="K185" i="6"/>
  <c r="J185" i="6"/>
  <c r="K7" i="6"/>
  <c r="J7" i="6"/>
  <c r="K118" i="6"/>
  <c r="J118" i="6"/>
  <c r="K617" i="6"/>
  <c r="J617" i="6"/>
  <c r="K61" i="6"/>
  <c r="J61" i="6"/>
  <c r="K616" i="6"/>
  <c r="J616" i="6"/>
  <c r="K374" i="6"/>
  <c r="K615" i="6"/>
  <c r="J615" i="6"/>
  <c r="K614" i="6"/>
  <c r="J614" i="6"/>
  <c r="K314" i="6"/>
  <c r="J314" i="6"/>
  <c r="K252" i="6"/>
  <c r="J252" i="6"/>
  <c r="K184" i="6"/>
  <c r="J184" i="6"/>
  <c r="K117" i="6"/>
  <c r="J117" i="6"/>
  <c r="K6" i="6"/>
  <c r="J6" i="6"/>
  <c r="K613" i="6"/>
  <c r="J613" i="6"/>
  <c r="K251" i="6"/>
  <c r="J251" i="6"/>
  <c r="K612" i="6"/>
  <c r="J612" i="6"/>
  <c r="K373" i="6"/>
  <c r="K571" i="6"/>
  <c r="K611" i="6"/>
  <c r="J611" i="6"/>
  <c r="K5" i="6"/>
  <c r="J5" i="6"/>
  <c r="K250" i="6"/>
  <c r="J250" i="6"/>
  <c r="K313" i="6"/>
  <c r="J313" i="6"/>
  <c r="K249" i="6"/>
  <c r="J249" i="6"/>
  <c r="K183" i="6"/>
  <c r="J183" i="6"/>
  <c r="K116" i="6"/>
  <c r="J116" i="6"/>
  <c r="K610" i="6"/>
  <c r="J610" i="6"/>
  <c r="K372" i="6"/>
  <c r="K609" i="6"/>
  <c r="J609" i="6"/>
  <c r="K570" i="6"/>
  <c r="K182" i="6"/>
  <c r="J182" i="6"/>
  <c r="K312" i="6"/>
  <c r="J312" i="6"/>
  <c r="K248" i="6"/>
  <c r="J248" i="6"/>
  <c r="K569" i="6"/>
  <c r="K568" i="6"/>
  <c r="K608" i="6"/>
  <c r="J608" i="6"/>
  <c r="K567" i="6"/>
  <c r="K371" i="6"/>
  <c r="K370" i="6"/>
  <c r="K311" i="6"/>
  <c r="J311" i="6"/>
  <c r="K181" i="6"/>
  <c r="J181" i="6"/>
  <c r="K115" i="6"/>
  <c r="J115" i="6"/>
  <c r="K566" i="6"/>
  <c r="K369" i="6"/>
  <c r="K607" i="6"/>
  <c r="J607" i="6"/>
  <c r="K565" i="6"/>
  <c r="K180" i="6"/>
  <c r="J180" i="6"/>
  <c r="K246" i="6"/>
  <c r="J246" i="6"/>
  <c r="K179" i="6"/>
  <c r="J179" i="6"/>
  <c r="K4" i="6"/>
  <c r="J4" i="6"/>
  <c r="K114" i="6"/>
  <c r="J114" i="6"/>
  <c r="K368" i="6"/>
  <c r="K606" i="6"/>
  <c r="J606" i="6"/>
  <c r="K564" i="6"/>
  <c r="K245" i="6"/>
  <c r="J245" i="6"/>
  <c r="K3" i="6"/>
  <c r="J3" i="6"/>
  <c r="K178" i="6"/>
  <c r="J178" i="6"/>
  <c r="K563" i="6"/>
  <c r="K562" i="6"/>
  <c r="K244" i="6"/>
  <c r="J244" i="6"/>
  <c r="K177" i="6"/>
  <c r="J177" i="6"/>
  <c r="K113" i="6"/>
  <c r="J113" i="6"/>
  <c r="K367" i="6"/>
  <c r="K605" i="6"/>
  <c r="J605" i="6"/>
  <c r="K243" i="6"/>
  <c r="J243" i="6"/>
  <c r="K176" i="6"/>
  <c r="J176" i="6"/>
  <c r="K112" i="6"/>
  <c r="J112" i="6"/>
  <c r="K2" i="6"/>
  <c r="J2" i="6"/>
  <c r="K561" i="6"/>
  <c r="K560" i="6"/>
  <c r="K366" i="6"/>
  <c r="K242" i="6"/>
  <c r="J242" i="6"/>
  <c r="K53" i="6"/>
  <c r="J53" i="6"/>
  <c r="K559" i="6"/>
  <c r="K241" i="6"/>
  <c r="J241" i="6"/>
  <c r="K175" i="6"/>
  <c r="J175" i="6"/>
  <c r="K111" i="6"/>
  <c r="J111" i="6"/>
  <c r="K558" i="6"/>
  <c r="K365" i="6"/>
  <c r="K557" i="6"/>
  <c r="K110" i="6"/>
  <c r="J110" i="6"/>
  <c r="K240" i="6"/>
  <c r="J240" i="6"/>
  <c r="K174" i="6"/>
  <c r="J174" i="6"/>
  <c r="K109" i="6"/>
  <c r="J109" i="6"/>
  <c r="K364" i="6"/>
  <c r="K556" i="6"/>
  <c r="K555" i="6"/>
  <c r="K554" i="6"/>
  <c r="K308" i="6"/>
  <c r="J308" i="6"/>
  <c r="K108" i="6"/>
  <c r="J108" i="6"/>
  <c r="K239" i="6"/>
  <c r="J239" i="6"/>
  <c r="K173" i="6"/>
  <c r="J173" i="6"/>
  <c r="K553" i="6"/>
  <c r="K363" i="6"/>
  <c r="K552" i="6"/>
  <c r="K107" i="6"/>
  <c r="J107" i="6"/>
  <c r="K362" i="6"/>
  <c r="K238" i="6"/>
  <c r="J238" i="6"/>
  <c r="K172" i="6"/>
  <c r="J172" i="6"/>
  <c r="K307" i="6"/>
  <c r="J307" i="6"/>
  <c r="K551" i="6"/>
  <c r="K550" i="6"/>
  <c r="K171" i="6"/>
  <c r="J171" i="6"/>
  <c r="K237" i="6"/>
  <c r="J237" i="6"/>
  <c r="K170" i="6"/>
  <c r="J170" i="6"/>
  <c r="K236" i="6"/>
  <c r="J236" i="6"/>
  <c r="K169" i="6"/>
  <c r="J169" i="6"/>
  <c r="K168" i="6"/>
  <c r="J168" i="6"/>
  <c r="K549" i="6"/>
  <c r="K52" i="6"/>
  <c r="J52" i="6"/>
  <c r="K235" i="6"/>
  <c r="J235" i="6"/>
  <c r="K167" i="6"/>
  <c r="J167" i="6"/>
  <c r="K360" i="6"/>
  <c r="K234" i="6"/>
  <c r="J234" i="6"/>
  <c r="K233" i="6"/>
  <c r="J233" i="6"/>
  <c r="K548" i="6"/>
  <c r="K106" i="6"/>
  <c r="J106" i="6"/>
  <c r="K166" i="6"/>
  <c r="J166" i="6"/>
  <c r="K359" i="6"/>
  <c r="K232" i="6"/>
  <c r="J232" i="6"/>
  <c r="K547" i="6"/>
  <c r="K231" i="6"/>
  <c r="J231" i="6"/>
  <c r="K165" i="6"/>
  <c r="J165" i="6"/>
  <c r="K105" i="6"/>
  <c r="J105" i="6"/>
  <c r="K546" i="6"/>
  <c r="K164" i="6"/>
  <c r="J164" i="6"/>
  <c r="K358" i="6"/>
  <c r="K230" i="6"/>
  <c r="J230" i="6"/>
  <c r="K545" i="6"/>
  <c r="K104" i="6"/>
  <c r="J104" i="6"/>
  <c r="K229" i="6"/>
  <c r="J229" i="6"/>
  <c r="K163" i="6"/>
  <c r="J163" i="6"/>
  <c r="K228" i="6"/>
  <c r="J228" i="6"/>
  <c r="K544" i="6"/>
  <c r="K103" i="6"/>
  <c r="J103" i="6"/>
  <c r="K162" i="6"/>
  <c r="J162" i="6"/>
  <c r="K356" i="6"/>
  <c r="K227" i="6"/>
  <c r="J227" i="6"/>
  <c r="K543" i="6"/>
  <c r="K102" i="6"/>
  <c r="J102" i="6"/>
  <c r="K355" i="6"/>
  <c r="K226" i="6"/>
  <c r="J226" i="6"/>
  <c r="K542" i="6"/>
  <c r="K101" i="6"/>
  <c r="J101" i="6"/>
  <c r="K161" i="6"/>
  <c r="J161" i="6"/>
  <c r="K160" i="6"/>
  <c r="J160" i="6"/>
  <c r="K354" i="6"/>
  <c r="K541" i="6"/>
  <c r="K225" i="6"/>
  <c r="J225" i="6"/>
  <c r="K100" i="6"/>
  <c r="J100" i="6"/>
  <c r="K159" i="6"/>
  <c r="J159" i="6"/>
  <c r="K353" i="6"/>
  <c r="K224" i="6"/>
  <c r="J224" i="6"/>
  <c r="K540" i="6"/>
  <c r="K99" i="6"/>
  <c r="J99" i="6"/>
  <c r="K158" i="6"/>
  <c r="J158" i="6"/>
  <c r="K157" i="6"/>
  <c r="J157" i="6"/>
  <c r="K156" i="6"/>
  <c r="J156" i="6"/>
  <c r="K155" i="6"/>
  <c r="J155" i="6"/>
  <c r="K154" i="6"/>
  <c r="J154" i="6"/>
  <c r="K153" i="6"/>
  <c r="J153" i="6"/>
  <c r="K152" i="6"/>
  <c r="J152" i="6"/>
  <c r="K151" i="6"/>
  <c r="J151" i="6"/>
  <c r="K352" i="6"/>
  <c r="K223" i="6"/>
  <c r="J223" i="6"/>
  <c r="K539" i="6"/>
  <c r="K98" i="6"/>
  <c r="J98" i="6"/>
  <c r="K351" i="6"/>
  <c r="K538" i="6"/>
  <c r="K222" i="6"/>
  <c r="J222" i="6"/>
  <c r="K97" i="6"/>
  <c r="J97" i="6"/>
  <c r="K350" i="6"/>
  <c r="K349" i="6"/>
  <c r="K537" i="6"/>
  <c r="K221" i="6"/>
  <c r="J221" i="6"/>
  <c r="K96" i="6"/>
  <c r="J96" i="6"/>
  <c r="K348" i="6"/>
  <c r="K220" i="6"/>
  <c r="J220" i="6"/>
  <c r="K536" i="6"/>
  <c r="K95" i="6"/>
  <c r="J95" i="6"/>
  <c r="K347" i="6"/>
  <c r="K219" i="6"/>
  <c r="J219" i="6"/>
  <c r="K535" i="6"/>
  <c r="K94" i="6"/>
  <c r="J94" i="6"/>
  <c r="K346" i="6"/>
  <c r="K218" i="6"/>
  <c r="J218" i="6"/>
  <c r="K533" i="6"/>
  <c r="K93" i="6"/>
  <c r="J93" i="6"/>
  <c r="K345" i="6"/>
  <c r="K344" i="6"/>
  <c r="K532" i="6"/>
  <c r="K217" i="6"/>
  <c r="J217" i="6"/>
  <c r="K92" i="6"/>
  <c r="J92" i="6"/>
  <c r="B1" i="12"/>
  <c r="S1659" i="697" l="1"/>
  <c r="S1660" i="697"/>
  <c r="S1656" i="697"/>
  <c r="S1657" i="697"/>
  <c r="S1654" i="697"/>
  <c r="S1655" i="697"/>
  <c r="S1652" i="697"/>
  <c r="S1653" i="697"/>
  <c r="S1650" i="697"/>
  <c r="S1651" i="697"/>
  <c r="S1648" i="697"/>
  <c r="S1649" i="697"/>
  <c r="S1646" i="697"/>
  <c r="S1647" i="697"/>
  <c r="S1644" i="697"/>
  <c r="S1645" i="697"/>
  <c r="S1642" i="697"/>
  <c r="S1643" i="697"/>
  <c r="S1640" i="697"/>
  <c r="S1641" i="697"/>
  <c r="S1638" i="697"/>
  <c r="S1639" i="697"/>
  <c r="S1636" i="697"/>
  <c r="S1637" i="697"/>
  <c r="S1615" i="697"/>
  <c r="S1635" i="697"/>
  <c r="S1631" i="697"/>
  <c r="S1594" i="697"/>
  <c r="S1612" i="697"/>
  <c r="S1630" i="697"/>
  <c r="S1624" i="697"/>
  <c r="S1625" i="697"/>
  <c r="S1572" i="697"/>
  <c r="S1573" i="697"/>
  <c r="S1620" i="697"/>
  <c r="S1559" i="697"/>
  <c r="S1618" i="697"/>
  <c r="S1539" i="697"/>
  <c r="S1634" i="697"/>
  <c r="S1608" i="697"/>
  <c r="S1556" i="697"/>
  <c r="S1613" i="697"/>
  <c r="S1585" i="697"/>
  <c r="S1555" i="697"/>
  <c r="S1560" i="697"/>
  <c r="S1547" i="697"/>
  <c r="S1586" i="697"/>
  <c r="S1509" i="697"/>
  <c r="S1629" i="697"/>
  <c r="S1622" i="697"/>
  <c r="S1623" i="697"/>
  <c r="S1527" i="697"/>
  <c r="S1534" i="697"/>
  <c r="S1526" i="697"/>
  <c r="S1528" i="697"/>
  <c r="S1510" i="697"/>
  <c r="S1548" i="697"/>
  <c r="S1604" i="697"/>
  <c r="S1579" i="697"/>
  <c r="S1580" i="697"/>
  <c r="S1600" i="697"/>
  <c r="S1557" i="697"/>
  <c r="S1605" i="697"/>
  <c r="S1553" i="697"/>
  <c r="S1570" i="697"/>
  <c r="S1562" i="697"/>
  <c r="S1606" i="697"/>
  <c r="S1577" i="697"/>
  <c r="S1540" i="697"/>
  <c r="S1546" i="697"/>
  <c r="S1607" i="697"/>
  <c r="S1538" i="697"/>
  <c r="S1542" i="697"/>
  <c r="S1583" i="697"/>
  <c r="S1609" i="697"/>
  <c r="S1599" i="697"/>
  <c r="S1578" i="697"/>
  <c r="S1581" i="697"/>
  <c r="S1530" i="697"/>
  <c r="S1589" i="697"/>
  <c r="S1574" i="697"/>
  <c r="S1601" i="697"/>
  <c r="S1565" i="697"/>
  <c r="S1591" i="697"/>
  <c r="S1593" i="697"/>
  <c r="S1575" i="697"/>
  <c r="S1566" i="697"/>
  <c r="S1576" i="697"/>
  <c r="S1541" i="697"/>
  <c r="S1582" i="697"/>
  <c r="S1587" i="697"/>
  <c r="S1544" i="697"/>
  <c r="S1533" i="697"/>
  <c r="S1610" i="697"/>
  <c r="S1584" i="697"/>
  <c r="S1621" i="697"/>
  <c r="S1554" i="697"/>
  <c r="S1588" i="697"/>
  <c r="S1571" i="697"/>
  <c r="S1611" i="697"/>
  <c r="S1525" i="697"/>
  <c r="S1633" i="697"/>
  <c r="S1549" i="697"/>
  <c r="S1563" i="697"/>
  <c r="S1551" i="697"/>
  <c r="S1597" i="697"/>
  <c r="S1552" i="697"/>
  <c r="S1558" i="697"/>
  <c r="S1459" i="697"/>
  <c r="S1550" i="697"/>
  <c r="S1564" i="697"/>
  <c r="S1532" i="697"/>
  <c r="S1603" i="697"/>
  <c r="S1561" i="697"/>
  <c r="S1598" i="697"/>
  <c r="S1595" i="697"/>
  <c r="S1592" i="697"/>
  <c r="S1252" i="697"/>
  <c r="S1569" i="697"/>
  <c r="S1567" i="697"/>
  <c r="S1543" i="697"/>
  <c r="S1531" i="697"/>
  <c r="S1568" i="697"/>
  <c r="S1590" i="697"/>
  <c r="S1602" i="697"/>
  <c r="S1614" i="697"/>
  <c r="S1596" i="697"/>
  <c r="S1545" i="697"/>
  <c r="S1619" i="697"/>
  <c r="K361" i="6"/>
  <c r="J258" i="6"/>
  <c r="B10" i="16" l="1"/>
  <c r="K357" i="6"/>
  <c r="K320" i="6" l="1"/>
  <c r="J320" i="6"/>
  <c r="K319" i="6" l="1"/>
  <c r="J319" i="6"/>
  <c r="K257" i="6" l="1"/>
  <c r="J257" i="6"/>
  <c r="K189" i="6" l="1"/>
  <c r="J189" i="6"/>
  <c r="K534" i="6" l="1"/>
  <c r="J130" i="6" l="1"/>
  <c r="F130" i="6"/>
  <c r="K130" i="6"/>
  <c r="F253" i="6"/>
  <c r="F254" i="6"/>
  <c r="F265" i="6"/>
  <c r="F249" i="6"/>
  <c r="F264" i="6"/>
  <c r="F256" i="6"/>
  <c r="F263" i="6"/>
  <c r="F247" i="6"/>
  <c r="F258" i="6"/>
  <c r="F251" i="6"/>
  <c r="F259" i="6"/>
  <c r="F257" i="6"/>
  <c r="F255" i="6"/>
  <c r="F262" i="6"/>
  <c r="K247" i="6"/>
  <c r="F250" i="6"/>
  <c r="J247" i="6"/>
  <c r="F260" i="6"/>
  <c r="F261" i="6"/>
  <c r="F248" i="6"/>
  <c r="F252" i="6"/>
  <c r="F246" i="6"/>
  <c r="J198" i="6" l="1"/>
  <c r="F198" i="6"/>
  <c r="K198" i="6" l="1"/>
  <c r="F39" i="6"/>
  <c r="K39" i="6" s="1"/>
  <c r="J39" i="6"/>
  <c r="B19" i="16"/>
  <c r="B15" i="16" s="1"/>
  <c r="P26" i="15"/>
  <c r="F604" i="6"/>
  <c r="K604" i="6"/>
  <c r="D10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administracion</author>
  </authors>
  <commentList>
    <comment ref="A2" authorId="0" shapeId="0" xr:uid="{FA00574D-04FA-427A-A929-F861A639130F}">
      <text>
        <r>
          <rPr>
            <b/>
            <sz val="9"/>
            <color indexed="81"/>
            <rFont val="Tahoma"/>
            <family val="2"/>
          </rPr>
          <t>administracion:</t>
        </r>
        <r>
          <rPr>
            <sz val="9"/>
            <color indexed="81"/>
            <rFont val="Tahoma"/>
            <family val="2"/>
          </rPr>
          <t xml:space="preserve">
los proveedores que contengan esta palabra en el nombre no operan en el reporte.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</author>
  </authors>
  <commentList>
    <comment ref="A2" authorId="0" shapeId="0" xr:uid="{88D963EF-B1EA-4465-9389-6D76C3C3A44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3" authorId="0" shapeId="0" xr:uid="{0E35F7E3-4892-441B-9C36-36513EAE420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4" authorId="0" shapeId="0" xr:uid="{6E42A368-8ED8-4EF7-9E36-E83B49E05D5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5" authorId="0" shapeId="0" xr:uid="{149E088B-DD5B-4FDA-9545-9EB8027B03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6" authorId="0" shapeId="0" xr:uid="{2EA1BD87-697A-4B7B-8103-DF6425F82E6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Lo hace Girlesa</t>
        </r>
      </text>
    </comment>
    <comment ref="A21" authorId="0" shapeId="0" xr:uid="{760CBFB6-C754-49F6-865E-4BAD09A47C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calcula en la hoja "factura vencidas" y luego pegar el dato aquí.</t>
        </r>
      </text>
    </comment>
    <comment ref="A22" authorId="0" shapeId="0" xr:uid="{128444A8-DCF9-4DE0-B9E6-5FD2BA06338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3" authorId="0" shapeId="0" xr:uid="{70EF2813-EDDB-4BA2-A747-CF5FA211F66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4" authorId="0" shapeId="0" xr:uid="{6EA09FAD-D28A-4788-9137-75933B5DBC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5" authorId="0" shapeId="0" xr:uid="{3282B2BE-CD79-4579-8B1F-FAABB483608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6" authorId="0" shapeId="0" xr:uid="{F6A287FF-0876-40CB-B87A-DA5AD63355E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7" authorId="0" shapeId="0" xr:uid="{CD953C46-6BA2-40EB-A08E-CEF0CC1375F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8" authorId="0" shapeId="0" xr:uid="{598C6307-7687-4C76-B404-8EDA640252D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29" authorId="0" shapeId="0" xr:uid="{F0B66273-5A82-4CFF-8B6E-40F0ED9BFB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  <comment ref="A30" authorId="0" shapeId="0" xr:uid="{9D43A644-4878-4A20-A7FD-2E5AB08A53E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Se escribe manual a final de mes.</t>
        </r>
      </text>
    </comment>
  </commentList>
</comments>
</file>

<file path=xl/sharedStrings.xml><?xml version="1.0" encoding="utf-8"?>
<sst xmlns="http://schemas.openxmlformats.org/spreadsheetml/2006/main" count="18327" uniqueCount="1942">
  <si>
    <t>Fecha de hoy</t>
  </si>
  <si>
    <t>FECHA DE FACTURACIÓN</t>
  </si>
  <si>
    <t># DE FACTURA</t>
  </si>
  <si>
    <t>PROVEEDOR</t>
  </si>
  <si>
    <t>PLAZO Días</t>
  </si>
  <si>
    <t>NOTAS</t>
  </si>
  <si>
    <t>FECHA DE PAGO</t>
  </si>
  <si>
    <t>Estado de la factura</t>
  </si>
  <si>
    <t>Crédito / Contado</t>
  </si>
  <si>
    <t>STATUR</t>
  </si>
  <si>
    <t>TRONEX</t>
  </si>
  <si>
    <t>WIDEX</t>
  </si>
  <si>
    <t>DW</t>
  </si>
  <si>
    <t>YERMIN</t>
  </si>
  <si>
    <t>UNITEC</t>
  </si>
  <si>
    <t>SP PULSOS</t>
  </si>
  <si>
    <t>RAGO</t>
  </si>
  <si>
    <t>MPS</t>
  </si>
  <si>
    <t>HYR</t>
  </si>
  <si>
    <t>NICOMAR</t>
  </si>
  <si>
    <t>AMG</t>
  </si>
  <si>
    <t>APC</t>
  </si>
  <si>
    <t>FLASH INTERNATIONAL</t>
  </si>
  <si>
    <t>TNR</t>
  </si>
  <si>
    <t>DUNCAN</t>
  </si>
  <si>
    <t>OPELSA</t>
  </si>
  <si>
    <t>MONTBLANC</t>
  </si>
  <si>
    <t>TENERGY</t>
  </si>
  <si>
    <t>IVA</t>
  </si>
  <si>
    <t>SISTECREDITO</t>
  </si>
  <si>
    <t>KENEX</t>
  </si>
  <si>
    <t>MAKING BUSINESS</t>
  </si>
  <si>
    <t>KINO COMPANY</t>
  </si>
  <si>
    <t>IMPORTACIONES UNIFER</t>
  </si>
  <si>
    <t>ABONOS</t>
  </si>
  <si>
    <t>$ INTERESES</t>
  </si>
  <si>
    <t>ELECTRONICAS I+D</t>
  </si>
  <si>
    <t>POWERSONIC</t>
  </si>
  <si>
    <t>VALOR EN DOLARES</t>
  </si>
  <si>
    <t>Pagos del mes</t>
  </si>
  <si>
    <t>BTN</t>
  </si>
  <si>
    <t>OPELSA KENEX</t>
  </si>
  <si>
    <t>ENERGIZER BRANDS</t>
  </si>
  <si>
    <t>ISMART ELECTRONICS</t>
  </si>
  <si>
    <t>ÉXITO</t>
  </si>
  <si>
    <t>COSOSTENIBLE</t>
  </si>
  <si>
    <t>ESTUCHES DE CELULAR</t>
  </si>
  <si>
    <t>BIGTRONICA</t>
  </si>
  <si>
    <t>FALABELLA</t>
  </si>
  <si>
    <t>OPELSA TNR</t>
  </si>
  <si>
    <t>AEROSAN KENEX</t>
  </si>
  <si>
    <t>FLASH  - TNR</t>
  </si>
  <si>
    <t>FABRIRROLLOS</t>
  </si>
  <si>
    <t>FLASH - TNR</t>
  </si>
  <si>
    <t>FLASH - TNR - MONTBLANC</t>
  </si>
  <si>
    <t>OPELSA - TNR - MONTBLANC</t>
  </si>
  <si>
    <t>ROLDAN Y COMPAÑÍA - TNR - MONTBLANC</t>
  </si>
  <si>
    <t>21 GRADOS</t>
  </si>
  <si>
    <t>INNOVATECH</t>
  </si>
  <si>
    <t>FLASH - MONTBLANC</t>
  </si>
  <si>
    <t>OPELSA - TENERGY</t>
  </si>
  <si>
    <t>FLASH - TENERGY</t>
  </si>
  <si>
    <t>URIEL GALLEGO</t>
  </si>
  <si>
    <t>EMT</t>
  </si>
  <si>
    <t>LOIX</t>
  </si>
  <si>
    <t>DISUIZA</t>
  </si>
  <si>
    <t>$ CAPITAL</t>
  </si>
  <si>
    <t>SALDO</t>
  </si>
  <si>
    <t>DETALLE</t>
  </si>
  <si>
    <t>PAGO</t>
  </si>
  <si>
    <t>GABRIEL JAIME BOTERO ARANGO</t>
  </si>
  <si>
    <t>SUBTOTAL</t>
  </si>
  <si>
    <t>IVA 19%</t>
  </si>
  <si>
    <t>Total</t>
  </si>
  <si>
    <t>Rete Fuente %</t>
  </si>
  <si>
    <t>LAURA HOYOS</t>
  </si>
  <si>
    <t>MEGA</t>
  </si>
  <si>
    <t>NEW TIME BRIDGE</t>
  </si>
  <si>
    <t>OPELSA - KENEX</t>
  </si>
  <si>
    <t>SOMOS TECNOLOGIA</t>
  </si>
  <si>
    <t>DIAS DE PLAZO</t>
  </si>
  <si>
    <t>CORREO</t>
  </si>
  <si>
    <t>FLASH - Abajo</t>
  </si>
  <si>
    <t>CUENTA BANCARIA</t>
  </si>
  <si>
    <t/>
  </si>
  <si>
    <t>AHORROS BANCOLOMBIA N° 27200000468</t>
  </si>
  <si>
    <t>PSE</t>
  </si>
  <si>
    <t>COMPRAS DE CONTADO</t>
  </si>
  <si>
    <t>FLASH - casillero</t>
  </si>
  <si>
    <t>COMPRAS A CRÉDITO</t>
  </si>
  <si>
    <t>COMPRAS</t>
  </si>
  <si>
    <t>DEUDAS PROVEEDORES</t>
  </si>
  <si>
    <t>DEUDAS A BANCOS Y NATURALES</t>
  </si>
  <si>
    <t>SALDO BANCOS</t>
  </si>
  <si>
    <t>SALDO BANCOS Y EFECTIVO</t>
  </si>
  <si>
    <t>CARTERA</t>
  </si>
  <si>
    <t>DESCUENTO</t>
  </si>
  <si>
    <t>PROVEEDORES VENCIDOS</t>
  </si>
  <si>
    <t>PROVEEDORES NO VENCIDAS</t>
  </si>
  <si>
    <t>mes</t>
  </si>
  <si>
    <t>Sinoming china</t>
  </si>
  <si>
    <t>jack@sinomingproducts.com;info@servipilas.com</t>
  </si>
  <si>
    <t>KBH metering</t>
  </si>
  <si>
    <t>fiducuenta</t>
  </si>
  <si>
    <t>fidurenta</t>
  </si>
  <si>
    <t>payu</t>
  </si>
  <si>
    <r>
      <t xml:space="preserve">PAGOS DEL MES
</t>
    </r>
    <r>
      <rPr>
        <sz val="9"/>
        <rFont val="Calibri"/>
        <family val="2"/>
      </rPr>
      <t>(PROV + CREDT)</t>
    </r>
  </si>
  <si>
    <t>davivienda corriente</t>
  </si>
  <si>
    <t>itau corriente</t>
  </si>
  <si>
    <t>CORRIENTE BANCOLOMBIA No. 227-000104-25</t>
  </si>
  <si>
    <t>bancolombia ah 91215970731</t>
  </si>
  <si>
    <t>contabilidad@amgimportadora.com;mcastellanos@amgimportadora.com;girlesa.ruiz@servipilas.com;joriescobar64@gmail.com</t>
  </si>
  <si>
    <t>contabilidad@comercialweb.com.co;info@servipilas.com</t>
  </si>
  <si>
    <r>
      <t xml:space="preserve">DEUDAS
</t>
    </r>
    <r>
      <rPr>
        <sz val="9"/>
        <rFont val="Calibri"/>
        <family val="2"/>
      </rPr>
      <t>PROVEEDORES + BANCOS Y NATURALES</t>
    </r>
  </si>
  <si>
    <t>bancolombia ah 237-068 558-31</t>
  </si>
  <si>
    <t>SALDO PROVEEDOR</t>
  </si>
  <si>
    <t>Electronicas canare</t>
  </si>
  <si>
    <t>BANCOLOMBIA AHORROS 10352314124</t>
  </si>
  <si>
    <t>pse</t>
  </si>
  <si>
    <t>PV</t>
  </si>
  <si>
    <t>BANCOLOMBIA 3103</t>
  </si>
  <si>
    <t xml:space="preserve">BANCOLOMBIA USD$ </t>
  </si>
  <si>
    <t xml:space="preserve">CAJA SOCIAL </t>
  </si>
  <si>
    <t>Bancolombia cc 01058821343
Convenio 38847</t>
  </si>
  <si>
    <t xml:space="preserve">INVENTARIOS </t>
  </si>
  <si>
    <t>DINERO EN CAJA</t>
  </si>
  <si>
    <t>GASTOS</t>
  </si>
  <si>
    <t>VENTAS</t>
  </si>
  <si>
    <t>Coste financiero</t>
  </si>
  <si>
    <t>bcs corriente + corresponsal</t>
  </si>
  <si>
    <t>PRESTAMO</t>
  </si>
  <si>
    <t>SAYER - YERMIN</t>
  </si>
  <si>
    <t>JARLY SAS - JORGE ARREDONDO</t>
  </si>
  <si>
    <t>AJUSTE FIN DE MES</t>
  </si>
  <si>
    <t>intereses no pagados en 2020</t>
  </si>
  <si>
    <t>ajuste de cuentas con fernando</t>
  </si>
  <si>
    <t xml:space="preserve">Bancolombia AH 102-125 283-78 </t>
  </si>
  <si>
    <t>juan.suarez@cosostenible.com;girlesa.ruiz@servipilas.com;joriescobar64@gmail.com</t>
  </si>
  <si>
    <t>CARLOSARCILAMENSAJERIA@gmail.com;girlesa.ruiz@servipilas.com;joriescobar64@gmail.com</t>
  </si>
  <si>
    <t>yermingg@hotmail.com;girlesa.ruiz@servipilas.com;joriescobar64@gmail.com</t>
  </si>
  <si>
    <t>inspecciones@bomberossabaneta.com;girlesa.ruiz@servipilas.com;joriescobar64@gmail.com</t>
  </si>
  <si>
    <t>javiergomez_72@hotmail.com ;girlesa.ruiz@servipilas.com;joriescobar64@gmail.com</t>
  </si>
  <si>
    <t>Fernando.Carmona@energizer.com;girlesa.ruiz@servipilas.com;joriescobar64@gmail.com</t>
  </si>
  <si>
    <t>vromero@flashinternational.us;girlesa.ruiz@servipilas.com;joriescobar64@gmail.com</t>
  </si>
  <si>
    <t>cartera@jeway.com.co;girlesa.ruiz@servipilas.com;joriescobar64@gmail.com</t>
  </si>
  <si>
    <t>BRIGHTSIDELED2019@gmail.com;girlesa.ruiz@servipilas.com;joriescobar64@gmail.com</t>
  </si>
  <si>
    <t>criszapata1234@gmail.com;girlesa.ruiz@servipilas.com;joriescobar64@gmail.com</t>
  </si>
  <si>
    <t>ventasmegamundo@yahoo.es;girlesa.ruiz@servipilas.com;joriescobar64@gmail.com</t>
  </si>
  <si>
    <t>MVALENCIA@mps.com.co;girlesa.ruiz@servipilas.com;joriescobar64@gmail.com</t>
  </si>
  <si>
    <t>financiera@nalpicentral.com;girlesa.ruiz@servipilas.com;joriescobar64@gmail.com</t>
  </si>
  <si>
    <t>cartera@ienewline.com;andres.arroyave@ienewline.com;girlesa.ruiz@servipilas.com;joriescobar64@gmail.com</t>
  </si>
  <si>
    <t>Info.patex@gmail.com;girlesa.ruiz@servipilas.com;joriescobar64@gmail.com</t>
  </si>
  <si>
    <t>ragomedellin@gmail.com;girlesa.ruiz@servipilas.com;joriescobar64@gmail.com</t>
  </si>
  <si>
    <t>administracion@sapian.com.co;girlesa.ruiz@servipilas.com;joriescobar64@gmail.com</t>
  </si>
  <si>
    <t>senalizacionyavisos@gmail.com;girlesa.ruiz@servipilas.com;joriescobar64@gmail.com</t>
  </si>
  <si>
    <t>pagos@sistecredito.com;girlesa.ruiz@servipilas.com;joriescobar64@gmail.com</t>
  </si>
  <si>
    <t>soluenergiacentro@une.net.co;girlesa.ruiz@servipilas.com;joriescobar64@gmail.com</t>
  </si>
  <si>
    <t>cartera1@grupostatur.com;girlesa.ruiz@servipilas.com;joriescobar64@gmail.com</t>
  </si>
  <si>
    <t>libardopineda@tronex.com;girlesa.ruiz@servipilas.com;joriescobar64@gmail.com</t>
  </si>
  <si>
    <t>Tuspilas.co@gmail.com;girlesa.ruiz@servipilas.com;joriescobar64@gmail.com</t>
  </si>
  <si>
    <t>cxc11@unitecusa.com.co;jefecartera@unitecusa.com.co;girlesa.ruiz@servipilas.com;joriescobar64@gmail.com</t>
  </si>
  <si>
    <t>CBastidas@vyp.com.co;girlesa.ruiz@servipilas.com;joriescobar64@gmail.com</t>
  </si>
  <si>
    <t>BANCO DE BOGOTÁ cc 071-189-245</t>
  </si>
  <si>
    <t>supervisorventasbridge@gmail.com;newtimewatches1@gmail.com;girlesa.ruiz@servipilas.com;joriescobar64@gmail.com</t>
  </si>
  <si>
    <t>ALEKO</t>
  </si>
  <si>
    <t>SIMH</t>
  </si>
  <si>
    <t>electronicascanaresas@gmail.com;girlesa.ruiz@servipilas.com;joriescobar64@gmail.com</t>
  </si>
  <si>
    <t>facturasimh@simh.com.co;girlesa.ruiz@servipilas.com;joriescobar64@gmail.com</t>
  </si>
  <si>
    <t>ventas@ismartsas.com;girlesa.ruiz@servipilas.com;joriescobar64@gmail.com</t>
  </si>
  <si>
    <t>Pygimportadora@gmail.com;girlesa.ruiz@servipilas.com;joriescobar64@gmail.com</t>
  </si>
  <si>
    <t>davivienda cc 456369996909</t>
  </si>
  <si>
    <t>MSL - Somonsing China</t>
  </si>
  <si>
    <t>asistente@mslcorporate.com.co;girlesa.ruiz@servipilas.com;joriescobar64@gmail.com</t>
  </si>
  <si>
    <t>seguro colectivo</t>
  </si>
  <si>
    <t>bog.fa1@pressex.co;bog.fm1@pressex.co;kbaumgartner@pressex.co;girlesa.ruiz@servipilas.com;joriescobar64@gmail.com</t>
  </si>
  <si>
    <t>MUNDITONNER</t>
  </si>
  <si>
    <t>comercial@munditonner.com.co;girlesa.ruiz@servipilas.com;joriescobar64@gmail.com</t>
  </si>
  <si>
    <t>judy.torres@movecargo.co;girlesa.ruiz@servipilas.com;joriescobar64@gmail.com</t>
  </si>
  <si>
    <t>Pressex Logistics - tnr</t>
  </si>
  <si>
    <t xml:space="preserve">asistente@remarcalimitada.com;girlesa.ruiz@servipilas.com;joriescobar64@gmail.com
</t>
  </si>
  <si>
    <t>Pressex Logistics - casillero</t>
  </si>
  <si>
    <t>Pressex Logistics - montblanc</t>
  </si>
  <si>
    <t>aguadulce - sinming china</t>
  </si>
  <si>
    <t>MAXIPILAS</t>
  </si>
  <si>
    <t>mcastillo@kenextrading.com;agarcia@kenextrading.com;girlesa.ruiz@servipilas.com;joriescobar64@gmail.com</t>
  </si>
  <si>
    <t>para pagar fossil</t>
  </si>
  <si>
    <t>cartera@aerosan.com;girlesa.ruiz@servipilas.com;joriescobar64@gmail.com</t>
  </si>
  <si>
    <t xml:space="preserve">bancolombia cc 388-991169-88 </t>
  </si>
  <si>
    <t>DMARIO</t>
  </si>
  <si>
    <t>Pressex courier - casillero</t>
  </si>
  <si>
    <t>Pressex courier - Kenex</t>
  </si>
  <si>
    <t>Pressex courier - montblanc</t>
  </si>
  <si>
    <t>swizzeraux2@gmail.com;girlesa.ruiz@servipilas.com;joriescobar64@gmail.com</t>
  </si>
  <si>
    <t>JORGE ARREDONDO - JARLY SAS</t>
  </si>
  <si>
    <t>PROVECOL</t>
  </si>
  <si>
    <t>22 para pagar a don luciano,
8 para la cuenta corriente bancolombia,
10 para cuenta corriente davivienda</t>
  </si>
  <si>
    <t>Fecha</t>
  </si>
  <si>
    <t>carterabogota@aintercarga.com;girlesa.ruiz@servipilas.com;joriescobar64@gmail.com</t>
  </si>
  <si>
    <t>AINTERCARGA MONTBLANC</t>
  </si>
  <si>
    <t>TB PLUS</t>
  </si>
  <si>
    <t>??;girlesa.ruiz@servipilas.com;joriescobar64@gmail.com</t>
  </si>
  <si>
    <t>18/8/21 AJUSTE FIN DE MES</t>
  </si>
  <si>
    <t>STEREN</t>
  </si>
  <si>
    <t>MERCEDES PILAS</t>
  </si>
  <si>
    <t>globalpowerc2018@gmail.com;girlesa.ruiz@servipilas.com;joriescobar64@gmail.com</t>
  </si>
  <si>
    <t>admin@kinocompanysas.com.co;girlesa.ruiz@servipilas.com;joriescobar64@gmail.com</t>
  </si>
  <si>
    <t>propertymarketingsas@hotmail.com;girlesa.ruiz@servipilas.com;joriescobar64@gmail.com</t>
  </si>
  <si>
    <t>COMSISTEL</t>
  </si>
  <si>
    <t>BANCOLOMBIA corriente + ahorros</t>
  </si>
  <si>
    <t>MARIA MARTHA RAMIREZ ZULUAGA - JORGE ARREDONDO</t>
  </si>
  <si>
    <t>Pressex courier - tnr</t>
  </si>
  <si>
    <t>ALKOMPRAR</t>
  </si>
  <si>
    <t>consignado en la cuenta de daniel escobar</t>
  </si>
  <si>
    <t>juanzuluaga@ducon.com.co;girlesa.ruiz@servipilas.com;joriescobar64@gmail.com</t>
  </si>
  <si>
    <t>jarlysas@gmail.com;o.clockinternational@gmail.com;girlesa.ruiz@servipilas.com;joriescobar64@gmail.com</t>
  </si>
  <si>
    <t>ALEX MARINO ENRIQUEZ</t>
  </si>
  <si>
    <t>alexenriquez73.ae@gmail.com;girlesa.ruiz@servipilas.com;joriescobar64@gmail.com;info@servipilas.com</t>
  </si>
  <si>
    <t>aleja-1305agudelo@hotmail.com;provecol@une.net.co;girlesa.ruiz@servipilas.com;joriescobar64@gmail.com</t>
  </si>
  <si>
    <t>JYN TECHNOLOGY</t>
  </si>
  <si>
    <t>ventasonline@disantioquia.com.co;girlesa.ruiz@servipilas.com;joriescobar64@gmail.com</t>
  </si>
  <si>
    <t>COEXITO servipilas</t>
  </si>
  <si>
    <t>COMERCIALIZADORA DEL ESTE</t>
  </si>
  <si>
    <t>CARPA - CASILLERO</t>
  </si>
  <si>
    <t>CARPA - MONTBLANC</t>
  </si>
  <si>
    <t>CARPA - TNR</t>
  </si>
  <si>
    <t>ALPHA</t>
  </si>
  <si>
    <t>SANTA BARBARA DISTRONIK</t>
  </si>
  <si>
    <t xml:space="preserve"> bateriasindustrialesbogota2@coexito.com.co;girlesa.ruiz@servipilas.com;joriescobar64@gmail.com</t>
  </si>
  <si>
    <t>lpena@tbplusenergy.com;girlesa.ruiz@servipilas.com;joriescobar64@gmail.com</t>
  </si>
  <si>
    <t>CARPA - POWERSONIC</t>
  </si>
  <si>
    <t>bacolombia ah 01012530214</t>
  </si>
  <si>
    <t>alejovelas0426@gmail.com;girlesa.ruiz@servipilas.com;joriescobar64@gmail.com</t>
  </si>
  <si>
    <t>vcortes@power-sonic.com;alexander.baur@power-sonic.com;jirias@power-sonic.com;girlesa.ruiz@servipilas.com;joriescobar64@gmail.com;info@servipilas.com</t>
  </si>
  <si>
    <t>howardlondono@impocarga.com;oswaldo.alvarez@logimexsas.com;girlesa.ruiz@servipilas.com;joriescobar64@gmail.com</t>
  </si>
  <si>
    <t>carloseuristika@hotmail.com;girlesa.ruiz@servipilas.com;joriescobar64@gmail.com</t>
  </si>
  <si>
    <t>dotaciones.ohana.eu@gmail.com;girlesa.ruiz@servipilas.com;joriescobar64@gmail.com</t>
  </si>
  <si>
    <t>Abajo A TU MANO</t>
  </si>
  <si>
    <t>variedades.sfg@gmail.com;girlesa.ruiz@servipilas.com;joriescobar64@gmail.com</t>
  </si>
  <si>
    <t>Abajo ALEX DAVAL</t>
  </si>
  <si>
    <t>Abajo ALIEXPRESS</t>
  </si>
  <si>
    <t>Abajo ANDREA RAMIREZ</t>
  </si>
  <si>
    <t>Abajo audifonos</t>
  </si>
  <si>
    <t>Abajo AURELIO PILAS</t>
  </si>
  <si>
    <t>Abajo AVELINA</t>
  </si>
  <si>
    <t>Abajo CAJONES DE RELOJ</t>
  </si>
  <si>
    <t>Abajo CARLOS MARIO BETANCUR</t>
  </si>
  <si>
    <t>Abajo CASILLERO</t>
  </si>
  <si>
    <t>Abajo COMERCIALIZADORA BYJ</t>
  </si>
  <si>
    <t>Abajo CONTADO</t>
  </si>
  <si>
    <t>Abajo DAVID HOYOS</t>
  </si>
  <si>
    <t>Abajo DIEGO RAMIREZ</t>
  </si>
  <si>
    <t>ABAJO DIY CLOCK</t>
  </si>
  <si>
    <t>Abajo DUBAN LOPEZ</t>
  </si>
  <si>
    <t>cartera@conbienes.com;girlesa.ruiz@servipilas.com;joriescobar64@gmail.com</t>
  </si>
  <si>
    <t>Abajo EFREN</t>
  </si>
  <si>
    <t>Abajo EL PALACIO NAVIDEÑO</t>
  </si>
  <si>
    <t>Abajo GERMAN PALACIOS</t>
  </si>
  <si>
    <t>Abajo Gloria Estrada</t>
  </si>
  <si>
    <t>gloritasz@gmail.com;girlesa.ruiz@servipilas.com;joriescobar64@gmail.com</t>
  </si>
  <si>
    <t>Abajo GLORIA SOTO</t>
  </si>
  <si>
    <t>Abajo GUSTAVO PULSOS</t>
  </si>
  <si>
    <t>Abajo HERMANO DE KAIROS</t>
  </si>
  <si>
    <t>Abajo HUMBERTO ALVAREZ</t>
  </si>
  <si>
    <t>Abajo INSTITUCIONALES</t>
  </si>
  <si>
    <t>Abajo IVA</t>
  </si>
  <si>
    <t>Abajo JORGE ARREDONDO - JARLY SAS</t>
  </si>
  <si>
    <t>Abajo LA ESQUINA DEL MACHETE</t>
  </si>
  <si>
    <t>Abajo MEGARED</t>
  </si>
  <si>
    <t>facturacion@losmolinos.com.co</t>
  </si>
  <si>
    <t>Abajo MERCEDES PILAS</t>
  </si>
  <si>
    <t>Abajo MODULOS</t>
  </si>
  <si>
    <t>Abajo NALPI</t>
  </si>
  <si>
    <t>Abajo OLGA CARDONA</t>
  </si>
  <si>
    <t>Abajo PILAS</t>
  </si>
  <si>
    <t>Abajo pulsos</t>
  </si>
  <si>
    <t>Abajo PYG</t>
  </si>
  <si>
    <t>Abajo REPUESTOS CALI</t>
  </si>
  <si>
    <t>stabarbaradistronik@gmail.com;girlesa.ruiz@servipilas.com;joriescobar64@gmail.com</t>
  </si>
  <si>
    <t>Abajo SANTA BARBARA DISTRONIK</t>
  </si>
  <si>
    <t>Abajo STARTIME</t>
  </si>
  <si>
    <t>Abajo SWIZZER REPUESTOS</t>
  </si>
  <si>
    <t>Abajo Tapabocas Juan Diego</t>
  </si>
  <si>
    <t>Abajo Termopack</t>
  </si>
  <si>
    <t>Abajo UNIVERSAL TIME</t>
  </si>
  <si>
    <t>Abajo W CUERO</t>
  </si>
  <si>
    <t>Abajo YERMIN</t>
  </si>
  <si>
    <t>Abajo YOLANDA</t>
  </si>
  <si>
    <t>Abajo ZUMA</t>
  </si>
  <si>
    <t>dua@cedesistemas.edu.co;girlesa.ruiz@servipilas.com;joriescobar64@gmail.com</t>
  </si>
  <si>
    <t>mobiliariomasproyectos@gmail.com;girlesa.ruiz@servipilas.com;joriescobar64@gmail.com</t>
  </si>
  <si>
    <t>MEGAMUNDO</t>
  </si>
  <si>
    <t>RODRIGUEZ Y URBINA</t>
  </si>
  <si>
    <t>días de vencimiento</t>
  </si>
  <si>
    <t>Abajo 11 TECHNOLOGIES</t>
  </si>
  <si>
    <t>ABAJO ALEKO</t>
  </si>
  <si>
    <t>Abajo BILLEN</t>
  </si>
  <si>
    <t>Abajo CAJONES GIRLESA</t>
  </si>
  <si>
    <t>Abajo CARETAS</t>
  </si>
  <si>
    <t>Abajo COSOSTENIBLE</t>
  </si>
  <si>
    <t>Abajo ELITE</t>
  </si>
  <si>
    <t>Abajo ELIZABETH LOAIZA</t>
  </si>
  <si>
    <t>Abajo EN EFECTIVO</t>
  </si>
  <si>
    <t>Abajo ESTANTERIA BELLO</t>
  </si>
  <si>
    <t>Abajo ESTUCHES DE RELOJ</t>
  </si>
  <si>
    <t>Abajo GLORIA BELLO</t>
  </si>
  <si>
    <t>Abajo HAROLD BRIGHTSIDE</t>
  </si>
  <si>
    <t>Abajo INNOVATECH</t>
  </si>
  <si>
    <t>Abajo JORGE DIAMANTE</t>
  </si>
  <si>
    <t>Abajo LA CENTRAL</t>
  </si>
  <si>
    <t>Abajo LAS GORDAS</t>
  </si>
  <si>
    <t>Abajo MAKING BUSINESS</t>
  </si>
  <si>
    <t>Abajo MARTA PUNTAZO - PYG</t>
  </si>
  <si>
    <t>Abajo MAYORCA</t>
  </si>
  <si>
    <t>Abajo MOLINOS</t>
  </si>
  <si>
    <t>Abajo OFICINA</t>
  </si>
  <si>
    <t>Abajo PATRICIA SUCERQUIA</t>
  </si>
  <si>
    <t>Abajo PUERTA DEL NORTE</t>
  </si>
  <si>
    <t>Abajo PULSOS ESPECIALES</t>
  </si>
  <si>
    <t>Abajo PULSOS G SHOCK</t>
  </si>
  <si>
    <t>Abajo RACKLO</t>
  </si>
  <si>
    <t>Abajo SAN DIEGO</t>
  </si>
  <si>
    <t>Abajo SANDIEGO</t>
  </si>
  <si>
    <t>Abajo SOUND TECHNOLOGY</t>
  </si>
  <si>
    <t>Abajo SP PULSOS</t>
  </si>
  <si>
    <t>Abajo TARJETAS DE REGALO</t>
  </si>
  <si>
    <t>Abajo TECNO MANHATAN</t>
  </si>
  <si>
    <t>Abajo URIEL GALLEGO</t>
  </si>
  <si>
    <t>Abajo URIEL GOMEZ</t>
  </si>
  <si>
    <t>Abajo WILFER GOMEZ - YERMN</t>
  </si>
  <si>
    <t>Total USD</t>
  </si>
  <si>
    <t xml:space="preserve">Abajo DANIEL ESCOBAR </t>
  </si>
  <si>
    <t xml:space="preserve">Abajo FONDO </t>
  </si>
  <si>
    <t>DAVIVIENDA ************6881</t>
  </si>
  <si>
    <t xml:space="preserve">Abajo FERNANDO JIMENEZ </t>
  </si>
  <si>
    <t xml:space="preserve">Abajo CATALINA SANCHEZ </t>
  </si>
  <si>
    <t xml:space="preserve">Abajo MARIANA </t>
  </si>
  <si>
    <t xml:space="preserve">Abajo ALBA  </t>
  </si>
  <si>
    <t>Abajo PIEDAD ESCOBAR</t>
  </si>
  <si>
    <t>Abajo CLAUDIA RUIZ</t>
  </si>
  <si>
    <t xml:space="preserve">Abajo DON LUCIANO </t>
  </si>
  <si>
    <t>Abajo JORGE IVAN ESCOBAR</t>
  </si>
  <si>
    <t xml:space="preserve">Abajo HERNAN MARIN </t>
  </si>
  <si>
    <t>COP</t>
  </si>
  <si>
    <t>COMERCIALIZADORA AVELINA</t>
  </si>
  <si>
    <t>avelinacomer@gmail.com;girlesa.ruiz@servipilas.com;joriescobar64@gmail.com</t>
  </si>
  <si>
    <t>ID RETENCION</t>
  </si>
  <si>
    <t>1% con base</t>
  </si>
  <si>
    <t>2,5% con base</t>
  </si>
  <si>
    <t>3,5% sin base</t>
  </si>
  <si>
    <t>3,5% con base</t>
  </si>
  <si>
    <t>4% sin base</t>
  </si>
  <si>
    <t>11% sin base</t>
  </si>
  <si>
    <t>año facturado</t>
  </si>
  <si>
    <t>base retencion</t>
  </si>
  <si>
    <t>indicador de columna</t>
  </si>
  <si>
    <t>retención aplicada</t>
  </si>
  <si>
    <t>1% sin base</t>
  </si>
  <si>
    <t>sandra.ospina@powest.com;girlesa.ruiz@servipilas.com;joriescobar64@gmail.com</t>
  </si>
  <si>
    <t>palabras que no operan</t>
  </si>
  <si>
    <t>Abajo Dotaciones Ohana X@</t>
  </si>
  <si>
    <t>COEXITO X@</t>
  </si>
  <si>
    <t>Abajo contado X@</t>
  </si>
  <si>
    <t>Allianz Seguros X@</t>
  </si>
  <si>
    <t>ARCOSISTEMAS X@</t>
  </si>
  <si>
    <t>BOMBEROS BELLOS X@</t>
  </si>
  <si>
    <t>BOMBEROS SABANETA X@</t>
  </si>
  <si>
    <t>CESDE X@</t>
  </si>
  <si>
    <t>COMERCIAL WEB X@</t>
  </si>
  <si>
    <t>CONSTRUCCIONES Y BIENES X@</t>
  </si>
  <si>
    <t>DIAN X@</t>
  </si>
  <si>
    <t>DISANTIOQUIA X@</t>
  </si>
  <si>
    <t>DUCON X@</t>
  </si>
  <si>
    <t>GB BIENES X@</t>
  </si>
  <si>
    <t>LA CENTRAL admistración X@</t>
  </si>
  <si>
    <t>Liberty seguros X@</t>
  </si>
  <si>
    <t>MARIANA PELAEZ X@</t>
  </si>
  <si>
    <t>MOLINOS administración X@</t>
  </si>
  <si>
    <t>Movistar movil X@</t>
  </si>
  <si>
    <t>MUNICIPIO DE MEDELLIN X@</t>
  </si>
  <si>
    <t>PATEX X@</t>
  </si>
  <si>
    <t>PROPERTY MARKETING X@</t>
  </si>
  <si>
    <t>REMARCA X@</t>
  </si>
  <si>
    <t>SANDIEGO X@</t>
  </si>
  <si>
    <t>SANTA JUANA (jorge escobar) X@</t>
  </si>
  <si>
    <t>SAPIAN X@</t>
  </si>
  <si>
    <t>SEÑALIZACIÓN Y AVISOS X@</t>
  </si>
  <si>
    <t>SIIGO X@</t>
  </si>
  <si>
    <t>SURA X@</t>
  </si>
  <si>
    <t>syco y acimpro X@</t>
  </si>
  <si>
    <t>TIGO FIJO X@</t>
  </si>
  <si>
    <t>TIGO MOVIL X@</t>
  </si>
  <si>
    <t>VYP X@</t>
  </si>
  <si>
    <t>CEDESISTEMAS X@</t>
  </si>
  <si>
    <t>M+P  X@</t>
  </si>
  <si>
    <t>sapian X@</t>
  </si>
  <si>
    <t>X@</t>
  </si>
  <si>
    <t>Abajo SIMON MDE</t>
  </si>
  <si>
    <t>gerencia@som-tec.com;girlesa.ruiz@servipilas.com;joriescobar64@gmail.com</t>
  </si>
  <si>
    <t>carlos.bohorquez@copapel.com;girlesa.ruiz@servipilas.com;joriescobar64@gmail.com</t>
  </si>
  <si>
    <t>wruiz@tsqsa.com;girlesa.ruiz@servipilas.com;joriescobar64@gmail.com</t>
  </si>
  <si>
    <t>Abajo NIA</t>
  </si>
  <si>
    <t>mercadopago</t>
  </si>
  <si>
    <t>TECNOSOLUCIONES X@</t>
  </si>
  <si>
    <t>Facturas vencidas a cierre del mes</t>
  </si>
  <si>
    <t>3. borrar fechas de pago posteriores al cierre de mes esudiado</t>
  </si>
  <si>
    <t>dias de credito</t>
  </si>
  <si>
    <t>venc</t>
  </si>
  <si>
    <t>4. cambiar fecha de cierre de mes</t>
  </si>
  <si>
    <t>VENCIDA</t>
  </si>
  <si>
    <t>cartera@makingbusiness.com.co;tesoreria@makingbusiness.com.co;girlesa.ruiz@servipilas.com;joriescobar64@gmail.com</t>
  </si>
  <si>
    <t xml:space="preserve"> dsmazuera@widexcolombia.com;cartera@widexcolombia.com;girlesa.ruiz@servipilas.com;joriescobar64@gmail.com</t>
  </si>
  <si>
    <t>11 TECHNOLOGIES</t>
  </si>
  <si>
    <t>KINESIS</t>
  </si>
  <si>
    <t>Facturas@kinnesis.com;girlesa.ruiz@servipilas.com;joriescobar64@gmail.com</t>
  </si>
  <si>
    <t>contabilidad@sandiego.com.co;girlesa.ruiz@servipilas.com;joriescobar64@gmail.com</t>
  </si>
  <si>
    <t>se pago el crdito de itaú y se abonó al de davivienda 2127</t>
  </si>
  <si>
    <t>ABAJO RODOLFO PARAMO X@</t>
  </si>
  <si>
    <t>Ruta para crear los pdf</t>
  </si>
  <si>
    <t>para pagar reforma de mayorca</t>
  </si>
  <si>
    <t>IEO ASOCIADOS</t>
  </si>
  <si>
    <t>Abajo FREDY SERNA</t>
  </si>
  <si>
    <t>CIDET X@</t>
  </si>
  <si>
    <t>DILOY COLOMBIA</t>
  </si>
  <si>
    <t>tesoreria@cidet.org.co;girlesa.ruiz@servipilas.com;joriescobar64@gmail.com</t>
  </si>
  <si>
    <t>COPAPEL X@</t>
  </si>
  <si>
    <t>Ajuste 15/07/2022</t>
  </si>
  <si>
    <t>LUZ MYRIAM GIRALDO ZUMA</t>
  </si>
  <si>
    <t>LMGS789@HOTMAIL.COM;girlesa.ruiz@servipilas.com;joriescobar64@gmail.com</t>
  </si>
  <si>
    <t>APC X@</t>
  </si>
  <si>
    <t>Abajo MERCADOLIBRE X@</t>
  </si>
  <si>
    <t>corporacion.trovemos@gmail.com;girlesa.ruiz@servipilas.com;joriescobar64@gmail.com</t>
  </si>
  <si>
    <t>COPORACION TROVEMOS X@</t>
  </si>
  <si>
    <t>syman07@hotmail.com;girlesa.ruiz@servipilas.com;joriescobar64@gmail.com</t>
  </si>
  <si>
    <t>SILLAS Y MANTENIMIENTOS X@</t>
  </si>
  <si>
    <t>lygonzalez@gmail.com;girlesa.ruiz@servipilas.com;joriescobar64@gmail.com</t>
  </si>
  <si>
    <t>EL IMPERIO DIGITAL - YERMIN</t>
  </si>
  <si>
    <t>yermingg@hotmail.com;rubizulu@hotmail.com;girlesa.ruiz@servipilas.com;joriescobar64@gmail.com</t>
  </si>
  <si>
    <t>para pagar vitrina mayorca</t>
  </si>
  <si>
    <t>julian@ieosas.com;girlesa.ruiz@servipilas.com;joriescobar64@gmail.com</t>
  </si>
  <si>
    <t>margaritadavid@hotmail.es;girlesa.ruiz@servipilas.com;joriescobar64@gmail.com;MERCADEO@servipilas.com</t>
  </si>
  <si>
    <t>RENTOLDOS SAS BANCOLOMBIA X@</t>
  </si>
  <si>
    <t>complementario jaime</t>
  </si>
  <si>
    <t>ISMART ELECTRONICS X@</t>
  </si>
  <si>
    <t>4% con base</t>
  </si>
  <si>
    <t>santiago.botero@apcmayorista.com;girlesa.ruiz@servipilas.com;joriescobar64@gmail.com</t>
  </si>
  <si>
    <t>GRUPOINTER LLANTAS X@</t>
  </si>
  <si>
    <t>INDUSTRIA ELECTRICA NEWLINE</t>
  </si>
  <si>
    <t>Abajo INVERSIONES ARCILA</t>
  </si>
  <si>
    <t>INVERSIONES ARCILA</t>
  </si>
  <si>
    <t>ajuste ago26/20222 con juan guillermo</t>
  </si>
  <si>
    <t>BIGTRONICA X@</t>
  </si>
  <si>
    <t>NACIONAL DE PILAS PANASONIC</t>
  </si>
  <si>
    <t>TUSPILAS.CO</t>
  </si>
  <si>
    <t>GRUPO ZAMBRANO</t>
  </si>
  <si>
    <t>logistic@grupozambrano.com;info@servipilas.com;girlesa.ruiz@servipilas.com;joriescobar64@gmail.com</t>
  </si>
  <si>
    <t>mdedcnvi@bateriasduncan.com.co;girlesa.ruiz@servipilas.com;joriescobar64@gmail.com</t>
  </si>
  <si>
    <t>PSICOLOGA BEATRIZ FLOREZ X@</t>
  </si>
  <si>
    <t>004 286 48 021 Bancolombia ahorros</t>
  </si>
  <si>
    <t>10242688219  Bancolombia ahorros</t>
  </si>
  <si>
    <t>LIA URIBE Seguridad y salud X@</t>
  </si>
  <si>
    <t>55126836537  Bancolombia ahorros</t>
  </si>
  <si>
    <t>liauribe@une.net.co;girlesa.ruiz@servipilas.com;joriescobar64@gmail.com</t>
  </si>
  <si>
    <t>XXXX</t>
  </si>
  <si>
    <t>SANTIAGO MURIEL Contador  X@</t>
  </si>
  <si>
    <t xml:space="preserve">91222722841  Bancolombia ahorros </t>
  </si>
  <si>
    <t>santiago30m@hotmail.com;girlesa.ruiz@servipilas.com;joriescobar64@gmail.com</t>
  </si>
  <si>
    <t>ABAJO PULSOS</t>
  </si>
  <si>
    <t>4330 dólar</t>
  </si>
  <si>
    <t>67300016442 CTA CTE Bancolombia</t>
  </si>
  <si>
    <t>24098035016 CTA Ahorros BCS</t>
  </si>
  <si>
    <t>00591647411 CTA CTE Bancolombia</t>
  </si>
  <si>
    <t>027010875 CTA CTE Banco Occidente</t>
  </si>
  <si>
    <t>ABAJO NIA</t>
  </si>
  <si>
    <t>Abajo MEGAMUNDO</t>
  </si>
  <si>
    <t>Abajo MUÑECOS J.M.J</t>
  </si>
  <si>
    <t>ABAJO MUÑECOS J.M.J</t>
  </si>
  <si>
    <t>MOLINOS</t>
  </si>
  <si>
    <t>SANDIEGO</t>
  </si>
  <si>
    <t>MAYORCA</t>
  </si>
  <si>
    <t>LA CENTRAL</t>
  </si>
  <si>
    <t>PUERTA DEL NORTE</t>
  </si>
  <si>
    <t>ABAJO CASILLERO</t>
  </si>
  <si>
    <t>VYP  P.A MERCURIO X@</t>
  </si>
  <si>
    <t>arrendamientos@vyp.com.co;girlesa.ruiz@servipilas.com;joriescobar64@gmail.com</t>
  </si>
  <si>
    <t>61100002255 Bancolombia corriente</t>
  </si>
  <si>
    <t>BANCOLOMBIA CTA CTE # 60959261381</t>
  </si>
  <si>
    <t>Abajo UNIFORMES</t>
  </si>
  <si>
    <t xml:space="preserve">AMERICAN INSAP INGENIERIA Y SERVICIOS </t>
  </si>
  <si>
    <t>AMERICAN INSAP INGENIERIA</t>
  </si>
  <si>
    <t>4900 DÓLAR</t>
  </si>
  <si>
    <t>15 CORRES 10 ARREDON</t>
  </si>
  <si>
    <t>SALDO A FAVOR</t>
  </si>
  <si>
    <t>ABAJO BRIDGE</t>
  </si>
  <si>
    <t>COEXITO x@</t>
  </si>
  <si>
    <t>01/11/2022</t>
  </si>
  <si>
    <t>01/10/2022</t>
  </si>
  <si>
    <t>IMPORTACIONES EL NORTEÑO</t>
  </si>
  <si>
    <t>DIEGO GIRALDO YEPES MUÑECOS</t>
  </si>
  <si>
    <t>TEMPEL COLOMBIA LTDA</t>
  </si>
  <si>
    <t>ABAJO PYG</t>
  </si>
  <si>
    <t>SF</t>
  </si>
  <si>
    <t>jorge entrego 500 mil</t>
  </si>
  <si>
    <t>CENTRAL</t>
  </si>
  <si>
    <t>PNORTE</t>
  </si>
  <si>
    <t>INSTITUCIONALES</t>
  </si>
  <si>
    <t>S. A FAVOR</t>
  </si>
  <si>
    <t>AD 12199</t>
  </si>
  <si>
    <t>BANCOLOMBIA USD$ 2555318542</t>
  </si>
  <si>
    <t>kenex57910 oct22 $3363.35 recursos propios</t>
  </si>
  <si>
    <t>AD70418</t>
  </si>
  <si>
    <t>20977 1003</t>
  </si>
  <si>
    <t>21289 1003</t>
  </si>
  <si>
    <t>20935 2293</t>
  </si>
  <si>
    <t>21257 2293</t>
  </si>
  <si>
    <t>FE308</t>
  </si>
  <si>
    <t>SP7157</t>
  </si>
  <si>
    <t>LQ-13286720</t>
  </si>
  <si>
    <t>FV14972</t>
  </si>
  <si>
    <t>FESJ188074</t>
  </si>
  <si>
    <t>BM 420</t>
  </si>
  <si>
    <t>ANTICIPO FE532</t>
  </si>
  <si>
    <t>DANIEL CHINA</t>
  </si>
  <si>
    <t>A-2779</t>
  </si>
  <si>
    <t>A-2763</t>
  </si>
  <si>
    <t>A-2773</t>
  </si>
  <si>
    <t>ABAJO CONTADO</t>
  </si>
  <si>
    <t>A-2770</t>
  </si>
  <si>
    <t>ABAJO UNIVERSAL TIME</t>
  </si>
  <si>
    <t>A-2467</t>
  </si>
  <si>
    <t>A-2772</t>
  </si>
  <si>
    <t>A-2781 ANDRES GARZON</t>
  </si>
  <si>
    <t>A-2771 ANDRES GARZON</t>
  </si>
  <si>
    <t>3909 A-2780</t>
  </si>
  <si>
    <t>A-2758</t>
  </si>
  <si>
    <t>13E269251 INSTITU</t>
  </si>
  <si>
    <t>CED 1658 ALMA</t>
  </si>
  <si>
    <t>1064478 INST Y ALMA</t>
  </si>
  <si>
    <t>1064335 ALMA</t>
  </si>
  <si>
    <t>1064417 INSTITU</t>
  </si>
  <si>
    <t>FE-8901 ALMA</t>
  </si>
  <si>
    <t>SE-800 ALMA</t>
  </si>
  <si>
    <t>FN-80793 ALMA</t>
  </si>
  <si>
    <t>03MS6364 ALMA</t>
  </si>
  <si>
    <t>FE108 ALMA</t>
  </si>
  <si>
    <t>SE-805 ALMA</t>
  </si>
  <si>
    <t>5200 ALMA</t>
  </si>
  <si>
    <t>2080 INSTITU</t>
  </si>
  <si>
    <t>NIDIA LUZ DUQUE DUQUE</t>
  </si>
  <si>
    <t>1463 ALMA</t>
  </si>
  <si>
    <t>RE0163</t>
  </si>
  <si>
    <t>SERVI REFRIAIRE  X@</t>
  </si>
  <si>
    <t>FE1834</t>
  </si>
  <si>
    <t>NC172764</t>
  </si>
  <si>
    <t>62966 INSTITU</t>
  </si>
  <si>
    <t>03MS6416 ALMA</t>
  </si>
  <si>
    <t>03MS6433 ALMA</t>
  </si>
  <si>
    <t>PE8774 ALMA</t>
  </si>
  <si>
    <t>8739 ALMA</t>
  </si>
  <si>
    <t>Abajo BRIGHTSIDE</t>
  </si>
  <si>
    <t>FE9031</t>
  </si>
  <si>
    <t>comercial web x@</t>
  </si>
  <si>
    <t>2007318 JAIME ARCILA</t>
  </si>
  <si>
    <t>2008811 MARICELA</t>
  </si>
  <si>
    <t>TP8929 ALMA</t>
  </si>
  <si>
    <t>IFE44170 ALMA/INSTI</t>
  </si>
  <si>
    <t>3758 ALMA</t>
  </si>
  <si>
    <t>742 ALMA</t>
  </si>
  <si>
    <t>748 ALMA</t>
  </si>
  <si>
    <t>11482 ALMA</t>
  </si>
  <si>
    <t>ME530902 ALMA</t>
  </si>
  <si>
    <t>AD14402</t>
  </si>
  <si>
    <t>AD70801</t>
  </si>
  <si>
    <t>S-21600 ADMON</t>
  </si>
  <si>
    <t>S-21642 ADMON</t>
  </si>
  <si>
    <t>S-21919 EXTRA</t>
  </si>
  <si>
    <t>S-21951 EXTRA</t>
  </si>
  <si>
    <t>15818 ADMON</t>
  </si>
  <si>
    <t>03463 INTERES</t>
  </si>
  <si>
    <t>03577 INTERES</t>
  </si>
  <si>
    <t>03464 INTERES</t>
  </si>
  <si>
    <t>MDI5041829 INSTI</t>
  </si>
  <si>
    <t>MDI5041828 INST</t>
  </si>
  <si>
    <t>DISTRIBUIDORA VAMOS</t>
  </si>
  <si>
    <t>distribuidoravamossas@gmail.com;girlesa.ruiz@servipilas.com;joriescobar64@gmail.com</t>
  </si>
  <si>
    <t>FE5245</t>
  </si>
  <si>
    <t>FE316</t>
  </si>
  <si>
    <t>SP7421</t>
  </si>
  <si>
    <t>2005328 TABLET AME</t>
  </si>
  <si>
    <t>FEF5090 ALMA</t>
  </si>
  <si>
    <t>FEF5097 ALMA</t>
  </si>
  <si>
    <t>TP8969 ALMA</t>
  </si>
  <si>
    <t xml:space="preserve">A-2814 </t>
  </si>
  <si>
    <t>A-2804</t>
  </si>
  <si>
    <t>A-2821</t>
  </si>
  <si>
    <t>A-2795</t>
  </si>
  <si>
    <t>A-2784</t>
  </si>
  <si>
    <t>A-2793</t>
  </si>
  <si>
    <t>A-2813</t>
  </si>
  <si>
    <t>ABONO</t>
  </si>
  <si>
    <t>253842 ALMA Y INSTI</t>
  </si>
  <si>
    <t>2017671 LA CLARA</t>
  </si>
  <si>
    <t>A-2825</t>
  </si>
  <si>
    <t>S05981</t>
  </si>
  <si>
    <t>jessica.barrios@carpainternacional.com;girlesa.ruiz@servipilas.com;joriescobar64@gmail.com</t>
  </si>
  <si>
    <t>AJUSTE TERMINO CREDITO</t>
  </si>
  <si>
    <t>BANCOLOMBIA USD$ 2555324112</t>
  </si>
  <si>
    <t>KENEX58088</t>
  </si>
  <si>
    <t>BANCOLOMBIA CESANTIAS 0568</t>
  </si>
  <si>
    <t>DAVIVIENDA ************5101</t>
  </si>
  <si>
    <t>FV16064</t>
  </si>
  <si>
    <t>PM-5979</t>
  </si>
  <si>
    <t>BM 555</t>
  </si>
  <si>
    <t>CED1725 ALMA</t>
  </si>
  <si>
    <t>FETU5427 ALMA</t>
  </si>
  <si>
    <t>03MS6709 ALMA</t>
  </si>
  <si>
    <t>03MS6656 ALMA</t>
  </si>
  <si>
    <t>FE-9462 ALMA</t>
  </si>
  <si>
    <t>FENL42050 INSTI</t>
  </si>
  <si>
    <t>MDIS5041862 INSTI</t>
  </si>
  <si>
    <t>CED1714 ALMA</t>
  </si>
  <si>
    <t>ID-588 ALMA</t>
  </si>
  <si>
    <t>1067089 INSTI</t>
  </si>
  <si>
    <t>1067039 ALMA</t>
  </si>
  <si>
    <t>1066883 ALMA</t>
  </si>
  <si>
    <t>A-2380</t>
  </si>
  <si>
    <t>A-2829</t>
  </si>
  <si>
    <t>A-2838</t>
  </si>
  <si>
    <t>XXX</t>
  </si>
  <si>
    <t>PE9046 ALMA/INSTITU</t>
  </si>
  <si>
    <t>01/12/2022</t>
  </si>
  <si>
    <t>PM-6303</t>
  </si>
  <si>
    <t>SP7688</t>
  </si>
  <si>
    <t>S-22588 CE</t>
  </si>
  <si>
    <t>S-22270 ADMON</t>
  </si>
  <si>
    <t>S-22620 CE</t>
  </si>
  <si>
    <t>S-22312 ADMON</t>
  </si>
  <si>
    <t>3820 INTE</t>
  </si>
  <si>
    <t>3821 INTE</t>
  </si>
  <si>
    <t>3696 INTE</t>
  </si>
  <si>
    <t>FV17010 ADMON</t>
  </si>
  <si>
    <t>FE324</t>
  </si>
  <si>
    <t>FETU5495</t>
  </si>
  <si>
    <t>AD12606</t>
  </si>
  <si>
    <t>fv16694 ARRI</t>
  </si>
  <si>
    <t>BM682 ARRI</t>
  </si>
  <si>
    <t>191639 ARRI</t>
  </si>
  <si>
    <t>192754 INTE</t>
  </si>
  <si>
    <t>12481 NC</t>
  </si>
  <si>
    <t>2079 INSTITU</t>
  </si>
  <si>
    <t>NC127696</t>
  </si>
  <si>
    <t>ANTICIPO 559-560</t>
  </si>
  <si>
    <t>03MS6817 ALMA</t>
  </si>
  <si>
    <t>29838 ALMA</t>
  </si>
  <si>
    <t>PE9073</t>
  </si>
  <si>
    <t>FB1702</t>
  </si>
  <si>
    <t>A-2851</t>
  </si>
  <si>
    <t>A-2824</t>
  </si>
  <si>
    <t>A-2845</t>
  </si>
  <si>
    <t>A-2850</t>
  </si>
  <si>
    <t>A-2852</t>
  </si>
  <si>
    <t>A-2828</t>
  </si>
  <si>
    <t>A-2831</t>
  </si>
  <si>
    <t>ME533976</t>
  </si>
  <si>
    <t>ME534154</t>
  </si>
  <si>
    <t>PE9135</t>
  </si>
  <si>
    <t>FE5413</t>
  </si>
  <si>
    <t>13E275207</t>
  </si>
  <si>
    <t>NC100013385</t>
  </si>
  <si>
    <t xml:space="preserve">Abajo CARLOS MUÑOZ </t>
  </si>
  <si>
    <t>AJUSTE MAR15-23</t>
  </si>
  <si>
    <t>S-22984 OFI</t>
  </si>
  <si>
    <t>S-22942 LOC</t>
  </si>
  <si>
    <t>BM804</t>
  </si>
  <si>
    <t>FESJ193117</t>
  </si>
  <si>
    <t>FV17608 ARRI</t>
  </si>
  <si>
    <t>FV17862 ADMON</t>
  </si>
  <si>
    <t>INT04102 INTE</t>
  </si>
  <si>
    <t>INT04103 INTE</t>
  </si>
  <si>
    <t>INT04104 INTE</t>
  </si>
  <si>
    <t>SALDO PENDIE</t>
  </si>
  <si>
    <t>FE567</t>
  </si>
  <si>
    <t>FE 568</t>
  </si>
  <si>
    <t>ANTICIPO FE567-FE568</t>
  </si>
  <si>
    <t>dólar mar4700 promedio</t>
  </si>
  <si>
    <t>marzo</t>
  </si>
  <si>
    <t>INTERES INCLUYE PREDIAL</t>
  </si>
  <si>
    <t>jorge entrego 375 mil</t>
  </si>
  <si>
    <t>AD12815</t>
  </si>
  <si>
    <t>ANTICIPO FE564-565</t>
  </si>
  <si>
    <t>FE564</t>
  </si>
  <si>
    <t>FE565</t>
  </si>
  <si>
    <t>SP 7976</t>
  </si>
  <si>
    <t>FE 332</t>
  </si>
  <si>
    <t>AD 71570</t>
  </si>
  <si>
    <t xml:space="preserve">AD71187 </t>
  </si>
  <si>
    <t>TP9040 ALMA</t>
  </si>
  <si>
    <t>8217 ALMA</t>
  </si>
  <si>
    <t>TP8915 ALMA</t>
  </si>
  <si>
    <t>E 11393 instu</t>
  </si>
  <si>
    <t>FE-9627 ALMA</t>
  </si>
  <si>
    <t>FE28221 ALMA</t>
  </si>
  <si>
    <t>TP9056 ALMA</t>
  </si>
  <si>
    <t>13E274604 INST</t>
  </si>
  <si>
    <t>17155 ALMA</t>
  </si>
  <si>
    <t>13E275026 INST</t>
  </si>
  <si>
    <t>FEV65761 INSTI</t>
  </si>
  <si>
    <t>FEV65865 INSTI</t>
  </si>
  <si>
    <t>17401 ALMA</t>
  </si>
  <si>
    <t>FEF5166 ALMA</t>
  </si>
  <si>
    <t>17400 ALMA</t>
  </si>
  <si>
    <t>RUSBEL GIRALDO SERNA</t>
  </si>
  <si>
    <t>qyqomaira0321@hotmail.com;girlesa.ruiz@servipilas.com;joriescobar64@gmail.com</t>
  </si>
  <si>
    <t>E-505 ALMA</t>
  </si>
  <si>
    <t>ME534661 INSTITU</t>
  </si>
  <si>
    <t>03MS6956 ALMA</t>
  </si>
  <si>
    <t>03MS6878 ALMA</t>
  </si>
  <si>
    <t>412 A-2864</t>
  </si>
  <si>
    <t>10538 A-2865</t>
  </si>
  <si>
    <t>373 A-2878</t>
  </si>
  <si>
    <t>A-2867</t>
  </si>
  <si>
    <t>A-2854</t>
  </si>
  <si>
    <t>A-2866</t>
  </si>
  <si>
    <t>A-2871</t>
  </si>
  <si>
    <t>A-2868 multirelojes</t>
  </si>
  <si>
    <t>PM-6655</t>
  </si>
  <si>
    <t>15454 ADMON</t>
  </si>
  <si>
    <t>Abajo RUSBEL GIRALDO SERNA</t>
  </si>
  <si>
    <t>A-2885</t>
  </si>
  <si>
    <t>A-2870</t>
  </si>
  <si>
    <t>Abajo TECNOPILAS</t>
  </si>
  <si>
    <t>A-2883</t>
  </si>
  <si>
    <t>A-2884</t>
  </si>
  <si>
    <t>A-2881</t>
  </si>
  <si>
    <t>FE1061 ALMA</t>
  </si>
  <si>
    <t>TP9178 ALMA</t>
  </si>
  <si>
    <t>FE2657 ALMA</t>
  </si>
  <si>
    <t>TP9177 ALMA</t>
  </si>
  <si>
    <t>TP9126 ALMA</t>
  </si>
  <si>
    <t>13E277298 INSTITU</t>
  </si>
  <si>
    <t>1068856 INSTITU</t>
  </si>
  <si>
    <t>43209 INSTITU</t>
  </si>
  <si>
    <t>2035898 ALMA</t>
  </si>
  <si>
    <t>30170 ALMA</t>
  </si>
  <si>
    <t>30060 INSTITU</t>
  </si>
  <si>
    <t>30091 ALMA</t>
  </si>
  <si>
    <t>30106 INSTU</t>
  </si>
  <si>
    <t>82408 ALMA</t>
  </si>
  <si>
    <t>ME534716 ALMA</t>
  </si>
  <si>
    <t>ME535465 ALMA/INSTITU</t>
  </si>
  <si>
    <t>5662 ALMA</t>
  </si>
  <si>
    <t>GBYJ22 ALMA</t>
  </si>
  <si>
    <t>1069205 INSTITU</t>
  </si>
  <si>
    <t>1069198 INSTITU</t>
  </si>
  <si>
    <t>30201 ALMA</t>
  </si>
  <si>
    <t>13E277646</t>
  </si>
  <si>
    <t>FEF5196 ALMA</t>
  </si>
  <si>
    <t>1069199 INSTITU</t>
  </si>
  <si>
    <t>03MS7062 ALMA</t>
  </si>
  <si>
    <t>67050 INSTITU</t>
  </si>
  <si>
    <t>FEIN56 ALMA</t>
  </si>
  <si>
    <t>KINNESIS SOLUTIONS</t>
  </si>
  <si>
    <t>FEK1614 ALMA</t>
  </si>
  <si>
    <t xml:space="preserve">13E275206 </t>
  </si>
  <si>
    <t>dólar Abril 4700 promedio</t>
  </si>
  <si>
    <t>FV18718 ADMON</t>
  </si>
  <si>
    <t>FV18465 ARRI</t>
  </si>
  <si>
    <t>BM 924 ARRI</t>
  </si>
  <si>
    <t xml:space="preserve">AD71954 </t>
  </si>
  <si>
    <t>S-23327 LOC</t>
  </si>
  <si>
    <t>S-23369 OFI</t>
  </si>
  <si>
    <t>AD13022</t>
  </si>
  <si>
    <t>SP 8244</t>
  </si>
  <si>
    <t>FESJ194447</t>
  </si>
  <si>
    <t>FESJ194705</t>
  </si>
  <si>
    <t>FE343</t>
  </si>
  <si>
    <t>ANTICIPO595-596</t>
  </si>
  <si>
    <t>FE595</t>
  </si>
  <si>
    <t>FE596</t>
  </si>
  <si>
    <t>03MS7149 ALMA</t>
  </si>
  <si>
    <t>2. eliminar filas con fecha de facturación posteriores al cierre de mes estudiada</t>
  </si>
  <si>
    <t>A-2898</t>
  </si>
  <si>
    <t>A-2916</t>
  </si>
  <si>
    <t>A-2912</t>
  </si>
  <si>
    <t>A-2913</t>
  </si>
  <si>
    <t>FEID36697</t>
  </si>
  <si>
    <t>FE29304 ALMA</t>
  </si>
  <si>
    <t>1069729 INSTITU</t>
  </si>
  <si>
    <t>1069983  INSTITU</t>
  </si>
  <si>
    <t>1069984 INSTITU</t>
  </si>
  <si>
    <t>44048 INSTITU</t>
  </si>
  <si>
    <t>ANTICIPO597-598</t>
  </si>
  <si>
    <t>FE597</t>
  </si>
  <si>
    <t>FE598</t>
  </si>
  <si>
    <t>FE597-FE598 SF</t>
  </si>
  <si>
    <t>CED1787 ALMA</t>
  </si>
  <si>
    <t>FE49 ALMA</t>
  </si>
  <si>
    <t>FETU5774 ALMA</t>
  </si>
  <si>
    <t>8013 ALMA</t>
  </si>
  <si>
    <t>FE10010 ALMA</t>
  </si>
  <si>
    <t>NC10010 ALMA</t>
  </si>
  <si>
    <t>SE879 ALMA</t>
  </si>
  <si>
    <t>GBYJ31 ALMA</t>
  </si>
  <si>
    <t>NC4706</t>
  </si>
  <si>
    <t>FEID37014 INSTITU</t>
  </si>
  <si>
    <t>PM-6984</t>
  </si>
  <si>
    <t>DEVOLUCION</t>
  </si>
  <si>
    <t>A-2927</t>
  </si>
  <si>
    <t>A-2934</t>
  </si>
  <si>
    <t>A-2919</t>
  </si>
  <si>
    <t>A-2935</t>
  </si>
  <si>
    <t>A-2928</t>
  </si>
  <si>
    <t>45887 ALMA</t>
  </si>
  <si>
    <t>ABAJO LAURA CORREA</t>
  </si>
  <si>
    <t xml:space="preserve">13E280479 </t>
  </si>
  <si>
    <t>13E280480</t>
  </si>
  <si>
    <t>30500 INSTITU</t>
  </si>
  <si>
    <t>ID-607 ALMA</t>
  </si>
  <si>
    <t>A-2950</t>
  </si>
  <si>
    <t>A-2938</t>
  </si>
  <si>
    <t>MP3404</t>
  </si>
  <si>
    <t>FESJ196109</t>
  </si>
  <si>
    <t>MDEC12582</t>
  </si>
  <si>
    <t>FV19572</t>
  </si>
  <si>
    <t>FV19314</t>
  </si>
  <si>
    <t>BM1055</t>
  </si>
  <si>
    <t>JORGE ENTREGO 675 MIL</t>
  </si>
  <si>
    <t>1069370 INSTITU</t>
  </si>
  <si>
    <t>871 ALMA</t>
  </si>
  <si>
    <t>TECH3150 ALMA</t>
  </si>
  <si>
    <t>ME538212 INSTITU</t>
  </si>
  <si>
    <t>FENL44685 INSTITU</t>
  </si>
  <si>
    <t>TP9364 ALMA</t>
  </si>
  <si>
    <t>ad13240</t>
  </si>
  <si>
    <t>SP8511</t>
  </si>
  <si>
    <t>AD72338</t>
  </si>
  <si>
    <t>FE352</t>
  </si>
  <si>
    <t>ABAJO SANTA MENSAJERIA</t>
  </si>
  <si>
    <t>FE 627</t>
  </si>
  <si>
    <t>ANTICIPO FE627-628</t>
  </si>
  <si>
    <t>FE 628</t>
  </si>
  <si>
    <t>PM-7280</t>
  </si>
  <si>
    <t>FE10046</t>
  </si>
  <si>
    <t>SALDO PENDIENTE</t>
  </si>
  <si>
    <t>S-23788 LOC</t>
  </si>
  <si>
    <t>S-23746 OFI</t>
  </si>
  <si>
    <t>ANTICIPO FE629-630</t>
  </si>
  <si>
    <t>FE 629</t>
  </si>
  <si>
    <t>FE 630</t>
  </si>
  <si>
    <t>83352 ALMA</t>
  </si>
  <si>
    <t>SE899 ALMA</t>
  </si>
  <si>
    <t>276716 ALMA</t>
  </si>
  <si>
    <t>30688 ALMA</t>
  </si>
  <si>
    <t>30743 ALMA</t>
  </si>
  <si>
    <t>30740 INSTITU</t>
  </si>
  <si>
    <t>44915 INSTITU</t>
  </si>
  <si>
    <t>1071505 INSTITU</t>
  </si>
  <si>
    <t>FEOG53 ALMA</t>
  </si>
  <si>
    <t>TP9379 ALMA</t>
  </si>
  <si>
    <t>TP9380 ALMA</t>
  </si>
  <si>
    <t>A-29786</t>
  </si>
  <si>
    <t>A-2957</t>
  </si>
  <si>
    <t>ABAJO CRISTAL SUIZO</t>
  </si>
  <si>
    <t>A-2965</t>
  </si>
  <si>
    <t>A-2987</t>
  </si>
  <si>
    <t>ABAJO ZUMA</t>
  </si>
  <si>
    <t>A-2968</t>
  </si>
  <si>
    <t>A-2975</t>
  </si>
  <si>
    <t>A-2669</t>
  </si>
  <si>
    <t>A-2974</t>
  </si>
  <si>
    <t>A-2966</t>
  </si>
  <si>
    <t>A-2980</t>
  </si>
  <si>
    <t>TP9493 ALMA</t>
  </si>
  <si>
    <t>13E284391 INSTITU</t>
  </si>
  <si>
    <t>FEI100098909 ALMA</t>
  </si>
  <si>
    <t>10722011 INSTITU</t>
  </si>
  <si>
    <t>45150 INSTITU</t>
  </si>
  <si>
    <t>45157 INSTITU</t>
  </si>
  <si>
    <t>45480 INSTITU</t>
  </si>
  <si>
    <t>45456 INSTITU</t>
  </si>
  <si>
    <t>12612 ALMA</t>
  </si>
  <si>
    <t>30817 ALMA</t>
  </si>
  <si>
    <t>70448 INSTITU</t>
  </si>
  <si>
    <t>83496 ALMA</t>
  </si>
  <si>
    <t>539022 ALMA</t>
  </si>
  <si>
    <t>03MS7528 ALMA</t>
  </si>
  <si>
    <t>03MS7455 ALMA</t>
  </si>
  <si>
    <t>1070529 INSTITU</t>
  </si>
  <si>
    <t>SP8778</t>
  </si>
  <si>
    <t>AJUSTE DE CREDITO</t>
  </si>
  <si>
    <t>DÓLAR 4350</t>
  </si>
  <si>
    <t>DANIEL ALIEXPRESS</t>
  </si>
  <si>
    <t>BM1184</t>
  </si>
  <si>
    <t>AD13449</t>
  </si>
  <si>
    <t>S07325 INSTITU</t>
  </si>
  <si>
    <t>AD72721</t>
  </si>
  <si>
    <t>FE620B</t>
  </si>
  <si>
    <t>A-3005</t>
  </si>
  <si>
    <t>A-3003</t>
  </si>
  <si>
    <t xml:space="preserve">ABAJO ANDRES GARZON </t>
  </si>
  <si>
    <t>A-3004</t>
  </si>
  <si>
    <t>ANTICIPO FE652-653</t>
  </si>
  <si>
    <t>FE467 Registro importacion</t>
  </si>
  <si>
    <t>JORGE ENTREGO 720 MIL</t>
  </si>
  <si>
    <t>S-24178 OFI</t>
  </si>
  <si>
    <t>S-24137 LOC</t>
  </si>
  <si>
    <t>PM-7628</t>
  </si>
  <si>
    <t>TP9596 ALMA</t>
  </si>
  <si>
    <t>13E284411 INSTITU</t>
  </si>
  <si>
    <t>13E284408 INSTITU</t>
  </si>
  <si>
    <t>FE5797 ALMA</t>
  </si>
  <si>
    <t>1073107 INSTITU</t>
  </si>
  <si>
    <t>PE9683 ALMA</t>
  </si>
  <si>
    <t>46281 INSTITU</t>
  </si>
  <si>
    <t>FV-2068876 DUVAN</t>
  </si>
  <si>
    <t>FV-2068131 ALMA</t>
  </si>
  <si>
    <t>FV-2068109 ALMA</t>
  </si>
  <si>
    <t>31150 ALMA</t>
  </si>
  <si>
    <t>31088 INSTITU</t>
  </si>
  <si>
    <t>71081 INSTITU</t>
  </si>
  <si>
    <t>70826 INSTITU</t>
  </si>
  <si>
    <t>FE-10477 ALMA</t>
  </si>
  <si>
    <t>ME540248 ALMA</t>
  </si>
  <si>
    <t>NC40207 DEVOL</t>
  </si>
  <si>
    <t>539616 DEVOL</t>
  </si>
  <si>
    <t>FETU6148 ALMA</t>
  </si>
  <si>
    <t>GBYJ76 ALMA</t>
  </si>
  <si>
    <t>A-3027</t>
  </si>
  <si>
    <t>A-3030</t>
  </si>
  <si>
    <t>A-2995</t>
  </si>
  <si>
    <t>A-2994</t>
  </si>
  <si>
    <t>A-3002</t>
  </si>
  <si>
    <t>A-2993</t>
  </si>
  <si>
    <t>A-3007</t>
  </si>
  <si>
    <t>A-3010</t>
  </si>
  <si>
    <t>A-3020</t>
  </si>
  <si>
    <t>03MS7768 ALMA</t>
  </si>
  <si>
    <t>13E286009</t>
  </si>
  <si>
    <t>FE31138 ALMA</t>
  </si>
  <si>
    <t>TP9655 ALMA</t>
  </si>
  <si>
    <t>A-3039</t>
  </si>
  <si>
    <t>13E281035</t>
  </si>
  <si>
    <t>13E281034</t>
  </si>
  <si>
    <t>ME541369 INSTITU</t>
  </si>
  <si>
    <t>A-3032</t>
  </si>
  <si>
    <t>R824</t>
  </si>
  <si>
    <t>A-3045</t>
  </si>
  <si>
    <t>A-3050</t>
  </si>
  <si>
    <t>FEID40648 INSTITU</t>
  </si>
  <si>
    <t xml:space="preserve">IMPERIO DIGITAL - WILFER GOMEZ </t>
  </si>
  <si>
    <t>31237 ALMA</t>
  </si>
  <si>
    <t>ID-678 ALMA</t>
  </si>
  <si>
    <t>SG2069 ALMA</t>
  </si>
  <si>
    <t>FEV-71767 INSTITU</t>
  </si>
  <si>
    <t>13E286730</t>
  </si>
  <si>
    <t>13E286729</t>
  </si>
  <si>
    <t>31263 ALMA</t>
  </si>
  <si>
    <t>03MS7819 ALMA</t>
  </si>
  <si>
    <t>ME541924 ALMA/INST</t>
  </si>
  <si>
    <t>DOLar4350</t>
  </si>
  <si>
    <t>FV21098 ARRI</t>
  </si>
  <si>
    <t>FV21353 ADMON</t>
  </si>
  <si>
    <t>AM-1565 ADMON</t>
  </si>
  <si>
    <t>S-97816 ARRI</t>
  </si>
  <si>
    <t>A-3033</t>
  </si>
  <si>
    <t>A-3052</t>
  </si>
  <si>
    <t>A-3047</t>
  </si>
  <si>
    <t>A-3051</t>
  </si>
  <si>
    <t>SF FAC-284391</t>
  </si>
  <si>
    <t>A-3062</t>
  </si>
  <si>
    <t>1073930 INSTITU</t>
  </si>
  <si>
    <t>1861 ALMA</t>
  </si>
  <si>
    <t>72327 INSTITU</t>
  </si>
  <si>
    <t>72191 INSTITU</t>
  </si>
  <si>
    <t>4416 ALMA</t>
  </si>
  <si>
    <t>4 ALMA</t>
  </si>
  <si>
    <t>ND1306</t>
  </si>
  <si>
    <t>SURANI ALEJANDRA OSORIO FRANCO</t>
  </si>
  <si>
    <t>AD13656</t>
  </si>
  <si>
    <t>JORGE ENTREGO 370 MIL</t>
  </si>
  <si>
    <t>AD73103</t>
  </si>
  <si>
    <t>WORLD TRADE NEW VISION SAS</t>
  </si>
  <si>
    <t>PROFORMA</t>
  </si>
  <si>
    <t>FESJ98967</t>
  </si>
  <si>
    <t>FESJ197531</t>
  </si>
  <si>
    <t>BM1317</t>
  </si>
  <si>
    <t>PM-7902</t>
  </si>
  <si>
    <t>ANTICIPO</t>
  </si>
  <si>
    <t>S-24572 OFI</t>
  </si>
  <si>
    <t>S-24531 LOC</t>
  </si>
  <si>
    <t>FV-2079797 JAIME Y MARLON</t>
  </si>
  <si>
    <t>FV-2070318 ELIZA CEL</t>
  </si>
  <si>
    <t>SF lo devolvieron a la cta cte</t>
  </si>
  <si>
    <t>A-3078</t>
  </si>
  <si>
    <t>A-3071</t>
  </si>
  <si>
    <t>A-3070</t>
  </si>
  <si>
    <t xml:space="preserve">BATERIAS EL ROBLE </t>
  </si>
  <si>
    <t>BR5516 INSTITU</t>
  </si>
  <si>
    <t>FB2238 INSTITU</t>
  </si>
  <si>
    <t>TP9687 ALMA</t>
  </si>
  <si>
    <t>TP9821 ALMA</t>
  </si>
  <si>
    <t>FEID41525 INSTITU</t>
  </si>
  <si>
    <t>FE5972 ALMA</t>
  </si>
  <si>
    <t>FVX18704 ALMA</t>
  </si>
  <si>
    <t>ID-694 ALMA</t>
  </si>
  <si>
    <t>1074188 INSTITU</t>
  </si>
  <si>
    <t>1074521 INSTITU</t>
  </si>
  <si>
    <t>FI294047 ALMA</t>
  </si>
  <si>
    <t>E-599 ALMA</t>
  </si>
  <si>
    <t>FE-11040 ALMA</t>
  </si>
  <si>
    <t>FE2161 INSTITU</t>
  </si>
  <si>
    <t>FE2159 ALMA</t>
  </si>
  <si>
    <t>ME542627 INSTITU</t>
  </si>
  <si>
    <t>ME542526 INSTITU</t>
  </si>
  <si>
    <t>03MS7991 ALMA</t>
  </si>
  <si>
    <t>03MS7954 ALMA</t>
  </si>
  <si>
    <t>EA-2490</t>
  </si>
  <si>
    <t>MUÑECOS - GRUPO ARISTIZABAL DUQUE</t>
  </si>
  <si>
    <t>GBYJ92 ALMA</t>
  </si>
  <si>
    <t>84643 ALMA</t>
  </si>
  <si>
    <t>FEI100106225</t>
  </si>
  <si>
    <t>FEI100106228</t>
  </si>
  <si>
    <t>FEV73382 INSTITU</t>
  </si>
  <si>
    <t>FV-2085477</t>
  </si>
  <si>
    <t>FEKM4476 ALMA</t>
  </si>
  <si>
    <t>PE9938 INSTITU</t>
  </si>
  <si>
    <t>1074997 INSTITU</t>
  </si>
  <si>
    <t>1074893 INSTITU</t>
  </si>
  <si>
    <t>FE32010 ALMA</t>
  </si>
  <si>
    <t>A-3088</t>
  </si>
  <si>
    <t>A-3100</t>
  </si>
  <si>
    <t>A-3096</t>
  </si>
  <si>
    <t>A-3094</t>
  </si>
  <si>
    <t>A-3092</t>
  </si>
  <si>
    <t>A-3097 2621</t>
  </si>
  <si>
    <t>A-3099 3074</t>
  </si>
  <si>
    <t>1073364 INSTITU</t>
  </si>
  <si>
    <t>FB2363 INSTITU</t>
  </si>
  <si>
    <t>SP9334</t>
  </si>
  <si>
    <t>SP9051</t>
  </si>
  <si>
    <t>AD13861</t>
  </si>
  <si>
    <t>AD73486</t>
  </si>
  <si>
    <t>interes de junio 2022 a junio de 2023</t>
  </si>
  <si>
    <t>FESJ00460</t>
  </si>
  <si>
    <t>ANTICIPO FE677</t>
  </si>
  <si>
    <t>ANTICIPO FE673</t>
  </si>
  <si>
    <t>ANTICIPO FE674</t>
  </si>
  <si>
    <t>FVE-216 INSTI</t>
  </si>
  <si>
    <t>4057 garantia</t>
  </si>
  <si>
    <t>PM-8282</t>
  </si>
  <si>
    <t>BM1446</t>
  </si>
  <si>
    <t>S-24930 LOC</t>
  </si>
  <si>
    <t>S-24971 OFI</t>
  </si>
  <si>
    <t>ABONO FEV73382 INSTITU</t>
  </si>
  <si>
    <t>MDIS5042067 INST</t>
  </si>
  <si>
    <t>MDIS5042035 INST</t>
  </si>
  <si>
    <t>74078 INSTITU</t>
  </si>
  <si>
    <t>298859 ALMA</t>
  </si>
  <si>
    <t>NC 50457</t>
  </si>
  <si>
    <t>SE-958 ALMA</t>
  </si>
  <si>
    <t>SE-970 ALMA</t>
  </si>
  <si>
    <t>NC BGNC43 ALMA</t>
  </si>
  <si>
    <t>ME544634 50/50</t>
  </si>
  <si>
    <t>FETU6398 ALMA</t>
  </si>
  <si>
    <t>FETU6489 ALMA</t>
  </si>
  <si>
    <t>03MS8205 ALMA</t>
  </si>
  <si>
    <t>1641 ALMA</t>
  </si>
  <si>
    <t>FEVT2758 ALMA</t>
  </si>
  <si>
    <t>ID-715 ALMA</t>
  </si>
  <si>
    <t>1075257 INSTITU</t>
  </si>
  <si>
    <t>1075975 INSTITU</t>
  </si>
  <si>
    <t>S07905 - RU3410</t>
  </si>
  <si>
    <t>JORGE ENTREGO 625 MIL</t>
  </si>
  <si>
    <t>75351 INSTITU</t>
  </si>
  <si>
    <t>75270 INSTITU</t>
  </si>
  <si>
    <t>75269 INSTITU</t>
  </si>
  <si>
    <t>75268 INSTITU</t>
  </si>
  <si>
    <t>FV-2085244 jorge andres</t>
  </si>
  <si>
    <t>ANTICIPO FE686</t>
  </si>
  <si>
    <t>FE686</t>
  </si>
  <si>
    <t>ANTICIPO FE685</t>
  </si>
  <si>
    <t>FE685</t>
  </si>
  <si>
    <t>FV22827 ARRI</t>
  </si>
  <si>
    <t>FV1969 ARRI</t>
  </si>
  <si>
    <t>FV22224 ADMON</t>
  </si>
  <si>
    <t>FV23078 ADMON</t>
  </si>
  <si>
    <t>INT05958 INTERES</t>
  </si>
  <si>
    <t>NC4842</t>
  </si>
  <si>
    <t>03MS8291 ALMA</t>
  </si>
  <si>
    <t>FI301712 ALMA</t>
  </si>
  <si>
    <t>31987 ALMA</t>
  </si>
  <si>
    <t>JOR268 ALMA</t>
  </si>
  <si>
    <t>IFE49923 INSTITU</t>
  </si>
  <si>
    <t>IFE49998 INSTITU</t>
  </si>
  <si>
    <t>1076559 INSTITU</t>
  </si>
  <si>
    <t>1076372 INSTITU</t>
  </si>
  <si>
    <t>TP10029 ALMA</t>
  </si>
  <si>
    <t>FE3084 ALMA</t>
  </si>
  <si>
    <t>A-3111</t>
  </si>
  <si>
    <t>A-3115</t>
  </si>
  <si>
    <t>A-3106</t>
  </si>
  <si>
    <t>9794  A-3131</t>
  </si>
  <si>
    <t>A-3147</t>
  </si>
  <si>
    <t>A-3138</t>
  </si>
  <si>
    <t>A-3139</t>
  </si>
  <si>
    <t>A-3130</t>
  </si>
  <si>
    <t>6844 A-3146</t>
  </si>
  <si>
    <t>1732 A-3108</t>
  </si>
  <si>
    <t>3481 A-3136</t>
  </si>
  <si>
    <t>3313 A-3116</t>
  </si>
  <si>
    <t>A-3135</t>
  </si>
  <si>
    <t>A-3123</t>
  </si>
  <si>
    <t>A-3114</t>
  </si>
  <si>
    <t>A-3122</t>
  </si>
  <si>
    <t>A-3133</t>
  </si>
  <si>
    <t>ajuste de interes termino credito</t>
  </si>
  <si>
    <t>BM 1574</t>
  </si>
  <si>
    <t>AD73868</t>
  </si>
  <si>
    <t>AD14075</t>
  </si>
  <si>
    <t>SP9616</t>
  </si>
  <si>
    <t>ARL NUTRICION</t>
  </si>
  <si>
    <t>SANTIAGO ALARMAR</t>
  </si>
  <si>
    <t>PSICOLOGA</t>
  </si>
  <si>
    <t>ABAJO IVA</t>
  </si>
  <si>
    <t>HERIKA</t>
  </si>
  <si>
    <t>ILUX</t>
  </si>
  <si>
    <t>operaciones@ilux.com.co;girlesa.ruiz@servipilas.com;joriescobar64@gmail.com</t>
  </si>
  <si>
    <t>Estudio credito pn</t>
  </si>
  <si>
    <t>FESJ201881</t>
  </si>
  <si>
    <t xml:space="preserve">NO DESCUENTO </t>
  </si>
  <si>
    <t>aristiduque0428@gmail.com;girlesa.ruiz@servipilas.com;joriescobar64@gmail.com</t>
  </si>
  <si>
    <t>IVAN ALONSO ARISTIZABAL DUQUE</t>
  </si>
  <si>
    <t>EA-2969 ALMA</t>
  </si>
  <si>
    <t>PM-8554</t>
  </si>
  <si>
    <t>S-25362 OFI</t>
  </si>
  <si>
    <t>S-25321 LOC</t>
  </si>
  <si>
    <t>CTACOBRO1</t>
  </si>
  <si>
    <t>IVA ERIKA</t>
  </si>
  <si>
    <t>IVA JORGE A</t>
  </si>
  <si>
    <t>RICARDO SANCHEZ</t>
  </si>
  <si>
    <t>04789 ALMA</t>
  </si>
  <si>
    <t>FETS-1932 pulso ML</t>
  </si>
  <si>
    <t>IVA DUVAN</t>
  </si>
  <si>
    <t>IVA GIRLESA</t>
  </si>
  <si>
    <t>GLORIA DECLRACION</t>
  </si>
  <si>
    <t>A-3167</t>
  </si>
  <si>
    <t>A-3163</t>
  </si>
  <si>
    <t>FV-2092074 ALMA</t>
  </si>
  <si>
    <t>A-3168</t>
  </si>
  <si>
    <t xml:space="preserve">A-3159 </t>
  </si>
  <si>
    <t>ABAJO EFREN</t>
  </si>
  <si>
    <t>9629 A-3156</t>
  </si>
  <si>
    <t>FERNANDO CARMONA</t>
  </si>
  <si>
    <t>A-3160</t>
  </si>
  <si>
    <t>A-3173</t>
  </si>
  <si>
    <t>295 A-3169</t>
  </si>
  <si>
    <t>1930 A-3162</t>
  </si>
  <si>
    <t>F1818 A-3166</t>
  </si>
  <si>
    <t>A-3170</t>
  </si>
  <si>
    <t>TP10091 ALMA</t>
  </si>
  <si>
    <t>200E2296 INSTITU</t>
  </si>
  <si>
    <t>200E2780 INSTITU</t>
  </si>
  <si>
    <t>200E3179INSTITU</t>
  </si>
  <si>
    <t>CED1968 ALMA</t>
  </si>
  <si>
    <t>DISTRIBUIDORA GIRZABAL</t>
  </si>
  <si>
    <t>oag15@hotmail.com;girlesa.ruiz@servipilas.com;joriescobar64@gmail.com</t>
  </si>
  <si>
    <t>FEA509 ALMA</t>
  </si>
  <si>
    <t>FEOG189 ALMA</t>
  </si>
  <si>
    <t>FEOG190 ALMA</t>
  </si>
  <si>
    <t>1076873 INSTITU</t>
  </si>
  <si>
    <t>1077414 INSTITU</t>
  </si>
  <si>
    <t>ABAJO JAIME RENDON MUÑECOS</t>
  </si>
  <si>
    <t>PE 10235 ALMA</t>
  </si>
  <si>
    <t xml:space="preserve">PE 10237 ALMA </t>
  </si>
  <si>
    <t>PE 10304INSTITU</t>
  </si>
  <si>
    <t>13710 ALMA</t>
  </si>
  <si>
    <t>13576 ALMA</t>
  </si>
  <si>
    <t>76452 INSTITU</t>
  </si>
  <si>
    <t>305929 ALMA</t>
  </si>
  <si>
    <t>FE11461 ALMA</t>
  </si>
  <si>
    <t>ME546463 INSTITU</t>
  </si>
  <si>
    <t>ME547257 INSTITU</t>
  </si>
  <si>
    <t>FETU6656 ALMA</t>
  </si>
  <si>
    <t>03MS8479 ALMA</t>
  </si>
  <si>
    <t>1744 ALMA</t>
  </si>
  <si>
    <t>FV-2098733 ALMA</t>
  </si>
  <si>
    <t>qyqcolbatteries@gmail.com;girlesa.ruiz@servipilas.com;joriescobar64@gmail.com</t>
  </si>
  <si>
    <t>Q&amp;Q COLBATTERIES SAS</t>
  </si>
  <si>
    <t>FE2395</t>
  </si>
  <si>
    <t>FENL50243 INST</t>
  </si>
  <si>
    <t>FE6269 ALMA</t>
  </si>
  <si>
    <t>TERMINO CREDITO</t>
  </si>
  <si>
    <t>ANTICIPO FE701</t>
  </si>
  <si>
    <t>FE701</t>
  </si>
  <si>
    <t>SURGURO JORGE</t>
  </si>
  <si>
    <t>BM1709</t>
  </si>
  <si>
    <t>FV23946 ADMON</t>
  </si>
  <si>
    <t>FV23693 ARRI</t>
  </si>
  <si>
    <t>ANTICIPO FEOG198 ALM</t>
  </si>
  <si>
    <t>NC8012 FEOG198 ALMA</t>
  </si>
  <si>
    <t>FEOG216 ALMA</t>
  </si>
  <si>
    <t>SP9893</t>
  </si>
  <si>
    <t>AD74256</t>
  </si>
  <si>
    <t>AD14284</t>
  </si>
  <si>
    <t>ANTICIPO FEV502</t>
  </si>
  <si>
    <t>ANTICIPO FEV501</t>
  </si>
  <si>
    <t>FEV501 SD</t>
  </si>
  <si>
    <t>FEV502 OFIC</t>
  </si>
  <si>
    <t>S-25757 OFI</t>
  </si>
  <si>
    <t>S-25716 LOC</t>
  </si>
  <si>
    <t>A-3187</t>
  </si>
  <si>
    <t>A-3183</t>
  </si>
  <si>
    <t>7100 A-3199</t>
  </si>
  <si>
    <t>A-3188</t>
  </si>
  <si>
    <t>A-3185</t>
  </si>
  <si>
    <t>A-3195</t>
  </si>
  <si>
    <t>A-3196</t>
  </si>
  <si>
    <t>A-3182</t>
  </si>
  <si>
    <t>AMAZING TECH GROUP</t>
  </si>
  <si>
    <t>g_tech_group@outlook.es</t>
  </si>
  <si>
    <t>COMERCIALIZADRA JLS</t>
  </si>
  <si>
    <t>FENL50657 INST</t>
  </si>
  <si>
    <t>FEAT 21 ALMA</t>
  </si>
  <si>
    <t>ID-751 ALMA</t>
  </si>
  <si>
    <t>1078309 INSTITU</t>
  </si>
  <si>
    <t>1078178 INSTITU</t>
  </si>
  <si>
    <t>1078438 INSTI</t>
  </si>
  <si>
    <t>FE705</t>
  </si>
  <si>
    <t>ANTICIPO FE705</t>
  </si>
  <si>
    <t>2106699 ALMA</t>
  </si>
  <si>
    <t>2108154 SILVIA</t>
  </si>
  <si>
    <t>2110905 SILVIA</t>
  </si>
  <si>
    <t>03MS8603 ALMA</t>
  </si>
  <si>
    <t>PM-8907</t>
  </si>
  <si>
    <t>ELIZA NVERA</t>
  </si>
  <si>
    <t>sntiago alarmar</t>
  </si>
  <si>
    <t>FESJ203348</t>
  </si>
  <si>
    <t>A-3209</t>
  </si>
  <si>
    <t>330772 DULCES</t>
  </si>
  <si>
    <t>EA-3222 ALMA</t>
  </si>
  <si>
    <t>EA-3223 ALMA</t>
  </si>
  <si>
    <t>1831*</t>
  </si>
  <si>
    <t>1832*</t>
  </si>
  <si>
    <t>IVA BEATRIZ</t>
  </si>
  <si>
    <t>IVA NIA</t>
  </si>
  <si>
    <t>GBYJ156 ALMA</t>
  </si>
  <si>
    <t>03MS8706 ALMA</t>
  </si>
  <si>
    <t>FETU6933 ALMA</t>
  </si>
  <si>
    <t>ME548935 INSTITU</t>
  </si>
  <si>
    <t>ME548885 ALMA</t>
  </si>
  <si>
    <t>FE11801 ALMA</t>
  </si>
  <si>
    <t>FE2430 ALMA</t>
  </si>
  <si>
    <t>FEV78262 INSTITU</t>
  </si>
  <si>
    <t>32468 INSTITU</t>
  </si>
  <si>
    <t>32479 ALMA</t>
  </si>
  <si>
    <t>NC13124 FACFE13576</t>
  </si>
  <si>
    <t>1079100 INSTITU</t>
  </si>
  <si>
    <t>1078699 INSTITU</t>
  </si>
  <si>
    <t>1079242 INSTITU</t>
  </si>
  <si>
    <t>SG2211 ALMA</t>
  </si>
  <si>
    <t>ID-765 ALMA</t>
  </si>
  <si>
    <t>FVX19679 ALMA</t>
  </si>
  <si>
    <t>FVX19676 ALMA</t>
  </si>
  <si>
    <t>FVX19699 ALMA</t>
  </si>
  <si>
    <t>FEOG198 ALMA 60</t>
  </si>
  <si>
    <t>FE332826 ALMA</t>
  </si>
  <si>
    <t>FEVT2796 ALMA</t>
  </si>
  <si>
    <t>TP10267 ALMA</t>
  </si>
  <si>
    <t>TP10290 ALMA</t>
  </si>
  <si>
    <t>FV-2115803 ALMA</t>
  </si>
  <si>
    <t>PE 10516 ALMA</t>
  </si>
  <si>
    <t>4557 A-3200</t>
  </si>
  <si>
    <t>F1913 A-3210</t>
  </si>
  <si>
    <t>7618 A-3206</t>
  </si>
  <si>
    <t>1979 A-3217</t>
  </si>
  <si>
    <t>A-3207</t>
  </si>
  <si>
    <t>4515 A-3211</t>
  </si>
  <si>
    <t>4530 A-3212</t>
  </si>
  <si>
    <t>695933 A-3198</t>
  </si>
  <si>
    <t>A-3201</t>
  </si>
  <si>
    <t>6297 A-3213</t>
  </si>
  <si>
    <t>A-3205</t>
  </si>
  <si>
    <t>4789 A-3202</t>
  </si>
  <si>
    <t>A-3181</t>
  </si>
  <si>
    <t>A-3186</t>
  </si>
  <si>
    <t>A-3197</t>
  </si>
  <si>
    <t>A-3204</t>
  </si>
  <si>
    <t>A-3208</t>
  </si>
  <si>
    <t>ANTICIPO FE714</t>
  </si>
  <si>
    <t>60425-60425</t>
  </si>
  <si>
    <t>ABONO CON CREDITO BCS3485</t>
  </si>
  <si>
    <t>ajuste TERMINO CREDITO</t>
  </si>
  <si>
    <t>CAJA SOCIAL 3485</t>
  </si>
  <si>
    <t>2118830 CEL JORGE</t>
  </si>
  <si>
    <t>HORAS EMPLADOS</t>
  </si>
  <si>
    <t>DEL 15 AL 30 NOV</t>
  </si>
  <si>
    <t>Pago 1 NOV de plan de celular familiar</t>
  </si>
  <si>
    <t>Pago 2 DIC  de plan de celular familiar</t>
  </si>
  <si>
    <t>1835*</t>
  </si>
  <si>
    <t>1836*</t>
  </si>
  <si>
    <t>1837*</t>
  </si>
  <si>
    <t>1841*</t>
  </si>
  <si>
    <t>IVA  silvia disantioquia</t>
  </si>
  <si>
    <t>IVA SILVIA mps</t>
  </si>
  <si>
    <t>1851*</t>
  </si>
  <si>
    <t>1850*</t>
  </si>
  <si>
    <t>1853*</t>
  </si>
  <si>
    <t>1854*</t>
  </si>
  <si>
    <t>Universidad Maricela</t>
  </si>
  <si>
    <t>BM1841</t>
  </si>
  <si>
    <t>FV24822 ADMON</t>
  </si>
  <si>
    <t>FV24567 ARRI</t>
  </si>
  <si>
    <t>FESJ204795</t>
  </si>
  <si>
    <t>AD14497</t>
  </si>
  <si>
    <t>SP10170</t>
  </si>
  <si>
    <t>S-26109 LOC</t>
  </si>
  <si>
    <t>S-26150 OFI</t>
  </si>
  <si>
    <t>PM-9143</t>
  </si>
  <si>
    <t>AD74638</t>
  </si>
  <si>
    <t xml:space="preserve">GASTOS VARIOS </t>
  </si>
  <si>
    <t>200E6514 INSTITU</t>
  </si>
  <si>
    <t>FE6841 INSTITU</t>
  </si>
  <si>
    <t>presicion en el tiempo</t>
  </si>
  <si>
    <t>A-3242</t>
  </si>
  <si>
    <t>A-3245</t>
  </si>
  <si>
    <t>FVX20281 ALMA</t>
  </si>
  <si>
    <t>FVX20309 ALMA</t>
  </si>
  <si>
    <t>FE35002 ALMA</t>
  </si>
  <si>
    <t>1079864 INSTITU</t>
  </si>
  <si>
    <t>32766 ALMA</t>
  </si>
  <si>
    <t>FV2123424 ALMA</t>
  </si>
  <si>
    <t>32866 ALMA</t>
  </si>
  <si>
    <t>FI316523 ALMA/INSTI</t>
  </si>
  <si>
    <t>FI317786 ALMA/INSTI</t>
  </si>
  <si>
    <t>FE12039 ALMA</t>
  </si>
  <si>
    <t>FE2394 ALMA</t>
  </si>
  <si>
    <t>ME550345 INSTITU</t>
  </si>
  <si>
    <t>A-3246</t>
  </si>
  <si>
    <t>1863*</t>
  </si>
  <si>
    <t>EA-3468 ALMA</t>
  </si>
  <si>
    <t>DVAD-103</t>
  </si>
  <si>
    <t>venta reloj jaime</t>
  </si>
  <si>
    <t>del 01 al 5 de dic</t>
  </si>
  <si>
    <t>86760 ALMA</t>
  </si>
  <si>
    <t>85276 ALMA</t>
  </si>
  <si>
    <t>2144 ALMA</t>
  </si>
  <si>
    <t>I.C. ELECTRONICS SAS</t>
  </si>
  <si>
    <t>icelectronicsmedellin@hotmail.com</t>
  </si>
  <si>
    <t>00100000445 cta bancolombia ahorros</t>
  </si>
  <si>
    <t>fe3619 ALMA</t>
  </si>
  <si>
    <t>DOGY2594 ALMA</t>
  </si>
  <si>
    <t>DOGY2589 ALMA</t>
  </si>
  <si>
    <t>FN86757 ALMA</t>
  </si>
  <si>
    <t>SE1041 ALMA</t>
  </si>
  <si>
    <t>E720 ALMA</t>
  </si>
  <si>
    <t>FV2126064 ALMA</t>
  </si>
  <si>
    <t>PE10732 ALMA</t>
  </si>
  <si>
    <t>1080343 INSTITU</t>
  </si>
  <si>
    <t>1079895 INSTITU</t>
  </si>
  <si>
    <t>FE35193 ALAMA</t>
  </si>
  <si>
    <t>FEOG278 ALMA</t>
  </si>
  <si>
    <t>FE6526 ALMA</t>
  </si>
  <si>
    <t>CEC2079 ALMA</t>
  </si>
  <si>
    <t>TP10441 ALMA</t>
  </si>
  <si>
    <t>4638 A-3247</t>
  </si>
  <si>
    <t>4639 A-3256</t>
  </si>
  <si>
    <t>A-3265</t>
  </si>
  <si>
    <t>A-3253</t>
  </si>
  <si>
    <t>A-3269</t>
  </si>
  <si>
    <t>71251 A-3267</t>
  </si>
  <si>
    <t xml:space="preserve">FN85236 </t>
  </si>
  <si>
    <t>03MS8945 ALMA</t>
  </si>
  <si>
    <t>03MS8944 ALMA</t>
  </si>
  <si>
    <t>FN86810 ALMA</t>
  </si>
  <si>
    <t>ABONO EN EFETIVO</t>
  </si>
  <si>
    <t>FE2511 ALMA</t>
  </si>
  <si>
    <t>ME 551997 ALMA</t>
  </si>
  <si>
    <t>A-3240</t>
  </si>
  <si>
    <t>A-3226</t>
  </si>
  <si>
    <t>551959 A-3230</t>
  </si>
  <si>
    <t>402 A-3271</t>
  </si>
  <si>
    <t>1786 A-3277</t>
  </si>
  <si>
    <t>33205 ALMA</t>
  </si>
  <si>
    <t>TP10499 ALMA</t>
  </si>
  <si>
    <t>TP10521 ALMA</t>
  </si>
  <si>
    <t>TARJ PARQU</t>
  </si>
  <si>
    <t>del 16 al 27 de dic</t>
  </si>
  <si>
    <t>PULSOS ALBEIRO</t>
  </si>
  <si>
    <t>8239 A-3239</t>
  </si>
  <si>
    <t>10134 A-3228</t>
  </si>
  <si>
    <t>A-3229</t>
  </si>
  <si>
    <t>A-3286</t>
  </si>
  <si>
    <t>A-3285</t>
  </si>
  <si>
    <t>MARCO MAYORGA</t>
  </si>
  <si>
    <t>FVE124</t>
  </si>
  <si>
    <t>FE-12324 ALMA</t>
  </si>
  <si>
    <t>EFECTIVO</t>
  </si>
  <si>
    <t>Pago 3 ENE  de plan de celular familiar</t>
  </si>
  <si>
    <t>ANTICIPO 315688</t>
  </si>
  <si>
    <t>BONO UNIVERSIDAD DAYANA</t>
  </si>
  <si>
    <t>AD-75021</t>
  </si>
  <si>
    <t>FESJ206511</t>
  </si>
  <si>
    <t>BM1978</t>
  </si>
  <si>
    <t>Total2</t>
  </si>
  <si>
    <t>SF 13E274604 INST</t>
  </si>
  <si>
    <t>01/01/2023</t>
  </si>
  <si>
    <t>01/02/2023</t>
  </si>
  <si>
    <t>01/03/2023</t>
  </si>
  <si>
    <t>01/04/2023</t>
  </si>
  <si>
    <t>01/05/2023</t>
  </si>
  <si>
    <t>01/06/2023</t>
  </si>
  <si>
    <t>01/07/2023</t>
  </si>
  <si>
    <t>01/08/2023</t>
  </si>
  <si>
    <t>01/09/2023</t>
  </si>
  <si>
    <t>01/10/2023</t>
  </si>
  <si>
    <t>01/11/2023</t>
  </si>
  <si>
    <t>01/12/2023</t>
  </si>
  <si>
    <t>01/01/2024</t>
  </si>
  <si>
    <t>TC1068 AMEX</t>
  </si>
  <si>
    <t>TC8338 VISA</t>
  </si>
  <si>
    <t>TC2664 VISA TESORERA</t>
  </si>
  <si>
    <t>DAVIVIENDA ************5098</t>
  </si>
  <si>
    <t>FE2538</t>
  </si>
  <si>
    <t>LQ-14206309</t>
  </si>
  <si>
    <t>FV26076 ADMON</t>
  </si>
  <si>
    <t>FV25498 ARRI</t>
  </si>
  <si>
    <t>AD14701</t>
  </si>
  <si>
    <t>NC0000000145</t>
  </si>
  <si>
    <t>SP10437</t>
  </si>
  <si>
    <t>FV-2116367 ALMA</t>
  </si>
  <si>
    <t>S - 26505 LOC</t>
  </si>
  <si>
    <t>S - 26546 OFI</t>
  </si>
  <si>
    <t>PM-9485</t>
  </si>
  <si>
    <t>2099 a-3298</t>
  </si>
  <si>
    <t>FEKM5074 alama</t>
  </si>
  <si>
    <t>FE 2420 insti</t>
  </si>
  <si>
    <t>14338 alma</t>
  </si>
  <si>
    <t>4732 a-3311</t>
  </si>
  <si>
    <t>4750 a-3313</t>
  </si>
  <si>
    <t>4736 a-3312</t>
  </si>
  <si>
    <t>a-3309</t>
  </si>
  <si>
    <t>404 a-3299</t>
  </si>
  <si>
    <t>x</t>
  </si>
  <si>
    <t>de dic28 a ene15</t>
  </si>
  <si>
    <t>a-3300</t>
  </si>
  <si>
    <t>TECH4045 insti</t>
  </si>
  <si>
    <t>INSTI electronica victorinos a-3304</t>
  </si>
  <si>
    <t>A-3305 INSTI</t>
  </si>
  <si>
    <t>facturacion@lacentral.com.co;girlesa.ruiz@servipilas.com;joriescobar64@gmail.com</t>
  </si>
  <si>
    <t>Anticipo</t>
  </si>
  <si>
    <t>a-3302</t>
  </si>
  <si>
    <t>BANCOLOMBIA 9360</t>
  </si>
  <si>
    <t>FESJ206077 intreses noviembre</t>
  </si>
  <si>
    <t>SANTA JUANA (inversiones) X@</t>
  </si>
  <si>
    <t>ADMON X C INQ. LC PROPIO</t>
  </si>
  <si>
    <t>FE-12451 ALMA</t>
  </si>
  <si>
    <t>REOG244 ANTICIPO</t>
  </si>
  <si>
    <t>FEOG283 ANTICIPO</t>
  </si>
  <si>
    <t>ABAJO PRECISON DEL TIEMPO</t>
  </si>
  <si>
    <t>A-3323 /2965</t>
  </si>
  <si>
    <t>A-3322</t>
  </si>
  <si>
    <t>A-3314</t>
  </si>
  <si>
    <t>1899 A-3314</t>
  </si>
  <si>
    <t>10842/ALMA/INST</t>
  </si>
  <si>
    <t>1081854 INSTITU</t>
  </si>
  <si>
    <t>CTOF CASIO</t>
  </si>
  <si>
    <t>10633 ALMA</t>
  </si>
  <si>
    <t>FE 714 - KENEX 60425-60426</t>
  </si>
  <si>
    <t>NC 180</t>
  </si>
  <si>
    <t>60425 ALMA pagada con recursos ropios</t>
  </si>
  <si>
    <t>60426 ALMA pagadas con credito 2555381492</t>
  </si>
  <si>
    <t>BANCOLOMBIA USD$ 2555381492</t>
  </si>
  <si>
    <t xml:space="preserve">KENEX 60426 20-11-2023 </t>
  </si>
  <si>
    <t>AJUSTE POR TASA DE CAMBIO</t>
  </si>
  <si>
    <t>jaime aliexpress</t>
  </si>
  <si>
    <t>CS - 6170 tarjeta moto</t>
  </si>
  <si>
    <t>yvelasquez@nanicastation.com.co;facturas@nanicastation.com.co;girlesa.ruiz@servipilas.com;joriescobar64@gmail.com</t>
  </si>
  <si>
    <t>tecnopartes@ctof.co;girlesa.ruiz@servipilas.com;joriescobar64@gmail.com</t>
  </si>
  <si>
    <t>1882 TNR-316883-316927</t>
  </si>
  <si>
    <t>SE-1065 alma</t>
  </si>
  <si>
    <t>FV-2138790 pc sandiego</t>
  </si>
  <si>
    <t>2134861 pc girleza empresa</t>
  </si>
  <si>
    <t>CED 2152 alma</t>
  </si>
  <si>
    <t>10154 a-3333</t>
  </si>
  <si>
    <t>FU 4956 ALMA</t>
  </si>
  <si>
    <t>FEV81988 inst</t>
  </si>
  <si>
    <t>a-3335</t>
  </si>
  <si>
    <t>1900 a-3335</t>
  </si>
  <si>
    <t>53576 inst</t>
  </si>
  <si>
    <t>10679 alma</t>
  </si>
  <si>
    <t>ME553313 alma</t>
  </si>
  <si>
    <t>ME553651 inst</t>
  </si>
  <si>
    <t>fe2574 alma</t>
  </si>
  <si>
    <t>FETU7399 alma</t>
  </si>
  <si>
    <t>a-3336</t>
  </si>
  <si>
    <t>FE 737 - TNR-316883-316927</t>
  </si>
  <si>
    <t>FE 739 - TNR-316883-316927</t>
  </si>
  <si>
    <t>memoriasoriginales@gmail.com;girlesa.ruiz@servipilas.com;joriescobar64@gmail.com</t>
  </si>
  <si>
    <t>olga.acevedo@logimexsas.com;girlesa.ruiz@servipilas.com;joriescobar64@gmail.com;facturacion@servipilas.com</t>
  </si>
  <si>
    <t>03MS9161 alma</t>
  </si>
  <si>
    <t>75-71</t>
  </si>
  <si>
    <t>78-79-80</t>
  </si>
  <si>
    <t>CAJA SOCIAL CESANTIAS</t>
  </si>
  <si>
    <t>efectivos + megared + caja menor</t>
  </si>
  <si>
    <t>GIRLESA</t>
  </si>
  <si>
    <t>R-1477 A-3338</t>
  </si>
  <si>
    <t>FEVT 2817 /ALMA</t>
  </si>
  <si>
    <t>FENL53669 INSTITU</t>
  </si>
  <si>
    <t>FE 499</t>
  </si>
  <si>
    <t>405 ALMA</t>
  </si>
  <si>
    <t>FE7066 INSTITU</t>
  </si>
  <si>
    <t>del 15 al 31 de enero 24</t>
  </si>
  <si>
    <t>se consigno de mas</t>
  </si>
  <si>
    <t>S-26937 CONS</t>
  </si>
  <si>
    <t>S-26896 LOCAL</t>
  </si>
  <si>
    <t>BM2126</t>
  </si>
  <si>
    <t>comercializadorajls@hotmail.com; girlesa.ruiz@servipilas.com;joriescobar64@gmail.com</t>
  </si>
  <si>
    <t>FESJ208507</t>
  </si>
  <si>
    <t>SAN DIEGO</t>
  </si>
  <si>
    <t>INSTITU</t>
  </si>
  <si>
    <t>ALMA/INSTI</t>
  </si>
  <si>
    <t xml:space="preserve">MDIS7040100 </t>
  </si>
  <si>
    <t xml:space="preserve">MDIS5042179 </t>
  </si>
  <si>
    <t xml:space="preserve">MDIS5042180 </t>
  </si>
  <si>
    <t xml:space="preserve">JS388 </t>
  </si>
  <si>
    <t>TP10546</t>
  </si>
  <si>
    <t>FEV79828</t>
  </si>
  <si>
    <t>FEOG283</t>
  </si>
  <si>
    <t>FEOG244</t>
  </si>
  <si>
    <t>DEUDAS PROVEEDORES INSTITUCIONALES</t>
  </si>
  <si>
    <t>DEUDAS PROVEEDORES ALAMACENES</t>
  </si>
  <si>
    <t>ALMACENES</t>
  </si>
  <si>
    <t>INSTITUCIONALESES</t>
  </si>
  <si>
    <t>Origen
de los
Recursos</t>
  </si>
  <si>
    <t>AH BANCOLOMBIA</t>
  </si>
  <si>
    <t>CC BANCOLOMBIA</t>
  </si>
  <si>
    <t>DAVIVIENDA CC</t>
  </si>
  <si>
    <t>CAJA SOCIAL CC</t>
  </si>
  <si>
    <t>OTRO</t>
  </si>
  <si>
    <t>Descuento
$</t>
  </si>
  <si>
    <t>ReteFuente
$</t>
  </si>
  <si>
    <t>clopez@santajuana.com.co;girlesa.ruiz@servipilas.com;joriescobar64@gmail.com</t>
  </si>
  <si>
    <t>TC</t>
  </si>
  <si>
    <t>ReteFuente
%</t>
  </si>
  <si>
    <t>A3352</t>
  </si>
  <si>
    <t>A-3348</t>
  </si>
  <si>
    <t>TP10719</t>
  </si>
  <si>
    <t>FE2586</t>
  </si>
  <si>
    <t>FEID50290</t>
  </si>
  <si>
    <t>S A F</t>
  </si>
  <si>
    <t>ABAJO JUAN GUILLERMO</t>
  </si>
  <si>
    <t>NCE 192</t>
  </si>
  <si>
    <t>FETU7503</t>
  </si>
  <si>
    <t>ABAJO DANIEL ESCOBAR</t>
  </si>
  <si>
    <t>angela.navas@hyrdistribuciones.com; natalia.villada@hyrdistribuciones.com; girlesa.ruiz@servipilas.com;joriescobar64@gmail.com</t>
  </si>
  <si>
    <t>FE2604</t>
  </si>
  <si>
    <t>IFE53034</t>
  </si>
  <si>
    <t>FE337648</t>
  </si>
  <si>
    <t>A-3364</t>
  </si>
  <si>
    <t>pago IVA</t>
  </si>
  <si>
    <t>SO9143</t>
  </si>
  <si>
    <t xml:space="preserve">SERVEM </t>
  </si>
  <si>
    <t>ruben.montoya@serven.com.co;girlesa.ruiz@servipilas.com;joriescobar64@gmail.com</t>
  </si>
  <si>
    <t>FE7129</t>
  </si>
  <si>
    <t>del 1 al 15 feb</t>
  </si>
  <si>
    <t>FRANCISCO MURILLO</t>
  </si>
  <si>
    <t>AD14908</t>
  </si>
  <si>
    <t>TP10598</t>
  </si>
  <si>
    <t>ACTA817</t>
  </si>
  <si>
    <t>PAPELERIA EL PINGÜINO</t>
  </si>
  <si>
    <t>AD 75780</t>
  </si>
  <si>
    <t>SP10938</t>
  </si>
  <si>
    <t>PM-9847</t>
  </si>
  <si>
    <t>TECH4207</t>
  </si>
  <si>
    <t>ME554966</t>
  </si>
  <si>
    <t>FEV83270</t>
  </si>
  <si>
    <t>FEV83336</t>
  </si>
  <si>
    <t>fenl54285</t>
  </si>
  <si>
    <t>FB2904</t>
  </si>
  <si>
    <t>Abajo ANGELA ADRIANA ARISTIZABAL</t>
  </si>
  <si>
    <t>contabilidad@comsistel.com.co;girlesa.ruiz@servipilas.com;joriescobar64@gmail.com</t>
  </si>
  <si>
    <t>GLORIA CECILILA ESTRADA</t>
  </si>
  <si>
    <t>PE10993</t>
  </si>
  <si>
    <t>SOLO IVA</t>
  </si>
  <si>
    <t>PROFORMA 1</t>
  </si>
  <si>
    <t>PROFORMA 2</t>
  </si>
  <si>
    <t>del 15 al 29 feb</t>
  </si>
  <si>
    <t>FE2605</t>
  </si>
  <si>
    <t>FEA959</t>
  </si>
  <si>
    <t>fekm5201</t>
  </si>
  <si>
    <t>TP10811</t>
  </si>
  <si>
    <t>TP10812</t>
  </si>
  <si>
    <t>ME555343</t>
  </si>
  <si>
    <t>PYG YERRY JORDANO GALLO BUILES</t>
  </si>
  <si>
    <t>GBYJ238</t>
  </si>
  <si>
    <t>SURTI EXPRESS</t>
  </si>
  <si>
    <t>SURT - 128635</t>
  </si>
  <si>
    <t>03MS9390</t>
  </si>
  <si>
    <t>FE14896</t>
  </si>
  <si>
    <t>001-652</t>
  </si>
  <si>
    <t>A-3373</t>
  </si>
  <si>
    <t>A-3372</t>
  </si>
  <si>
    <t>A-3389</t>
  </si>
  <si>
    <t>A-3383</t>
  </si>
  <si>
    <t>Abajo ACCESORIOS PARA CELULAR GTA</t>
  </si>
  <si>
    <t>A-3375</t>
  </si>
  <si>
    <t>4831- A-3367</t>
  </si>
  <si>
    <t>4823 A-3390</t>
  </si>
  <si>
    <t>A-3384</t>
  </si>
  <si>
    <t>A-3370</t>
  </si>
  <si>
    <t>A-3385</t>
  </si>
  <si>
    <t>2116 a-3371</t>
  </si>
  <si>
    <t>6585- a-3368</t>
  </si>
  <si>
    <t>A-3392</t>
  </si>
  <si>
    <t>CUENTA COBRO 01</t>
  </si>
  <si>
    <t>contabilidad@logimexsas.com;girlesa.ruiz@servipilas.com;joriescobar64@gmail.com;facturacion@servipilas.com</t>
  </si>
  <si>
    <t>01/02/2024</t>
  </si>
  <si>
    <t>INTERESES Y FNG</t>
  </si>
  <si>
    <t>RUT</t>
  </si>
  <si>
    <t>CERT. MERCANTIL</t>
  </si>
  <si>
    <t>CERT.BANCARIA</t>
  </si>
  <si>
    <t>NOMBRE CONTACTO</t>
  </si>
  <si>
    <t>NUMERO CONTACTO</t>
  </si>
  <si>
    <t>SI/NO</t>
  </si>
  <si>
    <t>SI</t>
  </si>
  <si>
    <t>NO</t>
  </si>
  <si>
    <t>SOLICITAR</t>
  </si>
  <si>
    <t>BATTERY STORE</t>
  </si>
  <si>
    <t>PM-10188</t>
  </si>
  <si>
    <t>BM2258</t>
  </si>
  <si>
    <t>FV26653 admin</t>
  </si>
  <si>
    <t>FV26395 arriendo</t>
  </si>
  <si>
    <t>FV27261 arriendo</t>
  </si>
  <si>
    <t>S-27297-CONS</t>
  </si>
  <si>
    <t>S-27338-LOCAL</t>
  </si>
  <si>
    <t>AD-76532</t>
  </si>
  <si>
    <t>FV275218 admin</t>
  </si>
  <si>
    <t>AD15113</t>
  </si>
  <si>
    <t>FESJ209972</t>
  </si>
  <si>
    <t>SP11035</t>
  </si>
  <si>
    <t>PUERTA</t>
  </si>
  <si>
    <t>1082338 INSTITU</t>
  </si>
  <si>
    <t>FEOG309 anticipo</t>
  </si>
  <si>
    <t>FEOG309</t>
  </si>
  <si>
    <t>Abajo ANDRES RAMIREZ KAIROS</t>
  </si>
  <si>
    <t>REOG383 ANTICIPO</t>
  </si>
  <si>
    <t>FI337430</t>
  </si>
  <si>
    <t>FEV84404</t>
  </si>
  <si>
    <t>FVX21570</t>
  </si>
  <si>
    <t>FVX21569</t>
  </si>
  <si>
    <t>FV-2155535</t>
  </si>
  <si>
    <t>SE-1090</t>
  </si>
  <si>
    <t>PE 11099</t>
  </si>
  <si>
    <t>FVX21571</t>
  </si>
  <si>
    <t>del 1 al 15 mar</t>
  </si>
  <si>
    <t>a</t>
  </si>
  <si>
    <t>FV-2156495</t>
  </si>
  <si>
    <t>TP10915</t>
  </si>
  <si>
    <t>SURT - 131469</t>
  </si>
  <si>
    <t>TP10866</t>
  </si>
  <si>
    <t>TP10907</t>
  </si>
  <si>
    <t>TP10918</t>
  </si>
  <si>
    <t>TP10937</t>
  </si>
  <si>
    <t>TP10942</t>
  </si>
  <si>
    <t>TP10764</t>
  </si>
  <si>
    <t>Para abonar al leasing Davi</t>
  </si>
  <si>
    <t>A-3401</t>
  </si>
  <si>
    <t>A-3415</t>
  </si>
  <si>
    <t>A-3416</t>
  </si>
  <si>
    <t>6640 A-3402</t>
  </si>
  <si>
    <t>01/03/2024</t>
  </si>
  <si>
    <t>A-3408</t>
  </si>
  <si>
    <t>A-3407</t>
  </si>
  <si>
    <t>04799-A3419</t>
  </si>
  <si>
    <t>11717- a-3403</t>
  </si>
  <si>
    <t>REM-185 - A-3418</t>
  </si>
  <si>
    <t>SURT-132760</t>
  </si>
  <si>
    <t>81140-A3427</t>
  </si>
  <si>
    <t>CED 222</t>
  </si>
  <si>
    <t>NCE 200 A LA FRA 222</t>
  </si>
  <si>
    <t>ME557527</t>
  </si>
  <si>
    <t>SE-1099</t>
  </si>
  <si>
    <t>PE 11219</t>
  </si>
  <si>
    <t>FETU7791</t>
  </si>
  <si>
    <t>03MS9712</t>
  </si>
  <si>
    <t>FEV85277</t>
  </si>
  <si>
    <t>TP10974</t>
  </si>
  <si>
    <t>1004145 anticipo</t>
  </si>
  <si>
    <t>SG2359</t>
  </si>
  <si>
    <t>FEV85851</t>
  </si>
  <si>
    <t>FEVT-2862</t>
  </si>
  <si>
    <t>FETU7800</t>
  </si>
  <si>
    <t>del 15 al 31 mar</t>
  </si>
  <si>
    <t>10849 - A3363</t>
  </si>
  <si>
    <t>recepcion.medellin@girag.com;girlesa.ruiz@servipilas.com;joriescobar64@gmail.com</t>
  </si>
  <si>
    <t>GIRAG SAS</t>
  </si>
  <si>
    <t>S-27740 - CONSUL</t>
  </si>
  <si>
    <t>SOLO IVA GRUPO RPC SAS</t>
  </si>
  <si>
    <t>TP10719NC</t>
  </si>
  <si>
    <t>FESJ211475</t>
  </si>
  <si>
    <t>SO072324</t>
  </si>
  <si>
    <t>SO071915</t>
  </si>
  <si>
    <t>SO071918</t>
  </si>
  <si>
    <t>S-27697-LOCAL</t>
  </si>
  <si>
    <t>AD-77279</t>
  </si>
  <si>
    <t>BM2391</t>
  </si>
  <si>
    <t>FV28393 ADMON</t>
  </si>
  <si>
    <t>FV28134 ARRIENDO</t>
  </si>
  <si>
    <t>AD15321</t>
  </si>
  <si>
    <t>SP11301</t>
  </si>
  <si>
    <t>FE2686</t>
  </si>
  <si>
    <t>6730 A-3438</t>
  </si>
  <si>
    <t>705280 A-3434</t>
  </si>
  <si>
    <t>12485 A-3437</t>
  </si>
  <si>
    <t>TP11054</t>
  </si>
  <si>
    <t>TP11053</t>
  </si>
  <si>
    <t>FE341138</t>
  </si>
  <si>
    <t>FEV86033</t>
  </si>
  <si>
    <t>FEV85922</t>
  </si>
  <si>
    <t>FENL 56153</t>
  </si>
  <si>
    <t>SE-1102</t>
  </si>
  <si>
    <t>FE-13422</t>
  </si>
  <si>
    <t>HFE1-1085144</t>
  </si>
  <si>
    <t>TP10998</t>
  </si>
  <si>
    <t>FEV86038</t>
  </si>
  <si>
    <t>MOVERCARGO - BATTERY STORE</t>
  </si>
  <si>
    <t>MOVERCARGO - SINOMING CHINA</t>
  </si>
  <si>
    <t>CARPA - POWER SONIC</t>
  </si>
  <si>
    <t>IMPOCARGO - POWER SONIC</t>
  </si>
  <si>
    <t>OPELSA - POWER SONIC</t>
  </si>
  <si>
    <t>POWER SONIC</t>
  </si>
  <si>
    <t>LOGIMEX - POWER SONIC</t>
  </si>
  <si>
    <t>REVO COLOMBIA SAS</t>
  </si>
  <si>
    <t>jeimmy.rojas@revo360.com; gerenteaduanera@wtnewvision.com; girlesa.ruiz@servipilas.com;joriescobar64@gmail.com</t>
  </si>
  <si>
    <t>REVO18</t>
  </si>
  <si>
    <t>FE2693</t>
  </si>
  <si>
    <t>del 1 al 15 abril</t>
  </si>
  <si>
    <t>03MS9967</t>
  </si>
  <si>
    <t>ME558984</t>
  </si>
  <si>
    <t>MDIS5042398 / BATERIA DELIO / JAIME</t>
  </si>
  <si>
    <t>4960-A-3435</t>
  </si>
  <si>
    <t>4957-A-3431 MOLINOS</t>
  </si>
  <si>
    <t>4848 -A-3446 MOLINOS</t>
  </si>
  <si>
    <t>4967-A-3450 MOLINOS</t>
  </si>
  <si>
    <t>4966-A-3451</t>
  </si>
  <si>
    <t>4977-A-3449 MOLINOS</t>
  </si>
  <si>
    <t>5000-A-3452 SANDIEGO</t>
  </si>
  <si>
    <t>HFE1-1086064</t>
  </si>
  <si>
    <t>MDIS5.042.408</t>
  </si>
  <si>
    <t>A-3448</t>
  </si>
  <si>
    <t>FE 2517- se hizo un cambio de pilas y le debemos el excedente preguntar a santiago</t>
  </si>
  <si>
    <t>Abajo GLORIA CECILILA ESTRADA</t>
  </si>
  <si>
    <t>200E21667</t>
  </si>
  <si>
    <t>200E8659 paga primo Bogotá</t>
  </si>
  <si>
    <t>Abajo ELECTRONICA VICTORINOS</t>
  </si>
  <si>
    <t>A-3440</t>
  </si>
  <si>
    <t>PM-10526</t>
  </si>
  <si>
    <t>SURT - 128635 retencion no practicada</t>
  </si>
  <si>
    <t>FE6802 abono</t>
  </si>
  <si>
    <t>FE6802 saldo a pagar $2.2393.320</t>
  </si>
  <si>
    <t>Devol retención Fras Dic</t>
  </si>
  <si>
    <t>AD15321 valor pendiente de pago</t>
  </si>
  <si>
    <t>MY CELLULAR DEPOT SAS</t>
  </si>
  <si>
    <t>mycellulardepotsas@gmail.com; girlesa.ruiz@servipilas.com;joriescobar64@gmail.com</t>
  </si>
  <si>
    <t>FE1731</t>
  </si>
  <si>
    <t>FE2713</t>
  </si>
  <si>
    <t>01/04/2025</t>
  </si>
  <si>
    <t>se abono 575 usd</t>
  </si>
  <si>
    <t>103646 Nos reitegraron el saldo a favor abril 19</t>
  </si>
  <si>
    <t>Retenciones no pagadas a la Dian, que se le debe de reintegrar de la vigencia 2023</t>
  </si>
  <si>
    <t>Abajo MANUFACTURAS HEFZI-BA Juan Manuel Pulsos</t>
  </si>
  <si>
    <t>A-3464</t>
  </si>
  <si>
    <t>FE37647</t>
  </si>
  <si>
    <t>SE-1121</t>
  </si>
  <si>
    <t>200E22535</t>
  </si>
  <si>
    <t>TP-11078</t>
  </si>
  <si>
    <t>200E22669</t>
  </si>
  <si>
    <t>FEV87042</t>
  </si>
  <si>
    <t>TP-11113</t>
  </si>
  <si>
    <t>FI349675</t>
  </si>
  <si>
    <t>FV-2174124</t>
  </si>
  <si>
    <t>TECH4562</t>
  </si>
  <si>
    <t>HFE1-1086529</t>
  </si>
  <si>
    <t>NC4641 CRUZADA CON LA FRA 35002 PAGADA EN ENERO</t>
  </si>
  <si>
    <t>SURT - NC 17185 APLICADA A LA FRA 128635</t>
  </si>
  <si>
    <t>2202 A-3465</t>
  </si>
  <si>
    <t>13101  A-3459</t>
  </si>
  <si>
    <t>8264 A-3460</t>
  </si>
  <si>
    <t>707026 - A3473 pte comprobante de pago tc</t>
  </si>
  <si>
    <t>HFE1-1086652</t>
  </si>
  <si>
    <t>FEV87609</t>
  </si>
  <si>
    <t>FE767 FRA KENEX 61138</t>
  </si>
  <si>
    <t>767 KENEX 61138</t>
  </si>
  <si>
    <t>ANTICIPO 82119</t>
  </si>
  <si>
    <t>793  KENEX 82119</t>
  </si>
  <si>
    <t>319350 MOVE CARGO</t>
  </si>
  <si>
    <t>319355 MOVE CARGO</t>
  </si>
  <si>
    <t>321154 LOGIMEX</t>
  </si>
  <si>
    <t>795 BATTERY STORE 321154</t>
  </si>
  <si>
    <t>ANTICIPO 321154</t>
  </si>
  <si>
    <t>FV-2174155</t>
  </si>
  <si>
    <t>INCLUYE AJUSTE</t>
  </si>
  <si>
    <t>ABAJO GIRLESA RUIZ</t>
  </si>
  <si>
    <t>ABAJO JORGE ARREDONDO - JARLY SAS</t>
  </si>
  <si>
    <t>ABAJO STARTIME</t>
  </si>
  <si>
    <t>ABAJO MERCEDES PILAS</t>
  </si>
  <si>
    <t>ABAJO YOLANDA</t>
  </si>
  <si>
    <t>ABAJO INVERSIONES ARCILA</t>
  </si>
  <si>
    <t>ABAJO GUSTAVO PULSOS</t>
  </si>
  <si>
    <t>ABAJO SWIZZER REPUESTOS</t>
  </si>
  <si>
    <t>ABAJO brightside</t>
  </si>
  <si>
    <t>ABAJO AVELINA</t>
  </si>
  <si>
    <t>ABAJO AURELIO PILAS</t>
  </si>
  <si>
    <t>ABAJO REPUESTOS CALI</t>
  </si>
  <si>
    <t>ABAJO MERCADOLIBRE X@</t>
  </si>
  <si>
    <t>ABAJO A TU MANO</t>
  </si>
  <si>
    <t>ABAJO NALPI</t>
  </si>
  <si>
    <t>ABAJO PULSOS ESPECIALES</t>
  </si>
  <si>
    <t>ABAJO ANGELA ADRIANA ARISTIZABAL</t>
  </si>
  <si>
    <t>ABAJO RUSBEL GIRALDO SERNA</t>
  </si>
  <si>
    <t>ABAJO TECNOPILAS</t>
  </si>
  <si>
    <t>ABAJO YERMIN</t>
  </si>
  <si>
    <t>ABAJO CAJONES DE RELOJ</t>
  </si>
  <si>
    <t>ABAJO OLGA CARDONA</t>
  </si>
  <si>
    <t>ABAJO UNIFORMES</t>
  </si>
  <si>
    <t>ABAJO MEGARED</t>
  </si>
  <si>
    <t>ABAJO ALIEXPRESS</t>
  </si>
  <si>
    <t>ABAJO GERMAN PALACIOS</t>
  </si>
  <si>
    <t>ABAJO GLORIA SOTO</t>
  </si>
  <si>
    <t>ABAJO ACCESORIOS PARA CELULAR GTA</t>
  </si>
  <si>
    <t>ABAJO ANDRES RAMIREZ KAIROS</t>
  </si>
  <si>
    <t>ABAJO GLORIA CECILILA ESTRADA</t>
  </si>
  <si>
    <t>ABAJO ELECTRONICA VICTORINOS</t>
  </si>
  <si>
    <t>ABAJO MANUFACTURAS HEFZI-BA Juan Manuel Pulsos</t>
  </si>
  <si>
    <t>FE2735</t>
  </si>
  <si>
    <t>REOG383</t>
  </si>
  <si>
    <t>restrepoedision@yahoo.es; admon@surtiexpress.com.co;girlesa.ruiz@servipilas.com;joriescobar64@gmail.com</t>
  </si>
  <si>
    <t>compras centro</t>
  </si>
  <si>
    <t>cajones relojes</t>
  </si>
  <si>
    <t>FE3697</t>
  </si>
  <si>
    <t>FV-2176051</t>
  </si>
  <si>
    <t>FV-2176413</t>
  </si>
  <si>
    <t>Molinos</t>
  </si>
  <si>
    <t>la central</t>
  </si>
  <si>
    <t>sandiego</t>
  </si>
  <si>
    <t>puerta</t>
  </si>
  <si>
    <t>mayorca</t>
  </si>
  <si>
    <t>Pagada</t>
  </si>
  <si>
    <t>4903-A3406</t>
  </si>
  <si>
    <t>saldo a favor por pago extra 4823</t>
  </si>
  <si>
    <t>estado pago</t>
  </si>
  <si>
    <t>CRÉDITO</t>
  </si>
  <si>
    <t>PAGO VENCIDO</t>
  </si>
  <si>
    <t>DE CONTADO</t>
  </si>
  <si>
    <t>Vencida</t>
  </si>
  <si>
    <t>Por pagar</t>
  </si>
  <si>
    <t>1. hacer click en el botón "traer Datos</t>
  </si>
  <si>
    <t>Nota: la formula no suma los porveedores con los simbolos "X@"</t>
  </si>
  <si>
    <t>Cierre de mes</t>
  </si>
  <si>
    <t>322429 LOGIMEX</t>
  </si>
  <si>
    <t>CARPA - BATTERY STORE</t>
  </si>
  <si>
    <t>2022 - 322429</t>
  </si>
  <si>
    <t>TERMOEMPAK X@</t>
  </si>
  <si>
    <t>LOGIMEX - BATTERY STORE</t>
  </si>
  <si>
    <t>LOGIMEX - KENEX</t>
  </si>
  <si>
    <t>LOGIMEX - MONTBLANC</t>
  </si>
  <si>
    <t>LOGIMEX - TNR</t>
  </si>
  <si>
    <t>IMPUESTOS - 32242</t>
  </si>
  <si>
    <t>DIAN - MONTBLANC</t>
  </si>
  <si>
    <t>DIAN - POWER SONIC</t>
  </si>
  <si>
    <t>DIAN - TENERGY</t>
  </si>
  <si>
    <t>DIAN - TNR</t>
  </si>
  <si>
    <t>DIAN - BATTERY STORE</t>
  </si>
  <si>
    <t>DIAN - KENEX</t>
  </si>
  <si>
    <t xml:space="preserve">DIAN - TNR </t>
  </si>
  <si>
    <t>BM2533</t>
  </si>
  <si>
    <t>FV29267 adm</t>
  </si>
  <si>
    <t>FV29012 arr</t>
  </si>
  <si>
    <t>FESJ213104</t>
  </si>
  <si>
    <t>C:\Users\SILVIA\Downloads</t>
  </si>
  <si>
    <t>88774 estuches</t>
  </si>
  <si>
    <t>88793 fletes</t>
  </si>
  <si>
    <t>88794 fletes</t>
  </si>
  <si>
    <t>A3463</t>
  </si>
  <si>
    <t xml:space="preserve">CASA COLOMBOSUIZA DMARIO </t>
  </si>
  <si>
    <t>financiero@CASA COLOMBOSUIZA DMARIO colombia.com;cartera@CASA COLOMBOSUIZA DMARIO colombia.com.co;girlesa.ruiz@servipilas.com;joriescobar64@gmail.com</t>
  </si>
  <si>
    <t>bateria nokia compra don jorge</t>
  </si>
  <si>
    <t>88665 anticipo</t>
  </si>
  <si>
    <t>ABAJO COMERCIALIZADORA UBRA JOT</t>
  </si>
  <si>
    <t>1997-A3436</t>
  </si>
  <si>
    <t>2001-A3456</t>
  </si>
  <si>
    <t>2010-A3463</t>
  </si>
  <si>
    <t>F2323 - A-3489</t>
  </si>
  <si>
    <t>FENL 57300</t>
  </si>
  <si>
    <t>San Diego</t>
  </si>
  <si>
    <t>03MS10244</t>
  </si>
  <si>
    <t>del 16 al 30 abril</t>
  </si>
  <si>
    <t>anticipo kenex 1413</t>
  </si>
  <si>
    <t>001-651</t>
  </si>
  <si>
    <t>impuestos -1413</t>
  </si>
  <si>
    <t>PE 11523</t>
  </si>
  <si>
    <t>TP-11201</t>
  </si>
  <si>
    <t>TP-11187</t>
  </si>
  <si>
    <t>SP 11586</t>
  </si>
  <si>
    <t>AD-77663</t>
  </si>
  <si>
    <t>del 1 al 15 de mayo</t>
  </si>
  <si>
    <t>AD15529</t>
  </si>
  <si>
    <t>No. NC13671 mayor valor facturado</t>
  </si>
  <si>
    <t>No. NC13457 mayor valor facturado</t>
  </si>
  <si>
    <t>S-28149 - CONSUL</t>
  </si>
  <si>
    <t>S-28106-LOCAL</t>
  </si>
  <si>
    <t>PM-10860</t>
  </si>
  <si>
    <t>W</t>
  </si>
  <si>
    <t>REVO58</t>
  </si>
  <si>
    <t>Abono a tc</t>
  </si>
  <si>
    <t>Puerta Norte</t>
  </si>
  <si>
    <t>649-A-3494</t>
  </si>
  <si>
    <t>ad.facturacion@gmail.com; girlesa.ruiz@servipilas.com;joriescobar64@gmail.com</t>
  </si>
  <si>
    <t>A- 3505</t>
  </si>
  <si>
    <t>F2392- A- 3507</t>
  </si>
  <si>
    <t>FE15522</t>
  </si>
  <si>
    <t>FI352795</t>
  </si>
  <si>
    <t>JUAN CARLOS MOJOCOA (Renata)</t>
  </si>
  <si>
    <t>juancarlos.mojocoa@gmail.com;girlesa.ruiz@servipilas.com;joriescobar64@gmail.com</t>
  </si>
  <si>
    <t>JM 1711</t>
  </si>
  <si>
    <t>FE 829 Battery Store 322429</t>
  </si>
  <si>
    <t>ANT BATTERY STORE 322429</t>
  </si>
  <si>
    <t>FE 826 Kenex 1413</t>
  </si>
  <si>
    <t>1.2 interes</t>
  </si>
  <si>
    <t>HFE1-1087950</t>
  </si>
  <si>
    <t>F2283</t>
  </si>
  <si>
    <t>ME561782</t>
  </si>
  <si>
    <t>FE2778</t>
  </si>
  <si>
    <t>5076-A3510</t>
  </si>
  <si>
    <t>5080-a3511</t>
  </si>
  <si>
    <t>FV-2185105</t>
  </si>
  <si>
    <t>FV-2184270</t>
  </si>
  <si>
    <t>FEV89327</t>
  </si>
  <si>
    <t>CETIA</t>
  </si>
  <si>
    <t>LMC288</t>
  </si>
  <si>
    <t>01/05/2024</t>
  </si>
  <si>
    <t>Anticipo kenex 61844</t>
  </si>
  <si>
    <t>Anticipo Battery 323523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</si>
</sst>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8" formatCode="&quot;$&quot;\ #,##0.00;[Red]\-&quot;$&quot;\ #,##0.00"/>
    <numFmt numFmtId="43" formatCode="_-* #,##0.00_-;\-* #,##0.00_-;_-* &quot;-&quot;??_-;_-@_-"/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&quot;$&quot;\ #,##0_);[Red]\(&quot;$&quot;\ #,##0\)"/>
    <numFmt numFmtId="168" formatCode="&quot;$&quot;#,##0;[Red]\-&quot;$&quot;#,##0"/>
    <numFmt numFmtId="169" formatCode="0.0%"/>
    <numFmt numFmtId="170" formatCode="dd\ &quot;de&quot;\ mmmm\ &quot;de&quot;\ yyyy"/>
    <numFmt numFmtId="171" formatCode="&quot;$&quot;#,##0.0;[Red]\-&quot;$&quot;#,##0.0"/>
    <numFmt numFmtId="172" formatCode="dd/mm/yyyy;@"/>
    <numFmt numFmtId="173" formatCode="&quot;$&quot;#,##0.00;[Red]\-&quot;$&quot;#,##0.00"/>
    <numFmt numFmtId="174" formatCode="dd/mm/yy"/>
  </numFmts>
  <fonts count="6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 tint="0.34998626667073579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name val="Bell MT"/>
      <family val="1"/>
    </font>
    <font>
      <sz val="12"/>
      <name val="Bell MT"/>
      <family val="1"/>
    </font>
    <font>
      <b/>
      <sz val="11"/>
      <name val="Calibri"/>
      <family val="2"/>
    </font>
    <font>
      <sz val="9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b/>
      <i/>
      <sz val="12"/>
      <name val="Calibri"/>
      <family val="2"/>
      <scheme val="minor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sz val="9"/>
      <name val="Bell MT"/>
      <family val="1"/>
    </font>
    <font>
      <b/>
      <sz val="9"/>
      <name val="Bell MT"/>
      <family val="1"/>
    </font>
    <font>
      <i/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name val="Bell MT"/>
      <family val="1"/>
    </font>
    <font>
      <sz val="11"/>
      <name val="Bell MT"/>
      <family val="1"/>
    </font>
    <font>
      <sz val="11"/>
      <name val="Bell MT"/>
      <family val="1"/>
    </font>
    <font>
      <b/>
      <i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rgb="FFE2EFD9"/>
      </patternFill>
    </fill>
    <fill>
      <patternFill patternType="solid">
        <fgColor rgb="FFD8D8D8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theme="9" tint="0.79998168889431442"/>
        <bgColor rgb="FFE2EFD9"/>
      </patternFill>
    </fill>
    <fill>
      <patternFill patternType="solid">
        <fgColor theme="9" tint="0.79998168889431442"/>
        <bgColor rgb="FFD9E2F3"/>
      </patternFill>
    </fill>
    <fill>
      <patternFill patternType="solid">
        <fgColor theme="4" tint="0.79998168889431442"/>
        <bgColor rgb="FFD9E2F3"/>
      </patternFill>
    </fill>
    <fill>
      <patternFill patternType="solid">
        <fgColor theme="4" tint="0.79998168889431442"/>
        <bgColor rgb="FFE2EFD9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499984740745262"/>
        <bgColor indexed="64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15" fillId="0" borderId="0" applyNumberFormat="0" applyFill="0" applyBorder="0" applyAlignment="0" applyProtection="0"/>
    <xf numFmtId="0" fontId="16" fillId="0" borderId="0"/>
    <xf numFmtId="166" fontId="18" fillId="0" borderId="0" applyFont="0" applyFill="0" applyBorder="0" applyAlignment="0" applyProtection="0"/>
    <xf numFmtId="43" fontId="18" fillId="0" borderId="0" applyFont="0" applyFill="0" applyBorder="0" applyAlignment="0" applyProtection="0"/>
  </cellStyleXfs>
  <cellXfs count="222">
    <xf numFmtId="0" fontId="0" fillId="0" borderId="0" xfId="0"/>
    <xf numFmtId="14" fontId="4" fillId="0" borderId="1" xfId="0" applyNumberFormat="1" applyFont="1" applyBorder="1" applyAlignment="1">
      <alignment horizontal="center" vertical="center"/>
    </xf>
    <xf numFmtId="15" fontId="4" fillId="0" borderId="3" xfId="0" applyNumberFormat="1" applyFont="1" applyBorder="1" applyAlignment="1">
      <alignment horizontal="center" vertical="center"/>
    </xf>
    <xf numFmtId="1" fontId="5" fillId="2" borderId="0" xfId="0" applyNumberFormat="1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/>
    </xf>
    <xf numFmtId="168" fontId="7" fillId="0" borderId="0" xfId="0" applyNumberFormat="1" applyFont="1" applyAlignment="1">
      <alignment vertical="center"/>
    </xf>
    <xf numFmtId="0" fontId="1" fillId="3" borderId="0" xfId="0" applyFont="1" applyFill="1" applyAlignment="1">
      <alignment vertical="center"/>
    </xf>
    <xf numFmtId="14" fontId="7" fillId="0" borderId="0" xfId="0" applyNumberFormat="1" applyFont="1" applyAlignment="1">
      <alignment horizontal="left" vertical="center"/>
    </xf>
    <xf numFmtId="0" fontId="1" fillId="3" borderId="0" xfId="0" applyFont="1" applyFill="1"/>
    <xf numFmtId="165" fontId="5" fillId="3" borderId="0" xfId="0" applyNumberFormat="1" applyFont="1" applyFill="1" applyAlignment="1">
      <alignment vertical="center"/>
    </xf>
    <xf numFmtId="165" fontId="6" fillId="3" borderId="0" xfId="0" applyNumberFormat="1" applyFont="1" applyFill="1" applyAlignment="1">
      <alignment vertical="center"/>
    </xf>
    <xf numFmtId="169" fontId="1" fillId="3" borderId="0" xfId="0" applyNumberFormat="1" applyFont="1" applyFill="1" applyAlignment="1">
      <alignment vertical="center"/>
    </xf>
    <xf numFmtId="1" fontId="7" fillId="0" borderId="0" xfId="0" applyNumberFormat="1" applyFont="1" applyAlignment="1">
      <alignment horizontal="left" vertical="center"/>
    </xf>
    <xf numFmtId="1" fontId="7" fillId="2" borderId="0" xfId="0" applyNumberFormat="1" applyFont="1" applyFill="1" applyAlignment="1">
      <alignment horizontal="left" vertical="center" wrapText="1"/>
    </xf>
    <xf numFmtId="1" fontId="7" fillId="3" borderId="0" xfId="0" applyNumberFormat="1" applyFont="1" applyFill="1" applyAlignment="1">
      <alignment horizontal="right" vertical="center"/>
    </xf>
    <xf numFmtId="1" fontId="8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3" fillId="4" borderId="4" xfId="0" applyFont="1" applyFill="1" applyBorder="1" applyAlignment="1">
      <alignment horizontal="left" vertical="center" wrapText="1"/>
    </xf>
    <xf numFmtId="0" fontId="5" fillId="0" borderId="0" xfId="0" applyFont="1" applyAlignment="1">
      <alignment vertical="center"/>
    </xf>
    <xf numFmtId="16" fontId="0" fillId="0" borderId="0" xfId="0" applyNumberFormat="1"/>
    <xf numFmtId="170" fontId="0" fillId="0" borderId="0" xfId="0" applyNumberFormat="1"/>
    <xf numFmtId="0" fontId="6" fillId="2" borderId="0" xfId="0" applyFont="1" applyFill="1" applyAlignment="1">
      <alignment horizontal="center" vertical="center" wrapText="1"/>
    </xf>
    <xf numFmtId="165" fontId="1" fillId="3" borderId="0" xfId="0" applyNumberFormat="1" applyFont="1" applyFill="1" applyAlignment="1">
      <alignment horizontal="center" vertical="center" wrapText="1"/>
    </xf>
    <xf numFmtId="0" fontId="9" fillId="0" borderId="0" xfId="0" applyFont="1" applyAlignment="1">
      <alignment vertical="center"/>
    </xf>
    <xf numFmtId="14" fontId="6" fillId="0" borderId="0" xfId="0" applyNumberFormat="1" applyFont="1" applyAlignment="1">
      <alignment vertical="center"/>
    </xf>
    <xf numFmtId="171" fontId="7" fillId="0" borderId="0" xfId="0" applyNumberFormat="1" applyFont="1" applyAlignment="1">
      <alignment vertical="center"/>
    </xf>
    <xf numFmtId="165" fontId="1" fillId="3" borderId="0" xfId="0" applyNumberFormat="1" applyFont="1" applyFill="1" applyAlignment="1">
      <alignment vertical="center"/>
    </xf>
    <xf numFmtId="164" fontId="10" fillId="3" borderId="0" xfId="0" applyNumberFormat="1" applyFont="1" applyFill="1" applyAlignment="1">
      <alignment vertical="center"/>
    </xf>
    <xf numFmtId="164" fontId="0" fillId="0" borderId="0" xfId="0" applyNumberFormat="1"/>
    <xf numFmtId="169" fontId="0" fillId="0" borderId="0" xfId="0" applyNumberFormat="1"/>
    <xf numFmtId="169" fontId="0" fillId="6" borderId="0" xfId="0" applyNumberFormat="1" applyFill="1"/>
    <xf numFmtId="0" fontId="0" fillId="6" borderId="0" xfId="0" applyFill="1"/>
    <xf numFmtId="164" fontId="0" fillId="6" borderId="0" xfId="0" applyNumberFormat="1" applyFill="1"/>
    <xf numFmtId="1" fontId="17" fillId="6" borderId="0" xfId="0" applyNumberFormat="1" applyFont="1" applyFill="1"/>
    <xf numFmtId="169" fontId="17" fillId="6" borderId="0" xfId="0" applyNumberFormat="1" applyFont="1" applyFill="1"/>
    <xf numFmtId="1" fontId="17" fillId="0" borderId="0" xfId="0" applyNumberFormat="1" applyFont="1"/>
    <xf numFmtId="0" fontId="0" fillId="0" borderId="0" xfId="0" applyAlignment="1">
      <alignment horizontal="center" vertical="center"/>
    </xf>
    <xf numFmtId="165" fontId="0" fillId="0" borderId="0" xfId="0" applyNumberFormat="1"/>
    <xf numFmtId="0" fontId="0" fillId="7" borderId="0" xfId="0" applyFill="1" applyAlignment="1">
      <alignment horizontal="center" vertical="center"/>
    </xf>
    <xf numFmtId="0" fontId="20" fillId="7" borderId="0" xfId="1" quotePrefix="1" applyFont="1" applyFill="1" applyAlignment="1">
      <alignment horizontal="center" vertical="center"/>
    </xf>
    <xf numFmtId="0" fontId="0" fillId="0" borderId="8" xfId="0" applyBorder="1"/>
    <xf numFmtId="173" fontId="7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1" fontId="25" fillId="0" borderId="0" xfId="0" applyNumberFormat="1" applyFont="1" applyAlignment="1">
      <alignment horizontal="left"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165" fontId="19" fillId="5" borderId="6" xfId="0" applyNumberFormat="1" applyFont="1" applyFill="1" applyBorder="1" applyAlignment="1">
      <alignment vertical="center" wrapText="1"/>
    </xf>
    <xf numFmtId="0" fontId="44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0" fillId="10" borderId="0" xfId="0" applyFill="1"/>
    <xf numFmtId="168" fontId="7" fillId="10" borderId="0" xfId="0" applyNumberFormat="1" applyFont="1" applyFill="1" applyAlignment="1">
      <alignment vertical="center"/>
    </xf>
    <xf numFmtId="0" fontId="17" fillId="11" borderId="0" xfId="0" applyFont="1" applyFill="1" applyAlignment="1">
      <alignment horizontal="center" vertical="center"/>
    </xf>
    <xf numFmtId="172" fontId="6" fillId="3" borderId="0" xfId="0" applyNumberFormat="1" applyFont="1" applyFill="1" applyAlignment="1">
      <alignment vertical="center"/>
    </xf>
    <xf numFmtId="172" fontId="6" fillId="0" borderId="0" xfId="0" applyNumberFormat="1" applyFont="1" applyAlignment="1">
      <alignment vertical="center"/>
    </xf>
    <xf numFmtId="172" fontId="7" fillId="2" borderId="0" xfId="0" applyNumberFormat="1" applyFont="1" applyFill="1" applyAlignment="1">
      <alignment horizontal="center" vertical="center" wrapText="1"/>
    </xf>
    <xf numFmtId="172" fontId="0" fillId="0" borderId="0" xfId="0" applyNumberFormat="1" applyAlignment="1">
      <alignment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8" fontId="0" fillId="0" borderId="0" xfId="0" applyNumberFormat="1" applyAlignment="1">
      <alignment vertical="center"/>
    </xf>
    <xf numFmtId="174" fontId="7" fillId="0" borderId="0" xfId="0" applyNumberFormat="1" applyFont="1" applyAlignment="1">
      <alignment horizontal="left" vertical="center"/>
    </xf>
    <xf numFmtId="1" fontId="8" fillId="0" borderId="0" xfId="0" applyNumberFormat="1" applyFont="1" applyAlignment="1">
      <alignment horizontal="left" vertical="center"/>
    </xf>
    <xf numFmtId="1" fontId="8" fillId="10" borderId="0" xfId="0" applyNumberFormat="1" applyFont="1" applyFill="1" applyAlignment="1">
      <alignment horizontal="left" vertical="center"/>
    </xf>
    <xf numFmtId="164" fontId="13" fillId="9" borderId="0" xfId="0" applyNumberFormat="1" applyFont="1" applyFill="1" applyAlignment="1">
      <alignment vertical="center"/>
    </xf>
    <xf numFmtId="0" fontId="11" fillId="9" borderId="12" xfId="0" applyFont="1" applyFill="1" applyBorder="1" applyAlignment="1">
      <alignment vertical="center" wrapText="1"/>
    </xf>
    <xf numFmtId="172" fontId="0" fillId="0" borderId="9" xfId="0" applyNumberFormat="1" applyBorder="1" applyAlignment="1">
      <alignment vertical="center"/>
    </xf>
    <xf numFmtId="172" fontId="0" fillId="0" borderId="11" xfId="0" applyNumberFormat="1" applyBorder="1" applyAlignment="1">
      <alignment vertical="center"/>
    </xf>
    <xf numFmtId="172" fontId="0" fillId="0" borderId="10" xfId="0" applyNumberFormat="1" applyBorder="1" applyAlignment="1">
      <alignment vertical="center"/>
    </xf>
    <xf numFmtId="164" fontId="14" fillId="12" borderId="14" xfId="0" applyNumberFormat="1" applyFont="1" applyFill="1" applyBorder="1" applyAlignment="1">
      <alignment vertical="center"/>
    </xf>
    <xf numFmtId="164" fontId="14" fillId="13" borderId="14" xfId="0" applyNumberFormat="1" applyFont="1" applyFill="1" applyBorder="1" applyAlignment="1">
      <alignment vertical="center"/>
    </xf>
    <xf numFmtId="164" fontId="13" fillId="12" borderId="14" xfId="0" applyNumberFormat="1" applyFont="1" applyFill="1" applyBorder="1" applyAlignment="1">
      <alignment vertical="center"/>
    </xf>
    <xf numFmtId="164" fontId="13" fillId="14" borderId="14" xfId="0" applyNumberFormat="1" applyFont="1" applyFill="1" applyBorder="1" applyAlignment="1">
      <alignment vertical="center"/>
    </xf>
    <xf numFmtId="164" fontId="13" fillId="15" borderId="14" xfId="0" applyNumberFormat="1" applyFont="1" applyFill="1" applyBorder="1" applyAlignment="1">
      <alignment vertical="center"/>
    </xf>
    <xf numFmtId="0" fontId="14" fillId="12" borderId="13" xfId="0" applyFont="1" applyFill="1" applyBorder="1" applyAlignment="1">
      <alignment vertical="center"/>
    </xf>
    <xf numFmtId="164" fontId="14" fillId="12" borderId="13" xfId="0" applyNumberFormat="1" applyFont="1" applyFill="1" applyBorder="1" applyAlignment="1">
      <alignment vertical="center"/>
    </xf>
    <xf numFmtId="0" fontId="14" fillId="13" borderId="13" xfId="0" applyFont="1" applyFill="1" applyBorder="1" applyAlignment="1">
      <alignment vertical="center"/>
    </xf>
    <xf numFmtId="164" fontId="14" fillId="13" borderId="13" xfId="0" applyNumberFormat="1" applyFont="1" applyFill="1" applyBorder="1" applyAlignment="1">
      <alignment vertical="center"/>
    </xf>
    <xf numFmtId="0" fontId="11" fillId="12" borderId="13" xfId="0" applyFont="1" applyFill="1" applyBorder="1" applyAlignment="1">
      <alignment vertical="center" wrapText="1"/>
    </xf>
    <xf numFmtId="164" fontId="13" fillId="12" borderId="13" xfId="0" applyNumberFormat="1" applyFont="1" applyFill="1" applyBorder="1" applyAlignment="1">
      <alignment vertical="center"/>
    </xf>
    <xf numFmtId="0" fontId="11" fillId="14" borderId="13" xfId="0" applyFont="1" applyFill="1" applyBorder="1" applyAlignment="1">
      <alignment vertical="center" wrapText="1"/>
    </xf>
    <xf numFmtId="164" fontId="13" fillId="14" borderId="13" xfId="0" applyNumberFormat="1" applyFont="1" applyFill="1" applyBorder="1" applyAlignment="1">
      <alignment vertical="center"/>
    </xf>
    <xf numFmtId="0" fontId="11" fillId="15" borderId="13" xfId="0" applyFont="1" applyFill="1" applyBorder="1" applyAlignment="1">
      <alignment vertical="center" wrapText="1"/>
    </xf>
    <xf numFmtId="164" fontId="13" fillId="15" borderId="13" xfId="0" applyNumberFormat="1" applyFont="1" applyFill="1" applyBorder="1" applyAlignment="1">
      <alignment vertical="center"/>
    </xf>
    <xf numFmtId="172" fontId="5" fillId="2" borderId="9" xfId="0" applyNumberFormat="1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23" fillId="0" borderId="15" xfId="0" applyFont="1" applyBorder="1"/>
    <xf numFmtId="0" fontId="0" fillId="0" borderId="3" xfId="0" applyBorder="1"/>
    <xf numFmtId="0" fontId="0" fillId="0" borderId="7" xfId="0" applyBorder="1"/>
    <xf numFmtId="0" fontId="0" fillId="0" borderId="16" xfId="0" applyBorder="1"/>
    <xf numFmtId="0" fontId="49" fillId="0" borderId="0" xfId="0" applyFont="1" applyAlignment="1">
      <alignment vertical="center"/>
    </xf>
    <xf numFmtId="174" fontId="6" fillId="0" borderId="0" xfId="0" applyNumberFormat="1" applyFont="1" applyAlignment="1">
      <alignment vertical="center"/>
    </xf>
    <xf numFmtId="166" fontId="0" fillId="0" borderId="0" xfId="3" applyFont="1" applyAlignment="1">
      <alignment vertical="center"/>
    </xf>
    <xf numFmtId="43" fontId="0" fillId="5" borderId="0" xfId="4" applyFont="1" applyFill="1" applyAlignment="1">
      <alignment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1" fontId="0" fillId="0" borderId="0" xfId="0" applyNumberForma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14" fontId="7" fillId="16" borderId="0" xfId="0" applyNumberFormat="1" applyFont="1" applyFill="1" applyAlignment="1">
      <alignment horizontal="left" vertical="center"/>
    </xf>
    <xf numFmtId="1" fontId="8" fillId="16" borderId="0" xfId="0" applyNumberFormat="1" applyFont="1" applyFill="1" applyAlignment="1">
      <alignment horizontal="left" vertical="center"/>
    </xf>
    <xf numFmtId="168" fontId="7" fillId="16" borderId="0" xfId="0" applyNumberFormat="1" applyFont="1" applyFill="1" applyAlignment="1">
      <alignment vertical="center"/>
    </xf>
    <xf numFmtId="0" fontId="59" fillId="7" borderId="0" xfId="0" applyFont="1" applyFill="1" applyAlignment="1">
      <alignment horizontal="center" vertical="center"/>
    </xf>
    <xf numFmtId="172" fontId="8" fillId="3" borderId="0" xfId="0" applyNumberFormat="1" applyFont="1" applyFill="1" applyAlignment="1">
      <alignment vertical="center"/>
    </xf>
    <xf numFmtId="1" fontId="58" fillId="6" borderId="0" xfId="0" applyNumberFormat="1" applyFont="1" applyFill="1" applyAlignment="1">
      <alignment horizontal="center" vertical="center" wrapText="1"/>
    </xf>
    <xf numFmtId="164" fontId="58" fillId="6" borderId="0" xfId="0" applyNumberFormat="1" applyFont="1" applyFill="1" applyAlignment="1">
      <alignment horizontal="center" vertical="center" wrapText="1"/>
    </xf>
    <xf numFmtId="169" fontId="58" fillId="6" borderId="0" xfId="0" applyNumberFormat="1" applyFont="1" applyFill="1" applyAlignment="1">
      <alignment horizontal="center" vertical="center" wrapText="1"/>
    </xf>
    <xf numFmtId="1" fontId="59" fillId="6" borderId="0" xfId="0" applyNumberFormat="1" applyFont="1" applyFill="1" applyAlignment="1">
      <alignment horizontal="center" vertical="center" wrapText="1"/>
    </xf>
    <xf numFmtId="164" fontId="59" fillId="6" borderId="0" xfId="0" applyNumberFormat="1" applyFont="1" applyFill="1" applyAlignment="1">
      <alignment horizontal="center" vertical="center" wrapText="1"/>
    </xf>
    <xf numFmtId="169" fontId="59" fillId="6" borderId="0" xfId="0" applyNumberFormat="1" applyFont="1" applyFill="1" applyAlignment="1">
      <alignment horizontal="center" vertical="center" wrapText="1"/>
    </xf>
    <xf numFmtId="0" fontId="59" fillId="7" borderId="0" xfId="0" applyFont="1" applyFill="1" applyAlignment="1">
      <alignment horizontal="center" vertical="center" wrapText="1"/>
    </xf>
    <xf numFmtId="1" fontId="59" fillId="6" borderId="0" xfId="0" applyNumberFormat="1" applyFont="1" applyFill="1" applyAlignment="1">
      <alignment horizontal="center" vertical="center"/>
    </xf>
    <xf numFmtId="164" fontId="59" fillId="6" borderId="0" xfId="0" applyNumberFormat="1" applyFont="1" applyFill="1" applyAlignment="1">
      <alignment horizontal="center" vertical="center"/>
    </xf>
    <xf numFmtId="169" fontId="59" fillId="6" borderId="0" xfId="0" applyNumberFormat="1" applyFont="1" applyFill="1" applyAlignment="1">
      <alignment horizontal="center" vertical="center"/>
    </xf>
    <xf numFmtId="1" fontId="58" fillId="6" borderId="0" xfId="0" applyNumberFormat="1" applyFont="1" applyFill="1" applyAlignment="1">
      <alignment horizontal="center" vertical="center"/>
    </xf>
    <xf numFmtId="164" fontId="58" fillId="6" borderId="0" xfId="0" applyNumberFormat="1" applyFont="1" applyFill="1" applyAlignment="1">
      <alignment horizontal="center" vertical="center"/>
    </xf>
    <xf numFmtId="169" fontId="58" fillId="6" borderId="0" xfId="0" applyNumberFormat="1" applyFont="1" applyFill="1" applyAlignment="1">
      <alignment horizontal="center" vertical="center"/>
    </xf>
    <xf numFmtId="1" fontId="58" fillId="0" borderId="0" xfId="0" applyNumberFormat="1" applyFont="1" applyAlignment="1">
      <alignment horizontal="center" vertical="center"/>
    </xf>
    <xf numFmtId="1" fontId="58" fillId="10" borderId="0" xfId="0" applyNumberFormat="1" applyFont="1" applyFill="1" applyAlignment="1">
      <alignment horizontal="center" vertical="center"/>
    </xf>
    <xf numFmtId="172" fontId="8" fillId="10" borderId="0" xfId="0" applyNumberFormat="1" applyFont="1" applyFill="1" applyAlignment="1">
      <alignment vertical="center"/>
    </xf>
    <xf numFmtId="14" fontId="7" fillId="10" borderId="0" xfId="0" applyNumberFormat="1" applyFont="1" applyFill="1" applyAlignment="1">
      <alignment horizontal="left" vertical="center"/>
    </xf>
    <xf numFmtId="1" fontId="59" fillId="11" borderId="0" xfId="0" applyNumberFormat="1" applyFont="1" applyFill="1" applyAlignment="1">
      <alignment horizontal="center" vertical="center" wrapText="1"/>
    </xf>
    <xf numFmtId="172" fontId="7" fillId="11" borderId="9" xfId="0" applyNumberFormat="1" applyFont="1" applyFill="1" applyBorder="1" applyAlignment="1">
      <alignment horizontal="center" vertical="center" wrapText="1"/>
    </xf>
    <xf numFmtId="172" fontId="32" fillId="2" borderId="0" xfId="0" applyNumberFormat="1" applyFont="1" applyFill="1" applyAlignment="1">
      <alignment horizontal="center" vertical="center" wrapText="1"/>
    </xf>
    <xf numFmtId="168" fontId="60" fillId="16" borderId="0" xfId="0" applyNumberFormat="1" applyFont="1" applyFill="1" applyAlignment="1">
      <alignment vertical="center"/>
    </xf>
    <xf numFmtId="10" fontId="60" fillId="16" borderId="0" xfId="0" applyNumberFormat="1" applyFont="1" applyFill="1" applyAlignment="1">
      <alignment vertical="center"/>
    </xf>
    <xf numFmtId="168" fontId="32" fillId="16" borderId="0" xfId="0" applyNumberFormat="1" applyFont="1" applyFill="1" applyAlignment="1">
      <alignment vertical="center"/>
    </xf>
    <xf numFmtId="165" fontId="5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8" fontId="1" fillId="0" borderId="0" xfId="0" applyNumberFormat="1" applyFont="1" applyAlignment="1">
      <alignment vertical="center"/>
    </xf>
    <xf numFmtId="10" fontId="1" fillId="0" borderId="0" xfId="0" applyNumberFormat="1" applyFont="1" applyAlignment="1">
      <alignment vertical="center"/>
    </xf>
    <xf numFmtId="14" fontId="19" fillId="8" borderId="6" xfId="0" applyNumberFormat="1" applyFont="1" applyFill="1" applyBorder="1" applyAlignment="1">
      <alignment horizontal="center" vertical="center" wrapText="1"/>
    </xf>
    <xf numFmtId="0" fontId="0" fillId="8" borderId="0" xfId="0" applyFill="1" applyAlignment="1">
      <alignment vertical="center"/>
    </xf>
    <xf numFmtId="8" fontId="0" fillId="8" borderId="0" xfId="0" applyNumberFormat="1" applyFill="1" applyAlignment="1">
      <alignment vertical="center"/>
    </xf>
    <xf numFmtId="165" fontId="0" fillId="8" borderId="0" xfId="0" applyNumberFormat="1" applyFill="1" applyAlignment="1">
      <alignment vertical="center"/>
    </xf>
    <xf numFmtId="1" fontId="0" fillId="8" borderId="0" xfId="0" applyNumberFormat="1" applyFill="1" applyAlignment="1">
      <alignment vertical="center"/>
    </xf>
    <xf numFmtId="14" fontId="0" fillId="8" borderId="0" xfId="0" applyNumberFormat="1" applyFill="1" applyAlignment="1">
      <alignment vertical="center"/>
    </xf>
    <xf numFmtId="172" fontId="0" fillId="8" borderId="0" xfId="0" applyNumberFormat="1" applyFill="1" applyAlignment="1">
      <alignment vertical="center"/>
    </xf>
    <xf numFmtId="1" fontId="61" fillId="0" borderId="0" xfId="0" applyNumberFormat="1" applyFont="1" applyAlignment="1">
      <alignment vertical="center"/>
    </xf>
    <xf numFmtId="0" fontId="61" fillId="0" borderId="0" xfId="0" applyFont="1" applyAlignment="1">
      <alignment vertical="center"/>
    </xf>
    <xf numFmtId="165" fontId="0" fillId="0" borderId="0" xfId="0" applyNumberFormat="1" applyAlignment="1">
      <alignment horizontal="left" vertical="center" wrapText="1"/>
    </xf>
    <xf numFmtId="165" fontId="17" fillId="8" borderId="17" xfId="0" applyNumberFormat="1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 vertical="center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vertical="center" wrapText="1"/>
    </xf>
    <xf numFmtId="0" fontId="15" fillId="0" borderId="0" xfId="1" applyFill="1" applyBorder="1" applyAlignment="1">
      <alignment vertical="center"/>
    </xf>
    <xf numFmtId="0" fontId="17" fillId="0" borderId="0" xfId="0" applyFont="1" applyAlignment="1">
      <alignment vertical="center" wrapText="1"/>
    </xf>
    <xf numFmtId="169" fontId="0" fillId="0" borderId="0" xfId="0" applyNumberFormat="1" applyAlignment="1">
      <alignment vertical="center"/>
    </xf>
    <xf numFmtId="0" fontId="24" fillId="0" borderId="0" xfId="1" applyFont="1" applyFill="1" applyBorder="1" applyAlignment="1">
      <alignment vertical="center"/>
    </xf>
    <xf numFmtId="174" fontId="19" fillId="0" borderId="0" xfId="0" applyNumberFormat="1" applyFont="1" applyAlignment="1">
      <alignment horizontal="left" vertical="center"/>
    </xf>
    <xf numFmtId="0" fontId="15" fillId="0" borderId="0" xfId="1" applyFill="1" applyBorder="1"/>
    <xf numFmtId="0" fontId="17" fillId="0" borderId="0" xfId="0" applyFont="1"/>
    <xf numFmtId="0" fontId="15" fillId="0" borderId="0" xfId="1" applyFill="1" applyBorder="1" applyAlignment="1">
      <alignment vertical="center" wrapText="1"/>
    </xf>
    <xf numFmtId="14" fontId="8" fillId="0" borderId="0" xfId="0" applyNumberFormat="1" applyFont="1" applyAlignment="1">
      <alignment vertical="center"/>
    </xf>
    <xf numFmtId="0" fontId="7" fillId="0" borderId="0" xfId="0" applyFont="1" applyAlignment="1">
      <alignment horizontal="center" vertical="center" wrapText="1"/>
    </xf>
    <xf numFmtId="167" fontId="8" fillId="0" borderId="0" xfId="0" applyNumberFormat="1" applyFont="1" applyAlignment="1">
      <alignment vertical="center"/>
    </xf>
    <xf numFmtId="167" fontId="8" fillId="0" borderId="0" xfId="0" applyNumberFormat="1" applyFont="1" applyAlignment="1">
      <alignment horizontal="center" vertical="center" wrapText="1"/>
    </xf>
    <xf numFmtId="165" fontId="7" fillId="0" borderId="0" xfId="0" applyNumberFormat="1" applyFont="1" applyAlignment="1">
      <alignment horizontal="center" vertical="center" wrapText="1"/>
    </xf>
    <xf numFmtId="164" fontId="7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165" fontId="8" fillId="0" borderId="0" xfId="0" applyNumberFormat="1" applyFont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172" fontId="8" fillId="0" borderId="0" xfId="0" applyNumberFormat="1" applyFont="1" applyAlignment="1">
      <alignment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vertical="center" wrapText="1"/>
    </xf>
    <xf numFmtId="164" fontId="1" fillId="0" borderId="0" xfId="0" applyNumberFormat="1" applyFont="1" applyAlignment="1">
      <alignment vertical="center"/>
    </xf>
    <xf numFmtId="167" fontId="7" fillId="0" borderId="0" xfId="0" applyNumberFormat="1" applyFont="1" applyAlignment="1">
      <alignment horizontal="center" vertical="center" wrapText="1"/>
    </xf>
    <xf numFmtId="164" fontId="7" fillId="0" borderId="0" xfId="0" applyNumberFormat="1" applyFont="1" applyAlignment="1">
      <alignment horizontal="center" vertical="center" wrapText="1"/>
    </xf>
    <xf numFmtId="168" fontId="60" fillId="10" borderId="0" xfId="0" applyNumberFormat="1" applyFont="1" applyFill="1" applyAlignment="1">
      <alignment vertical="center"/>
    </xf>
    <xf numFmtId="10" fontId="60" fillId="10" borderId="0" xfId="0" applyNumberFormat="1" applyFont="1" applyFill="1" applyAlignment="1">
      <alignment vertical="center"/>
    </xf>
    <xf numFmtId="168" fontId="32" fillId="10" borderId="0" xfId="0" applyNumberFormat="1" applyFont="1" applyFill="1" applyAlignment="1">
      <alignment vertical="center"/>
    </xf>
    <xf numFmtId="172" fontId="32" fillId="11" borderId="9" xfId="0" applyNumberFormat="1" applyFont="1" applyFill="1" applyBorder="1" applyAlignment="1">
      <alignment horizontal="center" vertical="center" wrapText="1"/>
    </xf>
    <xf numFmtId="168" fontId="60" fillId="0" borderId="0" xfId="0" applyNumberFormat="1" applyFont="1" applyAlignment="1">
      <alignment vertical="center"/>
    </xf>
    <xf numFmtId="10" fontId="60" fillId="0" borderId="0" xfId="0" applyNumberFormat="1" applyFont="1" applyAlignment="1">
      <alignment vertical="center"/>
    </xf>
    <xf numFmtId="168" fontId="32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/>
    </xf>
    <xf numFmtId="172" fontId="8" fillId="5" borderId="0" xfId="0" applyNumberFormat="1" applyFont="1" applyFill="1" applyAlignment="1">
      <alignment vertical="center"/>
    </xf>
    <xf numFmtId="14" fontId="7" fillId="5" borderId="0" xfId="0" applyNumberFormat="1" applyFont="1" applyFill="1" applyAlignment="1">
      <alignment horizontal="left" vertical="center"/>
    </xf>
    <xf numFmtId="1" fontId="8" fillId="5" borderId="0" xfId="0" applyNumberFormat="1" applyFont="1" applyFill="1" applyAlignment="1">
      <alignment horizontal="left" vertical="center"/>
    </xf>
    <xf numFmtId="168" fontId="7" fillId="5" borderId="0" xfId="0" applyNumberFormat="1" applyFont="1" applyFill="1" applyAlignment="1">
      <alignment vertical="center"/>
    </xf>
    <xf numFmtId="168" fontId="1" fillId="5" borderId="0" xfId="0" applyNumberFormat="1" applyFont="1" applyFill="1" applyAlignment="1">
      <alignment vertical="center"/>
    </xf>
    <xf numFmtId="10" fontId="1" fillId="5" borderId="0" xfId="0" applyNumberFormat="1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60" fillId="0" borderId="0" xfId="0" applyFont="1" applyAlignment="1">
      <alignment vertical="center"/>
    </xf>
    <xf numFmtId="0" fontId="62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168" fontId="32" fillId="10" borderId="9" xfId="0" applyNumberFormat="1" applyFont="1" applyFill="1" applyBorder="1" applyAlignment="1">
      <alignment vertical="center"/>
    </xf>
    <xf numFmtId="0" fontId="17" fillId="10" borderId="0" xfId="0" applyFont="1" applyFill="1"/>
    <xf numFmtId="0" fontId="64" fillId="0" borderId="0" xfId="0" applyFont="1" applyAlignment="1">
      <alignment vertical="center"/>
    </xf>
    <xf numFmtId="1" fontId="8" fillId="17" borderId="0" xfId="0" applyNumberFormat="1" applyFont="1" applyFill="1" applyAlignment="1">
      <alignment horizontal="left" vertical="center"/>
    </xf>
    <xf numFmtId="1" fontId="7" fillId="17" borderId="0" xfId="0" applyNumberFormat="1" applyFont="1" applyFill="1" applyAlignment="1">
      <alignment horizontal="left" vertical="center"/>
    </xf>
    <xf numFmtId="14" fontId="8" fillId="0" borderId="0" xfId="0" applyNumberFormat="1" applyFont="1" applyAlignment="1">
      <alignment horizontal="center" vertical="center"/>
    </xf>
    <xf numFmtId="168" fontId="65" fillId="10" borderId="0" xfId="0" applyNumberFormat="1" applyFont="1" applyFill="1" applyAlignment="1">
      <alignment vertical="center"/>
    </xf>
    <xf numFmtId="165" fontId="19" fillId="0" borderId="5" xfId="0" applyNumberFormat="1" applyFont="1" applyBorder="1" applyAlignment="1">
      <alignment horizontal="center" vertical="center" wrapText="1"/>
    </xf>
    <xf numFmtId="165" fontId="19" fillId="0" borderId="17" xfId="0" applyNumberFormat="1" applyFont="1" applyBorder="1" applyAlignment="1">
      <alignment horizontal="center" vertical="center" wrapText="1"/>
    </xf>
  </cellXfs>
  <cellStyles count="5">
    <cellStyle name="Hipervínculo" xfId="1" builtinId="8"/>
    <cellStyle name="Millares" xfId="4" builtinId="3"/>
    <cellStyle name="Moneda" xfId="3" builtinId="4"/>
    <cellStyle name="Normal" xfId="0" builtinId="0"/>
    <cellStyle name="Normal 2" xfId="2" xr:uid="{B02E93D6-0E93-4B55-B3EA-813C71BAF781}"/>
  </cellStyles>
  <dxfs count="347">
    <dxf>
      <numFmt numFmtId="165" formatCode="&quot;$&quot;#,##0.00_);[Red]\(&quot;$&quot;#,##0.00\)"/>
      <alignment horizontal="left" vertical="center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vertic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vertic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alignment vertical="center" textRotation="0" indent="0" justifyLastLine="0" shrinkToFit="0" readingOrder="0"/>
    </dxf>
    <dxf>
      <numFmt numFmtId="165" formatCode="&quot;$&quot;#,##0.00_);[Red]\(&quot;$&quot;#,##0.00\)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" formatCode="0"/>
      <alignment vertical="center" textRotation="0" indent="0" justifyLastLine="0" shrinkToFit="0" readingOrder="0"/>
    </dxf>
    <dxf>
      <numFmt numFmtId="165" formatCode="&quot;$&quot;#,##0.00_);[Red]\(&quot;$&quot;#,##0.00\)"/>
      <alignment vertical="center" textRotation="0" indent="0" justifyLastLine="0" shrinkToFit="0" readingOrder="0"/>
    </dxf>
    <dxf>
      <font>
        <b/>
        <sz val="12"/>
        <color auto="1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2" formatCode="&quot;$&quot;\ #,##0.00;[Red]\-&quot;$&quot;\ 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sz val="10"/>
        <color auto="1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4" formatCode="dd/mm/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sz val="10"/>
        <color auto="1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numFmt numFmtId="164" formatCode="&quot;$&quot;#,##0_);[Red]\(&quot;$&quot;#,##0\)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72" formatCode="dd/mm/yyyy;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_);[Red]\(&quot;$&quot;#,##0\)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&quot;$&quot;#,##0_);[Red]\(&quot;$&quot;#,##0\)"/>
      <fill>
        <patternFill patternType="none"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5" formatCode="&quot;$&quot;#,##0.00_);[Red]\(&quot;$&quot;#,##0.0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&quot;$&quot;\ #,##0_);[Red]\(&quot;$&quot;\ #,##0\)"/>
      <fill>
        <patternFill patternType="none">
          <fgColor indexed="64"/>
          <bgColor auto="1"/>
        </patternFill>
      </fill>
      <alignment vertical="center" textRotation="0" indent="0" justifyLastLine="0" shrinkToFi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/mm/yyyy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bgColor auto="1"/>
        </patternFill>
      </fill>
      <alignment vertical="center" textRotation="0" indent="0" justifyLastLine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theme="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1" formatCode="&quot;$&quot;#,##0.0;[Red]\-&quot;$&quot;#,##0.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dd/mm/yy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4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2" formatCode="dd/mm/yyyy;@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auto="1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Bell M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9" formatCode="0.0%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9" formatCode="0.0%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4" formatCode="&quot;$&quot;#,##0_);[Red]\(&quot;$&quot;#,##0\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4" formatCode="&quot;$&quot;#,##0_);[Red]\(&quot;$&quot;#,##0\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solid">
          <fgColor indexed="64"/>
          <bgColor theme="0" tint="-0.14996795556505021"/>
        </patternFill>
      </fill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solid">
          <fgColor indexed="64"/>
          <bgColor theme="0" tint="-0.1499679555650502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solid">
          <fgColor indexed="64"/>
          <bgColor theme="0" tint="-0.1499679555650502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solid">
          <fgColor indexed="64"/>
          <bgColor theme="0" tint="-0.1499679555650502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1499679555650502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1499679555650502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solid">
          <fgColor indexed="64"/>
          <bgColor theme="0" tint="-0.1499679555650502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solid">
          <fgColor indexed="64"/>
          <bgColor theme="0" tint="-0.1499679555650502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solid">
          <fgColor indexed="64"/>
          <bgColor theme="0" tint="-0.14996795556505021"/>
        </patternFill>
      </fill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&quot;$&quot;#,##0;[Red]\-&quot;$&quot;#,##0"/>
      <fill>
        <patternFill patternType="solid">
          <fgColor indexed="64"/>
          <bgColor theme="0" tint="-0.1499679555650502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solid">
          <fgColor indexed="64"/>
          <bgColor theme="0" tint="-0.1499679555650502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&quot;$&quot;#,##0;[Red]\-&quot;$&quot;#,##0"/>
      <fill>
        <patternFill patternType="solid">
          <fgColor indexed="64"/>
          <bgColor theme="0" tint="-0.149967955565050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0" tint="-0.149967955565050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0" tint="-0.149967955565050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0" tint="-0.149967955565050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0" tint="-0.149967955565050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0" tint="-0.149967955565050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0" tint="-0.149967955565050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dd/mm/yyyy;@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dd/mm/yyyy;@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/mm/yyyy"/>
      <fill>
        <patternFill patternType="solid">
          <fgColor indexed="64"/>
          <bgColor theme="0" tint="-0.1499679555650502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/mm/yyyy"/>
      <fill>
        <patternFill patternType="solid">
          <fgColor indexed="64"/>
          <bgColor theme="0" tint="-0.149967955565050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dd/mm/yyyy;@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72" formatCode="dd/mm/yyyy;@"/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9" formatCode="0.0%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9" formatCode="0.0%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4" formatCode="&quot;$&quot;#,##0_);[Red]\(&quot;$&quot;#,##0\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64" formatCode="&quot;$&quot;#,##0_);[Red]\(&quot;$&quot;#,##0\)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ell MT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auto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Bell MT"/>
        <family val="1"/>
        <scheme val="none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center" textRotation="0" wrapText="1" indent="0" justifyLastLine="0" shrinkToFit="0" readingOrder="0"/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AB6D6D"/>
        </patternFill>
      </fill>
    </dxf>
    <dxf>
      <fill>
        <patternFill>
          <bgColor rgb="FFF2F2F2"/>
        </patternFill>
      </fill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numFmt numFmtId="169" formatCode="0.0%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4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rgb="FF595959"/>
      </font>
      <fill>
        <patternFill patternType="solid">
          <fgColor rgb="FFBFBFBF"/>
          <bgColor rgb="FFBFBFBF"/>
        </patternFill>
      </fill>
    </dxf>
    <dxf>
      <font>
        <color rgb="FF262626"/>
      </font>
      <fill>
        <patternFill patternType="solid">
          <fgColor rgb="FFAB6D6D"/>
          <bgColor rgb="FFAB6D6D"/>
        </patternFill>
      </fill>
    </dxf>
    <dxf>
      <font>
        <color rgb="FF595959"/>
      </font>
      <fill>
        <patternFill patternType="solid">
          <fgColor rgb="FFF2F2F2"/>
          <bgColor rgb="FFF2F2F2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</dxfs>
  <tableStyles count="1" defaultTableStyle="TableStyleMedium2" defaultPivotStyle="PivotStyleLight16">
    <tableStyle name="Estilo de tabla 1" pivot="0" count="1" xr9:uid="{50409F57-F246-4994-A2D7-E93D33FC964C}">
      <tableStyleElement type="wholeTable" dxfId="346"/>
    </tableStyle>
  </tableStyles>
  <colors>
    <mruColors>
      <color rgb="FF94D61E"/>
      <color rgb="FF080CAA"/>
      <color rgb="FFD8CFE3"/>
      <color rgb="FF500000"/>
      <color rgb="FFE5E3E3"/>
      <color rgb="FFAB6D6D"/>
      <color rgb="FF6F3505"/>
      <color rgb="FF757171"/>
      <color rgb="FF860000"/>
      <color rgb="FF4D3A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8</xdr:row>
      <xdr:rowOff>57150</xdr:rowOff>
    </xdr:from>
    <xdr:to>
      <xdr:col>11</xdr:col>
      <xdr:colOff>495301</xdr:colOff>
      <xdr:row>24</xdr:row>
      <xdr:rowOff>142875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7CFC031-21B1-46E6-ACD9-C3E27780F7E9}"/>
            </a:ext>
          </a:extLst>
        </xdr:cNvPr>
        <xdr:cNvGrpSpPr/>
      </xdr:nvGrpSpPr>
      <xdr:grpSpPr>
        <a:xfrm>
          <a:off x="3990975" y="1571625"/>
          <a:ext cx="4886326" cy="3133725"/>
          <a:chOff x="4210050" y="771525"/>
          <a:chExt cx="4886326" cy="3133725"/>
        </a:xfrm>
        <a:solidFill>
          <a:schemeClr val="accent4">
            <a:lumMod val="20000"/>
            <a:lumOff val="80000"/>
          </a:schemeClr>
        </a:solidFill>
      </xdr:grpSpPr>
      <xdr:sp macro="" textlink="">
        <xdr:nvSpPr>
          <xdr:cNvPr id="2" name="1 Rectángulo">
            <a:extLst>
              <a:ext uri="{FF2B5EF4-FFF2-40B4-BE49-F238E27FC236}">
                <a16:creationId xmlns:a16="http://schemas.microsoft.com/office/drawing/2014/main" id="{8AB6CF04-BE27-4755-9F12-EE6CFF60E90E}"/>
              </a:ext>
            </a:extLst>
          </xdr:cNvPr>
          <xdr:cNvSpPr/>
        </xdr:nvSpPr>
        <xdr:spPr>
          <a:xfrm>
            <a:off x="4210050" y="771525"/>
            <a:ext cx="4886326" cy="3133725"/>
          </a:xfrm>
          <a:prstGeom prst="rect">
            <a:avLst/>
          </a:prstGeom>
          <a:grp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ES" sz="1100"/>
          </a:p>
        </xdr:txBody>
      </xdr:sp>
      <xdr:sp macro="[0]!FORMULARIO" textlink="">
        <xdr:nvSpPr>
          <xdr:cNvPr id="3" name="2 CuadroTexto">
            <a:extLst>
              <a:ext uri="{FF2B5EF4-FFF2-40B4-BE49-F238E27FC236}">
                <a16:creationId xmlns:a16="http://schemas.microsoft.com/office/drawing/2014/main" id="{A5D548A5-0B0B-4C6E-96DF-204E06A43C0F}"/>
              </a:ext>
            </a:extLst>
          </xdr:cNvPr>
          <xdr:cNvSpPr txBox="1"/>
        </xdr:nvSpPr>
        <xdr:spPr>
          <a:xfrm>
            <a:off x="5266135" y="1800226"/>
            <a:ext cx="2801540" cy="1009650"/>
          </a:xfrm>
          <a:prstGeom prst="bevel">
            <a:avLst>
              <a:gd name="adj" fmla="val 5896"/>
            </a:avLst>
          </a:prstGeom>
          <a:grpFill/>
          <a:ln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s-ES" sz="1600" b="1">
                <a:solidFill>
                  <a:sysClr val="windowText" lastClr="000000"/>
                </a:solidFill>
              </a:rPr>
              <a:t>MENÚ</a:t>
            </a:r>
            <a:r>
              <a:rPr lang="es-ES" sz="1600" b="1" baseline="0">
                <a:solidFill>
                  <a:sysClr val="windowText" lastClr="000000"/>
                </a:solidFill>
              </a:rPr>
              <a:t> DE TAREAS</a:t>
            </a:r>
            <a:endParaRPr lang="es-ES" sz="16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403860</xdr:colOff>
      <xdr:row>1</xdr:row>
      <xdr:rowOff>22860</xdr:rowOff>
    </xdr:from>
    <xdr:to>
      <xdr:col>17</xdr:col>
      <xdr:colOff>742950</xdr:colOff>
      <xdr:row>2</xdr:row>
      <xdr:rowOff>125730</xdr:rowOff>
    </xdr:to>
    <xdr:sp macro="[0]!copia_FProveedor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02FBDC-8A10-C1B2-5CAF-7DA9D13479A8}"/>
            </a:ext>
          </a:extLst>
        </xdr:cNvPr>
        <xdr:cNvSpPr/>
      </xdr:nvSpPr>
      <xdr:spPr>
        <a:xfrm>
          <a:off x="5036820" y="274320"/>
          <a:ext cx="1101090" cy="35433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/>
            <a:t>Traer datos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estella\trabajo_estella\trabajo%20bancolombia\progr_ext_v7_210313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ursos_ext"/>
      <sheetName val="logistica"/>
      <sheetName val="becarios"/>
      <sheetName val="vicep"/>
      <sheetName val="vicep ppto"/>
      <sheetName val="info ejec"/>
      <sheetName val="informes"/>
      <sheetName val="info_f"/>
      <sheetName val="infoxvicep"/>
      <sheetName val="tablas"/>
      <sheetName val="info ejec Det"/>
      <sheetName val="PLANTA 2 Q FEBRERO 2013"/>
      <sheetName val="ppt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B2" t="str">
            <v>ADMINISTRACION DE ACTIVOS</v>
          </cell>
        </row>
        <row r="3">
          <cell r="B3" t="str">
            <v>APRENDIZ  BOGOTA</v>
          </cell>
        </row>
        <row r="4">
          <cell r="B4" t="str">
            <v>APRENDIZ  SUR</v>
          </cell>
        </row>
        <row r="5">
          <cell r="B5" t="str">
            <v>APRENDIZ ANTIOQUIA</v>
          </cell>
        </row>
        <row r="6">
          <cell r="B6" t="str">
            <v>APRENDIZ CARIBE</v>
          </cell>
        </row>
        <row r="7">
          <cell r="B7" t="str">
            <v>APRENDIZ CENTRO</v>
          </cell>
        </row>
        <row r="8">
          <cell r="B8" t="str">
            <v>APRENDIZ DIRECCION GENERAL</v>
          </cell>
        </row>
        <row r="9">
          <cell r="B9" t="str">
            <v>AREA  REQUERIMIENTOS CAPTACIONES  Y COL</v>
          </cell>
        </row>
        <row r="10">
          <cell r="B10" t="str">
            <v>AREA  REQUERIMIENTOS DE TARJETAS</v>
          </cell>
        </row>
        <row r="11">
          <cell r="B11" t="str">
            <v>AREA APOYO GESTION DE RO Y CONTINUIDAD</v>
          </cell>
        </row>
        <row r="12">
          <cell r="B12" t="str">
            <v>AREA JURIDICA DISTRIBUCION Y VENTAS</v>
          </cell>
        </row>
        <row r="13">
          <cell r="B13" t="str">
            <v>AREA MERCADO CAMBIARIO</v>
          </cell>
        </row>
        <row r="14">
          <cell r="B14" t="str">
            <v>AREA NOVEDADES GESTION HUMANA</v>
          </cell>
        </row>
        <row r="15">
          <cell r="B15" t="str">
            <v>AREA PROCESAMIENTO PGC</v>
          </cell>
        </row>
        <row r="16">
          <cell r="B16" t="str">
            <v>AREA REQ LINES DE NEG Y PROC DE APOYO</v>
          </cell>
        </row>
        <row r="17">
          <cell r="B17" t="str">
            <v>AREA REQUERIMIENTOS ENTES DE CONTROL</v>
          </cell>
        </row>
        <row r="18">
          <cell r="B18" t="str">
            <v>AREA REVISION S</v>
          </cell>
        </row>
        <row r="19">
          <cell r="B19" t="str">
            <v>AREA SERV INFORMACION APOYO AL NEGOCIO</v>
          </cell>
        </row>
        <row r="20">
          <cell r="B20" t="str">
            <v>AREA SERV TARJETAHABIENTES DEBITO CRED</v>
          </cell>
        </row>
        <row r="21">
          <cell r="B21" t="str">
            <v>AREA SERV TARJETAHABIENTES PERSONAL</v>
          </cell>
        </row>
        <row r="22">
          <cell r="B22" t="str">
            <v>AREA SERVICIOS CHEQUES Y AFC</v>
          </cell>
        </row>
        <row r="23">
          <cell r="B23" t="str">
            <v>AREA SERVICIOS DE PAGOS</v>
          </cell>
        </row>
        <row r="24">
          <cell r="B24" t="str">
            <v>ARQUITECTURA APLICATIVA Y TECNICA</v>
          </cell>
        </row>
        <row r="25">
          <cell r="B25" t="str">
            <v>ASESORIA MONEDA EXTRANJERA BE ANTIOQUIA</v>
          </cell>
        </row>
        <row r="26">
          <cell r="B26" t="str">
            <v>ASESORIA MONEDA EXTRANJERA BE BOGOTA</v>
          </cell>
        </row>
        <row r="27">
          <cell r="B27" t="str">
            <v>ASESORIA MONEDA EXTRANJERA BE CARIBE</v>
          </cell>
        </row>
        <row r="28">
          <cell r="B28" t="str">
            <v>ASESORIA MONEDA EXTRANJERA BE SUR</v>
          </cell>
        </row>
        <row r="29">
          <cell r="B29" t="str">
            <v>BANCA DE INVERSION</v>
          </cell>
        </row>
        <row r="30">
          <cell r="B30" t="str">
            <v>BANCA ESPECIALIZADA BUCARAMANGA DS</v>
          </cell>
        </row>
        <row r="31">
          <cell r="B31" t="str">
            <v>BANCOLOMBIA PANAMA BOGOTA</v>
          </cell>
        </row>
        <row r="32">
          <cell r="B32" t="str">
            <v>BECARIOS</v>
          </cell>
        </row>
        <row r="33">
          <cell r="B33" t="str">
            <v>CALIDAD DE VIDA BOGOTA</v>
          </cell>
        </row>
        <row r="34">
          <cell r="B34" t="str">
            <v>CALIDAD DE VIDA CARIBE</v>
          </cell>
        </row>
        <row r="35">
          <cell r="B35" t="str">
            <v>CALIDAD DE VIDA CENTRO</v>
          </cell>
        </row>
        <row r="36">
          <cell r="B36" t="str">
            <v>CELUAL CANAL SURA BOG YCENTRO</v>
          </cell>
        </row>
        <row r="37">
          <cell r="B37" t="str">
            <v>CELULA  2</v>
          </cell>
        </row>
        <row r="38">
          <cell r="B38" t="str">
            <v>CELULA  3</v>
          </cell>
        </row>
        <row r="39">
          <cell r="B39" t="str">
            <v>CELULA  4</v>
          </cell>
        </row>
        <row r="40">
          <cell r="B40" t="str">
            <v>CELULA  6</v>
          </cell>
        </row>
        <row r="41">
          <cell r="B41" t="str">
            <v>CELULA  ANTIOQUIA</v>
          </cell>
        </row>
        <row r="42">
          <cell r="B42" t="str">
            <v>CELULA  BOGOTA Y CARIBE</v>
          </cell>
        </row>
        <row r="43">
          <cell r="B43" t="str">
            <v>CELULA  BPO</v>
          </cell>
        </row>
        <row r="44">
          <cell r="B44" t="str">
            <v>CELULA  BPO 7</v>
          </cell>
        </row>
        <row r="45">
          <cell r="B45" t="str">
            <v>CELULA  CENTRO Y SUR</v>
          </cell>
        </row>
        <row r="46">
          <cell r="B46" t="str">
            <v>CELULA  EMPRENDEDOR BOGOTA</v>
          </cell>
        </row>
        <row r="47">
          <cell r="B47" t="str">
            <v>CELULA  LEGALIZACION ZONA SUR</v>
          </cell>
        </row>
        <row r="48">
          <cell r="B48" t="str">
            <v>CELULA  MASIVOS</v>
          </cell>
        </row>
        <row r="49">
          <cell r="B49" t="str">
            <v>CELULA  PROCESOS MASIVOS</v>
          </cell>
        </row>
        <row r="50">
          <cell r="B50" t="str">
            <v>CELULA  SUCURSAL 6</v>
          </cell>
        </row>
        <row r="51">
          <cell r="B51" t="str">
            <v>CELULA  SUCURSAL 7</v>
          </cell>
        </row>
        <row r="52">
          <cell r="B52" t="str">
            <v>CELULA  SUCURSAL 8</v>
          </cell>
        </row>
        <row r="53">
          <cell r="B53" t="str">
            <v>CELULA  SUCURSAL 9</v>
          </cell>
        </row>
        <row r="54">
          <cell r="B54" t="str">
            <v>CELULA  VN  3</v>
          </cell>
        </row>
        <row r="55">
          <cell r="B55" t="str">
            <v>CELULA  VN 2</v>
          </cell>
        </row>
        <row r="56">
          <cell r="B56" t="str">
            <v>CELULA  VN 4</v>
          </cell>
        </row>
        <row r="57">
          <cell r="B57" t="str">
            <v>CELULA 1</v>
          </cell>
        </row>
        <row r="58">
          <cell r="B58" t="str">
            <v>CELULA 5</v>
          </cell>
        </row>
        <row r="59">
          <cell r="B59" t="str">
            <v>CELULA BOGOTA</v>
          </cell>
        </row>
        <row r="60">
          <cell r="B60" t="str">
            <v>CELULA CALI CENTRO</v>
          </cell>
        </row>
        <row r="61">
          <cell r="B61" t="str">
            <v>CELULA CALI Y CENTRO</v>
          </cell>
        </row>
        <row r="62">
          <cell r="B62" t="str">
            <v>CELULA CANAL SURA BOG Y CENTRO</v>
          </cell>
        </row>
        <row r="63">
          <cell r="B63" t="str">
            <v>CELULA CANAL SURA BOG YCENTRO</v>
          </cell>
        </row>
        <row r="64">
          <cell r="B64" t="str">
            <v>CELULA CARIBE</v>
          </cell>
        </row>
        <row r="65">
          <cell r="B65" t="str">
            <v>CELULA COMERCIAL</v>
          </cell>
        </row>
        <row r="66">
          <cell r="B66" t="str">
            <v>CELULA CRI  BOG Y CENTRO</v>
          </cell>
        </row>
        <row r="67">
          <cell r="B67" t="str">
            <v>CELULA CRI  BOG YCENTRO</v>
          </cell>
        </row>
        <row r="68">
          <cell r="B68" t="str">
            <v>CELULA CRI CENTRO BOG YCENTRO</v>
          </cell>
        </row>
        <row r="69">
          <cell r="B69" t="str">
            <v>CELULA EJE CAFETERO SUR</v>
          </cell>
        </row>
        <row r="70">
          <cell r="B70" t="str">
            <v>CELULA EMPLEADOS 10</v>
          </cell>
        </row>
        <row r="71">
          <cell r="B71" t="str">
            <v>CELULA EMPRENDEDOR ANTIOQUIA</v>
          </cell>
        </row>
        <row r="72">
          <cell r="B72" t="str">
            <v>CELULA EMPRENDEDOR CARIBE</v>
          </cell>
        </row>
        <row r="73">
          <cell r="B73" t="str">
            <v>CELULA EMPRENDEDOR CENTRO 1</v>
          </cell>
        </row>
        <row r="74">
          <cell r="B74" t="str">
            <v>CELULA EMPRENDEDOR CENTRO 2</v>
          </cell>
        </row>
        <row r="75">
          <cell r="B75" t="str">
            <v>CELULA EMPRENDEDOR SUR</v>
          </cell>
        </row>
        <row r="76">
          <cell r="B76" t="str">
            <v>CELULA ESPECIALISTAS   9</v>
          </cell>
        </row>
        <row r="77">
          <cell r="B77" t="str">
            <v>CELULA ESPECIALISTAS  8</v>
          </cell>
        </row>
        <row r="78">
          <cell r="B78" t="str">
            <v>CELULA FOPEP</v>
          </cell>
        </row>
        <row r="79">
          <cell r="B79" t="str">
            <v>CELULA MOVILES</v>
          </cell>
        </row>
        <row r="80">
          <cell r="B80" t="str">
            <v>CELULA MOVILES  CENTRO BOG YCENTRO</v>
          </cell>
        </row>
        <row r="81">
          <cell r="B81" t="str">
            <v>CELULA MOVILES 1 BOG Y CENTRO</v>
          </cell>
        </row>
        <row r="82">
          <cell r="B82" t="str">
            <v>CELULA MOVILES 1 BOG YCENTRO</v>
          </cell>
        </row>
        <row r="83">
          <cell r="B83" t="str">
            <v>CELULA MOVILES 2 BOG Y CENTRO</v>
          </cell>
        </row>
        <row r="84">
          <cell r="B84" t="str">
            <v>CELULA MOVILES BOG Y CENTRO</v>
          </cell>
        </row>
        <row r="85">
          <cell r="B85" t="str">
            <v>CELULA MOVILES BOG YCENTRO</v>
          </cell>
        </row>
        <row r="86">
          <cell r="B86" t="str">
            <v>CELULA MOVILES SUR</v>
          </cell>
        </row>
        <row r="87">
          <cell r="B87" t="str">
            <v>CELULA PREFERENCIAL</v>
          </cell>
        </row>
        <row r="88">
          <cell r="B88" t="str">
            <v>CELULA PRESTANOMINA</v>
          </cell>
        </row>
        <row r="89">
          <cell r="B89" t="str">
            <v>CELULA RCI CENTRO  Y BOGOTA</v>
          </cell>
        </row>
        <row r="90">
          <cell r="B90" t="str">
            <v>CELULA RCI CENTRO CENTRO Y BOGOTA</v>
          </cell>
        </row>
        <row r="91">
          <cell r="B91" t="str">
            <v>CELULA RED BANCO</v>
          </cell>
        </row>
        <row r="92">
          <cell r="B92" t="str">
            <v>CELULA RED BANCO BOG Y CENTRO</v>
          </cell>
        </row>
        <row r="93">
          <cell r="B93" t="str">
            <v>CELULA RED BANCO BOG YCENTRO</v>
          </cell>
        </row>
        <row r="94">
          <cell r="B94" t="str">
            <v>CELULA RED BANCO Y SURA SUR</v>
          </cell>
        </row>
        <row r="95">
          <cell r="B95" t="str">
            <v>CELULA SUCURSAL 5</v>
          </cell>
        </row>
        <row r="96">
          <cell r="B96" t="str">
            <v>CELULA SURA CAR</v>
          </cell>
        </row>
        <row r="97">
          <cell r="B97" t="str">
            <v>CELULA VN  1</v>
          </cell>
        </row>
        <row r="98">
          <cell r="B98" t="str">
            <v>CENTRO ACTIVOS FIJOS CARIBE</v>
          </cell>
        </row>
        <row r="99">
          <cell r="B99" t="str">
            <v>CENTRO ACTIVOS FIJOS SUR</v>
          </cell>
        </row>
        <row r="100">
          <cell r="B100" t="str">
            <v>CENTRO ADMON INFORMES TESORERIA</v>
          </cell>
        </row>
        <row r="101">
          <cell r="B101" t="str">
            <v>CENTRO ASESORIA NORMATIVA ME</v>
          </cell>
        </row>
        <row r="102">
          <cell r="B102" t="str">
            <v>CENTRO CARTERA</v>
          </cell>
        </row>
        <row r="103">
          <cell r="B103" t="str">
            <v>CENTRO CCIAL SUFI CENTRO</v>
          </cell>
        </row>
        <row r="104">
          <cell r="B104" t="str">
            <v>CENTRO CONTABILIDAD PORTAFOLIO INVERSION</v>
          </cell>
        </row>
        <row r="105">
          <cell r="B105" t="str">
            <v>CENTRO CONTABLE CARTERAS COLECTIVAS</v>
          </cell>
        </row>
        <row r="106">
          <cell r="B106" t="str">
            <v>CENTRO CONTABLE PORTAFOLIOS INDIVIDUALES</v>
          </cell>
        </row>
        <row r="107">
          <cell r="B107" t="str">
            <v>CENTRO CREDITO HIPOTECARIO</v>
          </cell>
        </row>
        <row r="108">
          <cell r="B108" t="str">
            <v>CENTRO DE CONTACTO Y ATENCION DE SEGURID</v>
          </cell>
        </row>
        <row r="109">
          <cell r="B109" t="str">
            <v>CENTRO DE CONVENIOS BOGOTA</v>
          </cell>
        </row>
        <row r="110">
          <cell r="B110" t="str">
            <v>CENTRO DE CREDITOS DOCUMENTARIOS</v>
          </cell>
        </row>
        <row r="111">
          <cell r="B111" t="str">
            <v>CENTRO DE FACTURACION Y PAGOS</v>
          </cell>
        </row>
        <row r="112">
          <cell r="B112" t="str">
            <v>CENTRO DE IMPUESTOS FIDUCIARIA 1</v>
          </cell>
        </row>
        <row r="113">
          <cell r="B113" t="str">
            <v>CENTRO DE IMPUESTOS FIDUCIARIA 2</v>
          </cell>
        </row>
        <row r="114">
          <cell r="B114" t="str">
            <v>CENTRO DE LOGISTICA</v>
          </cell>
        </row>
        <row r="115">
          <cell r="B115" t="str">
            <v>CENTRO DE MANTENIMIENTO Y ABONOS DE CART</v>
          </cell>
        </row>
        <row r="116">
          <cell r="B116" t="str">
            <v>CENTRO DE PAGOS</v>
          </cell>
        </row>
        <row r="117">
          <cell r="B117" t="str">
            <v>CENTRO DE PAGOS Y RECAUDOS 1</v>
          </cell>
        </row>
        <row r="118">
          <cell r="B118" t="str">
            <v>CENTRO DE PAGOS Y RECAUDOS 2</v>
          </cell>
        </row>
        <row r="119">
          <cell r="B119" t="str">
            <v>CENTRO DE PAGOS Y RECAUDOS 3</v>
          </cell>
        </row>
        <row r="120">
          <cell r="B120" t="str">
            <v>CENTRO DE PRESELECCION Y MOVIMIENTOS</v>
          </cell>
        </row>
        <row r="121">
          <cell r="B121" t="str">
            <v>CENTRO DESEMBOLSO COMERCIAL Y CONSUMO</v>
          </cell>
        </row>
        <row r="122">
          <cell r="B122" t="str">
            <v>CENTRO GARANTIAS HIPOTECARIAS</v>
          </cell>
        </row>
        <row r="123">
          <cell r="B123" t="str">
            <v>CENTRO GARANTIAS VEHICULOS Y PRENDAS</v>
          </cell>
        </row>
        <row r="124">
          <cell r="B124" t="str">
            <v>CENTRO GESTION DOCUMENTAL ANTIOQUIA</v>
          </cell>
        </row>
        <row r="125">
          <cell r="B125" t="str">
            <v>CENTRO GESTION DOCUMENTAL BOGOTA</v>
          </cell>
        </row>
        <row r="126">
          <cell r="B126" t="str">
            <v>CENTRO IMPUESTOS CLIENTES</v>
          </cell>
        </row>
        <row r="127">
          <cell r="B127" t="str">
            <v>CENTRO OPERACIONES CONTABLES 1</v>
          </cell>
        </row>
        <row r="128">
          <cell r="B128" t="str">
            <v>CENTRO OPERACIONES CONTABLES 2</v>
          </cell>
        </row>
        <row r="129">
          <cell r="B129" t="str">
            <v>CENTRO OPERACIONES CONTABLES 3</v>
          </cell>
        </row>
        <row r="130">
          <cell r="B130" t="str">
            <v>CENTRO OPERACIONES CONTABLES 4</v>
          </cell>
        </row>
        <row r="131">
          <cell r="B131" t="str">
            <v>CENTRO OPERACIONES CONTABLES 5</v>
          </cell>
        </row>
        <row r="132">
          <cell r="B132" t="str">
            <v>CENTRO OPERACIONES SUFI ANTIOQUIA</v>
          </cell>
        </row>
        <row r="133">
          <cell r="B133" t="str">
            <v>CENTRO OPERACIONES SUFI BOGOTA</v>
          </cell>
        </row>
        <row r="134">
          <cell r="B134" t="str">
            <v>CENTRO OPERACIONES SUFI SUR</v>
          </cell>
        </row>
        <row r="135">
          <cell r="B135" t="str">
            <v>CENTRO OPERATIVO DE CAPTACIONES</v>
          </cell>
        </row>
        <row r="136">
          <cell r="B136" t="str">
            <v>CENTRO PARAMETRIZACION - RAZONB CONTABLE</v>
          </cell>
        </row>
        <row r="137">
          <cell r="B137" t="str">
            <v>CENTRO PROCESAMIENTO MEDIOS DE PAGO</v>
          </cell>
        </row>
        <row r="138">
          <cell r="B138" t="str">
            <v>CENTRO PROCESOS MIT</v>
          </cell>
        </row>
        <row r="139">
          <cell r="B139" t="str">
            <v>CENTRO RAZONABILIDAD CLIENTES</v>
          </cell>
        </row>
        <row r="140">
          <cell r="B140" t="str">
            <v>CENTRO RECEPCION GARANTIAS MEDELLIN 2</v>
          </cell>
        </row>
        <row r="141">
          <cell r="B141" t="str">
            <v>CENTRO RECUPERACION ACTIVOS SUFI ANT</v>
          </cell>
        </row>
        <row r="142">
          <cell r="B142" t="str">
            <v>CENTRO RECUPERACION ACTIVOS SUFI BOG</v>
          </cell>
        </row>
        <row r="143">
          <cell r="B143" t="str">
            <v>CENTRO REGIONAL OPERATIVO CARIBE</v>
          </cell>
        </row>
        <row r="144">
          <cell r="B144" t="str">
            <v>CENTRO REQ CSC Y PROCESOS DE APOYO</v>
          </cell>
        </row>
        <row r="145">
          <cell r="B145" t="str">
            <v>CENTRO REQUERIMIENTOS CAPTACIONES  Y COL</v>
          </cell>
        </row>
        <row r="146">
          <cell r="B146" t="str">
            <v>CENTRO REQUERIMIENTOS DE TARJETAS</v>
          </cell>
        </row>
        <row r="147">
          <cell r="B147" t="str">
            <v>CENTRO REQUERIMIENTOS ENTES DE CONTROL</v>
          </cell>
        </row>
        <row r="148">
          <cell r="B148" t="str">
            <v>CENTRO SEGUROS Y CONTABLE</v>
          </cell>
        </row>
        <row r="149">
          <cell r="B149" t="str">
            <v>CENTRO SERVICIO NEGOCIO FIDUCIARIO</v>
          </cell>
        </row>
        <row r="150">
          <cell r="B150" t="str">
            <v>CENTRO SERVICIO REDES</v>
          </cell>
        </row>
        <row r="151">
          <cell r="B151" t="str">
            <v>CENTRO SERVICIOS CHEQUES Y AFC</v>
          </cell>
        </row>
        <row r="152">
          <cell r="B152" t="str">
            <v>CENTRO SERVICIOS VINCULACION VALORES</v>
          </cell>
        </row>
        <row r="153">
          <cell r="B153" t="str">
            <v>CERTIFICACION</v>
          </cell>
        </row>
        <row r="154">
          <cell r="B154" t="str">
            <v>CERTIFICACION 2</v>
          </cell>
        </row>
        <row r="155">
          <cell r="B155" t="str">
            <v>COMERCIO EXTERIOR</v>
          </cell>
        </row>
        <row r="156">
          <cell r="B156" t="str">
            <v>COMERCIO INTERNACIONAL BARRANQUILLA</v>
          </cell>
        </row>
        <row r="157">
          <cell r="B157" t="str">
            <v>COMERCIO INTERNACIONAL BOGOTA</v>
          </cell>
        </row>
        <row r="158">
          <cell r="B158" t="str">
            <v>COMERCIO INTERNACIONAL CALI</v>
          </cell>
        </row>
        <row r="159">
          <cell r="B159" t="str">
            <v>COMERCIO INTERNACIONAL MEDELLIN</v>
          </cell>
        </row>
        <row r="160">
          <cell r="B160" t="str">
            <v>COORDINACION ADMON DE FIDEICOMISOS</v>
          </cell>
        </row>
        <row r="161">
          <cell r="B161" t="str">
            <v>COORDINACION FIDUCIA PRIVADA</v>
          </cell>
        </row>
        <row r="162">
          <cell r="B162" t="str">
            <v>COORDINACION FIDUCIA PRIVADA 1</v>
          </cell>
        </row>
        <row r="163">
          <cell r="B163" t="str">
            <v>COORDINACION FIDUCIA PRIVADA 10</v>
          </cell>
        </row>
        <row r="164">
          <cell r="B164" t="str">
            <v>COORDINACION FIDUCIA PRIVADA 12</v>
          </cell>
        </row>
        <row r="165">
          <cell r="B165" t="str">
            <v>COORDINACION FIDUCIA PRIVADA 13</v>
          </cell>
        </row>
        <row r="166">
          <cell r="B166" t="str">
            <v>COORDINACION FIDUCIA PRIVADA 2</v>
          </cell>
        </row>
        <row r="167">
          <cell r="B167" t="str">
            <v>COORDINACION FIDUCIA PRIVADA 3</v>
          </cell>
        </row>
        <row r="168">
          <cell r="B168" t="str">
            <v>COORDINACION FIDUCIA PRIVADA 4</v>
          </cell>
        </row>
        <row r="169">
          <cell r="B169" t="str">
            <v>COORDINACION FIDUCIA PRIVADA 5</v>
          </cell>
        </row>
        <row r="170">
          <cell r="B170" t="str">
            <v>COORDINACION FIDUCIA PRIVADA 6</v>
          </cell>
        </row>
        <row r="171">
          <cell r="B171" t="str">
            <v>COORDINACION FIDUCIA PRIVADA 7</v>
          </cell>
        </row>
        <row r="172">
          <cell r="B172" t="str">
            <v>COORDINACION FIDUCIA PRIVADA 8</v>
          </cell>
        </row>
        <row r="173">
          <cell r="B173" t="str">
            <v>COORDINACION FIDUCIA PRIVADA 9</v>
          </cell>
        </row>
        <row r="174">
          <cell r="B174" t="str">
            <v>COORDINACION FIDUCIA PUBLICA 1</v>
          </cell>
        </row>
        <row r="175">
          <cell r="B175" t="str">
            <v>COORDINACION FIDUCIA PUBLICA 11</v>
          </cell>
        </row>
        <row r="176">
          <cell r="B176" t="str">
            <v>COORDINACION FIDUCIA PUBLICA 2</v>
          </cell>
        </row>
        <row r="177">
          <cell r="B177" t="str">
            <v>COORDINACION FIDUCIA PUBLICA 3</v>
          </cell>
        </row>
        <row r="178">
          <cell r="B178" t="str">
            <v>COORDINACION FIDUCIA PUBLICA 4</v>
          </cell>
        </row>
        <row r="179">
          <cell r="B179" t="str">
            <v>COORDINACION FIDUCIA PUBLICA 5</v>
          </cell>
        </row>
        <row r="180">
          <cell r="B180" t="str">
            <v>COORDINACION FIDUCIA PUBLICA 6</v>
          </cell>
        </row>
        <row r="181">
          <cell r="B181" t="str">
            <v>COORDINACION FIDUCIA PUBLICA 7</v>
          </cell>
        </row>
        <row r="182">
          <cell r="B182" t="str">
            <v>COORDINACION FIDUCIA PUBLICA 8</v>
          </cell>
        </row>
        <row r="183">
          <cell r="B183" t="str">
            <v>COORDINACION FIDUCIA PUBLICA 9</v>
          </cell>
        </row>
        <row r="184">
          <cell r="B184" t="str">
            <v>COORDINACION INMOBILIARIO BTA</v>
          </cell>
        </row>
        <row r="185">
          <cell r="B185" t="str">
            <v>COORDINACION INMOBILIARIO BTA 1</v>
          </cell>
        </row>
        <row r="186">
          <cell r="B186" t="str">
            <v>COORDINACION INMOBILIARIO BTA 2</v>
          </cell>
        </row>
        <row r="187">
          <cell r="B187" t="str">
            <v>COORDINACION INMOBILIARIO BTA 3</v>
          </cell>
        </row>
        <row r="188">
          <cell r="B188" t="str">
            <v>COORDINACION INMOBILIARIO BTA 4</v>
          </cell>
        </row>
        <row r="189">
          <cell r="B189" t="str">
            <v>COORDINACION INMOBILIARIO MLLIN 1</v>
          </cell>
        </row>
        <row r="190">
          <cell r="B190" t="str">
            <v>COORDINACION INMOBILIARIO MLLIN 2</v>
          </cell>
        </row>
        <row r="191">
          <cell r="B191" t="str">
            <v>COORDINACION OPERACIONES NEGOCIOS ESP 1</v>
          </cell>
        </row>
        <row r="192">
          <cell r="B192" t="str">
            <v>COORDINACION OPERACIONES NEGOCIOS ESP 10</v>
          </cell>
        </row>
        <row r="193">
          <cell r="B193" t="str">
            <v>COORDINACION OPERACIONES NEGOCIOS ESP 11</v>
          </cell>
        </row>
        <row r="194">
          <cell r="B194" t="str">
            <v>COORDINACION OPERACIONES NEGOCIOS ESP 12</v>
          </cell>
        </row>
        <row r="195">
          <cell r="B195" t="str">
            <v>COORDINACION OPERACIONES NEGOCIOS ESP 2</v>
          </cell>
        </row>
        <row r="196">
          <cell r="B196" t="str">
            <v>COORDINACION OPERACIONES NEGOCIOS ESP 3</v>
          </cell>
        </row>
        <row r="197">
          <cell r="B197" t="str">
            <v>COORDINACION OPERACIONES NEGOCIOS ESP 5</v>
          </cell>
        </row>
        <row r="198">
          <cell r="B198" t="str">
            <v>COORDINACION OPERACIONES NEGOCIOS ESP 6</v>
          </cell>
        </row>
        <row r="199">
          <cell r="B199" t="str">
            <v>COORDINACION OPERACIONES NEGOCIOS ESP 7</v>
          </cell>
        </row>
        <row r="200">
          <cell r="B200" t="str">
            <v>COORDINACION OPERACIONES NEGOCIOS ESP 8</v>
          </cell>
        </row>
        <row r="201">
          <cell r="B201" t="str">
            <v>COORDINACION OPERACIONES NEGOCIOS ESP 9</v>
          </cell>
        </row>
        <row r="202">
          <cell r="B202" t="str">
            <v>COORDINACION RECEPCION GARANTIAS BOGOTA</v>
          </cell>
        </row>
        <row r="203">
          <cell r="B203" t="str">
            <v>CREDITO Y CARTERA</v>
          </cell>
        </row>
        <row r="204">
          <cell r="B204" t="str">
            <v>CRM PRODUCTOS</v>
          </cell>
        </row>
        <row r="205">
          <cell r="B205" t="str">
            <v>CRM SERVICIO</v>
          </cell>
        </row>
        <row r="206">
          <cell r="B206" t="str">
            <v>CRM VENTAS</v>
          </cell>
        </row>
        <row r="207">
          <cell r="B207" t="str">
            <v>CTRO DE CREDITO PYME CARIBE, CTRO Y SUR</v>
          </cell>
        </row>
        <row r="208">
          <cell r="B208" t="str">
            <v>DEFINICIONES CONTABLES</v>
          </cell>
        </row>
        <row r="209">
          <cell r="B209" t="str">
            <v>DEFINICIONES CONTABLES FILIALES</v>
          </cell>
        </row>
        <row r="210">
          <cell r="B210" t="str">
            <v>DESARROLLO DE VENDOR</v>
          </cell>
        </row>
        <row r="211">
          <cell r="B211" t="str">
            <v>DIR  BCA INTER Y DLLO DE FLIAL DEL EXT</v>
          </cell>
        </row>
        <row r="212">
          <cell r="B212" t="str">
            <v>DIR FINANCIERA ESTABLECIMIENTOS CREDITO</v>
          </cell>
        </row>
        <row r="213">
          <cell r="B213" t="str">
            <v>DIREC  JURIDICA BANCA DE INVERSION</v>
          </cell>
        </row>
        <row r="214">
          <cell r="B214" t="str">
            <v>DIRECCION  INNOVACION</v>
          </cell>
        </row>
        <row r="215">
          <cell r="B215" t="str">
            <v>DIRECCION  SEGUROS</v>
          </cell>
        </row>
        <row r="216">
          <cell r="B216" t="str">
            <v>DIRECCION ACTIVOS FIJOS E INMOBILIARIOS</v>
          </cell>
        </row>
        <row r="217">
          <cell r="B217" t="str">
            <v>DIRECCION ADMINISTRACION TI</v>
          </cell>
        </row>
        <row r="218">
          <cell r="B218" t="str">
            <v>DIRECCION AUDITORIA AREAS DE NEGOCIO</v>
          </cell>
        </row>
        <row r="219">
          <cell r="B219" t="str">
            <v>DIRECCION CADENA DE ABASTECIMIENTO</v>
          </cell>
        </row>
        <row r="220">
          <cell r="B220" t="str">
            <v>DIRECCION COMUNICACIONES CORPORATIVAS</v>
          </cell>
        </row>
        <row r="221">
          <cell r="B221" t="str">
            <v>DIRECCION CONTABILIDAD</v>
          </cell>
        </row>
        <row r="222">
          <cell r="B222" t="str">
            <v>DIRECCION CONTROL FINANCIERO</v>
          </cell>
        </row>
        <row r="223">
          <cell r="B223" t="str">
            <v>DIRECCION CUMPLIMIENTO</v>
          </cell>
        </row>
        <row r="224">
          <cell r="B224" t="str">
            <v>DIRECCION DE ALIANZAS</v>
          </cell>
        </row>
        <row r="225">
          <cell r="B225" t="str">
            <v>DIRECCION DE CULTURA ORGANIZACIONAL</v>
          </cell>
        </row>
        <row r="226">
          <cell r="B226" t="str">
            <v>DIRECCION DE ESTRATEGIA Y ARQ DE TI</v>
          </cell>
        </row>
        <row r="227">
          <cell r="B227" t="str">
            <v>DIRECCIÓN DE INFRAESTRUCTURA TECNOLOGICA</v>
          </cell>
        </row>
        <row r="228">
          <cell r="B228" t="str">
            <v>DIRECCION DE OPERACIONES FINANCIERAS</v>
          </cell>
        </row>
        <row r="229">
          <cell r="B229" t="str">
            <v>DIRECCION DE PROYECTOS</v>
          </cell>
        </row>
        <row r="230">
          <cell r="B230" t="str">
            <v>DIRECCION DE RELACIONAMIENTO HUMANO</v>
          </cell>
        </row>
        <row r="231">
          <cell r="B231" t="str">
            <v>DIRECCION DE SERVICIOS EMPRESAS Y GOB</v>
          </cell>
        </row>
        <row r="232">
          <cell r="B232" t="str">
            <v>DIRECCION DE SERVICIOS PERSONAS Y PYME</v>
          </cell>
        </row>
        <row r="233">
          <cell r="B233" t="str">
            <v>DIRECCION DE SOLUCIONES DE TI</v>
          </cell>
        </row>
        <row r="234">
          <cell r="B234" t="str">
            <v>DIRECCION DE TARJETAS</v>
          </cell>
        </row>
        <row r="235">
          <cell r="B235" t="str">
            <v>DIRECCION EFICIENCIA</v>
          </cell>
        </row>
        <row r="236">
          <cell r="B236" t="str">
            <v>DIRECCION EQUIPOS CCIALES ESPECIALIZA</v>
          </cell>
        </row>
        <row r="237">
          <cell r="B237" t="str">
            <v>DIRECCION ESTRATEGIA</v>
          </cell>
        </row>
        <row r="238">
          <cell r="B238" t="str">
            <v>DIRECCION ESTRATEGICA DE CANALES</v>
          </cell>
        </row>
        <row r="239">
          <cell r="B239" t="str">
            <v>DIRECCION FINANCIACION Y MONEDA EXTRANJE</v>
          </cell>
        </row>
        <row r="240">
          <cell r="B240" t="str">
            <v>DIRECCION GESTION DE ACTIVOS Y PASIVOS</v>
          </cell>
        </row>
        <row r="241">
          <cell r="B241" t="str">
            <v>DIRECCION GESTION DE LA DEMANDA TI</v>
          </cell>
        </row>
        <row r="242">
          <cell r="B242" t="str">
            <v>DIRECCION GESTOR INT DE SERVICIOS</v>
          </cell>
        </row>
        <row r="243">
          <cell r="B243" t="str">
            <v>DIRECCION IMPLEMENTACION DE SERV ESTRAT</v>
          </cell>
        </row>
        <row r="244">
          <cell r="B244" t="str">
            <v>DIRECCION JURIDICA DE PROCESOS</v>
          </cell>
        </row>
        <row r="245">
          <cell r="B245" t="str">
            <v>DIRECCION JURIDICA FIDU Y  ADMON ACTIVOS</v>
          </cell>
        </row>
        <row r="246">
          <cell r="B246" t="str">
            <v>DIRECCION JURIDICA FIDUCIARIA</v>
          </cell>
        </row>
        <row r="247">
          <cell r="B247" t="str">
            <v>DIRECCION JURIDICA INTERMEDIACION FCIERA</v>
          </cell>
        </row>
        <row r="248">
          <cell r="B248" t="str">
            <v>DIRECCION MANEJO INTEGRAL DE TESORERIA</v>
          </cell>
        </row>
        <row r="249">
          <cell r="B249" t="str">
            <v>DIRECCION MERCADEO INMOBILIARIA Y CONSUM</v>
          </cell>
        </row>
        <row r="250">
          <cell r="B250" t="str">
            <v>DIRECCION NEGOCIOS INTERNACIONALES</v>
          </cell>
        </row>
        <row r="251">
          <cell r="B251" t="str">
            <v>DIRECCION OPERATIVA DE CANALES</v>
          </cell>
        </row>
        <row r="252">
          <cell r="B252" t="str">
            <v>DIRECCION PDTOS MERCADEO Y CANALES MK</v>
          </cell>
        </row>
        <row r="253">
          <cell r="B253" t="str">
            <v>DIRECCION PROC DESCENTRALIZADOS Y CANALE</v>
          </cell>
        </row>
        <row r="254">
          <cell r="B254" t="str">
            <v>DIRECCION PROYECTOS ESPECIALES</v>
          </cell>
        </row>
        <row r="255">
          <cell r="B255" t="str">
            <v>DIRECCION RECUPERACION DE ACTIVOS</v>
          </cell>
        </row>
        <row r="256">
          <cell r="B256" t="str">
            <v>DIRECCION RIESGO BANCA PERSONAS Y PYME</v>
          </cell>
        </row>
        <row r="257">
          <cell r="B257" t="str">
            <v>DIRECCION RIESGO DE MERCADO Y LIQUIDEZ</v>
          </cell>
        </row>
        <row r="258">
          <cell r="B258" t="str">
            <v>DIRECCION RIESGO EMPRESAS Y GOBIERNO</v>
          </cell>
        </row>
        <row r="259">
          <cell r="B259" t="str">
            <v>DIRECCION RIESGO OPERACIONAL</v>
          </cell>
        </row>
        <row r="260">
          <cell r="B260" t="str">
            <v>DIRECCION RIESGOS INTER Y ANALISIS CUANT</v>
          </cell>
        </row>
        <row r="261">
          <cell r="B261" t="str">
            <v>DIRECCION SEG DE PERSONAS Y PYMES</v>
          </cell>
        </row>
        <row r="262">
          <cell r="B262" t="str">
            <v>DIRECCION SEGMENTO PERSONAS</v>
          </cell>
        </row>
        <row r="263">
          <cell r="B263" t="str">
            <v>DIRECCION SEGMENTO PYME GOBIERNO Y RED</v>
          </cell>
        </row>
        <row r="264">
          <cell r="B264" t="str">
            <v>DIRECCION SEGMENTO PYME Y GOBIERNO RED</v>
          </cell>
        </row>
        <row r="265">
          <cell r="B265" t="str">
            <v>DIRECCION SEGMENTOS BCA EMPRL Y GOB</v>
          </cell>
        </row>
        <row r="266">
          <cell r="B266" t="str">
            <v>DIRECCION SEGURIDAD BANCARIA</v>
          </cell>
        </row>
        <row r="267">
          <cell r="B267" t="str">
            <v>DIRECCION SEGURIDAD CORPORATIVA</v>
          </cell>
        </row>
        <row r="268">
          <cell r="B268" t="str">
            <v>DIRECCION SERV DESCENTRALIZADOS Y CANALE</v>
          </cell>
        </row>
        <row r="269">
          <cell r="B269" t="str">
            <v>DIRECCION SERV ORIGINACION CREDITOS</v>
          </cell>
        </row>
        <row r="270">
          <cell r="B270" t="str">
            <v>DIRECCION SERVICIOS DE CERTIFICACION TI</v>
          </cell>
        </row>
        <row r="271">
          <cell r="B271" t="str">
            <v>DIRECCION SERVICIOS DE DESARROLLO DE TI</v>
          </cell>
        </row>
        <row r="272">
          <cell r="B272" t="str">
            <v>DIRECCION SERVICIOS DE MERCADEO BPP</v>
          </cell>
        </row>
        <row r="273">
          <cell r="B273" t="str">
            <v>DIRECCION SERVICIOS LOGISTICOS Y ADMON</v>
          </cell>
        </row>
        <row r="274">
          <cell r="B274" t="str">
            <v>DIRECCION SERVICIOS PARA MERC CAPITALES</v>
          </cell>
        </row>
        <row r="275">
          <cell r="B275" t="str">
            <v>DIRECCION SERVS ESPECIALIZADOS DE APOYO</v>
          </cell>
        </row>
        <row r="276">
          <cell r="B276" t="str">
            <v>DIRECCION SOLUC Y CONSOLIDACION CREDICIA</v>
          </cell>
        </row>
        <row r="277">
          <cell r="B277" t="str">
            <v>DIRECCION SOLUCION ACTIVOS</v>
          </cell>
        </row>
        <row r="278">
          <cell r="B278" t="str">
            <v>DISTRIBUCION Y VENTAS</v>
          </cell>
        </row>
        <row r="279">
          <cell r="B279" t="str">
            <v>ENLACE APARTADO</v>
          </cell>
        </row>
        <row r="280">
          <cell r="B280" t="str">
            <v>ENLACE ARMENIA</v>
          </cell>
        </row>
        <row r="281">
          <cell r="B281" t="str">
            <v>ENLACE BUCARAMANGA</v>
          </cell>
        </row>
        <row r="282">
          <cell r="B282" t="str">
            <v>ENLACE CARTAGENA</v>
          </cell>
        </row>
        <row r="283">
          <cell r="B283" t="str">
            <v>ENLACE CUCUTA</v>
          </cell>
        </row>
        <row r="284">
          <cell r="B284" t="str">
            <v>ENLACE IBAGUE</v>
          </cell>
        </row>
        <row r="285">
          <cell r="B285" t="str">
            <v>ENLACE MANIZALES</v>
          </cell>
        </row>
        <row r="286">
          <cell r="B286" t="str">
            <v>ENLACE MONTERIA</v>
          </cell>
        </row>
        <row r="287">
          <cell r="B287" t="str">
            <v>ENLACE NEIVA</v>
          </cell>
        </row>
        <row r="288">
          <cell r="B288" t="str">
            <v>ENLACE PASTO</v>
          </cell>
        </row>
        <row r="289">
          <cell r="B289" t="str">
            <v>ENLACE PEREIRA</v>
          </cell>
        </row>
        <row r="290">
          <cell r="B290" t="str">
            <v>ENLACE SANTA MARTA</v>
          </cell>
        </row>
        <row r="291">
          <cell r="B291" t="str">
            <v>ENLACE VALLEDUPAR</v>
          </cell>
        </row>
        <row r="292">
          <cell r="B292" t="str">
            <v>ENLACE VILLAVICENCIO</v>
          </cell>
        </row>
        <row r="293">
          <cell r="B293" t="str">
            <v>EXPATRIADOS</v>
          </cell>
        </row>
        <row r="294">
          <cell r="B294" t="str">
            <v>EXPATRIADOS FILIALES DEL EXT BANCOLOMBIA</v>
          </cell>
        </row>
        <row r="295">
          <cell r="B295" t="str">
            <v>FACTORING</v>
          </cell>
        </row>
        <row r="296">
          <cell r="B296" t="str">
            <v>FRENTE CLIENTES</v>
          </cell>
        </row>
        <row r="297">
          <cell r="B297" t="str">
            <v>FRENTE FINANCIERO Y CONTABLE</v>
          </cell>
        </row>
        <row r="298">
          <cell r="B298" t="str">
            <v>FRENTE PRODUCTOS Y CANALES</v>
          </cell>
        </row>
        <row r="299">
          <cell r="B299" t="str">
            <v>FRENTE SOPORTE Y APOYO</v>
          </cell>
        </row>
        <row r="300">
          <cell r="B300" t="str">
            <v>FRENTE TARJETAS</v>
          </cell>
        </row>
        <row r="301">
          <cell r="B301" t="str">
            <v>GCA GESTION DE COSTOS Y GASTOS</v>
          </cell>
        </row>
        <row r="302">
          <cell r="B302" t="str">
            <v>GCIA</v>
          </cell>
        </row>
        <row r="303">
          <cell r="B303" t="str">
            <v>GCIA  AGENCIA MED BCA PYMES</v>
          </cell>
        </row>
        <row r="304">
          <cell r="B304" t="str">
            <v>GCIA  ARQ DE PROCESOS Y METODOLOGIAS</v>
          </cell>
        </row>
        <row r="305">
          <cell r="B305" t="str">
            <v>GCIA  ASIGNACION DE CAPITAL</v>
          </cell>
        </row>
        <row r="306">
          <cell r="B306" t="str">
            <v>GCIA  COMERCIAL PYME PEQUEÑO ANT</v>
          </cell>
        </row>
        <row r="307">
          <cell r="B307" t="str">
            <v>GCIA  COMERCIAL PYME PEQUEÑO BOGOTA</v>
          </cell>
        </row>
        <row r="308">
          <cell r="B308" t="str">
            <v>GCIA  DE COMPENSACION VARIABLE</v>
          </cell>
        </row>
        <row r="309">
          <cell r="B309" t="str">
            <v>GCIA  DE NEGOCIOS PRODUCTOS</v>
          </cell>
        </row>
        <row r="310">
          <cell r="B310" t="str">
            <v>GCIA  GEST INT DE SERV CONSUMO ESP</v>
          </cell>
        </row>
        <row r="311">
          <cell r="B311" t="str">
            <v>GCIA  GEST INT DE SERV PYME</v>
          </cell>
        </row>
        <row r="312">
          <cell r="B312" t="str">
            <v>GCIA  RELACIONAMIENTO HUMANO REGION BGTA</v>
          </cell>
        </row>
        <row r="313">
          <cell r="B313" t="str">
            <v>GCIA  SERVICIOS AL EMPLEADO</v>
          </cell>
        </row>
        <row r="314">
          <cell r="B314" t="str">
            <v>GCIA  SOX</v>
          </cell>
        </row>
        <row r="315">
          <cell r="B315" t="str">
            <v>GCIA 20F CONSOLIDACION Y USGAAP</v>
          </cell>
        </row>
        <row r="316">
          <cell r="B316" t="str">
            <v>GCIA ACCIONES BOGOTA</v>
          </cell>
        </row>
        <row r="317">
          <cell r="B317" t="str">
            <v>GCIA ACCIONES CARIBE</v>
          </cell>
        </row>
        <row r="318">
          <cell r="B318" t="str">
            <v>GCIA ACCIONES MEDELLIN</v>
          </cell>
        </row>
        <row r="319">
          <cell r="B319" t="str">
            <v>GCIA ACCIONES SUR</v>
          </cell>
        </row>
        <row r="320">
          <cell r="B320" t="str">
            <v>GCIA ADMINISTRACION ACTIVOS DE TESORIA</v>
          </cell>
        </row>
        <row r="321">
          <cell r="B321" t="str">
            <v>GCIA ADMINISTRACION DE ACTIVOS</v>
          </cell>
        </row>
        <row r="322">
          <cell r="B322" t="str">
            <v>GCIA ADMO NEG FIDU  BOGOTA Y CENTRO</v>
          </cell>
        </row>
        <row r="323">
          <cell r="B323" t="str">
            <v>GCIA ADMO NEG FIDU ANTIOQUIA Y SUR</v>
          </cell>
        </row>
        <row r="324">
          <cell r="B324" t="str">
            <v>GCIA ALIADOS Y DESARROLLO</v>
          </cell>
        </row>
        <row r="325">
          <cell r="B325" t="str">
            <v>GCIA ALIANZAS</v>
          </cell>
        </row>
        <row r="326">
          <cell r="B326" t="str">
            <v>GCIA ANALISIS CUANTITATIVO</v>
          </cell>
        </row>
        <row r="327">
          <cell r="B327" t="str">
            <v>GCIA ANALISIS CUANTITATIVO ADMON ACTIVOS</v>
          </cell>
        </row>
        <row r="328">
          <cell r="B328" t="str">
            <v>GCIA ANALISIS Y DESARROLLO DE SOLUCION</v>
          </cell>
        </row>
        <row r="329">
          <cell r="B329" t="str">
            <v>GCIA ANALISIS Y PROSPECCION</v>
          </cell>
        </row>
        <row r="330">
          <cell r="B330" t="str">
            <v>GCIA ANALITICO DE PERSONAS</v>
          </cell>
        </row>
        <row r="331">
          <cell r="B331" t="str">
            <v>GCIA ARQUITECTURA DE LA SOLUCION</v>
          </cell>
        </row>
        <row r="332">
          <cell r="B332" t="str">
            <v>GCIA AUDI DE PP ANTIOQUIA CARIBE SUR</v>
          </cell>
        </row>
        <row r="333">
          <cell r="B333" t="str">
            <v>GCIA AUDIT GOB DESARROLLO DE SERVICIOS T</v>
          </cell>
        </row>
        <row r="334">
          <cell r="B334" t="str">
            <v>GCIA AUDITORIA  INTERNACIONAL</v>
          </cell>
        </row>
        <row r="335">
          <cell r="B335" t="str">
            <v>GCIA AUDITORIA ADMINISTRACION DE ACTIVOS</v>
          </cell>
        </row>
        <row r="336">
          <cell r="B336" t="str">
            <v>GCIA AUDITORIA ADMON COBRZA DE CARTERA</v>
          </cell>
        </row>
        <row r="337">
          <cell r="B337" t="str">
            <v>GCIA AUDITORIA DE CRED BCA HIPT Y PNAL</v>
          </cell>
        </row>
        <row r="338">
          <cell r="B338" t="str">
            <v>GCIA AUDITORIA DE CRED CCIO INTERNACIONA</v>
          </cell>
        </row>
        <row r="339">
          <cell r="B339" t="str">
            <v>GCIA AUDITORIA DE CREDITO</v>
          </cell>
        </row>
        <row r="340">
          <cell r="B340" t="str">
            <v>GCIA AUDITORIA DE CUMPLIMIENTO</v>
          </cell>
        </row>
        <row r="341">
          <cell r="B341" t="str">
            <v>GCIA AUDITORIA DE FUNCIONES CORPORATIVAS</v>
          </cell>
        </row>
        <row r="342">
          <cell r="B342" t="str">
            <v>GCIA AUDITORIA DE GTION DE SEGURIDAD TI</v>
          </cell>
        </row>
        <row r="343">
          <cell r="B343" t="str">
            <v>GCIA AUDITORIA DE INVERSIONES</v>
          </cell>
        </row>
        <row r="344">
          <cell r="B344" t="str">
            <v>GCIA AUDITORIA DE SUCURSALES BOG Y CTRO</v>
          </cell>
        </row>
        <row r="345">
          <cell r="B345" t="str">
            <v>GCIA AUDITORIA EMPRESAS Y GOBIERNO</v>
          </cell>
        </row>
        <row r="346">
          <cell r="B346" t="str">
            <v>GCIA AUDITORIA FINANCIERA Y TRIBUTARIA</v>
          </cell>
        </row>
        <row r="347">
          <cell r="B347" t="str">
            <v>GCIA AUDITORIA INMOBILIARIA Y CONSUMO ES</v>
          </cell>
        </row>
        <row r="348">
          <cell r="B348" t="str">
            <v>GCIA AUDITORIA INTERNA FIDUCIARIA</v>
          </cell>
        </row>
        <row r="349">
          <cell r="B349" t="str">
            <v>GCIA AUDITORIA MERCADO DE CAPITALES</v>
          </cell>
        </row>
        <row r="350">
          <cell r="B350" t="str">
            <v>GCIA AUDITORIA PERSONAS Y PYMES</v>
          </cell>
        </row>
        <row r="351">
          <cell r="B351" t="str">
            <v>GCIA AUDITORIA RIESGO DE CREDITO</v>
          </cell>
        </row>
        <row r="352">
          <cell r="B352" t="str">
            <v>GCIA AUDITORIA TECNOLOGIA</v>
          </cell>
        </row>
        <row r="353">
          <cell r="B353" t="str">
            <v>GCIA BANCA COLOMBIA Y PREFERENCIAL ANT</v>
          </cell>
        </row>
        <row r="354">
          <cell r="B354" t="str">
            <v>GCIA BANCA COLOMBIA Y PREFERENCIAL BOG</v>
          </cell>
        </row>
        <row r="355">
          <cell r="B355" t="str">
            <v>GCIA BANCA COLOMBIA Y PREFERENCIAL INT</v>
          </cell>
        </row>
        <row r="356">
          <cell r="B356" t="str">
            <v>GCIA BANCA COLOMBIA Y PREFERENCIAL NORTE</v>
          </cell>
        </row>
        <row r="357">
          <cell r="B357" t="str">
            <v>GCIA BANCA COLOMBIA Y PREFERENCIAL SUR</v>
          </cell>
        </row>
        <row r="358">
          <cell r="B358" t="str">
            <v>GCIA BANCA EMPRESARIAL REGION ANTIOQUIA</v>
          </cell>
        </row>
        <row r="359">
          <cell r="B359" t="str">
            <v>GCIA BANCA EMPRESARIAL REGION CARIBE</v>
          </cell>
        </row>
        <row r="360">
          <cell r="B360" t="str">
            <v>GCIA BANCA EMPRESARIAL REGION SUR</v>
          </cell>
        </row>
        <row r="361">
          <cell r="B361" t="str">
            <v>GCIA BANCA PRIVADA CARTAGENA</v>
          </cell>
        </row>
        <row r="362">
          <cell r="B362" t="str">
            <v>GCIA BASE DE DATOS</v>
          </cell>
        </row>
        <row r="363">
          <cell r="B363" t="str">
            <v>GCIA BCA COL. PREF. CIUDADES INTERMEDIAS</v>
          </cell>
        </row>
        <row r="364">
          <cell r="B364" t="str">
            <v>GCIA BE REG BOGOTA ZONA 1</v>
          </cell>
        </row>
        <row r="365">
          <cell r="B365" t="str">
            <v>GCIA BE REG BOGOTA ZONA 2</v>
          </cell>
        </row>
        <row r="366">
          <cell r="B366" t="str">
            <v>GCIA BE REG BOGOTA ZONA 3</v>
          </cell>
        </row>
        <row r="367">
          <cell r="B367" t="str">
            <v>GCIA BE REGION ANTIOQUIA ZONA 1</v>
          </cell>
        </row>
        <row r="368">
          <cell r="B368" t="str">
            <v>GCIA BE REGION ANTIOQUIA ZONA 2</v>
          </cell>
        </row>
        <row r="369">
          <cell r="B369" t="str">
            <v>GCIA CALIDAD DE VIDA</v>
          </cell>
        </row>
        <row r="370">
          <cell r="B370" t="str">
            <v>GCIA CALIDAD DE VIDA SUR</v>
          </cell>
        </row>
        <row r="371">
          <cell r="B371" t="str">
            <v>GCIA CANALES ATENCION A DISTANCIA</v>
          </cell>
        </row>
        <row r="372">
          <cell r="B372" t="str">
            <v>GCIA CANALES EN INTERNET</v>
          </cell>
        </row>
        <row r="373">
          <cell r="B373" t="str">
            <v>GCIA CANALES INDIRECTOS</v>
          </cell>
        </row>
        <row r="374">
          <cell r="B374" t="str">
            <v>GCIA CANALES Y SERVICIOS</v>
          </cell>
        </row>
        <row r="375">
          <cell r="B375" t="str">
            <v>GCIA CCIAL COLOMBIANOS EN EL EXTERIOR</v>
          </cell>
        </row>
        <row r="376">
          <cell r="B376" t="str">
            <v>GCIA CCIAL DE COLECTIVOS</v>
          </cell>
        </row>
        <row r="377">
          <cell r="B377" t="str">
            <v>GCIA CCIAL DE PERSONAS NATURALES BOGOTA</v>
          </cell>
        </row>
        <row r="378">
          <cell r="B378" t="str">
            <v>GCIA CCIAL DE PERSONAS NATURALES MED</v>
          </cell>
        </row>
        <row r="379">
          <cell r="B379" t="str">
            <v>GCIA CCIAL EMPRESAS ANTIOQUIA Y BCA PRIV</v>
          </cell>
        </row>
        <row r="380">
          <cell r="B380" t="str">
            <v>GCIA CCIAL EMPRESAS BOGOTA Y CENTRO</v>
          </cell>
        </row>
        <row r="381">
          <cell r="B381" t="str">
            <v>GCIA CCIAL EMPRESAS CARIBE</v>
          </cell>
        </row>
        <row r="382">
          <cell r="B382" t="str">
            <v>GCIA CCIAL EMPRESAS SUR</v>
          </cell>
        </row>
        <row r="383">
          <cell r="B383" t="str">
            <v>GCIA CCIAL EQUIPOS ESPECIALIZA BOGOTA 2</v>
          </cell>
        </row>
        <row r="384">
          <cell r="B384" t="str">
            <v>GCIA CCIAL EQUIPOS ESPECIALIZADOS ANT</v>
          </cell>
        </row>
        <row r="385">
          <cell r="B385" t="str">
            <v>GCIA CCIAL EQUIPOS ESPECIALIZADOS BOGOTA</v>
          </cell>
        </row>
        <row r="386">
          <cell r="B386" t="str">
            <v>GCIA CCIAL EQUIPOS ESPECIALIZADOS CARIBE</v>
          </cell>
        </row>
        <row r="387">
          <cell r="B387" t="str">
            <v>GCIA CCIAL EQUIPOS ESPECIALIZADOS CENTRO</v>
          </cell>
        </row>
        <row r="388">
          <cell r="B388" t="str">
            <v>GCIA CCIAL EQUIPOS ESPECIALIZADOS SUR</v>
          </cell>
        </row>
        <row r="389">
          <cell r="B389" t="str">
            <v>GCIA CCIAL HIPOTECARIA ANTIOQUIA</v>
          </cell>
        </row>
        <row r="390">
          <cell r="B390" t="str">
            <v>GCIA CCIAL HIPOTECARIA BARRANQUILLA</v>
          </cell>
        </row>
        <row r="391">
          <cell r="B391" t="str">
            <v>GCIA CCIAL HIPOTECARIA BOGOTA</v>
          </cell>
        </row>
        <row r="392">
          <cell r="B392" t="str">
            <v>GCIA CCIAL HIPOTECARIA CALI</v>
          </cell>
        </row>
        <row r="393">
          <cell r="B393" t="str">
            <v>GCIA CCIAL HIPOTECARIA CENTRO</v>
          </cell>
        </row>
        <row r="394">
          <cell r="B394" t="str">
            <v>GCIA CCIAL HIPOTECARIA PERSONAS</v>
          </cell>
        </row>
        <row r="395">
          <cell r="B395" t="str">
            <v>GCIA CCIAL MI NEGOCIO</v>
          </cell>
        </row>
        <row r="396">
          <cell r="B396" t="str">
            <v>GCIA CCIAL MI NEGOCIO ANTIOQUIA Y CENTRO</v>
          </cell>
        </row>
        <row r="397">
          <cell r="B397" t="str">
            <v>GCIA CCIAL MI NEGOCIO BOGOTA</v>
          </cell>
        </row>
        <row r="398">
          <cell r="B398" t="str">
            <v>GCIA CCIAL MI NEGOCIO BOGOTA Y CENTRO</v>
          </cell>
        </row>
        <row r="399">
          <cell r="B399" t="str">
            <v>GCIA CCIAL MI NEGOCIO CARIBE</v>
          </cell>
        </row>
        <row r="400">
          <cell r="B400" t="str">
            <v>GCIA CCIAL MI NEGOCIO SUR</v>
          </cell>
        </row>
        <row r="401">
          <cell r="B401" t="str">
            <v>GCIA CCIAL PANAMA Y BRASIL</v>
          </cell>
        </row>
        <row r="402">
          <cell r="B402" t="str">
            <v>GCIA CCIAL SUFI ANTIOQUIA</v>
          </cell>
        </row>
        <row r="403">
          <cell r="B403" t="str">
            <v>GCIA CCIAL SUFI BOGOTA</v>
          </cell>
        </row>
        <row r="404">
          <cell r="B404" t="str">
            <v>GCIA CCIAL SUFI CARIBE</v>
          </cell>
        </row>
        <row r="405">
          <cell r="B405" t="str">
            <v>GCIA CCIAL SUFI CENTRO</v>
          </cell>
        </row>
        <row r="406">
          <cell r="B406" t="str">
            <v>GCIA CCIAL SUFI SUR</v>
          </cell>
        </row>
        <row r="407">
          <cell r="B407" t="str">
            <v>GCIA CLIENTES PERSONAS</v>
          </cell>
        </row>
        <row r="408">
          <cell r="B408" t="str">
            <v>GCIA COLOMBIANOS EN EL EXTER</v>
          </cell>
        </row>
        <row r="409">
          <cell r="B409" t="str">
            <v>GCIA COMERCIAL  ADMIN FONDO INMOBILIARIO</v>
          </cell>
        </row>
        <row r="410">
          <cell r="B410" t="str">
            <v>GCIA COMERCIAL  PYME ZONA NORTE</v>
          </cell>
        </row>
        <row r="411">
          <cell r="B411" t="str">
            <v>GCIA COMERCIAL ANTIOQUIA SUR Y CARIBE</v>
          </cell>
        </row>
        <row r="412">
          <cell r="B412" t="str">
            <v>GCIA COMERCIAL ANTIOQUIA ZONA CENTRO</v>
          </cell>
        </row>
        <row r="413">
          <cell r="B413" t="str">
            <v>GCIA COMERCIAL ANTIOQUIA ZONA SUR</v>
          </cell>
        </row>
        <row r="414">
          <cell r="B414" t="str">
            <v>GCIA COMERCIAL BUCARAMANGA</v>
          </cell>
        </row>
        <row r="415">
          <cell r="B415" t="str">
            <v>GCIA COMERCIAL CALI NORTE Y CALI SUR</v>
          </cell>
        </row>
        <row r="416">
          <cell r="B416" t="str">
            <v>GCIA COMERCIAL CALI SUR DEL VALLE</v>
          </cell>
        </row>
        <row r="417">
          <cell r="B417" t="str">
            <v>GCIA COMERCIAL CUCUTA</v>
          </cell>
        </row>
        <row r="418">
          <cell r="B418" t="str">
            <v>GCIA COMERCIAL DE CANALES ALTERNOS</v>
          </cell>
        </row>
        <row r="419">
          <cell r="B419" t="str">
            <v>GCIA COMERCIAL DE PERSONAS NATURALES</v>
          </cell>
        </row>
        <row r="420">
          <cell r="B420" t="str">
            <v>GCIA COMERCIAL DUITAMA</v>
          </cell>
        </row>
        <row r="421">
          <cell r="B421" t="str">
            <v>GCIA COMERCIAL IBAGUE</v>
          </cell>
        </row>
        <row r="422">
          <cell r="B422" t="str">
            <v>GCIA COMERCIAL INTERNACIONAL</v>
          </cell>
        </row>
        <row r="423">
          <cell r="B423" t="str">
            <v>GCIA COMERCIAL MANIZALEZ</v>
          </cell>
        </row>
        <row r="424">
          <cell r="B424" t="str">
            <v>GCIA COMERCIAL MEDIOS DE PAGO</v>
          </cell>
        </row>
        <row r="425">
          <cell r="B425" t="str">
            <v>GCIA COMERCIAL NEIVA</v>
          </cell>
        </row>
        <row r="426">
          <cell r="B426" t="str">
            <v>GCIA COMERCIAL NORTE</v>
          </cell>
        </row>
        <row r="427">
          <cell r="B427" t="str">
            <v>GCIA COMERCIAL PASTO</v>
          </cell>
        </row>
        <row r="428">
          <cell r="B428" t="str">
            <v>GCIA COMERCIAL PEREIRA</v>
          </cell>
        </row>
        <row r="429">
          <cell r="B429" t="str">
            <v>GCIA COMERCIAL PERIFERICA</v>
          </cell>
        </row>
        <row r="430">
          <cell r="B430" t="str">
            <v>GCIA COMERCIAL POBLADO</v>
          </cell>
        </row>
        <row r="431">
          <cell r="B431" t="str">
            <v>GCIA COMERCIAL PYME 1</v>
          </cell>
        </row>
        <row r="432">
          <cell r="B432" t="str">
            <v>GCIA COMERCIAL PYME 2</v>
          </cell>
        </row>
        <row r="433">
          <cell r="B433" t="str">
            <v>GCIA COMERCIAL PYME 3</v>
          </cell>
        </row>
        <row r="434">
          <cell r="B434" t="str">
            <v>GCIA COMERCIAL PYME 4</v>
          </cell>
        </row>
        <row r="435">
          <cell r="B435" t="str">
            <v>GCIA COMERCIAL PYME CARTAGENA</v>
          </cell>
        </row>
        <row r="436">
          <cell r="B436" t="str">
            <v>GCIA COMERCIAL PYME ESPECIALIZADO CALI</v>
          </cell>
        </row>
        <row r="437">
          <cell r="B437" t="str">
            <v>GCIA COMERCIAL PYME ZONA SINU Y SABANAS</v>
          </cell>
        </row>
        <row r="438">
          <cell r="B438" t="str">
            <v>GCIA COMERCIAL SEGUROS</v>
          </cell>
        </row>
        <row r="439">
          <cell r="B439" t="str">
            <v>GCIA COMERCIAL VILLAVICENCIO</v>
          </cell>
        </row>
        <row r="440">
          <cell r="B440" t="str">
            <v>GCIA COMPENSACION Y REGISTRO</v>
          </cell>
        </row>
        <row r="441">
          <cell r="B441" t="str">
            <v>GCIA COMPLIANCE ESTRATEGICO</v>
          </cell>
        </row>
        <row r="442">
          <cell r="B442" t="str">
            <v>GCIA COMPLIANCE MESA DE DINERO</v>
          </cell>
        </row>
        <row r="443">
          <cell r="B443" t="str">
            <v>GCIA COMUNICACIONES BOGOTA</v>
          </cell>
        </row>
        <row r="444">
          <cell r="B444" t="str">
            <v>GCIA CONOCIMIENTO DEL CLIENTE</v>
          </cell>
        </row>
        <row r="445">
          <cell r="B445" t="str">
            <v>GCIA CONOCIMIENTO SECTORIAL Y ANALITICO</v>
          </cell>
        </row>
        <row r="446">
          <cell r="B446" t="str">
            <v>GCIA CONSOLIDACION IFRS Y USGAAP</v>
          </cell>
        </row>
        <row r="447">
          <cell r="B447" t="str">
            <v>GCIA CONTABILIDAD FIDUCIARIA</v>
          </cell>
        </row>
        <row r="448">
          <cell r="B448" t="str">
            <v>GCIA CONTABLE ADMINISTRATIVA</v>
          </cell>
        </row>
        <row r="449">
          <cell r="B449" t="str">
            <v>GCIA CONTRATACION Y COMPRAS</v>
          </cell>
        </row>
        <row r="450">
          <cell r="B450" t="str">
            <v>GCIA CONTROL FINANCIERO LEASING</v>
          </cell>
        </row>
        <row r="451">
          <cell r="B451" t="str">
            <v>GCIA CORRESPONSALES</v>
          </cell>
        </row>
        <row r="452">
          <cell r="B452" t="str">
            <v>GCIA CORRESPONSALES NO BANCARIOS</v>
          </cell>
        </row>
        <row r="453">
          <cell r="B453" t="str">
            <v>GCIA CRM ANALITICO BEG</v>
          </cell>
        </row>
        <row r="454">
          <cell r="B454" t="str">
            <v>GCIA CUANTIFICACION DE RIESGO</v>
          </cell>
        </row>
        <row r="455">
          <cell r="B455" t="str">
            <v>GCIA CUMPLIMIENTO EMPRESAS Y GOBIERNO</v>
          </cell>
        </row>
        <row r="456">
          <cell r="B456" t="str">
            <v>GCIA CUMPLIMIENTO INTERNACIONAL</v>
          </cell>
        </row>
        <row r="457">
          <cell r="B457" t="str">
            <v>GCIA CUMPLIMIENTO MERCADO CAPITALES</v>
          </cell>
        </row>
        <row r="458">
          <cell r="B458" t="str">
            <v>GCIA CUMPLIMIENTO PERSONAS  Y CANALES</v>
          </cell>
        </row>
        <row r="459">
          <cell r="B459" t="str">
            <v>GCIA CUMPLIMIENTO PP INMOBILIARIO Y CONS</v>
          </cell>
        </row>
        <row r="460">
          <cell r="B460" t="str">
            <v>GCIA CUMPLIMIENTO PYMES INMOBILIARIO</v>
          </cell>
        </row>
        <row r="461">
          <cell r="B461" t="str">
            <v>GCIA DE ACEPTACION DE MEDIOS DE PAGO</v>
          </cell>
        </row>
        <row r="462">
          <cell r="B462" t="str">
            <v>GCIA DE APOYO A USUARIOS DE TI</v>
          </cell>
        </row>
        <row r="463">
          <cell r="B463" t="str">
            <v>GCIA DE APOYO AL NEGOCIO PGC</v>
          </cell>
        </row>
        <row r="464">
          <cell r="B464" t="str">
            <v>GCIA DE ARRENDAMIENTO Y RENTING</v>
          </cell>
        </row>
        <row r="465">
          <cell r="B465" t="str">
            <v>GCIA DE ASESORIA EN COMUNICACIONES</v>
          </cell>
        </row>
        <row r="466">
          <cell r="B466" t="str">
            <v>GCIA DE ATENCION AL CLIENTE</v>
          </cell>
        </row>
        <row r="467">
          <cell r="B467" t="str">
            <v>GCIA DE CANALES MERCADO DE CAPITALES</v>
          </cell>
        </row>
        <row r="468">
          <cell r="B468" t="str">
            <v>GCIA DE CANALES MOVILES</v>
          </cell>
        </row>
        <row r="469">
          <cell r="B469" t="str">
            <v>GCIA DE COMPENSACION E INCENTIVOS</v>
          </cell>
        </row>
        <row r="470">
          <cell r="B470" t="str">
            <v>GCIA DE CONTENIDOS</v>
          </cell>
        </row>
        <row r="471">
          <cell r="B471" t="str">
            <v>GCIA DE CONTINUIDAD DE TI</v>
          </cell>
        </row>
        <row r="472">
          <cell r="B472" t="str">
            <v>GCIA DE CREDITO CONSTRUCTORES</v>
          </cell>
        </row>
        <row r="473">
          <cell r="B473" t="str">
            <v>GCIA DE CREDITO EMPRENDEDOR</v>
          </cell>
        </row>
        <row r="474">
          <cell r="B474" t="str">
            <v>GCIA DE CRÉDITO EMPRENDEDOR</v>
          </cell>
        </row>
        <row r="475">
          <cell r="B475" t="str">
            <v>GCIA DE CREDITO GOBIERNO E INST</v>
          </cell>
        </row>
        <row r="476">
          <cell r="B476" t="str">
            <v>GCIA DE CREDITO HIPOTECARIO</v>
          </cell>
        </row>
        <row r="477">
          <cell r="B477" t="str">
            <v>GCIA DE CREDITO INTERNACIONAL</v>
          </cell>
        </row>
        <row r="478">
          <cell r="B478" t="str">
            <v>GCIA DE CREDITO PYME ANT Y BOG</v>
          </cell>
        </row>
        <row r="479">
          <cell r="B479" t="str">
            <v>GCIA DE CREDITO SUFI</v>
          </cell>
        </row>
        <row r="480">
          <cell r="B480" t="str">
            <v>GCIA DE DEFINICIONES CONTABLES CORPORATI</v>
          </cell>
        </row>
        <row r="481">
          <cell r="B481" t="str">
            <v>GCIA DE DISEÑO ORGANIZACIONAL</v>
          </cell>
        </row>
        <row r="482">
          <cell r="B482" t="str">
            <v>GCIA DE EJECUCION</v>
          </cell>
        </row>
        <row r="483">
          <cell r="B483" t="str">
            <v>GCIA DE EJECUCION ESTRATEGICA</v>
          </cell>
        </row>
        <row r="484">
          <cell r="B484" t="str">
            <v>GCIA DE ESTRATEGIA Y ARQ DE INF DE TI</v>
          </cell>
        </row>
        <row r="485">
          <cell r="B485" t="str">
            <v>GCIA DE ESTRATEGIA Y ARQ EMPRESARIAL</v>
          </cell>
        </row>
        <row r="486">
          <cell r="B486" t="str">
            <v>GCIA DE ESTRUCTURACION Y DLLO PDTOS SUFI</v>
          </cell>
        </row>
        <row r="487">
          <cell r="B487" t="str">
            <v>GCIA DE FONDOS E INGENIERIA FINANCIERA</v>
          </cell>
        </row>
        <row r="488">
          <cell r="B488" t="str">
            <v>GCIA DE GERENCIAMIENTO CENTRALIZADO ANT</v>
          </cell>
        </row>
        <row r="489">
          <cell r="B489" t="str">
            <v>GCIA DE GERENCIAMIENTO CENTRALIZADO ANT2</v>
          </cell>
        </row>
        <row r="490">
          <cell r="B490" t="str">
            <v>GCIA DE GERENCIAMIENTO CENTRALIZADO SUR</v>
          </cell>
        </row>
        <row r="491">
          <cell r="B491" t="str">
            <v>GCIA DE GESTION AMBIENTAL</v>
          </cell>
        </row>
        <row r="492">
          <cell r="B492" t="str">
            <v>GCIA DE GESTION DE CANALES Y SERVICIO</v>
          </cell>
        </row>
        <row r="493">
          <cell r="B493" t="str">
            <v>GCIA DE GESTION DE FORMACION Y ENTRENAM</v>
          </cell>
        </row>
        <row r="494">
          <cell r="B494" t="str">
            <v>GCIA DE GESTION DE INFRAESTRUCTURA</v>
          </cell>
        </row>
        <row r="495">
          <cell r="B495" t="str">
            <v>GCIA DE GESTION MERCADO CAPITALES</v>
          </cell>
        </row>
        <row r="496">
          <cell r="B496" t="str">
            <v>GCIA DE GOBIERNO PYME REG ANTIOQUIA</v>
          </cell>
        </row>
        <row r="497">
          <cell r="B497" t="str">
            <v>GCIA DE GOBIERNO PYME REGION CENTRO 1</v>
          </cell>
        </row>
        <row r="498">
          <cell r="B498" t="str">
            <v>GCIA DE GOBIERNO PYME REGION CENTRO 2</v>
          </cell>
        </row>
        <row r="499">
          <cell r="B499" t="str">
            <v>GCIA DE GOBIERNO PYME REGION SUR</v>
          </cell>
        </row>
        <row r="500">
          <cell r="B500" t="str">
            <v>GCIA DE IMPUESTOS CORPORATIVOS</v>
          </cell>
        </row>
        <row r="501">
          <cell r="B501" t="str">
            <v>GCIA DE INGENIERIA DE PROCS DE FILIALES</v>
          </cell>
        </row>
        <row r="502">
          <cell r="B502" t="str">
            <v>GCIA DE INICIATIVAS</v>
          </cell>
        </row>
        <row r="503">
          <cell r="B503" t="str">
            <v>GCIA DE INNOVACION Y NUEVAS TECNOLOGIAS</v>
          </cell>
        </row>
        <row r="504">
          <cell r="B504" t="str">
            <v>GCIA DE INTEGRACION DE PORTAFOLIOS</v>
          </cell>
        </row>
        <row r="505">
          <cell r="B505" t="str">
            <v>GCIA DE LIQUIDEZ</v>
          </cell>
        </row>
        <row r="506">
          <cell r="B506" t="str">
            <v>GCIA DE METODOLOGIA</v>
          </cell>
        </row>
        <row r="507">
          <cell r="B507" t="str">
            <v>GCIA DE NEGOCIOS CANALES</v>
          </cell>
        </row>
        <row r="508">
          <cell r="B508" t="str">
            <v>GCIA DE NEGOCIOS CONSUMO</v>
          </cell>
        </row>
        <row r="509">
          <cell r="B509" t="str">
            <v>GCIA DE NEGOCIOS EDUCATIVO</v>
          </cell>
        </row>
        <row r="510">
          <cell r="B510" t="str">
            <v>GCIA DE NEGOCIOS MOTOS</v>
          </cell>
        </row>
        <row r="511">
          <cell r="B511" t="str">
            <v>GCIA DE NEGOCIOS VEHICULOS 1</v>
          </cell>
        </row>
        <row r="512">
          <cell r="B512" t="str">
            <v>GCIA DE NEGOCIOS VEHICULOS 2</v>
          </cell>
        </row>
        <row r="513">
          <cell r="B513" t="str">
            <v>GCIA DE OPERACIONES DE CLIENTES</v>
          </cell>
        </row>
        <row r="514">
          <cell r="B514" t="str">
            <v>GCIA DE OPERACIONES INTERNACIONALES</v>
          </cell>
        </row>
        <row r="515">
          <cell r="B515" t="str">
            <v>GCIA DE OPERACIONES REGIONALES</v>
          </cell>
        </row>
        <row r="516">
          <cell r="B516" t="str">
            <v>GCIA DE ORIGINACION DE PRODUCTOS</v>
          </cell>
        </row>
        <row r="517">
          <cell r="B517" t="str">
            <v>GCIA DE PLATAFORMAS CENTRALES</v>
          </cell>
        </row>
        <row r="518">
          <cell r="B518" t="str">
            <v>GCIA DE PLATAFORMAS DISTRIBUIDAS</v>
          </cell>
        </row>
        <row r="519">
          <cell r="B519" t="str">
            <v>GCIA DE PROCESOS CONTABLES</v>
          </cell>
        </row>
        <row r="520">
          <cell r="B520" t="str">
            <v>GCIA DE PROCESOS CONTABLES T</v>
          </cell>
        </row>
        <row r="521">
          <cell r="B521" t="str">
            <v>GCIA DE PROCESOS PIC</v>
          </cell>
        </row>
        <row r="522">
          <cell r="B522" t="str">
            <v>GCIA DE PRODUCTO DEBITO Y PREPAGO</v>
          </cell>
        </row>
        <row r="523">
          <cell r="B523" t="str">
            <v>GCIA DE PRODUCTO TARJETA DEBITO PREPAGO</v>
          </cell>
        </row>
        <row r="524">
          <cell r="B524" t="str">
            <v>GCIA DE PRODUCTOS CAPTACIONES ME</v>
          </cell>
        </row>
        <row r="525">
          <cell r="B525" t="str">
            <v>GCIA DE PRODUCTOS DE AHORRO E INVERSION</v>
          </cell>
        </row>
        <row r="526">
          <cell r="B526" t="str">
            <v>GCIA DE PRODUCTOS DE FINANCIACION</v>
          </cell>
        </row>
        <row r="527">
          <cell r="B527" t="str">
            <v>GCIA DE PRODUCTOS HIPOTECARIOS</v>
          </cell>
        </row>
        <row r="528">
          <cell r="B528" t="str">
            <v>GCIA DE PRODUCTOS MIT</v>
          </cell>
        </row>
        <row r="529">
          <cell r="B529" t="str">
            <v>GCIA DE PRODUCTOS PYME Y GOBIERNO DE RED</v>
          </cell>
        </row>
        <row r="530">
          <cell r="B530" t="str">
            <v>GCIA DE PRODUCTOS TARJETAS DE CREDITO</v>
          </cell>
        </row>
        <row r="531">
          <cell r="B531" t="str">
            <v>GCIA DE RELACIONES LABORALES</v>
          </cell>
        </row>
        <row r="532">
          <cell r="B532" t="str">
            <v>GCIA DE REQUERIMIENTOS INSTITUCIONALES</v>
          </cell>
        </row>
        <row r="533">
          <cell r="B533" t="str">
            <v>GCIA DE RIESGO DE POSICION PROPIA</v>
          </cell>
        </row>
        <row r="534">
          <cell r="B534" t="str">
            <v>GCIA DE RIESGOS DE CREDITO ESTRUCTURADO</v>
          </cell>
        </row>
        <row r="535">
          <cell r="B535" t="str">
            <v>GCIA DE RIESGOS FACTORING</v>
          </cell>
        </row>
        <row r="536">
          <cell r="B536" t="str">
            <v>GCIA DE SEGMENTO PERSONAS</v>
          </cell>
        </row>
        <row r="537">
          <cell r="B537" t="str">
            <v>GCIA DE SEGURIDAD DE LA INFRAESTRUCTURA</v>
          </cell>
        </row>
        <row r="538">
          <cell r="B538" t="str">
            <v>GCIA DE SEGURIDAD DE TI</v>
          </cell>
        </row>
        <row r="539">
          <cell r="B539" t="str">
            <v>GCIA DE SEGURIDAD PERIMETRAL</v>
          </cell>
        </row>
        <row r="540">
          <cell r="B540" t="str">
            <v>GCIA DE SEGUROS LEASING Y RENTING</v>
          </cell>
        </row>
        <row r="541">
          <cell r="B541" t="str">
            <v>GCIA DE SELECCION Y DESARROLLO</v>
          </cell>
        </row>
        <row r="542">
          <cell r="B542" t="str">
            <v>GCIA DE SERVICIOS Y RELACIONES SUFI</v>
          </cell>
        </row>
        <row r="543">
          <cell r="B543" t="str">
            <v>GCIA DE SOLUCIONES CCIALES Y CONVENIOS</v>
          </cell>
        </row>
        <row r="544">
          <cell r="B544" t="str">
            <v>GCIA DE TELECOMUNICACIONES</v>
          </cell>
        </row>
        <row r="545">
          <cell r="B545" t="str">
            <v>GCIA DE TESORERIA</v>
          </cell>
        </row>
        <row r="546">
          <cell r="B546" t="str">
            <v>GCIA DE TRANSPORTE</v>
          </cell>
        </row>
        <row r="547">
          <cell r="B547" t="str">
            <v>GCIA DE VALORACION Y ANALISIS COMERCIAL</v>
          </cell>
        </row>
        <row r="548">
          <cell r="B548" t="str">
            <v>GCIA DE VENTAS  SUFI BOGOTA 1</v>
          </cell>
        </row>
        <row r="549">
          <cell r="B549" t="str">
            <v>GCIA DE VENTAS  SUFI BOGOTA 2</v>
          </cell>
        </row>
        <row r="550">
          <cell r="B550" t="str">
            <v>GCIA DE VENTAS  SUFI BOGOTA 3</v>
          </cell>
        </row>
        <row r="551">
          <cell r="B551" t="str">
            <v>GCIA DE VENTAS SUFI ANTIOQUIA</v>
          </cell>
        </row>
        <row r="552">
          <cell r="B552" t="str">
            <v>GCIA DE VENTAS SUFI ANTIOQUIA 2</v>
          </cell>
        </row>
        <row r="553">
          <cell r="B553" t="str">
            <v>GCIA DE VENTAS SUFI CARIBE</v>
          </cell>
        </row>
        <row r="554">
          <cell r="B554" t="str">
            <v>GCIA DE VENTAS SUFI EJE CAFETERO</v>
          </cell>
        </row>
        <row r="555">
          <cell r="B555" t="str">
            <v>GCIA DE VENTAS SUFI VALLE CAUCA Y NARIÑO</v>
          </cell>
        </row>
        <row r="556">
          <cell r="B556" t="str">
            <v>GCIA DE ZONA BARRANQUILLA Y ATLANTICO</v>
          </cell>
        </row>
        <row r="557">
          <cell r="B557" t="str">
            <v>GCIA DE ZONA BQUILLA BANCA ESPECIALIZADA</v>
          </cell>
        </row>
        <row r="558">
          <cell r="B558" t="str">
            <v>GCIA DERIVADOS</v>
          </cell>
        </row>
        <row r="559">
          <cell r="B559" t="str">
            <v>GCIA DERIVADOS Y CAMBIARIO</v>
          </cell>
        </row>
        <row r="560">
          <cell r="B560" t="str">
            <v>GCIA DESARROLLO DE CANALES</v>
          </cell>
        </row>
        <row r="561">
          <cell r="B561" t="str">
            <v>GCIA DESARROLLO DE NEGOCIOS</v>
          </cell>
        </row>
        <row r="562">
          <cell r="B562" t="str">
            <v>GCIA DESARROLLO INTERNACIONAL</v>
          </cell>
        </row>
        <row r="563">
          <cell r="B563" t="str">
            <v>GCIA DISEÑO IMPLEMENTACION DE SEGURIDAD</v>
          </cell>
        </row>
        <row r="564">
          <cell r="B564" t="str">
            <v>GCIA DISTRIBUCION COMERCIAL PYME</v>
          </cell>
        </row>
        <row r="565">
          <cell r="B565" t="str">
            <v>GCIA DLLO APLICACIONES CORPORATIVAS</v>
          </cell>
        </row>
        <row r="566">
          <cell r="B566" t="str">
            <v>GCIA DLLO CANALES DE INTERNET</v>
          </cell>
        </row>
        <row r="567">
          <cell r="B567" t="str">
            <v>GCIA DLLO CLIENTES CRM</v>
          </cell>
        </row>
        <row r="568">
          <cell r="B568" t="str">
            <v>GCIA DLLO DE CLIENTES Y ERP</v>
          </cell>
        </row>
        <row r="569">
          <cell r="B569" t="str">
            <v>GCIA DLLO DE TESORERIA</v>
          </cell>
        </row>
        <row r="570">
          <cell r="B570" t="str">
            <v>GCIA DLLO FILIALES DEL EXTERIOR</v>
          </cell>
        </row>
        <row r="571">
          <cell r="B571" t="str">
            <v>GCIA DLLO MEDIOS DE PAGO</v>
          </cell>
        </row>
        <row r="572">
          <cell r="B572" t="str">
            <v>GCIA DLLO MERCADO DE CAPITALES</v>
          </cell>
        </row>
        <row r="573">
          <cell r="B573" t="str">
            <v>GCIA DLLO NEGOCIOS DEL ACTIVO</v>
          </cell>
        </row>
        <row r="574">
          <cell r="B574" t="str">
            <v>GCIA DLLO NEGOCIOS DEL PASIVO Y ESPECIAL</v>
          </cell>
        </row>
        <row r="575">
          <cell r="B575" t="str">
            <v>GCIA DLLO SERVICIOS DE INFORMACION</v>
          </cell>
        </row>
        <row r="576">
          <cell r="B576" t="str">
            <v>GCIA DLLO SERVICIOS DE INTEGRACION BPM</v>
          </cell>
        </row>
        <row r="577">
          <cell r="B577" t="str">
            <v>GCIA ECONOMIA Y RENTA FIJA</v>
          </cell>
        </row>
        <row r="578">
          <cell r="B578" t="str">
            <v>GCIA EJECUCION DE PRUEBAS</v>
          </cell>
        </row>
        <row r="579">
          <cell r="B579" t="str">
            <v>GCIA EJECUTIVA</v>
          </cell>
        </row>
        <row r="580">
          <cell r="B580" t="str">
            <v>GCIA EJECUTIVA FACTORING</v>
          </cell>
        </row>
        <row r="581">
          <cell r="B581" t="str">
            <v>GCIA EMPRESAS Y PYME BOGOTA</v>
          </cell>
        </row>
        <row r="582">
          <cell r="B582" t="str">
            <v>GCIA ESPECIALISTAS RENTA FIJA</v>
          </cell>
        </row>
        <row r="583">
          <cell r="B583" t="str">
            <v>GCIA ESPECIALITAS FONDOS Y APT</v>
          </cell>
        </row>
        <row r="584">
          <cell r="B584" t="str">
            <v>GCIA ESPECIALIZADA RENTA VARIABLE</v>
          </cell>
        </row>
        <row r="585">
          <cell r="B585" t="str">
            <v>GCIA ESTADOS FINANCIEROS BCO Y FILIALES</v>
          </cell>
        </row>
        <row r="586">
          <cell r="B586" t="str">
            <v>GCIA ESTGIA  JURID SOLUC Y CONSOLIDACION</v>
          </cell>
        </row>
        <row r="587">
          <cell r="B587" t="str">
            <v>GCIA ESTRAT ARQ DE INFRAEST Y CONTUNIDAD</v>
          </cell>
        </row>
        <row r="588">
          <cell r="B588" t="str">
            <v>GCIA ESTRATEGIA COBERTURA DE CANALES</v>
          </cell>
        </row>
        <row r="589">
          <cell r="B589" t="str">
            <v>GCIA ESTRATEGIA COMERCIAL</v>
          </cell>
        </row>
        <row r="590">
          <cell r="B590" t="str">
            <v>GCIA ESTRATEGIA DE ABASTECIMINETO Y TERC</v>
          </cell>
        </row>
        <row r="591">
          <cell r="B591" t="str">
            <v>GCIA ESTRATEGIA DE CERTIFICACION</v>
          </cell>
        </row>
        <row r="592">
          <cell r="B592" t="str">
            <v>GCIA ESTRATEGIA DE OUTSOURCING</v>
          </cell>
        </row>
        <row r="593">
          <cell r="B593" t="str">
            <v>GCIA ESTRATEGIA DE RIESGO OPERACIONAL</v>
          </cell>
        </row>
        <row r="594">
          <cell r="B594" t="str">
            <v>GCIA ESTRATEGIA MULTICANAL DE SERVICIO</v>
          </cell>
        </row>
        <row r="595">
          <cell r="B595" t="str">
            <v>GCIA ESTRATEGIA Y GESTION ANALITICA</v>
          </cell>
        </row>
        <row r="596">
          <cell r="B596" t="str">
            <v>GCIA ESTRATEGIAS INTEGRALES DE INCLUSION</v>
          </cell>
        </row>
        <row r="597">
          <cell r="B597" t="str">
            <v>GCIA ESTRATEGICA DE COMPLIANCE</v>
          </cell>
        </row>
        <row r="598">
          <cell r="B598" t="str">
            <v>GCIA ESTRUCTURACION ADUANERA Y CAMBIARIA</v>
          </cell>
        </row>
        <row r="599">
          <cell r="B599" t="str">
            <v>GCIA ESTRUCTURACION DE NEGOCIOS</v>
          </cell>
        </row>
        <row r="600">
          <cell r="B600" t="str">
            <v>GCIA ESTRUCTURACION OPERATIVA</v>
          </cell>
        </row>
        <row r="601">
          <cell r="B601" t="str">
            <v>GCIA ESTRUCTURACION TRIBUTARIA</v>
          </cell>
        </row>
        <row r="602">
          <cell r="B602" t="str">
            <v>GCIA ESTRUCTURACIONES INTERNACIONALES</v>
          </cell>
        </row>
        <row r="603">
          <cell r="B603" t="str">
            <v>GCIA EXPERIENCIA CLIENTES</v>
          </cell>
        </row>
        <row r="604">
          <cell r="B604" t="str">
            <v>GCIA FIDUCIA EN GARANTIA</v>
          </cell>
        </row>
        <row r="605">
          <cell r="B605" t="str">
            <v>GCIA FIDUCIA PUBLICA</v>
          </cell>
        </row>
        <row r="606">
          <cell r="B606" t="str">
            <v>GCIA FINANCIERA FONDO INMOBILIARIO</v>
          </cell>
        </row>
        <row r="607">
          <cell r="B607" t="str">
            <v>GCIA FINANCIERA PERSONAS</v>
          </cell>
        </row>
        <row r="608">
          <cell r="B608" t="str">
            <v>GCIA FONDO INMOBILIARIO COLOMBIA</v>
          </cell>
        </row>
        <row r="609">
          <cell r="B609" t="str">
            <v>GCIA FORMULACION ESTRATEGICA</v>
          </cell>
        </row>
        <row r="610">
          <cell r="B610" t="str">
            <v>GCIA GERENCIAMIENTO CENTRALIZADO BOG</v>
          </cell>
        </row>
        <row r="611">
          <cell r="B611" t="str">
            <v>GCIA GERENCIAMIENTO CENTRALIZADO BOG 2</v>
          </cell>
        </row>
        <row r="612">
          <cell r="B612" t="str">
            <v>GCIA GESTION  SERVICIO VP ADMINISTRATIVA</v>
          </cell>
        </row>
        <row r="613">
          <cell r="B613" t="str">
            <v>GCIA GESTION  SERVICIOS CORPORATIVOS</v>
          </cell>
        </row>
        <row r="614">
          <cell r="B614" t="str">
            <v>GCIA GESTION COMERCIAL</v>
          </cell>
        </row>
        <row r="615">
          <cell r="B615" t="str">
            <v>GCIA GESTION CSC CANALES</v>
          </cell>
        </row>
        <row r="616">
          <cell r="B616" t="str">
            <v>GCIA GESTION DE INGRESOS</v>
          </cell>
        </row>
        <row r="617">
          <cell r="B617" t="str">
            <v>GCIA GESTION DE LA FUERZA COMERCIAL</v>
          </cell>
        </row>
        <row r="618">
          <cell r="B618" t="str">
            <v>GCIA GESTION DE PORTAFOLIO</v>
          </cell>
        </row>
        <row r="619">
          <cell r="B619" t="str">
            <v>GCIA GESTION DE PROYECTOS</v>
          </cell>
        </row>
        <row r="620">
          <cell r="B620" t="str">
            <v>GCIA GESTION DEL CAMBIO Y CULTURA</v>
          </cell>
        </row>
        <row r="621">
          <cell r="B621" t="str">
            <v>GCIA GESTION DEL CONOCIMIENTO</v>
          </cell>
        </row>
        <row r="622">
          <cell r="B622" t="str">
            <v>GCIA GESTION DEL SERVICIO VP AUDITORIA</v>
          </cell>
        </row>
        <row r="623">
          <cell r="B623" t="str">
            <v>GCIA GESTION DOCUMENTAL</v>
          </cell>
        </row>
        <row r="624">
          <cell r="B624" t="str">
            <v>GCIA GESTION FINANCIERA Y PROVEEDORES</v>
          </cell>
        </row>
        <row r="625">
          <cell r="B625" t="str">
            <v>GCIA GESTION INFORMACION DE RIESGOS</v>
          </cell>
        </row>
        <row r="626">
          <cell r="B626" t="str">
            <v>GCIA GESTION INMOBILIARIA</v>
          </cell>
        </row>
        <row r="627">
          <cell r="B627" t="str">
            <v>GCIA GESTION INMOBILIARIA</v>
          </cell>
        </row>
        <row r="628">
          <cell r="B628" t="str">
            <v>GCIA GESTION MONITOREO DE SEGURIDAD</v>
          </cell>
        </row>
        <row r="629">
          <cell r="B629" t="str">
            <v>GCIA GESTION RECUPERACION DE ACTIVOS</v>
          </cell>
        </row>
        <row r="630">
          <cell r="B630" t="str">
            <v>GCIA GESTION VICEPRESIDENCIA BCA EMP</v>
          </cell>
        </row>
        <row r="631">
          <cell r="B631" t="str">
            <v>GCIA GESTION VIP ESTRATEGIA Y FINANZ</v>
          </cell>
        </row>
        <row r="632">
          <cell r="B632" t="str">
            <v>GCIA GESTION VP BANCA HIPOTECARIA</v>
          </cell>
        </row>
        <row r="633">
          <cell r="B633" t="str">
            <v>GCIA GESTION VP INMOBILIARIA Y CONSUMO</v>
          </cell>
        </row>
        <row r="634">
          <cell r="B634" t="str">
            <v>GCIA GESTION VP SECRETARIA GENERAL</v>
          </cell>
        </row>
        <row r="635">
          <cell r="B635" t="str">
            <v>GCIA GOBIERNO PYME REGION BOGOTA</v>
          </cell>
        </row>
        <row r="636">
          <cell r="B636" t="str">
            <v>GCIA GOBIERNO PYME REGION CARIBE</v>
          </cell>
        </row>
        <row r="637">
          <cell r="B637" t="str">
            <v>GCIA GOBIERNO Y DESARROLLO DE PROVEEDORE</v>
          </cell>
        </row>
        <row r="638">
          <cell r="B638" t="str">
            <v>GCIA GOBIERNO Y ESTRATEGIA DE SEGURIDAD</v>
          </cell>
        </row>
        <row r="639">
          <cell r="B639" t="str">
            <v>GCIA GTION DEMANDA DE RIESGOS</v>
          </cell>
        </row>
        <row r="640">
          <cell r="B640" t="str">
            <v>GCIA GTION DEMANDA EMPRESAS Y GOB</v>
          </cell>
        </row>
        <row r="641">
          <cell r="B641" t="str">
            <v>GCIA GTION DEMANDA FUNCIONES CORPS</v>
          </cell>
        </row>
        <row r="642">
          <cell r="B642" t="str">
            <v>GCIA GTION DEMANDA INMOB CONS ESPECIALIZ</v>
          </cell>
        </row>
        <row r="643">
          <cell r="B643" t="str">
            <v>GCIA GTION DEMANDA INTERNACIONAL</v>
          </cell>
        </row>
        <row r="644">
          <cell r="B644" t="str">
            <v>GCIA GTION DEMANDA MERCADO CAPITALES</v>
          </cell>
        </row>
        <row r="645">
          <cell r="B645" t="str">
            <v>GCIA GTION DEMANDA OPERACIONES TI INNOVA</v>
          </cell>
        </row>
        <row r="646">
          <cell r="B646" t="str">
            <v>GCIA GTION DEMANDA PERSONAS Y PYME</v>
          </cell>
        </row>
        <row r="647">
          <cell r="B647" t="str">
            <v>GCIA GTION DEMANDA SERV PARA CLIENTES</v>
          </cell>
        </row>
        <row r="648">
          <cell r="B648" t="str">
            <v>GCIA GTION PORTAFOLIO TARJETA DE CREDITO</v>
          </cell>
        </row>
        <row r="649">
          <cell r="B649" t="str">
            <v>GCIA GTION VP  PNAS Y PYMES</v>
          </cell>
        </row>
        <row r="650">
          <cell r="B650" t="str">
            <v>GCIA GTION VP BCA PNAS Y PYMES</v>
          </cell>
        </row>
        <row r="651">
          <cell r="B651" t="str">
            <v>GCIA INFRAESTRUCTURA CENTRO OPERATIVO</v>
          </cell>
        </row>
        <row r="652">
          <cell r="B652" t="str">
            <v>GCIA INFRAESTRUCTURA DE LA SOLUCION</v>
          </cell>
        </row>
        <row r="653">
          <cell r="B653" t="str">
            <v>GCIA INFRAESTRUCTURA DE SUCURSALES Y AUT</v>
          </cell>
        </row>
        <row r="654">
          <cell r="B654" t="str">
            <v>GCIA INFRAESTRUCUTRA Y CIUDADES</v>
          </cell>
        </row>
        <row r="655">
          <cell r="B655" t="str">
            <v>GCIA INNOVACION</v>
          </cell>
        </row>
        <row r="656">
          <cell r="B656" t="str">
            <v>GCIA INSTITUCIONAL Y GOBIERNO</v>
          </cell>
        </row>
        <row r="657">
          <cell r="B657" t="str">
            <v>GCIA INTERNACIONAL Y DIVISAS</v>
          </cell>
        </row>
        <row r="658">
          <cell r="B658" t="str">
            <v>GCIA INVERSIONES INTERNACIONALES</v>
          </cell>
        </row>
        <row r="659">
          <cell r="B659" t="str">
            <v>GCIA INVESTIGACION Y DLLO DE PRODUCTOS</v>
          </cell>
        </row>
        <row r="660">
          <cell r="B660" t="str">
            <v>GCIA JURIDICA ASESORIA CAMBIARIA</v>
          </cell>
        </row>
        <row r="661">
          <cell r="B661" t="str">
            <v>GCIA JURIDICA BANCA DE INVERSION</v>
          </cell>
        </row>
        <row r="662">
          <cell r="B662" t="str">
            <v>GCIA JURIDICA CORPORATIVA</v>
          </cell>
        </row>
        <row r="663">
          <cell r="B663" t="str">
            <v>GCIA JURIDICA CORPORATIVA E INSTITUCIONA</v>
          </cell>
        </row>
        <row r="664">
          <cell r="B664" t="str">
            <v>GCIA JURIDICA DE COBRANZAS</v>
          </cell>
        </row>
        <row r="665">
          <cell r="B665" t="str">
            <v>GCIA JURIDICA DE PROCESOS ESPECIALES</v>
          </cell>
        </row>
        <row r="666">
          <cell r="B666" t="str">
            <v>GCIA JURIDICA DE REGU Y RELACIONES GUBER</v>
          </cell>
        </row>
        <row r="667">
          <cell r="B667" t="str">
            <v>GCIA JURIDICA DE TESORERIA Y ESTRUCTURAC</v>
          </cell>
        </row>
        <row r="668">
          <cell r="B668" t="str">
            <v>GCIA JURIDICA EMPRESAS Y GOB LEASING</v>
          </cell>
        </row>
        <row r="669">
          <cell r="B669" t="str">
            <v>GCIA JURIDICA ESTRUC Y PROYEC ESPEC</v>
          </cell>
        </row>
        <row r="670">
          <cell r="B670" t="str">
            <v>GCIA JURIDICA FIDU Y ADMON ACTIVOS</v>
          </cell>
        </row>
        <row r="671">
          <cell r="B671" t="str">
            <v>GCIA JURIDICA FONDO INMOBILIARIO</v>
          </cell>
        </row>
        <row r="672">
          <cell r="B672" t="str">
            <v>GCIA JURIDICA INSTITUCIONAL</v>
          </cell>
        </row>
        <row r="673">
          <cell r="B673" t="str">
            <v>GCIA JURIDICA INTERNAL Y  ESTRUCTURACION</v>
          </cell>
        </row>
        <row r="674">
          <cell r="B674" t="str">
            <v>GCIA JURIDICA LEASING</v>
          </cell>
        </row>
        <row r="675">
          <cell r="B675" t="str">
            <v>GCIA JURIDICA LEASING FINANCIERO E INTER</v>
          </cell>
        </row>
        <row r="676">
          <cell r="B676" t="str">
            <v>GCIA JURIDICA LEASING PERSONAS Y PYMES</v>
          </cell>
        </row>
        <row r="677">
          <cell r="B677" t="str">
            <v>GCIA JURIDICA NACIONAL PERSONAS  Y PYMES</v>
          </cell>
        </row>
        <row r="678">
          <cell r="B678" t="str">
            <v>GCIA JURIDICA NAL DE EMPRESAS Y GOBIERNO</v>
          </cell>
        </row>
        <row r="679">
          <cell r="B679" t="str">
            <v>GCIA JURIDICA NAL IMMOB Y CONSUMO ESPECI</v>
          </cell>
        </row>
        <row r="680">
          <cell r="B680" t="str">
            <v>GCIA JURIDICA NAL LEASING Y FACTORING</v>
          </cell>
        </row>
        <row r="681">
          <cell r="B681" t="str">
            <v>GCIA JURIDICA PERSONAS Y PYMES LEASING</v>
          </cell>
        </row>
        <row r="682">
          <cell r="B682" t="str">
            <v>GCIA JURIDICA VALORES</v>
          </cell>
        </row>
        <row r="683">
          <cell r="B683" t="str">
            <v>GCIA LIMITES DESEMBOLSOS Y GARANTIAS</v>
          </cell>
        </row>
        <row r="684">
          <cell r="B684" t="str">
            <v>GCIA LINEAS DE NEGOCIO REGION CENTRO</v>
          </cell>
        </row>
        <row r="685">
          <cell r="B685" t="str">
            <v>GCIA LOGISTICA INTEGRAL</v>
          </cell>
        </row>
        <row r="686">
          <cell r="B686" t="str">
            <v>GCIA MAQUINARIA Y OTROS ACTIVOS</v>
          </cell>
        </row>
        <row r="687">
          <cell r="B687" t="str">
            <v>GCIA MARCA Y PUBLICIDAD</v>
          </cell>
        </row>
        <row r="688">
          <cell r="B688" t="str">
            <v>GCIA ME BPP ZONA CALI SUR</v>
          </cell>
        </row>
        <row r="689">
          <cell r="B689" t="str">
            <v>GCIA ME BPP ZONA EJE CAFETERO</v>
          </cell>
        </row>
        <row r="690">
          <cell r="B690" t="str">
            <v>GCIA ME BPP ZONA GERENCIAMIENTO I ANT</v>
          </cell>
        </row>
        <row r="691">
          <cell r="B691" t="str">
            <v>GCIA ME BPP ZONA GERENCIAMIENTO I BOGT</v>
          </cell>
        </row>
        <row r="692">
          <cell r="B692" t="str">
            <v>GCIA ME BPP ZONA GERENCIAMIENTO I SUR</v>
          </cell>
        </row>
        <row r="693">
          <cell r="B693" t="str">
            <v>GCIA ME BPP ZONA GERENCIAMIENTO II ANT</v>
          </cell>
        </row>
        <row r="694">
          <cell r="B694" t="str">
            <v>GCIA ME BPP ZONA GERENCIAMIENTO II BOGT</v>
          </cell>
        </row>
        <row r="695">
          <cell r="B695" t="str">
            <v>GCIA ME BPP ZONA GERENCIAMIENTO III BOGT</v>
          </cell>
        </row>
        <row r="696">
          <cell r="B696" t="str">
            <v>GCIA ME BPP ZONA GERENCIAMIENTO IV BOGT</v>
          </cell>
        </row>
        <row r="697">
          <cell r="B697" t="str">
            <v>GCIA ME BPP ZONA INDUSTRIAL BOGT</v>
          </cell>
        </row>
        <row r="698">
          <cell r="B698" t="str">
            <v>GCIA ME BPP ZONA OCCIDENTE BOGT</v>
          </cell>
        </row>
        <row r="699">
          <cell r="B699" t="str">
            <v>GCIA ME BPP ZONA ORIENTE BOGT</v>
          </cell>
        </row>
        <row r="700">
          <cell r="B700" t="str">
            <v>GCIA ME BPP ZONA POBLADO ANT</v>
          </cell>
        </row>
        <row r="701">
          <cell r="B701" t="str">
            <v>GCIA MERCADEO MK</v>
          </cell>
        </row>
        <row r="702">
          <cell r="B702" t="str">
            <v>GCIA MERCADEO REGION ANTIOQUIA</v>
          </cell>
        </row>
        <row r="703">
          <cell r="B703" t="str">
            <v>GCIA MERCADEO REGION BOGOTA</v>
          </cell>
        </row>
        <row r="704">
          <cell r="B704" t="str">
            <v>GCIA MERCADEO REGION CARIBE</v>
          </cell>
        </row>
        <row r="705">
          <cell r="B705" t="str">
            <v>GCIA MERCADEO REGION CENTRO</v>
          </cell>
        </row>
        <row r="706">
          <cell r="B706" t="str">
            <v>GCIA MERCADEO REGION SUR</v>
          </cell>
        </row>
        <row r="707">
          <cell r="B707" t="str">
            <v>GCIA MERCADEO RELACIONAL MK</v>
          </cell>
        </row>
        <row r="708">
          <cell r="B708" t="str">
            <v>GCIA MERCADO DE CAPITALES Y MONETARIO</v>
          </cell>
        </row>
        <row r="709">
          <cell r="B709" t="str">
            <v>GCIA MET RGO CREDITO EMPRESAS Y GOBIERNO</v>
          </cell>
        </row>
        <row r="710">
          <cell r="B710" t="str">
            <v>GCIA METODOLOGIA RGO MKDO DE CAPITALES</v>
          </cell>
        </row>
        <row r="711">
          <cell r="B711" t="str">
            <v>GCIA METODOLOGIAS CREDITO PERSONAS  PYME</v>
          </cell>
        </row>
        <row r="712">
          <cell r="B712" t="str">
            <v>GCIA MIT GOBIERNO REGION BOGOTA</v>
          </cell>
        </row>
        <row r="713">
          <cell r="B713" t="str">
            <v>GCIA MIT REGION ANTIOQUIA</v>
          </cell>
        </row>
        <row r="714">
          <cell r="B714" t="str">
            <v>GCIA MIT REGION BOGOTA</v>
          </cell>
        </row>
        <row r="715">
          <cell r="B715" t="str">
            <v>GCIA MIT REGION CARIBE</v>
          </cell>
        </row>
        <row r="716">
          <cell r="B716" t="str">
            <v>GCIA MIT REGION SUR</v>
          </cell>
        </row>
        <row r="717">
          <cell r="B717" t="str">
            <v>GCIA MONEDA EXTRAENJERA BPP CARIBE SUR</v>
          </cell>
        </row>
        <row r="718">
          <cell r="B718" t="str">
            <v>GCIA MONEDA EXTRANJERA BE REGION ANT</v>
          </cell>
        </row>
        <row r="719">
          <cell r="B719" t="str">
            <v>GCIA MONEDA EXTRANJERA BE REGION BOG</v>
          </cell>
        </row>
        <row r="720">
          <cell r="B720" t="str">
            <v>GCIA MONEDA EXTRANJERA BE REGION CAR</v>
          </cell>
        </row>
        <row r="721">
          <cell r="B721" t="str">
            <v>GCIA MONEDA EXTRANJERA BE REGION SUR</v>
          </cell>
        </row>
        <row r="722">
          <cell r="B722" t="str">
            <v>GCIA MONEDA EXTRANJERA BPP CARIBE NORTE</v>
          </cell>
        </row>
        <row r="723">
          <cell r="B723" t="str">
            <v>GCIA MONEDA EXTRANJERA BPP CENTRO NORTE</v>
          </cell>
        </row>
        <row r="724">
          <cell r="B724" t="str">
            <v>GCIA MONEDA EXTRANJERA BPP CENTRO SUR</v>
          </cell>
        </row>
        <row r="725">
          <cell r="B725" t="str">
            <v>GCIA MULTICANAL VENTAS Y CANALES CCIALES</v>
          </cell>
        </row>
        <row r="726">
          <cell r="B726" t="str">
            <v>GCIA NACIONAL DE  PRODUCTOS</v>
          </cell>
        </row>
        <row r="727">
          <cell r="B727" t="str">
            <v>GCIA NACIONAL DE MONEDA EXTRANJERA BE</v>
          </cell>
        </row>
        <row r="728">
          <cell r="B728" t="str">
            <v>GCIA NACIONAL DE MONEDA EXTRANJERA BPP</v>
          </cell>
        </row>
        <row r="729">
          <cell r="B729" t="str">
            <v>GCIA NACIONAL MIT</v>
          </cell>
        </row>
        <row r="730">
          <cell r="B730" t="str">
            <v>GCIA NEGOCIOS 2 SUFI</v>
          </cell>
        </row>
        <row r="731">
          <cell r="B731" t="str">
            <v>GCIA NEGOCIOS 3 SUFI</v>
          </cell>
        </row>
        <row r="732">
          <cell r="B732" t="str">
            <v>GCIA NEGOCIOS ESTRUCTURADOS</v>
          </cell>
        </row>
        <row r="733">
          <cell r="B733" t="str">
            <v>GCIA NORMALIZACION JUDICIAL REGION CTRO</v>
          </cell>
        </row>
        <row r="734">
          <cell r="B734" t="str">
            <v>GCIA OFICINA DE PROYECTOS</v>
          </cell>
        </row>
        <row r="735">
          <cell r="B735" t="str">
            <v>GCIA OPERACION PROCESOS DE NEGOCIOS</v>
          </cell>
        </row>
        <row r="736">
          <cell r="B736" t="str">
            <v>GCIA OPERACION Y MONITOREO</v>
          </cell>
        </row>
        <row r="737">
          <cell r="B737" t="str">
            <v>GCIA OPERACIONES  LEASING</v>
          </cell>
        </row>
        <row r="738">
          <cell r="B738" t="str">
            <v>GCIA OPERACIONES CONTABLES</v>
          </cell>
        </row>
        <row r="739">
          <cell r="B739" t="str">
            <v>GCIA OPERACIONES ESTRUCTURADAS</v>
          </cell>
        </row>
        <row r="740">
          <cell r="B740" t="str">
            <v>GCIA OPERACIONES INMOBILIARIAS</v>
          </cell>
        </row>
        <row r="741">
          <cell r="B741" t="str">
            <v>GCIA OPERATIVA DE TESORERIA Y CUMPLIMIEN</v>
          </cell>
        </row>
        <row r="742">
          <cell r="B742" t="str">
            <v>GCIA ORIGINACION  CREDITO PYME</v>
          </cell>
        </row>
        <row r="743">
          <cell r="B743" t="str">
            <v>GCIA ORIGINACION CREDITO EMPRESARIAL</v>
          </cell>
        </row>
        <row r="744">
          <cell r="B744" t="str">
            <v>GCIA ORIGINACION CREDITO LEASING</v>
          </cell>
        </row>
        <row r="745">
          <cell r="B745" t="str">
            <v>GCIA ORIGINACION DE CREDITO INTERNACIONA</v>
          </cell>
        </row>
        <row r="746">
          <cell r="B746" t="str">
            <v>GCIA PERSONAS ANTIOQUIA</v>
          </cell>
        </row>
        <row r="747">
          <cell r="B747" t="str">
            <v>GCIA PERSONAS BOGOTA</v>
          </cell>
        </row>
        <row r="748">
          <cell r="B748" t="str">
            <v>GCIA PERSONAS BOGOTA Y CENTRO</v>
          </cell>
        </row>
        <row r="749">
          <cell r="B749" t="str">
            <v>GCIA PERSONAS CARIBE</v>
          </cell>
        </row>
        <row r="750">
          <cell r="B750" t="str">
            <v>GCIA PERSONAS SUR</v>
          </cell>
        </row>
        <row r="751">
          <cell r="B751" t="str">
            <v>GCIA PLANEACION DE LA CAPACIDAD</v>
          </cell>
        </row>
        <row r="752">
          <cell r="B752" t="str">
            <v>GCIA PLATAFORMAS DE INTEGRACION</v>
          </cell>
        </row>
        <row r="753">
          <cell r="B753" t="str">
            <v>GCIA PORTAFOLIOS  INSTITUCIONALES</v>
          </cell>
        </row>
        <row r="754">
          <cell r="B754" t="str">
            <v>GCIA PORTAFOLIOS PRIVADOS</v>
          </cell>
        </row>
        <row r="755">
          <cell r="B755" t="str">
            <v>GCIA PROCESOS DE CAPTACIONES Y MIT</v>
          </cell>
        </row>
        <row r="756">
          <cell r="B756" t="str">
            <v>GCIA PROCESOS INSTITUCIONALES</v>
          </cell>
        </row>
        <row r="757">
          <cell r="B757" t="str">
            <v>GCIA PRODUCTO LEASING  INTERNACIONAL</v>
          </cell>
        </row>
        <row r="758">
          <cell r="B758" t="str">
            <v>GCIA PRODUCTOS DE CONSUMO</v>
          </cell>
        </row>
        <row r="759">
          <cell r="B759" t="str">
            <v>GCIA PRODUCTOS LEASING FINANCIERO</v>
          </cell>
        </row>
        <row r="760">
          <cell r="B760" t="str">
            <v>GCIA PROGRAMAS ESTRATEGICOS  DE ALIANZAS</v>
          </cell>
        </row>
        <row r="761">
          <cell r="B761" t="str">
            <v>GCIA PROYECTOS A</v>
          </cell>
        </row>
        <row r="762">
          <cell r="B762" t="str">
            <v>GCIA PROYECTOS B</v>
          </cell>
        </row>
        <row r="763">
          <cell r="B763" t="str">
            <v>GCIA PROYECTOS C</v>
          </cell>
        </row>
        <row r="764">
          <cell r="B764" t="str">
            <v>GCIA PROYECTOS D</v>
          </cell>
        </row>
        <row r="765">
          <cell r="B765" t="str">
            <v>GCIA PROYECTOS E</v>
          </cell>
        </row>
        <row r="766">
          <cell r="B766" t="str">
            <v>GCIA PROYECTOS F</v>
          </cell>
        </row>
        <row r="767">
          <cell r="B767" t="str">
            <v>GCIA PROYECTOS G</v>
          </cell>
        </row>
        <row r="768">
          <cell r="B768" t="str">
            <v>GCIA PROYECTOS H</v>
          </cell>
        </row>
        <row r="769">
          <cell r="B769" t="str">
            <v>GCIA PROYECTOS I</v>
          </cell>
        </row>
        <row r="770">
          <cell r="B770" t="str">
            <v>GCIA PROYECTOS J</v>
          </cell>
        </row>
        <row r="771">
          <cell r="B771" t="str">
            <v>GCIA PRUEBAS ESPECIALIZADAS</v>
          </cell>
        </row>
        <row r="772">
          <cell r="B772" t="str">
            <v>GCIA PUBLICIDAD Y MERCADEO RELACIONAL</v>
          </cell>
        </row>
        <row r="773">
          <cell r="B773" t="str">
            <v>GCIA QUINDIO Y CENTRO DEL VALLE</v>
          </cell>
        </row>
        <row r="774">
          <cell r="B774" t="str">
            <v>GCIA RAZONABILIDAD CONTABLE FILIALES</v>
          </cell>
        </row>
        <row r="775">
          <cell r="B775" t="str">
            <v>GCIA RAZONABILIDAD CONTABLE Y PDTOS</v>
          </cell>
        </row>
        <row r="776">
          <cell r="B776" t="str">
            <v>GCIA RECUPERACION ACT PNAS NATURALES</v>
          </cell>
        </row>
        <row r="777">
          <cell r="B777" t="str">
            <v>GCIA RECUPERACION ACT PYMES EMP Y GOB</v>
          </cell>
        </row>
        <row r="778">
          <cell r="B778" t="str">
            <v>GCIA RECUPERACION DE ACT REGION ANT</v>
          </cell>
        </row>
        <row r="779">
          <cell r="B779" t="str">
            <v>GCIA RECUPERACION DE ACT REGION BOG</v>
          </cell>
        </row>
        <row r="780">
          <cell r="B780" t="str">
            <v>GCIA RECUPERACION DE ACT REGION CAR</v>
          </cell>
        </row>
        <row r="781">
          <cell r="B781" t="str">
            <v>GCIA RECUPERACION DE ACT REGION CTRO</v>
          </cell>
        </row>
        <row r="782">
          <cell r="B782" t="str">
            <v>GCIA RECUPERACION DE ACT REGION SUR</v>
          </cell>
        </row>
        <row r="783">
          <cell r="B783" t="str">
            <v>GCIA REG HIPOTECARIA CONSTRUCTOR ANTIOQU</v>
          </cell>
        </row>
        <row r="784">
          <cell r="B784" t="str">
            <v>GCIA REG HIPOTECARIA CONSTRUCTOR BOGOTA</v>
          </cell>
        </row>
        <row r="785">
          <cell r="B785" t="str">
            <v>GCIA REG HIPOTECARIA CONSTRUCTOR OTRAS</v>
          </cell>
        </row>
        <row r="786">
          <cell r="B786" t="str">
            <v>GCIA REGIONAL BANCA GOBIERNO</v>
          </cell>
        </row>
        <row r="787">
          <cell r="B787" t="str">
            <v>GCIA REGIONAL BPP ANTIOQUIA</v>
          </cell>
        </row>
        <row r="788">
          <cell r="B788" t="str">
            <v>GCIA REGIONAL BPP BOGOTA</v>
          </cell>
        </row>
        <row r="789">
          <cell r="B789" t="str">
            <v>GCIA REGIONAL BPP CARIBE</v>
          </cell>
        </row>
        <row r="790">
          <cell r="B790" t="str">
            <v>GCIA REGIONAL BPP CENTRO</v>
          </cell>
        </row>
        <row r="791">
          <cell r="B791" t="str">
            <v>GCIA REGIONAL BPP SUR</v>
          </cell>
        </row>
        <row r="792">
          <cell r="B792" t="str">
            <v>GCIA REGIONAL CONSTRUCTOR MEDELLIN</v>
          </cell>
        </row>
        <row r="793">
          <cell r="B793" t="str">
            <v>GCIA REGIONAL NACIONAL SUFI</v>
          </cell>
        </row>
        <row r="794">
          <cell r="B794" t="str">
            <v>GCIA REGULACION Y GESTION</v>
          </cell>
        </row>
        <row r="795">
          <cell r="B795" t="str">
            <v>GCIA RELACION CON INVERSIONISTAS</v>
          </cell>
        </row>
        <row r="796">
          <cell r="B796" t="str">
            <v>GCIA RELACIONAMIENTO HUMANO REGION ANT</v>
          </cell>
        </row>
        <row r="797">
          <cell r="B797" t="str">
            <v>GCIA RELACIONAMIENTO HUMANO REGION BGTA</v>
          </cell>
        </row>
        <row r="798">
          <cell r="B798" t="str">
            <v>GCIA RELACIONAMIENTO HUMANO REGION CARIB</v>
          </cell>
        </row>
        <row r="799">
          <cell r="B799" t="str">
            <v>GCIA RELACIONAMIENTO HUMANO REGION CENT</v>
          </cell>
        </row>
        <row r="800">
          <cell r="B800" t="str">
            <v>GCIA RELACIONAMIENTO HUMANO REGION SUR</v>
          </cell>
        </row>
        <row r="801">
          <cell r="B801" t="str">
            <v>GCIA RELACIONAMIENTO Y FIDELIZACION</v>
          </cell>
        </row>
        <row r="802">
          <cell r="B802" t="str">
            <v>GCIA RELACIONES PUBLICAS Y PROYECC INST</v>
          </cell>
        </row>
        <row r="803">
          <cell r="B803" t="str">
            <v>GCIA RENTA FIJA</v>
          </cell>
        </row>
        <row r="804">
          <cell r="B804" t="str">
            <v>GCIA RENTA VARIABLE ALTERNATIVOS E INTER</v>
          </cell>
        </row>
        <row r="805">
          <cell r="B805" t="str">
            <v>GCIA RENTA VARIABLE Y PORTAFOLIOS</v>
          </cell>
        </row>
        <row r="806">
          <cell r="B806" t="str">
            <v>GCIA RESPONSABILIDAD SOCIAL</v>
          </cell>
        </row>
        <row r="807">
          <cell r="B807" t="str">
            <v>GCIA RGO TARJETA DE CREDITO Y CONSUMO</v>
          </cell>
        </row>
        <row r="808">
          <cell r="B808" t="str">
            <v>GCIA RIESGO  EMPRESAS Y GOBIERNO</v>
          </cell>
        </row>
        <row r="809">
          <cell r="B809" t="str">
            <v>GCIA RIESGO ADMINISTRACION DE ACTIVOS</v>
          </cell>
        </row>
        <row r="810">
          <cell r="B810" t="str">
            <v>GCIA RIESGO CREDITO BANCA EMPRESAS</v>
          </cell>
        </row>
        <row r="811">
          <cell r="B811" t="str">
            <v>GCIA RIESGO CREDITO LEASING</v>
          </cell>
        </row>
        <row r="812">
          <cell r="B812" t="str">
            <v>GCIA RIESGO CREDITO MERK CAPITALES</v>
          </cell>
        </row>
        <row r="813">
          <cell r="B813" t="str">
            <v>GCIA RIESGO CREDITO TESORERIA</v>
          </cell>
        </row>
        <row r="814">
          <cell r="B814" t="str">
            <v>GCIA RIESGO DE CREDITO SUFI</v>
          </cell>
        </row>
        <row r="815">
          <cell r="B815" t="str">
            <v>GCIA RIESGO DE MERCADO  LIBRO BANCARIO</v>
          </cell>
        </row>
        <row r="816">
          <cell r="B816" t="str">
            <v>GCIA RIESGO DE MERCADO LIBRO TESORERIA</v>
          </cell>
        </row>
        <row r="817">
          <cell r="B817" t="str">
            <v>GCIA RIESGO DISTRIBUCION Y VENTAS</v>
          </cell>
        </row>
        <row r="818">
          <cell r="B818" t="str">
            <v>GCIA RIESGO LIQUIDEZ Y TASAS DE INTERES</v>
          </cell>
        </row>
        <row r="819">
          <cell r="B819" t="str">
            <v>GCIA RIESGO OPER NEGOCIO MERK CAPITALES</v>
          </cell>
        </row>
        <row r="820">
          <cell r="B820" t="str">
            <v>GCIA RIESGO OPER TESORERIA COMEX Y BANCA</v>
          </cell>
        </row>
        <row r="821">
          <cell r="B821" t="str">
            <v>GCIA RIESGO OPERACIONAL  APOYO CORP</v>
          </cell>
        </row>
        <row r="822">
          <cell r="B822" t="str">
            <v>GCIA RIESGO OPERACIONAL FIDUCIARIA</v>
          </cell>
        </row>
        <row r="823">
          <cell r="B823" t="str">
            <v>GCIA RIESGO OPERACIONAL NEGOCIO CREDITO</v>
          </cell>
        </row>
        <row r="824">
          <cell r="B824" t="str">
            <v>GCIA RIESGO OPERACIONAL NEGOCIO FIDUCIA</v>
          </cell>
        </row>
        <row r="825">
          <cell r="B825" t="str">
            <v>GCIA RIESGO VALORES</v>
          </cell>
        </row>
        <row r="826">
          <cell r="B826" t="str">
            <v>GCIA RIESGOS PYME</v>
          </cell>
        </row>
        <row r="827">
          <cell r="B827" t="str">
            <v>GCIA RO INTERMEDIACION  FINANCIERA</v>
          </cell>
        </row>
        <row r="828">
          <cell r="B828" t="str">
            <v>GCIA SEGMENTO AGROINDUSTRIA</v>
          </cell>
        </row>
        <row r="829">
          <cell r="B829" t="str">
            <v>GCIA SEGMENTO COMERCIO</v>
          </cell>
        </row>
        <row r="830">
          <cell r="B830" t="str">
            <v>GCIA SEGMENTO CONSTRUCCION</v>
          </cell>
        </row>
        <row r="831">
          <cell r="B831" t="str">
            <v>GCIA SEGMENTO CONSTRUCCION Y TRANSPORTE</v>
          </cell>
        </row>
        <row r="832">
          <cell r="B832" t="str">
            <v>GCIA SEGMENTO EMPLEADOS Y SENIOR</v>
          </cell>
        </row>
        <row r="833">
          <cell r="B833" t="str">
            <v>GCIA SEGMENTO GOBIERNO</v>
          </cell>
        </row>
        <row r="834">
          <cell r="B834" t="str">
            <v>GCIA SEGMENTO GOBIERNO DE RED</v>
          </cell>
        </row>
        <row r="835">
          <cell r="B835" t="str">
            <v>GCIA SEGMENTO MANUFACTURA INSUMOS</v>
          </cell>
        </row>
        <row r="836">
          <cell r="B836" t="str">
            <v>GCIA SEGMENTO MICRO PYME</v>
          </cell>
        </row>
        <row r="837">
          <cell r="B837" t="str">
            <v>GCIA SEGMENTO PREFERENCIAL</v>
          </cell>
        </row>
        <row r="838">
          <cell r="B838" t="str">
            <v>GCIA SEGMENTO PYME</v>
          </cell>
        </row>
        <row r="839">
          <cell r="B839" t="str">
            <v>GCIA SEGMENTO PYME MEDIANA</v>
          </cell>
        </row>
        <row r="840">
          <cell r="B840" t="str">
            <v>GCIA SEGMENTO REC NTURLES Y MED DE COM</v>
          </cell>
        </row>
        <row r="841">
          <cell r="B841" t="str">
            <v>GCIA SEGMENTO SERVICIOS FCROS Y NO FCROS</v>
          </cell>
        </row>
        <row r="842">
          <cell r="B842" t="str">
            <v>GCIA SERV ADMINISTRATIVOS A EMPLEADOS</v>
          </cell>
        </row>
        <row r="843">
          <cell r="B843" t="str">
            <v>GCIA SERV ADMON DE VALORES E INVERSIONES</v>
          </cell>
        </row>
        <row r="844">
          <cell r="B844" t="str">
            <v>GCIA SERV ADMON FONDOS Y MEDIOS DE PAGO</v>
          </cell>
        </row>
        <row r="845">
          <cell r="B845" t="str">
            <v>GCIA SERV PROCESOS ESPECIALES LEASING</v>
          </cell>
        </row>
        <row r="846">
          <cell r="B846" t="str">
            <v>GCIA SERVICIO EN SUCURSALES</v>
          </cell>
        </row>
        <row r="847">
          <cell r="B847" t="str">
            <v>GCIA SERVICIO EN SUCURSALES ANTIOQUIA</v>
          </cell>
        </row>
        <row r="848">
          <cell r="B848" t="str">
            <v>GCIA SERVICIO EN SUCURSALES BOGOTA</v>
          </cell>
        </row>
        <row r="849">
          <cell r="B849" t="str">
            <v>GCIA SERVICIO EN SUCURSALES CARIBE</v>
          </cell>
        </row>
        <row r="850">
          <cell r="B850" t="str">
            <v>GCIA SERVICIO EN SUCURSALES CENTRO</v>
          </cell>
        </row>
        <row r="851">
          <cell r="B851" t="str">
            <v>GCIA SERVICIO EN SUCURSALES SUR</v>
          </cell>
        </row>
        <row r="852">
          <cell r="B852" t="str">
            <v>GCIA SERVICIO SUCURSALES Y AUTOSERVICIO</v>
          </cell>
        </row>
        <row r="853">
          <cell r="B853" t="str">
            <v>GCIA SERVICIOS A COLOMBIANOS EN EL EXTER</v>
          </cell>
        </row>
        <row r="854">
          <cell r="B854" t="str">
            <v>GCIA SERVICIOS A PROYECTOS Y CAPACIDAD</v>
          </cell>
        </row>
        <row r="855">
          <cell r="B855" t="str">
            <v>GCIA SERVICIOS CANAL TELEFONICOS</v>
          </cell>
        </row>
        <row r="856">
          <cell r="B856" t="str">
            <v>GCIA SERVICIOS CANALES VIRTUALES Y ELECT</v>
          </cell>
        </row>
        <row r="857">
          <cell r="B857" t="str">
            <v>GCIA SERVICIOS DE ABASTECIMIENTO</v>
          </cell>
        </row>
        <row r="858">
          <cell r="B858" t="str">
            <v>GCIA SERVICIOS DE CARTERA</v>
          </cell>
        </row>
        <row r="859">
          <cell r="B859" t="str">
            <v>GCIA SERVICIOS DE MERCADEO BEG</v>
          </cell>
        </row>
        <row r="860">
          <cell r="B860" t="str">
            <v>GCIA SERVICIOS DE MERCADEO EMPR Y GOB</v>
          </cell>
        </row>
        <row r="861">
          <cell r="B861" t="str">
            <v>GCIA SERVICIOS DE MERCADEO HIPOTECARIA</v>
          </cell>
        </row>
        <row r="862">
          <cell r="B862" t="str">
            <v>GCIA SERVICIOS DE MERCADEO SUFI</v>
          </cell>
        </row>
        <row r="863">
          <cell r="B863" t="str">
            <v>GCIA SERVICIOS EN  MEDIOS DE PAGO</v>
          </cell>
        </row>
        <row r="864">
          <cell r="B864" t="str">
            <v>GCIA SERVICIOS MERCADEO MEDIOS DE PAGO</v>
          </cell>
        </row>
        <row r="865">
          <cell r="B865" t="str">
            <v>GCIA SERVICIOS PARA  MERCADO CAMBIARIO</v>
          </cell>
        </row>
        <row r="866">
          <cell r="B866" t="str">
            <v>GCIA SERVICIOS REGIONAL ANTIOQUIA</v>
          </cell>
        </row>
        <row r="867">
          <cell r="B867" t="str">
            <v>GCIA SERVICIOS Y RELACIONES HIPOTECARIA</v>
          </cell>
        </row>
        <row r="868">
          <cell r="B868" t="str">
            <v>GCIA SINERGIAS COMERCIALES</v>
          </cell>
        </row>
        <row r="869">
          <cell r="B869" t="str">
            <v>GCIA SINERGIAS INTERNACIONALES</v>
          </cell>
        </row>
        <row r="870">
          <cell r="B870" t="str">
            <v>GCIA SISTEMAS DE INFORMACION FINANCIERA</v>
          </cell>
        </row>
        <row r="871">
          <cell r="B871" t="str">
            <v>GCIA SOCIEDADES DE SERVICIOS FINANCIEROS</v>
          </cell>
        </row>
        <row r="872">
          <cell r="B872" t="str">
            <v>GCIA SOLUCIONES CANALES SUCURSALES CNB</v>
          </cell>
        </row>
        <row r="873">
          <cell r="B873" t="str">
            <v>GCIA SOLUCIONES DE PRODUCTIVIDAD</v>
          </cell>
        </row>
        <row r="874">
          <cell r="B874" t="str">
            <v>GCIA SOPORTE ESPECIALIZADO</v>
          </cell>
        </row>
        <row r="875">
          <cell r="B875" t="str">
            <v>GCIA SOSTENIBILIDAD</v>
          </cell>
        </row>
        <row r="876">
          <cell r="B876" t="str">
            <v>GCIA TACTICA URA REGION CENTRO</v>
          </cell>
        </row>
        <row r="877">
          <cell r="B877" t="str">
            <v>GCIA TECNICA FONDO INMOBILIARIO</v>
          </cell>
        </row>
        <row r="878">
          <cell r="B878" t="str">
            <v>GCIA TECNOLOGIA</v>
          </cell>
        </row>
        <row r="879">
          <cell r="B879" t="str">
            <v>GCIA TESORERIA LEASING</v>
          </cell>
        </row>
        <row r="880">
          <cell r="B880" t="str">
            <v>GCIA URA ZONA AGENCIAS</v>
          </cell>
        </row>
        <row r="881">
          <cell r="B881" t="str">
            <v>GCIA URA ZONA BUCARAMANGA</v>
          </cell>
        </row>
        <row r="882">
          <cell r="B882" t="str">
            <v>GCIA URA ZONA CALI NRT Y SUR DEL VALLE 1</v>
          </cell>
        </row>
        <row r="883">
          <cell r="B883" t="str">
            <v>GCIA URA ZONA CALI NRT Y SUR DEL VALLE 2</v>
          </cell>
        </row>
        <row r="884">
          <cell r="B884" t="str">
            <v>GCIA URA ZONA CAUCA Y NARIÑO</v>
          </cell>
        </row>
        <row r="885">
          <cell r="B885" t="str">
            <v>GCIA URA ZONA CELULA Y NUCLEO</v>
          </cell>
        </row>
        <row r="886">
          <cell r="B886" t="str">
            <v>GCIA URA ZONA EJE NORTE</v>
          </cell>
        </row>
        <row r="887">
          <cell r="B887" t="str">
            <v>GCIA URA ZONA EJE SUR</v>
          </cell>
        </row>
        <row r="888">
          <cell r="B888" t="str">
            <v>GCIA URA ZONA LEASING</v>
          </cell>
        </row>
        <row r="889">
          <cell r="B889" t="str">
            <v>GCIA URA ZONA LLANOS Y BOYACA</v>
          </cell>
        </row>
        <row r="890">
          <cell r="B890" t="str">
            <v>GCIA URA ZONA NORTE SANTANDER Y SNTANDER</v>
          </cell>
        </row>
        <row r="891">
          <cell r="B891" t="str">
            <v>GCIA URA ZONA SUR COLOMBIANA Y TOLIMA</v>
          </cell>
        </row>
        <row r="892">
          <cell r="B892" t="str">
            <v>GCIA VENDOR PROGRAM</v>
          </cell>
        </row>
        <row r="893">
          <cell r="B893" t="str">
            <v>GCIA VENTAS SUFI CENTRO</v>
          </cell>
        </row>
        <row r="894">
          <cell r="B894" t="str">
            <v>GCIA VENTAS SUFI CENTRO 2</v>
          </cell>
        </row>
        <row r="895">
          <cell r="B895" t="str">
            <v>GCIA ZONA  1 BOGOTA BCA EMPRESARIAL</v>
          </cell>
        </row>
        <row r="896">
          <cell r="B896" t="str">
            <v>GCIA ZONA  2  BOGOTA BCA EMPRESARIAL</v>
          </cell>
        </row>
        <row r="897">
          <cell r="B897" t="str">
            <v>GCIA ZONA  ANTIOQUIA</v>
          </cell>
        </row>
        <row r="898">
          <cell r="B898" t="str">
            <v>GCIA ZONA 1 ANTIOQUIA BCA EMPRESARIAL</v>
          </cell>
        </row>
        <row r="899">
          <cell r="B899" t="str">
            <v>GCIA ZONA ANTIOQUIA BCA PYMES</v>
          </cell>
        </row>
        <row r="900">
          <cell r="B900" t="str">
            <v>GCIA ZONA BANCA PRIVADA ANTIOQUIA</v>
          </cell>
        </row>
        <row r="901">
          <cell r="B901" t="str">
            <v>GCIA ZONA BANCA PRIVADA BOGOTA Y CENTRO</v>
          </cell>
        </row>
        <row r="902">
          <cell r="B902" t="str">
            <v>GCIA ZONA BANCA PRIVADA CARIBE</v>
          </cell>
        </row>
        <row r="903">
          <cell r="B903" t="str">
            <v>GCIA ZONA BANCA PRIVADA SUR</v>
          </cell>
        </row>
        <row r="904">
          <cell r="B904" t="str">
            <v>GCIA ZONA BANCA SUPERMERCADO BPP BOGOTA</v>
          </cell>
        </row>
        <row r="905">
          <cell r="B905" t="str">
            <v>GCIA ZONA BARRANQUILLA 2 BPP CARIBE</v>
          </cell>
        </row>
        <row r="906">
          <cell r="B906" t="str">
            <v>GCIA ZONA BARRANQUILLA BPP CARIBE</v>
          </cell>
        </row>
        <row r="907">
          <cell r="B907" t="str">
            <v>GCIA ZONA BOGOTA</v>
          </cell>
        </row>
        <row r="908">
          <cell r="B908" t="str">
            <v>GCIA ZONA BOGOTA BCA PYMES 1</v>
          </cell>
        </row>
        <row r="909">
          <cell r="B909" t="str">
            <v>GCIA ZONA BOGOTA BCA PYMES 2</v>
          </cell>
        </row>
        <row r="910">
          <cell r="B910" t="str">
            <v>GCIA ZONA BOYACA BPP CENTRO</v>
          </cell>
        </row>
        <row r="911">
          <cell r="B911" t="str">
            <v>GCIA ZONA BUCARAMANGA BPP CENTRO</v>
          </cell>
        </row>
        <row r="912">
          <cell r="B912" t="str">
            <v>GCIA ZONA CALI NORTE BPP SUR</v>
          </cell>
        </row>
        <row r="913">
          <cell r="B913" t="str">
            <v>GCIA ZONA CALI SUR BPP SUR</v>
          </cell>
        </row>
        <row r="914">
          <cell r="B914" t="str">
            <v>GCIA ZONA CARIBE</v>
          </cell>
        </row>
        <row r="915">
          <cell r="B915" t="str">
            <v>GCIA ZONA CARIBE BCA PYMES</v>
          </cell>
        </row>
        <row r="916">
          <cell r="B916" t="str">
            <v>GCIA ZONA CARIBE BQUILLA BCA EMPRESARIAL</v>
          </cell>
        </row>
        <row r="917">
          <cell r="B917" t="str">
            <v>GCIA ZONA CARIBE CARTAGENA BCA EMPRESARI</v>
          </cell>
        </row>
        <row r="918">
          <cell r="B918" t="str">
            <v>GCIA ZONA CARTAGENA BPP CARIBE</v>
          </cell>
        </row>
        <row r="919">
          <cell r="B919" t="str">
            <v>GCIA ZONA CENTRO</v>
          </cell>
        </row>
        <row r="920">
          <cell r="B920" t="str">
            <v>GCIA ZONA CENTRO BCA PYMES</v>
          </cell>
        </row>
        <row r="921">
          <cell r="B921" t="str">
            <v>GCIA ZONA CENTRO BPP ANTIOQUIA</v>
          </cell>
        </row>
        <row r="922">
          <cell r="B922" t="str">
            <v>GCIA ZONA CENTRO BPP BOGOTA</v>
          </cell>
        </row>
        <row r="923">
          <cell r="B923" t="str">
            <v>GCIA ZONA CUCUTA BPP CENTRO</v>
          </cell>
        </row>
        <row r="924">
          <cell r="B924" t="str">
            <v>GCIA ZONA EJE CAFETERO BPP SUR</v>
          </cell>
        </row>
        <row r="925">
          <cell r="B925" t="str">
            <v>GCIA ZONA EJE CAFETERO NORTE BPP SUR</v>
          </cell>
        </row>
        <row r="926">
          <cell r="B926" t="str">
            <v>GCIA ZONA EMPRESA SUR</v>
          </cell>
        </row>
        <row r="927">
          <cell r="B927" t="str">
            <v>GCIA ZONA EMPRESA Y GOB SUR</v>
          </cell>
        </row>
        <row r="928">
          <cell r="B928" t="str">
            <v>GCIA ZONA EMPRESAS  ANTIOQUIA</v>
          </cell>
        </row>
        <row r="929">
          <cell r="B929" t="str">
            <v>GCIA ZONA EMPRESAS  BOGOTA Y CENTRO</v>
          </cell>
        </row>
        <row r="930">
          <cell r="B930" t="str">
            <v>GCIA ZONA EMPRESAS CARIBE</v>
          </cell>
        </row>
        <row r="931">
          <cell r="B931" t="str">
            <v>GCIA ZONA EMPRESAS Y GOB ANTIOQUIA</v>
          </cell>
        </row>
        <row r="932">
          <cell r="B932" t="str">
            <v>GCIA ZONA EMPRESAS Y GOB BOGOTA</v>
          </cell>
        </row>
        <row r="933">
          <cell r="B933" t="str">
            <v>GCIA ZONA EMPRESAS Y GOBIERNO CARIBE</v>
          </cell>
        </row>
        <row r="934">
          <cell r="B934" t="str">
            <v>GCIA ZONA ESPECIALISTAS ANT BCA EMPRESA</v>
          </cell>
        </row>
        <row r="935">
          <cell r="B935" t="str">
            <v>GCIA ZONA ESPECIALISTAS BOGOTA BCA EMPRE</v>
          </cell>
        </row>
        <row r="936">
          <cell r="B936" t="str">
            <v>GCIA ZONA GCIAMTO ESPECIALIZADO PYME ANT</v>
          </cell>
        </row>
        <row r="937">
          <cell r="B937" t="str">
            <v>GCIA ZONA GERENCIAMIENTO  BPP BOGOTA</v>
          </cell>
        </row>
        <row r="938">
          <cell r="B938" t="str">
            <v>GCIA ZONA IBAGUE BPP CENTRO</v>
          </cell>
        </row>
        <row r="939">
          <cell r="B939" t="str">
            <v>GCIA ZONA INDUSTRIAL BPP BOGOTA</v>
          </cell>
        </row>
        <row r="940">
          <cell r="B940" t="str">
            <v>GCIA ZONA META BPP CENTRO</v>
          </cell>
        </row>
        <row r="941">
          <cell r="B941" t="str">
            <v>GCIA ZONA METROPOLITANA BPP ANTIOQUIA</v>
          </cell>
        </row>
        <row r="942">
          <cell r="B942" t="str">
            <v>GCIA ZONA METROPOLITANA BPP BOGOTA</v>
          </cell>
        </row>
        <row r="943">
          <cell r="B943" t="str">
            <v>GCIA ZONA NARIÑO BPP SUR</v>
          </cell>
        </row>
        <row r="944">
          <cell r="B944" t="str">
            <v>GCIA ZONA NEIVA BPP CENTRO</v>
          </cell>
        </row>
        <row r="945">
          <cell r="B945" t="str">
            <v>GCIA ZONA NOROCCIDENTE BPP BOGOTA</v>
          </cell>
        </row>
        <row r="946">
          <cell r="B946" t="str">
            <v>GCIA ZONA NORTE BPP ANTIOQUIA</v>
          </cell>
        </row>
        <row r="947">
          <cell r="B947" t="str">
            <v>GCIA ZONA NORTE BPP BOGOTA</v>
          </cell>
        </row>
        <row r="948">
          <cell r="B948" t="str">
            <v>GCIA ZONA NORTE DE SANTANDER BPP CENTRO</v>
          </cell>
        </row>
        <row r="949">
          <cell r="B949" t="str">
            <v>GCIA ZONA OCCIDENTE BPP ANTIOQUIA</v>
          </cell>
        </row>
        <row r="950">
          <cell r="B950" t="str">
            <v>GCIA ZONA OCCIDENTE BPP BOGOTA</v>
          </cell>
        </row>
        <row r="951">
          <cell r="B951" t="str">
            <v>GCIA ZONA ORIENTE BPP BOGOTA</v>
          </cell>
        </row>
        <row r="952">
          <cell r="B952" t="str">
            <v>GCIA ZONA ORINOQUIA Y AMAZONIA BPP CENTR</v>
          </cell>
        </row>
        <row r="953">
          <cell r="B953" t="str">
            <v>GCIA ZONA PERIFERICA BPP ANTIOQUIA</v>
          </cell>
        </row>
        <row r="954">
          <cell r="B954" t="str">
            <v>GCIA ZONA POBLADO BPP ANTIOQUIA</v>
          </cell>
        </row>
        <row r="955">
          <cell r="B955" t="str">
            <v>GCIA ZONA PREFERENCIAL  BPP ANTIOQUIA</v>
          </cell>
        </row>
        <row r="956">
          <cell r="B956" t="str">
            <v>GCIA ZONA PROVEEDORES ACTIVO RESTO PAIS</v>
          </cell>
        </row>
        <row r="957">
          <cell r="B957" t="str">
            <v>GCIA ZONA PYME ANTIOQUIA</v>
          </cell>
        </row>
        <row r="958">
          <cell r="B958" t="str">
            <v>GCIA ZONA PYME BOGOTA Y CENTRO</v>
          </cell>
        </row>
        <row r="959">
          <cell r="B959" t="str">
            <v>GCIA ZONA PYME CARIBE</v>
          </cell>
        </row>
        <row r="960">
          <cell r="B960" t="str">
            <v>GCIA ZONA PYME SUR Y EJE CAFETERO</v>
          </cell>
        </row>
        <row r="961">
          <cell r="B961" t="str">
            <v>GCIA ZONA QUIN Y CTRO DEL VALLE BPP SUR</v>
          </cell>
        </row>
        <row r="962">
          <cell r="B962" t="str">
            <v>GCIA ZONA SABANA BPP BOGOTA</v>
          </cell>
        </row>
        <row r="963">
          <cell r="B963" t="str">
            <v>GCIA ZONA SANTANDER BPP CENTRO</v>
          </cell>
        </row>
        <row r="964">
          <cell r="B964" t="str">
            <v>GCIA ZONA SANTANDERES</v>
          </cell>
        </row>
        <row r="965">
          <cell r="B965" t="str">
            <v>GCIA ZONA SIERRA NEVADA BPP CARIBE</v>
          </cell>
        </row>
        <row r="966">
          <cell r="B966" t="str">
            <v>GCIA ZONA SINU Y SABANAS BPP CARIBE</v>
          </cell>
        </row>
        <row r="967">
          <cell r="B967" t="str">
            <v>GCIA ZONA SUR</v>
          </cell>
        </row>
        <row r="968">
          <cell r="B968" t="str">
            <v>GCIA ZONA SUR BCA EMPRESARIAL</v>
          </cell>
        </row>
        <row r="969">
          <cell r="B969" t="str">
            <v>GCIA ZONA SUR BCA PYMES</v>
          </cell>
        </row>
        <row r="970">
          <cell r="B970" t="str">
            <v>GCIA ZONA SUR BPP ANTIOQUIA</v>
          </cell>
        </row>
        <row r="971">
          <cell r="B971" t="str">
            <v>GCIA ZONA SURCOLOMBIANA BPP CENTRO</v>
          </cell>
        </row>
        <row r="972">
          <cell r="B972" t="str">
            <v>GCIA ZONA SUROCCIDENTE BPP BOGOTA</v>
          </cell>
        </row>
        <row r="973">
          <cell r="B973" t="str">
            <v>GCIA ZONA TOLIMA BPP CENTRO</v>
          </cell>
        </row>
        <row r="974">
          <cell r="B974" t="str">
            <v>GCIA ZONA TUNJA BPP CENTRO</v>
          </cell>
        </row>
        <row r="975">
          <cell r="B975" t="str">
            <v>GCIA ZONA VALLE BPP SUR</v>
          </cell>
        </row>
        <row r="976">
          <cell r="B976" t="str">
            <v>GCIA ZONA VALLE DE ABURRA BPP ANTIOQUIA</v>
          </cell>
        </row>
        <row r="977">
          <cell r="B977" t="str">
            <v>GCIAMIENTO ESPCIALIZADO PYME BUCARAMANGA</v>
          </cell>
        </row>
        <row r="978">
          <cell r="B978" t="str">
            <v>GCIAMIENTO ESPECIALIZADO PYME B/QUILLA</v>
          </cell>
        </row>
        <row r="979">
          <cell r="B979" t="str">
            <v>GCIAMIENTO ESPECIALIZADO PYME CALI</v>
          </cell>
        </row>
        <row r="980">
          <cell r="B980" t="str">
            <v>GCIAMIENTO ESPECIALIZADO PYME CARTAGENA</v>
          </cell>
        </row>
        <row r="981">
          <cell r="B981" t="str">
            <v>GERENCIA DE DESARROLLO  DE SERVICIOS</v>
          </cell>
        </row>
        <row r="982">
          <cell r="B982" t="str">
            <v>GESTION DOCUMENTAL BARRANQUILLA</v>
          </cell>
        </row>
        <row r="983">
          <cell r="B983" t="str">
            <v>GESTION DOCUMENTAL CALI</v>
          </cell>
        </row>
        <row r="984">
          <cell r="B984" t="str">
            <v>GESTION FINANCIERA</v>
          </cell>
        </row>
        <row r="985">
          <cell r="B985" t="str">
            <v>GICA ME BPP ZONA METROPOLITANA  ANT</v>
          </cell>
        </row>
        <row r="986">
          <cell r="B986" t="str">
            <v>HUB</v>
          </cell>
        </row>
        <row r="987">
          <cell r="B987" t="str">
            <v>HUB DE INFORMACION</v>
          </cell>
        </row>
        <row r="988">
          <cell r="B988" t="str">
            <v>INTEGRACION</v>
          </cell>
        </row>
        <row r="989">
          <cell r="B989" t="str">
            <v>LEASING</v>
          </cell>
        </row>
        <row r="990">
          <cell r="B990" t="str">
            <v>MESA CAMBIOS</v>
          </cell>
        </row>
        <row r="991">
          <cell r="B991" t="str">
            <v>MESA CORPORATIVA BARRANQUILLA</v>
          </cell>
        </row>
        <row r="992">
          <cell r="B992" t="str">
            <v>MESA CORPORATIVA BOGOTA</v>
          </cell>
        </row>
        <row r="993">
          <cell r="B993" t="str">
            <v>MESA CORPORATIVA CALI</v>
          </cell>
        </row>
        <row r="994">
          <cell r="B994" t="str">
            <v>MESA CORPORATIVA MEDELLIN</v>
          </cell>
        </row>
        <row r="995">
          <cell r="B995" t="str">
            <v>MESA DERIVADOS</v>
          </cell>
        </row>
        <row r="996">
          <cell r="B996" t="str">
            <v>MESA DINERO</v>
          </cell>
        </row>
        <row r="997">
          <cell r="B997" t="str">
            <v>MESA DIVISAS</v>
          </cell>
        </row>
        <row r="998">
          <cell r="B998" t="str">
            <v>MESA INSTITUCIONAL</v>
          </cell>
        </row>
        <row r="999">
          <cell r="B999" t="str">
            <v>MESA PYME BOGOTA</v>
          </cell>
        </row>
        <row r="1000">
          <cell r="B1000" t="str">
            <v>MESA RENTA VARIABLE E INTERNAL</v>
          </cell>
        </row>
        <row r="1001">
          <cell r="B1001" t="str">
            <v>MESA SERVICIOS FINANCIERO</v>
          </cell>
        </row>
        <row r="1002">
          <cell r="B1002" t="str">
            <v>MESA TASA DE INTERES</v>
          </cell>
        </row>
        <row r="1003">
          <cell r="B1003" t="str">
            <v>MESA TASAS DE INTERES</v>
          </cell>
        </row>
        <row r="1004">
          <cell r="B1004" t="str">
            <v>MI NEGOCIO 20 DE JULIO</v>
          </cell>
        </row>
        <row r="1005">
          <cell r="B1005" t="str">
            <v>MI NEGOCIO ALCALDIA ARMENIA</v>
          </cell>
        </row>
        <row r="1006">
          <cell r="B1006" t="str">
            <v>MI NEGOCIO BOSA</v>
          </cell>
        </row>
        <row r="1007">
          <cell r="B1007" t="str">
            <v>MI NEGOCIO CARIBE</v>
          </cell>
        </row>
        <row r="1008">
          <cell r="B1008" t="str">
            <v>MI NEGOCIO CARRERA 23</v>
          </cell>
        </row>
        <row r="1009">
          <cell r="B1009" t="str">
            <v>MI NEGOCIO CARRERA OCTAVA</v>
          </cell>
        </row>
        <row r="1010">
          <cell r="B1010" t="str">
            <v>MI NEGOCIO CARRERA PRIMERA</v>
          </cell>
        </row>
        <row r="1011">
          <cell r="B1011" t="str">
            <v>MI NEGOCIO CARTAGENA</v>
          </cell>
        </row>
        <row r="1012">
          <cell r="B1012" t="str">
            <v>MI NEGOCIO EL LAGO</v>
          </cell>
        </row>
        <row r="1013">
          <cell r="B1013" t="str">
            <v>MI NEGOCIO GIRON</v>
          </cell>
        </row>
        <row r="1014">
          <cell r="B1014" t="str">
            <v>MI NEGOCIO ITAGUI</v>
          </cell>
        </row>
        <row r="1015">
          <cell r="B1015" t="str">
            <v>MI NEGOCIO LAS FERIAS</v>
          </cell>
        </row>
        <row r="1016">
          <cell r="B1016" t="str">
            <v>MI NEGOCIO LIBERTADOR</v>
          </cell>
        </row>
        <row r="1017">
          <cell r="B1017" t="str">
            <v>MI NEGOCIO MONTERIA</v>
          </cell>
        </row>
        <row r="1018">
          <cell r="B1018" t="str">
            <v>MI NEGOCIO MURILLO</v>
          </cell>
        </row>
        <row r="1019">
          <cell r="B1019" t="str">
            <v>MI NEGOCIO PALMIRA</v>
          </cell>
        </row>
        <row r="1020">
          <cell r="B1020" t="str">
            <v>MI NEGOCIO PARQUE BOLIVAR</v>
          </cell>
        </row>
        <row r="1021">
          <cell r="B1021" t="str">
            <v>MI NEGOCIO PUENTE ARANDA</v>
          </cell>
        </row>
        <row r="1022">
          <cell r="B1022" t="str">
            <v>MI NEGOCIO RIONEGRO</v>
          </cell>
        </row>
        <row r="1023">
          <cell r="B1023" t="str">
            <v>MI NEGOCIO SAN FERNANDO</v>
          </cell>
        </row>
        <row r="1024">
          <cell r="B1024" t="str">
            <v>MI NEGOCIO SANTA MARTA</v>
          </cell>
        </row>
        <row r="1025">
          <cell r="B1025" t="str">
            <v>MI NEGOCIO SOLEDAD</v>
          </cell>
        </row>
        <row r="1026">
          <cell r="B1026" t="str">
            <v>MI NEGOCIO SUBA</v>
          </cell>
        </row>
        <row r="1027">
          <cell r="B1027" t="str">
            <v>MI NEGOCIO TOBERIN</v>
          </cell>
        </row>
        <row r="1028">
          <cell r="B1028" t="str">
            <v>MI NEGOCIO TULUA</v>
          </cell>
        </row>
        <row r="1029">
          <cell r="B1029" t="str">
            <v>MI NEGOCIO VALLEDUPAR</v>
          </cell>
        </row>
        <row r="1030">
          <cell r="B1030" t="str">
            <v>MIGRACION CORE</v>
          </cell>
        </row>
        <row r="1031">
          <cell r="B1031" t="str">
            <v>MIGRACION CORE Y CRM</v>
          </cell>
        </row>
        <row r="1032">
          <cell r="B1032" t="str">
            <v>MIGRACION TARJETAS</v>
          </cell>
        </row>
        <row r="1033">
          <cell r="B1033" t="str">
            <v>MIGRACION TESORERIA</v>
          </cell>
        </row>
        <row r="1034">
          <cell r="B1034" t="str">
            <v>OFICINA IMPLEMENTACION DE ESTRUCTURA</v>
          </cell>
        </row>
        <row r="1035">
          <cell r="B1035" t="str">
            <v>OPERACIONES Y CANALES</v>
          </cell>
        </row>
        <row r="1036">
          <cell r="B1036" t="str">
            <v>PASIVOS</v>
          </cell>
        </row>
        <row r="1037">
          <cell r="B1037" t="str">
            <v>PMO INNOVA</v>
          </cell>
        </row>
        <row r="1038">
          <cell r="B1038" t="str">
            <v>PMO PRODUCTOS Y CANALES</v>
          </cell>
        </row>
        <row r="1039">
          <cell r="B1039" t="str">
            <v>POSICION PROPIA</v>
          </cell>
        </row>
        <row r="1040">
          <cell r="B1040" t="str">
            <v>PRESIDENCIA</v>
          </cell>
        </row>
        <row r="1041">
          <cell r="B1041" t="str">
            <v>PRESIDENCIA LEASING</v>
          </cell>
        </row>
        <row r="1042">
          <cell r="B1042" t="str">
            <v>PRESIDENCIA VALORES</v>
          </cell>
        </row>
        <row r="1043">
          <cell r="B1043" t="str">
            <v>PROC CCIALES DE APERT Y NOVEDADES PDTOS</v>
          </cell>
        </row>
        <row r="1044">
          <cell r="B1044" t="str">
            <v>PROCESOS</v>
          </cell>
        </row>
        <row r="1045">
          <cell r="B1045" t="str">
            <v>PROCESOS CANALES</v>
          </cell>
        </row>
        <row r="1046">
          <cell r="B1046" t="str">
            <v>PROCESOS CARTERA Y TRADE</v>
          </cell>
        </row>
        <row r="1047">
          <cell r="B1047" t="str">
            <v>PROCESOS CLIENTES</v>
          </cell>
        </row>
        <row r="1048">
          <cell r="B1048" t="str">
            <v>PROCESOS CONTABLES Y FINANCIEROS</v>
          </cell>
        </row>
        <row r="1049">
          <cell r="B1049" t="str">
            <v>PROCESOS PAGOS</v>
          </cell>
        </row>
        <row r="1050">
          <cell r="B1050" t="str">
            <v>PROCESOS PASIVOS</v>
          </cell>
        </row>
        <row r="1051">
          <cell r="B1051" t="str">
            <v>PROCESOS SOPORTE APOYO Y FINANCIERO</v>
          </cell>
        </row>
        <row r="1052">
          <cell r="B1052" t="str">
            <v>PROCESOS TARJETAS</v>
          </cell>
        </row>
        <row r="1053">
          <cell r="B1053" t="str">
            <v>PROCESOS TESORERIA</v>
          </cell>
        </row>
        <row r="1054">
          <cell r="B1054" t="str">
            <v>PROYECTO INNOVA</v>
          </cell>
        </row>
        <row r="1055">
          <cell r="B1055" t="str">
            <v>REGIONAL OPERATIVA ANTIOQUIA</v>
          </cell>
        </row>
        <row r="1056">
          <cell r="B1056" t="str">
            <v>REGIONAL OPERATIVA SUR</v>
          </cell>
        </row>
        <row r="1057">
          <cell r="B1057" t="str">
            <v>SEC DLLO BANCA ELECTRONICA</v>
          </cell>
        </row>
        <row r="1058">
          <cell r="B1058" t="str">
            <v>SEC SERVICIO Y CONOCIMIENTO DEL CLIENTE</v>
          </cell>
        </row>
        <row r="1059">
          <cell r="B1059" t="str">
            <v>SEC SOPORTE EN SITIO</v>
          </cell>
        </row>
        <row r="1060">
          <cell r="B1060" t="str">
            <v>SECC CONTROL Y ASESORIA FINANCIERA EMP</v>
          </cell>
        </row>
        <row r="1061">
          <cell r="B1061" t="str">
            <v>SECC SUCURSALES CBN</v>
          </cell>
        </row>
        <row r="1062">
          <cell r="B1062" t="str">
            <v>SECCCION SERVICIOS DEPOSITOS</v>
          </cell>
        </row>
        <row r="1063">
          <cell r="B1063" t="str">
            <v>SECCION  CONTABLE DE CARTERA</v>
          </cell>
        </row>
        <row r="1064">
          <cell r="B1064" t="str">
            <v>SECCION  EMBARGOS Y SOLIC ENTES LEG</v>
          </cell>
        </row>
        <row r="1065">
          <cell r="B1065" t="str">
            <v>SECCION  EMBARGOS Y SOLIC LEGALES</v>
          </cell>
        </row>
        <row r="1066">
          <cell r="B1066" t="str">
            <v>SECCION  FONDOS DE INVERSION</v>
          </cell>
        </row>
        <row r="1067">
          <cell r="B1067" t="str">
            <v>SECCION  INTELIGECIA  DE INFORMACION</v>
          </cell>
        </row>
        <row r="1068">
          <cell r="B1068" t="str">
            <v>SECCION  REQUERIMIENTOS ENTES Y COMEX</v>
          </cell>
        </row>
        <row r="1069">
          <cell r="B1069" t="str">
            <v>SECCION  SERVICIOS DE COMPENSACION</v>
          </cell>
        </row>
        <row r="1070">
          <cell r="B1070" t="str">
            <v>SECCION  SERVICIOS DE RECAUDOS</v>
          </cell>
        </row>
        <row r="1071">
          <cell r="B1071" t="str">
            <v>SECCION ACTIVOS FIJOS BOGOTA Y CENTRO</v>
          </cell>
        </row>
        <row r="1072">
          <cell r="B1072" t="str">
            <v>SECCION ADMINISTRACION CONFIGURACION</v>
          </cell>
        </row>
        <row r="1073">
          <cell r="B1073" t="str">
            <v>SECCION ADMINISTRACION DATOS MAESTROS</v>
          </cell>
        </row>
        <row r="1074">
          <cell r="B1074" t="str">
            <v>SECCION ADMINISTRACION DE PORTAFOLIO</v>
          </cell>
        </row>
        <row r="1075">
          <cell r="B1075" t="str">
            <v>SECCION ADMON DE FIDEICOMISOS</v>
          </cell>
        </row>
        <row r="1076">
          <cell r="B1076" t="str">
            <v>SECCION ADMON DE IDENTIDADES Y ACCESOS</v>
          </cell>
        </row>
        <row r="1077">
          <cell r="B1077" t="str">
            <v>SECCION ADQUISICION DE PORTAFOLIO</v>
          </cell>
        </row>
        <row r="1078">
          <cell r="B1078" t="str">
            <v>SECCION ALIADOS ESTRATEGICOS</v>
          </cell>
        </row>
        <row r="1079">
          <cell r="B1079" t="str">
            <v>SECCION ALIADOS SEGUROS</v>
          </cell>
        </row>
        <row r="1080">
          <cell r="B1080" t="str">
            <v>SECCION ALMACENAMIENTO Y RESPALDO</v>
          </cell>
        </row>
        <row r="1081">
          <cell r="B1081" t="str">
            <v>SECCION ANALISIS RGO DE CREDITO</v>
          </cell>
        </row>
        <row r="1082">
          <cell r="B1082" t="str">
            <v>SECCION ANALITICA Y MINERIA</v>
          </cell>
        </row>
        <row r="1083">
          <cell r="B1083" t="str">
            <v>SECCION APOYO AL TARJETAHABIENTE</v>
          </cell>
        </row>
        <row r="1084">
          <cell r="B1084" t="str">
            <v>SECCION APOYO GESTION  RO Y CONTINUIDAD</v>
          </cell>
        </row>
        <row r="1085">
          <cell r="B1085" t="str">
            <v>SECCION APOYO OPERATIVO  SUR</v>
          </cell>
        </row>
        <row r="1086">
          <cell r="B1086" t="str">
            <v>SECCION APOYO OPERATIVO CARIBE</v>
          </cell>
        </row>
        <row r="1087">
          <cell r="B1087" t="str">
            <v>SECCION APOYO OPERATIVO MEDELLIN</v>
          </cell>
        </row>
        <row r="1088">
          <cell r="B1088" t="str">
            <v>SECCION APTS</v>
          </cell>
        </row>
        <row r="1089">
          <cell r="B1089" t="str">
            <v>SECCION ARQUIT SLN PROYECTOS CORPORATIVO</v>
          </cell>
        </row>
        <row r="1090">
          <cell r="B1090" t="str">
            <v>SECCION ARQUIT SLN PROYECTOS EVOLUTIVOS</v>
          </cell>
        </row>
        <row r="1091">
          <cell r="B1091" t="str">
            <v>SECCION ASEGURAMIENTO DE CALIDAD</v>
          </cell>
        </row>
        <row r="1092">
          <cell r="B1092" t="str">
            <v>SECCION ASESORES INTEGRALES DE SEGURIDAD</v>
          </cell>
        </row>
        <row r="1093">
          <cell r="B1093" t="str">
            <v>SECCION ASIGNACION DE CAPITAL</v>
          </cell>
        </row>
        <row r="1094">
          <cell r="B1094" t="str">
            <v>SECCION AUDITORIA DE INFR E INSTALACION</v>
          </cell>
        </row>
        <row r="1095">
          <cell r="B1095" t="str">
            <v>SECCION AUDITORIA DE PDTOS Y SERVICIOS</v>
          </cell>
        </row>
        <row r="1096">
          <cell r="B1096" t="str">
            <v>SECCION BASE DE DATOS</v>
          </cell>
        </row>
        <row r="1097">
          <cell r="B1097" t="str">
            <v>SECCION CAJEROS AUTOMATICOS</v>
          </cell>
        </row>
        <row r="1098">
          <cell r="B1098" t="str">
            <v>SECCION CAJEROS ELECTRONICOS</v>
          </cell>
        </row>
        <row r="1099">
          <cell r="B1099" t="str">
            <v>SECCION CANAL VITUAL  Y TELEFONICO MK</v>
          </cell>
        </row>
        <row r="1100">
          <cell r="B1100" t="str">
            <v>SECCION CANALES</v>
          </cell>
        </row>
        <row r="1101">
          <cell r="B1101" t="str">
            <v>SECCION CANALES</v>
          </cell>
        </row>
        <row r="1102">
          <cell r="B1102" t="str">
            <v>SECCION CANALES ESPECIALIZADOS</v>
          </cell>
        </row>
        <row r="1103">
          <cell r="B1103" t="str">
            <v>SECCION CANALES INDIRECTOS ANTIOQUIA</v>
          </cell>
        </row>
        <row r="1104">
          <cell r="B1104" t="str">
            <v>SECCION CANALES INDIRECTOS BOGOTA</v>
          </cell>
        </row>
        <row r="1105">
          <cell r="B1105" t="str">
            <v>SECCION CANALES INDIRECTOS CARIBE</v>
          </cell>
        </row>
        <row r="1106">
          <cell r="B1106" t="str">
            <v>SECCION CANALES INDIRECTOS CENTRO</v>
          </cell>
        </row>
        <row r="1107">
          <cell r="B1107" t="str">
            <v>SECCION CANALES INDIRECTOS SUR</v>
          </cell>
        </row>
        <row r="1108">
          <cell r="B1108" t="str">
            <v>SECCION CANALES TRADICIONALES</v>
          </cell>
        </row>
        <row r="1109">
          <cell r="B1109" t="str">
            <v>SECCION CAPTACIONES</v>
          </cell>
        </row>
        <row r="1110">
          <cell r="B1110" t="str">
            <v>SECCION CARTERA COMERCIAL</v>
          </cell>
        </row>
        <row r="1111">
          <cell r="B1111" t="str">
            <v>SECCION CARTERA HIPOTECARIA</v>
          </cell>
        </row>
        <row r="1112">
          <cell r="B1112" t="str">
            <v>SECCION CARTERAS COLECTIVAS</v>
          </cell>
        </row>
        <row r="1113">
          <cell r="B1113" t="str">
            <v>SECCION CCIAL COLECTIVOS ANT</v>
          </cell>
        </row>
        <row r="1114">
          <cell r="B1114" t="str">
            <v>SECCION CCIAL COLECTIVOS ANT 1</v>
          </cell>
        </row>
        <row r="1115">
          <cell r="B1115" t="str">
            <v>SECCION CCIAL COLECTIVOS ANT 3</v>
          </cell>
        </row>
        <row r="1116">
          <cell r="B1116" t="str">
            <v>SECCION CCIAL COLECTIVOS BOGOTA</v>
          </cell>
        </row>
        <row r="1117">
          <cell r="B1117" t="str">
            <v>SECCION CCIAL COLECTIVOS BOGOTA 2</v>
          </cell>
        </row>
        <row r="1118">
          <cell r="B1118" t="str">
            <v>SECCION CCIAL COLECTIVOS BOGOTA 3</v>
          </cell>
        </row>
        <row r="1119">
          <cell r="B1119" t="str">
            <v>SECCION CCIAL COLECTIVOS BOGOTA 4</v>
          </cell>
        </row>
        <row r="1120">
          <cell r="B1120" t="str">
            <v>SECCION CCIAL COLECTIVOS CARIBE</v>
          </cell>
        </row>
        <row r="1121">
          <cell r="B1121" t="str">
            <v>SECCION CCIAL COLECTIVOS CARIBE 2</v>
          </cell>
        </row>
        <row r="1122">
          <cell r="B1122" t="str">
            <v>SECCION CCIAL COLECTIVOS CENTRO</v>
          </cell>
        </row>
        <row r="1123">
          <cell r="B1123" t="str">
            <v>SECCION CCIAL COLECTIVOS CENTRO 2</v>
          </cell>
        </row>
        <row r="1124">
          <cell r="B1124" t="str">
            <v>SECCION CCIAL COLECTIVOS SUR</v>
          </cell>
        </row>
        <row r="1125">
          <cell r="B1125" t="str">
            <v>SECCION CCIAL COLECTIVOS SUR 2</v>
          </cell>
        </row>
        <row r="1126">
          <cell r="B1126" t="str">
            <v>SECCION CCIAL MIT Y ADQUIRENCIA ANT</v>
          </cell>
        </row>
        <row r="1127">
          <cell r="B1127" t="str">
            <v>SECCION CCIAL MIT Y ADQUIRENCIA BOGOTA 1</v>
          </cell>
        </row>
        <row r="1128">
          <cell r="B1128" t="str">
            <v>SECCION CCIAL MIT Y ADQUIRENCIA BOGOTA 2</v>
          </cell>
        </row>
        <row r="1129">
          <cell r="B1129" t="str">
            <v>SECCION CCIAL MIT Y ADQUIRENCIA CARIBE</v>
          </cell>
        </row>
        <row r="1130">
          <cell r="B1130" t="str">
            <v>SECCION CCIAL MIT Y ADQUIRENCIA CENTRO</v>
          </cell>
        </row>
        <row r="1131">
          <cell r="B1131" t="str">
            <v>SECCION CCIAL MIT Y ADQUIRENCIA SUR</v>
          </cell>
        </row>
        <row r="1132">
          <cell r="B1132" t="str">
            <v>SECCION CENTRO DE TELECOMUNICACIONES</v>
          </cell>
        </row>
        <row r="1133">
          <cell r="B1133" t="str">
            <v>SECCION CERTF CANALES MEDIOS DE PAGO</v>
          </cell>
        </row>
        <row r="1134">
          <cell r="B1134" t="str">
            <v>SECCION CERTF INTEGRACION E INFORMACION</v>
          </cell>
        </row>
        <row r="1135">
          <cell r="B1135" t="str">
            <v>SECCION CERTF MERCADO DE CAPITALES</v>
          </cell>
        </row>
        <row r="1136">
          <cell r="B1136" t="str">
            <v>SECCION CERTF NEGOCIOS DEL ACTIVO</v>
          </cell>
        </row>
        <row r="1137">
          <cell r="B1137" t="str">
            <v>SECCION CERTF NEGOCIOS DEL PASIVO Y ESPE</v>
          </cell>
        </row>
        <row r="1138">
          <cell r="B1138" t="str">
            <v>SECCION CERTF SAP Y APLICACIONES CORPO</v>
          </cell>
        </row>
        <row r="1139">
          <cell r="B1139" t="str">
            <v>SECCION COBRANZAS CASAS EXTERNAS</v>
          </cell>
        </row>
        <row r="1140">
          <cell r="B1140" t="str">
            <v>SECCION COBRANZAS URA ANTIOQUIA</v>
          </cell>
        </row>
        <row r="1141">
          <cell r="B1141" t="str">
            <v>SECCION COBRANZAS URA BOGOTA</v>
          </cell>
        </row>
        <row r="1142">
          <cell r="B1142" t="str">
            <v>SECCION COBRANZAS URA CARIBE</v>
          </cell>
        </row>
        <row r="1143">
          <cell r="B1143" t="str">
            <v>SECCION COBRANZAS URA CENTRO</v>
          </cell>
        </row>
        <row r="1144">
          <cell r="B1144" t="str">
            <v>SECCION COBRANZAS URA SUR</v>
          </cell>
        </row>
        <row r="1145">
          <cell r="B1145" t="str">
            <v>SECCION COMERCIALIZACION DE ACT BOG</v>
          </cell>
        </row>
        <row r="1146">
          <cell r="B1146" t="str">
            <v>SECCION COMERCIALIZACION DE ACT FIJOS</v>
          </cell>
        </row>
        <row r="1147">
          <cell r="B1147" t="str">
            <v>SECCION CONCILIACIONES</v>
          </cell>
        </row>
        <row r="1148">
          <cell r="B1148" t="str">
            <v>SECCION CONCILIACIONES BANCARIAS</v>
          </cell>
        </row>
        <row r="1149">
          <cell r="B1149" t="str">
            <v>SECCION CONSOLIDACION</v>
          </cell>
        </row>
        <row r="1150">
          <cell r="B1150" t="str">
            <v>SECCION CONTABILIDAD CLIENTES</v>
          </cell>
        </row>
        <row r="1151">
          <cell r="B1151" t="str">
            <v>SECCION CONTABILIDAD FIDUCIARIA</v>
          </cell>
        </row>
        <row r="1152">
          <cell r="B1152" t="str">
            <v>SECCION CONTABL E INFORMES MEDIOS DE PAG</v>
          </cell>
        </row>
        <row r="1153">
          <cell r="B1153" t="str">
            <v>SECCION CONTABLE  ADMISTRATIVA</v>
          </cell>
        </row>
        <row r="1154">
          <cell r="B1154" t="str">
            <v>SECCION CONTABLE DEL ACTIVO FIJO</v>
          </cell>
        </row>
        <row r="1155">
          <cell r="B1155" t="str">
            <v>SECCION CONTABLE DEL GASTO Y RECAUDO</v>
          </cell>
        </row>
        <row r="1156">
          <cell r="B1156" t="str">
            <v>SECCION CONTRATACION Y COMPRAS</v>
          </cell>
        </row>
        <row r="1157">
          <cell r="B1157" t="str">
            <v>SECCION CONTROL DE ACCESOS</v>
          </cell>
        </row>
        <row r="1158">
          <cell r="B1158" t="str">
            <v>SECCION CORRETAJE Y APT</v>
          </cell>
        </row>
        <row r="1159">
          <cell r="B1159" t="str">
            <v>SECCION CREACION DE PRODUCTOS RENTING</v>
          </cell>
        </row>
        <row r="1160">
          <cell r="B1160" t="str">
            <v>SECCION CREDITO FACTORING</v>
          </cell>
        </row>
        <row r="1161">
          <cell r="B1161" t="str">
            <v>SECCION CREDITO SUFI ANTIOQUIA Y CARIBE</v>
          </cell>
        </row>
        <row r="1162">
          <cell r="B1162" t="str">
            <v>SECCION CREDITO SUFI BOGOTA Y CENTRO</v>
          </cell>
        </row>
        <row r="1163">
          <cell r="B1163" t="str">
            <v>SECCION CREDITO SUFI SUR</v>
          </cell>
        </row>
        <row r="1164">
          <cell r="B1164" t="str">
            <v>SECCION CREDITOS PASIVOS</v>
          </cell>
        </row>
        <row r="1165">
          <cell r="B1165" t="str">
            <v>SECCION CREDITOS PASIVOS Y REDESCUENTO</v>
          </cell>
        </row>
        <row r="1166">
          <cell r="B1166" t="str">
            <v>SECCION CUANTIFICACION DE RIESGO</v>
          </cell>
        </row>
        <row r="1167">
          <cell r="B1167" t="str">
            <v>SECCION DATOS MAESTROS Y OPERACIONALES</v>
          </cell>
        </row>
        <row r="1168">
          <cell r="B1168" t="str">
            <v>SECCION DE APOYO ADMINISTRATIVO PIC</v>
          </cell>
        </row>
        <row r="1169">
          <cell r="B1169" t="str">
            <v>SECCION DE CREDITO BANCA EMPRESARIAL</v>
          </cell>
        </row>
        <row r="1170">
          <cell r="B1170" t="str">
            <v>SECCION DE CREDITO BANCA PYME</v>
          </cell>
        </row>
        <row r="1171">
          <cell r="B1171" t="str">
            <v>SECCION DE ENDEUDAMIENTO E INFORMES</v>
          </cell>
        </row>
        <row r="1172">
          <cell r="B1172" t="str">
            <v>SECCION DE IMPUESTOS DE FILIALES</v>
          </cell>
        </row>
        <row r="1173">
          <cell r="B1173" t="str">
            <v>SECCION DE IMPUESTOS FIDUCIARIA</v>
          </cell>
        </row>
        <row r="1174">
          <cell r="B1174" t="str">
            <v>SECCION DE PROCESOS DE CLIENTES</v>
          </cell>
        </row>
        <row r="1175">
          <cell r="B1175" t="str">
            <v>SECCION DE REDES SOCIALES</v>
          </cell>
        </row>
        <row r="1176">
          <cell r="B1176" t="str">
            <v>SECCION DEF CONTABLES ADTIVAS Y DE CNALE</v>
          </cell>
        </row>
        <row r="1177">
          <cell r="B1177" t="str">
            <v>SECCION DEFINICIONES CONTABLES DE PDTOS</v>
          </cell>
        </row>
        <row r="1178">
          <cell r="B1178" t="str">
            <v>SECCION DEFINICIONES Y ASESORIA TRIBUTAR</v>
          </cell>
        </row>
        <row r="1179">
          <cell r="B1179" t="str">
            <v>SECCION DESARROLLO DE CANALES ALTERNOS</v>
          </cell>
        </row>
        <row r="1180">
          <cell r="B1180" t="str">
            <v>SECCION DESEMBOLSOS REDESCUENTOS</v>
          </cell>
        </row>
        <row r="1181">
          <cell r="B1181" t="str">
            <v>SECCION DESEMBOLSOS Y GARANTIAS</v>
          </cell>
        </row>
        <row r="1182">
          <cell r="B1182" t="str">
            <v>SECCION DISEÑO DE SEGURIDAD</v>
          </cell>
        </row>
        <row r="1183">
          <cell r="B1183" t="str">
            <v>SECCION DISEÑO E IMPLEMENTACION DE SEGUR</v>
          </cell>
        </row>
        <row r="1184">
          <cell r="B1184" t="str">
            <v>SECCION DISEÑOS Y ADECUACIONES</v>
          </cell>
        </row>
        <row r="1185">
          <cell r="B1185" t="str">
            <v>SECCION DLLO ADMINISTRATIVO Y GTION HUMA</v>
          </cell>
        </row>
        <row r="1186">
          <cell r="B1186" t="str">
            <v>SECCION DLLO APLICACIONES TI</v>
          </cell>
        </row>
        <row r="1187">
          <cell r="B1187" t="str">
            <v>SECCION DLLO CANALES A DISTANCIA</v>
          </cell>
        </row>
        <row r="1188">
          <cell r="B1188" t="str">
            <v>SECCION DLLO CANALES CORE</v>
          </cell>
        </row>
        <row r="1189">
          <cell r="B1189" t="str">
            <v>SECCION DLLO CANALES FISICOS</v>
          </cell>
        </row>
        <row r="1190">
          <cell r="B1190" t="str">
            <v>SECCION DLLO CARTERA COMERCIAL Y CONSUMO</v>
          </cell>
        </row>
        <row r="1191">
          <cell r="B1191" t="str">
            <v>SECCION DLLO CLIENTES LEGADOS</v>
          </cell>
        </row>
        <row r="1192">
          <cell r="B1192" t="str">
            <v>SECCION DLLO COMERCIO</v>
          </cell>
        </row>
        <row r="1193">
          <cell r="B1193" t="str">
            <v>SECCION DLLO DEL PASIVO</v>
          </cell>
        </row>
        <row r="1194">
          <cell r="B1194" t="str">
            <v>SECCION DLLO FACTORIG</v>
          </cell>
        </row>
        <row r="1195">
          <cell r="B1195" t="str">
            <v>SECCION DLLO FILIALES DEL EXTERIOR</v>
          </cell>
        </row>
        <row r="1196">
          <cell r="B1196" t="str">
            <v>SECCION DLLO FINANCIERO Y CONTABILIDAD</v>
          </cell>
        </row>
        <row r="1197">
          <cell r="B1197" t="str">
            <v>SECCION DLLO LEASING</v>
          </cell>
        </row>
        <row r="1198">
          <cell r="B1198" t="str">
            <v>SECCION DLLO PIC Y CREDITO HIPOTECARIO</v>
          </cell>
        </row>
        <row r="1199">
          <cell r="B1199" t="str">
            <v>SECCION DLLO RIESGOS</v>
          </cell>
        </row>
        <row r="1200">
          <cell r="B1200" t="str">
            <v>SECCION DLLO SEGURIDAD</v>
          </cell>
        </row>
        <row r="1201">
          <cell r="B1201" t="str">
            <v>SECCION DLLO SERVICIOS DE INTEGRACION</v>
          </cell>
        </row>
        <row r="1202">
          <cell r="B1202" t="str">
            <v>SECCION DLLO SUFI</v>
          </cell>
        </row>
        <row r="1203">
          <cell r="B1203" t="str">
            <v>SECCION DLLO TARJETA DE CREDITO Y ADQUIR</v>
          </cell>
        </row>
        <row r="1204">
          <cell r="B1204" t="str">
            <v>SECCION DLLO TARJETA DEBITO</v>
          </cell>
        </row>
        <row r="1205">
          <cell r="B1205" t="str">
            <v>SECCION DLLO TRANSVERSAL SAP</v>
          </cell>
        </row>
        <row r="1206">
          <cell r="B1206" t="str">
            <v>SECCION DLLO VISUALIZACION Y ENTREGA</v>
          </cell>
        </row>
        <row r="1207">
          <cell r="B1207" t="str">
            <v>SECCION E TRADING</v>
          </cell>
        </row>
        <row r="1208">
          <cell r="B1208" t="str">
            <v>SECCION EMISIONES  20F</v>
          </cell>
        </row>
        <row r="1209">
          <cell r="B1209" t="str">
            <v>SECCION ESTRATEGIA CLIENTES SUFI</v>
          </cell>
        </row>
        <row r="1210">
          <cell r="B1210" t="str">
            <v>SECCION ESTRATEGIA DE CONTRATACION Y COM</v>
          </cell>
        </row>
        <row r="1211">
          <cell r="B1211" t="str">
            <v>SECCION ESTRATEGIA DE CUMPLIMIENTO</v>
          </cell>
        </row>
        <row r="1212">
          <cell r="B1212" t="str">
            <v>SECCION EXPERIENCIA DEL CLIENTE</v>
          </cell>
        </row>
        <row r="1213">
          <cell r="B1213" t="str">
            <v>SECCION FALLAS DE TI</v>
          </cell>
        </row>
        <row r="1214">
          <cell r="B1214" t="str">
            <v>SECCION FIDUCIA PRIVADA 1</v>
          </cell>
        </row>
        <row r="1215">
          <cell r="B1215" t="str">
            <v>SECCION FIDUCIA PRIVADA 2</v>
          </cell>
        </row>
        <row r="1216">
          <cell r="B1216" t="str">
            <v>SECCION FIDUCIA PRIVADA 3</v>
          </cell>
        </row>
        <row r="1217">
          <cell r="B1217" t="str">
            <v>SECCION FIDUCIA PRIVADA 4</v>
          </cell>
        </row>
        <row r="1218">
          <cell r="B1218" t="str">
            <v>SECCION FIDUCIA PRIVADA 5</v>
          </cell>
        </row>
        <row r="1219">
          <cell r="B1219" t="str">
            <v>SECCION FIDUCIA PRIVADA 6</v>
          </cell>
        </row>
        <row r="1220">
          <cell r="B1220" t="str">
            <v>SECCION FIDUCIA PRIVADA 7</v>
          </cell>
        </row>
        <row r="1221">
          <cell r="B1221" t="str">
            <v>SECCION FIDUCIA PRIVADA 8</v>
          </cell>
        </row>
        <row r="1222">
          <cell r="B1222" t="str">
            <v>SECCION FIDUCIA PUBLICA 1</v>
          </cell>
        </row>
        <row r="1223">
          <cell r="B1223" t="str">
            <v>SECCION FIDUCIA PUBLICA 2</v>
          </cell>
        </row>
        <row r="1224">
          <cell r="B1224" t="str">
            <v>SECCION FIDUCIA PUBLICA 3</v>
          </cell>
        </row>
        <row r="1225">
          <cell r="B1225" t="str">
            <v>SECCION FIDUCIA PUBLICA 5</v>
          </cell>
        </row>
        <row r="1226">
          <cell r="B1226" t="str">
            <v>SECCION FIDUCIA PUBLICA 6</v>
          </cell>
        </row>
        <row r="1227">
          <cell r="B1227" t="str">
            <v>SECCION FINANCIERO Y DLLO CONTABILIDAD</v>
          </cell>
        </row>
        <row r="1228">
          <cell r="B1228" t="str">
            <v>SECCION FORMACION</v>
          </cell>
        </row>
        <row r="1229">
          <cell r="B1229" t="str">
            <v>SECCION GARANTIAS Y DESEMBOLSOS SUFI</v>
          </cell>
        </row>
        <row r="1230">
          <cell r="B1230" t="str">
            <v>SECCION GENERACION ESTADOS FCROS E INF</v>
          </cell>
        </row>
        <row r="1231">
          <cell r="B1231" t="str">
            <v>SECCION GESTION ANALITICA DE CUMPLIMIENT</v>
          </cell>
        </row>
        <row r="1232">
          <cell r="B1232" t="str">
            <v>SECCION GESTION BANCARIA</v>
          </cell>
        </row>
        <row r="1233">
          <cell r="B1233" t="str">
            <v>SECCION GESTION CONTABLE</v>
          </cell>
        </row>
        <row r="1234">
          <cell r="B1234" t="str">
            <v>SECCION GESTION CONTABLE  Y REPORTES LMC</v>
          </cell>
        </row>
        <row r="1235">
          <cell r="B1235" t="str">
            <v>SECCION GESTION CONTROLES DE SEGURIDAD</v>
          </cell>
        </row>
        <row r="1236">
          <cell r="B1236" t="str">
            <v>SECCION GESTION DE CAMBIOS</v>
          </cell>
        </row>
        <row r="1237">
          <cell r="B1237" t="str">
            <v>SECCION GESTION DE FALLAS TECNOLOGICAS</v>
          </cell>
        </row>
        <row r="1238">
          <cell r="B1238" t="str">
            <v>SECCION GESTION DE INFRAESTRUCTURA</v>
          </cell>
        </row>
        <row r="1239">
          <cell r="B1239" t="str">
            <v>SECCION GESTION DE INVERSIONES</v>
          </cell>
        </row>
        <row r="1240">
          <cell r="B1240" t="str">
            <v>SECCION GESTION DE LA DEMANDA CANALES</v>
          </cell>
        </row>
        <row r="1241">
          <cell r="B1241" t="str">
            <v>SECCION GESTION DE LA DEMANDA MIT</v>
          </cell>
        </row>
        <row r="1242">
          <cell r="B1242" t="str">
            <v>SECCION GESTION DE PROPIEDAD</v>
          </cell>
        </row>
        <row r="1243">
          <cell r="B1243" t="str">
            <v>SECCION GESTION DE SERVICIOS</v>
          </cell>
        </row>
        <row r="1244">
          <cell r="B1244" t="str">
            <v>SECCION GESTION DEL CAMBIO Y DESARROLLO</v>
          </cell>
        </row>
        <row r="1245">
          <cell r="B1245" t="str">
            <v>SECCION GESTION DEMANDA MEDIOS DE PAGO</v>
          </cell>
        </row>
        <row r="1246">
          <cell r="B1246" t="str">
            <v>SECCION GESTION DOCUMENTAL COLABORACION</v>
          </cell>
        </row>
        <row r="1247">
          <cell r="B1247" t="str">
            <v>SECCION GESTION INTERNACIONAL</v>
          </cell>
        </row>
        <row r="1248">
          <cell r="B1248" t="str">
            <v>SECCION GESTION OPERACIONES FINANCIERAS</v>
          </cell>
        </row>
        <row r="1249">
          <cell r="B1249" t="str">
            <v>SECCION GESTION PROC INTEG DE ABASTECI</v>
          </cell>
        </row>
        <row r="1250">
          <cell r="B1250" t="str">
            <v>SECCION GESTORES DE CAPACIDAD</v>
          </cell>
        </row>
        <row r="1251">
          <cell r="B1251" t="str">
            <v>SECCION GOBIERNO Y ESTRATEGIA DE SEGURID</v>
          </cell>
        </row>
        <row r="1252">
          <cell r="B1252" t="str">
            <v>SECCION GRABACION LIMITES</v>
          </cell>
        </row>
        <row r="1253">
          <cell r="B1253" t="str">
            <v>SECCION GTION ADTIVA DE ING DE PROCS</v>
          </cell>
        </row>
        <row r="1254">
          <cell r="B1254" t="str">
            <v>SECCION HERRAMIENTAS DE INTEGRACION</v>
          </cell>
        </row>
        <row r="1255">
          <cell r="B1255" t="str">
            <v>SECCION IMPORTACIONES LEASING</v>
          </cell>
        </row>
        <row r="1256">
          <cell r="B1256" t="str">
            <v>SECCION IMPUESTOS LEASING</v>
          </cell>
        </row>
        <row r="1257">
          <cell r="B1257" t="str">
            <v>SECCION IMPUESTOS RENTA</v>
          </cell>
        </row>
        <row r="1258">
          <cell r="B1258" t="str">
            <v>SECCION IMPUESTOS VALORES</v>
          </cell>
        </row>
        <row r="1259">
          <cell r="B1259" t="str">
            <v>SECCION INFORMACION CLIENTES</v>
          </cell>
        </row>
        <row r="1260">
          <cell r="B1260" t="str">
            <v>SECCION INFORMACION DE CUMPLIMIENTO</v>
          </cell>
        </row>
        <row r="1261">
          <cell r="B1261" t="str">
            <v>SECCION INFORMACION FINANCIERA EMPRESAS</v>
          </cell>
        </row>
        <row r="1262">
          <cell r="B1262" t="str">
            <v>SECCION INFORMACION Y MEDICION</v>
          </cell>
        </row>
        <row r="1263">
          <cell r="B1263" t="str">
            <v>SECCION INFORMACION Y MERCADEO</v>
          </cell>
        </row>
        <row r="1264">
          <cell r="B1264" t="str">
            <v>SECCION INFRA CAJEROS ELECTRONICOS</v>
          </cell>
        </row>
        <row r="1265">
          <cell r="B1265" t="str">
            <v>SECCION INFRAESTRUCTURA APLICATIVA</v>
          </cell>
        </row>
        <row r="1266">
          <cell r="B1266" t="str">
            <v>SECCION INFRAESTRUCTURA CANALES</v>
          </cell>
        </row>
        <row r="1267">
          <cell r="B1267" t="str">
            <v>SECCION ING DE PROCESOS ESPECIALES</v>
          </cell>
        </row>
        <row r="1268">
          <cell r="B1268" t="str">
            <v>SECCION INGENIERIA PROCESOS DE CARTERA</v>
          </cell>
        </row>
        <row r="1269">
          <cell r="B1269" t="str">
            <v>SECCION INTELIGENCIA COMERCIAL</v>
          </cell>
        </row>
        <row r="1270">
          <cell r="B1270" t="str">
            <v>SECCION INTELIGENCIA DE NEGOCIOS</v>
          </cell>
        </row>
        <row r="1271">
          <cell r="B1271" t="str">
            <v>SECCION INTERNET Y REDES EXTERNAS</v>
          </cell>
        </row>
        <row r="1272">
          <cell r="B1272" t="str">
            <v>SECCION INVESTIGACION Y DESARROLLO</v>
          </cell>
        </row>
        <row r="1273">
          <cell r="B1273" t="str">
            <v>SECCION INVESTIGACION Y MONITOREO DE SEG</v>
          </cell>
        </row>
        <row r="1274">
          <cell r="B1274" t="str">
            <v>SECCION INVESTIGACIONES ESPECIALES</v>
          </cell>
        </row>
        <row r="1275">
          <cell r="B1275" t="str">
            <v>SECCION IVA E ICA</v>
          </cell>
        </row>
        <row r="1276">
          <cell r="B1276" t="str">
            <v>SECCION JURID ANTIOQUIA BANC EMP Y GOB</v>
          </cell>
        </row>
        <row r="1277">
          <cell r="B1277" t="str">
            <v>SECCION JURID BOGOTA SABANA Y CENTRO BEG</v>
          </cell>
        </row>
        <row r="1278">
          <cell r="B1278" t="str">
            <v>SECCION JURID BPP BGTA SABANA Y CENTRO</v>
          </cell>
        </row>
        <row r="1279">
          <cell r="B1279" t="str">
            <v>SECCION JURID CARIBE BANC EMP Y GOB</v>
          </cell>
        </row>
        <row r="1280">
          <cell r="B1280" t="str">
            <v>SECCION JURID PERSONAS Y PYME ANTIOQUIA</v>
          </cell>
        </row>
        <row r="1281">
          <cell r="B1281" t="str">
            <v>SECCION JURID SUR BANC EMP Y GOB</v>
          </cell>
        </row>
        <row r="1282">
          <cell r="B1282" t="str">
            <v>SECCION JURIDICA ANTIOQUIA 2</v>
          </cell>
        </row>
        <row r="1283">
          <cell r="B1283" t="str">
            <v>SECCION JURIDICA BANCA GOBIERNO</v>
          </cell>
        </row>
        <row r="1284">
          <cell r="B1284" t="str">
            <v>SECCION JURIDICA BCA EMPRESAS Y GOBIERNO</v>
          </cell>
        </row>
        <row r="1285">
          <cell r="B1285" t="str">
            <v>SECCION JURIDICA COBRANZAS ANTIOQUIA</v>
          </cell>
        </row>
        <row r="1286">
          <cell r="B1286" t="str">
            <v>SECCION JURIDICA CONCURSALES</v>
          </cell>
        </row>
        <row r="1287">
          <cell r="B1287" t="str">
            <v>SECCION JURIDICA DE RECUPER CARTERA BOG</v>
          </cell>
        </row>
        <row r="1288">
          <cell r="B1288" t="str">
            <v>SECCION JURIDICA FACTORING</v>
          </cell>
        </row>
        <row r="1289">
          <cell r="B1289" t="str">
            <v>SECCION JURIDICA HIPOTECARIA</v>
          </cell>
        </row>
        <row r="1290">
          <cell r="B1290" t="str">
            <v>SECCION JURIDICA INMOBILIARIA</v>
          </cell>
        </row>
        <row r="1291">
          <cell r="B1291" t="str">
            <v>SECCION JURIDICA INSTITUCIONAL</v>
          </cell>
        </row>
        <row r="1292">
          <cell r="B1292" t="str">
            <v>SECCION JURIDICA INTERNACIONAL MED</v>
          </cell>
        </row>
        <row r="1293">
          <cell r="B1293" t="str">
            <v>SECCION JURIDICA MEDIOS DE PAGO</v>
          </cell>
        </row>
        <row r="1294">
          <cell r="B1294" t="str">
            <v>SECCION JURIDICA PROCS ESPECIALES ANT</v>
          </cell>
        </row>
        <row r="1295">
          <cell r="B1295" t="str">
            <v>SECCION JURIDICA PROCS ESPECIALES BOG</v>
          </cell>
        </row>
        <row r="1296">
          <cell r="B1296" t="str">
            <v>SECCION JURIDICA SUFI</v>
          </cell>
        </row>
        <row r="1297">
          <cell r="B1297" t="str">
            <v>SECCION LIBRANZA</v>
          </cell>
        </row>
        <row r="1298">
          <cell r="B1298" t="str">
            <v>SECCION LINEA DE CONOCIMIENTO 1</v>
          </cell>
        </row>
        <row r="1299">
          <cell r="B1299" t="str">
            <v>SECCION LINEA DE CONOCIMIENTO 2</v>
          </cell>
        </row>
        <row r="1300">
          <cell r="B1300" t="str">
            <v>SECCION LINEA DE CONOCIMIENTO 3</v>
          </cell>
        </row>
        <row r="1301">
          <cell r="B1301" t="str">
            <v>SECCION LIQUIDEZ</v>
          </cell>
        </row>
        <row r="1302">
          <cell r="B1302" t="str">
            <v>SECCION LOGISTICA Y DISTRIBUCION</v>
          </cell>
        </row>
        <row r="1303">
          <cell r="B1303" t="str">
            <v>SECCION MDEO ANALITICO E INF CLIENTES</v>
          </cell>
        </row>
        <row r="1304">
          <cell r="B1304" t="str">
            <v>SECCION MEDICION COMERCIAL</v>
          </cell>
        </row>
        <row r="1305">
          <cell r="B1305" t="str">
            <v>SECCION MERCADEO RELACIONAL</v>
          </cell>
        </row>
        <row r="1306">
          <cell r="B1306" t="str">
            <v>SECCION MERCADEO RELACIONAL BPP</v>
          </cell>
        </row>
        <row r="1307">
          <cell r="B1307" t="str">
            <v>SECCION MERCADO CAMBIARIO</v>
          </cell>
        </row>
        <row r="1308">
          <cell r="B1308" t="str">
            <v>SECCION MESA DE AYUDA JURIDICA</v>
          </cell>
        </row>
        <row r="1309">
          <cell r="B1309" t="str">
            <v>SECCION MESA INTEGRADA DE SERVICIOS</v>
          </cell>
        </row>
        <row r="1310">
          <cell r="B1310" t="str">
            <v>SECCION METRICAS Y DESEMPEÑO</v>
          </cell>
        </row>
        <row r="1311">
          <cell r="B1311" t="str">
            <v>SECCION MIDDLE OFFICE</v>
          </cell>
        </row>
        <row r="1312">
          <cell r="B1312" t="str">
            <v>SECCION MITIGACION RIESGO OPERACIONAL</v>
          </cell>
        </row>
        <row r="1313">
          <cell r="B1313" t="str">
            <v>SECCION MONITOREO DE COMPLIANCE</v>
          </cell>
        </row>
        <row r="1314">
          <cell r="B1314" t="str">
            <v>SECCION MONITOREO NORMAS CIERRES  FINANC</v>
          </cell>
        </row>
        <row r="1315">
          <cell r="B1315" t="str">
            <v>SECCION MONITOREO TI</v>
          </cell>
        </row>
        <row r="1316">
          <cell r="B1316" t="str">
            <v>SECCION NEGOCIOS ESPECIALES 2</v>
          </cell>
        </row>
        <row r="1317">
          <cell r="B1317" t="str">
            <v>SECCION NEGOCIOS ESPECIALES 3</v>
          </cell>
        </row>
        <row r="1318">
          <cell r="B1318" t="str">
            <v>SECCION NEGOCIOS ESPECIALES 4</v>
          </cell>
        </row>
        <row r="1319">
          <cell r="B1319" t="str">
            <v>SECCION NEGOCIOS ESPECIALES 5</v>
          </cell>
        </row>
        <row r="1320">
          <cell r="B1320" t="str">
            <v>SECCION NEGOCIOS FIDUCIARIOS</v>
          </cell>
        </row>
        <row r="1321">
          <cell r="B1321" t="str">
            <v>SECCION NOMINA</v>
          </cell>
        </row>
        <row r="1322">
          <cell r="B1322" t="str">
            <v>SECCION OPERACION DE LA MALLA</v>
          </cell>
        </row>
        <row r="1323">
          <cell r="B1323" t="str">
            <v>SECCION OPERACIONES  ESPECIALES</v>
          </cell>
        </row>
        <row r="1324">
          <cell r="B1324" t="str">
            <v>SECCION OPERACIONES CONTABLES</v>
          </cell>
        </row>
        <row r="1325">
          <cell r="B1325" t="str">
            <v>SECCION OPERACIONES DE TESORERIA</v>
          </cell>
        </row>
        <row r="1326">
          <cell r="B1326" t="str">
            <v>SECCION OPERACIONES INMOBILIARIAS 1</v>
          </cell>
        </row>
        <row r="1327">
          <cell r="B1327" t="str">
            <v>SECCION OPERACIONES INMOBILIARIAS 2</v>
          </cell>
        </row>
        <row r="1328">
          <cell r="B1328" t="str">
            <v>SECCION OPERACIONES INMOBILIARIAS 3</v>
          </cell>
        </row>
        <row r="1329">
          <cell r="B1329" t="str">
            <v>SECCION OPERACIONES INMOBILIARIAS 4</v>
          </cell>
        </row>
        <row r="1330">
          <cell r="B1330" t="str">
            <v>SECCION OPERATIVA CENTRALIZADA</v>
          </cell>
        </row>
        <row r="1331">
          <cell r="B1331" t="str">
            <v>SECCION OPERATIVA LEASING ANT</v>
          </cell>
        </row>
        <row r="1332">
          <cell r="B1332" t="str">
            <v>SECCION OPERATIVA LEASING BOG EMP</v>
          </cell>
        </row>
        <row r="1333">
          <cell r="B1333" t="str">
            <v>SECCION OPERATIVA LEASING BOG PYMES</v>
          </cell>
        </row>
        <row r="1334">
          <cell r="B1334" t="str">
            <v>SECCION OPERATIVA LEASING SUR</v>
          </cell>
        </row>
        <row r="1335">
          <cell r="B1335" t="str">
            <v>SECCION OPERATIVA SERVICIOS DE TARJETAS</v>
          </cell>
        </row>
        <row r="1336">
          <cell r="B1336" t="str">
            <v>SECCION ORIENTACION MONEDA EXTRANJERA</v>
          </cell>
        </row>
        <row r="1337">
          <cell r="B1337" t="str">
            <v>SECCION PAGOS Y RECAUDOS</v>
          </cell>
        </row>
        <row r="1338">
          <cell r="B1338" t="str">
            <v>SECCION PERSONALIZACION Y ENTREGA DE TAR</v>
          </cell>
        </row>
        <row r="1339">
          <cell r="B1339" t="str">
            <v>SECCION PLATAFORMAS DE COLABORACION</v>
          </cell>
        </row>
        <row r="1340">
          <cell r="B1340" t="str">
            <v>SECCION PLATAFORMAS ISERIES</v>
          </cell>
        </row>
        <row r="1341">
          <cell r="B1341" t="str">
            <v>SECCION PLATAFORMAS P SERIES</v>
          </cell>
        </row>
        <row r="1342">
          <cell r="B1342" t="str">
            <v>SECCION PREPARACION DE DEMANDAS</v>
          </cell>
        </row>
        <row r="1343">
          <cell r="B1343" t="str">
            <v>SECCION PROCESAMIENTO CANALES</v>
          </cell>
        </row>
        <row r="1344">
          <cell r="B1344" t="str">
            <v>SECCION PROCESAMIENTO CANJE</v>
          </cell>
        </row>
        <row r="1345">
          <cell r="B1345" t="str">
            <v>SECCION PROCESAMIENTO EFECTIVO</v>
          </cell>
        </row>
        <row r="1346">
          <cell r="B1346" t="str">
            <v>SECCION PROCESAMIENTO PGC</v>
          </cell>
        </row>
        <row r="1347">
          <cell r="B1347" t="str">
            <v>SECCION PROCESO DE CREDITO LEASING</v>
          </cell>
        </row>
        <row r="1348">
          <cell r="B1348" t="str">
            <v>SECCION PROCESOS CONTABL Y DE INF DE TAR</v>
          </cell>
        </row>
        <row r="1349">
          <cell r="B1349" t="str">
            <v>SECCION PROCESOS DE ADQUIRENCIA DE TAR</v>
          </cell>
        </row>
        <row r="1350">
          <cell r="B1350" t="str">
            <v>SECCION PROCESOS DE FONDOS</v>
          </cell>
        </row>
        <row r="1351">
          <cell r="B1351" t="str">
            <v>SECCION PROCESOS EMISOR DE TARJETAS</v>
          </cell>
        </row>
        <row r="1352">
          <cell r="B1352" t="str">
            <v>SECCION PROCESOS ESPECIALES LEASING</v>
          </cell>
        </row>
        <row r="1353">
          <cell r="B1353" t="str">
            <v>SECCION PROCMIENTO OPERS INTERNACIONALES</v>
          </cell>
        </row>
        <row r="1354">
          <cell r="B1354" t="str">
            <v>SECCION PRODUCCION CARTERA</v>
          </cell>
        </row>
        <row r="1355">
          <cell r="B1355" t="str">
            <v>SECCION PRODUCTO ARRENDAMIENTO</v>
          </cell>
        </row>
        <row r="1356">
          <cell r="B1356" t="str">
            <v>SECCION PRODUCTO COLOMBIANOS EN EL EXTER</v>
          </cell>
        </row>
        <row r="1357">
          <cell r="B1357" t="str">
            <v>SECCION PRODUCTOS DE INCLUSION</v>
          </cell>
        </row>
        <row r="1358">
          <cell r="B1358" t="str">
            <v>SECCION PRODUCTOS LEASING FINANCIERO</v>
          </cell>
        </row>
        <row r="1359">
          <cell r="B1359" t="str">
            <v>SECCION PROVISIONES NORMAS  INTER</v>
          </cell>
        </row>
        <row r="1360">
          <cell r="B1360" t="str">
            <v>SECCION PROYEC HERRAMIENTAS  MONIT TI</v>
          </cell>
        </row>
        <row r="1361">
          <cell r="B1361" t="str">
            <v>SECCION PRUEBAS DE CONTINUIDAD</v>
          </cell>
        </row>
        <row r="1362">
          <cell r="B1362" t="str">
            <v>SECCION PRUEBAS TECNICAS</v>
          </cell>
        </row>
        <row r="1363">
          <cell r="B1363" t="str">
            <v>SECCION PUBLICIDAD</v>
          </cell>
        </row>
        <row r="1364">
          <cell r="B1364" t="str">
            <v>SECCION RAZONABILIDAD FINANCIERA</v>
          </cell>
        </row>
        <row r="1365">
          <cell r="B1365" t="str">
            <v>SECCION RECEPCION Y GARANTIAS</v>
          </cell>
        </row>
        <row r="1366">
          <cell r="B1366" t="str">
            <v>SECCION RED AMEX</v>
          </cell>
        </row>
        <row r="1367">
          <cell r="B1367" t="str">
            <v>SECCION REDESCUENTOS</v>
          </cell>
        </row>
        <row r="1368">
          <cell r="B1368" t="str">
            <v>SECCION REGISTRO OPERACIONES CAMBIARIAS</v>
          </cell>
        </row>
        <row r="1369">
          <cell r="B1369" t="str">
            <v>SECCION RELACIONAMIENTO BOGOTA</v>
          </cell>
        </row>
        <row r="1370">
          <cell r="B1370" t="str">
            <v>SECCION REPORTES ADMON ACTIVOS</v>
          </cell>
        </row>
        <row r="1371">
          <cell r="B1371" t="str">
            <v>SECCION REQ LINEAS DE NEG Y PROC DE APOY</v>
          </cell>
        </row>
        <row r="1372">
          <cell r="B1372" t="str">
            <v>SECCION REQUERIMIENTOS CAPTACIONES  Y CO</v>
          </cell>
        </row>
        <row r="1373">
          <cell r="B1373" t="str">
            <v>SECCION REQUERIMIENTOS DE TARJETAS</v>
          </cell>
        </row>
        <row r="1374">
          <cell r="B1374" t="str">
            <v>SECCION REQUERIMIENTOS INSTITUCIONALES</v>
          </cell>
        </row>
        <row r="1375">
          <cell r="B1375" t="str">
            <v>SECCION RGO TARJETA DE CREDITO Y CONSUMO</v>
          </cell>
        </row>
        <row r="1376">
          <cell r="B1376" t="str">
            <v>SECCION RIESGO SUFI</v>
          </cell>
        </row>
        <row r="1377">
          <cell r="B1377" t="str">
            <v>SECCION SALA DE VENTAS</v>
          </cell>
        </row>
        <row r="1378">
          <cell r="B1378" t="str">
            <v>SECCION SALA DE VENTAS  ANTIOQUIA 1</v>
          </cell>
        </row>
        <row r="1379">
          <cell r="B1379" t="str">
            <v>SECCION SALA DE VENTAS  ANTIOQUIA 2</v>
          </cell>
        </row>
        <row r="1380">
          <cell r="B1380" t="str">
            <v>SECCION SALA DE VENTAS 1</v>
          </cell>
        </row>
        <row r="1381">
          <cell r="B1381" t="str">
            <v>SECCION SALA DE VENTAS 2</v>
          </cell>
        </row>
        <row r="1382">
          <cell r="B1382" t="str">
            <v>SECCION SALA DE VENTAS 3</v>
          </cell>
        </row>
        <row r="1383">
          <cell r="B1383" t="str">
            <v>SECCION SANEAMIENTO Y NORMALIZACION</v>
          </cell>
        </row>
        <row r="1384">
          <cell r="B1384" t="str">
            <v>SECCION SEDES Y PISOS FINANCIEROS</v>
          </cell>
        </row>
        <row r="1385">
          <cell r="B1385" t="str">
            <v>SECCION SEGMENTO COLOMBIANOS EN EL EXTER</v>
          </cell>
        </row>
        <row r="1386">
          <cell r="B1386" t="str">
            <v>SECCION SEGUIMIENTO Y MONITOREO CONTABLE</v>
          </cell>
        </row>
        <row r="1387">
          <cell r="B1387" t="str">
            <v>SECCION SEGURIDAD INTERNA</v>
          </cell>
        </row>
        <row r="1388">
          <cell r="B1388" t="str">
            <v>SECCION SEGUROS Y CONTABLE</v>
          </cell>
        </row>
        <row r="1389">
          <cell r="B1389" t="str">
            <v>SECCION SELECCCION Y DESARROLLO REGIONAL</v>
          </cell>
        </row>
        <row r="1390">
          <cell r="B1390" t="str">
            <v>SECCION SERV  RECAUDO IMPUESTOS</v>
          </cell>
        </row>
        <row r="1391">
          <cell r="B1391" t="str">
            <v>SECCION SERV ADMON  ACTIVOS,PP, INST</v>
          </cell>
        </row>
        <row r="1392">
          <cell r="B1392" t="str">
            <v>SECCION SERV CAJEROS AUTOMATICOS PAC</v>
          </cell>
        </row>
        <row r="1393">
          <cell r="B1393" t="str">
            <v>SECCION SERV DE CUSTODIA Y EMISIONES</v>
          </cell>
        </row>
        <row r="1394">
          <cell r="B1394" t="str">
            <v>SECCION SERV DISTRIBUCION Y VENTAS Y APT</v>
          </cell>
        </row>
        <row r="1395">
          <cell r="B1395" t="str">
            <v>SECCION SERV ESPECIALIZADOS</v>
          </cell>
        </row>
        <row r="1396">
          <cell r="B1396" t="str">
            <v>SECCION SERV HABILITACIONES Y PROC</v>
          </cell>
        </row>
        <row r="1397">
          <cell r="B1397" t="str">
            <v>SECCION SERV INFORMACION APOYO AL NEGOCI</v>
          </cell>
        </row>
        <row r="1398">
          <cell r="B1398" t="str">
            <v>SECCION SERV LEASING ZONA ANTIOQUIA</v>
          </cell>
        </row>
        <row r="1399">
          <cell r="B1399" t="str">
            <v>SECCION SERV LEASING ZONA BOGOTA EMP</v>
          </cell>
        </row>
        <row r="1400">
          <cell r="B1400" t="str">
            <v>SECCION SERV LEASING ZONA BOGOTA PYME</v>
          </cell>
        </row>
        <row r="1401">
          <cell r="B1401" t="str">
            <v>SECCION SERV LEASING ZONA CARIBE</v>
          </cell>
        </row>
        <row r="1402">
          <cell r="B1402" t="str">
            <v>SECCION SERV LEASING ZONA CENTRO</v>
          </cell>
        </row>
        <row r="1403">
          <cell r="B1403" t="str">
            <v>SECCION SERV LEASING ZONA SUR</v>
          </cell>
        </row>
        <row r="1404">
          <cell r="B1404" t="str">
            <v>SECCION SERV MERCADO CAMBIARIO BPP</v>
          </cell>
        </row>
        <row r="1405">
          <cell r="B1405" t="str">
            <v>SECCION SERV MERCADO CAMBIARIO EMPRESAS</v>
          </cell>
        </row>
        <row r="1406">
          <cell r="B1406" t="str">
            <v>SECCION SERV PARA COMERCIOS Y RED AMEX</v>
          </cell>
        </row>
        <row r="1407">
          <cell r="B1407" t="str">
            <v>SECCION SERV TARJETAHABIENTES DEBITO PRE</v>
          </cell>
        </row>
        <row r="1408">
          <cell r="B1408" t="str">
            <v>SECCION SERV TARJETAHABIENTES EMPRESA</v>
          </cell>
        </row>
        <row r="1409">
          <cell r="B1409" t="str">
            <v>SECCION SERV TARJETAHABIENTES PERSONAL</v>
          </cell>
        </row>
        <row r="1410">
          <cell r="B1410" t="str">
            <v>SECCION SERV VINCULACION DE CLIENTES</v>
          </cell>
        </row>
        <row r="1411">
          <cell r="B1411" t="str">
            <v>SECCION SERVICIOS  EFECTIVO</v>
          </cell>
        </row>
        <row r="1412">
          <cell r="B1412" t="str">
            <v>SECCION SERVICIOS ADMINISTRATIVOS</v>
          </cell>
        </row>
        <row r="1413">
          <cell r="B1413" t="str">
            <v>SECCION SERVICIOS CALL CENTER</v>
          </cell>
        </row>
        <row r="1414">
          <cell r="B1414" t="str">
            <v>SECCION SERVICIOS CANALES VIRTUALES</v>
          </cell>
        </row>
        <row r="1415">
          <cell r="B1415" t="str">
            <v>SECCION SERVICIOS CANJE</v>
          </cell>
        </row>
        <row r="1416">
          <cell r="B1416" t="str">
            <v>SECCION SERVICIOS CONTACT CENTER</v>
          </cell>
        </row>
        <row r="1417">
          <cell r="B1417" t="str">
            <v>SECCION SERVICIOS DE CUMPLIMIENTO</v>
          </cell>
        </row>
        <row r="1418">
          <cell r="B1418" t="str">
            <v>SECCION SERVICIOS DE IMPLEMENTACION DEMA</v>
          </cell>
        </row>
        <row r="1419">
          <cell r="B1419" t="str">
            <v>SECCION SERVICIOS DE PAGO</v>
          </cell>
        </row>
        <row r="1420">
          <cell r="B1420" t="str">
            <v>SECCION SERVICIOS DE PAGOS</v>
          </cell>
        </row>
        <row r="1421">
          <cell r="B1421" t="str">
            <v>SECCION SERVICIOS DE RECAUDO</v>
          </cell>
        </row>
        <row r="1422">
          <cell r="B1422" t="str">
            <v>SECCION SERVICIOS IMPLEMENTACIONES PROPI</v>
          </cell>
        </row>
        <row r="1423">
          <cell r="B1423" t="str">
            <v>SECCION SERVICIOS INTERNET Y MOVILIDAD</v>
          </cell>
        </row>
        <row r="1424">
          <cell r="B1424" t="str">
            <v>SECCION SERVICIOS REGIONAL  ANTIOQUIA</v>
          </cell>
        </row>
        <row r="1425">
          <cell r="B1425" t="str">
            <v>SECCION SERVICIOS REGIONAL  CARIBE</v>
          </cell>
        </row>
        <row r="1426">
          <cell r="B1426" t="str">
            <v>SECCION SERVICIOS REGIONAL BOGOTA</v>
          </cell>
        </row>
        <row r="1427">
          <cell r="B1427" t="str">
            <v>SECCION SERVICIOS REGIONAL SUR</v>
          </cell>
        </row>
        <row r="1428">
          <cell r="B1428" t="str">
            <v>SECCION SERVICIOS SE MERCADEO SUFI</v>
          </cell>
        </row>
        <row r="1429">
          <cell r="B1429" t="str">
            <v>SECCION SERVICIOS VOZ Y VIDEO</v>
          </cell>
        </row>
        <row r="1430">
          <cell r="B1430" t="str">
            <v>SECCION SERVICIOS Y RELACIONES</v>
          </cell>
        </row>
        <row r="1431">
          <cell r="B1431" t="str">
            <v>SECCION SOLUCIONES DE TI LEASING</v>
          </cell>
        </row>
        <row r="1432">
          <cell r="B1432" t="str">
            <v>SECCION SOLUCIONES DE TI MIT</v>
          </cell>
        </row>
        <row r="1433">
          <cell r="B1433" t="str">
            <v>SECCION SOLUCIONES DEL PASIVO</v>
          </cell>
        </row>
        <row r="1434">
          <cell r="B1434" t="str">
            <v>SECCION SOLUCIONES TI FONDOS INVERSION</v>
          </cell>
        </row>
        <row r="1435">
          <cell r="B1435" t="str">
            <v>SECCION SOPORTE EN SITIO</v>
          </cell>
        </row>
        <row r="1436">
          <cell r="B1436" t="str">
            <v>SECCION SOPORTE EN SITIO Y LOGISTICA</v>
          </cell>
        </row>
        <row r="1437">
          <cell r="B1437" t="str">
            <v>SECCION TELEFONICA</v>
          </cell>
        </row>
        <row r="1438">
          <cell r="B1438" t="str">
            <v>SECCION TI FACTORING</v>
          </cell>
        </row>
        <row r="1439">
          <cell r="B1439" t="str">
            <v>SECCION VALORACION</v>
          </cell>
        </row>
        <row r="1440">
          <cell r="B1440" t="str">
            <v>SEGMENTOS BANCA PERSONAS Y PYMES</v>
          </cell>
        </row>
        <row r="1441">
          <cell r="B1441" t="str">
            <v>SEGURIDAD Y CUMPLIMIENTO</v>
          </cell>
        </row>
        <row r="1442">
          <cell r="B1442" t="str">
            <v>SELECCION Y DESARROLLO BOGOTA</v>
          </cell>
        </row>
        <row r="1443">
          <cell r="B1443" t="str">
            <v>SELECCION Y DESARROLLO CARIBE</v>
          </cell>
        </row>
        <row r="1444">
          <cell r="B1444" t="str">
            <v>SELECCION Y DESARROLLO CENTRO</v>
          </cell>
        </row>
        <row r="1445">
          <cell r="B1445" t="str">
            <v>SELECCION Y DESARROLLO SUR</v>
          </cell>
        </row>
        <row r="1446">
          <cell r="B1446" t="str">
            <v>SERVICIO EN SUC CENTRO META</v>
          </cell>
        </row>
        <row r="1447">
          <cell r="B1447" t="str">
            <v>SERVICIO SUC ANT ROTATIVO BCA EMPRESAS</v>
          </cell>
        </row>
        <row r="1448">
          <cell r="B1448" t="str">
            <v>SERVICIO SUC ANT ROTATIVO BCA EMPRESAS 2</v>
          </cell>
        </row>
        <row r="1449">
          <cell r="B1449" t="str">
            <v>SERVICIO SUC ANT ROTATIVO ZONA CENTRO</v>
          </cell>
        </row>
        <row r="1450">
          <cell r="B1450" t="str">
            <v>SERVICIO SUC ANTIOQUIA  METROPOLITANA</v>
          </cell>
        </row>
        <row r="1451">
          <cell r="B1451" t="str">
            <v>SERVICIO SUC ANTIOQUIA  NORTE</v>
          </cell>
        </row>
        <row r="1452">
          <cell r="B1452" t="str">
            <v>SERVICIO SUC ANTIOQUIA  PERIFERICA</v>
          </cell>
        </row>
        <row r="1453">
          <cell r="B1453" t="str">
            <v>SERVICIO SUC ANTIOQUIA  VALLE DE ABURRA</v>
          </cell>
        </row>
        <row r="1454">
          <cell r="B1454" t="str">
            <v>SERVICIO SUC ANTIOQUIA CENTRO</v>
          </cell>
        </row>
        <row r="1455">
          <cell r="B1455" t="str">
            <v>SERVICIO SUC ANTIOQUIA GERENCIAMIENTO</v>
          </cell>
        </row>
        <row r="1456">
          <cell r="B1456" t="str">
            <v>SERVICIO SUC ANTIOQUIA OCCIDENTE</v>
          </cell>
        </row>
        <row r="1457">
          <cell r="B1457" t="str">
            <v>SERVICIO SUC ANTIOQUIA POBLADO</v>
          </cell>
        </row>
        <row r="1458">
          <cell r="B1458" t="str">
            <v>SERVICIO SUC ANTIOQUIA SUR</v>
          </cell>
        </row>
        <row r="1459">
          <cell r="B1459" t="str">
            <v>SERVICIO SUC BOGOTA  BANCA EMPRESAS</v>
          </cell>
        </row>
        <row r="1460">
          <cell r="B1460" t="str">
            <v>SERVICIO SUC BOGOTA  CENTRO</v>
          </cell>
        </row>
        <row r="1461">
          <cell r="B1461" t="str">
            <v>SERVICIO SUC BOGOTA  METROPOLITANA</v>
          </cell>
        </row>
        <row r="1462">
          <cell r="B1462" t="str">
            <v>SERVICIO SUC BOGOTA BANCA SUPEMERCADO</v>
          </cell>
        </row>
        <row r="1463">
          <cell r="B1463" t="str">
            <v>SERVICIO SUC BOGOTA INDUSTRIAL</v>
          </cell>
        </row>
        <row r="1464">
          <cell r="B1464" t="str">
            <v>SERVICIO SUC BOGOTA NOROCCIDENTE</v>
          </cell>
        </row>
        <row r="1465">
          <cell r="B1465" t="str">
            <v>SERVICIO SUC BOGOTA NORTE</v>
          </cell>
        </row>
        <row r="1466">
          <cell r="B1466" t="str">
            <v>SERVICIO SUC BOGOTA OCCIDENTE</v>
          </cell>
        </row>
        <row r="1467">
          <cell r="B1467" t="str">
            <v>SERVICIO SUC BOGOTA ORIENTE</v>
          </cell>
        </row>
        <row r="1468">
          <cell r="B1468" t="str">
            <v>SERVICIO SUC BOGOTA SABANA</v>
          </cell>
        </row>
        <row r="1469">
          <cell r="B1469" t="str">
            <v>SERVICIO SUC BOGOTA SUROCCIDENTE</v>
          </cell>
        </row>
        <row r="1470">
          <cell r="B1470" t="str">
            <v>SERVICIO SUC CARIBE ATLANTICO</v>
          </cell>
        </row>
        <row r="1471">
          <cell r="B1471" t="str">
            <v>SERVICIO SUC CARIBE BARRANQUILLA</v>
          </cell>
        </row>
        <row r="1472">
          <cell r="B1472" t="str">
            <v>SERVICIO SUC CARIBE CARTAGENA</v>
          </cell>
        </row>
        <row r="1473">
          <cell r="B1473" t="str">
            <v>SERVICIO SUC CARIBE ROTA SIERRA NEVADA</v>
          </cell>
        </row>
        <row r="1474">
          <cell r="B1474" t="str">
            <v>SERVICIO SUC CARIBE ROTATIVO ATLANTICO</v>
          </cell>
        </row>
        <row r="1475">
          <cell r="B1475" t="str">
            <v>SERVICIO SUC CARIBE ROTATIVO CARTAGENA</v>
          </cell>
        </row>
        <row r="1476">
          <cell r="B1476" t="str">
            <v>SERVICIO SUC CARIBE SIERRA NEVADA</v>
          </cell>
        </row>
        <row r="1477">
          <cell r="B1477" t="str">
            <v>SERVICIO SUC CARIBE SINU Y SABANA</v>
          </cell>
        </row>
        <row r="1478">
          <cell r="B1478" t="str">
            <v>SERVICIO SUC CENTRO BOYACA</v>
          </cell>
        </row>
        <row r="1479">
          <cell r="B1479" t="str">
            <v>SERVICIO SUC CENTRO BUCARAMANGA</v>
          </cell>
        </row>
        <row r="1480">
          <cell r="B1480" t="str">
            <v>SERVICIO SUC CENTRO NTE SANTANDER</v>
          </cell>
        </row>
        <row r="1481">
          <cell r="B1481" t="str">
            <v>SERVICIO SUC CENTRO ROTATIVO TOLIMA</v>
          </cell>
        </row>
        <row r="1482">
          <cell r="B1482" t="str">
            <v>SERVICIO SUC CENTRO SANTANDER</v>
          </cell>
        </row>
        <row r="1483">
          <cell r="B1483" t="str">
            <v>SERVICIO SUC CENTRO SURCOLOMBIANA</v>
          </cell>
        </row>
        <row r="1484">
          <cell r="B1484" t="str">
            <v>SERVICIO SUC CENTRO TOLIMA</v>
          </cell>
        </row>
        <row r="1485">
          <cell r="B1485" t="str">
            <v>SERVICIO SUC ORINOQUIA Y AMAZONIA</v>
          </cell>
        </row>
        <row r="1486">
          <cell r="B1486" t="str">
            <v>SERVICIO SUC ROTATIVO 1 BCA EMPRESA BOG</v>
          </cell>
        </row>
        <row r="1487">
          <cell r="B1487" t="str">
            <v>SERVICIO SUC ROTATIVO 2 BCA EMPRESA BOG</v>
          </cell>
        </row>
        <row r="1488">
          <cell r="B1488" t="str">
            <v>SERVICIO SUC ROTATIVO 3 BCA EMPRESA BOG</v>
          </cell>
        </row>
        <row r="1489">
          <cell r="B1489" t="str">
            <v>SERVICIO SUC ROTATIVO 4 BCA EMPRESA BOG</v>
          </cell>
        </row>
        <row r="1490">
          <cell r="B1490" t="str">
            <v>SERVICIO SUC ROTATIVO 5 BCA EMPRESA BOG</v>
          </cell>
        </row>
        <row r="1491">
          <cell r="B1491" t="str">
            <v>SERVICIO SUC ROTATIVO 6 BCA EMPRESA BOG</v>
          </cell>
        </row>
        <row r="1492">
          <cell r="B1492" t="str">
            <v>SERVICIO SUC SUR CALI NORTE</v>
          </cell>
        </row>
        <row r="1493">
          <cell r="B1493" t="str">
            <v>SERVICIO SUC SUR CALI SUR</v>
          </cell>
        </row>
        <row r="1494">
          <cell r="B1494" t="str">
            <v>SERVICIO SUC SUR CALI Y SUR DEL VALLE</v>
          </cell>
        </row>
        <row r="1495">
          <cell r="B1495" t="str">
            <v>SERVICIO SUC SUR EJE NORTE CALDAS</v>
          </cell>
        </row>
        <row r="1496">
          <cell r="B1496" t="str">
            <v>SERVICIO SUC SUR NARIÑO Y CAUCA</v>
          </cell>
        </row>
        <row r="1497">
          <cell r="B1497" t="str">
            <v>SERVICIO SUC SUR QUINDIO Y VALLE CENTRO</v>
          </cell>
        </row>
        <row r="1498">
          <cell r="B1498" t="str">
            <v>SERVICIO SUC SUR RISARALDA Y VALLE NORTE</v>
          </cell>
        </row>
        <row r="1499">
          <cell r="B1499" t="str">
            <v>SERVICIO SUC SUR ROTATIVO NARIÑO CAUCA 1</v>
          </cell>
        </row>
        <row r="1500">
          <cell r="B1500" t="str">
            <v>SERVICIO SUC SUR ROTATIVO NARIÑO CAUCA 2</v>
          </cell>
        </row>
        <row r="1501">
          <cell r="B1501" t="str">
            <v>SERVICIOS FIDUCIARIOS</v>
          </cell>
        </row>
        <row r="1502">
          <cell r="B1502" t="str">
            <v>SOCIO ESTRATEGICO VIC CONSUMO ESP</v>
          </cell>
        </row>
        <row r="1503">
          <cell r="B1503" t="str">
            <v>SOCIO ESTRATEGICO VIC G.H Y RIESGOS</v>
          </cell>
        </row>
        <row r="1504">
          <cell r="B1504" t="str">
            <v>SOCIO ESTRATEGICO VIC MERK CAPITALES</v>
          </cell>
        </row>
        <row r="1505">
          <cell r="B1505" t="str">
            <v>SOCIO ESTRATEGICO VIC SERV CLIENTES</v>
          </cell>
        </row>
        <row r="1506">
          <cell r="B1506" t="str">
            <v>SOCIO ESTRATEGICO VIC TI Y ADMON</v>
          </cell>
        </row>
        <row r="1507">
          <cell r="B1507" t="str">
            <v>SOCIO ESTRATEGICO VIC UNIDADES DE APOYO</v>
          </cell>
        </row>
        <row r="1508">
          <cell r="B1508" t="str">
            <v>SOLUCIONES CLIENTES</v>
          </cell>
        </row>
        <row r="1509">
          <cell r="B1509" t="str">
            <v>SOLUCIONES INTEGRACION</v>
          </cell>
        </row>
        <row r="1510">
          <cell r="B1510" t="str">
            <v>SOLUCIONES PRODUCTOS Y CANALES</v>
          </cell>
        </row>
        <row r="1511">
          <cell r="B1511" t="str">
            <v>SUB FRENTE FUNCIONAL DE TARJETAS</v>
          </cell>
        </row>
        <row r="1512">
          <cell r="B1512" t="str">
            <v>SUC  DORADO PLAZA DS</v>
          </cell>
        </row>
        <row r="1513">
          <cell r="B1513" t="str">
            <v>SUC 20 DE JULIO</v>
          </cell>
        </row>
        <row r="1514">
          <cell r="B1514" t="str">
            <v>SUC 20 DE JULIO DS</v>
          </cell>
        </row>
        <row r="1515">
          <cell r="B1515" t="str">
            <v>SUC 30 DE AGOSTO</v>
          </cell>
        </row>
        <row r="1516">
          <cell r="B1516" t="str">
            <v>SUC 30 DE AGOSTO DS</v>
          </cell>
        </row>
        <row r="1517">
          <cell r="B1517" t="str">
            <v>SUC 3M DS</v>
          </cell>
        </row>
        <row r="1518">
          <cell r="B1518" t="str">
            <v>SUC ABREGO  DS</v>
          </cell>
        </row>
        <row r="1519">
          <cell r="B1519" t="str">
            <v>SUC ACACIAS</v>
          </cell>
        </row>
        <row r="1520">
          <cell r="B1520" t="str">
            <v>SUC ACACIAS DS</v>
          </cell>
        </row>
        <row r="1521">
          <cell r="B1521" t="str">
            <v>SUC ACOPI CALI</v>
          </cell>
        </row>
        <row r="1522">
          <cell r="B1522" t="str">
            <v>SUC ACOPI CALI DS</v>
          </cell>
        </row>
        <row r="1523">
          <cell r="B1523" t="str">
            <v>SUC AEROPUERTO EL DORADO</v>
          </cell>
        </row>
        <row r="1524">
          <cell r="B1524" t="str">
            <v>SUC AEROPUERTO EL DORADO DS</v>
          </cell>
        </row>
        <row r="1525">
          <cell r="B1525" t="str">
            <v>SUC AEROPUERTO OLAYA</v>
          </cell>
        </row>
        <row r="1526">
          <cell r="B1526" t="str">
            <v>SUC AEROPUERTO OLAYA DS</v>
          </cell>
        </row>
        <row r="1527">
          <cell r="B1527" t="str">
            <v>SUC AEROPUERTO RAFAEL NUÑEZ DS</v>
          </cell>
        </row>
        <row r="1528">
          <cell r="B1528" t="str">
            <v>SUC AGROGRAN</v>
          </cell>
        </row>
        <row r="1529">
          <cell r="B1529" t="str">
            <v>SUC AGROGRAN DS</v>
          </cell>
        </row>
        <row r="1530">
          <cell r="B1530" t="str">
            <v>SUC AGUACHICA</v>
          </cell>
        </row>
        <row r="1531">
          <cell r="B1531" t="str">
            <v>SUC AGUACHICA DS</v>
          </cell>
        </row>
        <row r="1532">
          <cell r="B1532" t="str">
            <v>SUC AGUADAS</v>
          </cell>
        </row>
        <row r="1533">
          <cell r="B1533" t="str">
            <v>SUC AGUADAS DS</v>
          </cell>
        </row>
        <row r="1534">
          <cell r="B1534" t="str">
            <v>SUC AGUAZUL</v>
          </cell>
        </row>
        <row r="1535">
          <cell r="B1535" t="str">
            <v>SUC AGUAZUL DS</v>
          </cell>
        </row>
        <row r="1536">
          <cell r="B1536" t="str">
            <v>SUC AIPE DS</v>
          </cell>
        </row>
        <row r="1537">
          <cell r="B1537" t="str">
            <v>SUC ALAMEDA</v>
          </cell>
        </row>
        <row r="1538">
          <cell r="B1538" t="str">
            <v>SUC ALAMEDA DS</v>
          </cell>
        </row>
        <row r="1539">
          <cell r="B1539" t="str">
            <v>SUC ALAMEDAS DEL SINU</v>
          </cell>
        </row>
        <row r="1540">
          <cell r="B1540" t="str">
            <v>SUC ALAMEDAS DEL SINU DS</v>
          </cell>
        </row>
        <row r="1541">
          <cell r="B1541" t="str">
            <v>SUC ALCALA</v>
          </cell>
        </row>
        <row r="1542">
          <cell r="B1542" t="str">
            <v>SUC ALCALA DS</v>
          </cell>
        </row>
        <row r="1543">
          <cell r="B1543" t="str">
            <v>SUC ALCALDIA ARMENIA</v>
          </cell>
        </row>
        <row r="1544">
          <cell r="B1544" t="str">
            <v>SUC ALCALDIA ARMENIA DS</v>
          </cell>
        </row>
        <row r="1545">
          <cell r="B1545" t="str">
            <v>SUC ALCARAVAN</v>
          </cell>
        </row>
        <row r="1546">
          <cell r="B1546" t="str">
            <v>SUC ALCARAVAN DS</v>
          </cell>
        </row>
        <row r="1547">
          <cell r="B1547" t="str">
            <v>SUC ALIADAS</v>
          </cell>
        </row>
        <row r="1548">
          <cell r="B1548" t="str">
            <v>SUC ALIADAS DS</v>
          </cell>
        </row>
        <row r="1549">
          <cell r="B1549" t="str">
            <v>SUC ALKOSTO PASTO</v>
          </cell>
        </row>
        <row r="1550">
          <cell r="B1550" t="str">
            <v>SUC ALKOSTO PASTO DS</v>
          </cell>
        </row>
        <row r="1551">
          <cell r="B1551" t="str">
            <v>SUC ALMACENTRO</v>
          </cell>
        </row>
        <row r="1552">
          <cell r="B1552" t="str">
            <v>SUC ALMACENTRO DS</v>
          </cell>
        </row>
        <row r="1553">
          <cell r="B1553" t="str">
            <v>SUC ALTAVISTA USME</v>
          </cell>
        </row>
        <row r="1554">
          <cell r="B1554" t="str">
            <v>SUC ALTAVISTA USME DS</v>
          </cell>
        </row>
        <row r="1555">
          <cell r="B1555" t="str">
            <v>SUC ALTO PRADO</v>
          </cell>
        </row>
        <row r="1556">
          <cell r="B1556" t="str">
            <v>SUC ALTO PRADO DS</v>
          </cell>
        </row>
        <row r="1557">
          <cell r="B1557" t="str">
            <v>SUC AMAGA</v>
          </cell>
        </row>
        <row r="1558">
          <cell r="B1558" t="str">
            <v>SUC AMAGA DS</v>
          </cell>
        </row>
        <row r="1559">
          <cell r="B1559" t="str">
            <v>SUC AMBALEMA DS</v>
          </cell>
        </row>
        <row r="1560">
          <cell r="B1560" t="str">
            <v>SUC ANAPOIMA</v>
          </cell>
        </row>
        <row r="1561">
          <cell r="B1561" t="str">
            <v>SUC ANAPOIMA DS</v>
          </cell>
        </row>
        <row r="1562">
          <cell r="B1562" t="str">
            <v>SUC ANDES</v>
          </cell>
        </row>
        <row r="1563">
          <cell r="B1563" t="str">
            <v>SUC ANDES DS</v>
          </cell>
        </row>
        <row r="1564">
          <cell r="B1564" t="str">
            <v>SUC ANSERMA</v>
          </cell>
        </row>
        <row r="1565">
          <cell r="B1565" t="str">
            <v>SUC ANSERMA DS</v>
          </cell>
        </row>
        <row r="1566">
          <cell r="B1566" t="str">
            <v>SUC ANTIGUO COUNTRY</v>
          </cell>
        </row>
        <row r="1567">
          <cell r="B1567" t="str">
            <v>SUC ANTIGUO COUNTRY DS</v>
          </cell>
        </row>
        <row r="1568">
          <cell r="B1568" t="str">
            <v>SUC APARTADO</v>
          </cell>
        </row>
        <row r="1569">
          <cell r="B1569" t="str">
            <v>SUC APARTADO DS</v>
          </cell>
        </row>
        <row r="1570">
          <cell r="B1570" t="str">
            <v>SUC ARAUCA</v>
          </cell>
        </row>
        <row r="1571">
          <cell r="B1571" t="str">
            <v>SUC ARAUCA DS</v>
          </cell>
        </row>
        <row r="1572">
          <cell r="B1572" t="str">
            <v>SUC AREA ANDINA DS</v>
          </cell>
        </row>
        <row r="1573">
          <cell r="B1573" t="str">
            <v>SUC ARJONA</v>
          </cell>
        </row>
        <row r="1574">
          <cell r="B1574" t="str">
            <v>SUC ARMENIA CENTRO</v>
          </cell>
        </row>
        <row r="1575">
          <cell r="B1575" t="str">
            <v>SUC ARMENIA CENTRO DS</v>
          </cell>
        </row>
        <row r="1576">
          <cell r="B1576" t="str">
            <v>SUC ARMENIA NORTE</v>
          </cell>
        </row>
        <row r="1577">
          <cell r="B1577" t="str">
            <v>SUC ARMENIA NORTE DS</v>
          </cell>
        </row>
        <row r="1578">
          <cell r="B1578" t="str">
            <v>SUC ASESORIA Y VENTA LOS SAUCES</v>
          </cell>
        </row>
        <row r="1579">
          <cell r="B1579" t="str">
            <v>SUC ASTROCENTRO</v>
          </cell>
        </row>
        <row r="1580">
          <cell r="B1580" t="str">
            <v>SUC ASTROCENTRO DS</v>
          </cell>
        </row>
        <row r="1581">
          <cell r="B1581" t="str">
            <v>SUC AUTOBANCO CONQUISTADORES DS</v>
          </cell>
        </row>
        <row r="1582">
          <cell r="B1582" t="str">
            <v>SUC AUTOCONAVI CONQUISTADORES DS</v>
          </cell>
        </row>
        <row r="1583">
          <cell r="B1583" t="str">
            <v>SUC AUTONAL DS</v>
          </cell>
        </row>
        <row r="1584">
          <cell r="B1584" t="str">
            <v>SUC AUTOPISTA 184</v>
          </cell>
        </row>
        <row r="1585">
          <cell r="B1585" t="str">
            <v>SUC AUTOPISTA 184 DS</v>
          </cell>
        </row>
        <row r="1586">
          <cell r="B1586" t="str">
            <v>SUC AUTOPISTA 98</v>
          </cell>
        </row>
        <row r="1587">
          <cell r="B1587" t="str">
            <v>SUC AUTOPISTA 98 DS</v>
          </cell>
        </row>
        <row r="1588">
          <cell r="B1588" t="str">
            <v>SUC AUTOSERVICIOS SAN DIEGO DS</v>
          </cell>
        </row>
        <row r="1589">
          <cell r="B1589" t="str">
            <v>SUC AVENIDA 127</v>
          </cell>
        </row>
        <row r="1590">
          <cell r="B1590" t="str">
            <v>SUC AVENIDA 127 DS</v>
          </cell>
        </row>
        <row r="1591">
          <cell r="B1591" t="str">
            <v>SUC AVENIDA 19</v>
          </cell>
        </row>
        <row r="1592">
          <cell r="B1592" t="str">
            <v>SUC AVENIDA 19 DS</v>
          </cell>
        </row>
        <row r="1593">
          <cell r="B1593" t="str">
            <v>SUC AVENIDA 68</v>
          </cell>
        </row>
        <row r="1594">
          <cell r="B1594" t="str">
            <v>SUC AVENIDA 68 DS</v>
          </cell>
        </row>
        <row r="1595">
          <cell r="B1595" t="str">
            <v>SUC AVENIDA 82</v>
          </cell>
        </row>
        <row r="1596">
          <cell r="B1596" t="str">
            <v>SUC AVENIDA 82 DS</v>
          </cell>
        </row>
        <row r="1597">
          <cell r="B1597" t="str">
            <v>SUC AVENIDA BOLIVARIANA</v>
          </cell>
        </row>
        <row r="1598">
          <cell r="B1598" t="str">
            <v>SUC AVENIDA BOLIVARIANA DS</v>
          </cell>
        </row>
        <row r="1599">
          <cell r="B1599" t="str">
            <v>SUC AVENIDA CAÑAS GORDAS</v>
          </cell>
        </row>
        <row r="1600">
          <cell r="B1600" t="str">
            <v>SUC AVENIDA CAÑAS GORDAS DS</v>
          </cell>
        </row>
        <row r="1601">
          <cell r="B1601" t="str">
            <v>SUC AVENIDA CARACAS</v>
          </cell>
        </row>
        <row r="1602">
          <cell r="B1602" t="str">
            <v>SUC AVENIDA CARACAS DS</v>
          </cell>
        </row>
        <row r="1603">
          <cell r="B1603" t="str">
            <v>SUC AVENIDA CERO 2</v>
          </cell>
        </row>
        <row r="1604">
          <cell r="B1604" t="str">
            <v>SUC AVENIDA CERO 2 DS</v>
          </cell>
        </row>
        <row r="1605">
          <cell r="B1605" t="str">
            <v>SUC AVENIDA CHILE</v>
          </cell>
        </row>
        <row r="1606">
          <cell r="B1606" t="str">
            <v>SUC AVENIDA CHILE DS</v>
          </cell>
        </row>
        <row r="1607">
          <cell r="B1607" t="str">
            <v>SUC AVENIDA COLOMBIA</v>
          </cell>
        </row>
        <row r="1608">
          <cell r="B1608" t="str">
            <v>SUC AVENIDA COLOMBIA DS</v>
          </cell>
        </row>
        <row r="1609">
          <cell r="B1609" t="str">
            <v>SUC AVENIDA DE LAS AMERICAS</v>
          </cell>
        </row>
        <row r="1610">
          <cell r="B1610" t="str">
            <v>SUC AVENIDA DE LAS AMERICAS DS</v>
          </cell>
        </row>
        <row r="1611">
          <cell r="B1611" t="str">
            <v>SUC AVENIDA EL POBLADO</v>
          </cell>
        </row>
        <row r="1612">
          <cell r="B1612" t="str">
            <v>SUC AVENIDA EL POBLADO DS</v>
          </cell>
        </row>
        <row r="1613">
          <cell r="B1613" t="str">
            <v>SUC AVENIDA JUNIN</v>
          </cell>
        </row>
        <row r="1614">
          <cell r="B1614" t="str">
            <v>SUC AVENIDA JUNIN DS</v>
          </cell>
        </row>
        <row r="1615">
          <cell r="B1615" t="str">
            <v>SUC AVENIDA KENNEDY</v>
          </cell>
        </row>
        <row r="1616">
          <cell r="B1616" t="str">
            <v>SUC AVENIDA KENNEDY DS</v>
          </cell>
        </row>
        <row r="1617">
          <cell r="B1617" t="str">
            <v>SUC AVENIDA LAS VEGAS</v>
          </cell>
        </row>
        <row r="1618">
          <cell r="B1618" t="str">
            <v>SUC AVENIDA LAS VEGAS DS</v>
          </cell>
        </row>
        <row r="1619">
          <cell r="B1619" t="str">
            <v>SUC AVENIDA LIBERTADOR BUCARAMANGA</v>
          </cell>
        </row>
        <row r="1620">
          <cell r="B1620" t="str">
            <v>SUC AVENIDA LIBERTADOR BUCARAMANGA DS</v>
          </cell>
        </row>
        <row r="1621">
          <cell r="B1621" t="str">
            <v>SUC AVENIDA NUTIBARA</v>
          </cell>
        </row>
        <row r="1622">
          <cell r="B1622" t="str">
            <v>SUC AVENIDA NUTIBARA DS</v>
          </cell>
        </row>
        <row r="1623">
          <cell r="B1623" t="str">
            <v>SUC AVENIDA ORIENTAL</v>
          </cell>
        </row>
        <row r="1624">
          <cell r="B1624" t="str">
            <v>SUC AVENIDA ORIENTAL DS</v>
          </cell>
        </row>
        <row r="1625">
          <cell r="B1625" t="str">
            <v>SUC AVENIDA PEPE SIERRA</v>
          </cell>
        </row>
        <row r="1626">
          <cell r="B1626" t="str">
            <v>SUC AVENIDA PEPE SIERRA DS</v>
          </cell>
        </row>
        <row r="1627">
          <cell r="B1627" t="str">
            <v>SUC AVENIDA ROOSVELT</v>
          </cell>
        </row>
        <row r="1628">
          <cell r="B1628" t="str">
            <v>SUC AVENIDA ROOSVELT DS</v>
          </cell>
        </row>
        <row r="1629">
          <cell r="B1629" t="str">
            <v>SUC AVENIDA SAN MARTIN</v>
          </cell>
        </row>
        <row r="1630">
          <cell r="B1630" t="str">
            <v>SUC AVENIDA SAN MARTIN DS</v>
          </cell>
        </row>
        <row r="1631">
          <cell r="B1631" t="str">
            <v>SUC AVENIDA SANTANDER</v>
          </cell>
        </row>
        <row r="1632">
          <cell r="B1632" t="str">
            <v>SUC AVENIDA SANTANDER DS</v>
          </cell>
        </row>
        <row r="1633">
          <cell r="B1633" t="str">
            <v>SUC AVENIDA SEXTA BOGOTA</v>
          </cell>
        </row>
        <row r="1634">
          <cell r="B1634" t="str">
            <v>SUC AVENIDA SEXTA BOGOTA DS</v>
          </cell>
        </row>
        <row r="1635">
          <cell r="B1635" t="str">
            <v>SUC AVENIDA SUBA 106</v>
          </cell>
        </row>
        <row r="1636">
          <cell r="B1636" t="str">
            <v>SUC AVENIDA SUBA 106 DS</v>
          </cell>
        </row>
        <row r="1637">
          <cell r="B1637" t="str">
            <v>SUC AYAPEL DS</v>
          </cell>
        </row>
        <row r="1638">
          <cell r="B1638" t="str">
            <v>SUC BANCA COLOMBIA AVENIDA CHILE</v>
          </cell>
        </row>
        <row r="1639">
          <cell r="B1639" t="str">
            <v>SUC BANCA COLOMBIA AVENIDA CHILE DS</v>
          </cell>
        </row>
        <row r="1640">
          <cell r="B1640" t="str">
            <v>SUC BANCA COLOMBIA BARRANQUILLA</v>
          </cell>
        </row>
        <row r="1641">
          <cell r="B1641" t="str">
            <v>SUC BANCA COLOMBIA BARRANQUILLA DS</v>
          </cell>
        </row>
        <row r="1642">
          <cell r="B1642" t="str">
            <v>SUC BANCA COLOMBIA BUCARAMANGA</v>
          </cell>
        </row>
        <row r="1643">
          <cell r="B1643" t="str">
            <v>SUC BANCA COLOMBIA BUCARAMANGA DS</v>
          </cell>
        </row>
        <row r="1644">
          <cell r="B1644" t="str">
            <v>SUC BANCA COLOMBIA CALLE 122 DS</v>
          </cell>
        </row>
        <row r="1645">
          <cell r="B1645" t="str">
            <v>SUC BANCA COLOMBIA CAMINO REAL</v>
          </cell>
        </row>
        <row r="1646">
          <cell r="B1646" t="str">
            <v>SUC BANCA COLOMBIA CAMINO REAL DS</v>
          </cell>
        </row>
        <row r="1647">
          <cell r="B1647" t="str">
            <v>SUC BANCA COLOMBIA CARTAGENA</v>
          </cell>
        </row>
        <row r="1648">
          <cell r="B1648" t="str">
            <v>SUC BANCA COLOMBIA CARTAGENA DS</v>
          </cell>
        </row>
        <row r="1649">
          <cell r="B1649" t="str">
            <v>SUC BANCA COLOMBIA DIEZ</v>
          </cell>
        </row>
        <row r="1650">
          <cell r="B1650" t="str">
            <v>SUC BANCA COLOMBIA DIEZ DS</v>
          </cell>
        </row>
        <row r="1651">
          <cell r="B1651" t="str">
            <v>SUC BANCA COLOMBIA GRANADA CALI</v>
          </cell>
        </row>
        <row r="1652">
          <cell r="B1652" t="str">
            <v>SUC BANCA COLOMBIA GRANADA CALI DS</v>
          </cell>
        </row>
        <row r="1653">
          <cell r="B1653" t="str">
            <v>SUC BANCA COLOMBIA LA CABRERA</v>
          </cell>
        </row>
        <row r="1654">
          <cell r="B1654" t="str">
            <v>SUC BANCA COLOMBIA LA CABRERA DS</v>
          </cell>
        </row>
        <row r="1655">
          <cell r="B1655" t="str">
            <v>SUC BANCA COLOMBIA MANIZALES</v>
          </cell>
        </row>
        <row r="1656">
          <cell r="B1656" t="str">
            <v>SUC BANCA COLOMBIA MANIZALES DS</v>
          </cell>
        </row>
        <row r="1657">
          <cell r="B1657" t="str">
            <v>SUC BANCA COLOMBIA MUSEO NACIONAL</v>
          </cell>
        </row>
        <row r="1658">
          <cell r="B1658" t="str">
            <v>SUC BANCA COLOMBIA MUSEO NACIONAL DS</v>
          </cell>
        </row>
        <row r="1659">
          <cell r="B1659" t="str">
            <v>SUC BANCA COLOMBIA OVIEDO</v>
          </cell>
        </row>
        <row r="1660">
          <cell r="B1660" t="str">
            <v>SUC BANCA COLOMBIA OVIEDO  DS</v>
          </cell>
        </row>
        <row r="1661">
          <cell r="B1661" t="str">
            <v>SUC BANCA COLOMBIA PARQUE SURA</v>
          </cell>
        </row>
        <row r="1662">
          <cell r="B1662" t="str">
            <v>SUC BANCA COLOMBIA PARQUE SURA DS</v>
          </cell>
        </row>
        <row r="1663">
          <cell r="B1663" t="str">
            <v>SUC BANCA COLOMBIA PEREIRA</v>
          </cell>
        </row>
        <row r="1664">
          <cell r="B1664" t="str">
            <v>SUC BANCA COLOMBIA PEREIRA DS</v>
          </cell>
        </row>
        <row r="1665">
          <cell r="B1665" t="str">
            <v>SUC BANCA COLOMBIA SALITRE</v>
          </cell>
        </row>
        <row r="1666">
          <cell r="B1666" t="str">
            <v>SUC BANCA COLOMBIA SALITRE DS</v>
          </cell>
        </row>
        <row r="1667">
          <cell r="B1667" t="str">
            <v>SUC BANCA COLOMBIA SAN FERNANDO PLAZA</v>
          </cell>
        </row>
        <row r="1668">
          <cell r="B1668" t="str">
            <v>SUC BANCA COLOMBIA SANTA PAULA</v>
          </cell>
        </row>
        <row r="1669">
          <cell r="B1669" t="str">
            <v>SUC BANCA COLOMBIA SANTA PAULA DS</v>
          </cell>
        </row>
        <row r="1670">
          <cell r="B1670" t="str">
            <v>SUC BANCA COLOMBIA WORLD TRADE CENTER</v>
          </cell>
        </row>
        <row r="1671">
          <cell r="B1671" t="str">
            <v>SUC BANCA COLOMBIA WORLD TRADE CENTER DS</v>
          </cell>
        </row>
        <row r="1672">
          <cell r="B1672" t="str">
            <v>SUC BANCA ESPECIALIZADA ANTIOQUIA DS</v>
          </cell>
        </row>
        <row r="1673">
          <cell r="B1673" t="str">
            <v>SUC BANCA ESPECIALIZADA BARRANQUILLA DS</v>
          </cell>
        </row>
        <row r="1674">
          <cell r="B1674" t="str">
            <v>SUC BANCA ESPECIALIZADA BOGOTA DS</v>
          </cell>
        </row>
        <row r="1675">
          <cell r="B1675" t="str">
            <v>SUC BANCA ESPECIALIZADA CALI  DS</v>
          </cell>
        </row>
        <row r="1676">
          <cell r="B1676" t="str">
            <v>SUC BANCA ESPECIALIZADA CARIBE DS</v>
          </cell>
        </row>
        <row r="1677">
          <cell r="B1677" t="str">
            <v>SUC BANCA ESPECIALIZADA CARTAGENA DS</v>
          </cell>
        </row>
        <row r="1678">
          <cell r="B1678" t="str">
            <v>SUC BANCA ESPECIALIZADA SUR DS</v>
          </cell>
        </row>
        <row r="1679">
          <cell r="B1679" t="str">
            <v>SUC BANCA PREFERENCIAL AVENIDA CHILE</v>
          </cell>
        </row>
        <row r="1680">
          <cell r="B1680" t="str">
            <v>SUC BANCA PREFERENCIAL BARRANQUILLA</v>
          </cell>
        </row>
        <row r="1681">
          <cell r="B1681" t="str">
            <v>SUC BANCA PREFERENCIAL SAN FERNANDO PLAZ</v>
          </cell>
        </row>
        <row r="1682">
          <cell r="B1682" t="str">
            <v>SUC BANCA PREFERENCIAL WORLD TRADE CENTE</v>
          </cell>
        </row>
        <row r="1683">
          <cell r="B1683" t="str">
            <v>SUC BANCA PRIVADA ANTIOQUIA DS</v>
          </cell>
        </row>
        <row r="1684">
          <cell r="B1684" t="str">
            <v>SUC BANCA PRIVADA BOGOTA DS</v>
          </cell>
        </row>
        <row r="1685">
          <cell r="B1685" t="str">
            <v>SUC BANCA PRIVADA BUCARAMANGA VALORES</v>
          </cell>
        </row>
        <row r="1686">
          <cell r="B1686" t="str">
            <v>SUC BANCA PRIVADA CALI DS</v>
          </cell>
        </row>
        <row r="1687">
          <cell r="B1687" t="str">
            <v>SUC BARANOA DS</v>
          </cell>
        </row>
        <row r="1688">
          <cell r="B1688" t="str">
            <v>SUC BARBOSA</v>
          </cell>
        </row>
        <row r="1689">
          <cell r="B1689" t="str">
            <v>SUC BARBOSA DS</v>
          </cell>
        </row>
        <row r="1690">
          <cell r="B1690" t="str">
            <v>SUC BARBOSA SANTANDER</v>
          </cell>
        </row>
        <row r="1691">
          <cell r="B1691" t="str">
            <v>SUC BARBOSA SANTANDER DS</v>
          </cell>
        </row>
        <row r="1692">
          <cell r="B1692" t="str">
            <v>SUC BARRANCABERMEJA</v>
          </cell>
        </row>
        <row r="1693">
          <cell r="B1693" t="str">
            <v>SUC BARRANCABERMEJA DS</v>
          </cell>
        </row>
        <row r="1694">
          <cell r="B1694" t="str">
            <v>SUC BARRANQUILLA</v>
          </cell>
        </row>
        <row r="1695">
          <cell r="B1695" t="str">
            <v>SUC BARRANQUILLA DS</v>
          </cell>
        </row>
        <row r="1696">
          <cell r="B1696" t="str">
            <v>SUC BARRIO 7 DE AGOSTO</v>
          </cell>
        </row>
        <row r="1697">
          <cell r="B1697" t="str">
            <v>SUC BARRIO 7 DE AGOSTO DS</v>
          </cell>
        </row>
        <row r="1698">
          <cell r="B1698" t="str">
            <v>SUC BARRIO ALQUERIA</v>
          </cell>
        </row>
        <row r="1699">
          <cell r="B1699" t="str">
            <v>SUC BARRIO ALQUERIA DS</v>
          </cell>
        </row>
        <row r="1700">
          <cell r="B1700" t="str">
            <v>SUC BARRIO CUBA</v>
          </cell>
        </row>
        <row r="1701">
          <cell r="B1701" t="str">
            <v>SUC BARRIO CUBA DS</v>
          </cell>
        </row>
        <row r="1702">
          <cell r="B1702" t="str">
            <v>SUC BARRIO RESTREPO</v>
          </cell>
        </row>
        <row r="1703">
          <cell r="B1703" t="str">
            <v>SUC BARRIO RESTREPO DS</v>
          </cell>
        </row>
        <row r="1704">
          <cell r="B1704" t="str">
            <v>SUC BARRIO RICAURTE</v>
          </cell>
        </row>
        <row r="1705">
          <cell r="B1705" t="str">
            <v>SUC BARRIO RICAURTE DS</v>
          </cell>
        </row>
        <row r="1706">
          <cell r="B1706" t="str">
            <v>SUC BARRIO SANTA LUCIA</v>
          </cell>
        </row>
        <row r="1707">
          <cell r="B1707" t="str">
            <v>SUC BARRIO SANTA LUCIA DS</v>
          </cell>
        </row>
        <row r="1708">
          <cell r="B1708" t="str">
            <v>SUC BARRIO SANTANDER</v>
          </cell>
        </row>
        <row r="1709">
          <cell r="B1709" t="str">
            <v>SUC BARRIO SANTANDER DS</v>
          </cell>
        </row>
        <row r="1710">
          <cell r="B1710" t="str">
            <v>SUC BARRIO TRISTE</v>
          </cell>
        </row>
        <row r="1711">
          <cell r="B1711" t="str">
            <v>SUC BARRIO TRISTE DS</v>
          </cell>
        </row>
        <row r="1712">
          <cell r="B1712" t="str">
            <v>SUC BARRIOS UNIDOS</v>
          </cell>
        </row>
        <row r="1713">
          <cell r="B1713" t="str">
            <v>SUC BARRIOS UNIDOS DS</v>
          </cell>
        </row>
        <row r="1714">
          <cell r="B1714" t="str">
            <v>SUC BAVARIA ARMENIA DS</v>
          </cell>
        </row>
        <row r="1715">
          <cell r="B1715" t="str">
            <v>SUC BAVARIA BUCARAMANGA DS</v>
          </cell>
        </row>
        <row r="1716">
          <cell r="B1716" t="str">
            <v>SUC BAVARIA CARTAGENA DS</v>
          </cell>
        </row>
        <row r="1717">
          <cell r="B1717" t="str">
            <v>SUC BAVARIA CUCUTA DS</v>
          </cell>
        </row>
        <row r="1718">
          <cell r="B1718" t="str">
            <v>SUC BAVARIA DUITAMA DS</v>
          </cell>
        </row>
        <row r="1719">
          <cell r="B1719" t="str">
            <v>SUC BAVARIA GIRARDOT DS</v>
          </cell>
        </row>
        <row r="1720">
          <cell r="B1720" t="str">
            <v>SUC BAVARIA LEONA DS</v>
          </cell>
        </row>
        <row r="1721">
          <cell r="B1721" t="str">
            <v>SUC BAVARIA NEIVA DS</v>
          </cell>
        </row>
        <row r="1722">
          <cell r="B1722" t="str">
            <v>SUC BAVARIA SANTA MARTA DS</v>
          </cell>
        </row>
        <row r="1723">
          <cell r="B1723" t="str">
            <v>SUC BAVARIA VALLEDUPAR DS</v>
          </cell>
        </row>
        <row r="1724">
          <cell r="B1724" t="str">
            <v>SUC BAVARIA YUMBO DS</v>
          </cell>
        </row>
        <row r="1725">
          <cell r="B1725" t="str">
            <v>SUC BAYER AVENIDA LAS AMERICAS DS</v>
          </cell>
        </row>
        <row r="1726">
          <cell r="B1726" t="str">
            <v>SUC BAZAR ALSACIA</v>
          </cell>
        </row>
        <row r="1727">
          <cell r="B1727" t="str">
            <v>SUC BAZAR ALSACIA DS</v>
          </cell>
        </row>
        <row r="1728">
          <cell r="B1728" t="str">
            <v>SUC BCA PREF SAN FERNANDO PLAZA DS</v>
          </cell>
        </row>
        <row r="1729">
          <cell r="B1729" t="str">
            <v>SUC BELEN</v>
          </cell>
        </row>
        <row r="1730">
          <cell r="B1730" t="str">
            <v>SUC BELEN DE UMBRIA</v>
          </cell>
        </row>
        <row r="1731">
          <cell r="B1731" t="str">
            <v>SUC BELEN DE UMBRIA DS</v>
          </cell>
        </row>
        <row r="1732">
          <cell r="B1732" t="str">
            <v>SUC BELEN DS</v>
          </cell>
        </row>
        <row r="1733">
          <cell r="B1733" t="str">
            <v>SUC BELEN PARQUE</v>
          </cell>
        </row>
        <row r="1734">
          <cell r="B1734" t="str">
            <v>SUC BELEN PARQUE DS</v>
          </cell>
        </row>
        <row r="1735">
          <cell r="B1735" t="str">
            <v>SUC BELLA SUIZA</v>
          </cell>
        </row>
        <row r="1736">
          <cell r="B1736" t="str">
            <v>SUC BELLA SUIZA DS</v>
          </cell>
        </row>
        <row r="1737">
          <cell r="B1737" t="str">
            <v>SUC BELLO CENTRO CCIAL</v>
          </cell>
        </row>
        <row r="1738">
          <cell r="B1738" t="str">
            <v>SUC BELLO CENTRO CCIAL DS</v>
          </cell>
        </row>
        <row r="1739">
          <cell r="B1739" t="str">
            <v>SUC BETANIA DS</v>
          </cell>
        </row>
        <row r="1740">
          <cell r="B1740" t="str">
            <v>SUC BOCAGRANDE</v>
          </cell>
        </row>
        <row r="1741">
          <cell r="B1741" t="str">
            <v>SUC BOCAGRANDE DS</v>
          </cell>
        </row>
        <row r="1742">
          <cell r="B1742" t="str">
            <v>SUC BOJACA DS</v>
          </cell>
        </row>
        <row r="1743">
          <cell r="B1743" t="str">
            <v>SUC BOSA</v>
          </cell>
        </row>
        <row r="1744">
          <cell r="B1744" t="str">
            <v>SUC BOSA DS</v>
          </cell>
        </row>
        <row r="1745">
          <cell r="B1745" t="str">
            <v>SUC BOSCONIA</v>
          </cell>
        </row>
        <row r="1746">
          <cell r="B1746" t="str">
            <v>SUC BOSCONIA DS</v>
          </cell>
        </row>
        <row r="1747">
          <cell r="B1747" t="str">
            <v>SUC BOULEVAR ENVIGADO</v>
          </cell>
        </row>
        <row r="1748">
          <cell r="B1748" t="str">
            <v>SUC BOULEVAR ENVIGADO DS</v>
          </cell>
        </row>
        <row r="1749">
          <cell r="B1749" t="str">
            <v>SUC BUCARAMANGA</v>
          </cell>
        </row>
        <row r="1750">
          <cell r="B1750" t="str">
            <v>SUC BUCARAMANGA DS</v>
          </cell>
        </row>
        <row r="1751">
          <cell r="B1751" t="str">
            <v>SUC BUENAVENTURA</v>
          </cell>
        </row>
        <row r="1752">
          <cell r="B1752" t="str">
            <v>SUC BUENAVENTURA DS</v>
          </cell>
        </row>
        <row r="1753">
          <cell r="B1753" t="str">
            <v>SUC BUENAVISTA DEL SINU  DS</v>
          </cell>
        </row>
        <row r="1754">
          <cell r="B1754" t="str">
            <v>SUC BUENAVISTA DS</v>
          </cell>
        </row>
        <row r="1755">
          <cell r="B1755" t="str">
            <v>SUC BUENAVISTA II</v>
          </cell>
        </row>
        <row r="1756">
          <cell r="B1756" t="str">
            <v>SUC BUENOS AIRES</v>
          </cell>
        </row>
        <row r="1757">
          <cell r="B1757" t="str">
            <v>SUC BUENOS AIRES DS</v>
          </cell>
        </row>
        <row r="1758">
          <cell r="B1758" t="str">
            <v>SUC BUGA</v>
          </cell>
        </row>
        <row r="1759">
          <cell r="B1759" t="str">
            <v>SUC BUGA DS</v>
          </cell>
        </row>
        <row r="1760">
          <cell r="B1760" t="str">
            <v>SUC BUGALAGRANDE</v>
          </cell>
        </row>
        <row r="1761">
          <cell r="B1761" t="str">
            <v>SUC BUGALAGRANDE DS</v>
          </cell>
        </row>
        <row r="1762">
          <cell r="B1762" t="str">
            <v>SUC BUGANVILES</v>
          </cell>
        </row>
        <row r="1763">
          <cell r="B1763" t="str">
            <v>SUC BUGANVILES DS</v>
          </cell>
        </row>
        <row r="1764">
          <cell r="B1764" t="str">
            <v>SUC BULEVAR 54</v>
          </cell>
        </row>
        <row r="1765">
          <cell r="B1765" t="str">
            <v>SUC BULEVAR 54 DS</v>
          </cell>
        </row>
        <row r="1766">
          <cell r="B1766" t="str">
            <v>SUC CABECERA</v>
          </cell>
        </row>
        <row r="1767">
          <cell r="B1767" t="str">
            <v>SUC CABECERA DEL LLANO</v>
          </cell>
        </row>
        <row r="1768">
          <cell r="B1768" t="str">
            <v>SUC CABECERA DEL LLANO DS</v>
          </cell>
        </row>
        <row r="1769">
          <cell r="B1769" t="str">
            <v>SUC CABECERA DS</v>
          </cell>
        </row>
        <row r="1770">
          <cell r="B1770" t="str">
            <v>SUC CACIQUE</v>
          </cell>
        </row>
        <row r="1771">
          <cell r="B1771" t="str">
            <v>SUC CACIQUE DS</v>
          </cell>
        </row>
        <row r="1772">
          <cell r="B1772" t="str">
            <v>SUC CAICEDONIA</v>
          </cell>
        </row>
        <row r="1773">
          <cell r="B1773" t="str">
            <v>SUC CAICEDONIA DS</v>
          </cell>
        </row>
        <row r="1774">
          <cell r="B1774" t="str">
            <v>SUC CAJA RESTREPO DS</v>
          </cell>
        </row>
        <row r="1775">
          <cell r="B1775" t="str">
            <v>SUC CAJAMARCA</v>
          </cell>
        </row>
        <row r="1776">
          <cell r="B1776" t="str">
            <v>SUC CAJAMARCA DS</v>
          </cell>
        </row>
        <row r="1777">
          <cell r="B1777" t="str">
            <v>SUC CAJICA</v>
          </cell>
        </row>
        <row r="1778">
          <cell r="B1778" t="str">
            <v>SUC CAJICA DS</v>
          </cell>
        </row>
        <row r="1779">
          <cell r="B1779" t="str">
            <v>SUC CALARCA</v>
          </cell>
        </row>
        <row r="1780">
          <cell r="B1780" t="str">
            <v>SUC CALARCA DS</v>
          </cell>
        </row>
        <row r="1781">
          <cell r="B1781" t="str">
            <v>SUC CALASANZ</v>
          </cell>
        </row>
        <row r="1782">
          <cell r="B1782" t="str">
            <v>SUC CALASANZ DS</v>
          </cell>
        </row>
        <row r="1783">
          <cell r="B1783" t="str">
            <v>SUC CALDAS PARQUE</v>
          </cell>
        </row>
        <row r="1784">
          <cell r="B1784" t="str">
            <v>SUC CALDAS PARQUE DS</v>
          </cell>
        </row>
        <row r="1785">
          <cell r="B1785" t="str">
            <v>SUC CALI</v>
          </cell>
        </row>
        <row r="1786">
          <cell r="B1786" t="str">
            <v>SUC CALI DS</v>
          </cell>
        </row>
        <row r="1787">
          <cell r="B1787" t="str">
            <v>SUC CALIMA</v>
          </cell>
        </row>
        <row r="1788">
          <cell r="B1788" t="str">
            <v>SUC CALIMA DS</v>
          </cell>
        </row>
        <row r="1789">
          <cell r="B1789" t="str">
            <v>SUC CALLE  80</v>
          </cell>
        </row>
        <row r="1790">
          <cell r="B1790" t="str">
            <v>SUC CALLE 10</v>
          </cell>
        </row>
        <row r="1791">
          <cell r="B1791" t="str">
            <v>SUC CALLE 10 DS</v>
          </cell>
        </row>
        <row r="1792">
          <cell r="B1792" t="str">
            <v>SUC CALLE 100</v>
          </cell>
        </row>
        <row r="1793">
          <cell r="B1793" t="str">
            <v>SUC CALLE 100 DS</v>
          </cell>
        </row>
        <row r="1794">
          <cell r="B1794" t="str">
            <v>SUC CALLE 101</v>
          </cell>
        </row>
        <row r="1795">
          <cell r="B1795" t="str">
            <v>SUC CALLE 101 DS</v>
          </cell>
        </row>
        <row r="1796">
          <cell r="B1796" t="str">
            <v>SUC CALLE 122</v>
          </cell>
        </row>
        <row r="1797">
          <cell r="B1797" t="str">
            <v>SUC CALLE 122 DS</v>
          </cell>
        </row>
        <row r="1798">
          <cell r="B1798" t="str">
            <v>SUC CALLE 13 - 2</v>
          </cell>
        </row>
        <row r="1799">
          <cell r="B1799" t="str">
            <v>SUC CALLE 13 - 2 DS</v>
          </cell>
        </row>
        <row r="1800">
          <cell r="B1800" t="str">
            <v>SUC CALLE 140</v>
          </cell>
        </row>
        <row r="1801">
          <cell r="B1801" t="str">
            <v>SUC CALLE 140 DS</v>
          </cell>
        </row>
        <row r="1802">
          <cell r="B1802" t="str">
            <v>SUC CALLE 18</v>
          </cell>
        </row>
        <row r="1803">
          <cell r="B1803" t="str">
            <v>SUC CALLE 18 DS</v>
          </cell>
        </row>
        <row r="1804">
          <cell r="B1804" t="str">
            <v>SUC CALLE 24</v>
          </cell>
        </row>
        <row r="1805">
          <cell r="B1805" t="str">
            <v>SUC CALLE 24 DS</v>
          </cell>
        </row>
        <row r="1806">
          <cell r="B1806" t="str">
            <v>SUC CALLE 29</v>
          </cell>
        </row>
        <row r="1807">
          <cell r="B1807" t="str">
            <v>SUC CALLE 29 DS</v>
          </cell>
        </row>
        <row r="1808">
          <cell r="B1808" t="str">
            <v>SUC CALLE 53</v>
          </cell>
        </row>
        <row r="1809">
          <cell r="B1809" t="str">
            <v>SUC CALLE 53 DS</v>
          </cell>
        </row>
        <row r="1810">
          <cell r="B1810" t="str">
            <v>SUC CALLE 57</v>
          </cell>
        </row>
        <row r="1811">
          <cell r="B1811" t="str">
            <v>SUC CALLE 57 DS</v>
          </cell>
        </row>
        <row r="1812">
          <cell r="B1812" t="str">
            <v>SUC CALLE 58</v>
          </cell>
        </row>
        <row r="1813">
          <cell r="B1813" t="str">
            <v>SUC CALLE 58 DS</v>
          </cell>
        </row>
        <row r="1814">
          <cell r="B1814" t="str">
            <v>SUC CALLE 70</v>
          </cell>
        </row>
        <row r="1815">
          <cell r="B1815" t="str">
            <v>SUC CALLE 70 DS</v>
          </cell>
        </row>
        <row r="1816">
          <cell r="B1816" t="str">
            <v>SUC CALLE 76</v>
          </cell>
        </row>
        <row r="1817">
          <cell r="B1817" t="str">
            <v>SUC CALLE 76 DS</v>
          </cell>
        </row>
        <row r="1818">
          <cell r="B1818" t="str">
            <v>SUC CALLE 79</v>
          </cell>
        </row>
        <row r="1819">
          <cell r="B1819" t="str">
            <v>SUC CALLE 79 DS</v>
          </cell>
        </row>
        <row r="1820">
          <cell r="B1820" t="str">
            <v>SUC CALLE 80 DS</v>
          </cell>
        </row>
        <row r="1821">
          <cell r="B1821" t="str">
            <v>SUC CALLE 84</v>
          </cell>
        </row>
        <row r="1822">
          <cell r="B1822" t="str">
            <v>SUC CALLE 84 DS</v>
          </cell>
        </row>
        <row r="1823">
          <cell r="B1823" t="str">
            <v>SUC CALLE 87</v>
          </cell>
        </row>
        <row r="1824">
          <cell r="B1824" t="str">
            <v>SUC CALLE 87 DS</v>
          </cell>
        </row>
        <row r="1825">
          <cell r="B1825" t="str">
            <v>SUC CALLE 92</v>
          </cell>
        </row>
        <row r="1826">
          <cell r="B1826" t="str">
            <v>SUC CALLE 92 DS</v>
          </cell>
        </row>
        <row r="1827">
          <cell r="B1827" t="str">
            <v>SUC CALLE CATORCE</v>
          </cell>
        </row>
        <row r="1828">
          <cell r="B1828" t="str">
            <v>SUC CALLE CATORCE DS</v>
          </cell>
        </row>
        <row r="1829">
          <cell r="B1829" t="str">
            <v>SUC CALLE NUEVA</v>
          </cell>
        </row>
        <row r="1830">
          <cell r="B1830" t="str">
            <v>SUC CALLE NUEVA DS</v>
          </cell>
        </row>
        <row r="1831">
          <cell r="B1831" t="str">
            <v>SUC CALLE ONCE</v>
          </cell>
        </row>
        <row r="1832">
          <cell r="B1832" t="str">
            <v>SUC CALLE ONCE DS</v>
          </cell>
        </row>
        <row r="1833">
          <cell r="B1833" t="str">
            <v>SUC CALLE PRIMERA</v>
          </cell>
        </row>
        <row r="1834">
          <cell r="B1834" t="str">
            <v>SUC CALLE PRIMERA DS</v>
          </cell>
        </row>
        <row r="1835">
          <cell r="B1835" t="str">
            <v>SUC CAMINO REAL DS</v>
          </cell>
        </row>
        <row r="1836">
          <cell r="B1836" t="str">
            <v>SUC CAMPANARIO POPAYAN</v>
          </cell>
        </row>
        <row r="1837">
          <cell r="B1837" t="str">
            <v>SUC CAMPANARIO POPAYAN DS</v>
          </cell>
        </row>
        <row r="1838">
          <cell r="B1838" t="str">
            <v>SUC CAMPOALEGRE</v>
          </cell>
        </row>
        <row r="1839">
          <cell r="B1839" t="str">
            <v>SUC CAMPOALEGRE DS</v>
          </cell>
        </row>
        <row r="1840">
          <cell r="B1840" t="str">
            <v>SUC CAÑAVERAL</v>
          </cell>
        </row>
        <row r="1841">
          <cell r="B1841" t="str">
            <v>SUC CAÑAVERAL DS</v>
          </cell>
        </row>
        <row r="1842">
          <cell r="B1842" t="str">
            <v>SUC CARABOBO</v>
          </cell>
        </row>
        <row r="1843">
          <cell r="B1843" t="str">
            <v>SUC CARABOBO DS</v>
          </cell>
        </row>
        <row r="1844">
          <cell r="B1844" t="str">
            <v>SUC CAREPA</v>
          </cell>
        </row>
        <row r="1845">
          <cell r="B1845" t="str">
            <v>SUC CAREPA DS</v>
          </cell>
        </row>
        <row r="1846">
          <cell r="B1846" t="str">
            <v>SUC CARIBE</v>
          </cell>
        </row>
        <row r="1847">
          <cell r="B1847" t="str">
            <v>SUC CARIBE DS</v>
          </cell>
        </row>
        <row r="1848">
          <cell r="B1848" t="str">
            <v>SUC CARIBE PLAZA</v>
          </cell>
        </row>
        <row r="1849">
          <cell r="B1849" t="str">
            <v>SUC CARIBE PLAZA DS</v>
          </cell>
        </row>
        <row r="1850">
          <cell r="B1850" t="str">
            <v>SUC CARREFOUR BARRANQUILLA</v>
          </cell>
        </row>
        <row r="1851">
          <cell r="B1851" t="str">
            <v>SUC CARREFOUR BARRANQUILLA DS</v>
          </cell>
        </row>
        <row r="1852">
          <cell r="B1852" t="str">
            <v>SUC CARREFOUR LA 65</v>
          </cell>
        </row>
        <row r="1853">
          <cell r="B1853" t="str">
            <v>SUC CARREFOUR LA 65 DS</v>
          </cell>
        </row>
        <row r="1854">
          <cell r="B1854" t="str">
            <v>SUC CARREFOUR LAS VEGAS</v>
          </cell>
        </row>
        <row r="1855">
          <cell r="B1855" t="str">
            <v>SUC CARREFOUR LAS VEGAS DS</v>
          </cell>
        </row>
        <row r="1856">
          <cell r="B1856" t="str">
            <v>SUC CARRERA 100</v>
          </cell>
        </row>
        <row r="1857">
          <cell r="B1857" t="str">
            <v>SUC CARRERA 100 DS</v>
          </cell>
        </row>
        <row r="1858">
          <cell r="B1858" t="str">
            <v>SUC CARRERA 23</v>
          </cell>
        </row>
        <row r="1859">
          <cell r="B1859" t="str">
            <v>SUC CARRERA 23 DS</v>
          </cell>
        </row>
        <row r="1860">
          <cell r="B1860" t="str">
            <v>SUC CARRERA 26</v>
          </cell>
        </row>
        <row r="1861">
          <cell r="B1861" t="str">
            <v>SUC CARRERA 26 DS</v>
          </cell>
        </row>
        <row r="1862">
          <cell r="B1862" t="str">
            <v>SUC CARRERA 70</v>
          </cell>
        </row>
        <row r="1863">
          <cell r="B1863" t="str">
            <v>SUC CARRERA 70 DS</v>
          </cell>
        </row>
        <row r="1864">
          <cell r="B1864" t="str">
            <v>SUC CARRERA 80</v>
          </cell>
        </row>
        <row r="1865">
          <cell r="B1865" t="str">
            <v>SUC CARRERA 80 DS</v>
          </cell>
        </row>
        <row r="1866">
          <cell r="B1866" t="str">
            <v>SUC CARRERA DECIMA</v>
          </cell>
        </row>
        <row r="1867">
          <cell r="B1867" t="str">
            <v>SUC CARRERA DECIMA DS</v>
          </cell>
        </row>
        <row r="1868">
          <cell r="B1868" t="str">
            <v>SUC CARRERA OCTAVA</v>
          </cell>
        </row>
        <row r="1869">
          <cell r="B1869" t="str">
            <v>SUC CARRERA OCTAVA DS</v>
          </cell>
        </row>
        <row r="1870">
          <cell r="B1870" t="str">
            <v>SUC CARRERA PRIMERA</v>
          </cell>
        </row>
        <row r="1871">
          <cell r="B1871" t="str">
            <v>SUC CARRERA PRIMERA DS</v>
          </cell>
        </row>
        <row r="1872">
          <cell r="B1872" t="str">
            <v>SUC CARRERA TERCERA</v>
          </cell>
        </row>
        <row r="1873">
          <cell r="B1873" t="str">
            <v>SUC CARRERA TERCERA DS</v>
          </cell>
        </row>
        <row r="1874">
          <cell r="B1874" t="str">
            <v>SUC CARTAGENA</v>
          </cell>
        </row>
        <row r="1875">
          <cell r="B1875" t="str">
            <v>SUC CARTAGENA DS</v>
          </cell>
        </row>
        <row r="1876">
          <cell r="B1876" t="str">
            <v>SUC CARTAGO</v>
          </cell>
        </row>
        <row r="1877">
          <cell r="B1877" t="str">
            <v>SUC CARTAGO DS</v>
          </cell>
        </row>
        <row r="1878">
          <cell r="B1878" t="str">
            <v>SUC CARULLA ALHAMBRA</v>
          </cell>
        </row>
        <row r="1879">
          <cell r="B1879" t="str">
            <v>SUC CARULLA ALHAMBRA DS</v>
          </cell>
        </row>
        <row r="1880">
          <cell r="B1880" t="str">
            <v>SUC CARULLA CALLE 82</v>
          </cell>
        </row>
        <row r="1881">
          <cell r="B1881" t="str">
            <v>SUC CARULLA CALLE 82 DS</v>
          </cell>
        </row>
        <row r="1882">
          <cell r="B1882" t="str">
            <v>SUC CARULLA CENTRO CHIA</v>
          </cell>
        </row>
        <row r="1883">
          <cell r="B1883" t="str">
            <v>SUC CARULLA CENTRO CHIA DS</v>
          </cell>
        </row>
        <row r="1884">
          <cell r="B1884" t="str">
            <v>SUC CARULLA MALL LLANOGRANDE DS</v>
          </cell>
        </row>
        <row r="1885">
          <cell r="B1885" t="str">
            <v>SUC CARULLA PABLO VI</v>
          </cell>
        </row>
        <row r="1886">
          <cell r="B1886" t="str">
            <v>SUC CARULLA PABLO VI DS</v>
          </cell>
        </row>
        <row r="1887">
          <cell r="B1887" t="str">
            <v>SUC CARULLA PEPE SIERRA</v>
          </cell>
        </row>
        <row r="1888">
          <cell r="B1888" t="str">
            <v>SUC CARULLA PEPE SIERRA DS</v>
          </cell>
        </row>
        <row r="1889">
          <cell r="B1889" t="str">
            <v>SUC CARULLA PLAZA AMERICA DS</v>
          </cell>
        </row>
        <row r="1890">
          <cell r="B1890" t="str">
            <v>SUC CARULLA PRADO DS</v>
          </cell>
        </row>
        <row r="1891">
          <cell r="B1891" t="str">
            <v>SUC CARULLA SAN LUCAS</v>
          </cell>
        </row>
        <row r="1892">
          <cell r="B1892" t="str">
            <v>SUC CARULLA SAN LUCAS DS</v>
          </cell>
        </row>
        <row r="1893">
          <cell r="B1893" t="str">
            <v>SUC CARVAJAL BOGOTA DS</v>
          </cell>
        </row>
        <row r="1894">
          <cell r="B1894" t="str">
            <v>SUC CARVAJAL SANTA MONICA DS</v>
          </cell>
        </row>
        <row r="1895">
          <cell r="B1895" t="str">
            <v>SUC CATEDRAL</v>
          </cell>
        </row>
        <row r="1896">
          <cell r="B1896" t="str">
            <v>SUC CATEDRAL DS</v>
          </cell>
        </row>
        <row r="1897">
          <cell r="B1897" t="str">
            <v>SUC CAUCASIA</v>
          </cell>
        </row>
        <row r="1898">
          <cell r="B1898" t="str">
            <v>SUC CAUCASIA DS</v>
          </cell>
        </row>
        <row r="1899">
          <cell r="B1899" t="str">
            <v>SUC CEDRITOS</v>
          </cell>
        </row>
        <row r="1900">
          <cell r="B1900" t="str">
            <v>SUC CEDRITOS DS</v>
          </cell>
        </row>
        <row r="1901">
          <cell r="B1901" t="str">
            <v>SUC CEDRO BOLIVAR</v>
          </cell>
        </row>
        <row r="1902">
          <cell r="B1902" t="str">
            <v>SUC CEDRO BOLIVAR DS</v>
          </cell>
        </row>
        <row r="1903">
          <cell r="B1903" t="str">
            <v>SUC CENTRAL DE ABASTOS B/MANGA</v>
          </cell>
        </row>
        <row r="1904">
          <cell r="B1904" t="str">
            <v>SUC CENTRAL DE ABASTOS B/MANGA DS</v>
          </cell>
        </row>
        <row r="1905">
          <cell r="B1905" t="str">
            <v>SUC CENTRAL DE ABASTOS BARRANQUILLA DS</v>
          </cell>
        </row>
        <row r="1906">
          <cell r="B1906" t="str">
            <v>SUC CENTRAL DE ABASTOS BOGOTA DS</v>
          </cell>
        </row>
        <row r="1907">
          <cell r="B1907" t="str">
            <v>SUC CENTRAL DE ABASTOS MEDELLIN</v>
          </cell>
        </row>
        <row r="1908">
          <cell r="B1908" t="str">
            <v>SUC CENTRAL DE ABASTOS MEDELLIN DS</v>
          </cell>
        </row>
        <row r="1909">
          <cell r="B1909" t="str">
            <v>SUC CENTRO</v>
          </cell>
        </row>
        <row r="1910">
          <cell r="B1910" t="str">
            <v>SUC CENTRO 93</v>
          </cell>
        </row>
        <row r="1911">
          <cell r="B1911" t="str">
            <v>SUC CENTRO 93 DS</v>
          </cell>
        </row>
        <row r="1912">
          <cell r="B1912" t="str">
            <v>SUC CENTRO BUCARAMANGA</v>
          </cell>
        </row>
        <row r="1913">
          <cell r="B1913" t="str">
            <v>SUC CENTRO BUCARAMANGA DS</v>
          </cell>
        </row>
        <row r="1914">
          <cell r="B1914" t="str">
            <v>SUC CENTRO CCIAL ANDINO</v>
          </cell>
        </row>
        <row r="1915">
          <cell r="B1915" t="str">
            <v>SUC CENTRO CCIAL ANDINO DS</v>
          </cell>
        </row>
        <row r="1916">
          <cell r="B1916" t="str">
            <v>SUC CENTRO CCIAL ATLANTIS DS</v>
          </cell>
        </row>
        <row r="1917">
          <cell r="B1917" t="str">
            <v>SUC CENTRO CCIAL HAYUELOS</v>
          </cell>
        </row>
        <row r="1918">
          <cell r="B1918" t="str">
            <v>SUC CENTRO CCIAL HAYUELOS DS</v>
          </cell>
        </row>
        <row r="1919">
          <cell r="B1919" t="str">
            <v>SUC CENTRO CCIAL MAYORCA</v>
          </cell>
        </row>
        <row r="1920">
          <cell r="B1920" t="str">
            <v>SUC CENTRO CCIAL MAYORCA DS</v>
          </cell>
        </row>
        <row r="1921">
          <cell r="B1921" t="str">
            <v>SUC CENTRO CCIAL PALATINO</v>
          </cell>
        </row>
        <row r="1922">
          <cell r="B1922" t="str">
            <v>SUC CENTRO CCIAL PALATINO DS</v>
          </cell>
        </row>
        <row r="1923">
          <cell r="B1923" t="str">
            <v>SUC CENTRO CCIAL PLAZA DS</v>
          </cell>
        </row>
        <row r="1924">
          <cell r="B1924" t="str">
            <v>SUC CENTRO CCIAL PUENTE LARGO</v>
          </cell>
        </row>
        <row r="1925">
          <cell r="B1925" t="str">
            <v>SUC CENTRO CCIAL PUENTE LARGO DS</v>
          </cell>
        </row>
        <row r="1926">
          <cell r="B1926" t="str">
            <v>SUC CENTRO CCIAL SALITRE PLAZA DS</v>
          </cell>
        </row>
        <row r="1927">
          <cell r="B1927" t="str">
            <v>SUC CENTRO CCIAL SANTA BARBARA</v>
          </cell>
        </row>
        <row r="1928">
          <cell r="B1928" t="str">
            <v>SUC CENTRO CCIAL SANTA BARBARA DS</v>
          </cell>
        </row>
        <row r="1929">
          <cell r="B1929" t="str">
            <v>SUC CENTRO CCIAL SANTA FE BOGOTA</v>
          </cell>
        </row>
        <row r="1930">
          <cell r="B1930" t="str">
            <v>SUC CENTRO CCIAL SANTA FE BOGOTA DS</v>
          </cell>
        </row>
        <row r="1931">
          <cell r="B1931" t="str">
            <v>SUC CENTRO CCIAL UNICO</v>
          </cell>
        </row>
        <row r="1932">
          <cell r="B1932" t="str">
            <v>SUC CENTRO CCIAL UNICO DS</v>
          </cell>
        </row>
        <row r="1933">
          <cell r="B1933" t="str">
            <v>SUC CENTRO COLON</v>
          </cell>
        </row>
        <row r="1934">
          <cell r="B1934" t="str">
            <v>SUC CENTRO COLON DS</v>
          </cell>
        </row>
        <row r="1935">
          <cell r="B1935" t="str">
            <v>SUC CENTRO COLTEJER</v>
          </cell>
        </row>
        <row r="1936">
          <cell r="B1936" t="str">
            <v>SUC CENTRO COLTEJER DS</v>
          </cell>
        </row>
        <row r="1937">
          <cell r="B1937" t="str">
            <v>SUC CENTRO COMERCIAL  SAN ANTONIO</v>
          </cell>
        </row>
        <row r="1938">
          <cell r="B1938" t="str">
            <v>SUC CENTRO COMERCIAL ATLANTIS</v>
          </cell>
        </row>
        <row r="1939">
          <cell r="B1939" t="str">
            <v>SUC CENTRO COMERCIAL SAN ANTONIO DS</v>
          </cell>
        </row>
        <row r="1940">
          <cell r="B1940" t="str">
            <v>SUC CENTRO COMERCIAL SANTAFE MEDELLIN</v>
          </cell>
        </row>
        <row r="1941">
          <cell r="B1941" t="str">
            <v>SUC CENTRO COMERCIAL SANTAFE MEDELLIN DS</v>
          </cell>
        </row>
        <row r="1942">
          <cell r="B1942" t="str">
            <v>SUC CENTRO COMERCIAL UNICO PASTO</v>
          </cell>
        </row>
        <row r="1943">
          <cell r="B1943" t="str">
            <v>SUC CENTRO COMERCIAL UNICO PASTO DS</v>
          </cell>
        </row>
        <row r="1944">
          <cell r="B1944" t="str">
            <v>SUC CENTRO DE LA CONFECCION</v>
          </cell>
        </row>
        <row r="1945">
          <cell r="B1945" t="str">
            <v>SUC CENTRO DE LA CONFECCION DS</v>
          </cell>
        </row>
        <row r="1946">
          <cell r="B1946" t="str">
            <v>SUC CENTRO DE PAGOS APARTADO DS</v>
          </cell>
        </row>
        <row r="1947">
          <cell r="B1947" t="str">
            <v>SUC CENTRO DE PAGOS AVENIDA QUINTA DS</v>
          </cell>
        </row>
        <row r="1948">
          <cell r="B1948" t="str">
            <v>SUC CENTRO DE PAGOS BARRANCABERMEJA DS</v>
          </cell>
        </row>
        <row r="1949">
          <cell r="B1949" t="str">
            <v>SUC CENTRO DE PAGOS BELLO DS</v>
          </cell>
        </row>
        <row r="1950">
          <cell r="B1950" t="str">
            <v>SUC CENTRO DE PAGOS BUCARAMANGA DS</v>
          </cell>
        </row>
        <row r="1951">
          <cell r="B1951" t="str">
            <v>SUC CENTRO DE PAGOS BUENAVENTURA DS</v>
          </cell>
        </row>
        <row r="1952">
          <cell r="B1952" t="str">
            <v>SUC CENTRO DE PAGOS CABECERA DS</v>
          </cell>
        </row>
        <row r="1953">
          <cell r="B1953" t="str">
            <v>SUC CENTRO DE PAGOS CALI SUR DS</v>
          </cell>
        </row>
        <row r="1954">
          <cell r="B1954" t="str">
            <v>SUC CENTRO DE PAGOS CALLE 18 DS</v>
          </cell>
        </row>
        <row r="1955">
          <cell r="B1955" t="str">
            <v>SUC CENTRO DE PAGOS CALLE 72 DS</v>
          </cell>
        </row>
        <row r="1956">
          <cell r="B1956" t="str">
            <v>SUC CENTRO DE PAGOS CARTAGO DS</v>
          </cell>
        </row>
        <row r="1957">
          <cell r="B1957" t="str">
            <v>SUC CENTRO DE PAGOS COLTEJER DS</v>
          </cell>
        </row>
        <row r="1958">
          <cell r="B1958" t="str">
            <v>SUC CENTRO DE PAGOS CUCUTA DS</v>
          </cell>
        </row>
        <row r="1959">
          <cell r="B1959" t="str">
            <v>SUC CENTRO DE PAGOS FONTIBON DS</v>
          </cell>
        </row>
        <row r="1960">
          <cell r="B1960" t="str">
            <v>SUC CENTRO DE PAGOS GUAYABAL DS</v>
          </cell>
        </row>
        <row r="1961">
          <cell r="B1961" t="str">
            <v>SUC CENTRO DE PAGOS ISLA OVIEDO DS</v>
          </cell>
        </row>
        <row r="1962">
          <cell r="B1962" t="str">
            <v>SUC CENTRO DE PAGOS ITAGUI DS</v>
          </cell>
        </row>
        <row r="1963">
          <cell r="B1963" t="str">
            <v>SUC CENTRO DE PAGOS LA  93 DS</v>
          </cell>
        </row>
        <row r="1964">
          <cell r="B1964" t="str">
            <v>SUC CENTRO DE PAGOS LA AMERICA DS</v>
          </cell>
        </row>
        <row r="1965">
          <cell r="B1965" t="str">
            <v>SUC CENTRO DE PAGOS LA CASTELLANA DS</v>
          </cell>
        </row>
        <row r="1966">
          <cell r="B1966" t="str">
            <v>SUC CENTRO DE PAGOS MANIZALES DS</v>
          </cell>
        </row>
        <row r="1967">
          <cell r="B1967" t="str">
            <v>SUC CENTRO DE PAGOS MAYORISTA DS</v>
          </cell>
        </row>
        <row r="1968">
          <cell r="B1968" t="str">
            <v>SUC CENTRO DE PAGOS MODELIA DS</v>
          </cell>
        </row>
        <row r="1969">
          <cell r="B1969" t="str">
            <v>SUC CENTRO DE PAGOS MONTERIA DS</v>
          </cell>
        </row>
        <row r="1970">
          <cell r="B1970" t="str">
            <v>SUC CENTRO DE PAGOS MONTERREY  DS</v>
          </cell>
        </row>
        <row r="1971">
          <cell r="B1971" t="str">
            <v>SUC CENTRO DE PAGOS NEIVA DS</v>
          </cell>
        </row>
        <row r="1972">
          <cell r="B1972" t="str">
            <v>SUC CENTRO DE PAGOS OCCIDENTE DS</v>
          </cell>
        </row>
        <row r="1973">
          <cell r="B1973" t="str">
            <v>SUC CENTRO DE PAGOS PALMIRA DS</v>
          </cell>
        </row>
        <row r="1974">
          <cell r="B1974" t="str">
            <v>SUC CENTRO DE PAGOS PASTO DS</v>
          </cell>
        </row>
        <row r="1975">
          <cell r="B1975" t="str">
            <v>SUC CENTRO DE PAGOS POBLADO DS</v>
          </cell>
        </row>
        <row r="1976">
          <cell r="B1976" t="str">
            <v>SUC CENTRO DE PAGOS POPAYAN DS</v>
          </cell>
        </row>
        <row r="1977">
          <cell r="B1977" t="str">
            <v>SUC CENTRO DE PAGOS RIONEGRO DS</v>
          </cell>
        </row>
        <row r="1978">
          <cell r="B1978" t="str">
            <v>SUC CENTRO DE PAGOS SAN MARTIN DS</v>
          </cell>
        </row>
        <row r="1979">
          <cell r="B1979" t="str">
            <v>SUC CENTRO DE PAGOS SANTA MARTA DS</v>
          </cell>
        </row>
        <row r="1980">
          <cell r="B1980" t="str">
            <v>SUC CENTRO DE PAGOS SUBAZAR DS</v>
          </cell>
        </row>
        <row r="1981">
          <cell r="B1981" t="str">
            <v>SUC CENTRO DE PAGOS TEMPO DS</v>
          </cell>
        </row>
        <row r="1982">
          <cell r="B1982" t="str">
            <v>SUC CENTRO DE PAGOS UNICENTRO BOGOTA DS</v>
          </cell>
        </row>
        <row r="1983">
          <cell r="B1983" t="str">
            <v>SUC CENTRO DE PAGOS VALLEDUPAR DS</v>
          </cell>
        </row>
        <row r="1984">
          <cell r="B1984" t="str">
            <v>SUC CENTRO DE PAGOS VILLAVICENCIO DS</v>
          </cell>
        </row>
        <row r="1985">
          <cell r="B1985" t="str">
            <v>SUC CENTRO DISTRITAL</v>
          </cell>
        </row>
        <row r="1986">
          <cell r="B1986" t="str">
            <v>SUC CENTRO DISTRITAL DS</v>
          </cell>
        </row>
        <row r="1987">
          <cell r="B1987" t="str">
            <v>SUC CENTRO DS</v>
          </cell>
        </row>
        <row r="1988">
          <cell r="B1988" t="str">
            <v>SUC CENTRO FINANCIERO</v>
          </cell>
        </row>
        <row r="1989">
          <cell r="B1989" t="str">
            <v>SUC CENTRO FINANCIERO DS</v>
          </cell>
        </row>
        <row r="1990">
          <cell r="B1990" t="str">
            <v>SUC CENTRO INDUSTRIAL</v>
          </cell>
        </row>
        <row r="1991">
          <cell r="B1991" t="str">
            <v>SUC CENTRO INDUSTRIAL DS</v>
          </cell>
        </row>
        <row r="1992">
          <cell r="B1992" t="str">
            <v>SUC CENTRO INTERNACIONAL</v>
          </cell>
        </row>
        <row r="1993">
          <cell r="B1993" t="str">
            <v>SUC CENTRO INTERNACIONAL DS</v>
          </cell>
        </row>
        <row r="1994">
          <cell r="B1994" t="str">
            <v>SUC CENTRO INTERNACIONAL FIDUC DS</v>
          </cell>
        </row>
        <row r="1995">
          <cell r="B1995" t="str">
            <v>SUC CENTRO MAYOR</v>
          </cell>
        </row>
        <row r="1996">
          <cell r="B1996" t="str">
            <v>SUC CENTRO MAYOR DS</v>
          </cell>
        </row>
        <row r="1997">
          <cell r="B1997" t="str">
            <v>SUC CENTRO NACIONAL DEL AHORRO DS</v>
          </cell>
        </row>
        <row r="1998">
          <cell r="B1998" t="str">
            <v>SUC CENTROSUR</v>
          </cell>
        </row>
        <row r="1999">
          <cell r="B1999" t="str">
            <v>SUC CENTROSUR DS</v>
          </cell>
        </row>
        <row r="2000">
          <cell r="B2000" t="str">
            <v>SUC CERETE</v>
          </cell>
        </row>
        <row r="2001">
          <cell r="B2001" t="str">
            <v>SUC CERETE DS</v>
          </cell>
        </row>
        <row r="2002">
          <cell r="B2002" t="str">
            <v>SUC CERRITO</v>
          </cell>
        </row>
        <row r="2003">
          <cell r="B2003" t="str">
            <v>SUC CERRITO DS</v>
          </cell>
        </row>
        <row r="2004">
          <cell r="B2004" t="str">
            <v>SUC CERVUNION DS</v>
          </cell>
        </row>
        <row r="2005">
          <cell r="B2005" t="str">
            <v>SUC CHAPARRAL</v>
          </cell>
        </row>
        <row r="2006">
          <cell r="B2006" t="str">
            <v>SUC CHAPARRAL DS</v>
          </cell>
        </row>
        <row r="2007">
          <cell r="B2007" t="str">
            <v>SUC CHAPINERO</v>
          </cell>
        </row>
        <row r="2008">
          <cell r="B2008" t="str">
            <v>SUC CHAPINERO DS</v>
          </cell>
        </row>
        <row r="2009">
          <cell r="B2009" t="str">
            <v>SUC CHARALA</v>
          </cell>
        </row>
        <row r="2010">
          <cell r="B2010" t="str">
            <v>SUC CHARALA DS</v>
          </cell>
        </row>
        <row r="2011">
          <cell r="B2011" t="str">
            <v>SUC CHIA</v>
          </cell>
        </row>
        <row r="2012">
          <cell r="B2012" t="str">
            <v>SUC CHIA DS</v>
          </cell>
        </row>
        <row r="2013">
          <cell r="B2013" t="str">
            <v>SUC CHICO 94</v>
          </cell>
        </row>
        <row r="2014">
          <cell r="B2014" t="str">
            <v>SUC CHICO 94 DS</v>
          </cell>
        </row>
        <row r="2015">
          <cell r="B2015" t="str">
            <v>SUC CHIGORODO</v>
          </cell>
        </row>
        <row r="2016">
          <cell r="B2016" t="str">
            <v>SUC CHIGORODO DS</v>
          </cell>
        </row>
        <row r="2017">
          <cell r="B2017" t="str">
            <v>SUC CHINCHINA</v>
          </cell>
        </row>
        <row r="2018">
          <cell r="B2018" t="str">
            <v>SUC CHINCHINA DS</v>
          </cell>
        </row>
        <row r="2019">
          <cell r="B2019" t="str">
            <v>SUC CHINU</v>
          </cell>
        </row>
        <row r="2020">
          <cell r="B2020" t="str">
            <v>SUC CHIPICHAPE</v>
          </cell>
        </row>
        <row r="2021">
          <cell r="B2021" t="str">
            <v>SUC CHIPICHAPE DS</v>
          </cell>
        </row>
        <row r="2022">
          <cell r="B2022" t="str">
            <v>SUC CHIQUINQUIRA</v>
          </cell>
        </row>
        <row r="2023">
          <cell r="B2023" t="str">
            <v>SUC CHIQUINQUIRA DS</v>
          </cell>
        </row>
        <row r="2024">
          <cell r="B2024" t="str">
            <v>SUC CIENAGA</v>
          </cell>
        </row>
        <row r="2025">
          <cell r="B2025" t="str">
            <v>SUC CIENAGA DE ORO DS</v>
          </cell>
        </row>
        <row r="2026">
          <cell r="B2026" t="str">
            <v>SUC CIENAGA DS</v>
          </cell>
        </row>
        <row r="2027">
          <cell r="B2027" t="str">
            <v>SUC CIRCUNVALAR PEREIRA</v>
          </cell>
        </row>
        <row r="2028">
          <cell r="B2028" t="str">
            <v>SUC CIRCUNVALAR PEREIRA DS</v>
          </cell>
        </row>
        <row r="2029">
          <cell r="B2029" t="str">
            <v>SUC CITY PLAZA</v>
          </cell>
        </row>
        <row r="2030">
          <cell r="B2030" t="str">
            <v>SUC CITY PLAZA DS</v>
          </cell>
        </row>
        <row r="2031">
          <cell r="B2031" t="str">
            <v>SUC CIUDAD BOLIVAR</v>
          </cell>
        </row>
        <row r="2032">
          <cell r="B2032" t="str">
            <v>SUC CIUDAD BOLIVAR DS</v>
          </cell>
        </row>
        <row r="2033">
          <cell r="B2033" t="str">
            <v>SUC CIUDAD JARDIN</v>
          </cell>
        </row>
        <row r="2034">
          <cell r="B2034" t="str">
            <v>SUC CIUDAD JARDIN DS</v>
          </cell>
        </row>
        <row r="2035">
          <cell r="B2035" t="str">
            <v>SUC CIUDAD KENNEDY</v>
          </cell>
        </row>
        <row r="2036">
          <cell r="B2036" t="str">
            <v>SUC CIUDAD KENNEDY DS</v>
          </cell>
        </row>
        <row r="2037">
          <cell r="B2037" t="str">
            <v>SUC CIUDAD SALITRE 2</v>
          </cell>
        </row>
        <row r="2038">
          <cell r="B2038" t="str">
            <v>SUC CIUDAD SALITRE 2 DS</v>
          </cell>
        </row>
        <row r="2039">
          <cell r="B2039" t="str">
            <v>SUC CLINICA SOMER DS</v>
          </cell>
        </row>
        <row r="2040">
          <cell r="B2040" t="str">
            <v>SUC CODABAS</v>
          </cell>
        </row>
        <row r="2041">
          <cell r="B2041" t="str">
            <v>SUC CODABAS DS</v>
          </cell>
        </row>
        <row r="2042">
          <cell r="B2042" t="str">
            <v>SUC COLINA CAMPESTRE</v>
          </cell>
        </row>
        <row r="2043">
          <cell r="B2043" t="str">
            <v>SUC COLINA CAMPESTRE DS</v>
          </cell>
        </row>
        <row r="2044">
          <cell r="B2044" t="str">
            <v>SUC COLMOTORES DS</v>
          </cell>
        </row>
        <row r="2045">
          <cell r="B2045" t="str">
            <v>SUC COLTABACO</v>
          </cell>
        </row>
        <row r="2046">
          <cell r="B2046" t="str">
            <v>SUC COLTABACO DS</v>
          </cell>
        </row>
        <row r="2047">
          <cell r="B2047" t="str">
            <v>SUC COMPAÑIA COLOMBIANA AUTOMOTRIZ DS</v>
          </cell>
        </row>
        <row r="2048">
          <cell r="B2048" t="str">
            <v>SUC CONCORDIA</v>
          </cell>
        </row>
        <row r="2049">
          <cell r="B2049" t="str">
            <v>SUC CONCORDIA DS</v>
          </cell>
        </row>
        <row r="2050">
          <cell r="B2050" t="str">
            <v>SUC CONSUMO EL PEDREGAL DS</v>
          </cell>
        </row>
        <row r="2051">
          <cell r="B2051" t="str">
            <v>SUC CONSUMO ITAGUI DS</v>
          </cell>
        </row>
        <row r="2052">
          <cell r="B2052" t="str">
            <v>SUC CONTADOR</v>
          </cell>
        </row>
        <row r="2053">
          <cell r="B2053" t="str">
            <v>SUC CONTADOR DS</v>
          </cell>
        </row>
        <row r="2054">
          <cell r="B2054" t="str">
            <v>SUC CONTECAR DS</v>
          </cell>
        </row>
        <row r="2055">
          <cell r="B2055" t="str">
            <v>SUC COPACABANA</v>
          </cell>
        </row>
        <row r="2056">
          <cell r="B2056" t="str">
            <v>SUC COPACABANA DS</v>
          </cell>
        </row>
        <row r="2057">
          <cell r="B2057" t="str">
            <v>SUC CORABASTOS</v>
          </cell>
        </row>
        <row r="2058">
          <cell r="B2058" t="str">
            <v>SUC CORABASTOS DS</v>
          </cell>
        </row>
        <row r="2059">
          <cell r="B2059" t="str">
            <v>SUC COROZAL</v>
          </cell>
        </row>
        <row r="2060">
          <cell r="B2060" t="str">
            <v>SUC COROZAL DS</v>
          </cell>
        </row>
        <row r="2061">
          <cell r="B2061" t="str">
            <v>SUC COSMOCENTRO</v>
          </cell>
        </row>
        <row r="2062">
          <cell r="B2062" t="str">
            <v>SUC COSMOCENTRO DS</v>
          </cell>
        </row>
        <row r="2063">
          <cell r="B2063" t="str">
            <v>SUC COTA</v>
          </cell>
        </row>
        <row r="2064">
          <cell r="B2064" t="str">
            <v>SUC COTA DS</v>
          </cell>
        </row>
        <row r="2065">
          <cell r="B2065" t="str">
            <v>SUC COUNTRY PLAZA</v>
          </cell>
        </row>
        <row r="2066">
          <cell r="B2066" t="str">
            <v>SUC COUNTRY PLAZA DS</v>
          </cell>
        </row>
        <row r="2067">
          <cell r="B2067" t="str">
            <v>SUC COVEÑAS DS</v>
          </cell>
        </row>
        <row r="2068">
          <cell r="B2068" t="str">
            <v>SUC CUCUTA</v>
          </cell>
        </row>
        <row r="2069">
          <cell r="B2069" t="str">
            <v>SUC CUCUTA DS</v>
          </cell>
        </row>
        <row r="2070">
          <cell r="B2070" t="str">
            <v>SUC CUMARAL</v>
          </cell>
        </row>
        <row r="2071">
          <cell r="B2071" t="str">
            <v>SUC DANN CARLTON</v>
          </cell>
        </row>
        <row r="2072">
          <cell r="B2072" t="str">
            <v>SUC DANN CARLTON BARRANQUILLA</v>
          </cell>
        </row>
        <row r="2073">
          <cell r="B2073" t="str">
            <v>SUC DANN CARLTON BARRANQUILLA DS</v>
          </cell>
        </row>
        <row r="2074">
          <cell r="B2074" t="str">
            <v>SUC DANN CARLTON DS</v>
          </cell>
        </row>
        <row r="2075">
          <cell r="B2075" t="str">
            <v>SUC DEPARTAMENTO DE CUNDINAMARCA CTRO DS</v>
          </cell>
        </row>
        <row r="2076">
          <cell r="B2076" t="str">
            <v>SUC DEPARTAMENTO DE CUNDINAMARCA NORT DS</v>
          </cell>
        </row>
        <row r="2077">
          <cell r="B2077" t="str">
            <v>SUC DEPARTAMENTO DE CUNDINAMARCA SUR DS</v>
          </cell>
        </row>
        <row r="2078">
          <cell r="B2078" t="str">
            <v>SUC DIAGONAL SANTANDER</v>
          </cell>
        </row>
        <row r="2079">
          <cell r="B2079" t="str">
            <v>SUC DIAGONAL SANTANDER DS</v>
          </cell>
        </row>
        <row r="2080">
          <cell r="B2080" t="str">
            <v>SUC DICENTE MEDELLIN DS</v>
          </cell>
        </row>
        <row r="2081">
          <cell r="B2081" t="str">
            <v>SUC DIVER PLAZA</v>
          </cell>
        </row>
        <row r="2082">
          <cell r="B2082" t="str">
            <v>SUC DIVER PLAZA DS</v>
          </cell>
        </row>
        <row r="2083">
          <cell r="B2083" t="str">
            <v>SUC DIVISAS LEY SANTA MARTA</v>
          </cell>
        </row>
        <row r="2084">
          <cell r="B2084" t="str">
            <v>SUC DONMATIAS</v>
          </cell>
        </row>
        <row r="2085">
          <cell r="B2085" t="str">
            <v>SUC DONMATIAS DS</v>
          </cell>
        </row>
        <row r="2086">
          <cell r="B2086" t="str">
            <v>SUC DORADO PLAZA</v>
          </cell>
        </row>
        <row r="2087">
          <cell r="B2087" t="str">
            <v>SUC DOSQUEBRADAS</v>
          </cell>
        </row>
        <row r="2088">
          <cell r="B2088" t="str">
            <v>SUC DOSQUEBRADAS DS</v>
          </cell>
        </row>
        <row r="2089">
          <cell r="B2089" t="str">
            <v>SUC DUITAMA</v>
          </cell>
        </row>
        <row r="2090">
          <cell r="B2090" t="str">
            <v>SUC DUITAMA DS</v>
          </cell>
        </row>
        <row r="2091">
          <cell r="B2091" t="str">
            <v>SUC EAFIT</v>
          </cell>
        </row>
        <row r="2092">
          <cell r="B2092" t="str">
            <v>SUC EAFIT DS</v>
          </cell>
        </row>
        <row r="2093">
          <cell r="B2093" t="str">
            <v>SUC ECOPETROL</v>
          </cell>
        </row>
        <row r="2094">
          <cell r="B2094" t="str">
            <v>SUC ECOPETROL DS</v>
          </cell>
        </row>
        <row r="2095">
          <cell r="B2095" t="str">
            <v>SUC ECOPETROL NEIVA DS</v>
          </cell>
        </row>
        <row r="2096">
          <cell r="B2096" t="str">
            <v>SUC EDIFICIO COLONIAL</v>
          </cell>
        </row>
        <row r="2097">
          <cell r="B2097" t="str">
            <v>SUC EDIFICIO COLONIAL DS</v>
          </cell>
        </row>
        <row r="2098">
          <cell r="B2098" t="str">
            <v>SUC EDIFICIO EMPRESAS PUBLICAS DS</v>
          </cell>
        </row>
        <row r="2099">
          <cell r="B2099" t="str">
            <v>SUC EDIFICIO LARA</v>
          </cell>
        </row>
        <row r="2100">
          <cell r="B2100" t="str">
            <v>SUC EDIFICIO LARA DS</v>
          </cell>
        </row>
        <row r="2101">
          <cell r="B2101" t="str">
            <v>SUC EL BAGRE DS</v>
          </cell>
        </row>
        <row r="2102">
          <cell r="B2102" t="str">
            <v>SUC EL BORDO CAUCA DS</v>
          </cell>
        </row>
        <row r="2103">
          <cell r="B2103" t="str">
            <v>SUC EL BOSQUE</v>
          </cell>
        </row>
        <row r="2104">
          <cell r="B2104" t="str">
            <v>SUC EL BOSQUE DS</v>
          </cell>
        </row>
        <row r="2105">
          <cell r="B2105" t="str">
            <v>SUC EL CABLE</v>
          </cell>
        </row>
        <row r="2106">
          <cell r="B2106" t="str">
            <v>SUC EL CABLE DS</v>
          </cell>
        </row>
        <row r="2107">
          <cell r="B2107" t="str">
            <v>SUC EL CAN</v>
          </cell>
        </row>
        <row r="2108">
          <cell r="B2108" t="str">
            <v>SUC EL CAN DS</v>
          </cell>
        </row>
        <row r="2109">
          <cell r="B2109" t="str">
            <v>SUC EL CARMEN DE VIBORAL</v>
          </cell>
        </row>
        <row r="2110">
          <cell r="B2110" t="str">
            <v>SUC EL CARMEN DE VIBORAL DS</v>
          </cell>
        </row>
        <row r="2111">
          <cell r="B2111" t="str">
            <v>SUC EL CERREJON DS</v>
          </cell>
        </row>
        <row r="2112">
          <cell r="B2112" t="str">
            <v>SUC EL DIFICIL</v>
          </cell>
        </row>
        <row r="2113">
          <cell r="B2113" t="str">
            <v>SUC EL DIFICIL DS</v>
          </cell>
        </row>
        <row r="2114">
          <cell r="B2114" t="str">
            <v>SUC EL GUAMO</v>
          </cell>
        </row>
        <row r="2115">
          <cell r="B2115" t="str">
            <v>SUC EL GUAMO DS</v>
          </cell>
        </row>
        <row r="2116">
          <cell r="B2116" t="str">
            <v>SUC EL LAGO</v>
          </cell>
        </row>
        <row r="2117">
          <cell r="B2117" t="str">
            <v>SUC EL LAGO DS</v>
          </cell>
        </row>
        <row r="2118">
          <cell r="B2118" t="str">
            <v>SUC EL LIMONAR PREMIER</v>
          </cell>
        </row>
        <row r="2119">
          <cell r="B2119" t="str">
            <v>SUC EL LIMONAR PREMIER DS</v>
          </cell>
        </row>
        <row r="2120">
          <cell r="B2120" t="str">
            <v>SUC EL PEÑOL DS</v>
          </cell>
        </row>
        <row r="2121">
          <cell r="B2121" t="str">
            <v>SUC EL RODADERO</v>
          </cell>
        </row>
        <row r="2122">
          <cell r="B2122" t="str">
            <v>SUC EL RODADERO DS</v>
          </cell>
        </row>
        <row r="2123">
          <cell r="B2123" t="str">
            <v>SUC EL ROSAL</v>
          </cell>
        </row>
        <row r="2124">
          <cell r="B2124" t="str">
            <v>SUC EL ROSAL DS</v>
          </cell>
        </row>
        <row r="2125">
          <cell r="B2125" t="str">
            <v>SUC EL TESORO</v>
          </cell>
        </row>
        <row r="2126">
          <cell r="B2126" t="str">
            <v>SUC EL TESORO DS</v>
          </cell>
        </row>
        <row r="2127">
          <cell r="B2127" t="str">
            <v>SUC EL TRONCAL</v>
          </cell>
        </row>
        <row r="2128">
          <cell r="B2128" t="str">
            <v>SUC EL TRONCAL DS</v>
          </cell>
        </row>
        <row r="2129">
          <cell r="B2129" t="str">
            <v>SUC EL VIRREY</v>
          </cell>
        </row>
        <row r="2130">
          <cell r="B2130" t="str">
            <v>SUC EL VIRREY DS</v>
          </cell>
        </row>
        <row r="2131">
          <cell r="B2131" t="str">
            <v>SUC EMBOTELLADORA ROMAN MONTERIA DS</v>
          </cell>
        </row>
        <row r="2132">
          <cell r="B2132" t="str">
            <v>SUC EMCALI 14 DS</v>
          </cell>
        </row>
        <row r="2133">
          <cell r="B2133" t="str">
            <v>SUC EMCALI CENTRO DS</v>
          </cell>
        </row>
        <row r="2134">
          <cell r="B2134" t="str">
            <v>SUC EMCALI COSMOCENTRO DS</v>
          </cell>
        </row>
        <row r="2135">
          <cell r="B2135" t="str">
            <v>SUC EMCALI DS</v>
          </cell>
        </row>
        <row r="2136">
          <cell r="B2136" t="str">
            <v>SUC EMCALI LA RIVIERA</v>
          </cell>
        </row>
        <row r="2137">
          <cell r="B2137" t="str">
            <v>SUC EMCALI YUMBO DS</v>
          </cell>
        </row>
        <row r="2138">
          <cell r="B2138" t="str">
            <v>SUC ENTRERRIOS</v>
          </cell>
        </row>
        <row r="2139">
          <cell r="B2139" t="str">
            <v>SUC ENTRERRIOS DS</v>
          </cell>
        </row>
        <row r="2140">
          <cell r="B2140" t="str">
            <v>SUC ENVIGADO</v>
          </cell>
        </row>
        <row r="2141">
          <cell r="B2141" t="str">
            <v>SUC ENVIGADO DS</v>
          </cell>
        </row>
        <row r="2142">
          <cell r="B2142" t="str">
            <v>SUC ESPINAL</v>
          </cell>
        </row>
        <row r="2143">
          <cell r="B2143" t="str">
            <v>SUC ESPINAL DS</v>
          </cell>
        </row>
        <row r="2144">
          <cell r="B2144" t="str">
            <v>SUC ESTADIO</v>
          </cell>
        </row>
        <row r="2145">
          <cell r="B2145" t="str">
            <v>SUC ESTADIO DS</v>
          </cell>
        </row>
        <row r="2146">
          <cell r="B2146" t="str">
            <v>SUC ETB VILLAVICENCIO DS</v>
          </cell>
        </row>
        <row r="2147">
          <cell r="B2147" t="str">
            <v>SUC EXITO 80</v>
          </cell>
        </row>
        <row r="2148">
          <cell r="B2148" t="str">
            <v>SUC EXITO 80 DS</v>
          </cell>
        </row>
        <row r="2149">
          <cell r="B2149" t="str">
            <v>SUC EXITO BARRANQUILLA</v>
          </cell>
        </row>
        <row r="2150">
          <cell r="B2150" t="str">
            <v>SUC EXITO BARRANQUILLA DS</v>
          </cell>
        </row>
        <row r="2151">
          <cell r="B2151" t="str">
            <v>SUC EXITO BELLO</v>
          </cell>
        </row>
        <row r="2152">
          <cell r="B2152" t="str">
            <v>SUC EXITO BELLO DS</v>
          </cell>
        </row>
        <row r="2153">
          <cell r="B2153" t="str">
            <v>SUC EXITO BOSA</v>
          </cell>
        </row>
        <row r="2154">
          <cell r="B2154" t="str">
            <v>SUC EXITO BOSA DS</v>
          </cell>
        </row>
        <row r="2155">
          <cell r="B2155" t="str">
            <v>SUC EXITO BUCARAMANGA</v>
          </cell>
        </row>
        <row r="2156">
          <cell r="B2156" t="str">
            <v>SUC EXITO BUCARAMANGA 2 DS</v>
          </cell>
        </row>
        <row r="2157">
          <cell r="B2157" t="str">
            <v>SUC EXITO BUCARAMANGA DS</v>
          </cell>
        </row>
        <row r="2158">
          <cell r="B2158" t="str">
            <v>SUC EXITO CALLE 80</v>
          </cell>
        </row>
        <row r="2159">
          <cell r="B2159" t="str">
            <v>SUC EXITO CALLE 80 DS</v>
          </cell>
        </row>
        <row r="2160">
          <cell r="B2160" t="str">
            <v>SUC EXITO CAÑAVERAL</v>
          </cell>
        </row>
        <row r="2161">
          <cell r="B2161" t="str">
            <v>SUC EXITO CAÑAVERAL DS</v>
          </cell>
        </row>
        <row r="2162">
          <cell r="B2162" t="str">
            <v>SUC EXITO COLINA CAMPESTRE</v>
          </cell>
        </row>
        <row r="2163">
          <cell r="B2163" t="str">
            <v>SUC EXITO COLINA CAMPESTRE 2 DS</v>
          </cell>
        </row>
        <row r="2164">
          <cell r="B2164" t="str">
            <v>SUC EXITO COLINA CAMPESTRE DS</v>
          </cell>
        </row>
        <row r="2165">
          <cell r="B2165" t="str">
            <v>SUC EXITO COLOMBIA</v>
          </cell>
        </row>
        <row r="2166">
          <cell r="B2166" t="str">
            <v>SUC EXITO COLOMBIA 2 DS</v>
          </cell>
        </row>
        <row r="2167">
          <cell r="B2167" t="str">
            <v>SUC EXITO COLOMBIA DS</v>
          </cell>
        </row>
        <row r="2168">
          <cell r="B2168" t="str">
            <v>SUC EXITO COUNTRY</v>
          </cell>
        </row>
        <row r="2169">
          <cell r="B2169" t="str">
            <v>SUC EXITO COUNTRY 2 DS</v>
          </cell>
        </row>
        <row r="2170">
          <cell r="B2170" t="str">
            <v>SUC EXITO COUNTRY DS</v>
          </cell>
        </row>
        <row r="2171">
          <cell r="B2171" t="str">
            <v>SUC EXITO DE LAS AMERICAS</v>
          </cell>
        </row>
        <row r="2172">
          <cell r="B2172" t="str">
            <v>SUC EXITO DE LAS AMERICAS DS</v>
          </cell>
        </row>
        <row r="2173">
          <cell r="B2173" t="str">
            <v>SUC EXITO ENVIGADO</v>
          </cell>
        </row>
        <row r="2174">
          <cell r="B2174" t="str">
            <v>SUC EXITO ENVIGADO 2 DS</v>
          </cell>
        </row>
        <row r="2175">
          <cell r="B2175" t="str">
            <v>SUC EXITO ENVIGADO DS</v>
          </cell>
        </row>
        <row r="2176">
          <cell r="B2176" t="str">
            <v>SUC EXITO FONTIBON</v>
          </cell>
        </row>
        <row r="2177">
          <cell r="B2177" t="str">
            <v>SUC EXITO FONTIBON DS</v>
          </cell>
        </row>
        <row r="2178">
          <cell r="B2178" t="str">
            <v>SUC EXITO IBAGUE</v>
          </cell>
        </row>
        <row r="2179">
          <cell r="B2179" t="str">
            <v>SUC EXITO IBAGUE DS</v>
          </cell>
        </row>
        <row r="2180">
          <cell r="B2180" t="str">
            <v>SUC EXITO ITAGUI</v>
          </cell>
        </row>
        <row r="2181">
          <cell r="B2181" t="str">
            <v>SUC EXITO ITAGUI DS</v>
          </cell>
        </row>
        <row r="2182">
          <cell r="B2182" t="str">
            <v>SUC EXITO LA AMERICA DS</v>
          </cell>
        </row>
        <row r="2183">
          <cell r="B2183" t="str">
            <v>SUC EXITO LA FLORA</v>
          </cell>
        </row>
        <row r="2184">
          <cell r="B2184" t="str">
            <v>SUC EXITO LA FLORA 2</v>
          </cell>
        </row>
        <row r="2185">
          <cell r="B2185" t="str">
            <v>SUC EXITO LA FLORA 2 DS</v>
          </cell>
        </row>
        <row r="2186">
          <cell r="B2186" t="str">
            <v>SUC EXITO LA FLORA DS</v>
          </cell>
        </row>
        <row r="2187">
          <cell r="B2187" t="str">
            <v>SUC EXITO LAURELES</v>
          </cell>
        </row>
        <row r="2188">
          <cell r="B2188" t="str">
            <v>SUC EXITO LAURELES 2</v>
          </cell>
        </row>
        <row r="2189">
          <cell r="B2189" t="str">
            <v>SUC EXITO LAURELES DS</v>
          </cell>
        </row>
        <row r="2190">
          <cell r="B2190" t="str">
            <v>SUC EXITO NEIVA</v>
          </cell>
        </row>
        <row r="2191">
          <cell r="B2191" t="str">
            <v>SUC EXITO NEIVA DS</v>
          </cell>
        </row>
        <row r="2192">
          <cell r="B2192" t="str">
            <v>SUC EXITO NORTE</v>
          </cell>
        </row>
        <row r="2193">
          <cell r="B2193" t="str">
            <v>SUC EXITO NORTE DS</v>
          </cell>
        </row>
        <row r="2194">
          <cell r="B2194" t="str">
            <v>SUC EXITO PASTO</v>
          </cell>
        </row>
        <row r="2195">
          <cell r="B2195" t="str">
            <v>SUC EXITO PASTO DS</v>
          </cell>
        </row>
        <row r="2196">
          <cell r="B2196" t="str">
            <v>SUC EXITO PEREIRA</v>
          </cell>
        </row>
        <row r="2197">
          <cell r="B2197" t="str">
            <v>SUC EXITO PEREIRA DS</v>
          </cell>
        </row>
        <row r="2198">
          <cell r="B2198" t="str">
            <v>SUC EXITO POBLADO</v>
          </cell>
        </row>
        <row r="2199">
          <cell r="B2199" t="str">
            <v>SUC EXITO POBLADO 2 DS</v>
          </cell>
        </row>
        <row r="2200">
          <cell r="B2200" t="str">
            <v>SUC EXITO POBLADO DS</v>
          </cell>
        </row>
        <row r="2201">
          <cell r="B2201" t="str">
            <v>SUC EXITO POPAYAN</v>
          </cell>
        </row>
        <row r="2202">
          <cell r="B2202" t="str">
            <v>SUC EXITO POPAYAN DS</v>
          </cell>
        </row>
        <row r="2203">
          <cell r="B2203" t="str">
            <v>SUC EXITO SALITRE</v>
          </cell>
        </row>
        <row r="2204">
          <cell r="B2204" t="str">
            <v>SUC EXITO SALITRE DS</v>
          </cell>
        </row>
        <row r="2205">
          <cell r="B2205" t="str">
            <v>SUC EXITO SAN FERNANDO</v>
          </cell>
        </row>
        <row r="2206">
          <cell r="B2206" t="str">
            <v>SUC EXITO SAN FERNANDO 2</v>
          </cell>
        </row>
        <row r="2207">
          <cell r="B2207" t="str">
            <v>SUC EXITO SAN FERNANDO 2 DS</v>
          </cell>
        </row>
        <row r="2208">
          <cell r="B2208" t="str">
            <v>SUC EXITO SAN FERNANDO DS</v>
          </cell>
        </row>
        <row r="2209">
          <cell r="B2209" t="str">
            <v>SUC EXITO SAN IGNACIO DS</v>
          </cell>
        </row>
        <row r="2210">
          <cell r="B2210" t="str">
            <v>SUC EXITO SUBA</v>
          </cell>
        </row>
        <row r="2211">
          <cell r="B2211" t="str">
            <v>SUC EXITO SUBA 2 DS</v>
          </cell>
        </row>
        <row r="2212">
          <cell r="B2212" t="str">
            <v>SUC EXITO SUBA DS</v>
          </cell>
        </row>
        <row r="2213">
          <cell r="B2213" t="str">
            <v>SUC EXITO UNICENTRO</v>
          </cell>
        </row>
        <row r="2214">
          <cell r="B2214" t="str">
            <v>SUC EXITO UNICENTRO DS</v>
          </cell>
        </row>
        <row r="2215">
          <cell r="B2215" t="str">
            <v>SUC EXITO VILLAVICENCIO</v>
          </cell>
        </row>
        <row r="2216">
          <cell r="B2216" t="str">
            <v>SUC EXITO VILLAVICENCIO DS</v>
          </cell>
        </row>
        <row r="2217">
          <cell r="B2217" t="str">
            <v>SUC EXTENSION UNICENTRO BOGOTA DS</v>
          </cell>
        </row>
        <row r="2218">
          <cell r="B2218" t="str">
            <v>SUC FACATATIVA</v>
          </cell>
        </row>
        <row r="2219">
          <cell r="B2219" t="str">
            <v>SUC FACATATIVA DS</v>
          </cell>
        </row>
        <row r="2220">
          <cell r="B2220" t="str">
            <v>SUC FANALCA DS</v>
          </cell>
        </row>
        <row r="2221">
          <cell r="B2221" t="str">
            <v>SUC FIDUCIARIA BARRANQUILLA DS</v>
          </cell>
        </row>
        <row r="2222">
          <cell r="B2222" t="str">
            <v>SUC FIDUCIARIA CALI DS</v>
          </cell>
        </row>
        <row r="2223">
          <cell r="B2223" t="str">
            <v>SUC FIDUCIARIA OVIEDO DS</v>
          </cell>
        </row>
        <row r="2224">
          <cell r="B2224" t="str">
            <v>SUC FLORENCIA</v>
          </cell>
        </row>
        <row r="2225">
          <cell r="B2225" t="str">
            <v>SUC FLORENCIA DS</v>
          </cell>
        </row>
        <row r="2226">
          <cell r="B2226" t="str">
            <v>SUC FLORESTA</v>
          </cell>
        </row>
        <row r="2227">
          <cell r="B2227" t="str">
            <v>SUC FLORESTA DS</v>
          </cell>
        </row>
        <row r="2228">
          <cell r="B2228" t="str">
            <v>SUC FLORIDA</v>
          </cell>
        </row>
        <row r="2229">
          <cell r="B2229" t="str">
            <v>SUC FLORIDA BLANCA</v>
          </cell>
        </row>
        <row r="2230">
          <cell r="B2230" t="str">
            <v>SUC FLORIDA BLANCA DS</v>
          </cell>
        </row>
        <row r="2231">
          <cell r="B2231" t="str">
            <v>SUC FLORIDA DS</v>
          </cell>
        </row>
        <row r="2232">
          <cell r="B2232" t="str">
            <v>SUC FONDO NACIONAL DEL AHORRO DS</v>
          </cell>
        </row>
        <row r="2233">
          <cell r="B2233" t="str">
            <v>SUC FONSECA</v>
          </cell>
        </row>
        <row r="2234">
          <cell r="B2234" t="str">
            <v>SUC FONSECA  DS</v>
          </cell>
        </row>
        <row r="2235">
          <cell r="B2235" t="str">
            <v>SUC FONTIBON</v>
          </cell>
        </row>
        <row r="2236">
          <cell r="B2236" t="str">
            <v>SUC FONTIBON CARRERA 100</v>
          </cell>
        </row>
        <row r="2237">
          <cell r="B2237" t="str">
            <v>SUC FONTIBON CARRERA 100 DS</v>
          </cell>
        </row>
        <row r="2238">
          <cell r="B2238" t="str">
            <v>SUC FONTIBON DS</v>
          </cell>
        </row>
        <row r="2239">
          <cell r="B2239" t="str">
            <v>SUC FREDONIA</v>
          </cell>
        </row>
        <row r="2240">
          <cell r="B2240" t="str">
            <v>SUC FREDONIA DS</v>
          </cell>
        </row>
        <row r="2241">
          <cell r="B2241" t="str">
            <v>SUC FRESNO</v>
          </cell>
        </row>
        <row r="2242">
          <cell r="B2242" t="str">
            <v>SUC FRESNO DS</v>
          </cell>
        </row>
        <row r="2243">
          <cell r="B2243" t="str">
            <v>SUC FRIGORIFICO DS</v>
          </cell>
        </row>
        <row r="2244">
          <cell r="B2244" t="str">
            <v>SUC FUNDADORES MANIZALES</v>
          </cell>
        </row>
        <row r="2245">
          <cell r="B2245" t="str">
            <v>SUC FUNDADORES MANIZALES DS</v>
          </cell>
        </row>
        <row r="2246">
          <cell r="B2246" t="str">
            <v>SUC FUNZA</v>
          </cell>
        </row>
        <row r="2247">
          <cell r="B2247" t="str">
            <v>SUC FUNZA DS</v>
          </cell>
        </row>
        <row r="2248">
          <cell r="B2248" t="str">
            <v>SUC FUSAGASUGA</v>
          </cell>
        </row>
        <row r="2249">
          <cell r="B2249" t="str">
            <v>SUC FUSAGASUGA DS</v>
          </cell>
        </row>
        <row r="2250">
          <cell r="B2250" t="str">
            <v>SUC GACHANCIPA DS</v>
          </cell>
        </row>
        <row r="2251">
          <cell r="B2251" t="str">
            <v>SUC GAITAN</v>
          </cell>
        </row>
        <row r="2252">
          <cell r="B2252" t="str">
            <v>SUC GAITAN DS</v>
          </cell>
        </row>
        <row r="2253">
          <cell r="B2253" t="str">
            <v>SUC GALAPA DS</v>
          </cell>
        </row>
        <row r="2254">
          <cell r="B2254" t="str">
            <v>SUC GALERIAS</v>
          </cell>
        </row>
        <row r="2255">
          <cell r="B2255" t="str">
            <v>SUC GALERIAS DS</v>
          </cell>
        </row>
        <row r="2256">
          <cell r="B2256" t="str">
            <v>SUC GARAGOA</v>
          </cell>
        </row>
        <row r="2257">
          <cell r="B2257" t="str">
            <v>SUC GARAGOA DS</v>
          </cell>
        </row>
        <row r="2258">
          <cell r="B2258" t="str">
            <v>SUC GARZON</v>
          </cell>
        </row>
        <row r="2259">
          <cell r="B2259" t="str">
            <v>SUC GARZON DS</v>
          </cell>
        </row>
        <row r="2260">
          <cell r="B2260" t="str">
            <v>SUC GIGANTE DS</v>
          </cell>
        </row>
        <row r="2261">
          <cell r="B2261" t="str">
            <v>SUC GIRARDOT 2</v>
          </cell>
        </row>
        <row r="2262">
          <cell r="B2262" t="str">
            <v>SUC GIRARDOT 2 DS</v>
          </cell>
        </row>
        <row r="2263">
          <cell r="B2263" t="str">
            <v>SUC GIRARDOTA</v>
          </cell>
        </row>
        <row r="2264">
          <cell r="B2264" t="str">
            <v>SUC GIRARDOTA DS</v>
          </cell>
        </row>
        <row r="2265">
          <cell r="B2265" t="str">
            <v>SUC GIRON</v>
          </cell>
        </row>
        <row r="2266">
          <cell r="B2266" t="str">
            <v>SUC GIRON DS</v>
          </cell>
        </row>
        <row r="2267">
          <cell r="B2267" t="str">
            <v>SUC GRAN ESTACION</v>
          </cell>
        </row>
        <row r="2268">
          <cell r="B2268" t="str">
            <v>SUC GRAN ESTACION DS</v>
          </cell>
        </row>
        <row r="2269">
          <cell r="B2269" t="str">
            <v>SUC GRANADA CALI</v>
          </cell>
        </row>
        <row r="2270">
          <cell r="B2270" t="str">
            <v>SUC GRANADA CALI DS</v>
          </cell>
        </row>
        <row r="2271">
          <cell r="B2271" t="str">
            <v>SUC GRANADA META</v>
          </cell>
        </row>
        <row r="2272">
          <cell r="B2272" t="str">
            <v>SUC GRANADA META DS</v>
          </cell>
        </row>
        <row r="2273">
          <cell r="B2273" t="str">
            <v>SUC GRANCENTRO</v>
          </cell>
        </row>
        <row r="2274">
          <cell r="B2274" t="str">
            <v>SUC GRANCENTRO DS</v>
          </cell>
        </row>
        <row r="2275">
          <cell r="B2275" t="str">
            <v>SUC GUACHENE</v>
          </cell>
        </row>
        <row r="2276">
          <cell r="B2276" t="str">
            <v>SUC GUACHETA DS</v>
          </cell>
        </row>
        <row r="2277">
          <cell r="B2277" t="str">
            <v>SUC GUARNE</v>
          </cell>
        </row>
        <row r="2278">
          <cell r="B2278" t="str">
            <v>SUC GUARNE DS</v>
          </cell>
        </row>
        <row r="2279">
          <cell r="B2279" t="str">
            <v>SUC GUASCA DS</v>
          </cell>
        </row>
        <row r="2280">
          <cell r="B2280" t="str">
            <v>SUC GUATAPURI</v>
          </cell>
        </row>
        <row r="2281">
          <cell r="B2281" t="str">
            <v>SUC GUATAPURI DS</v>
          </cell>
        </row>
        <row r="2282">
          <cell r="B2282" t="str">
            <v>SUC GUAYABAL</v>
          </cell>
        </row>
        <row r="2283">
          <cell r="B2283" t="str">
            <v>SUC GUAYABAL DS</v>
          </cell>
        </row>
        <row r="2284">
          <cell r="B2284" t="str">
            <v>SUC GUAYAQUIL</v>
          </cell>
        </row>
        <row r="2285">
          <cell r="B2285" t="str">
            <v>SUC GUAYAQUIL DS</v>
          </cell>
        </row>
        <row r="2286">
          <cell r="B2286" t="str">
            <v>SUC HATONUEVO DS</v>
          </cell>
        </row>
        <row r="2287">
          <cell r="B2287" t="str">
            <v>SUC HINO MOTORS DS</v>
          </cell>
        </row>
        <row r="2288">
          <cell r="B2288" t="str">
            <v>SUC HONDA</v>
          </cell>
        </row>
        <row r="2289">
          <cell r="B2289" t="str">
            <v>SUC HONDA DS</v>
          </cell>
        </row>
        <row r="2290">
          <cell r="B2290" t="str">
            <v>SUC HOSPITAL GENERAL DS</v>
          </cell>
        </row>
        <row r="2291">
          <cell r="B2291" t="str">
            <v>SUC HOSPITAL PABLO TOBON URIBE</v>
          </cell>
        </row>
        <row r="2292">
          <cell r="B2292" t="str">
            <v>SUC HOSPITAL PABLO TOBON URIBE DS</v>
          </cell>
        </row>
        <row r="2293">
          <cell r="B2293" t="str">
            <v>SUC HOTEL TEQUENDAMA</v>
          </cell>
        </row>
        <row r="2294">
          <cell r="B2294" t="str">
            <v>SUC HOTEL TEQUENDAMA DS</v>
          </cell>
        </row>
        <row r="2295">
          <cell r="B2295" t="str">
            <v>SUC IBAGUE</v>
          </cell>
        </row>
        <row r="2296">
          <cell r="B2296" t="str">
            <v>SUC IBAGUE DS</v>
          </cell>
        </row>
        <row r="2297">
          <cell r="B2297" t="str">
            <v>SUC INDEGA BOGOTA NORTE DS</v>
          </cell>
        </row>
        <row r="2298">
          <cell r="B2298" t="str">
            <v>SUC INDEGA BOGOTA SUR DS</v>
          </cell>
        </row>
        <row r="2299">
          <cell r="B2299" t="str">
            <v>SUC INDEGA GIRARDOT DS</v>
          </cell>
        </row>
        <row r="2300">
          <cell r="B2300" t="str">
            <v>SUC INDEGA PASTO DS</v>
          </cell>
        </row>
        <row r="2301">
          <cell r="B2301" t="str">
            <v>SUC IPIALES</v>
          </cell>
        </row>
        <row r="2302">
          <cell r="B2302" t="str">
            <v>SUC IPIALES DS</v>
          </cell>
        </row>
        <row r="2303">
          <cell r="B2303" t="str">
            <v>SUC ISA DS</v>
          </cell>
        </row>
        <row r="2304">
          <cell r="B2304" t="str">
            <v>SUC ITAGUI</v>
          </cell>
        </row>
        <row r="2305">
          <cell r="B2305" t="str">
            <v>SUC ITAGUI DS</v>
          </cell>
        </row>
        <row r="2306">
          <cell r="B2306" t="str">
            <v>SUC ITAGUI PARQUE</v>
          </cell>
        </row>
        <row r="2307">
          <cell r="B2307" t="str">
            <v>SUC ITAGUI PARQUE DS</v>
          </cell>
        </row>
        <row r="2308">
          <cell r="B2308" t="str">
            <v>SUC IWANA</v>
          </cell>
        </row>
        <row r="2309">
          <cell r="B2309" t="str">
            <v>SUC IWANA DS</v>
          </cell>
        </row>
        <row r="2310">
          <cell r="B2310" t="str">
            <v>SUC JAMUNDI</v>
          </cell>
        </row>
        <row r="2311">
          <cell r="B2311" t="str">
            <v>SUC JAMUNDI DS</v>
          </cell>
        </row>
        <row r="2312">
          <cell r="B2312" t="str">
            <v>SUC JARDIN DS</v>
          </cell>
        </row>
        <row r="2313">
          <cell r="B2313" t="str">
            <v>SUC JARDIN PLAZA</v>
          </cell>
        </row>
        <row r="2314">
          <cell r="B2314" t="str">
            <v>SUC JARDIN PLAZA DS</v>
          </cell>
        </row>
        <row r="2315">
          <cell r="B2315" t="str">
            <v>SUC JAVERIANA DS</v>
          </cell>
        </row>
        <row r="2316">
          <cell r="B2316" t="str">
            <v>SUC JOHNSON &amp; JOHNSON YUMBO DS</v>
          </cell>
        </row>
        <row r="2317">
          <cell r="B2317" t="str">
            <v>SUC JORGE TADEO LOZANO DS</v>
          </cell>
        </row>
        <row r="2318">
          <cell r="B2318" t="str">
            <v>SUC LA 14 VALLE DEL LILI</v>
          </cell>
        </row>
        <row r="2319">
          <cell r="B2319" t="str">
            <v>SUC LA 14 VALLE DEL LILI DS</v>
          </cell>
        </row>
        <row r="2320">
          <cell r="B2320" t="str">
            <v>SUC LA AGUACATALA</v>
          </cell>
        </row>
        <row r="2321">
          <cell r="B2321" t="str">
            <v>SUC LA AGUACATALA DS</v>
          </cell>
        </row>
        <row r="2322">
          <cell r="B2322" t="str">
            <v>SUC LA AMERICA</v>
          </cell>
        </row>
        <row r="2323">
          <cell r="B2323" t="str">
            <v>SUC LA AMERICA DS</v>
          </cell>
        </row>
        <row r="2324">
          <cell r="B2324" t="str">
            <v>SUC LA CALERA</v>
          </cell>
        </row>
        <row r="2325">
          <cell r="B2325" t="str">
            <v>SUC LA CALERA DS</v>
          </cell>
        </row>
        <row r="2326">
          <cell r="B2326" t="str">
            <v>SUC LA CANDELARIA</v>
          </cell>
        </row>
        <row r="2327">
          <cell r="B2327" t="str">
            <v>SUC LA CANDELARIA DS</v>
          </cell>
        </row>
        <row r="2328">
          <cell r="B2328" t="str">
            <v>SUC LA CAROLINA  UNICENTRO</v>
          </cell>
        </row>
        <row r="2329">
          <cell r="B2329" t="str">
            <v>SUC LA CAROLINA UNICENTRO DS</v>
          </cell>
        </row>
        <row r="2330">
          <cell r="B2330" t="str">
            <v>SUC LA CEJA</v>
          </cell>
        </row>
        <row r="2331">
          <cell r="B2331" t="str">
            <v>SUC LA CEJA DS</v>
          </cell>
        </row>
        <row r="2332">
          <cell r="B2332" t="str">
            <v>SUC LA DORADA</v>
          </cell>
        </row>
        <row r="2333">
          <cell r="B2333" t="str">
            <v>SUC LA DORADA DS</v>
          </cell>
        </row>
        <row r="2334">
          <cell r="B2334" t="str">
            <v>SUC LA ERMITA</v>
          </cell>
        </row>
        <row r="2335">
          <cell r="B2335" t="str">
            <v>SUC LA ERMITA DS</v>
          </cell>
        </row>
        <row r="2336">
          <cell r="B2336" t="str">
            <v>SUC LA ESTRELLA</v>
          </cell>
        </row>
        <row r="2337">
          <cell r="B2337" t="str">
            <v>SUC LA ESTRELLA DS</v>
          </cell>
        </row>
        <row r="2338">
          <cell r="B2338" t="str">
            <v>SUC LA FLORA</v>
          </cell>
        </row>
        <row r="2339">
          <cell r="B2339" t="str">
            <v>SUC LA FLORA DS</v>
          </cell>
        </row>
        <row r="2340">
          <cell r="B2340" t="str">
            <v>SUC LA FRONTERA</v>
          </cell>
        </row>
        <row r="2341">
          <cell r="B2341" t="str">
            <v>SUC LA FRONTERA DS</v>
          </cell>
        </row>
        <row r="2342">
          <cell r="B2342" t="str">
            <v>SUC LA GUACATALA</v>
          </cell>
        </row>
        <row r="2343">
          <cell r="B2343" t="str">
            <v>SUC LA HERRADURA</v>
          </cell>
        </row>
        <row r="2344">
          <cell r="B2344" t="str">
            <v>SUC LA HERRADURA DS</v>
          </cell>
        </row>
        <row r="2345">
          <cell r="B2345" t="str">
            <v>SUC LA LOMA DS</v>
          </cell>
        </row>
        <row r="2346">
          <cell r="B2346" t="str">
            <v>SUC LA LUNA</v>
          </cell>
        </row>
        <row r="2347">
          <cell r="B2347" t="str">
            <v>SUC LA LUNA DS</v>
          </cell>
        </row>
        <row r="2348">
          <cell r="B2348" t="str">
            <v>SUC LA MESA</v>
          </cell>
        </row>
        <row r="2349">
          <cell r="B2349" t="str">
            <v>SUC LA MESA DS</v>
          </cell>
        </row>
        <row r="2350">
          <cell r="B2350" t="str">
            <v>SUC LA MOTA</v>
          </cell>
        </row>
        <row r="2351">
          <cell r="B2351" t="str">
            <v>SUC LA MOTA DS</v>
          </cell>
        </row>
        <row r="2352">
          <cell r="B2352" t="str">
            <v>SUC LA PLATA</v>
          </cell>
        </row>
        <row r="2353">
          <cell r="B2353" t="str">
            <v>SUC LA PLATA DS</v>
          </cell>
        </row>
        <row r="2354">
          <cell r="B2354" t="str">
            <v>SUC LA PLAYA</v>
          </cell>
        </row>
        <row r="2355">
          <cell r="B2355" t="str">
            <v>SUC LA PLAYA DS</v>
          </cell>
        </row>
        <row r="2356">
          <cell r="B2356" t="str">
            <v>SUC LA PORCIUNCULA</v>
          </cell>
        </row>
        <row r="2357">
          <cell r="B2357" t="str">
            <v>SUC LA PORCIUNCULA DS</v>
          </cell>
        </row>
        <row r="2358">
          <cell r="B2358" t="str">
            <v>SUC LA QUINTA</v>
          </cell>
        </row>
        <row r="2359">
          <cell r="B2359" t="str">
            <v>SUC LA QUINTA DS</v>
          </cell>
        </row>
        <row r="2360">
          <cell r="B2360" t="str">
            <v>SUC LA RIVIERA</v>
          </cell>
        </row>
        <row r="2361">
          <cell r="B2361" t="str">
            <v>SUC LA RIVIERA DS</v>
          </cell>
        </row>
        <row r="2362">
          <cell r="B2362" t="str">
            <v>SUC LA SABANA DS</v>
          </cell>
        </row>
        <row r="2363">
          <cell r="B2363" t="str">
            <v>SUC LA SALLE</v>
          </cell>
        </row>
        <row r="2364">
          <cell r="B2364" t="str">
            <v>SUC LA SALLE  DS</v>
          </cell>
        </row>
        <row r="2365">
          <cell r="B2365" t="str">
            <v>SUC LA SEVILLANA</v>
          </cell>
        </row>
        <row r="2366">
          <cell r="B2366" t="str">
            <v>SUC LA SEVILLANA DS</v>
          </cell>
        </row>
        <row r="2367">
          <cell r="B2367" t="str">
            <v>SUC LA SOLEDAD BOGOTA</v>
          </cell>
        </row>
        <row r="2368">
          <cell r="B2368" t="str">
            <v>SUC LA SOLEDAD BOGOTA DS</v>
          </cell>
        </row>
        <row r="2369">
          <cell r="B2369" t="str">
            <v>SUC LA UNION</v>
          </cell>
        </row>
        <row r="2370">
          <cell r="B2370" t="str">
            <v>SUC LA UNION ANTIOQUIA</v>
          </cell>
        </row>
        <row r="2371">
          <cell r="B2371" t="str">
            <v>SUC LA UNION ANTIOQUIA DS</v>
          </cell>
        </row>
        <row r="2372">
          <cell r="B2372" t="str">
            <v>SUC LA UNION DS</v>
          </cell>
        </row>
        <row r="2373">
          <cell r="B2373" t="str">
            <v>SUC LA UNION NARI#O</v>
          </cell>
        </row>
        <row r="2374">
          <cell r="B2374" t="str">
            <v>SUC LA UNION NARI#O DS</v>
          </cell>
        </row>
        <row r="2375">
          <cell r="B2375" t="str">
            <v>SUC LA VEGA</v>
          </cell>
        </row>
        <row r="2376">
          <cell r="B2376" t="str">
            <v>SUC LA VEGA DS</v>
          </cell>
        </row>
        <row r="2377">
          <cell r="B2377" t="str">
            <v>SUC LA VICTORIA BARRANQUILLA</v>
          </cell>
        </row>
        <row r="2378">
          <cell r="B2378" t="str">
            <v>SUC LA VICTORIA BARRANQUILLA DS</v>
          </cell>
        </row>
        <row r="2379">
          <cell r="B2379" t="str">
            <v>SUC LAS AGUAS</v>
          </cell>
        </row>
        <row r="2380">
          <cell r="B2380" t="str">
            <v>SUC LAS AGUAS DS</v>
          </cell>
        </row>
        <row r="2381">
          <cell r="B2381" t="str">
            <v>SUC LAS AMERICAS</v>
          </cell>
        </row>
        <row r="2382">
          <cell r="B2382" t="str">
            <v>SUC LAS AMERICAS DS</v>
          </cell>
        </row>
        <row r="2383">
          <cell r="B2383" t="str">
            <v>SUC LAS CRUCES</v>
          </cell>
        </row>
        <row r="2384">
          <cell r="B2384" t="str">
            <v>SUC LAS FERIAS</v>
          </cell>
        </row>
        <row r="2385">
          <cell r="B2385" t="str">
            <v>SUC LAS FERIAS DS</v>
          </cell>
        </row>
        <row r="2386">
          <cell r="B2386" t="str">
            <v>SUC LAS GRANJAS</v>
          </cell>
        </row>
        <row r="2387">
          <cell r="B2387" t="str">
            <v>SUC LAS GRANJAS DS</v>
          </cell>
        </row>
        <row r="2388">
          <cell r="B2388" t="str">
            <v>SUC LAS PALMAS</v>
          </cell>
        </row>
        <row r="2389">
          <cell r="B2389" t="str">
            <v>SUC LAS PALMAS DS</v>
          </cell>
        </row>
        <row r="2390">
          <cell r="B2390" t="str">
            <v>SUC LAS PEÑITAS SINCELEJO</v>
          </cell>
        </row>
        <row r="2391">
          <cell r="B2391" t="str">
            <v>SUC LAS PEÑITAS SINCELEJO DS</v>
          </cell>
        </row>
        <row r="2392">
          <cell r="B2392" t="str">
            <v>SUC LAURELES</v>
          </cell>
        </row>
        <row r="2393">
          <cell r="B2393" t="str">
            <v>SUC LAURELES DS</v>
          </cell>
        </row>
        <row r="2394">
          <cell r="B2394" t="str">
            <v>SUC LEBRIJA</v>
          </cell>
        </row>
        <row r="2395">
          <cell r="B2395" t="str">
            <v>SUC LEBRIJA DS</v>
          </cell>
        </row>
        <row r="2396">
          <cell r="B2396" t="str">
            <v>SUC LETICIA</v>
          </cell>
        </row>
        <row r="2397">
          <cell r="B2397" t="str">
            <v>SUC LETICIA DS</v>
          </cell>
        </row>
        <row r="2398">
          <cell r="B2398" t="str">
            <v>SUC LEY SALITRE DS</v>
          </cell>
        </row>
        <row r="2399">
          <cell r="B2399" t="str">
            <v>SUC LIBANO</v>
          </cell>
        </row>
        <row r="2400">
          <cell r="B2400" t="str">
            <v>SUC LIBANO DS</v>
          </cell>
        </row>
        <row r="2401">
          <cell r="B2401" t="str">
            <v>SUC LIBERTADORES</v>
          </cell>
        </row>
        <row r="2402">
          <cell r="B2402" t="str">
            <v>SUC LIBERTADORES DS</v>
          </cell>
        </row>
        <row r="2403">
          <cell r="B2403" t="str">
            <v>SUC LLANOGRANDE PALMIRA</v>
          </cell>
        </row>
        <row r="2404">
          <cell r="B2404" t="str">
            <v>SUC LLANOGRANDE PALMIRA DS</v>
          </cell>
        </row>
        <row r="2405">
          <cell r="B2405" t="str">
            <v>SUC LOPEZ DE GALARZA</v>
          </cell>
        </row>
        <row r="2406">
          <cell r="B2406" t="str">
            <v>SUC LOPEZ DE GALARZA DS</v>
          </cell>
        </row>
        <row r="2407">
          <cell r="B2407" t="str">
            <v>SUC LORICA</v>
          </cell>
        </row>
        <row r="2408">
          <cell r="B2408" t="str">
            <v>SUC LORICA DS</v>
          </cell>
        </row>
        <row r="2409">
          <cell r="B2409" t="str">
            <v>SUC LOS ALCAZARES</v>
          </cell>
        </row>
        <row r="2410">
          <cell r="B2410" t="str">
            <v>SUC LOS ALCAZARES DS</v>
          </cell>
        </row>
        <row r="2411">
          <cell r="B2411" t="str">
            <v>SUC LOS BONGOS</v>
          </cell>
        </row>
        <row r="2412">
          <cell r="B2412" t="str">
            <v>SUC LOS BONGOS DS</v>
          </cell>
        </row>
        <row r="2413">
          <cell r="B2413" t="str">
            <v>SUC LOS DUJOS</v>
          </cell>
        </row>
        <row r="2414">
          <cell r="B2414" t="str">
            <v>SUC LOS DUJOS DS</v>
          </cell>
        </row>
        <row r="2415">
          <cell r="B2415" t="str">
            <v>SUC LOS MOLINOS</v>
          </cell>
        </row>
        <row r="2416">
          <cell r="B2416" t="str">
            <v>SUC LOS MOLINOS DS</v>
          </cell>
        </row>
        <row r="2417">
          <cell r="B2417" t="str">
            <v>SUC LOS PATIOS</v>
          </cell>
        </row>
        <row r="2418">
          <cell r="B2418" t="str">
            <v>SUC LOURDES DS</v>
          </cell>
        </row>
        <row r="2419">
          <cell r="B2419" t="str">
            <v>SUC MADRID</v>
          </cell>
        </row>
        <row r="2420">
          <cell r="B2420" t="str">
            <v>SUC MADRID DS</v>
          </cell>
        </row>
        <row r="2421">
          <cell r="B2421" t="str">
            <v>SUC MAGANGUE</v>
          </cell>
        </row>
        <row r="2422">
          <cell r="B2422" t="str">
            <v>SUC MAGANGUE DS</v>
          </cell>
        </row>
        <row r="2423">
          <cell r="B2423" t="str">
            <v>SUC MAICAO</v>
          </cell>
        </row>
        <row r="2424">
          <cell r="B2424" t="str">
            <v>SUC MAICAO DS</v>
          </cell>
        </row>
        <row r="2425">
          <cell r="B2425" t="str">
            <v>SUC MAIZARO</v>
          </cell>
        </row>
        <row r="2426">
          <cell r="B2426" t="str">
            <v>SUC MAIZARO DS</v>
          </cell>
        </row>
        <row r="2427">
          <cell r="B2427" t="str">
            <v>SUC MALAGA</v>
          </cell>
        </row>
        <row r="2428">
          <cell r="B2428" t="str">
            <v>SUC MALAGA DS</v>
          </cell>
        </row>
        <row r="2429">
          <cell r="B2429" t="str">
            <v>SUC MALL PLAZA DEL CASTILLO</v>
          </cell>
        </row>
        <row r="2430">
          <cell r="B2430" t="str">
            <v>SUC MALL PLAZA DEL CASTILLO DS</v>
          </cell>
        </row>
        <row r="2431">
          <cell r="B2431" t="str">
            <v>SUC MANAURE DS</v>
          </cell>
        </row>
        <row r="2432">
          <cell r="B2432" t="str">
            <v>SUC MANGA</v>
          </cell>
        </row>
        <row r="2433">
          <cell r="B2433" t="str">
            <v>SUC MANGA DS</v>
          </cell>
        </row>
        <row r="2434">
          <cell r="B2434" t="str">
            <v>SUC MANI DS</v>
          </cell>
        </row>
        <row r="2435">
          <cell r="B2435" t="str">
            <v>SUC MANIZALES</v>
          </cell>
        </row>
        <row r="2436">
          <cell r="B2436" t="str">
            <v>SUC MANIZALES DS</v>
          </cell>
        </row>
        <row r="2437">
          <cell r="B2437" t="str">
            <v>SUC MANRIQUE</v>
          </cell>
        </row>
        <row r="2438">
          <cell r="B2438" t="str">
            <v>SUC MANRIQUE DS</v>
          </cell>
        </row>
        <row r="2439">
          <cell r="B2439" t="str">
            <v>SUC MANSAROVAR DS</v>
          </cell>
        </row>
        <row r="2440">
          <cell r="B2440" t="str">
            <v>SUC MARINILLA</v>
          </cell>
        </row>
        <row r="2441">
          <cell r="B2441" t="str">
            <v>SUC MARINILLA DS</v>
          </cell>
        </row>
        <row r="2442">
          <cell r="B2442" t="str">
            <v>SUC MARIQUITA</v>
          </cell>
        </row>
        <row r="2443">
          <cell r="B2443" t="str">
            <v>SUC MARIQUITA DS</v>
          </cell>
        </row>
        <row r="2444">
          <cell r="B2444" t="str">
            <v>SUC MARLY</v>
          </cell>
        </row>
        <row r="2445">
          <cell r="B2445" t="str">
            <v>SUC MARLY DS</v>
          </cell>
        </row>
        <row r="2446">
          <cell r="B2446" t="str">
            <v>SUC MEGACITY</v>
          </cell>
        </row>
        <row r="2447">
          <cell r="B2447" t="str">
            <v>SUC MEGACITY DS</v>
          </cell>
        </row>
        <row r="2448">
          <cell r="B2448" t="str">
            <v>SUC MEGAMALL</v>
          </cell>
        </row>
        <row r="2449">
          <cell r="B2449" t="str">
            <v>SUC MEGAMALL DS</v>
          </cell>
        </row>
        <row r="2450">
          <cell r="B2450" t="str">
            <v>SUC MELGAR</v>
          </cell>
        </row>
        <row r="2451">
          <cell r="B2451" t="str">
            <v>SUC MELGAR DS</v>
          </cell>
        </row>
        <row r="2452">
          <cell r="B2452" t="str">
            <v>SUC MERCANTIL</v>
          </cell>
        </row>
        <row r="2453">
          <cell r="B2453" t="str">
            <v>SUC MERCANTIL DS</v>
          </cell>
        </row>
        <row r="2454">
          <cell r="B2454" t="str">
            <v>SUC MERCURIO PLAZA</v>
          </cell>
        </row>
        <row r="2455">
          <cell r="B2455" t="str">
            <v>SUC MERCURIO PLAZA DS</v>
          </cell>
        </row>
        <row r="2456">
          <cell r="B2456" t="str">
            <v>SUC METROKIA DS</v>
          </cell>
        </row>
        <row r="2457">
          <cell r="B2457" t="str">
            <v>SUC METROPOLIS</v>
          </cell>
        </row>
        <row r="2458">
          <cell r="B2458" t="str">
            <v>SUC METROPOLIS DS</v>
          </cell>
        </row>
        <row r="2459">
          <cell r="B2459" t="str">
            <v>SUC MILENIO PLAZA</v>
          </cell>
        </row>
        <row r="2460">
          <cell r="B2460" t="str">
            <v>SUC MILENIO PLAZA DS</v>
          </cell>
        </row>
        <row r="2461">
          <cell r="B2461" t="str">
            <v>SUC MINGUEO -DIBULLA DS</v>
          </cell>
        </row>
        <row r="2462">
          <cell r="B2462" t="str">
            <v>SUC MIRAMAR</v>
          </cell>
        </row>
        <row r="2463">
          <cell r="B2463" t="str">
            <v>SUC MIRAMAR DS</v>
          </cell>
        </row>
        <row r="2464">
          <cell r="B2464" t="str">
            <v>SUC MIRANDA CAUCA DS</v>
          </cell>
        </row>
        <row r="2465">
          <cell r="B2465" t="str">
            <v>SUC MIX VIA 40</v>
          </cell>
        </row>
        <row r="2466">
          <cell r="B2466" t="str">
            <v>SUC MIX VIA 40 DS</v>
          </cell>
        </row>
        <row r="2467">
          <cell r="B2467" t="str">
            <v>SUC MODELIA</v>
          </cell>
        </row>
        <row r="2468">
          <cell r="B2468" t="str">
            <v>SUC MODELIA DS</v>
          </cell>
        </row>
        <row r="2469">
          <cell r="B2469" t="str">
            <v>SUC MONOMEROS DS</v>
          </cell>
        </row>
        <row r="2470">
          <cell r="B2470" t="str">
            <v>SUC MONTELIBANO</v>
          </cell>
        </row>
        <row r="2471">
          <cell r="B2471" t="str">
            <v>SUC MONTELIBANO DS</v>
          </cell>
        </row>
        <row r="2472">
          <cell r="B2472" t="str">
            <v>SUC MONTENEGRO</v>
          </cell>
        </row>
        <row r="2473">
          <cell r="B2473" t="str">
            <v>SUC MONTENEGRO DS</v>
          </cell>
        </row>
        <row r="2474">
          <cell r="B2474" t="str">
            <v>SUC MONTERIA</v>
          </cell>
        </row>
        <row r="2475">
          <cell r="B2475" t="str">
            <v>SUC MONTERIA DS</v>
          </cell>
        </row>
        <row r="2476">
          <cell r="B2476" t="str">
            <v>SUC MONTEVIDEO</v>
          </cell>
        </row>
        <row r="2477">
          <cell r="B2477" t="str">
            <v>SUC MONTEVIDEO DS</v>
          </cell>
        </row>
        <row r="2478">
          <cell r="B2478" t="str">
            <v>SUC MORATO</v>
          </cell>
        </row>
        <row r="2479">
          <cell r="B2479" t="str">
            <v>SUC MORATO DS</v>
          </cell>
        </row>
        <row r="2480">
          <cell r="B2480" t="str">
            <v>SUC MORICHAL DS</v>
          </cell>
        </row>
        <row r="2481">
          <cell r="B2481" t="str">
            <v>SUC MORICHAL PLAZA</v>
          </cell>
        </row>
        <row r="2482">
          <cell r="B2482" t="str">
            <v>SUC MOSQUERA</v>
          </cell>
        </row>
        <row r="2483">
          <cell r="B2483" t="str">
            <v>SUC MOSQUERA DS</v>
          </cell>
        </row>
        <row r="2484">
          <cell r="B2484" t="str">
            <v>SUC MUELLES DEL BOSQUE DS</v>
          </cell>
        </row>
        <row r="2485">
          <cell r="B2485" t="str">
            <v>SUC MULTICENTRO IBAGUE</v>
          </cell>
        </row>
        <row r="2486">
          <cell r="B2486" t="str">
            <v>SUC MULTICENTRO IBAGUE 2 DS</v>
          </cell>
        </row>
        <row r="2487">
          <cell r="B2487" t="str">
            <v>SUC MULTICENTRO IBAGUE DS</v>
          </cell>
        </row>
        <row r="2488">
          <cell r="B2488" t="str">
            <v>SUC MULTIPLAZA DRIVE</v>
          </cell>
        </row>
        <row r="2489">
          <cell r="B2489" t="str">
            <v>SUC MULTIPLAZA DRIVE DS</v>
          </cell>
        </row>
        <row r="2490">
          <cell r="B2490" t="str">
            <v>SUC MUNICIPIO DE MEDELLIN DS</v>
          </cell>
        </row>
        <row r="2491">
          <cell r="B2491" t="str">
            <v>SUC MURILLO</v>
          </cell>
        </row>
        <row r="2492">
          <cell r="B2492" t="str">
            <v>SUC MURILLO DS</v>
          </cell>
        </row>
        <row r="2493">
          <cell r="B2493" t="str">
            <v>SUC NECOCLI DS</v>
          </cell>
        </row>
        <row r="2494">
          <cell r="B2494" t="str">
            <v>SUC NEIVA</v>
          </cell>
        </row>
        <row r="2495">
          <cell r="B2495" t="str">
            <v>SUC NEIVA DS</v>
          </cell>
        </row>
        <row r="2496">
          <cell r="B2496" t="str">
            <v>SUC NEMOCON</v>
          </cell>
        </row>
        <row r="2497">
          <cell r="B2497" t="str">
            <v>SUC NEMOCON DS</v>
          </cell>
        </row>
        <row r="2498">
          <cell r="B2498" t="str">
            <v>SUC NISSAN DS</v>
          </cell>
        </row>
        <row r="2499">
          <cell r="B2499" t="str">
            <v>SUC NIZA</v>
          </cell>
        </row>
        <row r="2500">
          <cell r="B2500" t="str">
            <v>SUC NIZA DS</v>
          </cell>
        </row>
        <row r="2501">
          <cell r="B2501" t="str">
            <v>SUC NORMANDIA</v>
          </cell>
        </row>
        <row r="2502">
          <cell r="B2502" t="str">
            <v>SUC NORMANDIA DS</v>
          </cell>
        </row>
        <row r="2503">
          <cell r="B2503" t="str">
            <v>SUC OCANA</v>
          </cell>
        </row>
        <row r="2504">
          <cell r="B2504" t="str">
            <v>SUC OCANA DS</v>
          </cell>
        </row>
        <row r="2505">
          <cell r="B2505" t="str">
            <v>SUC OCEAN MALL</v>
          </cell>
        </row>
        <row r="2506">
          <cell r="B2506" t="str">
            <v>SUC OCEAN MALL DS</v>
          </cell>
        </row>
        <row r="2507">
          <cell r="B2507" t="str">
            <v>SUC OESTE</v>
          </cell>
        </row>
        <row r="2508">
          <cell r="B2508" t="str">
            <v>SUC OESTE DS</v>
          </cell>
        </row>
        <row r="2509">
          <cell r="B2509" t="str">
            <v>SUC OLAYA HERRERA B/QUILLA</v>
          </cell>
        </row>
        <row r="2510">
          <cell r="B2510" t="str">
            <v>SUC OLAYA HERRERA B/QUILLA DS</v>
          </cell>
        </row>
        <row r="2511">
          <cell r="B2511" t="str">
            <v>SUC OLIMPICA</v>
          </cell>
        </row>
        <row r="2512">
          <cell r="B2512" t="str">
            <v>SUC OLIMPICA CARABOBO DS</v>
          </cell>
        </row>
        <row r="2513">
          <cell r="B2513" t="str">
            <v>SUC OLIMPICA DS</v>
          </cell>
        </row>
        <row r="2514">
          <cell r="B2514" t="str">
            <v>SUC OLIMPICA LA 76</v>
          </cell>
        </row>
        <row r="2515">
          <cell r="B2515" t="str">
            <v>SUC OLIMPICA LA 76 DS</v>
          </cell>
        </row>
        <row r="2516">
          <cell r="B2516" t="str">
            <v>SUC OPAIN DS</v>
          </cell>
        </row>
        <row r="2517">
          <cell r="B2517" t="str">
            <v>SUC ORIP CALI DS</v>
          </cell>
        </row>
        <row r="2518">
          <cell r="B2518" t="str">
            <v>SUC ORIP MEDELLIN NORTE DS</v>
          </cell>
        </row>
        <row r="2519">
          <cell r="B2519" t="str">
            <v>SUC ORIP MEDELLIN SUR DS</v>
          </cell>
        </row>
        <row r="2520">
          <cell r="B2520" t="str">
            <v>SUC OROCUE DS</v>
          </cell>
        </row>
        <row r="2521">
          <cell r="B2521" t="str">
            <v>SUC OTRABANDA</v>
          </cell>
        </row>
        <row r="2522">
          <cell r="B2522" t="str">
            <v>SUC OTRABANDA DS</v>
          </cell>
        </row>
        <row r="2523">
          <cell r="B2523" t="str">
            <v>SUC OVIEDO</v>
          </cell>
        </row>
        <row r="2524">
          <cell r="B2524" t="str">
            <v>SUC OVIEDO CENTRO CCIAL</v>
          </cell>
        </row>
        <row r="2525">
          <cell r="B2525" t="str">
            <v>SUC OVIEDO CENTRO CCIAL DS</v>
          </cell>
        </row>
        <row r="2526">
          <cell r="B2526" t="str">
            <v>SUC OVIEDO DS</v>
          </cell>
        </row>
        <row r="2527">
          <cell r="B2527" t="str">
            <v>SUC PACHO</v>
          </cell>
        </row>
        <row r="2528">
          <cell r="B2528" t="str">
            <v>SUC PACHO DS</v>
          </cell>
        </row>
        <row r="2529">
          <cell r="B2529" t="str">
            <v>SUC PAIPA</v>
          </cell>
        </row>
        <row r="2530">
          <cell r="B2530" t="str">
            <v>SUC PAIPA DS</v>
          </cell>
        </row>
        <row r="2531">
          <cell r="B2531" t="str">
            <v>SUC PALERMO DS</v>
          </cell>
        </row>
        <row r="2532">
          <cell r="B2532" t="str">
            <v>SUC PALMETTO</v>
          </cell>
        </row>
        <row r="2533">
          <cell r="B2533" t="str">
            <v>SUC PALMETTO DS</v>
          </cell>
        </row>
        <row r="2534">
          <cell r="B2534" t="str">
            <v>SUC PALMIRA</v>
          </cell>
        </row>
        <row r="2535">
          <cell r="B2535" t="str">
            <v>SUC PALMIRA DS</v>
          </cell>
        </row>
        <row r="2536">
          <cell r="B2536" t="str">
            <v>SUC PALOQUEMAO</v>
          </cell>
        </row>
        <row r="2537">
          <cell r="B2537" t="str">
            <v>SUC PALOQUEMAO DS</v>
          </cell>
        </row>
        <row r="2538">
          <cell r="B2538" t="str">
            <v>SUC PAMPLONA SANTANDER</v>
          </cell>
        </row>
        <row r="2539">
          <cell r="B2539" t="str">
            <v>SUC PAMPLONA SANTANDER DS</v>
          </cell>
        </row>
        <row r="2540">
          <cell r="B2540" t="str">
            <v>SUC PANAMCO COLOMBIA IBAGUE DS</v>
          </cell>
        </row>
        <row r="2541">
          <cell r="B2541" t="str">
            <v>SUC PANAMCO COLOMBIA MEDELLIN DS</v>
          </cell>
        </row>
        <row r="2542">
          <cell r="B2542" t="str">
            <v>SUC PANAMERICANA</v>
          </cell>
        </row>
        <row r="2543">
          <cell r="B2543" t="str">
            <v>SUC PANAMERICANA DS</v>
          </cell>
        </row>
        <row r="2544">
          <cell r="B2544" t="str">
            <v>SUC PARALELO 108</v>
          </cell>
        </row>
        <row r="2545">
          <cell r="B2545" t="str">
            <v>SUC PARALELO 108 DS</v>
          </cell>
        </row>
        <row r="2546">
          <cell r="B2546" t="str">
            <v>SUC PARK WAY</v>
          </cell>
        </row>
        <row r="2547">
          <cell r="B2547" t="str">
            <v>SUC PARK WAY DS</v>
          </cell>
        </row>
        <row r="2548">
          <cell r="B2548" t="str">
            <v>SUC PARQUE ARBOLEDA</v>
          </cell>
        </row>
        <row r="2549">
          <cell r="B2549" t="str">
            <v>SUC PARQUE ARBOLEDA DS</v>
          </cell>
        </row>
        <row r="2550">
          <cell r="B2550" t="str">
            <v>SUC PARQUE BOLIVAR</v>
          </cell>
        </row>
        <row r="2551">
          <cell r="B2551" t="str">
            <v>SUC PARQUE BOLIVAR DS</v>
          </cell>
        </row>
        <row r="2552">
          <cell r="B2552" t="str">
            <v>SUC PARQUE CONCORDIA</v>
          </cell>
        </row>
        <row r="2553">
          <cell r="B2553" t="str">
            <v>SUC PARQUE CONCORDIA DS</v>
          </cell>
        </row>
        <row r="2554">
          <cell r="B2554" t="str">
            <v>SUC PARQUE MURILLO TORO</v>
          </cell>
        </row>
        <row r="2555">
          <cell r="B2555" t="str">
            <v>SUC PARQUE MURILLO TORO DS</v>
          </cell>
        </row>
        <row r="2556">
          <cell r="B2556" t="str">
            <v>SUC PARQUE WASHINGTON</v>
          </cell>
        </row>
        <row r="2557">
          <cell r="B2557" t="str">
            <v>SUC PARQUE WASHINGTON DS</v>
          </cell>
        </row>
        <row r="2558">
          <cell r="B2558" t="str">
            <v>SUC PASEO BOLIVAR</v>
          </cell>
        </row>
        <row r="2559">
          <cell r="B2559" t="str">
            <v>SUC PASEO BOLIVAR DS</v>
          </cell>
        </row>
        <row r="2560">
          <cell r="B2560" t="str">
            <v>SUC PASEO DEL COMERCIO</v>
          </cell>
        </row>
        <row r="2561">
          <cell r="B2561" t="str">
            <v>SUC PASEO DEL COMERCIO DS</v>
          </cell>
        </row>
        <row r="2562">
          <cell r="B2562" t="str">
            <v>SUC PASEO DEL POBLADO</v>
          </cell>
        </row>
        <row r="2563">
          <cell r="B2563" t="str">
            <v>SUC PASEO DEL POBLADO DS</v>
          </cell>
        </row>
        <row r="2564">
          <cell r="B2564" t="str">
            <v>SUC PASEO LA CASTELLANA</v>
          </cell>
        </row>
        <row r="2565">
          <cell r="B2565" t="str">
            <v>SUC PASEO LA CASTELLANA DS</v>
          </cell>
        </row>
        <row r="2566">
          <cell r="B2566" t="str">
            <v>SUC PASO ANCHO</v>
          </cell>
        </row>
        <row r="2567">
          <cell r="B2567" t="str">
            <v>SUC PASO ANCHO DS</v>
          </cell>
        </row>
        <row r="2568">
          <cell r="B2568" t="str">
            <v>SUC PASTO</v>
          </cell>
        </row>
        <row r="2569">
          <cell r="B2569" t="str">
            <v>SUC PASTO DS</v>
          </cell>
        </row>
        <row r="2570">
          <cell r="B2570" t="str">
            <v>SUC PAZ  DE ARIPORO</v>
          </cell>
        </row>
        <row r="2571">
          <cell r="B2571" t="str">
            <v>SUC PAZ  DE ARIPORO DS</v>
          </cell>
        </row>
        <row r="2572">
          <cell r="B2572" t="str">
            <v>SUC PEREIRA</v>
          </cell>
        </row>
        <row r="2573">
          <cell r="B2573" t="str">
            <v>SUC PEREIRA DS</v>
          </cell>
        </row>
        <row r="2574">
          <cell r="B2574" t="str">
            <v>SUC PIEDECUESTA</v>
          </cell>
        </row>
        <row r="2575">
          <cell r="B2575" t="str">
            <v>SUC PIEDECUESTA DS</v>
          </cell>
        </row>
        <row r="2576">
          <cell r="B2576" t="str">
            <v>SUC PITALITO</v>
          </cell>
        </row>
        <row r="2577">
          <cell r="B2577" t="str">
            <v>SUC PITALITO DS</v>
          </cell>
        </row>
        <row r="2578">
          <cell r="B2578" t="str">
            <v>SUC PLANETA RICA</v>
          </cell>
        </row>
        <row r="2579">
          <cell r="B2579" t="str">
            <v>SUC PLANETA RICA DS</v>
          </cell>
        </row>
        <row r="2580">
          <cell r="B2580" t="str">
            <v>SUC PLATO</v>
          </cell>
        </row>
        <row r="2581">
          <cell r="B2581" t="str">
            <v>SUC PLATO DS</v>
          </cell>
        </row>
        <row r="2582">
          <cell r="B2582" t="str">
            <v>SUC PLAZA CAYCEDO</v>
          </cell>
        </row>
        <row r="2583">
          <cell r="B2583" t="str">
            <v>SUC PLAZA CAYCEDO DS</v>
          </cell>
        </row>
        <row r="2584">
          <cell r="B2584" t="str">
            <v>SUC PLAZA DE BOLIVAR</v>
          </cell>
        </row>
        <row r="2585">
          <cell r="B2585" t="str">
            <v>SUC PLAZA DE BOLIVAR ARMENIA</v>
          </cell>
        </row>
        <row r="2586">
          <cell r="B2586" t="str">
            <v>SUC PLAZA DE BOLIVAR ARMENIA DS</v>
          </cell>
        </row>
        <row r="2587">
          <cell r="B2587" t="str">
            <v>SUC PLAZA DE BOLIVAR DS</v>
          </cell>
        </row>
        <row r="2588">
          <cell r="B2588" t="str">
            <v>SUC PLAZA DE BOLIVAR PEREIRA</v>
          </cell>
        </row>
        <row r="2589">
          <cell r="B2589" t="str">
            <v>SUC PLAZA DE BOLIVAR PEREIRA DS</v>
          </cell>
        </row>
        <row r="2590">
          <cell r="B2590" t="str">
            <v>SUC PLAZA DE FERIAS</v>
          </cell>
        </row>
        <row r="2591">
          <cell r="B2591" t="str">
            <v>SUC PLAZA DE FERIAS DS</v>
          </cell>
        </row>
        <row r="2592">
          <cell r="B2592" t="str">
            <v>SUC PLAZA DE FLORES</v>
          </cell>
        </row>
        <row r="2593">
          <cell r="B2593" t="str">
            <v>SUC PLAZA DE FLORES DS</v>
          </cell>
        </row>
        <row r="2594">
          <cell r="B2594" t="str">
            <v>SUC PLAZA DE LA ADUANA</v>
          </cell>
        </row>
        <row r="2595">
          <cell r="B2595" t="str">
            <v>SUC PLAZA DE LA ADUANA DS</v>
          </cell>
        </row>
        <row r="2596">
          <cell r="B2596" t="str">
            <v>SUC PLAZA DE LAS AMERICAS</v>
          </cell>
        </row>
        <row r="2597">
          <cell r="B2597" t="str">
            <v>SUC PLAZA DE LAS AMERICAS DS</v>
          </cell>
        </row>
        <row r="2598">
          <cell r="B2598" t="str">
            <v>SUC PLAZA DE MERCADO MANIZALES</v>
          </cell>
        </row>
        <row r="2599">
          <cell r="B2599" t="str">
            <v>SUC PLAZA DE MERCADO MANIZALES DS</v>
          </cell>
        </row>
        <row r="2600">
          <cell r="B2600" t="str">
            <v>SUC PLAZA DE MERCADO MONTERIA</v>
          </cell>
        </row>
        <row r="2601">
          <cell r="B2601" t="str">
            <v>SUC PLAZA DE MERCADO MONTERIA DS</v>
          </cell>
        </row>
        <row r="2602">
          <cell r="B2602" t="str">
            <v>SUC PLAZA DEL RIO</v>
          </cell>
        </row>
        <row r="2603">
          <cell r="B2603" t="str">
            <v>SUC PLAZA DEL RIO DS</v>
          </cell>
        </row>
        <row r="2604">
          <cell r="B2604" t="str">
            <v>SUC PLAZA ESPAÑA</v>
          </cell>
        </row>
        <row r="2605">
          <cell r="B2605" t="str">
            <v>SUC PLAZA ESPAÑA DS</v>
          </cell>
        </row>
        <row r="2606">
          <cell r="B2606" t="str">
            <v>SUC PLAZA MAYOR</v>
          </cell>
        </row>
        <row r="2607">
          <cell r="B2607" t="str">
            <v>SUC PLAZA MAYOR DS</v>
          </cell>
        </row>
        <row r="2608">
          <cell r="B2608" t="str">
            <v>SUC PLAZA MINORISTA</v>
          </cell>
        </row>
        <row r="2609">
          <cell r="B2609" t="str">
            <v>SUC PLAZA MINORISTA DS</v>
          </cell>
        </row>
        <row r="2610">
          <cell r="B2610" t="str">
            <v>SUC PLAZAS DEL BOSQUE</v>
          </cell>
        </row>
        <row r="2611">
          <cell r="B2611" t="str">
            <v>SUC PLAZAS DEL BOSQUE DS</v>
          </cell>
        </row>
        <row r="2612">
          <cell r="B2612" t="str">
            <v>SUC PLAZOLETA</v>
          </cell>
        </row>
        <row r="2613">
          <cell r="B2613" t="str">
            <v>SUC PLAZOLETA DS</v>
          </cell>
        </row>
        <row r="2614">
          <cell r="B2614" t="str">
            <v>SUC POLO CLUB</v>
          </cell>
        </row>
        <row r="2615">
          <cell r="B2615" t="str">
            <v>SUC POLO CLUB DS</v>
          </cell>
        </row>
        <row r="2616">
          <cell r="B2616" t="str">
            <v>SUC POMONA SAN LUCAS DS</v>
          </cell>
        </row>
        <row r="2617">
          <cell r="B2617" t="str">
            <v>SUC POPAYAN</v>
          </cell>
        </row>
        <row r="2618">
          <cell r="B2618" t="str">
            <v>SUC POPAYAN DS</v>
          </cell>
        </row>
        <row r="2619">
          <cell r="B2619" t="str">
            <v>SUC PORTAL DE LA 80 - 2</v>
          </cell>
        </row>
        <row r="2620">
          <cell r="B2620" t="str">
            <v>SUC PORTAL DE LA 80 - 2 DS</v>
          </cell>
        </row>
        <row r="2621">
          <cell r="B2621" t="str">
            <v>SUC PORTAL DEL PRADO</v>
          </cell>
        </row>
        <row r="2622">
          <cell r="B2622" t="str">
            <v>SUC PORTAL DEL PRADO DS</v>
          </cell>
        </row>
        <row r="2623">
          <cell r="B2623" t="str">
            <v>SUC PRADERA</v>
          </cell>
        </row>
        <row r="2624">
          <cell r="B2624" t="str">
            <v>SUC PRADERA DS</v>
          </cell>
        </row>
        <row r="2625">
          <cell r="B2625" t="str">
            <v>SUC PRADO PLAZA</v>
          </cell>
        </row>
        <row r="2626">
          <cell r="B2626" t="str">
            <v>SUC PRADO PLAZA DS</v>
          </cell>
        </row>
        <row r="2627">
          <cell r="B2627" t="str">
            <v>SUC PRADOS DEL NORTE</v>
          </cell>
        </row>
        <row r="2628">
          <cell r="B2628" t="str">
            <v>SUC PRADOS DEL NORTE DS</v>
          </cell>
        </row>
        <row r="2629">
          <cell r="B2629" t="str">
            <v>SUC PREMIUN PLAZA</v>
          </cell>
        </row>
        <row r="2630">
          <cell r="B2630" t="str">
            <v>SUC PREMIUN PLAZA DS</v>
          </cell>
        </row>
        <row r="2631">
          <cell r="B2631" t="str">
            <v>SUC PROFESIONALES</v>
          </cell>
        </row>
        <row r="2632">
          <cell r="B2632" t="str">
            <v>SUC PROFESIONALES DS</v>
          </cell>
        </row>
        <row r="2633">
          <cell r="B2633" t="str">
            <v>SUC PUEBLO NUEVO</v>
          </cell>
        </row>
        <row r="2634">
          <cell r="B2634" t="str">
            <v>SUC PUEBLO NUEVO DS</v>
          </cell>
        </row>
        <row r="2635">
          <cell r="B2635" t="str">
            <v>SUC PUENTE ARANDA</v>
          </cell>
        </row>
        <row r="2636">
          <cell r="B2636" t="str">
            <v>SUC PUENTE ARANDA DS</v>
          </cell>
        </row>
        <row r="2637">
          <cell r="B2637" t="str">
            <v>SUC PUENTE LARGO</v>
          </cell>
        </row>
        <row r="2638">
          <cell r="B2638" t="str">
            <v>SUC PUENTE LARGO DS</v>
          </cell>
        </row>
        <row r="2639">
          <cell r="B2639" t="str">
            <v>SUC PUERTA DEL RIO</v>
          </cell>
        </row>
        <row r="2640">
          <cell r="B2640" t="str">
            <v>SUC PUERTA DEL RIO DS</v>
          </cell>
        </row>
        <row r="2641">
          <cell r="B2641" t="str">
            <v>SUC PUERTA GRANDE</v>
          </cell>
        </row>
        <row r="2642">
          <cell r="B2642" t="str">
            <v>SUC PUERTA GRANDE DS</v>
          </cell>
        </row>
        <row r="2643">
          <cell r="B2643" t="str">
            <v>SUC PUERTO ASIS</v>
          </cell>
        </row>
        <row r="2644">
          <cell r="B2644" t="str">
            <v>SUC PUERTO ASIS DS</v>
          </cell>
        </row>
        <row r="2645">
          <cell r="B2645" t="str">
            <v>SUC PUERTO BERRIO</v>
          </cell>
        </row>
        <row r="2646">
          <cell r="B2646" t="str">
            <v>SUC PUERTO BERRIO DS</v>
          </cell>
        </row>
        <row r="2647">
          <cell r="B2647" t="str">
            <v>SUC PUERTO BOYACA</v>
          </cell>
        </row>
        <row r="2648">
          <cell r="B2648" t="str">
            <v>SUC PUERTO BOYACA DS</v>
          </cell>
        </row>
        <row r="2649">
          <cell r="B2649" t="str">
            <v>SUC PUERTO GAITAN</v>
          </cell>
        </row>
        <row r="2650">
          <cell r="B2650" t="str">
            <v>SUC PUERTO GAITAN DS</v>
          </cell>
        </row>
        <row r="2651">
          <cell r="B2651" t="str">
            <v>SUC PUERTO LOPEZ</v>
          </cell>
        </row>
        <row r="2652">
          <cell r="B2652" t="str">
            <v>SUC PUERTO LOPEZ DS</v>
          </cell>
        </row>
        <row r="2653">
          <cell r="B2653" t="str">
            <v>SUC PUERTO NARE DS</v>
          </cell>
        </row>
        <row r="2654">
          <cell r="B2654" t="str">
            <v>SUC PUERTO SALGAR</v>
          </cell>
        </row>
        <row r="2655">
          <cell r="B2655" t="str">
            <v>SUC PUERTO SALGAR DS</v>
          </cell>
        </row>
        <row r="2656">
          <cell r="B2656" t="str">
            <v>SUC PUNTO CLAVE</v>
          </cell>
        </row>
        <row r="2657">
          <cell r="B2657" t="str">
            <v>SUC PUNTO CLAVE DS</v>
          </cell>
        </row>
        <row r="2658">
          <cell r="B2658" t="str">
            <v>SUC PUNTO DE LA ORIENTAL</v>
          </cell>
        </row>
        <row r="2659">
          <cell r="B2659" t="str">
            <v>SUC PUNTO DE LA ORIENTAL DS</v>
          </cell>
        </row>
        <row r="2660">
          <cell r="B2660" t="str">
            <v>SUC PURIFICACION</v>
          </cell>
        </row>
        <row r="2661">
          <cell r="B2661" t="str">
            <v>SUC PURIFICACION DS</v>
          </cell>
        </row>
        <row r="2662">
          <cell r="B2662" t="str">
            <v>SUC QUEBRADA SECA</v>
          </cell>
        </row>
        <row r="2663">
          <cell r="B2663" t="str">
            <v>SUC QUEBRADA SECA DS</v>
          </cell>
        </row>
        <row r="2664">
          <cell r="B2664" t="str">
            <v>SUC QUIBDO</v>
          </cell>
        </row>
        <row r="2665">
          <cell r="B2665" t="str">
            <v>SUC QUIBDO DS</v>
          </cell>
        </row>
        <row r="2666">
          <cell r="B2666" t="str">
            <v>SUC QUIMBAYA</v>
          </cell>
        </row>
        <row r="2667">
          <cell r="B2667" t="str">
            <v>SUC QUIMBAYA DS</v>
          </cell>
        </row>
        <row r="2668">
          <cell r="B2668" t="str">
            <v>SUC QUINTA AVENIDA</v>
          </cell>
        </row>
        <row r="2669">
          <cell r="B2669" t="str">
            <v>SUC QUINTA AVENIDA DS</v>
          </cell>
        </row>
        <row r="2670">
          <cell r="B2670" t="str">
            <v>SUC QUINTA CAMACHO</v>
          </cell>
        </row>
        <row r="2671">
          <cell r="B2671" t="str">
            <v>SUC QUINTA CAMACHO DS</v>
          </cell>
        </row>
        <row r="2672">
          <cell r="B2672" t="str">
            <v>SUC QUIRIGUA</v>
          </cell>
        </row>
        <row r="2673">
          <cell r="B2673" t="str">
            <v>SUC QUIRIGUA DS</v>
          </cell>
        </row>
        <row r="2674">
          <cell r="B2674" t="str">
            <v>SUC RAMIRIQUI DS</v>
          </cell>
        </row>
        <row r="2675">
          <cell r="B2675" t="str">
            <v>SUC RETIRO DS</v>
          </cell>
        </row>
        <row r="2676">
          <cell r="B2676" t="str">
            <v>SUC RIOHACHA</v>
          </cell>
        </row>
        <row r="2677">
          <cell r="B2677" t="str">
            <v>SUC RIOHACHA DS</v>
          </cell>
        </row>
        <row r="2678">
          <cell r="B2678" t="str">
            <v>SUC RIONEGRO</v>
          </cell>
        </row>
        <row r="2679">
          <cell r="B2679" t="str">
            <v>SUC RIONEGRO DS</v>
          </cell>
        </row>
        <row r="2680">
          <cell r="B2680" t="str">
            <v>SUC RIONEGRO PARQUE</v>
          </cell>
        </row>
        <row r="2681">
          <cell r="B2681" t="str">
            <v>SUC RIONEGRO PARQUE DS</v>
          </cell>
        </row>
        <row r="2682">
          <cell r="B2682" t="str">
            <v>SUC RIOSUCIO</v>
          </cell>
        </row>
        <row r="2683">
          <cell r="B2683" t="str">
            <v>SUC RIOSUCIO DS</v>
          </cell>
        </row>
        <row r="2684">
          <cell r="B2684" t="str">
            <v>SUC ROCHE DS</v>
          </cell>
        </row>
        <row r="2685">
          <cell r="B2685" t="str">
            <v>SUC ROLDANILLO</v>
          </cell>
        </row>
        <row r="2686">
          <cell r="B2686" t="str">
            <v>SUC ROLDANILLO DS</v>
          </cell>
        </row>
        <row r="2687">
          <cell r="B2687" t="str">
            <v>SUC SABANA NORTE CHIA</v>
          </cell>
        </row>
        <row r="2688">
          <cell r="B2688" t="str">
            <v>SUC SABANA NORTE CHIA DS</v>
          </cell>
        </row>
        <row r="2689">
          <cell r="B2689" t="str">
            <v>SUC SABANALARGA</v>
          </cell>
        </row>
        <row r="2690">
          <cell r="B2690" t="str">
            <v>SUC SABANALARGA DS</v>
          </cell>
        </row>
        <row r="2691">
          <cell r="B2691" t="str">
            <v>SUC SABANETA</v>
          </cell>
        </row>
        <row r="2692">
          <cell r="B2692" t="str">
            <v>SUC SABANETA AVES MARIA</v>
          </cell>
        </row>
        <row r="2693">
          <cell r="B2693" t="str">
            <v>SUC SABANETA AVES MARIA DS</v>
          </cell>
        </row>
        <row r="2694">
          <cell r="B2694" t="str">
            <v>SUC SABANETA DS</v>
          </cell>
        </row>
        <row r="2695">
          <cell r="B2695" t="str">
            <v>SUC SAHAGUN</v>
          </cell>
        </row>
        <row r="2696">
          <cell r="B2696" t="str">
            <v>SUC SAHAGUN DS</v>
          </cell>
        </row>
        <row r="2697">
          <cell r="B2697" t="str">
            <v>SUC SALDANA</v>
          </cell>
        </row>
        <row r="2698">
          <cell r="B2698" t="str">
            <v>SUC SALDANA DS</v>
          </cell>
        </row>
        <row r="2699">
          <cell r="B2699" t="str">
            <v>SUC SALGAR</v>
          </cell>
        </row>
        <row r="2700">
          <cell r="B2700" t="str">
            <v>SUC SALGAR DS</v>
          </cell>
        </row>
        <row r="2701">
          <cell r="B2701" t="str">
            <v>SUC SALITRE</v>
          </cell>
        </row>
        <row r="2702">
          <cell r="B2702" t="str">
            <v>SUC SALITRE DS</v>
          </cell>
        </row>
        <row r="2703">
          <cell r="B2703" t="str">
            <v>SUC SALITRE PLAZA</v>
          </cell>
        </row>
        <row r="2704">
          <cell r="B2704" t="str">
            <v>SUC SALITRE PLAZA AUTOSERVICIOS DS</v>
          </cell>
        </row>
        <row r="2705">
          <cell r="B2705" t="str">
            <v>SUC SALITRE PLAZA DS</v>
          </cell>
        </row>
        <row r="2706">
          <cell r="B2706" t="str">
            <v>SUC SAMACA</v>
          </cell>
        </row>
        <row r="2707">
          <cell r="B2707" t="str">
            <v>SUC SAMACA DS</v>
          </cell>
        </row>
        <row r="2708">
          <cell r="B2708" t="str">
            <v>SUC SAMPER MENDOZA</v>
          </cell>
        </row>
        <row r="2709">
          <cell r="B2709" t="str">
            <v>SUC SAMPER MENDOZA DS</v>
          </cell>
        </row>
        <row r="2710">
          <cell r="B2710" t="str">
            <v>SUC SAN ANDRES</v>
          </cell>
        </row>
        <row r="2711">
          <cell r="B2711" t="str">
            <v>SUC SAN ANDRES DS</v>
          </cell>
        </row>
        <row r="2712">
          <cell r="B2712" t="str">
            <v>SUC SAN CANCIO</v>
          </cell>
        </row>
        <row r="2713">
          <cell r="B2713" t="str">
            <v>SUC SAN CANCIO DS</v>
          </cell>
        </row>
        <row r="2714">
          <cell r="B2714" t="str">
            <v>SUC SAN DIEGO</v>
          </cell>
        </row>
        <row r="2715">
          <cell r="B2715" t="str">
            <v>SUC SAN DIEGO DS</v>
          </cell>
        </row>
        <row r="2716">
          <cell r="B2716" t="str">
            <v>SUC SAN FERNANDO</v>
          </cell>
        </row>
        <row r="2717">
          <cell r="B2717" t="str">
            <v>SUC SAN FERNANDO DS</v>
          </cell>
        </row>
        <row r="2718">
          <cell r="B2718" t="str">
            <v>SUC SAN FERNANDO PLAZA</v>
          </cell>
        </row>
        <row r="2719">
          <cell r="B2719" t="str">
            <v>SUC SAN FERNANDO PLAZA DS</v>
          </cell>
        </row>
        <row r="2720">
          <cell r="B2720" t="str">
            <v>SUC SAN FRANCISCO</v>
          </cell>
        </row>
        <row r="2721">
          <cell r="B2721" t="str">
            <v>SUC SAN FRANCISCO DS</v>
          </cell>
        </row>
        <row r="2722">
          <cell r="B2722" t="str">
            <v>SUC SAN GIL</v>
          </cell>
        </row>
        <row r="2723">
          <cell r="B2723" t="str">
            <v>SUC SAN GIL DS</v>
          </cell>
        </row>
        <row r="2724">
          <cell r="B2724" t="str">
            <v>SUC SAN JOSE DEL GUAVIARE</v>
          </cell>
        </row>
        <row r="2725">
          <cell r="B2725" t="str">
            <v>SUC SAN JOSE DEL GUAVIARE DS</v>
          </cell>
        </row>
        <row r="2726">
          <cell r="B2726" t="str">
            <v>SUC SAN JUAN</v>
          </cell>
        </row>
        <row r="2727">
          <cell r="B2727" t="str">
            <v>SUC SAN JUAN DS</v>
          </cell>
        </row>
        <row r="2728">
          <cell r="B2728" t="str">
            <v>SUC SAN LUCAS PLAZA</v>
          </cell>
        </row>
        <row r="2729">
          <cell r="B2729" t="str">
            <v>SUC SAN LUCAS PLAZA DS</v>
          </cell>
        </row>
        <row r="2730">
          <cell r="B2730" t="str">
            <v>SUC SAN LUIS</v>
          </cell>
        </row>
        <row r="2731">
          <cell r="B2731" t="str">
            <v>SUC SAN LUIS DS</v>
          </cell>
        </row>
        <row r="2732">
          <cell r="B2732" t="str">
            <v>SUC SAN MARTIN DS</v>
          </cell>
        </row>
        <row r="2733">
          <cell r="B2733" t="str">
            <v>SUC SAN MATEO</v>
          </cell>
        </row>
        <row r="2734">
          <cell r="B2734" t="str">
            <v>SUC SAN MATEO DS</v>
          </cell>
        </row>
        <row r="2735">
          <cell r="B2735" t="str">
            <v>SUC SAN NICOLAS BARRANQUILLA</v>
          </cell>
        </row>
        <row r="2736">
          <cell r="B2736" t="str">
            <v>SUC SAN NICOLAS BARRANQUILLA DS</v>
          </cell>
        </row>
        <row r="2737">
          <cell r="B2737" t="str">
            <v>SUC SAN NICOLAS CALI</v>
          </cell>
        </row>
        <row r="2738">
          <cell r="B2738" t="str">
            <v>SUC SAN NICOLAS CALI DS</v>
          </cell>
        </row>
        <row r="2739">
          <cell r="B2739" t="str">
            <v>SUC SAN NICOLAS RIONEGRO</v>
          </cell>
        </row>
        <row r="2740">
          <cell r="B2740" t="str">
            <v>SUC SAN NICOLAS RIONEGRO DS</v>
          </cell>
        </row>
        <row r="2741">
          <cell r="B2741" t="str">
            <v>SUC SAN PEDRO</v>
          </cell>
        </row>
        <row r="2742">
          <cell r="B2742" t="str">
            <v>SUC SAN PEDRO DS</v>
          </cell>
        </row>
        <row r="2743">
          <cell r="B2743" t="str">
            <v>SUC SAN VICENTE DEL CAGUAN</v>
          </cell>
        </row>
        <row r="2744">
          <cell r="B2744" t="str">
            <v>SUC SAN VICENTE DEL CAGUAN DS</v>
          </cell>
        </row>
        <row r="2745">
          <cell r="B2745" t="str">
            <v>SUC SANDONA NARI#O</v>
          </cell>
        </row>
        <row r="2746">
          <cell r="B2746" t="str">
            <v>SUC SANDONA NARI#O DS</v>
          </cell>
        </row>
        <row r="2747">
          <cell r="B2747" t="str">
            <v>SUC SANOFI DS</v>
          </cell>
        </row>
        <row r="2748">
          <cell r="B2748" t="str">
            <v>SUC SANTA BARBARA</v>
          </cell>
        </row>
        <row r="2749">
          <cell r="B2749" t="str">
            <v>SUC SANTA BARBARA DS</v>
          </cell>
        </row>
        <row r="2750">
          <cell r="B2750" t="str">
            <v>SUC SANTA BEATRIZ</v>
          </cell>
        </row>
        <row r="2751">
          <cell r="B2751" t="str">
            <v>SUC SANTA BEATRIZ DS</v>
          </cell>
        </row>
        <row r="2752">
          <cell r="B2752" t="str">
            <v>SUC SANTA FE DS</v>
          </cell>
        </row>
        <row r="2753">
          <cell r="B2753" t="str">
            <v>SUC SANTA LUCIA</v>
          </cell>
        </row>
        <row r="2754">
          <cell r="B2754" t="str">
            <v>SUC SANTA LUCIA DS</v>
          </cell>
        </row>
        <row r="2755">
          <cell r="B2755" t="str">
            <v>SUC SANTA MARTA</v>
          </cell>
        </row>
        <row r="2756">
          <cell r="B2756" t="str">
            <v>SUC SANTA MARTA DS</v>
          </cell>
        </row>
        <row r="2757">
          <cell r="B2757" t="str">
            <v>SUC SANTA MONICA</v>
          </cell>
        </row>
        <row r="2758">
          <cell r="B2758" t="str">
            <v>SUC SANTA MONICA DS</v>
          </cell>
        </row>
        <row r="2759">
          <cell r="B2759" t="str">
            <v>SUC SANTA ROSA DE CABAL</v>
          </cell>
        </row>
        <row r="2760">
          <cell r="B2760" t="str">
            <v>SUC SANTA ROSA DE CABAL DS</v>
          </cell>
        </row>
        <row r="2761">
          <cell r="B2761" t="str">
            <v>SUC SANTA ROSA DE OSOS</v>
          </cell>
        </row>
        <row r="2762">
          <cell r="B2762" t="str">
            <v>SUC SANTA ROSA DE OSOS DS</v>
          </cell>
        </row>
        <row r="2763">
          <cell r="B2763" t="str">
            <v>SUC SANTA TERESITA</v>
          </cell>
        </row>
        <row r="2764">
          <cell r="B2764" t="str">
            <v>SUC SANTA TERESITA DS</v>
          </cell>
        </row>
        <row r="2765">
          <cell r="B2765" t="str">
            <v>SUC SANTAFE DE ANTIOQUIA</v>
          </cell>
        </row>
        <row r="2766">
          <cell r="B2766" t="str">
            <v>SUC SANTAFE DE ANTIOQUIA DS</v>
          </cell>
        </row>
        <row r="2767">
          <cell r="B2767" t="str">
            <v>SUC SANTANDER DE QUILICHAO</v>
          </cell>
        </row>
        <row r="2768">
          <cell r="B2768" t="str">
            <v>SUC SANTANDER DE QUILICHAO DS</v>
          </cell>
        </row>
        <row r="2769">
          <cell r="B2769" t="str">
            <v>SUC SANTIAGO DE TOLU</v>
          </cell>
        </row>
        <row r="2770">
          <cell r="B2770" t="str">
            <v>SUC SANTIAGO DE TOLU DS</v>
          </cell>
        </row>
        <row r="2771">
          <cell r="B2771" t="str">
            <v>SUC SANTILLANA</v>
          </cell>
        </row>
        <row r="2772">
          <cell r="B2772" t="str">
            <v>SUC SANTILLANA DS</v>
          </cell>
        </row>
        <row r="2773">
          <cell r="B2773" t="str">
            <v>SUC SANTUARIO</v>
          </cell>
        </row>
        <row r="2774">
          <cell r="B2774" t="str">
            <v>SUC SANTUARIO DS</v>
          </cell>
        </row>
        <row r="2775">
          <cell r="B2775" t="str">
            <v>SUC SEBASTIAN DE BELALCAZAR</v>
          </cell>
        </row>
        <row r="2776">
          <cell r="B2776" t="str">
            <v>SUC SEBASTIAN DE BELALCAZAR DS</v>
          </cell>
        </row>
        <row r="2777">
          <cell r="B2777" t="str">
            <v>SUC SEGOVIA</v>
          </cell>
        </row>
        <row r="2778">
          <cell r="B2778" t="str">
            <v>SUC SEGOVIA DS</v>
          </cell>
        </row>
        <row r="2779">
          <cell r="B2779" t="str">
            <v>SUC SESQUILE</v>
          </cell>
        </row>
        <row r="2780">
          <cell r="B2780" t="str">
            <v>SUC SESQUILE DS</v>
          </cell>
        </row>
        <row r="2781">
          <cell r="B2781" t="str">
            <v>SUC SEVILLA</v>
          </cell>
        </row>
        <row r="2782">
          <cell r="B2782" t="str">
            <v>SUC SEVILLA DS</v>
          </cell>
        </row>
        <row r="2783">
          <cell r="B2783" t="str">
            <v>SUC SIBATE</v>
          </cell>
        </row>
        <row r="2784">
          <cell r="B2784" t="str">
            <v>SUC SIBATE DS</v>
          </cell>
        </row>
        <row r="2785">
          <cell r="B2785" t="str">
            <v>SUC SIBERIA</v>
          </cell>
        </row>
        <row r="2786">
          <cell r="B2786" t="str">
            <v>SUC SIBERIA DS</v>
          </cell>
        </row>
        <row r="2787">
          <cell r="B2787" t="str">
            <v>SUC SIMIJACA</v>
          </cell>
        </row>
        <row r="2788">
          <cell r="B2788" t="str">
            <v>SUC SIMIJACA DS</v>
          </cell>
        </row>
        <row r="2789">
          <cell r="B2789" t="str">
            <v>SUC SINCE DS</v>
          </cell>
        </row>
        <row r="2790">
          <cell r="B2790" t="str">
            <v>SUC SINCELEJO</v>
          </cell>
        </row>
        <row r="2791">
          <cell r="B2791" t="str">
            <v>SUC SINCELEJO DS</v>
          </cell>
        </row>
        <row r="2792">
          <cell r="B2792" t="str">
            <v>SUC SOACHA</v>
          </cell>
        </row>
        <row r="2793">
          <cell r="B2793" t="str">
            <v>SUC SOACHA DS</v>
          </cell>
        </row>
        <row r="2794">
          <cell r="B2794" t="str">
            <v>SUC SOCHA BOYACA</v>
          </cell>
        </row>
        <row r="2795">
          <cell r="B2795" t="str">
            <v>SUC SOCHA BOYACA DS</v>
          </cell>
        </row>
        <row r="2796">
          <cell r="B2796" t="str">
            <v>SUC SOCIEDAD PORTUARIA BARRANQUILLA DS</v>
          </cell>
        </row>
        <row r="2797">
          <cell r="B2797" t="str">
            <v>SUC SOCIEDAD PORTUARIA CARTAGENA DS</v>
          </cell>
        </row>
        <row r="2798">
          <cell r="B2798" t="str">
            <v>SUC SOCIEDAD PORTUARIA SANTA MARTA DS</v>
          </cell>
        </row>
        <row r="2799">
          <cell r="B2799" t="str">
            <v>SUC SOCORRO SANTANDER</v>
          </cell>
        </row>
        <row r="2800">
          <cell r="B2800" t="str">
            <v>SUC SOCORRO SANTANDER DS</v>
          </cell>
        </row>
        <row r="2801">
          <cell r="B2801" t="str">
            <v>SUC SOFASA CHIA DS</v>
          </cell>
        </row>
        <row r="2802">
          <cell r="B2802" t="str">
            <v>SUC SOFASA ENVIGADO DS</v>
          </cell>
        </row>
        <row r="2803">
          <cell r="B2803" t="str">
            <v>SUC SOGAMOSO</v>
          </cell>
        </row>
        <row r="2804">
          <cell r="B2804" t="str">
            <v>SUC SOGAMOSO DS</v>
          </cell>
        </row>
        <row r="2805">
          <cell r="B2805" t="str">
            <v>SUC SOLEDAD</v>
          </cell>
        </row>
        <row r="2806">
          <cell r="B2806" t="str">
            <v>SUC SOLEDAD DS</v>
          </cell>
        </row>
        <row r="2807">
          <cell r="B2807" t="str">
            <v>SUC SONSON</v>
          </cell>
        </row>
        <row r="2808">
          <cell r="B2808" t="str">
            <v>SUC SONSON DS</v>
          </cell>
        </row>
        <row r="2809">
          <cell r="B2809" t="str">
            <v>SUC SOPO</v>
          </cell>
        </row>
        <row r="2810">
          <cell r="B2810" t="str">
            <v>SUC SOPO DS</v>
          </cell>
        </row>
        <row r="2811">
          <cell r="B2811" t="str">
            <v>SUC SUBA</v>
          </cell>
        </row>
        <row r="2812">
          <cell r="B2812" t="str">
            <v>SUC SUBA DS</v>
          </cell>
        </row>
        <row r="2813">
          <cell r="B2813" t="str">
            <v>SUC SUBACHOQUE</v>
          </cell>
        </row>
        <row r="2814">
          <cell r="B2814" t="str">
            <v>SUC SUBACHOQUE DS</v>
          </cell>
        </row>
        <row r="2815">
          <cell r="B2815" t="str">
            <v>SUC SUPIA</v>
          </cell>
        </row>
        <row r="2816">
          <cell r="B2816" t="str">
            <v>SUC SUPIA DS</v>
          </cell>
        </row>
        <row r="2817">
          <cell r="B2817" t="str">
            <v>SUC SURAMERICANA</v>
          </cell>
        </row>
        <row r="2818">
          <cell r="B2818" t="str">
            <v>SUC SURAMERICANA DS</v>
          </cell>
        </row>
        <row r="2819">
          <cell r="B2819" t="str">
            <v>SUC TABIO</v>
          </cell>
        </row>
        <row r="2820">
          <cell r="B2820" t="str">
            <v>SUC TABIO DS</v>
          </cell>
        </row>
        <row r="2821">
          <cell r="B2821" t="str">
            <v>SUC TEATRO AVENIDA</v>
          </cell>
        </row>
        <row r="2822">
          <cell r="B2822" t="str">
            <v>SUC TEATRO AVENIDA DS</v>
          </cell>
        </row>
        <row r="2823">
          <cell r="B2823" t="str">
            <v>SUC TELEPORT</v>
          </cell>
        </row>
        <row r="2824">
          <cell r="B2824" t="str">
            <v>SUC TELEPORT DS</v>
          </cell>
        </row>
        <row r="2825">
          <cell r="B2825" t="str">
            <v>SUC TENJO</v>
          </cell>
        </row>
        <row r="2826">
          <cell r="B2826" t="str">
            <v>SUC TENJO DS</v>
          </cell>
        </row>
        <row r="2827">
          <cell r="B2827" t="str">
            <v>SUC TEQUENDAMA</v>
          </cell>
        </row>
        <row r="2828">
          <cell r="B2828" t="str">
            <v>SUC TEQUENDAMA DS</v>
          </cell>
        </row>
        <row r="2829">
          <cell r="B2829" t="str">
            <v>SUC TERMINAL DE CARGA INTERNACIONAL </v>
          </cell>
        </row>
        <row r="2830">
          <cell r="B2830" t="str">
            <v>SUC TERMINAL DE CARGA INTERNACIONAL DS</v>
          </cell>
        </row>
        <row r="2831">
          <cell r="B2831" t="str">
            <v>SUC TERMINAL DE TRANSPORTE BOGOTA</v>
          </cell>
        </row>
        <row r="2832">
          <cell r="B2832" t="str">
            <v>SUC TERMINAL DE TRANSPORTE BOGOTA DS</v>
          </cell>
        </row>
        <row r="2833">
          <cell r="B2833" t="str">
            <v>SUC TERMINAL DE TRANSPORTE DEL SUR DS</v>
          </cell>
        </row>
        <row r="2834">
          <cell r="B2834" t="str">
            <v>SUC TERMINAL DE TRANSPORTE NORTE</v>
          </cell>
        </row>
        <row r="2835">
          <cell r="B2835" t="str">
            <v>SUC TERMINAL DE TRANSPORTE NORTE DS</v>
          </cell>
        </row>
        <row r="2836">
          <cell r="B2836" t="str">
            <v>SUC TERMINAL DEL SUR</v>
          </cell>
        </row>
        <row r="2837">
          <cell r="B2837" t="str">
            <v>SUC TERMINAL DEL SUR DS</v>
          </cell>
        </row>
        <row r="2838">
          <cell r="B2838" t="str">
            <v>SUC TERPEL DEL CENTRO DS</v>
          </cell>
        </row>
        <row r="2839">
          <cell r="B2839" t="str">
            <v>SUC TERRAZA PASTEUR</v>
          </cell>
        </row>
        <row r="2840">
          <cell r="B2840" t="str">
            <v>SUC TERRAZA PASTEUR DS</v>
          </cell>
        </row>
        <row r="2841">
          <cell r="B2841" t="str">
            <v>SUC TERTULIA</v>
          </cell>
        </row>
        <row r="2842">
          <cell r="B2842" t="str">
            <v>SUC TERTULIA DS</v>
          </cell>
        </row>
        <row r="2843">
          <cell r="B2843" t="str">
            <v>SUC TINTAL MILENIO</v>
          </cell>
        </row>
        <row r="2844">
          <cell r="B2844" t="str">
            <v>SUC TINTAL MILENIO DS</v>
          </cell>
        </row>
        <row r="2845">
          <cell r="B2845" t="str">
            <v>SUC TITAN PLAZA</v>
          </cell>
        </row>
        <row r="2846">
          <cell r="B2846" t="str">
            <v>SUC TITAN PLAZA DS</v>
          </cell>
        </row>
        <row r="2847">
          <cell r="B2847" t="str">
            <v>SUC TOBERIN</v>
          </cell>
        </row>
        <row r="2848">
          <cell r="B2848" t="str">
            <v>SUC TOBERIN DS</v>
          </cell>
        </row>
        <row r="2849">
          <cell r="B2849" t="str">
            <v>SUC TOCANCIPA</v>
          </cell>
        </row>
        <row r="2850">
          <cell r="B2850" t="str">
            <v>SUC TOCANCIPA DS</v>
          </cell>
        </row>
        <row r="2851">
          <cell r="B2851" t="str">
            <v>SUC TRINIDAD GALAN</v>
          </cell>
        </row>
        <row r="2852">
          <cell r="B2852" t="str">
            <v>SUC TRINIDAD GALAN DS</v>
          </cell>
        </row>
        <row r="2853">
          <cell r="B2853" t="str">
            <v>SUC TULUA</v>
          </cell>
        </row>
        <row r="2854">
          <cell r="B2854" t="str">
            <v>SUC TULUA DS</v>
          </cell>
        </row>
        <row r="2855">
          <cell r="B2855" t="str">
            <v>SUC TUMACO</v>
          </cell>
        </row>
        <row r="2856">
          <cell r="B2856" t="str">
            <v>SUC TUMACO DS</v>
          </cell>
        </row>
        <row r="2857">
          <cell r="B2857" t="str">
            <v>SUC TUNJA</v>
          </cell>
        </row>
        <row r="2858">
          <cell r="B2858" t="str">
            <v>SUC TUNJA DS</v>
          </cell>
        </row>
        <row r="2859">
          <cell r="B2859" t="str">
            <v>SUC TUQUERRES</v>
          </cell>
        </row>
        <row r="2860">
          <cell r="B2860" t="str">
            <v>SUC TUQUERRES DS</v>
          </cell>
        </row>
        <row r="2861">
          <cell r="B2861" t="str">
            <v>SUC TURBO</v>
          </cell>
        </row>
        <row r="2862">
          <cell r="B2862" t="str">
            <v>SUC TURBO DS</v>
          </cell>
        </row>
        <row r="2863">
          <cell r="B2863" t="str">
            <v>SUC TURIN</v>
          </cell>
        </row>
        <row r="2864">
          <cell r="B2864" t="str">
            <v>SUC TURIN DS</v>
          </cell>
        </row>
        <row r="2865">
          <cell r="B2865" t="str">
            <v>SUC UBATE</v>
          </cell>
        </row>
        <row r="2866">
          <cell r="B2866" t="str">
            <v>SUC UBATE DS</v>
          </cell>
        </row>
        <row r="2867">
          <cell r="B2867" t="str">
            <v>SUC UGI</v>
          </cell>
        </row>
        <row r="2868">
          <cell r="B2868" t="str">
            <v>SUC UGI DS</v>
          </cell>
        </row>
        <row r="2869">
          <cell r="B2869" t="str">
            <v>SUC UNICENTRO ARMENIA</v>
          </cell>
        </row>
        <row r="2870">
          <cell r="B2870" t="str">
            <v>SUC UNICENTRO ARMENIA DS</v>
          </cell>
        </row>
        <row r="2871">
          <cell r="B2871" t="str">
            <v>SUC UNICENTRO BOGOTA</v>
          </cell>
        </row>
        <row r="2872">
          <cell r="B2872" t="str">
            <v>SUC UNICENTRO BOGOTA DS</v>
          </cell>
        </row>
        <row r="2873">
          <cell r="B2873" t="str">
            <v>SUC UNICENTRO CALI</v>
          </cell>
        </row>
        <row r="2874">
          <cell r="B2874" t="str">
            <v>SUC UNICENTRO CALI DS</v>
          </cell>
        </row>
        <row r="2875">
          <cell r="B2875" t="str">
            <v>SUC UNICENTRO CENTRO CCIAL</v>
          </cell>
        </row>
        <row r="2876">
          <cell r="B2876" t="str">
            <v>SUC UNICENTRO CENTRO CCIAL DS</v>
          </cell>
        </row>
        <row r="2877">
          <cell r="B2877" t="str">
            <v>SUC UNICENTRO CUCUTA</v>
          </cell>
        </row>
        <row r="2878">
          <cell r="B2878" t="str">
            <v>SUC UNICENTRO CUCUTA DS</v>
          </cell>
        </row>
        <row r="2879">
          <cell r="B2879" t="str">
            <v>SUC UNICENTRO PEREIRA</v>
          </cell>
        </row>
        <row r="2880">
          <cell r="B2880" t="str">
            <v>SUC UNICENTRO PEREIRA DS</v>
          </cell>
        </row>
        <row r="2881">
          <cell r="B2881" t="str">
            <v>SUC UNICENTRO TUNJA</v>
          </cell>
        </row>
        <row r="2882">
          <cell r="B2882" t="str">
            <v>SUC UNICENTRO TUNJA DS</v>
          </cell>
        </row>
        <row r="2883">
          <cell r="B2883" t="str">
            <v>SUC UNICENTRO VILLAVICENCIO</v>
          </cell>
        </row>
        <row r="2884">
          <cell r="B2884" t="str">
            <v>SUC UNICENTRO VILLAVICENCIO DS</v>
          </cell>
        </row>
        <row r="2885">
          <cell r="B2885" t="str">
            <v>SUC UNICO BARRANQUILLA</v>
          </cell>
        </row>
        <row r="2886">
          <cell r="B2886" t="str">
            <v>SUC UNICO BARRANQUILLA DS</v>
          </cell>
        </row>
        <row r="2887">
          <cell r="B2887" t="str">
            <v>SUC UNISUR</v>
          </cell>
        </row>
        <row r="2888">
          <cell r="B2888" t="str">
            <v>SUC UNISUR DS</v>
          </cell>
        </row>
        <row r="2889">
          <cell r="B2889" t="str">
            <v>SUC UNIV FRANCISCO DE PAULA SANTANDER</v>
          </cell>
        </row>
        <row r="2890">
          <cell r="B2890" t="str">
            <v>SUC UNIV FRANCISCO DE PAULA SANTANDER DS</v>
          </cell>
        </row>
        <row r="2891">
          <cell r="B2891" t="str">
            <v>SUC UNIVERSIDAD  POPULAR DEL CESAR DS</v>
          </cell>
        </row>
        <row r="2892">
          <cell r="B2892" t="str">
            <v>SUC UNIVERSIDAD AUTONOMA BOGOTA DS</v>
          </cell>
        </row>
        <row r="2893">
          <cell r="B2893" t="str">
            <v>SUC UNIVERSIDAD DEL NORTE DS</v>
          </cell>
        </row>
        <row r="2894">
          <cell r="B2894" t="str">
            <v>SUC UNIVERSIDAD MEDELLIN DS</v>
          </cell>
        </row>
        <row r="2895">
          <cell r="B2895" t="str">
            <v>SUC UPB DS</v>
          </cell>
        </row>
        <row r="2896">
          <cell r="B2896" t="str">
            <v>SUC URIBIA DS</v>
          </cell>
        </row>
        <row r="2897">
          <cell r="B2897" t="str">
            <v>SUC URRAO</v>
          </cell>
        </row>
        <row r="2898">
          <cell r="B2898" t="str">
            <v>SUC URRAO DS</v>
          </cell>
        </row>
        <row r="2899">
          <cell r="B2899" t="str">
            <v>SUC USAQUEN SANTA BARBARA</v>
          </cell>
        </row>
        <row r="2900">
          <cell r="B2900" t="str">
            <v>SUC USAQUEN SANTA BARBARA DS</v>
          </cell>
        </row>
        <row r="2901">
          <cell r="B2901" t="str">
            <v>SUC VALLEDUPAR</v>
          </cell>
        </row>
        <row r="2902">
          <cell r="B2902" t="str">
            <v>SUC VALLEDUPAR DS</v>
          </cell>
        </row>
        <row r="2903">
          <cell r="B2903" t="str">
            <v>SUC VALVANERA</v>
          </cell>
        </row>
        <row r="2904">
          <cell r="B2904" t="str">
            <v>SUC VALVANERA DS</v>
          </cell>
        </row>
        <row r="2905">
          <cell r="B2905" t="str">
            <v>SUC VELEZ</v>
          </cell>
        </row>
        <row r="2906">
          <cell r="B2906" t="str">
            <v>SUC VELEZ DS</v>
          </cell>
        </row>
        <row r="2907">
          <cell r="B2907" t="str">
            <v>SUC VENECIA</v>
          </cell>
        </row>
        <row r="2908">
          <cell r="B2908" t="str">
            <v>SUC VENECIA DS</v>
          </cell>
        </row>
        <row r="2909">
          <cell r="B2909" t="str">
            <v>SUC VENTURA PLAZA</v>
          </cell>
        </row>
        <row r="2910">
          <cell r="B2910" t="str">
            <v>SUC VENTURA PLAZA DS</v>
          </cell>
        </row>
        <row r="2911">
          <cell r="B2911" t="str">
            <v>SUC VERSALLES</v>
          </cell>
        </row>
        <row r="2912">
          <cell r="B2912" t="str">
            <v>SUC VERSALLES DS</v>
          </cell>
        </row>
        <row r="2913">
          <cell r="B2913" t="str">
            <v>SUC VICTORIA PLAZA</v>
          </cell>
        </row>
        <row r="2914">
          <cell r="B2914" t="str">
            <v>SUC VICTORIA PLAZA DS</v>
          </cell>
        </row>
        <row r="2915">
          <cell r="B2915" t="str">
            <v>SUC VILLA COUNTRY</v>
          </cell>
        </row>
        <row r="2916">
          <cell r="B2916" t="str">
            <v>SUC VILLA COUNTRY DS</v>
          </cell>
        </row>
        <row r="2917">
          <cell r="B2917" t="str">
            <v>SUC VILLA DE LEYVA</v>
          </cell>
        </row>
        <row r="2918">
          <cell r="B2918" t="str">
            <v>SUC VILLA DE LEYVA DS</v>
          </cell>
        </row>
        <row r="2919">
          <cell r="B2919" t="str">
            <v>SUC VILLACENTRO</v>
          </cell>
        </row>
        <row r="2920">
          <cell r="B2920" t="str">
            <v>SUC VILLACENTRO DS</v>
          </cell>
        </row>
        <row r="2921">
          <cell r="B2921" t="str">
            <v>SUC VILLACOLOMBIA</v>
          </cell>
        </row>
        <row r="2922">
          <cell r="B2922" t="str">
            <v>SUC VILLACOLOMBIA DS</v>
          </cell>
        </row>
        <row r="2923">
          <cell r="B2923" t="str">
            <v>SUC VILLANUEVA</v>
          </cell>
        </row>
        <row r="2924">
          <cell r="B2924" t="str">
            <v>SUC VILLANUEVA  CASANARE</v>
          </cell>
        </row>
        <row r="2925">
          <cell r="B2925" t="str">
            <v>SUC VILLANUEVA CASANARE DS</v>
          </cell>
        </row>
        <row r="2926">
          <cell r="B2926" t="str">
            <v>SUC VILLANUEVA DS</v>
          </cell>
        </row>
        <row r="2927">
          <cell r="B2927" t="str">
            <v>SUC VILLAPINZON</v>
          </cell>
        </row>
        <row r="2928">
          <cell r="B2928" t="str">
            <v>SUC VILLAPINZON DS</v>
          </cell>
        </row>
        <row r="2929">
          <cell r="B2929" t="str">
            <v>SUC VILLAVICENCIO</v>
          </cell>
        </row>
        <row r="2930">
          <cell r="B2930" t="str">
            <v>SUC VILLAVICENCIO DS</v>
          </cell>
        </row>
        <row r="2931">
          <cell r="B2931" t="str">
            <v>SUC VILLETA</v>
          </cell>
        </row>
        <row r="2932">
          <cell r="B2932" t="str">
            <v>SUC VILLETA DS</v>
          </cell>
        </row>
        <row r="2933">
          <cell r="B2933" t="str">
            <v>SUC VIPASA</v>
          </cell>
        </row>
        <row r="2934">
          <cell r="B2934" t="str">
            <v>SUC VIPASA DS</v>
          </cell>
        </row>
        <row r="2935">
          <cell r="B2935" t="str">
            <v>SUC VISITACION</v>
          </cell>
        </row>
        <row r="2936">
          <cell r="B2936" t="str">
            <v>SUC VISITACION DS</v>
          </cell>
        </row>
        <row r="2937">
          <cell r="B2937" t="str">
            <v>SUC VIVA LAURELES</v>
          </cell>
        </row>
        <row r="2938">
          <cell r="B2938" t="str">
            <v>SUC VIVA LAURELES DS</v>
          </cell>
        </row>
        <row r="2939">
          <cell r="B2939" t="str">
            <v>SUC WORLD TRADE CENTER</v>
          </cell>
        </row>
        <row r="2940">
          <cell r="B2940" t="str">
            <v>SUC WORLD TRADE CENTER DS</v>
          </cell>
        </row>
        <row r="2941">
          <cell r="B2941" t="str">
            <v>SUC YAGUARA DS</v>
          </cell>
        </row>
        <row r="2942">
          <cell r="B2942" t="str">
            <v>SUC YARUMAL</v>
          </cell>
        </row>
        <row r="2943">
          <cell r="B2943" t="str">
            <v>SUC YARUMAL DS</v>
          </cell>
        </row>
        <row r="2944">
          <cell r="B2944" t="str">
            <v>SUC YOPAL</v>
          </cell>
        </row>
        <row r="2945">
          <cell r="B2945" t="str">
            <v>SUC YOPAL DS</v>
          </cell>
        </row>
        <row r="2946">
          <cell r="B2946" t="str">
            <v>SUC YOPAL OF. 88 TAURAMENA</v>
          </cell>
        </row>
        <row r="2947">
          <cell r="B2947" t="str">
            <v>SUC YOPAL OF. 88 TAURAMENA DS</v>
          </cell>
        </row>
        <row r="2948">
          <cell r="B2948" t="str">
            <v>SUC YUMBO</v>
          </cell>
        </row>
        <row r="2949">
          <cell r="B2949" t="str">
            <v>SUC YUMBO DS</v>
          </cell>
        </row>
        <row r="2950">
          <cell r="B2950" t="str">
            <v>SUC ZIPAQUIRA</v>
          </cell>
        </row>
        <row r="2951">
          <cell r="B2951" t="str">
            <v>SUC ZIPAQUIRA DS</v>
          </cell>
        </row>
        <row r="2952">
          <cell r="B2952" t="str">
            <v>SUC ZONA FRANCA DE RIONEGRO DS</v>
          </cell>
        </row>
        <row r="2953">
          <cell r="B2953" t="str">
            <v>SUC ZONA FRANCA DS</v>
          </cell>
        </row>
        <row r="2954">
          <cell r="B2954" t="str">
            <v>SUC ZONA ROSA</v>
          </cell>
        </row>
        <row r="2955">
          <cell r="B2955" t="str">
            <v>SUC ZONA ROSA DS</v>
          </cell>
        </row>
        <row r="2956">
          <cell r="B2956" t="str">
            <v>SUCBANCA COLOMBIA GRANADA CALI</v>
          </cell>
        </row>
        <row r="2957">
          <cell r="B2957" t="str">
            <v>SUFI</v>
          </cell>
        </row>
        <row r="2958">
          <cell r="B2958" t="str">
            <v>TECNOLOGIA</v>
          </cell>
        </row>
        <row r="2959">
          <cell r="B2959" t="str">
            <v>VICEPRESIDENCIA  ESTRATEGIA  Y FINANZA</v>
          </cell>
        </row>
        <row r="2960">
          <cell r="B2960" t="str">
            <v>VICEPRESIDENCIA  ESTRATEGIA Y DLLO CCIAL</v>
          </cell>
        </row>
        <row r="2961">
          <cell r="B2961" t="str">
            <v>VICEPRESIDENCIA  INMOBILIARIA Y CONSUMO</v>
          </cell>
        </row>
        <row r="2962">
          <cell r="B2962" t="str">
            <v>VICEPRESIDENCIA ADMINISTRATIVA</v>
          </cell>
        </row>
        <row r="2963">
          <cell r="B2963" t="str">
            <v>VICEPRESIDENCIA ADMON FIDEICOMISOS</v>
          </cell>
        </row>
        <row r="2964">
          <cell r="B2964" t="str">
            <v>VICEPRESIDENCIA AUDITORIA INTERNA</v>
          </cell>
        </row>
        <row r="2965">
          <cell r="B2965" t="str">
            <v>VICEPRESIDENCIA BCA DE EMPRESAS Y PYME</v>
          </cell>
        </row>
        <row r="2966">
          <cell r="B2966" t="str">
            <v>VICEPRESIDENCIA BCA DE PERSONAS Y PYMES</v>
          </cell>
        </row>
        <row r="2967">
          <cell r="B2967" t="str">
            <v>VICEPRESIDENCIA CCIAL BANCA EMPRESARIAL</v>
          </cell>
        </row>
        <row r="2968">
          <cell r="B2968" t="str">
            <v>VICEPRESIDENCIA CCIAL BANCA PYMES</v>
          </cell>
        </row>
        <row r="2969">
          <cell r="B2969" t="str">
            <v>VICEPRESIDENCIA COMERCIAL</v>
          </cell>
        </row>
        <row r="2970">
          <cell r="B2970" t="str">
            <v>VICEPRESIDENCIA COMERCIAL BANCA PRIVADA</v>
          </cell>
        </row>
        <row r="2971">
          <cell r="B2971" t="str">
            <v>VICEPRESIDENCIA COMERCIAL FAC</v>
          </cell>
        </row>
        <row r="2972">
          <cell r="B2972" t="str">
            <v>VICEPRESIDENCIA COMERCIAL GOBIERNO</v>
          </cell>
        </row>
        <row r="2973">
          <cell r="B2973" t="str">
            <v>VICEPRESIDENCIA CORPORATIVA DE SERVICIOS</v>
          </cell>
        </row>
        <row r="2974">
          <cell r="B2974" t="str">
            <v>VICEPRESIDENCIA DE DESARROLLO</v>
          </cell>
        </row>
        <row r="2975">
          <cell r="B2975" t="str">
            <v>VICEPRESIDENCIA DE RIESGOS</v>
          </cell>
        </row>
        <row r="2976">
          <cell r="B2976" t="str">
            <v>VICEPRESIDENCIA EMPRESAS Y GOB</v>
          </cell>
        </row>
        <row r="2977">
          <cell r="B2977" t="str">
            <v>VICEPRESIDENCIA ESPECIALISTAS Y ESTRUCTU</v>
          </cell>
        </row>
        <row r="2978">
          <cell r="B2978" t="str">
            <v>VICEPRESIDENCIA ESTRUCTCION MKDO CAPTALS</v>
          </cell>
        </row>
        <row r="2979">
          <cell r="B2979" t="str">
            <v>VICEPRESIDENCIA ESTRUCTURACION</v>
          </cell>
        </row>
        <row r="2980">
          <cell r="B2980" t="str">
            <v>VICEPRESIDENCIA ESTRUCTURACION FCIERA</v>
          </cell>
        </row>
        <row r="2981">
          <cell r="B2981" t="str">
            <v>VICEPRESIDENCIA ESTRUCTURACION NEGOCIOS</v>
          </cell>
        </row>
        <row r="2982">
          <cell r="B2982" t="str">
            <v>VICEPRESIDENCIA FIDUCIA PUBLICA</v>
          </cell>
        </row>
        <row r="2983">
          <cell r="B2983" t="str">
            <v>VICEPRESIDENCIA FINANCIERA</v>
          </cell>
        </row>
        <row r="2984">
          <cell r="B2984" t="str">
            <v>VICEPRESIDENCIA FINANZAS CORPORATIVAS</v>
          </cell>
        </row>
        <row r="2985">
          <cell r="B2985" t="str">
            <v>VICEPRESIDENCIA GESTION DE LO HUMANO</v>
          </cell>
        </row>
        <row r="2986">
          <cell r="B2986" t="str">
            <v>VICEPRESIDENCIA GTION CCIAL NEGOCIOS FID</v>
          </cell>
        </row>
        <row r="2987">
          <cell r="B2987" t="str">
            <v>VICEPRESIDENCIA INMOB Y CONST OTRAS CUID</v>
          </cell>
        </row>
        <row r="2988">
          <cell r="B2988" t="str">
            <v>VICEPRESIDENCIA INMOB Y CONST OTRAS REG</v>
          </cell>
        </row>
        <row r="2989">
          <cell r="B2989" t="str">
            <v>VICEPRESIDENCIA INMOBILIARIA CONST ANTIO</v>
          </cell>
        </row>
        <row r="2990">
          <cell r="B2990" t="str">
            <v>VICEPRESIDENCIA INMOBILIARIA CONST BOGOT</v>
          </cell>
        </row>
        <row r="2991">
          <cell r="B2991" t="str">
            <v>VICEPRESIDENCIA INMOBILIARIA CONSTRUCTOR</v>
          </cell>
        </row>
        <row r="2992">
          <cell r="B2992" t="str">
            <v>VICEPRESIDENCIA INMOBILIARIA CONSUMO ESP</v>
          </cell>
        </row>
        <row r="2993">
          <cell r="B2993" t="str">
            <v>VICEPRESIDENCIA INTERNACIONAL</v>
          </cell>
        </row>
        <row r="2994">
          <cell r="B2994" t="str">
            <v>VICEPRESIDENCIA INVERSIONES</v>
          </cell>
        </row>
        <row r="2995">
          <cell r="B2995" t="str">
            <v>VICEPRESIDENCIA INVERSIONES DE CAPITAL</v>
          </cell>
        </row>
        <row r="2996">
          <cell r="B2996" t="str">
            <v>VICEPRESIDENCIA JURIDICA SECRET GENERAL</v>
          </cell>
        </row>
        <row r="2997">
          <cell r="B2997" t="str">
            <v>VICEPRESIDENCIA MEDIOS DE PAGO</v>
          </cell>
        </row>
        <row r="2998">
          <cell r="B2998" t="str">
            <v>VICEPRESIDENCIA MERCADO DE CAPITALES</v>
          </cell>
        </row>
        <row r="2999">
          <cell r="B2999" t="str">
            <v>VICEPRESIDENCIA MESAS DE NEGOCIACION</v>
          </cell>
        </row>
        <row r="3000">
          <cell r="B3000" t="str">
            <v>VICEPRESIDENCIA ORIGINACION DE NEGOCIOS</v>
          </cell>
        </row>
        <row r="3001">
          <cell r="B3001" t="str">
            <v>VICEPRESIDENCIA PERSONAS Y PYME ANTIOQUI</v>
          </cell>
        </row>
        <row r="3002">
          <cell r="B3002" t="str">
            <v>VICEPRESIDENCIA PERSONAS Y PYME BOGOTA</v>
          </cell>
        </row>
        <row r="3003">
          <cell r="B3003" t="str">
            <v>VICEPRESIDENCIA PERSONAS Y PYME CARIBE</v>
          </cell>
        </row>
        <row r="3004">
          <cell r="B3004" t="str">
            <v>VICEPRESIDENCIA PERSONAS Y PYME CENTRO</v>
          </cell>
        </row>
        <row r="3005">
          <cell r="B3005" t="str">
            <v>VICEPRESIDENCIA PERSONAS Y PYME SUR</v>
          </cell>
        </row>
        <row r="3006">
          <cell r="B3006" t="str">
            <v>VICEPRESIDENCIA PERSONAS Y PYMES</v>
          </cell>
        </row>
        <row r="3007">
          <cell r="B3007" t="str">
            <v>VICEPRESIDENCIA SECRETARIA GENERAL</v>
          </cell>
        </row>
        <row r="3008">
          <cell r="B3008" t="str">
            <v>VICEPRESIDENCIA SERV ADMINISTRATIVOS</v>
          </cell>
        </row>
        <row r="3009">
          <cell r="B3009" t="str">
            <v>VICEPRESIDENCIA SERV DE TECNOLOGIA</v>
          </cell>
        </row>
        <row r="3010">
          <cell r="B3010" t="str">
            <v>VICEPRESIDENCIA SERV PARA LOS CLIENTES</v>
          </cell>
        </row>
        <row r="3011">
          <cell r="B3011" t="str">
            <v>VICEPRESIDENCIA TECNOLOGIA DE INFORMACI</v>
          </cell>
        </row>
        <row r="3012">
          <cell r="B3012" t="str">
            <v>VP BANCA EMPRESAS Y GOBIERNO ANTIOQUIA</v>
          </cell>
        </row>
        <row r="3013">
          <cell r="B3013" t="str">
            <v>VP BANCA EMPRESAS Y GOBIERNO BOGOTA</v>
          </cell>
        </row>
        <row r="3014">
          <cell r="B3014" t="str">
            <v>VP BANCA EMPRESAS Y GOBIERNO CARIBE</v>
          </cell>
        </row>
        <row r="3015">
          <cell r="B3015" t="str">
            <v>VP BANCA EMPRESAS Y GOBIERNO SUR</v>
          </cell>
        </row>
        <row r="3016">
          <cell r="B3016" t="str">
            <v>FACTORING BANCOLOMBIA</v>
          </cell>
        </row>
        <row r="3017">
          <cell r="B3017" t="str">
            <v>FIDUCIARIA BANCOLOMBIA</v>
          </cell>
        </row>
        <row r="3018">
          <cell r="B3018" t="str">
            <v>GCIA DE CONTINUIDAD DEL NEGOCIO</v>
          </cell>
        </row>
        <row r="3019">
          <cell r="B3019" t="str">
            <v>LEASING BANCOLOMBIA</v>
          </cell>
        </row>
        <row r="3020">
          <cell r="B3020" t="str">
            <v>VALORES BANCOLOMBIA</v>
          </cell>
        </row>
      </sheetData>
      <sheetData sheetId="5">
        <row r="2">
          <cell r="B2" t="str">
            <v>APRENDIZ</v>
          </cell>
        </row>
        <row r="3">
          <cell r="B3" t="str">
            <v>AREA REVISION S</v>
          </cell>
        </row>
        <row r="4">
          <cell r="B4" t="str">
            <v>BECARIOS</v>
          </cell>
        </row>
        <row r="5">
          <cell r="B5" t="str">
            <v>IDENTIDAD CORPORATIVA</v>
          </cell>
        </row>
        <row r="6">
          <cell r="B6" t="str">
            <v>PRESIDENCIA</v>
          </cell>
        </row>
        <row r="7">
          <cell r="B7" t="str">
            <v>VICEPRESIDENCIA  ESTRATEGIA  Y FINANZA</v>
          </cell>
        </row>
        <row r="8">
          <cell r="B8" t="str">
            <v>VICEPRESIDENCIA AUDITORIA INTERNA</v>
          </cell>
        </row>
        <row r="9">
          <cell r="B9" t="str">
            <v>VICEPRESIDENCIA CORPORATIVA DE SERVICIOS</v>
          </cell>
        </row>
        <row r="10">
          <cell r="B10" t="str">
            <v>VICEPRESIDENCIA DE RIESGOS</v>
          </cell>
        </row>
        <row r="11">
          <cell r="B11" t="str">
            <v>VICEPRESIDENCIA EMPRESAS Y GOB</v>
          </cell>
        </row>
        <row r="12">
          <cell r="B12" t="str">
            <v>VICEPRESIDENCIA GESTION DE LO HUMANO</v>
          </cell>
        </row>
        <row r="13">
          <cell r="B13" t="str">
            <v>VICEPRESIDENCIA INMOBILIARIA CONSUMO ESP</v>
          </cell>
        </row>
        <row r="14">
          <cell r="B14" t="str">
            <v>VICEPRESIDENCIA INTERNACIONAL</v>
          </cell>
        </row>
        <row r="15">
          <cell r="B15" t="str">
            <v>VICEPRESIDENCIA JURIDICA SECRET GENERAL</v>
          </cell>
        </row>
        <row r="16">
          <cell r="B16" t="str">
            <v>VICEPRESIDENCIA MERCADO DE CAPITALES</v>
          </cell>
        </row>
        <row r="17">
          <cell r="B17" t="str">
            <v>VICEPRESIDENCIA PERSONAS Y PYMES</v>
          </cell>
        </row>
        <row r="18">
          <cell r="B18" t="str">
            <v>LEASING BANCOLOMBIA</v>
          </cell>
        </row>
        <row r="19">
          <cell r="B19" t="str">
            <v>VALORES BANCOLOMBIA</v>
          </cell>
        </row>
        <row r="20">
          <cell r="B20" t="str">
            <v>FIDUCIARIA BANCOLOMBIA</v>
          </cell>
        </row>
        <row r="21">
          <cell r="B21" t="str">
            <v>FACTORING BANCOLOMBIA</v>
          </cell>
        </row>
        <row r="22">
          <cell r="B22" t="str">
            <v>DIRECCION DE CULTURA ORGANIZACIONAL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6D8D99-1D8D-4CD0-A62C-8DEADB187BA9}" name="TERCEROS_INFO" displayName="TERCEROS_INFO" ref="A1:L332" totalsRowShown="0" headerRowDxfId="321" dataDxfId="320">
  <autoFilter ref="A1:L332" xr:uid="{456D8D99-1D8D-4CD0-A62C-8DEADB187BA9}"/>
  <sortState xmlns:xlrd2="http://schemas.microsoft.com/office/spreadsheetml/2017/richdata2" ref="A2:L330">
    <sortCondition descending="1" ref="A1:A330"/>
  </sortState>
  <tableColumns count="12">
    <tableColumn id="1" xr3:uid="{36A50E19-DC7A-4E16-BE4C-42C64333F9EA}" name="PROVEEDOR" dataDxfId="319"/>
    <tableColumn id="2" xr3:uid="{33B16C29-2DF5-45A1-87C1-48E44DFA4D60}" name="DIAS DE PLAZO" dataDxfId="318"/>
    <tableColumn id="3" xr3:uid="{FB09C725-92D2-4DCA-AB96-E3501A05815F}" name="IVA" dataDxfId="317"/>
    <tableColumn id="7" xr3:uid="{6DF6E84E-4497-42A2-A0FF-8BB736818592}" name="ID RETENCION" dataDxfId="316"/>
    <tableColumn id="5" xr3:uid="{C601C28E-77FB-4104-BEA3-CABF7F512A2B}" name="CORREO" dataDxfId="315"/>
    <tableColumn id="6" xr3:uid="{0898AD1E-5D0B-451F-AD5F-54E60AC27BC0}" name="CUENTA BANCARIA" dataDxfId="314"/>
    <tableColumn id="4" xr3:uid="{B9E41A0A-2A61-4827-B953-CBB2733907CD}" name="RUT" dataDxfId="313"/>
    <tableColumn id="8" xr3:uid="{765D55C7-71EE-4A3A-AA85-9619D1063244}" name="CERT. MERCANTIL" dataDxfId="312"/>
    <tableColumn id="9" xr3:uid="{24139757-4B16-41B1-BEC9-85A32C204744}" name="CERT.BANCARIA" dataDxfId="311"/>
    <tableColumn id="10" xr3:uid="{5402FE4D-66BF-47E7-B189-7BE3D2A47515}" name="NOMBRE CONTACTO" dataDxfId="310"/>
    <tableColumn id="11" xr3:uid="{A3311056-88F3-40D9-ABE7-7DD4C19D625A}" name="NUMERO CONTACTO" dataDxfId="309"/>
    <tableColumn id="12" xr3:uid="{457318E8-A20E-46BC-85E6-C1F6305DF34C}" name="SOLICITAR" dataDxfId="30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43606D-B1F7-4CE6-BB32-CD904DFA3A69}" name="PROVEEDORES" displayName="PROVEEDORES" ref="A1:Z1661" totalsRowShown="0" headerRowDxfId="295" dataDxfId="294" tableBorderDxfId="293">
  <autoFilter ref="A1:Z1661" xr:uid="{0043606D-B1F7-4CE6-BB32-CD904DFA3A69}"/>
  <tableColumns count="26">
    <tableColumn id="1" xr3:uid="{4F9DF858-596D-4EB8-BFED-725FE3B6A454}" name="a" dataDxfId="292" totalsRowDxfId="291">
      <calculatedColumnFormula>+IF(PROVEEDORES[[#This Row],[FECHA DE PAGO]]=PROVEEDORES[[#This Row],[FECHA DE FACTURACIÓN]],"DE CONTADO","CRÉDITO")</calculatedColumnFormula>
    </tableColumn>
    <tableColumn id="2" xr3:uid="{E41DD9AA-337C-4F1C-BBCB-16D1B395C3EF}" name="PV" dataDxfId="290" totalsRowDxfId="289">
      <calculatedColumnFormula>+IF((PROVEEDORES[[#This Row],[FECHA DE PAGO]]-PROVEEDORES[[#This Row],[FECHA DE FACTURACIÓN]])&gt;PROVEEDORES[[#This Row],[PLAZO Días]],"PAGO VENCIDO")</calculatedColumnFormula>
    </tableColumn>
    <tableColumn id="3" xr3:uid="{D19A95DA-BBA6-466A-9ABB-E98D09D15428}" name="PLAZO Días" dataDxfId="288" totalsRowDxfId="287">
      <calculatedColumnFormula>+VLOOKUP(PROVEEDORES[[#This Row],[PROVEEDOR]],TERCEROS_INFO[#All],2,FALSE)</calculatedColumnFormula>
    </tableColumn>
    <tableColumn id="4" xr3:uid="{71AED75C-80F2-471D-AEBA-4ED68EBAD009}" name="SALDO PROVEEDOR" dataDxfId="286" totalsRowDxfId="285">
      <calculatedColumnFormula>+SUMIFS(PROVEEDORES[Total],PROVEEDORES[PROVEEDOR],PROVEEDORES[[#This Row],[PROVEEDOR]],PROVEEDORES[FECHA DE PAGO],"")</calculatedColumnFormula>
    </tableColumn>
    <tableColumn id="5" xr3:uid="{23C25549-7822-44AA-9851-133DFF411756}" name="NOTAS" dataDxfId="284" totalsRowDxfId="283"/>
    <tableColumn id="6" xr3:uid="{F624A2BC-D951-4693-9CBB-BA40FB802479}" name="CORREO" dataDxfId="282" totalsRowDxfId="281">
      <calculatedColumnFormula>+VLOOKUP(PROVEEDORES[[#This Row],[PROVEEDOR]],
                       Terceros!$A:$F,
                       5,
                       FALSE)</calculatedColumnFormula>
    </tableColumn>
    <tableColumn id="7" xr3:uid="{A479BEF1-FD05-45A4-971C-81846174781A}" name="FECHA DE PAGO" dataDxfId="280" totalsRowDxfId="279"/>
    <tableColumn id="8" xr3:uid="{539D9199-4B43-419E-8145-E2E1EF749FFC}" name="PROVEEDOR" dataDxfId="278" totalsRowDxfId="277"/>
    <tableColumn id="9" xr3:uid="{C8382347-5AF2-4835-9CDF-1AD2BCDA92AA}" name="FECHA DE FACTURACIÓN" dataDxfId="276" totalsRowDxfId="275"/>
    <tableColumn id="10" xr3:uid="{3DFCAEBC-022A-475E-84C7-9C2FB3136220}" name="# DE FACTURA" dataDxfId="274" totalsRowDxfId="273"/>
    <tableColumn id="11" xr3:uid="{DF1A270C-B4D8-41D7-A334-F52FB50622A2}" name="ALMA/INSTI" dataDxfId="272" totalsRowDxfId="271"/>
    <tableColumn id="12" xr3:uid="{16B565E5-F651-42A4-86D0-961EE3F35173}" name="Origen_x000a_de los_x000a_Recursos" dataDxfId="270" totalsRowDxfId="269"/>
    <tableColumn id="13" xr3:uid="{44CD2AC7-2D54-4AFD-AB58-C49F72A53B72}" name="SUBTOTAL" dataDxfId="268" totalsRowDxfId="267"/>
    <tableColumn id="14" xr3:uid="{F2B0414A-E3EB-487F-B38D-95FF1DC204E9}" name="IVA 19%" dataDxfId="266" totalsRowDxfId="265">
      <calculatedColumnFormula>+(PROVEEDORES[[#This Row],[SUBTOTAL]])*VLOOKUP(PROVEEDORES[[#This Row],[PROVEEDOR]],TERCEROS_INFO[#All],3,FALSE)</calculatedColumnFormula>
    </tableColumn>
    <tableColumn id="15" xr3:uid="{571B41DC-EA39-403C-B84F-4FC5089FE61F}" name="Descuento_x000a_$" dataDxfId="264" totalsRowDxfId="263">
      <calculatedColumnFormula>+'Palabra que no opera y Listas d'!$D$2</calculatedColumnFormula>
    </tableColumn>
    <tableColumn id="16" xr3:uid="{4A9E4B14-B7BC-4507-947A-DA846C9A4C24}" name="ReteFuente_x000a_%" dataDxfId="262" totalsRowDxfId="261">
      <calculatedColumnFormula>+IF(PROVEEDORES[[#This Row],[SUBTOTAL]]&lt;PROVEEDORES[[#This Row],[base retencion]],0,PROVEEDORES[[#This Row],[retención aplicada]])</calculatedColumnFormula>
    </tableColumn>
    <tableColumn id="17" xr3:uid="{D9889BB2-78CD-4A3E-BF81-20F00BC1BC2C}" name="ReteFuente_x000a_$" dataDxfId="260" totalsRowDxfId="259">
      <calculatedColumnFormula>+PROVEEDORES[[#This Row],[ReteFuente
%]]*(PROVEEDORES[[#This Row],[SUBTOTAL]])</calculatedColumnFormula>
    </tableColumn>
    <tableColumn id="18" xr3:uid="{BE85280F-DB3A-4381-AA38-6072B593E55B}" name="Total" dataDxfId="258" totalsRowDxfId="257">
      <calculatedColumnFormula>+PROVEEDORES[[#This Row],[SUBTOTAL]]+PROVEEDORES[[#This Row],[IVA 19%]]-PROVEEDORES[[#This Row],[Descuento
$]]-PROVEEDORES[[#This Row],[ReteFuente
$]]</calculatedColumnFormula>
    </tableColumn>
    <tableColumn id="19" xr3:uid="{9E047FFD-06F2-479A-895D-735298CADC49}" name="Estado de la factura" dataDxfId="256" totalsRowDxfId="255">
      <calculatedColumnFormula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calculatedColumnFormula>
    </tableColumn>
    <tableColumn id="20" xr3:uid="{A2CFDDED-9578-42C5-ADB6-D365F0733C0C}" name="días de vencimiento" dataDxfId="254" totalsRowDxfId="253">
      <calculatedColumnFormula>+IF(PROVEEDORES[[#This Row],[FECHA DE PAGO]]=0,TODAY()-PROVEEDORES[[#This Row],[FECHA DE FACTURACIÓN]]-PROVEEDORES[[#This Row],[PLAZO Días]],0)</calculatedColumnFormula>
    </tableColumn>
    <tableColumn id="21" xr3:uid="{9341C9BD-D100-4B94-ACC4-27624EB6275F}" name="ID RETENCION" dataDxfId="252" totalsRowDxfId="251">
      <calculatedColumnFormula>+VLOOKUP(PROVEEDORES[[#This Row],[PROVEEDOR]],Terceros!$A:$D,4,FALSE)</calculatedColumnFormula>
    </tableColumn>
    <tableColumn id="22" xr3:uid="{A80EE7D8-3E28-4C5E-97D3-C2A90F3DAFFB}" name="año facturado" dataDxfId="250" totalsRowDxfId="249">
      <calculatedColumnFormula>+YEAR(PROVEEDORES[[#This Row],[FECHA DE FACTURACIÓN]])</calculatedColumnFormula>
    </tableColumn>
    <tableColumn id="23" xr3:uid="{F0E6333F-CAB8-4AA8-BE10-1583EB531E06}" name="indicador de columna" dataDxfId="248" totalsRowDxfId="247">
      <calculatedColumnFormula>+MATCH(PROVEEDORES[[#This Row],[año facturado]],Retenciones!$1:$1,0)</calculatedColumnFormula>
    </tableColumn>
    <tableColumn id="24" xr3:uid="{8A25825B-2FF5-4185-83B9-E21AAA58E53F}" name="base retencion" dataDxfId="246" totalsRowDxfId="245">
      <calculatedColumnFormula>+VLOOKUP(PROVEEDORES[[#This Row],[ID RETENCION]],Retenciones!$A$1:$O$25,PROVEEDORES[[#This Row],[indicador de columna]],FALSE)</calculatedColumnFormula>
    </tableColumn>
    <tableColumn id="25" xr3:uid="{63967F7E-DED9-4C7E-AAD2-5C0E38514703}" name="retención aplicada" dataDxfId="244" totalsRowDxfId="243">
      <calculatedColumnFormula>+VLOOKUP(PROVEEDORES[[#This Row],[ID RETENCION]],Retenciones!$A$1:$O$25,2,FALSE)</calculatedColumnFormula>
    </tableColumn>
    <tableColumn id="26" xr3:uid="{F9069F17-FA48-45D7-9FFD-3345665C901E}" name="X@" dataDxfId="242" totalsRowDxfId="241">
      <calculatedColumnFormula>+OR(COUNTIF(PROVEEDORES[[#This Row],[PROVEEDOR]],"*"&amp;'Palabra que no opera y Listas d'!$A$2&amp;"*"))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9C2564-C1F9-4E2E-88B6-BAEE1998EC6E}" name="PROVEEDORES3" displayName="PROVEEDORES3" ref="A1:I143" totalsRowShown="0" headerRowDxfId="114" dataDxfId="113" tableBorderDxfId="112">
  <autoFilter ref="A1:I143" xr:uid="{00000000-0009-0000-0100-000001000000}">
    <filterColumn colId="3">
      <filters blank="1"/>
    </filterColumn>
    <filterColumn colId="4">
      <filters>
        <filter val="CARPA - CASILLERO"/>
        <filter val="CARPA - POWERSONIC"/>
        <filter val="CARPA - TNR"/>
      </filters>
    </filterColumn>
  </autoFilter>
  <tableColumns count="9">
    <tableColumn id="13" xr3:uid="{B42BD185-3F71-4F2C-AEA4-92B1BD04B885}" name="Crédito / Contado" dataDxfId="111">
      <calculatedColumnFormula>+IF(PROVEEDORES3[[#This Row],[FECHA DE PAGO]]=PROVEEDORES3[[#This Row],[FECHA DE FACTURACIÓN]],"DE CONTADO","CRÉDITO")</calculatedColumnFormula>
    </tableColumn>
    <tableColumn id="6" xr3:uid="{39803CE2-FFBF-4D55-A688-68FD0D849FB4}" name="PV" dataDxfId="110">
      <calculatedColumnFormula>+IF((PROVEEDORES3[[#This Row],[FECHA DE PAGO]]-PROVEEDORES3[[#This Row],[FECHA DE FACTURACIÓN]])&gt;#REF!,"PAGO VENCIDO")</calculatedColumnFormula>
    </tableColumn>
    <tableColumn id="7" xr3:uid="{6B170910-AAE7-4809-9E44-4304BC1A8E64}" name="CORREO" dataDxfId="109">
      <calculatedColumnFormula>+VLOOKUP(PROVEEDORES3[[#This Row],[PROVEEDOR]],TERCEROS_INFO[[PROVEEDOR]:[CORREO]],5,FALSE)</calculatedColumnFormula>
    </tableColumn>
    <tableColumn id="11" xr3:uid="{574CCCB7-6404-4014-A7C4-E24B35C8242E}" name="FECHA DE PAGO" dataDxfId="108"/>
    <tableColumn id="4" xr3:uid="{2700B3B9-841F-4270-BE9A-B050B545D6DF}" name="PROVEEDOR" dataDxfId="107"/>
    <tableColumn id="1" xr3:uid="{B9637DF7-0F06-414E-8A02-470A0D288B88}" name="FECHA DE FACTURACIÓN" dataDxfId="106"/>
    <tableColumn id="3" xr3:uid="{10A8A101-FA0E-4186-AE5D-EF5556E9484A}" name="# DE FACTURA" dataDxfId="105"/>
    <tableColumn id="15" xr3:uid="{30CB4C40-8263-4421-A32D-17C764402102}" name="Total USD" dataDxfId="104"/>
    <tableColumn id="17" xr3:uid="{1392C75A-49B5-4F13-B7A2-4E0DF985E8DF}" name="COP" dataDxfId="103">
      <calculatedColumnFormula>+PROVEEDORES3[[#This Row],[Total USD]]*3828.5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FINANCIACION" displayName="FINANCIACION" ref="A1:K800" totalsRowShown="0" headerRowDxfId="81" dataDxfId="80">
  <autoFilter ref="A1:K800" xr:uid="{00000000-000C-0000-FFFF-FFFF02000000}">
    <filterColumn colId="0">
      <filters>
        <dateGroupItem year="2024" month="5" dateTimeGrouping="month"/>
      </filters>
    </filterColumn>
  </autoFilter>
  <tableColumns count="11">
    <tableColumn id="1" xr3:uid="{00000000-0010-0000-0200-000001000000}" name="Fecha" dataDxfId="79" totalsRowDxfId="78"/>
    <tableColumn id="2" xr3:uid="{00000000-0010-0000-0200-000002000000}" name="PRESTAMO" dataDxfId="77" totalsRowDxfId="76"/>
    <tableColumn id="5" xr3:uid="{00000000-0010-0000-0200-000005000000}" name="$ CAPITAL" dataDxfId="75" totalsRowDxfId="74"/>
    <tableColumn id="6" xr3:uid="{00000000-0010-0000-0200-000006000000}" name="$ INTERESES" dataDxfId="73" totalsRowDxfId="72"/>
    <tableColumn id="13" xr3:uid="{AC18AAE4-5F2F-43AA-9096-028504347CEB}" name="PAGO" dataDxfId="71" totalsRowDxfId="70">
      <calculatedColumnFormula>+IF(FINANCIACION[[#This Row],[$ CAPITAL]]&gt;=0,FINANCIACION[[#This Row],[$ CAPITAL]]+FINANCIACION[[#This Row],[$ INTERESES]],"")</calculatedColumnFormula>
    </tableColumn>
    <tableColumn id="16" xr3:uid="{4B8B17DE-D423-4092-ADCD-01A01AB7EA01}" name="SALDO" dataDxfId="69" totalsRowDxfId="68">
      <calculatedColumnFormula>+SUMIFS(FINANCIACION[$ CAPITAL],FINANCIACION[Fecha],"&lt;="&amp;FINANCIACION[[#This Row],[Fecha]],FINANCIACION[PRESTAMO],FINANCIACION[[#This Row],[PRESTAMO]])</calculatedColumnFormula>
    </tableColumn>
    <tableColumn id="3" xr3:uid="{1584E566-D9AE-4D6B-97E1-7826ECE58C32}" name="Origen_x000a_de los_x000a_Recursos" dataDxfId="67" totalsRowDxfId="66"/>
    <tableColumn id="9" xr3:uid="{00000000-0010-0000-0200-000009000000}" name="DETALLE" dataDxfId="65" totalsRowDxfId="64"/>
    <tableColumn id="10" xr3:uid="{00000000-0010-0000-0200-00000A000000}" name="VALOR EN DOLARES" dataDxfId="63" totalsRowDxfId="62"/>
    <tableColumn id="4" xr3:uid="{00000000-0010-0000-0200-000004000000}" name="ABONOS" dataDxfId="61" totalsRowDxfId="60">
      <calculatedColumnFormula>+IF(FINANCIACION[[#This Row],[$ CAPITAL]]&gt;0,FINANCIACION[[#This Row],[$ CAPITAL]])</calculatedColumnFormula>
    </tableColumn>
    <tableColumn id="11" xr3:uid="{00000000-0010-0000-0200-00000B000000}" name="Pagos del mes" dataDxfId="59" totalsRowDxfId="58">
      <calculatedColumnFormula>+IF(FINANCIACION[[#This Row],[$ CAPITAL]]&gt;=0,FINANCIACION[[#This Row],[$ CAPITAL]]+FINANCIACION[[#This Row],[$ INTERESES]],0)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1E4E5B-D41E-4DBC-BA0B-E05C8D02B861}" name="Tabla10" displayName="Tabla10" ref="A1:U29" totalsRowShown="0" headerRowDxfId="57" dataDxfId="56">
  <autoFilter ref="A1:U29" xr:uid="{0E1D4469-06DD-45C8-98F5-0FCFA256904B}">
    <filterColumn colId="19">
      <filters>
        <filter val="$100,000,000"/>
        <filter val="$13,000,000"/>
        <filter val="$140,000,000"/>
        <filter val="$193,128,941"/>
        <filter val="$200,000,000"/>
        <filter val="$25,406,744"/>
        <filter val="$26,776,427"/>
        <filter val="$3,853,390"/>
        <filter val="$30,000,000"/>
        <filter val="$32,476,300"/>
        <filter val="$33,939,279"/>
        <filter val="$35,000,000"/>
        <filter val="$41,666,000"/>
        <filter val="$47,512,616"/>
        <filter val="$56,929,004"/>
        <filter val="$6,130,204"/>
        <filter val="$8,000,000"/>
        <filter val="$88,888,000"/>
        <filter val="$95,868,547"/>
      </filters>
    </filterColumn>
  </autoFilter>
  <sortState xmlns:xlrd2="http://schemas.microsoft.com/office/spreadsheetml/2017/richdata2" ref="A2:T29">
    <sortCondition ref="A1:A29"/>
  </sortState>
  <tableColumns count="21">
    <tableColumn id="1" xr3:uid="{352BFAB1-24B4-46D7-A59C-4164B96E8980}" name="PRESTAMO" dataDxfId="55"/>
    <tableColumn id="12" xr3:uid="{47719FDB-3022-4CF3-9CDF-80E602874394}" name="01/10/2022" dataDxfId="54">
      <calculatedColumnFormula>-SUMIFS(FINANCIACION[$ CAPITAL],
FINANCIACION[Fecha],"&lt;="&amp;EOMONTH(B$1,0),
FINANCIACION[PRESTAMO],$A2)</calculatedColumnFormula>
    </tableColumn>
    <tableColumn id="11" xr3:uid="{7851B509-2228-4364-BE00-ED02B6ADC715}" name="01/11/2022" dataDxfId="53">
      <calculatedColumnFormula>-SUMIFS(FINANCIACION[$ CAPITAL],
FINANCIACION[Fecha],"&lt;="&amp;EOMONTH(C$1,0),
FINANCIACION[PRESTAMO],$A2)</calculatedColumnFormula>
    </tableColumn>
    <tableColumn id="13" xr3:uid="{58AC9E35-B0DA-4F5D-9881-0B4AB4BBDB33}" name="01/12/2022" dataDxfId="52">
      <calculatedColumnFormula>-SUMIFS(FINANCIACION[$ CAPITAL],
FINANCIACION[Fecha],"&lt;="&amp;EOMONTH(D$1,0),
FINANCIACION[PRESTAMO],$A2)</calculatedColumnFormula>
    </tableColumn>
    <tableColumn id="24" xr3:uid="{D722D2A9-2B00-4D16-B337-2CF6B32F22ED}" name="01/01/2023" dataDxfId="51">
      <calculatedColumnFormula>-SUMIFS(FINANCIACION[$ CAPITAL],
FINANCIACION[Fecha],"&lt;="&amp;EOMONTH(E$1,0),
FINANCIACION[PRESTAMO],$A2)</calculatedColumnFormula>
    </tableColumn>
    <tableColumn id="26" xr3:uid="{212E95CF-CAC5-4553-997E-1C7080475A98}" name="01/02/2023" dataDxfId="50">
      <calculatedColumnFormula>-SUMIFS(FINANCIACION[$ CAPITAL],
FINANCIACION[Fecha],"&lt;="&amp;EOMONTH(F$1,0),
FINANCIACION[PRESTAMO],$A2)</calculatedColumnFormula>
    </tableColumn>
    <tableColumn id="14" xr3:uid="{207C26E6-B20F-45BD-A9EB-0FAF20EF4CFC}" name="01/03/2023" dataDxfId="49">
      <calculatedColumnFormula>-SUMIFS(FINANCIACION[$ CAPITAL],
FINANCIACION[Fecha],"&lt;="&amp;EOMONTH(G$1,0),
FINANCIACION[PRESTAMO],$A2)</calculatedColumnFormula>
    </tableColumn>
    <tableColumn id="15" xr3:uid="{3AD20EC7-5105-4C7A-B492-F71660ABA361}" name="01/04/2023" dataDxfId="48">
      <calculatedColumnFormula>-SUMIFS(FINANCIACION[$ CAPITAL],
FINANCIACION[Fecha],"&lt;="&amp;EOMONTH(H$1,0),
FINANCIACION[PRESTAMO],$A2)</calculatedColumnFormula>
    </tableColumn>
    <tableColumn id="16" xr3:uid="{0D870312-F1CA-4B1F-ABA1-605B1AE61490}" name="01/05/2023" dataDxfId="47">
      <calculatedColumnFormula>-SUMIFS(FINANCIACION[$ CAPITAL],
FINANCIACION[Fecha],"&lt;="&amp;EOMONTH(I$1,0),
FINANCIACION[PRESTAMO],$A2)</calculatedColumnFormula>
    </tableColumn>
    <tableColumn id="17" xr3:uid="{A5E9AE7A-7C9D-441C-A85A-348876D10C64}" name="01/06/2023" dataDxfId="46">
      <calculatedColumnFormula>-SUMIFS(FINANCIACION[$ CAPITAL],
FINANCIACION[Fecha],"&lt;="&amp;EOMONTH(J$1,0),
FINANCIACION[PRESTAMO],$A2)</calculatedColumnFormula>
    </tableColumn>
    <tableColumn id="18" xr3:uid="{E779DDCE-1B54-4715-BFA9-C4B958D827FA}" name="01/07/2023" dataDxfId="45">
      <calculatedColumnFormula>-SUMIFS(FINANCIACION[$ CAPITAL],
FINANCIACION[Fecha],"&lt;="&amp;EOMONTH(K$1,0),
FINANCIACION[PRESTAMO],$A2)</calculatedColumnFormula>
    </tableColumn>
    <tableColumn id="19" xr3:uid="{4DA99425-FB00-45D8-A036-CEA1D7190F43}" name="01/08/2023" dataDxfId="44">
      <calculatedColumnFormula>-SUMIFS(FINANCIACION[$ CAPITAL],
FINANCIACION[Fecha],"&lt;="&amp;EOMONTH(L$1,0),
FINANCIACION[PRESTAMO],$A2)</calculatedColumnFormula>
    </tableColumn>
    <tableColumn id="21" xr3:uid="{0D7966F1-E548-4E1F-AF2C-99FF8DD70E8F}" name="01/09/2023" dataDxfId="43">
      <calculatedColumnFormula>-SUMIFS(FINANCIACION[$ CAPITAL],
FINANCIACION[Fecha],"&lt;="&amp;EOMONTH(M$1,0),
FINANCIACION[PRESTAMO],$A2)</calculatedColumnFormula>
    </tableColumn>
    <tableColumn id="20" xr3:uid="{694A1EAA-2927-438C-8021-5E71443ADD66}" name="01/10/2023" dataDxfId="42">
      <calculatedColumnFormula>-SUMIFS(FINANCIACION[$ CAPITAL],
FINANCIACION[Fecha],"&lt;="&amp;EOMONTH(N$1,0),
FINANCIACION[PRESTAMO],$A2)</calculatedColumnFormula>
    </tableColumn>
    <tableColumn id="22" xr3:uid="{035697E2-6F2E-4613-9D3C-6042C2DA0AF5}" name="01/11/2023" dataDxfId="41">
      <calculatedColumnFormula>-SUMIFS(FINANCIACION[$ CAPITAL],
FINANCIACION[Fecha],"&lt;="&amp;EOMONTH(O$1,0),
FINANCIACION[PRESTAMO],$A2)</calculatedColumnFormula>
    </tableColumn>
    <tableColumn id="2" xr3:uid="{78E59391-1955-4CA0-B802-0034B8765338}" name="01/12/2023" dataDxfId="40">
      <calculatedColumnFormula>-SUMIFS(FINANCIACION[$ CAPITAL],
FINANCIACION[Fecha],"&lt;="&amp;EOMONTH(P$1,0),
FINANCIACION[PRESTAMO],$A2)</calculatedColumnFormula>
    </tableColumn>
    <tableColumn id="4" xr3:uid="{5FDEF36D-EA88-4459-B169-417306786B42}" name="01/01/2024" dataDxfId="39">
      <calculatedColumnFormula>-SUMIFS(FINANCIACION[$ CAPITAL],
FINANCIACION[Fecha],"&lt;="&amp;EOMONTH(Q$1,0),
FINANCIACION[PRESTAMO],$A2)</calculatedColumnFormula>
    </tableColumn>
    <tableColumn id="3" xr3:uid="{884B4BA2-969F-4E69-9D44-5DCC08357034}" name="01/02/2024" dataDxfId="38">
      <calculatedColumnFormula>-SUMIFS(FINANCIACION[$ CAPITAL],
FINANCIACION[Fecha],"&lt;="&amp;EOMONTH(R$1,0),
FINANCIACION[PRESTAMO],$A2)</calculatedColumnFormula>
    </tableColumn>
    <tableColumn id="5" xr3:uid="{703635CB-6848-4F59-A31F-FD1A4CFC66ED}" name="01/03/2024" dataDxfId="37">
      <calculatedColumnFormula>-SUMIFS(FINANCIACION[$ CAPITAL],
FINANCIACION[Fecha],"&lt;="&amp;EOMONTH(S$1,0),
FINANCIACION[PRESTAMO],$A2)</calculatedColumnFormula>
    </tableColumn>
    <tableColumn id="6" xr3:uid="{71BA46B7-7F39-4EA9-A1B8-9B595F93F60B}" name="01/04/2025" dataDxfId="36">
      <calculatedColumnFormula>-SUMIFS(FINANCIACION[$ CAPITAL],
FINANCIACION[Fecha],"&lt;="&amp;EOMONTH(T$1,0),
FINANCIACION[PRESTAMO],$A2)</calculatedColumnFormula>
    </tableColumn>
    <tableColumn id="7" xr3:uid="{021C987A-2153-4AF0-B47E-4936DA8F001C}" name="01/05/2024" dataDxfId="35">
      <calculatedColumnFormula>-SUMIFS(FINANCIACION[$ CAPITAL],
FINANCIACION[Fecha],"&lt;="&amp;EOMONTH(U$1,0),
FINANCIACION[PRESTAMO],$A2)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DB2F45-C381-47B2-8086-480DEE1C9502}" name="Tabla2" displayName="Tabla2" ref="A6:AD3005" totalsRowShown="0" headerRowDxfId="31" dataDxfId="30">
  <autoFilter ref="A6:AD3005" xr:uid="{73DB2F45-C381-47B2-8086-480DEE1C9502}">
    <filterColumn colId="8">
      <filters>
        <dateGroupItem year="2024" dateTimeGrouping="year"/>
      </filters>
    </filterColumn>
  </autoFilter>
  <sortState xmlns:xlrd2="http://schemas.microsoft.com/office/spreadsheetml/2017/richdata2" ref="A7:AD7">
    <sortCondition descending="1" ref="G6:G7"/>
  </sortState>
  <tableColumns count="30">
    <tableColumn id="1" xr3:uid="{132C3118-3023-4B2F-96BC-F16058F7D256}" name="a" dataDxfId="29"/>
    <tableColumn id="22" xr3:uid="{FB717189-4C41-4440-AD6D-E75C00690007}" name="PV" dataDxfId="28"/>
    <tableColumn id="21" xr3:uid="{43D51372-0EC8-4031-B5C8-4E48EFCBE846}" name="PLAZO Días" dataDxfId="27"/>
    <tableColumn id="2" xr3:uid="{EC2FA82B-2E14-4DCF-9EAD-2BACCB783CD8}" name="SALDO PROVEEDOR" dataDxfId="26"/>
    <tableColumn id="3" xr3:uid="{43A7058F-2ED1-4A27-AA72-06520D8322EE}" name="NOTAS" dataDxfId="25"/>
    <tableColumn id="4" xr3:uid="{60D859DF-64A4-4B14-BEA4-53EDC451A813}" name="CORREO" dataDxfId="24"/>
    <tableColumn id="5" xr3:uid="{454828DC-3C5A-4715-824B-B24F214C5E13}" name="FECHA DE PAGO" dataDxfId="23"/>
    <tableColumn id="6" xr3:uid="{611243B7-0D0B-43AA-B686-311F876022B1}" name="PROVEEDOR" dataDxfId="22"/>
    <tableColumn id="7" xr3:uid="{D855F350-1086-42A0-8EA3-7F25CD38C9D3}" name="FECHA DE FACTURACIÓN" dataDxfId="21"/>
    <tableColumn id="8" xr3:uid="{A47DA67B-9F1D-4774-868A-72372E5564B9}" name="# DE FACTURA" dataDxfId="20"/>
    <tableColumn id="9" xr3:uid="{EFE5C62A-0ACB-4DCD-8ECF-5EF13B6C5317}" name="ALMA/INSTI" dataDxfId="19"/>
    <tableColumn id="10" xr3:uid="{F1AF051F-9A83-4E4B-A579-356CF6E1CC40}" name="Origen_x000a_de los_x000a_Recursos" dataDxfId="18"/>
    <tableColumn id="11" xr3:uid="{8B4607B9-C44B-4133-85DE-013E69B20E93}" name="SUBTOTAL" dataDxfId="17"/>
    <tableColumn id="12" xr3:uid="{6A9D0E38-9470-494D-8871-9052119ECCAA}" name="IVA 19%" dataDxfId="16"/>
    <tableColumn id="13" xr3:uid="{B7846F5F-DCDC-455C-A820-B1866BD3DEF5}" name="Descuento_x000a_$" dataDxfId="15"/>
    <tableColumn id="14" xr3:uid="{871D7124-3BAA-4827-B045-4443CA46B11E}" name="ReteFuente_x000a_%" dataDxfId="14"/>
    <tableColumn id="15" xr3:uid="{02032375-550C-45FC-AA0D-736EC726964B}" name="ReteFuente_x000a_$" dataDxfId="13"/>
    <tableColumn id="16" xr3:uid="{3FBB1F41-A526-42EA-A203-54ABBC239BBD}" name="Total" dataDxfId="12"/>
    <tableColumn id="24" xr3:uid="{7A743829-AEA0-45B6-966E-8D925966D2DE}" name="Estado de la factura" dataDxfId="11"/>
    <tableColumn id="25" xr3:uid="{B7BC761D-0768-4A9C-A5BF-420FDE6F9B67}" name="días de vencimiento" dataDxfId="10"/>
    <tableColumn id="26" xr3:uid="{8393985A-B357-47DA-A28F-A13CBE11ACF1}" name="ID RETENCION" dataDxfId="9"/>
    <tableColumn id="27" xr3:uid="{BEAB3D63-16E1-4BF2-92EA-0C890B6441E0}" name="año facturado" dataDxfId="8"/>
    <tableColumn id="28" xr3:uid="{E3305014-E25D-4184-A1D0-AF16177752F9}" name="indicador de columna" dataDxfId="7"/>
    <tableColumn id="29" xr3:uid="{D4AC43D6-3EAB-4A32-BFB1-062B2425B172}" name="base retencion" dataDxfId="6"/>
    <tableColumn id="30" xr3:uid="{176DC95F-479D-40F9-8352-AA31FFF0DB4E}" name="retención aplicada" dataDxfId="5"/>
    <tableColumn id="23" xr3:uid="{0177C05A-981A-4D8C-8138-55A654CB25B0}" name="X@" dataDxfId="4"/>
    <tableColumn id="17" xr3:uid="{DA71BCF1-93B0-47B9-A984-E2A41D7DDACE}" name="dias de credito" dataDxfId="3">
      <calculatedColumnFormula>+$AD$5-Tabla2[[#This Row],[FECHA DE FACTURACIÓN]]</calculatedColumnFormula>
    </tableColumn>
    <tableColumn id="18" xr3:uid="{CF911DDE-F405-4380-86D1-ECA9628F67A6}" name="venc" dataDxfId="2">
      <calculatedColumnFormula>+IF(Tabla2[[#This Row],[dias de credito]]&gt;=Tabla2[[#This Row],[PLAZO Días]],"venc", "No venc")</calculatedColumnFormula>
    </tableColumn>
    <tableColumn id="19" xr3:uid="{8067E3DF-2FE9-4BF5-8CCB-1D20A2AD809A}" name="estado pago" dataDxfId="1">
      <calculatedColumnFormula>+IF(Tabla2[[#This Row],[FECHA DE PAGO]]&gt;0,"pagada","por pagar")</calculatedColumnFormula>
    </tableColumn>
    <tableColumn id="20" xr3:uid="{986FB463-3412-4AF8-ADC3-B64A4214F098}" name="VENCIDA" dataDxfId="0">
      <calculatedColumnFormula>+IF(AND(Tabla2[[#This Row],[venc]]="venc",Tabla2[[#This Row],[estado pago]]="por pagar"),"vencida","no")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mailto:jarlysas@gmail.com;o.clockinternational@gmail.com;girlesa.ruiz@servipilas.com;joriescobar64@gmail.com" TargetMode="External"/><Relationship Id="rId18" Type="http://schemas.openxmlformats.org/officeDocument/2006/relationships/hyperlink" Target="mailto:contabilidad@logimexsas.com;girlesa.ruiz@servipilas.com;joriescobar64@gmail.com;facturacion@servipilas.com" TargetMode="External"/><Relationship Id="rId26" Type="http://schemas.openxmlformats.org/officeDocument/2006/relationships/hyperlink" Target="mailto:julian@ieosas.com;girlesa.ruiz@servipilas.com;joriescobar64@gmail.com" TargetMode="External"/><Relationship Id="rId39" Type="http://schemas.openxmlformats.org/officeDocument/2006/relationships/hyperlink" Target="mailto:inspecciones@bomberossabaneta.com;girlesa.ruiz@servipilas.com;joriescobar64@gmail.com" TargetMode="External"/><Relationship Id="rId21" Type="http://schemas.openxmlformats.org/officeDocument/2006/relationships/hyperlink" Target="mailto:wruiz@tsqsa.com;girlesa.ruiz@servipilas.com;joriescobar64@gmail.com" TargetMode="External"/><Relationship Id="rId34" Type="http://schemas.openxmlformats.org/officeDocument/2006/relationships/hyperlink" Target="mailto:margaritadavid@hotmail.es;girlesa.ruiz@servipilas.com;joriescobar64@gmail.com;MERCADEO@servipilas.com" TargetMode="External"/><Relationship Id="rId42" Type="http://schemas.openxmlformats.org/officeDocument/2006/relationships/hyperlink" Target="mailto:santiago30m@hotmail.com;girlesa.ruiz@servipilas.com;joriescobar64@gmail.com" TargetMode="External"/><Relationship Id="rId47" Type="http://schemas.openxmlformats.org/officeDocument/2006/relationships/hyperlink" Target="mailto:jessica.barrios@carpainternacional.com;girlesa.ruiz@servipilas.com;joriescobar64@gmail.com" TargetMode="External"/><Relationship Id="rId50" Type="http://schemas.openxmlformats.org/officeDocument/2006/relationships/hyperlink" Target="mailto:qyqomaira0321@hotmail.com;girlesa.ruiz@servipilas.com;joriescobar64@gmail.com" TargetMode="External"/><Relationship Id="rId55" Type="http://schemas.openxmlformats.org/officeDocument/2006/relationships/hyperlink" Target="mailto:qyqcolbatteries@gmail.com;girlesa.ruiz@servipilas.com;joriescobar64@gmail.com" TargetMode="External"/><Relationship Id="rId63" Type="http://schemas.openxmlformats.org/officeDocument/2006/relationships/hyperlink" Target="mailto:olga.acevedo@logimexsas.com;girlesa.ruiz@servipilas.com;joriescobar64@gmail.com;facturacion@servipilas.com" TargetMode="External"/><Relationship Id="rId68" Type="http://schemas.openxmlformats.org/officeDocument/2006/relationships/hyperlink" Target="mailto:angela.navas@hyrdistribuciones.com;girlesa.ruiz@servipilas.com;joriescobar64@gmail.com" TargetMode="External"/><Relationship Id="rId76" Type="http://schemas.openxmlformats.org/officeDocument/2006/relationships/hyperlink" Target="mailto:libardopineda@tronex.com;girlesa.ruiz@servipilas.com;joriescobar64@gmail.com" TargetMode="External"/><Relationship Id="rId7" Type="http://schemas.openxmlformats.org/officeDocument/2006/relationships/hyperlink" Target="mailto:jmacias@nanicastation.com.co;facturas@nanicastation.com.co;girlesa.ruiz@servipilas.com;joriescobar64@gmail.com" TargetMode="External"/><Relationship Id="rId71" Type="http://schemas.openxmlformats.org/officeDocument/2006/relationships/hyperlink" Target="mailto:admon@surtiexpress.com.co.com;girlesa.ruiz@servipilas.com;joriescobar64@gmail.com" TargetMode="External"/><Relationship Id="rId2" Type="http://schemas.openxmlformats.org/officeDocument/2006/relationships/hyperlink" Target="mailto:howardlondono@impocarga.com;oswaldo.alvarez@logimexsas.com;girlesa.ruiz@servipilas.com;joriescobar64@gmail.com" TargetMode="External"/><Relationship Id="rId16" Type="http://schemas.openxmlformats.org/officeDocument/2006/relationships/hyperlink" Target="mailto:avelinacomer@gmail.com;girlesa.ruiz@servipilas.com;joriescobar64@gmail.com" TargetMode="External"/><Relationship Id="rId29" Type="http://schemas.openxmlformats.org/officeDocument/2006/relationships/hyperlink" Target="mailto:lygonzalez@gmail.com;girlesa.ruiz@servipilas.com;joriescobar64@gmail.com" TargetMode="External"/><Relationship Id="rId11" Type="http://schemas.openxmlformats.org/officeDocument/2006/relationships/hyperlink" Target="mailto:alexenriquez73.ae@gmail.com;girlesa.ruiz@servipilas.com;joriescobar64@gmail.com;info@servipilas.com" TargetMode="External"/><Relationship Id="rId24" Type="http://schemas.openxmlformats.org/officeDocument/2006/relationships/hyperlink" Target="mailto:Facturas@kinnesis.com;girlesa.ruiz@servipilas.com;joriescobar64@gmail.com" TargetMode="External"/><Relationship Id="rId32" Type="http://schemas.openxmlformats.org/officeDocument/2006/relationships/hyperlink" Target="mailto:cartera@ienewline.com;andres.arroyave@ienewline.com;girlesa.ruiz@servipilas.com;joriescobar64@gmail.com" TargetMode="External"/><Relationship Id="rId37" Type="http://schemas.openxmlformats.org/officeDocument/2006/relationships/hyperlink" Target="mailto:logistic@grupozambrano.com;info@servipilas.com;girlesa.ruiz@servipilas.com;joriescobar64@gmail.com" TargetMode="External"/><Relationship Id="rId40" Type="http://schemas.openxmlformats.org/officeDocument/2006/relationships/hyperlink" Target="mailto:liauribe@une.net.co;girlesa.ruiz@servipilas.com;joriescobar64@gmail.com" TargetMode="External"/><Relationship Id="rId45" Type="http://schemas.openxmlformats.org/officeDocument/2006/relationships/hyperlink" Target="mailto:UNIFORMES@" TargetMode="External"/><Relationship Id="rId53" Type="http://schemas.openxmlformats.org/officeDocument/2006/relationships/hyperlink" Target="mailto:aristiduque0428@gmail.com;girlesa.ruiz@servipilas.com;joriescobar64@gmail.com" TargetMode="External"/><Relationship Id="rId58" Type="http://schemas.openxmlformats.org/officeDocument/2006/relationships/hyperlink" Target="mailto:icelectronicsmedellin@hotmail.com" TargetMode="External"/><Relationship Id="rId66" Type="http://schemas.openxmlformats.org/officeDocument/2006/relationships/hyperlink" Target="mailto:clopez@santajuana.com.co;girlesa.ruiz@servipilas.com;joriescobar64@gmail.com" TargetMode="External"/><Relationship Id="rId74" Type="http://schemas.openxmlformats.org/officeDocument/2006/relationships/hyperlink" Target="mailto:globalpowerc2018@gmail.com;girlesa.ruiz@servipilas.com;joriescobar64@gmail.com" TargetMode="External"/><Relationship Id="rId79" Type="http://schemas.openxmlformats.org/officeDocument/2006/relationships/hyperlink" Target="mailto:soluenergiacentro@une.net.co;girlesa.ruiz@servipilas.com;joriescobar64@gmail.com" TargetMode="External"/><Relationship Id="rId5" Type="http://schemas.openxmlformats.org/officeDocument/2006/relationships/hyperlink" Target="mailto:lpena@tbplusenergy.com;girlesa.ruiz@servipilas.com;joriescobar64@gmail.com" TargetMode="External"/><Relationship Id="rId61" Type="http://schemas.openxmlformats.org/officeDocument/2006/relationships/hyperlink" Target="mailto:tecnopartes@ctof.co;girlesa.ruiz@servipilas.com;joriescobar64@gmail.com" TargetMode="External"/><Relationship Id="rId82" Type="http://schemas.openxmlformats.org/officeDocument/2006/relationships/printerSettings" Target="../printerSettings/printerSettings3.bin"/><Relationship Id="rId10" Type="http://schemas.openxmlformats.org/officeDocument/2006/relationships/hyperlink" Target="mailto:jessica.barrios@carpainternacional;girlesa.ruiz@servipilas.com;joriescobar64@gmail.com" TargetMode="External"/><Relationship Id="rId19" Type="http://schemas.openxmlformats.org/officeDocument/2006/relationships/hyperlink" Target="mailto:gerencia@som-tec.com;girlesa.ruiz@servipilas.com;joriescobar64@gmail.com" TargetMode="External"/><Relationship Id="rId31" Type="http://schemas.openxmlformats.org/officeDocument/2006/relationships/hyperlink" Target="mailto:corporacion.trovemos@gmail.com;girlesa.ruiz@servipilas.com;joriescobar64@gmail.com" TargetMode="External"/><Relationship Id="rId44" Type="http://schemas.openxmlformats.org/officeDocument/2006/relationships/hyperlink" Target="mailto:arrendamientos@vyp.com.co;girlesa.ruiz@servipilas.com;joriescobar64@gmail.com" TargetMode="External"/><Relationship Id="rId52" Type="http://schemas.openxmlformats.org/officeDocument/2006/relationships/hyperlink" Target="mailto:operaciones@ilux.com.co;girlesa.ruiz@servipilas.com;joriescobar64@gmail.com" TargetMode="External"/><Relationship Id="rId60" Type="http://schemas.openxmlformats.org/officeDocument/2006/relationships/hyperlink" Target="mailto:yvelasquez@nanicastation.com.co;facturas@nanicastation.com.co;girlesa.ruiz@servipilas.com;joriescobar64@gmail.com" TargetMode="External"/><Relationship Id="rId65" Type="http://schemas.openxmlformats.org/officeDocument/2006/relationships/hyperlink" Target="mailto:olga.acevedo@logimexsas.com;girlesa.ruiz@servipilas.com;joriescobar64@gmail.com;facturacion@servipilas.com" TargetMode="External"/><Relationship Id="rId73" Type="http://schemas.openxmlformats.org/officeDocument/2006/relationships/hyperlink" Target="mailto:soluenergiacentro@une.net.co;girlesa.ruiz@servipilas.com;joriescobar64@gmail.com" TargetMode="External"/><Relationship Id="rId78" Type="http://schemas.openxmlformats.org/officeDocument/2006/relationships/hyperlink" Target="mailto:olga.acevedo@logimexsas.com;girlesa.ruiz@servipilas.com;joriescobar64@gmail.com;facturacion@servipilas.com" TargetMode="External"/><Relationship Id="rId81" Type="http://schemas.openxmlformats.org/officeDocument/2006/relationships/hyperlink" Target="mailto:juancarlos.mojocoa@gmail.com;girlesa.ruiz@servipilas.com;joriescobar64@gmail.com" TargetMode="External"/><Relationship Id="rId4" Type="http://schemas.openxmlformats.org/officeDocument/2006/relationships/hyperlink" Target="mailto:jessica.barrios@carpainternacional;girlesa.ruiz@servipilas.com;joriescobar64@gmail.com" TargetMode="External"/><Relationship Id="rId9" Type="http://schemas.openxmlformats.org/officeDocument/2006/relationships/hyperlink" Target="mailto:contabilidad@comsistel.com.co;girlesa.ruiz@servipilas.com;joriescobar64@gmail.com" TargetMode="External"/><Relationship Id="rId14" Type="http://schemas.openxmlformats.org/officeDocument/2006/relationships/hyperlink" Target="mailto:criszapata1234@gmail.com;girlesa.ruiz@servipilas.com;joriescobar64@gmail.com" TargetMode="External"/><Relationship Id="rId22" Type="http://schemas.openxmlformats.org/officeDocument/2006/relationships/hyperlink" Target="mailto:cartera@makingbusiness.com.co;tesoreria@makingbusiness.com.co;girlesa.ruiz@servipilas.com;joriescobar64@gmail.com" TargetMode="External"/><Relationship Id="rId27" Type="http://schemas.openxmlformats.org/officeDocument/2006/relationships/hyperlink" Target="mailto:yermingg@hotmail.com;rubizulu@hotmail.com;girlesa.ruiz@servipilas.com;joriescobar64@gmail.com" TargetMode="External"/><Relationship Id="rId30" Type="http://schemas.openxmlformats.org/officeDocument/2006/relationships/hyperlink" Target="mailto:LMGS789@HOTMAIL.COM;girlesa.ruiz@servipilas.com;joriescobar64@gmail.com" TargetMode="External"/><Relationship Id="rId35" Type="http://schemas.openxmlformats.org/officeDocument/2006/relationships/hyperlink" Target="mailto:santiago.botero@apcmayorista.com;girlesa.ruiz@servipilas.com;joriescobar64@gmail.com" TargetMode="External"/><Relationship Id="rId43" Type="http://schemas.openxmlformats.org/officeDocument/2006/relationships/hyperlink" Target="mailto:inspecciones@bomberossabaneta.com;girlesa.ruiz@servipilas.com;joriescobar64@gmail.com" TargetMode="External"/><Relationship Id="rId48" Type="http://schemas.openxmlformats.org/officeDocument/2006/relationships/hyperlink" Target="mailto:stabarbaradistronik@gmail.com;girlesa.ruiz@servipilas.com;joriescobar64@gmail.com" TargetMode="External"/><Relationship Id="rId56" Type="http://schemas.openxmlformats.org/officeDocument/2006/relationships/hyperlink" Target="mailto:g_tech_group@outlook.es" TargetMode="External"/><Relationship Id="rId64" Type="http://schemas.openxmlformats.org/officeDocument/2006/relationships/hyperlink" Target="mailto:olga.acevedo@logimexsas.com;girlesa.ruiz@servipilas.com;joriescobar64@gmail.com;facturacion@servipilas.com" TargetMode="External"/><Relationship Id="rId69" Type="http://schemas.openxmlformats.org/officeDocument/2006/relationships/hyperlink" Target="mailto:ruben.montoya@serven.com.co;girlesa.ruiz@servipilas.com;joriescobar64@gmail.com" TargetMode="External"/><Relationship Id="rId77" Type="http://schemas.openxmlformats.org/officeDocument/2006/relationships/hyperlink" Target="mailto:recepcion.medellin@girag.com;girlesa.ruiz@servipilas.com;joriescobar64@gmail.com" TargetMode="External"/><Relationship Id="rId8" Type="http://schemas.openxmlformats.org/officeDocument/2006/relationships/hyperlink" Target="mailto:jessica.barrios@carpainternacional.com;girlesa.ruiz@servipilas.com;joriescobar64@gmail.com" TargetMode="External"/><Relationship Id="rId51" Type="http://schemas.openxmlformats.org/officeDocument/2006/relationships/hyperlink" Target="mailto:Facturas@kinnesis.com;girlesa.ruiz@servipilas.com;joriescobar64@gmail.com" TargetMode="External"/><Relationship Id="rId72" Type="http://schemas.openxmlformats.org/officeDocument/2006/relationships/hyperlink" Target="mailto:asistente@remarcalimitada.com;girlesa.ruiz@servipilas.com;joriescobar64@gmail.com" TargetMode="External"/><Relationship Id="rId80" Type="http://schemas.openxmlformats.org/officeDocument/2006/relationships/hyperlink" Target="mailto:javiergomez_72@hotmail.com%20;girlesa.ruiz@servipilas.com;joriescobar64@gmail.com" TargetMode="External"/><Relationship Id="rId3" Type="http://schemas.openxmlformats.org/officeDocument/2006/relationships/hyperlink" Target="mailto:vcortes@power-sonic.com;alexander.baur@power-sonic.com;jirias@power-sonic.com;girlesa.ruiz@servipilas.com;joriescobar64@gmail.com;info@servipilas.com" TargetMode="External"/><Relationship Id="rId12" Type="http://schemas.openxmlformats.org/officeDocument/2006/relationships/hyperlink" Target="mailto:jarlysas@gmail.com;o.clockinternational@gmail.com;girlesa.ruiz@servipilas.com;joriescobar64@gmail.com" TargetMode="External"/><Relationship Id="rId17" Type="http://schemas.openxmlformats.org/officeDocument/2006/relationships/hyperlink" Target="mailto:sandra.ospina@powest.com;girlesa.ruiz@servipilas.com;joriescobar64@gmail.com" TargetMode="External"/><Relationship Id="rId25" Type="http://schemas.openxmlformats.org/officeDocument/2006/relationships/hyperlink" Target="mailto:contabilidad@sandiego.com.co;girlesa.ruiz@servipilas.com;joriescobar64@gmail.com" TargetMode="External"/><Relationship Id="rId33" Type="http://schemas.openxmlformats.org/officeDocument/2006/relationships/hyperlink" Target="mailto:syman07@hotmail.com;girlesa.ruiz@servipilas.com;joriescobar64@gmail.com" TargetMode="External"/><Relationship Id="rId38" Type="http://schemas.openxmlformats.org/officeDocument/2006/relationships/hyperlink" Target="mailto:mdedcnvi@bateriasduncan.com.co;girlesa.ruiz@servipilas.com;joriescobar64@gmail.com" TargetMode="External"/><Relationship Id="rId46" Type="http://schemas.openxmlformats.org/officeDocument/2006/relationships/hyperlink" Target="mailto:distribuidoravamossas@gmail.com;girlesa.ruiz@servipilas.com;joriescobar64@gmail.com" TargetMode="External"/><Relationship Id="rId59" Type="http://schemas.openxmlformats.org/officeDocument/2006/relationships/hyperlink" Target="mailto:facturacion@lacentral.com.co;girlesa.ruiz@servipilas.com;joriescobar64@gmail.com" TargetMode="External"/><Relationship Id="rId67" Type="http://schemas.openxmlformats.org/officeDocument/2006/relationships/hyperlink" Target="mailto:clopez@santajuana.com.co;girlesa.ruiz@servipilas.com;joriescobar64@gmail.com" TargetMode="External"/><Relationship Id="rId20" Type="http://schemas.openxmlformats.org/officeDocument/2006/relationships/hyperlink" Target="mailto:carlos.bohorquez@copapel.com;girlesa.ruiz@servipilas.com;joriescobar64@gmail.com" TargetMode="External"/><Relationship Id="rId41" Type="http://schemas.openxmlformats.org/officeDocument/2006/relationships/hyperlink" Target="mailto:yermingg@hotmail.com;girlesa.ruiz@servipilas.com;joriescobar64@gmail.com" TargetMode="External"/><Relationship Id="rId54" Type="http://schemas.openxmlformats.org/officeDocument/2006/relationships/hyperlink" Target="mailto:oag15@hotmail.com;girlesa.ruiz@servipilas.com;joriescobar64@gmail.com" TargetMode="External"/><Relationship Id="rId62" Type="http://schemas.openxmlformats.org/officeDocument/2006/relationships/hyperlink" Target="mailto:memoriasoriginales@gmail.com;girlesa.ruiz@servipilas.com;joriescobar64@gmail.com" TargetMode="External"/><Relationship Id="rId70" Type="http://schemas.openxmlformats.org/officeDocument/2006/relationships/hyperlink" Target="mailto:ventasmegamundo@yahoo.es;girlesa.ruiz@servipilas.com;joriescobar64@gmail.com" TargetMode="External"/><Relationship Id="rId75" Type="http://schemas.openxmlformats.org/officeDocument/2006/relationships/hyperlink" Target="mailto:yermingg@hotmail.com;girlesa.ruiz@servipilas.com;joriescobar64@gmail.com" TargetMode="External"/><Relationship Id="rId83" Type="http://schemas.openxmlformats.org/officeDocument/2006/relationships/table" Target="../tables/table1.xml"/><Relationship Id="rId1" Type="http://schemas.openxmlformats.org/officeDocument/2006/relationships/hyperlink" Target="mailto:carloseuristika@hotmail.com;girlesa.ruiz@servipilas.com;joriescobar64@gmail.com" TargetMode="External"/><Relationship Id="rId6" Type="http://schemas.openxmlformats.org/officeDocument/2006/relationships/hyperlink" Target="mailto:jessica.barrios@carpainternacional;girlesa.ruiz@servipilas.com;joriescobar64@gmail.com" TargetMode="External"/><Relationship Id="rId15" Type="http://schemas.openxmlformats.org/officeDocument/2006/relationships/hyperlink" Target="mailto:avelinacomer@gmail.com;girlesa.ruiz@servipilas.com;joriescobar64@gmail.com" TargetMode="External"/><Relationship Id="rId23" Type="http://schemas.openxmlformats.org/officeDocument/2006/relationships/hyperlink" Target="mailto:cartera@makingbusiness.com.co;tesoreria@makingbusiness.com.co;girlesa.ruiz@servipilas.com;joriescobar64@gmail.com" TargetMode="External"/><Relationship Id="rId28" Type="http://schemas.openxmlformats.org/officeDocument/2006/relationships/hyperlink" Target="mailto:tesoreria@cidet.org.co;girlesa.ruiz@servipilas.com;joriescobar64@gmail.com" TargetMode="External"/><Relationship Id="rId36" Type="http://schemas.openxmlformats.org/officeDocument/2006/relationships/hyperlink" Target="mailto:santiago.botero@apcmayorista.com;girlesa.ruiz@servipilas.com;joriescobar64@gmail.com" TargetMode="External"/><Relationship Id="rId49" Type="http://schemas.openxmlformats.org/officeDocument/2006/relationships/hyperlink" Target="mailto:qyqomaira0321@hotmail.com;girlesa.ruiz@servipilas.com;joriescobar64@gmail.com" TargetMode="External"/><Relationship Id="rId57" Type="http://schemas.openxmlformats.org/officeDocument/2006/relationships/hyperlink" Target="mailto:comercializadorajls@hot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X@" TargetMode="Externa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BD6C3-5E23-41FC-BAFD-26AEEF3E0171}">
  <sheetPr codeName="Hoja7">
    <pageSetUpPr autoPageBreaks="0"/>
  </sheetPr>
  <dimension ref="G1:S49"/>
  <sheetViews>
    <sheetView workbookViewId="0"/>
  </sheetViews>
  <sheetFormatPr baseColWidth="10" defaultColWidth="0" defaultRowHeight="0" customHeight="1" zeroHeight="1" x14ac:dyDescent="0.25"/>
  <cols>
    <col min="1" max="17" width="11.42578125" customWidth="1"/>
    <col min="18" max="19" width="11.42578125" hidden="1" customWidth="1"/>
  </cols>
  <sheetData>
    <row r="1" spans="7:14" ht="12.75" customHeight="1" x14ac:dyDescent="0.25"/>
    <row r="2" spans="7:14" ht="12.75" customHeight="1" x14ac:dyDescent="0.25">
      <c r="N2" s="26"/>
    </row>
    <row r="3" spans="7:14" ht="12.75" customHeight="1" x14ac:dyDescent="0.25"/>
    <row r="4" spans="7:14" ht="15.75" thickBot="1" x14ac:dyDescent="0.3"/>
    <row r="5" spans="7:14" ht="19.5" thickBot="1" x14ac:dyDescent="0.35">
      <c r="G5" s="106" t="s">
        <v>417</v>
      </c>
      <c r="H5" s="107"/>
      <c r="I5" s="107"/>
    </row>
    <row r="6" spans="7:14" ht="15.75" thickBot="1" x14ac:dyDescent="0.3">
      <c r="G6" s="108" t="s">
        <v>1878</v>
      </c>
      <c r="H6" s="109"/>
      <c r="I6" s="109"/>
      <c r="J6" s="109"/>
      <c r="K6" s="109"/>
      <c r="L6" s="46"/>
    </row>
    <row r="7" spans="7:14" ht="15" x14ac:dyDescent="0.25"/>
    <row r="8" spans="7:14" ht="15" x14ac:dyDescent="0.25"/>
    <row r="9" spans="7:14" ht="15" x14ac:dyDescent="0.25"/>
    <row r="10" spans="7:14" ht="15" x14ac:dyDescent="0.25"/>
    <row r="11" spans="7:14" ht="15" x14ac:dyDescent="0.25"/>
    <row r="12" spans="7:14" ht="15" x14ac:dyDescent="0.25"/>
    <row r="13" spans="7:14" ht="15" x14ac:dyDescent="0.25"/>
    <row r="14" spans="7:14" ht="15" x14ac:dyDescent="0.25"/>
    <row r="15" spans="7:14" ht="15" x14ac:dyDescent="0.25"/>
    <row r="16" spans="7:14" ht="15" x14ac:dyDescent="0.25"/>
    <row r="17" spans="10:10" ht="15" x14ac:dyDescent="0.25"/>
    <row r="18" spans="10:10" ht="15" x14ac:dyDescent="0.25">
      <c r="J18" s="25"/>
    </row>
    <row r="19" spans="10:10" ht="15" x14ac:dyDescent="0.25"/>
    <row r="20" spans="10:10" ht="15" x14ac:dyDescent="0.25"/>
    <row r="21" spans="10:10" ht="15" x14ac:dyDescent="0.25"/>
    <row r="22" spans="10:10" ht="15" x14ac:dyDescent="0.25"/>
    <row r="23" spans="10:10" ht="15" x14ac:dyDescent="0.25"/>
    <row r="24" spans="10:10" ht="15" x14ac:dyDescent="0.25"/>
    <row r="25" spans="10:10" ht="15" x14ac:dyDescent="0.25"/>
    <row r="26" spans="10:10" ht="15" x14ac:dyDescent="0.25"/>
    <row r="27" spans="10:10" ht="15" x14ac:dyDescent="0.25"/>
    <row r="28" spans="10:10" ht="15" x14ac:dyDescent="0.25"/>
    <row r="29" spans="10:10" ht="15" x14ac:dyDescent="0.25"/>
    <row r="30" spans="10:10" ht="15" x14ac:dyDescent="0.25"/>
    <row r="31" spans="10:10" ht="15" x14ac:dyDescent="0.25"/>
    <row r="32" spans="10:10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hidden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</sheetData>
  <pageMargins left="0.7" right="0.7" top="0.75" bottom="0.75" header="0.3" footer="0.3"/>
  <pageSetup orientation="portrait" verticalDpi="14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92759-4FE5-44CE-808F-7C59E0669FB2}">
  <sheetPr>
    <pageSetUpPr fitToPage="1"/>
  </sheetPr>
  <dimension ref="A1:N18"/>
  <sheetViews>
    <sheetView workbookViewId="0">
      <selection activeCell="A17" sqref="A17"/>
    </sheetView>
  </sheetViews>
  <sheetFormatPr baseColWidth="10" defaultRowHeight="15" x14ac:dyDescent="0.25"/>
  <cols>
    <col min="1" max="1" width="11.42578125" customWidth="1"/>
    <col min="2" max="2" width="11.85546875" bestFit="1" customWidth="1"/>
    <col min="3" max="3" width="27.7109375" bestFit="1" customWidth="1"/>
    <col min="4" max="4" width="13.140625" bestFit="1" customWidth="1"/>
    <col min="5" max="5" width="23.5703125" bestFit="1" customWidth="1"/>
    <col min="6" max="6" width="17.7109375" hidden="1" customWidth="1"/>
    <col min="7" max="7" width="18.85546875" bestFit="1" customWidth="1"/>
    <col min="8" max="8" width="11.28515625" bestFit="1" customWidth="1"/>
    <col min="9" max="9" width="9.7109375" bestFit="1" customWidth="1"/>
    <col min="10" max="10" width="11.7109375" bestFit="1" customWidth="1"/>
    <col min="11" max="12" width="11.5703125" bestFit="1" customWidth="1"/>
    <col min="13" max="13" width="13.28515625" bestFit="1" customWidth="1"/>
    <col min="14" max="14" width="9" customWidth="1"/>
  </cols>
  <sheetData>
    <row r="1" spans="1:14" ht="47.25" x14ac:dyDescent="0.25">
      <c r="A1" s="145" t="s">
        <v>81</v>
      </c>
      <c r="B1" s="146" t="s">
        <v>6</v>
      </c>
      <c r="C1" s="146" t="s">
        <v>3</v>
      </c>
      <c r="D1" s="146" t="s">
        <v>1</v>
      </c>
      <c r="E1" s="146" t="s">
        <v>2</v>
      </c>
      <c r="F1" s="146" t="s">
        <v>1519</v>
      </c>
      <c r="G1" s="146" t="s">
        <v>1532</v>
      </c>
      <c r="H1" s="146" t="s">
        <v>71</v>
      </c>
      <c r="I1" s="197" t="s">
        <v>72</v>
      </c>
      <c r="J1" s="197" t="s">
        <v>1538</v>
      </c>
      <c r="K1" s="197" t="s">
        <v>1542</v>
      </c>
      <c r="L1" s="197" t="s">
        <v>1539</v>
      </c>
      <c r="M1" s="197" t="s">
        <v>73</v>
      </c>
      <c r="N1" s="73" t="s">
        <v>1402</v>
      </c>
    </row>
    <row r="2" spans="1:14" ht="15.75" x14ac:dyDescent="0.25">
      <c r="A2" s="142" t="s">
        <v>86</v>
      </c>
      <c r="B2" s="143">
        <v>45447</v>
      </c>
      <c r="C2" s="144" t="s">
        <v>390</v>
      </c>
      <c r="D2" s="143">
        <v>45447</v>
      </c>
      <c r="E2" s="83"/>
      <c r="F2" s="83" t="s">
        <v>1530</v>
      </c>
      <c r="G2" s="83" t="s">
        <v>1533</v>
      </c>
      <c r="H2" s="72">
        <v>633500</v>
      </c>
      <c r="I2" s="194">
        <v>0</v>
      </c>
      <c r="J2" s="194">
        <v>0</v>
      </c>
      <c r="K2" s="195">
        <v>0</v>
      </c>
      <c r="L2" s="194">
        <v>0</v>
      </c>
      <c r="M2" s="196">
        <v>633500</v>
      </c>
      <c r="N2" s="71">
        <v>633500</v>
      </c>
    </row>
    <row r="3" spans="1:14" ht="15.75" x14ac:dyDescent="0.25">
      <c r="A3" s="142"/>
      <c r="B3" s="143"/>
      <c r="C3" s="144"/>
      <c r="D3" s="143"/>
      <c r="E3" s="83"/>
      <c r="F3" s="83"/>
      <c r="G3" s="83"/>
      <c r="H3" s="72"/>
      <c r="I3" s="194"/>
      <c r="J3" s="194"/>
      <c r="K3" s="195"/>
      <c r="L3" s="219" t="s">
        <v>73</v>
      </c>
      <c r="M3" s="213">
        <v>633500</v>
      </c>
      <c r="N3" s="71">
        <v>633500</v>
      </c>
    </row>
    <row r="4" spans="1:14" ht="15.75" x14ac:dyDescent="0.25">
      <c r="A4" s="142"/>
      <c r="B4" s="143"/>
      <c r="C4" s="144"/>
      <c r="D4" s="143"/>
      <c r="E4" s="83"/>
      <c r="F4" s="83"/>
      <c r="G4" s="83"/>
      <c r="H4" s="72"/>
      <c r="I4" s="194"/>
      <c r="J4" s="194"/>
      <c r="K4" s="195"/>
      <c r="L4" s="194"/>
      <c r="M4" s="196"/>
      <c r="N4" s="71"/>
    </row>
    <row r="5" spans="1:14" ht="15.75" x14ac:dyDescent="0.25">
      <c r="A5" s="142"/>
      <c r="B5" s="143"/>
      <c r="C5" s="144"/>
      <c r="D5" s="143"/>
      <c r="E5" s="83"/>
      <c r="F5" s="83"/>
      <c r="G5" s="83"/>
      <c r="H5" s="72"/>
      <c r="I5" s="194"/>
      <c r="J5" s="194"/>
      <c r="K5" s="195"/>
      <c r="L5" s="194"/>
      <c r="M5" s="196"/>
      <c r="N5" s="71"/>
    </row>
    <row r="6" spans="1:14" ht="47.25" x14ac:dyDescent="0.25">
      <c r="A6" s="145" t="s">
        <v>81</v>
      </c>
      <c r="B6" s="146" t="s">
        <v>6</v>
      </c>
      <c r="C6" s="146" t="s">
        <v>3</v>
      </c>
      <c r="D6" s="146" t="s">
        <v>1</v>
      </c>
      <c r="E6" s="146" t="s">
        <v>2</v>
      </c>
      <c r="F6" s="146" t="s">
        <v>1519</v>
      </c>
      <c r="G6" s="146" t="s">
        <v>1532</v>
      </c>
      <c r="H6" s="146" t="s">
        <v>71</v>
      </c>
      <c r="I6" s="197" t="s">
        <v>72</v>
      </c>
      <c r="J6" s="197" t="s">
        <v>1538</v>
      </c>
      <c r="K6" s="197" t="s">
        <v>1542</v>
      </c>
      <c r="L6" s="197" t="s">
        <v>1539</v>
      </c>
      <c r="M6" s="197" t="s">
        <v>73</v>
      </c>
      <c r="N6" s="73" t="s">
        <v>1402</v>
      </c>
    </row>
    <row r="7" spans="1:14" ht="15.75" x14ac:dyDescent="0.25">
      <c r="A7" s="142" t="s">
        <v>1497</v>
      </c>
      <c r="B7" s="143">
        <v>45447</v>
      </c>
      <c r="C7" s="144" t="s">
        <v>1862</v>
      </c>
      <c r="D7" s="143">
        <v>45447</v>
      </c>
      <c r="E7" s="83" t="s">
        <v>1941</v>
      </c>
      <c r="F7" s="83" t="s">
        <v>504</v>
      </c>
      <c r="G7" s="83" t="s">
        <v>1534</v>
      </c>
      <c r="H7" s="72">
        <v>2748314</v>
      </c>
      <c r="I7" s="194">
        <v>0</v>
      </c>
      <c r="J7" s="194">
        <v>0</v>
      </c>
      <c r="K7" s="195">
        <v>0</v>
      </c>
      <c r="L7" s="194">
        <v>0</v>
      </c>
      <c r="M7" s="196">
        <v>2748314</v>
      </c>
      <c r="N7" s="71">
        <v>2748314</v>
      </c>
    </row>
    <row r="8" spans="1:14" ht="15.75" x14ac:dyDescent="0.25">
      <c r="A8" s="142"/>
      <c r="B8" s="143"/>
      <c r="C8" s="144"/>
      <c r="D8" s="143"/>
      <c r="E8" s="83"/>
      <c r="F8" s="83"/>
      <c r="G8" s="83"/>
      <c r="H8" s="72"/>
      <c r="I8" s="194"/>
      <c r="J8" s="194"/>
      <c r="K8" s="195"/>
      <c r="L8" s="219" t="s">
        <v>73</v>
      </c>
      <c r="M8" s="213">
        <v>2748314</v>
      </c>
      <c r="N8" s="71">
        <v>2748314</v>
      </c>
    </row>
    <row r="9" spans="1:14" ht="15.75" x14ac:dyDescent="0.25">
      <c r="A9" s="142"/>
      <c r="B9" s="143"/>
      <c r="C9" s="144"/>
      <c r="D9" s="143"/>
      <c r="E9" s="83"/>
      <c r="F9" s="83"/>
      <c r="G9" s="83"/>
      <c r="H9" s="72"/>
      <c r="I9" s="194"/>
      <c r="J9" s="194"/>
      <c r="K9" s="195"/>
      <c r="L9" s="194"/>
      <c r="M9" s="196"/>
      <c r="N9" s="71"/>
    </row>
    <row r="10" spans="1:14" ht="15.75" x14ac:dyDescent="0.25">
      <c r="A10" s="142"/>
      <c r="B10" s="143"/>
      <c r="C10" s="144"/>
      <c r="D10" s="143"/>
      <c r="E10" s="83"/>
      <c r="F10" s="83"/>
      <c r="G10" s="83"/>
      <c r="H10" s="72"/>
      <c r="I10" s="194"/>
      <c r="J10" s="194"/>
      <c r="K10" s="195"/>
      <c r="L10" s="194"/>
      <c r="M10" s="196"/>
      <c r="N10" s="71"/>
    </row>
    <row r="11" spans="1:14" ht="47.25" x14ac:dyDescent="0.25">
      <c r="A11" s="145" t="s">
        <v>81</v>
      </c>
      <c r="B11" s="146" t="s">
        <v>6</v>
      </c>
      <c r="C11" s="146" t="s">
        <v>3</v>
      </c>
      <c r="D11" s="146" t="s">
        <v>1</v>
      </c>
      <c r="E11" s="146" t="s">
        <v>2</v>
      </c>
      <c r="F11" s="146" t="s">
        <v>1519</v>
      </c>
      <c r="G11" s="146" t="s">
        <v>1532</v>
      </c>
      <c r="H11" s="146" t="s">
        <v>71</v>
      </c>
      <c r="I11" s="197" t="s">
        <v>72</v>
      </c>
      <c r="J11" s="197" t="s">
        <v>1538</v>
      </c>
      <c r="K11" s="197" t="s">
        <v>1542</v>
      </c>
      <c r="L11" s="197" t="s">
        <v>1539</v>
      </c>
      <c r="M11" s="197" t="s">
        <v>73</v>
      </c>
      <c r="N11" s="73" t="s">
        <v>1402</v>
      </c>
    </row>
    <row r="12" spans="1:14" ht="15.75" x14ac:dyDescent="0.25">
      <c r="A12" s="142" t="s">
        <v>1614</v>
      </c>
      <c r="B12" s="143">
        <v>45447</v>
      </c>
      <c r="C12" s="144" t="s">
        <v>1863</v>
      </c>
      <c r="D12" s="143">
        <v>45447</v>
      </c>
      <c r="E12" s="83" t="s">
        <v>1940</v>
      </c>
      <c r="F12" s="83" t="s">
        <v>1530</v>
      </c>
      <c r="G12" s="83" t="s">
        <v>1534</v>
      </c>
      <c r="H12" s="72">
        <v>2729691</v>
      </c>
      <c r="I12" s="194">
        <v>0</v>
      </c>
      <c r="J12" s="194">
        <v>0</v>
      </c>
      <c r="K12" s="195">
        <v>0</v>
      </c>
      <c r="L12" s="194">
        <v>0</v>
      </c>
      <c r="M12" s="196">
        <v>2729691</v>
      </c>
      <c r="N12" s="71">
        <v>2729691</v>
      </c>
    </row>
    <row r="13" spans="1:14" ht="15.75" x14ac:dyDescent="0.25">
      <c r="A13" s="142"/>
      <c r="B13" s="143"/>
      <c r="C13" s="144"/>
      <c r="D13" s="143"/>
      <c r="E13" s="83"/>
      <c r="F13" s="83"/>
      <c r="G13" s="83"/>
      <c r="H13" s="72"/>
      <c r="I13" s="194"/>
      <c r="J13" s="194"/>
      <c r="K13" s="195"/>
      <c r="L13" s="219" t="s">
        <v>73</v>
      </c>
      <c r="M13" s="213">
        <v>2729691</v>
      </c>
      <c r="N13" s="71">
        <v>2729691</v>
      </c>
    </row>
    <row r="14" spans="1:14" ht="15.75" x14ac:dyDescent="0.25">
      <c r="A14" s="142"/>
      <c r="B14" s="143"/>
      <c r="C14" s="144"/>
      <c r="D14" s="143"/>
      <c r="E14" s="83"/>
      <c r="F14" s="83"/>
      <c r="G14" s="83"/>
      <c r="H14" s="72"/>
      <c r="I14" s="194"/>
      <c r="J14" s="194"/>
      <c r="K14" s="195"/>
      <c r="L14" s="194"/>
      <c r="M14" s="196"/>
      <c r="N14" s="71"/>
    </row>
    <row r="15" spans="1:14" ht="15.75" x14ac:dyDescent="0.25">
      <c r="A15" s="142"/>
      <c r="B15" s="143"/>
      <c r="C15" s="144"/>
      <c r="D15" s="143"/>
      <c r="E15" s="83"/>
      <c r="F15" s="83"/>
      <c r="G15" s="83"/>
      <c r="H15" s="72"/>
      <c r="I15" s="194"/>
      <c r="J15" s="194"/>
      <c r="K15" s="195"/>
      <c r="L15" s="194"/>
      <c r="M15" s="196"/>
      <c r="N15" s="71"/>
    </row>
    <row r="16" spans="1:14" ht="47.25" x14ac:dyDescent="0.25">
      <c r="A16" s="145" t="s">
        <v>81</v>
      </c>
      <c r="B16" s="146" t="s">
        <v>6</v>
      </c>
      <c r="C16" s="146" t="s">
        <v>3</v>
      </c>
      <c r="D16" s="146" t="s">
        <v>1</v>
      </c>
      <c r="E16" s="146" t="s">
        <v>2</v>
      </c>
      <c r="F16" s="146" t="s">
        <v>1519</v>
      </c>
      <c r="G16" s="146" t="s">
        <v>1532</v>
      </c>
      <c r="H16" s="146" t="s">
        <v>71</v>
      </c>
      <c r="I16" s="197" t="s">
        <v>72</v>
      </c>
      <c r="J16" s="197" t="s">
        <v>1538</v>
      </c>
      <c r="K16" s="197" t="s">
        <v>1542</v>
      </c>
      <c r="L16" s="197" t="s">
        <v>1539</v>
      </c>
      <c r="M16" s="197" t="s">
        <v>73</v>
      </c>
      <c r="N16" s="73" t="s">
        <v>1402</v>
      </c>
    </row>
    <row r="17" spans="1:14" ht="15.75" x14ac:dyDescent="0.25">
      <c r="A17" s="142" t="s">
        <v>410</v>
      </c>
      <c r="B17" s="143">
        <v>45447</v>
      </c>
      <c r="C17" s="144" t="s">
        <v>11</v>
      </c>
      <c r="D17" s="143">
        <v>45394</v>
      </c>
      <c r="E17" s="83" t="s">
        <v>1736</v>
      </c>
      <c r="F17" s="83" t="s">
        <v>1530</v>
      </c>
      <c r="G17" s="83"/>
      <c r="H17" s="72">
        <v>3882360</v>
      </c>
      <c r="I17" s="194">
        <v>737648.4</v>
      </c>
      <c r="J17" s="194">
        <v>0</v>
      </c>
      <c r="K17" s="195">
        <v>2.5000000000000001E-2</v>
      </c>
      <c r="L17" s="194">
        <v>97059</v>
      </c>
      <c r="M17" s="196">
        <v>4522949.4000000004</v>
      </c>
      <c r="N17" s="71">
        <v>4522949</v>
      </c>
    </row>
    <row r="18" spans="1:14" ht="15.75" x14ac:dyDescent="0.25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214" t="s">
        <v>73</v>
      </c>
      <c r="M18" s="213">
        <v>4522949.4000000004</v>
      </c>
      <c r="N18" s="71">
        <v>4522949</v>
      </c>
    </row>
  </sheetData>
  <sortState xmlns:xlrd2="http://schemas.microsoft.com/office/spreadsheetml/2017/richdata2" ref="A2:M17">
    <sortCondition ref="G1"/>
    <sortCondition ref="C1"/>
    <sortCondition ref="E1"/>
  </sortState>
  <pageMargins left="0.7" right="0.7" top="0.75" bottom="0.75" header="0.3" footer="0.3"/>
  <pageSetup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0D0D9-3698-4ED1-860D-1FB619299F45}">
  <sheetPr codeName="Hoja4"/>
  <dimension ref="A1:B1"/>
  <sheetViews>
    <sheetView workbookViewId="0"/>
  </sheetViews>
  <sheetFormatPr baseColWidth="10" defaultColWidth="11.5703125" defaultRowHeight="15" x14ac:dyDescent="0.25"/>
  <cols>
    <col min="1" max="2" width="21.42578125" customWidth="1"/>
  </cols>
  <sheetData>
    <row r="1" spans="1:2" ht="26.25" x14ac:dyDescent="0.25">
      <c r="A1" s="1" t="s">
        <v>0</v>
      </c>
      <c r="B1" s="2">
        <f ca="1">TODAY()</f>
        <v>45447</v>
      </c>
    </row>
  </sheetData>
  <protectedRanges>
    <protectedRange sqref="B1" name="Rango1"/>
  </protectedRange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CADD-6A68-4762-9F6D-CC040449CF7B}">
  <sheetPr codeName="Hoja3">
    <tabColor theme="9" tint="0.39997558519241921"/>
  </sheetPr>
  <dimension ref="A1:O25"/>
  <sheetViews>
    <sheetView workbookViewId="0">
      <selection activeCell="G5" sqref="G5"/>
    </sheetView>
  </sheetViews>
  <sheetFormatPr baseColWidth="10" defaultColWidth="11.5703125" defaultRowHeight="15" x14ac:dyDescent="0.25"/>
  <cols>
    <col min="2" max="2" width="11.5703125" style="35"/>
    <col min="3" max="4" width="11.5703125" style="34" bestFit="1" customWidth="1"/>
    <col min="5" max="5" width="12.5703125" style="34" customWidth="1"/>
    <col min="6" max="15" width="12.5703125" customWidth="1"/>
  </cols>
  <sheetData>
    <row r="1" spans="1:15" s="41" customFormat="1" x14ac:dyDescent="0.25">
      <c r="A1" s="39" t="s">
        <v>345</v>
      </c>
      <c r="B1" s="40" t="s">
        <v>74</v>
      </c>
      <c r="C1" s="39">
        <v>2020</v>
      </c>
      <c r="D1" s="39">
        <v>2021</v>
      </c>
      <c r="E1" s="39">
        <v>2022</v>
      </c>
      <c r="F1" s="39">
        <v>2023</v>
      </c>
      <c r="G1" s="39">
        <v>2024</v>
      </c>
      <c r="H1" s="39">
        <v>2025</v>
      </c>
      <c r="I1" s="39">
        <v>2026</v>
      </c>
      <c r="J1" s="39">
        <v>2027</v>
      </c>
      <c r="K1" s="39">
        <v>2028</v>
      </c>
      <c r="L1" s="39">
        <v>2029</v>
      </c>
      <c r="M1" s="39">
        <v>2030</v>
      </c>
      <c r="N1" s="39">
        <v>2031</v>
      </c>
      <c r="O1" s="39">
        <v>2032</v>
      </c>
    </row>
    <row r="2" spans="1:15" x14ac:dyDescent="0.25">
      <c r="A2" s="37">
        <v>0</v>
      </c>
      <c r="B2" s="36">
        <v>0</v>
      </c>
      <c r="C2" s="38">
        <v>0</v>
      </c>
      <c r="D2" s="38">
        <v>0</v>
      </c>
      <c r="E2" s="38">
        <v>0</v>
      </c>
      <c r="F2" s="38">
        <v>0</v>
      </c>
      <c r="G2" s="38">
        <v>0</v>
      </c>
      <c r="H2" s="38"/>
      <c r="I2" s="38"/>
      <c r="J2" s="38"/>
      <c r="K2" s="38"/>
      <c r="L2" s="38"/>
      <c r="M2" s="38"/>
      <c r="N2" s="38"/>
      <c r="O2" s="38"/>
    </row>
    <row r="3" spans="1:15" x14ac:dyDescent="0.25">
      <c r="A3" s="37" t="s">
        <v>356</v>
      </c>
      <c r="B3" s="36">
        <v>0.01</v>
      </c>
      <c r="C3" s="38">
        <v>0</v>
      </c>
      <c r="D3" s="38">
        <v>0</v>
      </c>
      <c r="E3" s="38">
        <v>0</v>
      </c>
      <c r="F3" s="38">
        <v>0</v>
      </c>
      <c r="G3" s="38">
        <v>0</v>
      </c>
      <c r="H3" s="38"/>
      <c r="I3" s="38"/>
      <c r="J3" s="38"/>
      <c r="K3" s="38"/>
      <c r="L3" s="38"/>
      <c r="M3" s="38"/>
      <c r="N3" s="38"/>
      <c r="O3" s="38"/>
    </row>
    <row r="4" spans="1:15" x14ac:dyDescent="0.25">
      <c r="A4" s="37" t="s">
        <v>346</v>
      </c>
      <c r="B4" s="36">
        <v>0.01</v>
      </c>
      <c r="C4" s="38">
        <v>142000</v>
      </c>
      <c r="D4" s="38">
        <v>145000</v>
      </c>
      <c r="E4" s="38">
        <v>152000</v>
      </c>
      <c r="F4" s="38">
        <v>170000</v>
      </c>
      <c r="G4" s="38">
        <v>188000</v>
      </c>
      <c r="H4" s="38"/>
      <c r="I4" s="38"/>
      <c r="J4" s="38"/>
      <c r="K4" s="38"/>
      <c r="L4" s="38"/>
      <c r="M4" s="38"/>
      <c r="N4" s="38"/>
      <c r="O4" s="38"/>
    </row>
    <row r="5" spans="1:15" x14ac:dyDescent="0.25">
      <c r="A5" s="37" t="s">
        <v>347</v>
      </c>
      <c r="B5" s="36">
        <v>2.5000000000000001E-2</v>
      </c>
      <c r="C5" s="38">
        <v>961000</v>
      </c>
      <c r="D5" s="38">
        <v>980000</v>
      </c>
      <c r="E5" s="38">
        <v>1026000</v>
      </c>
      <c r="F5" s="38">
        <v>1145000</v>
      </c>
      <c r="G5" s="38">
        <v>1271000</v>
      </c>
      <c r="H5" s="38"/>
      <c r="I5" s="38"/>
      <c r="J5" s="38"/>
      <c r="K5" s="38"/>
      <c r="L5" s="38"/>
      <c r="M5" s="38"/>
      <c r="N5" s="38"/>
      <c r="O5" s="38"/>
    </row>
    <row r="6" spans="1:15" x14ac:dyDescent="0.25">
      <c r="A6" s="37" t="s">
        <v>348</v>
      </c>
      <c r="B6" s="36">
        <v>3.5000000000000003E-2</v>
      </c>
      <c r="C6" s="38">
        <v>0</v>
      </c>
      <c r="D6" s="38">
        <v>0</v>
      </c>
      <c r="E6" s="38">
        <v>0</v>
      </c>
      <c r="F6" s="38">
        <v>0</v>
      </c>
      <c r="G6" s="38">
        <v>0</v>
      </c>
      <c r="H6" s="38"/>
      <c r="I6" s="38"/>
      <c r="J6" s="38"/>
      <c r="K6" s="38"/>
      <c r="L6" s="38"/>
      <c r="M6" s="38"/>
      <c r="N6" s="38"/>
      <c r="O6" s="38"/>
    </row>
    <row r="7" spans="1:15" x14ac:dyDescent="0.25">
      <c r="A7" s="37" t="s">
        <v>349</v>
      </c>
      <c r="B7" s="36">
        <v>3.5000000000000003E-2</v>
      </c>
      <c r="C7" s="38">
        <v>961000</v>
      </c>
      <c r="D7" s="38">
        <v>980000</v>
      </c>
      <c r="E7" s="38">
        <v>1026000</v>
      </c>
      <c r="F7" s="38">
        <v>1145000</v>
      </c>
      <c r="G7" s="38">
        <v>1271000</v>
      </c>
      <c r="H7" s="38"/>
      <c r="I7" s="38"/>
      <c r="J7" s="38"/>
      <c r="K7" s="38"/>
      <c r="L7" s="38"/>
      <c r="M7" s="38"/>
      <c r="N7" s="38"/>
      <c r="O7" s="38"/>
    </row>
    <row r="8" spans="1:15" x14ac:dyDescent="0.25">
      <c r="A8" s="37" t="s">
        <v>350</v>
      </c>
      <c r="B8" s="36">
        <v>0.04</v>
      </c>
      <c r="C8" s="38">
        <v>0</v>
      </c>
      <c r="D8" s="38">
        <v>0</v>
      </c>
      <c r="E8" s="38">
        <v>0</v>
      </c>
      <c r="F8" s="38">
        <v>0</v>
      </c>
      <c r="G8" s="38">
        <v>0</v>
      </c>
      <c r="H8" s="38"/>
      <c r="I8" s="38"/>
      <c r="J8" s="38"/>
      <c r="K8" s="38"/>
      <c r="L8" s="38"/>
      <c r="M8" s="38"/>
      <c r="N8" s="38"/>
      <c r="O8" s="38"/>
    </row>
    <row r="9" spans="1:15" x14ac:dyDescent="0.25">
      <c r="A9" s="37" t="s">
        <v>443</v>
      </c>
      <c r="B9" s="36">
        <v>0.04</v>
      </c>
      <c r="C9" s="38">
        <v>0</v>
      </c>
      <c r="D9" s="38">
        <v>0</v>
      </c>
      <c r="E9" s="38">
        <v>150000</v>
      </c>
      <c r="F9" s="38">
        <v>170000</v>
      </c>
      <c r="G9" s="38">
        <v>188000</v>
      </c>
      <c r="H9" s="38"/>
      <c r="I9" s="38"/>
      <c r="J9" s="38"/>
      <c r="K9" s="38"/>
      <c r="L9" s="38"/>
      <c r="M9" s="38"/>
      <c r="N9" s="38"/>
      <c r="O9" s="38"/>
    </row>
    <row r="10" spans="1:15" x14ac:dyDescent="0.25">
      <c r="A10" s="37" t="s">
        <v>351</v>
      </c>
      <c r="B10" s="36">
        <v>0.11</v>
      </c>
      <c r="C10" s="38">
        <v>0</v>
      </c>
      <c r="D10" s="38">
        <v>0</v>
      </c>
      <c r="E10" s="38">
        <v>0</v>
      </c>
      <c r="F10" s="38">
        <v>0</v>
      </c>
      <c r="G10" s="38">
        <v>0</v>
      </c>
      <c r="H10" s="38"/>
      <c r="I10" s="38"/>
      <c r="J10" s="38"/>
      <c r="K10" s="38"/>
      <c r="L10" s="38"/>
      <c r="M10" s="38"/>
      <c r="N10" s="38"/>
      <c r="O10" s="38"/>
    </row>
    <row r="11" spans="1:15" x14ac:dyDescent="0.25">
      <c r="A11" s="37"/>
      <c r="B11" s="36"/>
      <c r="C11" s="38"/>
      <c r="D11" s="38"/>
      <c r="E11" s="38"/>
      <c r="F11" s="37"/>
      <c r="G11" s="38"/>
      <c r="H11" s="38"/>
      <c r="I11" s="38"/>
      <c r="J11" s="38"/>
      <c r="K11" s="38"/>
      <c r="L11" s="38"/>
      <c r="M11" s="38"/>
      <c r="N11" s="38"/>
      <c r="O11" s="38"/>
    </row>
    <row r="12" spans="1:15" x14ac:dyDescent="0.25">
      <c r="A12" s="37"/>
      <c r="B12" s="36"/>
      <c r="C12" s="38"/>
      <c r="D12" s="38"/>
      <c r="E12" s="38"/>
      <c r="F12" s="37"/>
      <c r="G12" s="38"/>
      <c r="H12" s="38"/>
      <c r="I12" s="38"/>
      <c r="J12" s="38"/>
      <c r="K12" s="38"/>
      <c r="L12" s="38"/>
      <c r="M12" s="38"/>
      <c r="N12" s="38"/>
      <c r="O12" s="38"/>
    </row>
    <row r="13" spans="1:15" x14ac:dyDescent="0.25">
      <c r="A13" s="37"/>
      <c r="B13" s="36"/>
      <c r="C13" s="38"/>
      <c r="D13" s="38"/>
      <c r="E13" s="38"/>
      <c r="F13" s="37"/>
      <c r="G13" s="38"/>
      <c r="H13" s="38"/>
      <c r="I13" s="38"/>
      <c r="J13" s="38"/>
      <c r="K13" s="38"/>
      <c r="L13" s="38"/>
      <c r="M13" s="38"/>
      <c r="N13" s="38"/>
      <c r="O13" s="38"/>
    </row>
    <row r="14" spans="1:15" x14ac:dyDescent="0.25">
      <c r="A14" s="37"/>
      <c r="B14" s="36"/>
      <c r="C14" s="38"/>
      <c r="D14" s="38"/>
      <c r="E14" s="38"/>
      <c r="F14" s="37"/>
      <c r="G14" s="38"/>
      <c r="H14" s="38"/>
      <c r="I14" s="38"/>
      <c r="J14" s="38"/>
      <c r="K14" s="38"/>
      <c r="L14" s="38"/>
      <c r="M14" s="38"/>
      <c r="N14" s="38"/>
      <c r="O14" s="38"/>
    </row>
    <row r="15" spans="1:15" x14ac:dyDescent="0.25">
      <c r="A15" s="37"/>
      <c r="B15" s="36"/>
      <c r="C15" s="38"/>
      <c r="D15" s="38"/>
      <c r="E15" s="38"/>
      <c r="F15" s="37"/>
      <c r="G15" s="38"/>
      <c r="H15" s="38"/>
      <c r="I15" s="38"/>
      <c r="J15" s="38"/>
      <c r="K15" s="38"/>
      <c r="L15" s="38"/>
      <c r="M15" s="38"/>
      <c r="N15" s="38"/>
      <c r="O15" s="38"/>
    </row>
    <row r="16" spans="1:15" x14ac:dyDescent="0.25">
      <c r="A16" s="37"/>
      <c r="B16" s="36"/>
      <c r="C16" s="38"/>
      <c r="D16" s="38"/>
      <c r="E16" s="38"/>
      <c r="F16" s="37"/>
      <c r="G16" s="38"/>
      <c r="H16" s="38"/>
      <c r="I16" s="38"/>
      <c r="J16" s="38"/>
      <c r="K16" s="38"/>
      <c r="L16" s="38"/>
      <c r="M16" s="38"/>
      <c r="N16" s="38"/>
      <c r="O16" s="38"/>
    </row>
    <row r="17" spans="1:15" x14ac:dyDescent="0.25">
      <c r="A17" s="37"/>
      <c r="B17" s="36"/>
      <c r="C17" s="38"/>
      <c r="D17" s="38"/>
      <c r="E17" s="38"/>
      <c r="F17" s="37"/>
      <c r="G17" s="38"/>
      <c r="H17" s="38"/>
      <c r="I17" s="38"/>
      <c r="J17" s="38"/>
      <c r="K17" s="38"/>
      <c r="L17" s="38"/>
      <c r="M17" s="38"/>
      <c r="N17" s="38"/>
      <c r="O17" s="38"/>
    </row>
    <row r="18" spans="1:15" x14ac:dyDescent="0.25">
      <c r="A18" s="37"/>
      <c r="B18" s="36"/>
      <c r="C18" s="38"/>
      <c r="D18" s="38"/>
      <c r="E18" s="38"/>
      <c r="F18" s="37"/>
      <c r="G18" s="38"/>
      <c r="H18" s="38"/>
      <c r="I18" s="38"/>
      <c r="J18" s="38"/>
      <c r="K18" s="38"/>
      <c r="L18" s="38"/>
      <c r="M18" s="38"/>
      <c r="N18" s="38"/>
      <c r="O18" s="38"/>
    </row>
    <row r="19" spans="1:15" x14ac:dyDescent="0.25">
      <c r="A19" s="37"/>
      <c r="B19" s="36"/>
      <c r="C19" s="38"/>
      <c r="D19" s="38"/>
      <c r="E19" s="38"/>
      <c r="F19" s="37"/>
      <c r="G19" s="38"/>
      <c r="H19" s="38"/>
      <c r="I19" s="38"/>
      <c r="J19" s="38"/>
      <c r="K19" s="38"/>
      <c r="L19" s="38"/>
      <c r="M19" s="38"/>
      <c r="N19" s="38"/>
      <c r="O19" s="38"/>
    </row>
    <row r="20" spans="1:15" x14ac:dyDescent="0.25">
      <c r="A20" s="37"/>
      <c r="B20" s="36"/>
      <c r="C20" s="38"/>
      <c r="D20" s="38"/>
      <c r="E20" s="38"/>
      <c r="F20" s="37"/>
      <c r="G20" s="38"/>
      <c r="H20" s="38"/>
      <c r="I20" s="38"/>
      <c r="J20" s="38"/>
      <c r="K20" s="38"/>
      <c r="L20" s="38"/>
      <c r="M20" s="38"/>
      <c r="N20" s="38"/>
      <c r="O20" s="38"/>
    </row>
    <row r="21" spans="1:15" x14ac:dyDescent="0.25">
      <c r="A21" s="37"/>
      <c r="B21" s="36"/>
      <c r="C21" s="38"/>
      <c r="D21" s="38"/>
      <c r="E21" s="38"/>
      <c r="F21" s="37"/>
      <c r="G21" s="38"/>
      <c r="H21" s="38"/>
      <c r="I21" s="38"/>
      <c r="J21" s="38"/>
      <c r="K21" s="38"/>
      <c r="L21" s="38"/>
      <c r="M21" s="38"/>
      <c r="N21" s="38"/>
      <c r="O21" s="38"/>
    </row>
    <row r="22" spans="1:15" x14ac:dyDescent="0.25">
      <c r="A22" s="37"/>
      <c r="B22" s="36"/>
      <c r="C22" s="38"/>
      <c r="D22" s="38"/>
      <c r="E22" s="38"/>
      <c r="F22" s="37"/>
      <c r="G22" s="38"/>
      <c r="H22" s="38"/>
      <c r="I22" s="38"/>
      <c r="J22" s="38"/>
      <c r="K22" s="38"/>
      <c r="L22" s="38"/>
      <c r="M22" s="38"/>
      <c r="N22" s="38"/>
      <c r="O22" s="38"/>
    </row>
    <row r="23" spans="1:15" x14ac:dyDescent="0.25">
      <c r="A23" s="37"/>
      <c r="B23" s="36"/>
      <c r="C23" s="38"/>
      <c r="D23" s="38"/>
      <c r="E23" s="38"/>
      <c r="F23" s="37"/>
      <c r="G23" s="38"/>
      <c r="H23" s="38"/>
      <c r="I23" s="38"/>
      <c r="J23" s="38"/>
      <c r="K23" s="38"/>
      <c r="L23" s="38"/>
      <c r="M23" s="38"/>
      <c r="N23" s="38"/>
      <c r="O23" s="38"/>
    </row>
    <row r="24" spans="1:15" x14ac:dyDescent="0.25">
      <c r="A24" s="37"/>
      <c r="B24" s="36"/>
      <c r="C24" s="38"/>
      <c r="D24" s="38"/>
      <c r="E24" s="38"/>
      <c r="F24" s="37"/>
      <c r="G24" s="38"/>
      <c r="H24" s="38"/>
      <c r="I24" s="38"/>
      <c r="J24" s="38"/>
      <c r="K24" s="38"/>
      <c r="L24" s="38"/>
      <c r="M24" s="38"/>
      <c r="N24" s="38"/>
      <c r="O24" s="38"/>
    </row>
    <row r="25" spans="1:15" x14ac:dyDescent="0.25">
      <c r="A25" s="37"/>
      <c r="B25" s="36"/>
      <c r="C25" s="38"/>
      <c r="D25" s="38"/>
      <c r="E25" s="38"/>
      <c r="F25" s="37"/>
      <c r="G25" s="38"/>
      <c r="H25" s="38"/>
      <c r="I25" s="38"/>
      <c r="J25" s="38"/>
      <c r="K25" s="38"/>
      <c r="L25" s="38"/>
      <c r="M25" s="38"/>
      <c r="N25" s="38"/>
      <c r="O25" s="3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56BA-D9EB-4E90-AF1E-28BABDF33B05}">
  <sheetPr codeName="Hoja5"/>
  <dimension ref="A1:N332"/>
  <sheetViews>
    <sheetView zoomScaleNormal="100" zoomScaleSheetLayoutView="100" workbookViewId="0">
      <pane ySplit="1" topLeftCell="A313" activePane="bottomLeft" state="frozen"/>
      <selection pane="bottomLeft" activeCell="A332" sqref="A332"/>
    </sheetView>
  </sheetViews>
  <sheetFormatPr baseColWidth="10" defaultColWidth="0" defaultRowHeight="21" customHeight="1" x14ac:dyDescent="0.25"/>
  <cols>
    <col min="1" max="1" width="58.85546875" style="20" bestFit="1" customWidth="1"/>
    <col min="2" max="2" width="12.42578125" style="20" customWidth="1"/>
    <col min="3" max="3" width="9.5703125" style="20" customWidth="1"/>
    <col min="4" max="4" width="11.42578125" style="117" customWidth="1"/>
    <col min="5" max="5" width="33.5703125" style="169" customWidth="1"/>
    <col min="6" max="6" width="27.5703125" style="20" customWidth="1"/>
    <col min="7" max="11" width="10.5703125" style="20" customWidth="1"/>
    <col min="12" max="12" width="7.7109375" style="42" customWidth="1"/>
    <col min="13" max="14" width="10.5703125" style="20" customWidth="1"/>
    <col min="15" max="16384" width="10.5703125" style="20" hidden="1"/>
  </cols>
  <sheetData>
    <row r="1" spans="1:12" s="167" customFormat="1" ht="45" x14ac:dyDescent="0.25">
      <c r="A1" s="166" t="s">
        <v>3</v>
      </c>
      <c r="B1" s="167" t="s">
        <v>80</v>
      </c>
      <c r="C1" s="167" t="s">
        <v>28</v>
      </c>
      <c r="D1" s="168" t="s">
        <v>345</v>
      </c>
      <c r="E1" s="169" t="s">
        <v>81</v>
      </c>
      <c r="F1" s="170" t="s">
        <v>83</v>
      </c>
      <c r="G1" s="167" t="s">
        <v>1617</v>
      </c>
      <c r="H1" s="167" t="s">
        <v>1618</v>
      </c>
      <c r="I1" s="167" t="s">
        <v>1619</v>
      </c>
      <c r="J1" s="167" t="s">
        <v>1620</v>
      </c>
      <c r="K1" s="167" t="s">
        <v>1621</v>
      </c>
      <c r="L1" s="170" t="s">
        <v>1625</v>
      </c>
    </row>
    <row r="2" spans="1:12" ht="21" customHeight="1" x14ac:dyDescent="0.25">
      <c r="A2" s="166" t="s">
        <v>13</v>
      </c>
      <c r="B2" s="42">
        <v>30</v>
      </c>
      <c r="C2" s="171">
        <v>0.19</v>
      </c>
      <c r="D2" s="117" t="s">
        <v>347</v>
      </c>
      <c r="E2" s="169" t="s">
        <v>139</v>
      </c>
      <c r="L2" s="42" t="s">
        <v>1623</v>
      </c>
    </row>
    <row r="3" spans="1:12" ht="21" customHeight="1" x14ac:dyDescent="0.25">
      <c r="A3" s="166" t="s">
        <v>980</v>
      </c>
      <c r="B3" s="42">
        <v>0</v>
      </c>
      <c r="C3" s="171">
        <v>0.19</v>
      </c>
      <c r="D3" s="117" t="s">
        <v>351</v>
      </c>
      <c r="E3" s="172"/>
      <c r="L3" s="42" t="s">
        <v>1623</v>
      </c>
    </row>
    <row r="4" spans="1:12" ht="21" customHeight="1" x14ac:dyDescent="0.25">
      <c r="A4" s="166" t="s">
        <v>11</v>
      </c>
      <c r="B4" s="42">
        <v>30</v>
      </c>
      <c r="C4" s="171">
        <v>0.19</v>
      </c>
      <c r="D4" s="117" t="s">
        <v>347</v>
      </c>
      <c r="E4" s="169" t="s">
        <v>410</v>
      </c>
      <c r="F4" s="20" t="s">
        <v>471</v>
      </c>
      <c r="L4" s="42" t="s">
        <v>1623</v>
      </c>
    </row>
    <row r="5" spans="1:12" ht="21" customHeight="1" x14ac:dyDescent="0.25">
      <c r="A5" s="166" t="s">
        <v>1911</v>
      </c>
      <c r="B5" s="42">
        <v>30</v>
      </c>
      <c r="C5" s="171">
        <v>0.19</v>
      </c>
      <c r="D5" s="117" t="s">
        <v>347</v>
      </c>
      <c r="E5" s="172"/>
      <c r="L5" s="42" t="s">
        <v>1623</v>
      </c>
    </row>
    <row r="6" spans="1:12" ht="21" customHeight="1" x14ac:dyDescent="0.25">
      <c r="A6" s="166" t="s">
        <v>391</v>
      </c>
      <c r="B6" s="42">
        <v>20</v>
      </c>
      <c r="C6" s="171">
        <v>0.19</v>
      </c>
      <c r="D6" s="117" t="s">
        <v>348</v>
      </c>
      <c r="E6" s="169" t="s">
        <v>161</v>
      </c>
      <c r="L6" s="42" t="s">
        <v>1623</v>
      </c>
    </row>
    <row r="7" spans="1:12" ht="21" customHeight="1" x14ac:dyDescent="0.25">
      <c r="A7" s="166" t="s">
        <v>482</v>
      </c>
      <c r="B7" s="42">
        <v>10</v>
      </c>
      <c r="C7" s="171">
        <v>0.19</v>
      </c>
      <c r="D7" s="117">
        <v>0</v>
      </c>
      <c r="E7" s="169" t="s">
        <v>483</v>
      </c>
      <c r="F7" s="20" t="s">
        <v>484</v>
      </c>
      <c r="L7" s="42" t="s">
        <v>1623</v>
      </c>
    </row>
    <row r="8" spans="1:12" ht="21" customHeight="1" x14ac:dyDescent="0.25">
      <c r="A8" s="166" t="s">
        <v>62</v>
      </c>
      <c r="B8" s="42">
        <v>30</v>
      </c>
      <c r="C8" s="171">
        <v>0.19</v>
      </c>
      <c r="D8" s="117" t="s">
        <v>347</v>
      </c>
      <c r="E8" s="169" t="s">
        <v>84</v>
      </c>
      <c r="L8" s="42" t="s">
        <v>1623</v>
      </c>
    </row>
    <row r="9" spans="1:12" ht="21" customHeight="1" x14ac:dyDescent="0.25">
      <c r="A9" s="166" t="s">
        <v>14</v>
      </c>
      <c r="B9" s="42">
        <v>30</v>
      </c>
      <c r="C9" s="171">
        <v>0.19</v>
      </c>
      <c r="D9" s="117" t="s">
        <v>347</v>
      </c>
      <c r="E9" s="169" t="s">
        <v>160</v>
      </c>
      <c r="L9" s="42" t="s">
        <v>1623</v>
      </c>
    </row>
    <row r="10" spans="1:12" ht="21" customHeight="1" x14ac:dyDescent="0.25">
      <c r="A10" s="166" t="s">
        <v>452</v>
      </c>
      <c r="B10" s="42">
        <v>30</v>
      </c>
      <c r="C10" s="171">
        <v>0.19</v>
      </c>
      <c r="D10" s="117" t="s">
        <v>347</v>
      </c>
      <c r="E10" s="169" t="s">
        <v>159</v>
      </c>
      <c r="L10" s="42" t="s">
        <v>1623</v>
      </c>
    </row>
    <row r="11" spans="1:12" ht="21" customHeight="1" x14ac:dyDescent="0.25">
      <c r="A11" s="166" t="s">
        <v>10</v>
      </c>
      <c r="B11" s="42">
        <v>45</v>
      </c>
      <c r="C11" s="171">
        <v>0.19</v>
      </c>
      <c r="D11" s="117" t="s">
        <v>347</v>
      </c>
      <c r="E11" s="169" t="s">
        <v>158</v>
      </c>
      <c r="F11" s="20" t="s">
        <v>470</v>
      </c>
      <c r="L11" s="42" t="s">
        <v>1623</v>
      </c>
    </row>
    <row r="12" spans="1:12" ht="21" customHeight="1" x14ac:dyDescent="0.25">
      <c r="A12" s="166" t="s">
        <v>23</v>
      </c>
      <c r="B12" s="42">
        <v>30</v>
      </c>
      <c r="C12" s="171">
        <v>0</v>
      </c>
      <c r="D12" s="117">
        <v>0</v>
      </c>
      <c r="E12" s="169" t="s">
        <v>84</v>
      </c>
      <c r="L12" s="42" t="s">
        <v>1623</v>
      </c>
    </row>
    <row r="13" spans="1:12" ht="21" customHeight="1" x14ac:dyDescent="0.25">
      <c r="A13" s="166" t="s">
        <v>390</v>
      </c>
      <c r="B13" s="42">
        <v>30</v>
      </c>
      <c r="C13" s="171">
        <v>0</v>
      </c>
      <c r="D13" s="117">
        <v>0</v>
      </c>
      <c r="E13" s="169" t="s">
        <v>86</v>
      </c>
      <c r="L13" s="42" t="s">
        <v>1624</v>
      </c>
    </row>
    <row r="14" spans="1:12" ht="21" customHeight="1" x14ac:dyDescent="0.25">
      <c r="A14" s="166" t="s">
        <v>389</v>
      </c>
      <c r="B14" s="42">
        <v>13</v>
      </c>
      <c r="C14" s="171">
        <v>0</v>
      </c>
      <c r="D14" s="117">
        <v>0</v>
      </c>
      <c r="L14" s="42" t="s">
        <v>1624</v>
      </c>
    </row>
    <row r="15" spans="1:12" ht="21" customHeight="1" x14ac:dyDescent="0.25">
      <c r="A15" s="166" t="s">
        <v>1861</v>
      </c>
      <c r="B15" s="42">
        <v>30</v>
      </c>
      <c r="C15" s="171">
        <v>0.19</v>
      </c>
      <c r="D15" s="117" t="s">
        <v>347</v>
      </c>
      <c r="E15" s="169" t="s">
        <v>84</v>
      </c>
      <c r="L15" s="42" t="s">
        <v>1623</v>
      </c>
    </row>
    <row r="16" spans="1:12" ht="21" customHeight="1" x14ac:dyDescent="0.25">
      <c r="A16" s="166" t="s">
        <v>27</v>
      </c>
      <c r="B16" s="42">
        <v>30</v>
      </c>
      <c r="C16" s="171">
        <v>0</v>
      </c>
      <c r="D16" s="117">
        <v>0</v>
      </c>
      <c r="E16" s="169" t="s">
        <v>84</v>
      </c>
      <c r="L16" s="42" t="s">
        <v>1623</v>
      </c>
    </row>
    <row r="17" spans="1:12" ht="21" customHeight="1" x14ac:dyDescent="0.25">
      <c r="A17" s="166" t="s">
        <v>498</v>
      </c>
      <c r="B17" s="42">
        <v>30</v>
      </c>
      <c r="C17" s="171">
        <v>0.19</v>
      </c>
      <c r="D17" s="117" t="s">
        <v>347</v>
      </c>
      <c r="E17" s="172"/>
      <c r="L17" s="42" t="s">
        <v>1624</v>
      </c>
    </row>
    <row r="18" spans="1:12" ht="21" customHeight="1" x14ac:dyDescent="0.25">
      <c r="A18" s="166" t="s">
        <v>402</v>
      </c>
      <c r="B18" s="42">
        <v>0</v>
      </c>
      <c r="C18" s="171">
        <v>0.19</v>
      </c>
      <c r="D18" s="117">
        <v>0</v>
      </c>
      <c r="L18" s="42" t="s">
        <v>1623</v>
      </c>
    </row>
    <row r="19" spans="1:12" ht="21" customHeight="1" x14ac:dyDescent="0.25">
      <c r="A19" s="166" t="s">
        <v>199</v>
      </c>
      <c r="B19" s="42">
        <v>30</v>
      </c>
      <c r="C19" s="171">
        <v>0.19</v>
      </c>
      <c r="D19" s="117" t="s">
        <v>347</v>
      </c>
      <c r="E19" s="169" t="s">
        <v>228</v>
      </c>
      <c r="L19" s="42" t="s">
        <v>1623</v>
      </c>
    </row>
    <row r="20" spans="1:12" ht="21" customHeight="1" x14ac:dyDescent="0.25">
      <c r="A20" s="166" t="s">
        <v>388</v>
      </c>
      <c r="B20" s="42">
        <v>30</v>
      </c>
      <c r="C20" s="171">
        <v>0.19</v>
      </c>
      <c r="D20" s="117">
        <v>0</v>
      </c>
      <c r="E20" s="169" t="s">
        <v>86</v>
      </c>
      <c r="L20" s="42" t="s">
        <v>1624</v>
      </c>
    </row>
    <row r="21" spans="1:12" ht="21" customHeight="1" x14ac:dyDescent="0.25">
      <c r="A21" s="173" t="s">
        <v>1594</v>
      </c>
      <c r="B21" s="42">
        <v>30</v>
      </c>
      <c r="C21" s="171">
        <v>0.19</v>
      </c>
      <c r="D21" s="117" t="s">
        <v>347</v>
      </c>
      <c r="E21" s="169" t="s">
        <v>1835</v>
      </c>
      <c r="L21" s="42" t="s">
        <v>1623</v>
      </c>
    </row>
    <row r="22" spans="1:12" ht="21" customHeight="1" x14ac:dyDescent="0.25">
      <c r="A22" s="166" t="s">
        <v>976</v>
      </c>
      <c r="B22" s="42">
        <v>0</v>
      </c>
      <c r="C22" s="171">
        <v>0.19</v>
      </c>
      <c r="D22" s="117" t="s">
        <v>347</v>
      </c>
      <c r="E22" s="172"/>
      <c r="L22" s="42" t="s">
        <v>1623</v>
      </c>
    </row>
    <row r="23" spans="1:12" ht="21" customHeight="1" x14ac:dyDescent="0.25">
      <c r="A23" s="166" t="s">
        <v>387</v>
      </c>
      <c r="B23" s="42">
        <v>30</v>
      </c>
      <c r="C23" s="171">
        <v>0</v>
      </c>
      <c r="D23" s="117">
        <v>0</v>
      </c>
      <c r="L23" s="42" t="s">
        <v>1624</v>
      </c>
    </row>
    <row r="24" spans="1:12" ht="21" customHeight="1" x14ac:dyDescent="0.25">
      <c r="A24" s="166" t="s">
        <v>202</v>
      </c>
      <c r="B24" s="42">
        <v>30</v>
      </c>
      <c r="C24" s="171">
        <v>0.19</v>
      </c>
      <c r="D24" s="117" t="s">
        <v>347</v>
      </c>
      <c r="E24" s="169" t="s">
        <v>200</v>
      </c>
      <c r="L24" s="42" t="s">
        <v>1623</v>
      </c>
    </row>
    <row r="25" spans="1:12" ht="21" customHeight="1" x14ac:dyDescent="0.25">
      <c r="A25" s="166" t="s">
        <v>9</v>
      </c>
      <c r="B25" s="42">
        <v>60</v>
      </c>
      <c r="C25" s="171">
        <v>0.19</v>
      </c>
      <c r="D25" s="117" t="s">
        <v>347</v>
      </c>
      <c r="E25" s="169" t="s">
        <v>157</v>
      </c>
      <c r="L25" s="42" t="s">
        <v>1623</v>
      </c>
    </row>
    <row r="26" spans="1:12" ht="21" customHeight="1" x14ac:dyDescent="0.25">
      <c r="A26" s="166" t="s">
        <v>15</v>
      </c>
      <c r="B26" s="42">
        <v>10</v>
      </c>
      <c r="C26" s="171">
        <v>0.19</v>
      </c>
      <c r="D26" s="117" t="s">
        <v>347</v>
      </c>
      <c r="E26" s="169" t="s">
        <v>84</v>
      </c>
      <c r="L26" s="42" t="s">
        <v>1624</v>
      </c>
    </row>
    <row r="27" spans="1:12" ht="21" customHeight="1" x14ac:dyDescent="0.25">
      <c r="A27" s="166" t="s">
        <v>79</v>
      </c>
      <c r="B27" s="42">
        <v>30</v>
      </c>
      <c r="C27" s="171">
        <v>0.19</v>
      </c>
      <c r="D27" s="117" t="s">
        <v>347</v>
      </c>
      <c r="E27" s="169" t="s">
        <v>84</v>
      </c>
      <c r="L27" s="42" t="s">
        <v>1623</v>
      </c>
    </row>
    <row r="28" spans="1:12" ht="21" customHeight="1" x14ac:dyDescent="0.25">
      <c r="A28" s="166" t="s">
        <v>29</v>
      </c>
      <c r="B28" s="42">
        <v>30</v>
      </c>
      <c r="C28" s="171">
        <v>0</v>
      </c>
      <c r="D28" s="117">
        <v>0</v>
      </c>
      <c r="E28" s="169" t="s">
        <v>155</v>
      </c>
      <c r="L28" s="42" t="s">
        <v>1623</v>
      </c>
    </row>
    <row r="29" spans="1:12" ht="21" customHeight="1" x14ac:dyDescent="0.25">
      <c r="A29" s="166" t="s">
        <v>100</v>
      </c>
      <c r="B29" s="42">
        <v>30</v>
      </c>
      <c r="C29" s="171">
        <v>0</v>
      </c>
      <c r="D29" s="117">
        <v>0</v>
      </c>
      <c r="E29" s="169" t="s">
        <v>101</v>
      </c>
      <c r="L29" s="42" t="s">
        <v>1624</v>
      </c>
    </row>
    <row r="30" spans="1:12" ht="21" customHeight="1" x14ac:dyDescent="0.25">
      <c r="A30" s="166" t="s">
        <v>165</v>
      </c>
      <c r="B30" s="42">
        <v>20</v>
      </c>
      <c r="C30" s="171">
        <v>0</v>
      </c>
      <c r="D30" s="117">
        <v>0</v>
      </c>
      <c r="E30" s="169" t="s">
        <v>167</v>
      </c>
      <c r="L30" s="42" t="s">
        <v>1624</v>
      </c>
    </row>
    <row r="31" spans="1:12" ht="21" customHeight="1" x14ac:dyDescent="0.25">
      <c r="A31" s="166" t="s">
        <v>433</v>
      </c>
      <c r="B31" s="42">
        <v>10</v>
      </c>
      <c r="C31" s="171">
        <v>0.19</v>
      </c>
      <c r="D31" s="117" t="s">
        <v>443</v>
      </c>
      <c r="E31" s="169" t="s">
        <v>432</v>
      </c>
      <c r="L31" s="42" t="s">
        <v>1624</v>
      </c>
    </row>
    <row r="32" spans="1:12" ht="21" customHeight="1" x14ac:dyDescent="0.25">
      <c r="A32" s="166" t="s">
        <v>386</v>
      </c>
      <c r="B32" s="42">
        <v>30</v>
      </c>
      <c r="C32" s="171">
        <v>0.19</v>
      </c>
      <c r="D32" s="117" t="s">
        <v>348</v>
      </c>
      <c r="L32" s="42" t="s">
        <v>1624</v>
      </c>
    </row>
    <row r="33" spans="1:12" ht="21" customHeight="1" x14ac:dyDescent="0.25">
      <c r="A33" s="166" t="s">
        <v>550</v>
      </c>
      <c r="B33" s="42">
        <v>30</v>
      </c>
      <c r="C33" s="171">
        <v>0.19</v>
      </c>
      <c r="D33" s="117" t="s">
        <v>347</v>
      </c>
      <c r="E33" s="172"/>
      <c r="L33" s="42" t="s">
        <v>1624</v>
      </c>
    </row>
    <row r="34" spans="1:12" ht="21" customHeight="1" x14ac:dyDescent="0.25">
      <c r="A34" s="173" t="s">
        <v>1560</v>
      </c>
      <c r="B34" s="42">
        <v>0</v>
      </c>
      <c r="C34" s="171">
        <v>0.19</v>
      </c>
      <c r="D34" s="117" t="s">
        <v>348</v>
      </c>
      <c r="E34" s="169" t="s">
        <v>1561</v>
      </c>
      <c r="L34" s="42" t="s">
        <v>1624</v>
      </c>
    </row>
    <row r="35" spans="1:12" ht="21" customHeight="1" x14ac:dyDescent="0.25">
      <c r="A35" s="166" t="s">
        <v>385</v>
      </c>
      <c r="B35" s="42">
        <v>30</v>
      </c>
      <c r="C35" s="171">
        <v>0</v>
      </c>
      <c r="D35" s="117" t="s">
        <v>348</v>
      </c>
      <c r="E35" s="169" t="s">
        <v>154</v>
      </c>
      <c r="L35" s="42" t="s">
        <v>1624</v>
      </c>
    </row>
    <row r="36" spans="1:12" ht="21" customHeight="1" x14ac:dyDescent="0.25">
      <c r="A36" s="166" t="s">
        <v>131</v>
      </c>
      <c r="B36" s="42">
        <v>30</v>
      </c>
      <c r="C36" s="171">
        <v>0.19</v>
      </c>
      <c r="D36" s="117" t="s">
        <v>347</v>
      </c>
      <c r="E36" s="169" t="s">
        <v>139</v>
      </c>
      <c r="F36" s="20" t="s">
        <v>136</v>
      </c>
      <c r="L36" s="42" t="s">
        <v>1623</v>
      </c>
    </row>
    <row r="37" spans="1:12" ht="21" customHeight="1" x14ac:dyDescent="0.25">
      <c r="A37" s="166" t="s">
        <v>384</v>
      </c>
      <c r="B37" s="42">
        <v>30</v>
      </c>
      <c r="C37" s="171">
        <v>0.19</v>
      </c>
      <c r="D37" s="117" t="s">
        <v>348</v>
      </c>
      <c r="E37" s="169" t="s">
        <v>153</v>
      </c>
      <c r="L37" s="42" t="s">
        <v>1623</v>
      </c>
    </row>
    <row r="38" spans="1:12" ht="21" customHeight="1" x14ac:dyDescent="0.25">
      <c r="A38" s="166" t="s">
        <v>463</v>
      </c>
      <c r="B38" s="42">
        <v>0</v>
      </c>
      <c r="C38" s="171">
        <v>0</v>
      </c>
      <c r="D38" s="117">
        <v>0</v>
      </c>
      <c r="E38" s="169" t="s">
        <v>465</v>
      </c>
      <c r="F38" s="20" t="s">
        <v>464</v>
      </c>
      <c r="L38" s="42" t="s">
        <v>1624</v>
      </c>
    </row>
    <row r="39" spans="1:12" ht="21" customHeight="1" x14ac:dyDescent="0.25">
      <c r="A39" s="166" t="s">
        <v>383</v>
      </c>
      <c r="B39" s="42">
        <v>30</v>
      </c>
      <c r="C39" s="171">
        <v>0.19</v>
      </c>
      <c r="D39" s="117" t="s">
        <v>348</v>
      </c>
      <c r="E39" s="169" t="s">
        <v>1540</v>
      </c>
      <c r="L39" s="42" t="s">
        <v>1624</v>
      </c>
    </row>
    <row r="40" spans="1:12" ht="21" customHeight="1" x14ac:dyDescent="0.25">
      <c r="A40" s="166" t="s">
        <v>1452</v>
      </c>
      <c r="B40" s="42">
        <v>10</v>
      </c>
      <c r="C40" s="171">
        <v>0.19</v>
      </c>
      <c r="D40" s="117" t="s">
        <v>348</v>
      </c>
      <c r="E40" s="169" t="s">
        <v>1540</v>
      </c>
      <c r="L40" s="42" t="s">
        <v>1623</v>
      </c>
    </row>
    <row r="41" spans="1:12" ht="21" customHeight="1" x14ac:dyDescent="0.25">
      <c r="A41" s="166" t="s">
        <v>226</v>
      </c>
      <c r="B41" s="42">
        <v>30</v>
      </c>
      <c r="C41" s="171">
        <v>0.19</v>
      </c>
      <c r="D41" s="117" t="s">
        <v>347</v>
      </c>
      <c r="E41" s="169" t="s">
        <v>277</v>
      </c>
      <c r="L41" s="42" t="s">
        <v>1623</v>
      </c>
    </row>
    <row r="42" spans="1:12" ht="21" customHeight="1" x14ac:dyDescent="0.25">
      <c r="A42" s="166" t="s">
        <v>382</v>
      </c>
      <c r="B42" s="42">
        <v>30</v>
      </c>
      <c r="C42" s="171">
        <v>0</v>
      </c>
      <c r="D42" s="117">
        <v>0</v>
      </c>
      <c r="E42" s="169" t="s">
        <v>414</v>
      </c>
      <c r="L42" s="42" t="s">
        <v>1623</v>
      </c>
    </row>
    <row r="43" spans="1:12" ht="21" customHeight="1" x14ac:dyDescent="0.25">
      <c r="A43" s="166" t="s">
        <v>710</v>
      </c>
      <c r="B43" s="42">
        <v>30</v>
      </c>
      <c r="C43" s="171">
        <v>0.19</v>
      </c>
      <c r="E43" s="169" t="s">
        <v>711</v>
      </c>
      <c r="G43" s="42" t="s">
        <v>1623</v>
      </c>
      <c r="H43" s="42"/>
      <c r="I43" s="42"/>
      <c r="L43" s="42" t="s">
        <v>1623</v>
      </c>
    </row>
    <row r="44" spans="1:12" ht="21" customHeight="1" x14ac:dyDescent="0.25">
      <c r="A44" s="166" t="s">
        <v>56</v>
      </c>
      <c r="B44" s="42">
        <v>30</v>
      </c>
      <c r="C44" s="171">
        <v>0.19</v>
      </c>
      <c r="D44" s="117" t="s">
        <v>349</v>
      </c>
      <c r="E44" s="169" t="s">
        <v>84</v>
      </c>
      <c r="L44" s="42" t="s">
        <v>1624</v>
      </c>
    </row>
    <row r="45" spans="1:12" ht="21" customHeight="1" x14ac:dyDescent="0.25">
      <c r="A45" s="166" t="s">
        <v>291</v>
      </c>
      <c r="B45" s="42">
        <v>30</v>
      </c>
      <c r="C45" s="171">
        <v>0.19</v>
      </c>
      <c r="D45" s="117" t="s">
        <v>347</v>
      </c>
      <c r="L45" s="42" t="s">
        <v>1623</v>
      </c>
    </row>
    <row r="46" spans="1:12" ht="21" customHeight="1" x14ac:dyDescent="0.25">
      <c r="A46" s="173" t="s">
        <v>1731</v>
      </c>
      <c r="B46" s="42">
        <v>0</v>
      </c>
      <c r="C46" s="171">
        <v>0.19</v>
      </c>
      <c r="D46" s="117" t="s">
        <v>443</v>
      </c>
      <c r="E46" s="172" t="s">
        <v>1732</v>
      </c>
    </row>
    <row r="47" spans="1:12" ht="21" customHeight="1" x14ac:dyDescent="0.25">
      <c r="A47" s="166" t="s">
        <v>440</v>
      </c>
      <c r="B47" s="42">
        <v>10</v>
      </c>
      <c r="C47" s="171">
        <v>0.19</v>
      </c>
      <c r="D47" s="117" t="s">
        <v>350</v>
      </c>
      <c r="E47" s="169" t="s">
        <v>439</v>
      </c>
      <c r="L47" s="42" t="s">
        <v>1624</v>
      </c>
    </row>
    <row r="48" spans="1:12" ht="21" customHeight="1" x14ac:dyDescent="0.25">
      <c r="A48" s="166" t="s">
        <v>381</v>
      </c>
      <c r="B48" s="42">
        <v>30</v>
      </c>
      <c r="C48" s="171">
        <v>0.19</v>
      </c>
      <c r="D48" s="117" t="s">
        <v>351</v>
      </c>
      <c r="E48" s="176" t="s">
        <v>179</v>
      </c>
      <c r="L48" s="42" t="s">
        <v>1623</v>
      </c>
    </row>
    <row r="49" spans="1:12" ht="21" customHeight="1" x14ac:dyDescent="0.25">
      <c r="A49" s="166" t="s">
        <v>16</v>
      </c>
      <c r="B49" s="42">
        <v>30</v>
      </c>
      <c r="C49" s="171">
        <v>0.19</v>
      </c>
      <c r="D49" s="117" t="s">
        <v>347</v>
      </c>
      <c r="E49" s="169" t="s">
        <v>152</v>
      </c>
      <c r="L49" s="42" t="s">
        <v>1623</v>
      </c>
    </row>
    <row r="50" spans="1:12" ht="21" customHeight="1" x14ac:dyDescent="0.25">
      <c r="A50" s="166" t="s">
        <v>1186</v>
      </c>
      <c r="B50" s="42">
        <v>30</v>
      </c>
      <c r="C50" s="171">
        <v>0.19</v>
      </c>
      <c r="D50" s="117" t="s">
        <v>347</v>
      </c>
      <c r="E50" s="169" t="s">
        <v>1185</v>
      </c>
      <c r="L50" s="42" t="s">
        <v>1623</v>
      </c>
    </row>
    <row r="51" spans="1:12" ht="21" customHeight="1" x14ac:dyDescent="0.25">
      <c r="A51" s="166" t="s">
        <v>1592</v>
      </c>
      <c r="B51" s="42">
        <v>30</v>
      </c>
      <c r="C51" s="171">
        <v>0.19</v>
      </c>
      <c r="D51" s="117" t="s">
        <v>347</v>
      </c>
      <c r="E51" s="169" t="s">
        <v>169</v>
      </c>
      <c r="L51" s="42" t="s">
        <v>1623</v>
      </c>
    </row>
    <row r="52" spans="1:12" ht="21" customHeight="1" x14ac:dyDescent="0.25">
      <c r="A52" s="166" t="s">
        <v>456</v>
      </c>
      <c r="B52" s="42">
        <v>0</v>
      </c>
      <c r="C52" s="171">
        <v>0</v>
      </c>
      <c r="D52" s="117">
        <v>0</v>
      </c>
      <c r="E52" s="172"/>
      <c r="F52" s="20" t="s">
        <v>457</v>
      </c>
      <c r="L52" s="42" t="s">
        <v>1624</v>
      </c>
    </row>
    <row r="53" spans="1:12" ht="21" customHeight="1" x14ac:dyDescent="0.25">
      <c r="A53" s="166" t="s">
        <v>194</v>
      </c>
      <c r="B53" s="42">
        <v>30</v>
      </c>
      <c r="C53" s="171">
        <v>0.19</v>
      </c>
      <c r="D53" s="117">
        <v>0</v>
      </c>
      <c r="E53" s="169" t="s">
        <v>217</v>
      </c>
      <c r="L53" s="42" t="s">
        <v>1623</v>
      </c>
    </row>
    <row r="54" spans="1:12" ht="21" customHeight="1" x14ac:dyDescent="0.25">
      <c r="A54" s="166" t="s">
        <v>380</v>
      </c>
      <c r="B54" s="42">
        <v>30</v>
      </c>
      <c r="C54" s="171">
        <v>0</v>
      </c>
      <c r="D54" s="117" t="s">
        <v>348</v>
      </c>
      <c r="E54" s="169" t="s">
        <v>206</v>
      </c>
      <c r="L54" s="42" t="s">
        <v>1623</v>
      </c>
    </row>
    <row r="55" spans="1:12" ht="21" customHeight="1" x14ac:dyDescent="0.25">
      <c r="A55" s="166" t="s">
        <v>178</v>
      </c>
      <c r="B55" s="42">
        <v>20</v>
      </c>
      <c r="C55" s="171">
        <v>0.19</v>
      </c>
      <c r="D55" s="117" t="s">
        <v>350</v>
      </c>
      <c r="E55" s="169" t="s">
        <v>174</v>
      </c>
      <c r="L55" s="42" t="s">
        <v>1624</v>
      </c>
    </row>
    <row r="56" spans="1:12" ht="21" customHeight="1" x14ac:dyDescent="0.25">
      <c r="A56" s="166" t="s">
        <v>181</v>
      </c>
      <c r="B56" s="42">
        <v>20</v>
      </c>
      <c r="C56" s="171">
        <v>0.19</v>
      </c>
      <c r="D56" s="117" t="s">
        <v>350</v>
      </c>
      <c r="E56" s="169" t="s">
        <v>174</v>
      </c>
      <c r="L56" s="42" t="s">
        <v>1624</v>
      </c>
    </row>
    <row r="57" spans="1:12" ht="21" customHeight="1" x14ac:dyDescent="0.25">
      <c r="A57" s="166" t="s">
        <v>180</v>
      </c>
      <c r="B57" s="42">
        <v>20</v>
      </c>
      <c r="C57" s="171">
        <v>0.19</v>
      </c>
      <c r="D57" s="117" t="s">
        <v>350</v>
      </c>
      <c r="E57" s="169" t="s">
        <v>174</v>
      </c>
      <c r="L57" s="42" t="s">
        <v>1624</v>
      </c>
    </row>
    <row r="58" spans="1:12" ht="21" customHeight="1" x14ac:dyDescent="0.25">
      <c r="A58" s="166" t="s">
        <v>210</v>
      </c>
      <c r="B58" s="42">
        <v>20</v>
      </c>
      <c r="C58" s="171">
        <v>0</v>
      </c>
      <c r="D58" s="117" t="s">
        <v>346</v>
      </c>
      <c r="E58" s="169" t="s">
        <v>174</v>
      </c>
      <c r="L58" s="42" t="s">
        <v>1624</v>
      </c>
    </row>
    <row r="59" spans="1:12" ht="21" customHeight="1" x14ac:dyDescent="0.25">
      <c r="A59" s="166" t="s">
        <v>191</v>
      </c>
      <c r="B59" s="42">
        <v>20</v>
      </c>
      <c r="C59" s="171">
        <v>0</v>
      </c>
      <c r="D59" s="117" t="s">
        <v>346</v>
      </c>
      <c r="E59" s="169" t="s">
        <v>174</v>
      </c>
      <c r="L59" s="42" t="s">
        <v>1624</v>
      </c>
    </row>
    <row r="60" spans="1:12" ht="21" customHeight="1" x14ac:dyDescent="0.25">
      <c r="A60" s="166" t="s">
        <v>190</v>
      </c>
      <c r="B60" s="42">
        <v>20</v>
      </c>
      <c r="C60" s="171">
        <v>0</v>
      </c>
      <c r="D60" s="117" t="s">
        <v>346</v>
      </c>
      <c r="E60" s="169" t="s">
        <v>174</v>
      </c>
      <c r="L60" s="42" t="s">
        <v>1624</v>
      </c>
    </row>
    <row r="61" spans="1:12" ht="21" customHeight="1" x14ac:dyDescent="0.25">
      <c r="A61" s="166" t="s">
        <v>189</v>
      </c>
      <c r="B61" s="42">
        <v>20</v>
      </c>
      <c r="C61" s="171">
        <v>0</v>
      </c>
      <c r="D61" s="117" t="s">
        <v>346</v>
      </c>
      <c r="E61" s="169" t="s">
        <v>174</v>
      </c>
      <c r="L61" s="42" t="s">
        <v>1624</v>
      </c>
    </row>
    <row r="62" spans="1:12" ht="21" customHeight="1" x14ac:dyDescent="0.25">
      <c r="A62" s="166" t="s">
        <v>1729</v>
      </c>
      <c r="B62" s="42">
        <v>30</v>
      </c>
      <c r="C62" s="171">
        <v>0</v>
      </c>
      <c r="D62" s="117">
        <v>0</v>
      </c>
      <c r="E62" s="169" t="s">
        <v>232</v>
      </c>
      <c r="L62" s="42" t="s">
        <v>1623</v>
      </c>
    </row>
    <row r="63" spans="1:12" ht="21" customHeight="1" x14ac:dyDescent="0.25">
      <c r="A63" s="166" t="s">
        <v>379</v>
      </c>
      <c r="B63" s="42">
        <v>18</v>
      </c>
      <c r="C63" s="171">
        <v>0</v>
      </c>
      <c r="D63" s="117">
        <v>0</v>
      </c>
      <c r="E63" s="169" t="s">
        <v>151</v>
      </c>
      <c r="L63" s="42" t="s">
        <v>1623</v>
      </c>
    </row>
    <row r="64" spans="1:12" ht="21" customHeight="1" x14ac:dyDescent="0.25">
      <c r="A64" s="173" t="s">
        <v>1568</v>
      </c>
      <c r="B64" s="42">
        <v>0</v>
      </c>
      <c r="C64" s="171">
        <v>0.19</v>
      </c>
      <c r="E64" s="172"/>
      <c r="L64" s="42" t="s">
        <v>1623</v>
      </c>
    </row>
    <row r="65" spans="1:12" ht="21" customHeight="1" x14ac:dyDescent="0.25">
      <c r="A65" s="166" t="s">
        <v>49</v>
      </c>
      <c r="B65" s="42">
        <v>30</v>
      </c>
      <c r="C65" s="171">
        <v>0.19</v>
      </c>
      <c r="D65" s="117" t="s">
        <v>349</v>
      </c>
      <c r="E65" s="169" t="s">
        <v>84</v>
      </c>
      <c r="L65" s="42" t="s">
        <v>1624</v>
      </c>
    </row>
    <row r="66" spans="1:12" ht="21" customHeight="1" x14ac:dyDescent="0.25">
      <c r="A66" s="166" t="s">
        <v>41</v>
      </c>
      <c r="B66" s="42">
        <v>30</v>
      </c>
      <c r="C66" s="171">
        <v>0.19</v>
      </c>
      <c r="D66" s="117" t="s">
        <v>349</v>
      </c>
      <c r="E66" s="169" t="s">
        <v>84</v>
      </c>
      <c r="L66" s="42" t="s">
        <v>1624</v>
      </c>
    </row>
    <row r="67" spans="1:12" ht="21" customHeight="1" x14ac:dyDescent="0.25">
      <c r="A67" s="166" t="s">
        <v>55</v>
      </c>
      <c r="B67" s="42">
        <v>30</v>
      </c>
      <c r="C67" s="171">
        <v>0.19</v>
      </c>
      <c r="D67" s="117" t="s">
        <v>349</v>
      </c>
      <c r="E67" s="169" t="s">
        <v>84</v>
      </c>
      <c r="L67" s="42" t="s">
        <v>1624</v>
      </c>
    </row>
    <row r="68" spans="1:12" ht="21" customHeight="1" x14ac:dyDescent="0.25">
      <c r="A68" s="166" t="s">
        <v>60</v>
      </c>
      <c r="B68" s="42">
        <v>30</v>
      </c>
      <c r="C68" s="171">
        <v>0.19</v>
      </c>
      <c r="D68" s="117" t="s">
        <v>349</v>
      </c>
      <c r="E68" s="169" t="s">
        <v>84</v>
      </c>
      <c r="L68" s="42" t="s">
        <v>1624</v>
      </c>
    </row>
    <row r="69" spans="1:12" ht="21" customHeight="1" x14ac:dyDescent="0.25">
      <c r="A69" s="166" t="s">
        <v>1728</v>
      </c>
      <c r="B69" s="42">
        <v>30</v>
      </c>
      <c r="C69" s="171">
        <v>0.19</v>
      </c>
      <c r="D69" s="117" t="s">
        <v>349</v>
      </c>
      <c r="E69" s="169" t="s">
        <v>84</v>
      </c>
      <c r="L69" s="42" t="s">
        <v>1624</v>
      </c>
    </row>
    <row r="70" spans="1:12" ht="21" customHeight="1" x14ac:dyDescent="0.25">
      <c r="A70" s="166" t="s">
        <v>78</v>
      </c>
      <c r="B70" s="42">
        <v>30</v>
      </c>
      <c r="C70" s="171">
        <v>0.19</v>
      </c>
      <c r="D70" s="117" t="s">
        <v>349</v>
      </c>
      <c r="E70" s="169" t="s">
        <v>84</v>
      </c>
      <c r="L70" s="42" t="s">
        <v>1624</v>
      </c>
    </row>
    <row r="71" spans="1:12" ht="21" customHeight="1" x14ac:dyDescent="0.25">
      <c r="A71" s="166" t="s">
        <v>25</v>
      </c>
      <c r="B71" s="42">
        <v>30</v>
      </c>
      <c r="C71" s="171">
        <v>0.19</v>
      </c>
      <c r="D71" s="117" t="s">
        <v>349</v>
      </c>
      <c r="E71" s="169" t="s">
        <v>84</v>
      </c>
      <c r="L71" s="42" t="s">
        <v>1624</v>
      </c>
    </row>
    <row r="72" spans="1:12" ht="21" customHeight="1" x14ac:dyDescent="0.25">
      <c r="A72" s="166" t="s">
        <v>547</v>
      </c>
      <c r="B72" s="42">
        <v>30</v>
      </c>
      <c r="C72" s="171">
        <v>0.19</v>
      </c>
      <c r="D72" s="117" t="s">
        <v>347</v>
      </c>
      <c r="E72" s="172"/>
      <c r="L72" s="42" t="s">
        <v>1623</v>
      </c>
    </row>
    <row r="73" spans="1:12" ht="21" customHeight="1" x14ac:dyDescent="0.25">
      <c r="A73" s="166" t="s">
        <v>19</v>
      </c>
      <c r="B73" s="42">
        <v>45</v>
      </c>
      <c r="C73" s="171">
        <v>0.19</v>
      </c>
      <c r="D73" s="117">
        <v>0</v>
      </c>
      <c r="E73" s="169" t="s">
        <v>357</v>
      </c>
      <c r="L73" s="42" t="s">
        <v>1623</v>
      </c>
    </row>
    <row r="74" spans="1:12" ht="21" customHeight="1" x14ac:dyDescent="0.25">
      <c r="A74" s="166" t="s">
        <v>77</v>
      </c>
      <c r="B74" s="42">
        <v>30</v>
      </c>
      <c r="C74" s="171">
        <v>0.19</v>
      </c>
      <c r="D74" s="117" t="s">
        <v>347</v>
      </c>
      <c r="E74" s="169" t="s">
        <v>163</v>
      </c>
      <c r="F74" s="20" t="s">
        <v>162</v>
      </c>
      <c r="L74" s="42" t="s">
        <v>1623</v>
      </c>
    </row>
    <row r="75" spans="1:12" ht="21" customHeight="1" x14ac:dyDescent="0.25">
      <c r="A75" s="166" t="s">
        <v>451</v>
      </c>
      <c r="B75" s="42">
        <v>30</v>
      </c>
      <c r="C75" s="171">
        <v>0.19</v>
      </c>
      <c r="D75" s="117" t="s">
        <v>347</v>
      </c>
      <c r="E75" s="169" t="s">
        <v>149</v>
      </c>
      <c r="L75" s="42" t="s">
        <v>1623</v>
      </c>
    </row>
    <row r="76" spans="1:12" ht="21" customHeight="1" x14ac:dyDescent="0.25">
      <c r="A76" s="173" t="s">
        <v>1761</v>
      </c>
      <c r="B76" s="42">
        <v>0</v>
      </c>
      <c r="C76" s="171">
        <v>0.19</v>
      </c>
      <c r="D76" s="117" t="s">
        <v>347</v>
      </c>
      <c r="E76" s="172" t="s">
        <v>1762</v>
      </c>
    </row>
    <row r="77" spans="1:12" ht="21" customHeight="1" x14ac:dyDescent="0.25">
      <c r="A77" s="166" t="s">
        <v>1016</v>
      </c>
      <c r="B77" s="42">
        <v>30</v>
      </c>
      <c r="C77" s="171">
        <v>0.19</v>
      </c>
      <c r="D77" s="117" t="s">
        <v>347</v>
      </c>
      <c r="E77" s="172" t="s">
        <v>1916</v>
      </c>
      <c r="L77" s="42" t="s">
        <v>1623</v>
      </c>
    </row>
    <row r="78" spans="1:12" ht="21" customHeight="1" x14ac:dyDescent="0.25">
      <c r="A78" s="166" t="s">
        <v>378</v>
      </c>
      <c r="B78" s="42">
        <v>30</v>
      </c>
      <c r="C78" s="171">
        <v>0</v>
      </c>
      <c r="D78" s="117">
        <v>0</v>
      </c>
      <c r="L78" s="42" t="s">
        <v>1624</v>
      </c>
    </row>
    <row r="79" spans="1:12" ht="21" customHeight="1" x14ac:dyDescent="0.25">
      <c r="A79" s="166" t="s">
        <v>175</v>
      </c>
      <c r="B79" s="42">
        <v>10</v>
      </c>
      <c r="C79" s="171">
        <v>0.19</v>
      </c>
      <c r="D79" s="117" t="s">
        <v>347</v>
      </c>
      <c r="E79" s="169" t="s">
        <v>176</v>
      </c>
      <c r="L79" s="42" t="s">
        <v>1624</v>
      </c>
    </row>
    <row r="80" spans="1:12" ht="21" customHeight="1" x14ac:dyDescent="0.25">
      <c r="A80" s="166" t="s">
        <v>171</v>
      </c>
      <c r="B80" s="42">
        <v>10</v>
      </c>
      <c r="C80" s="171">
        <v>0</v>
      </c>
      <c r="D80" s="117">
        <v>0</v>
      </c>
      <c r="E80" s="169" t="s">
        <v>172</v>
      </c>
      <c r="L80" s="42" t="s">
        <v>1624</v>
      </c>
    </row>
    <row r="81" spans="1:12" ht="21" customHeight="1" x14ac:dyDescent="0.25">
      <c r="A81" s="166" t="s">
        <v>17</v>
      </c>
      <c r="B81" s="42">
        <v>30</v>
      </c>
      <c r="C81" s="171">
        <v>0.19</v>
      </c>
      <c r="D81" s="117">
        <v>0</v>
      </c>
      <c r="E81" s="169" t="s">
        <v>148</v>
      </c>
      <c r="L81" s="42" t="s">
        <v>1623</v>
      </c>
    </row>
    <row r="82" spans="1:12" ht="21" customHeight="1" x14ac:dyDescent="0.25">
      <c r="A82" s="166" t="s">
        <v>377</v>
      </c>
      <c r="B82" s="42">
        <v>45</v>
      </c>
      <c r="C82" s="171">
        <v>0</v>
      </c>
      <c r="D82" s="117">
        <v>0</v>
      </c>
      <c r="L82" s="42" t="s">
        <v>1624</v>
      </c>
    </row>
    <row r="83" spans="1:12" ht="21" customHeight="1" x14ac:dyDescent="0.25">
      <c r="A83" s="166" t="s">
        <v>1725</v>
      </c>
      <c r="B83" s="42">
        <v>30</v>
      </c>
      <c r="C83" s="171">
        <v>0.19</v>
      </c>
      <c r="D83" s="117" t="s">
        <v>356</v>
      </c>
      <c r="E83" s="169" t="s">
        <v>177</v>
      </c>
      <c r="L83" s="42" t="s">
        <v>1623</v>
      </c>
    </row>
    <row r="84" spans="1:12" ht="21" customHeight="1" x14ac:dyDescent="0.25">
      <c r="A84" s="173" t="s">
        <v>1724</v>
      </c>
      <c r="B84" s="42">
        <v>30</v>
      </c>
      <c r="C84" s="171">
        <v>0.19</v>
      </c>
      <c r="D84" s="117" t="s">
        <v>356</v>
      </c>
      <c r="E84" s="172" t="s">
        <v>177</v>
      </c>
      <c r="L84" s="42" t="s">
        <v>1623</v>
      </c>
    </row>
    <row r="85" spans="1:12" ht="21" customHeight="1" x14ac:dyDescent="0.25">
      <c r="A85" s="166" t="s">
        <v>26</v>
      </c>
      <c r="B85" s="42">
        <v>30</v>
      </c>
      <c r="C85" s="171">
        <v>0</v>
      </c>
      <c r="D85" s="117">
        <v>0</v>
      </c>
      <c r="E85" s="169" t="s">
        <v>84</v>
      </c>
      <c r="L85" s="42" t="s">
        <v>1623</v>
      </c>
    </row>
    <row r="86" spans="1:12" ht="21" customHeight="1" x14ac:dyDescent="0.25">
      <c r="A86" s="166" t="s">
        <v>376</v>
      </c>
      <c r="B86" s="42">
        <v>30</v>
      </c>
      <c r="C86" s="171">
        <v>0</v>
      </c>
      <c r="D86" s="117">
        <v>0</v>
      </c>
      <c r="E86" s="169" t="s">
        <v>268</v>
      </c>
      <c r="L86" s="42" t="s">
        <v>1623</v>
      </c>
    </row>
    <row r="87" spans="1:12" ht="21" customHeight="1" x14ac:dyDescent="0.25">
      <c r="A87" s="166" t="s">
        <v>203</v>
      </c>
      <c r="B87" s="42">
        <v>30</v>
      </c>
      <c r="C87" s="171">
        <v>0.19</v>
      </c>
      <c r="D87" s="117" t="s">
        <v>347</v>
      </c>
      <c r="E87" s="169" t="s">
        <v>204</v>
      </c>
      <c r="L87" s="42" t="s">
        <v>1623</v>
      </c>
    </row>
    <row r="88" spans="1:12" ht="21" customHeight="1" x14ac:dyDescent="0.25">
      <c r="A88" s="166" t="s">
        <v>290</v>
      </c>
      <c r="B88" s="42">
        <v>30</v>
      </c>
      <c r="C88" s="171">
        <v>0.19</v>
      </c>
      <c r="D88" s="117" t="s">
        <v>347</v>
      </c>
      <c r="E88" s="169" t="s">
        <v>147</v>
      </c>
      <c r="L88" s="42" t="s">
        <v>1623</v>
      </c>
    </row>
    <row r="89" spans="1:12" ht="21" customHeight="1" x14ac:dyDescent="0.25">
      <c r="A89" s="166" t="s">
        <v>76</v>
      </c>
      <c r="B89" s="42">
        <v>30</v>
      </c>
      <c r="C89" s="171">
        <v>0.19</v>
      </c>
      <c r="D89" s="117" t="s">
        <v>347</v>
      </c>
      <c r="E89" s="169" t="s">
        <v>84</v>
      </c>
      <c r="L89" s="42" t="s">
        <v>1623</v>
      </c>
    </row>
    <row r="90" spans="1:12" ht="21" customHeight="1" x14ac:dyDescent="0.25">
      <c r="A90" s="166" t="s">
        <v>183</v>
      </c>
      <c r="B90" s="42">
        <v>30</v>
      </c>
      <c r="C90" s="171">
        <v>0.19</v>
      </c>
      <c r="D90" s="117" t="s">
        <v>347</v>
      </c>
      <c r="L90" s="42" t="s">
        <v>1623</v>
      </c>
    </row>
    <row r="91" spans="1:12" ht="21" customHeight="1" x14ac:dyDescent="0.25">
      <c r="A91" s="166" t="s">
        <v>375</v>
      </c>
      <c r="B91" s="42">
        <v>60</v>
      </c>
      <c r="C91" s="171">
        <v>0</v>
      </c>
      <c r="D91" s="117">
        <v>0</v>
      </c>
      <c r="L91" s="42" t="s">
        <v>1624</v>
      </c>
    </row>
    <row r="92" spans="1:12" ht="21" customHeight="1" x14ac:dyDescent="0.25">
      <c r="A92" s="166" t="s">
        <v>209</v>
      </c>
      <c r="B92" s="42">
        <v>30</v>
      </c>
      <c r="C92" s="171">
        <v>0.19</v>
      </c>
      <c r="D92" s="117" t="s">
        <v>347</v>
      </c>
      <c r="E92" s="169" t="s">
        <v>214</v>
      </c>
      <c r="L92" s="42" t="s">
        <v>1623</v>
      </c>
    </row>
    <row r="93" spans="1:12" ht="21" customHeight="1" x14ac:dyDescent="0.25">
      <c r="A93" s="166" t="s">
        <v>1392</v>
      </c>
      <c r="B93" s="42">
        <v>30</v>
      </c>
      <c r="C93" s="171">
        <v>0.19</v>
      </c>
      <c r="D93" s="117" t="s">
        <v>347</v>
      </c>
      <c r="E93" s="172"/>
      <c r="L93" s="42" t="s">
        <v>1624</v>
      </c>
    </row>
    <row r="94" spans="1:12" ht="21" customHeight="1" x14ac:dyDescent="0.25">
      <c r="A94" s="166" t="s">
        <v>31</v>
      </c>
      <c r="B94" s="42">
        <v>30</v>
      </c>
      <c r="C94" s="171">
        <v>0.19</v>
      </c>
      <c r="D94" s="117" t="s">
        <v>347</v>
      </c>
      <c r="E94" s="169" t="s">
        <v>409</v>
      </c>
      <c r="L94" s="42" t="s">
        <v>1623</v>
      </c>
    </row>
    <row r="95" spans="1:12" ht="21" customHeight="1" x14ac:dyDescent="0.25">
      <c r="A95" s="166" t="s">
        <v>393</v>
      </c>
      <c r="B95" s="42">
        <v>30</v>
      </c>
      <c r="C95" s="171">
        <v>0.19</v>
      </c>
      <c r="D95" s="117" t="s">
        <v>349</v>
      </c>
      <c r="E95" s="169" t="s">
        <v>289</v>
      </c>
      <c r="L95" s="42" t="s">
        <v>1624</v>
      </c>
    </row>
    <row r="96" spans="1:12" ht="21" customHeight="1" x14ac:dyDescent="0.25">
      <c r="A96" s="166" t="s">
        <v>426</v>
      </c>
      <c r="B96" s="42">
        <v>30</v>
      </c>
      <c r="C96" s="171">
        <v>0.19</v>
      </c>
      <c r="D96" s="117">
        <v>0</v>
      </c>
      <c r="E96" s="169" t="s">
        <v>427</v>
      </c>
      <c r="L96" s="42" t="s">
        <v>1623</v>
      </c>
    </row>
    <row r="97" spans="1:12" ht="21" customHeight="1" x14ac:dyDescent="0.25">
      <c r="A97" s="166" t="s">
        <v>64</v>
      </c>
      <c r="B97" s="42">
        <v>30</v>
      </c>
      <c r="C97" s="171">
        <v>0.19</v>
      </c>
      <c r="D97" s="117" t="s">
        <v>347</v>
      </c>
      <c r="E97" s="169" t="s">
        <v>146</v>
      </c>
      <c r="L97" s="42" t="s">
        <v>1623</v>
      </c>
    </row>
    <row r="98" spans="1:12" ht="21" customHeight="1" x14ac:dyDescent="0.25">
      <c r="A98" s="166" t="s">
        <v>1865</v>
      </c>
      <c r="B98" s="42">
        <v>30</v>
      </c>
      <c r="C98" s="171">
        <v>0</v>
      </c>
      <c r="D98" s="117">
        <v>0</v>
      </c>
      <c r="E98" s="169" t="s">
        <v>1497</v>
      </c>
      <c r="L98" s="42" t="s">
        <v>1624</v>
      </c>
    </row>
    <row r="99" spans="1:12" ht="21" customHeight="1" x14ac:dyDescent="0.25">
      <c r="A99" s="166" t="s">
        <v>1730</v>
      </c>
      <c r="B99" s="42">
        <v>30</v>
      </c>
      <c r="C99" s="171">
        <v>0</v>
      </c>
      <c r="D99" s="117">
        <v>0</v>
      </c>
      <c r="E99" s="169" t="s">
        <v>1497</v>
      </c>
      <c r="L99" s="42" t="s">
        <v>1624</v>
      </c>
    </row>
    <row r="100" spans="1:12" ht="21" customHeight="1" x14ac:dyDescent="0.25">
      <c r="A100" s="166" t="s">
        <v>1864</v>
      </c>
      <c r="B100" s="42">
        <v>30</v>
      </c>
      <c r="C100" s="171">
        <v>0</v>
      </c>
      <c r="D100" s="117">
        <v>0</v>
      </c>
      <c r="E100" s="169" t="s">
        <v>1497</v>
      </c>
      <c r="L100" s="42" t="s">
        <v>1624</v>
      </c>
    </row>
    <row r="101" spans="1:12" ht="21" customHeight="1" x14ac:dyDescent="0.25">
      <c r="A101" s="166" t="s">
        <v>1863</v>
      </c>
      <c r="B101" s="42">
        <v>30</v>
      </c>
      <c r="C101" s="171">
        <v>0</v>
      </c>
      <c r="D101" s="117">
        <v>0</v>
      </c>
      <c r="E101" s="169" t="s">
        <v>1614</v>
      </c>
      <c r="L101" s="42" t="s">
        <v>1624</v>
      </c>
    </row>
    <row r="102" spans="1:12" ht="21" customHeight="1" x14ac:dyDescent="0.25">
      <c r="A102" s="173" t="s">
        <v>1862</v>
      </c>
      <c r="B102" s="42">
        <v>30</v>
      </c>
      <c r="C102" s="171">
        <v>0</v>
      </c>
      <c r="D102" s="117">
        <v>0</v>
      </c>
      <c r="E102" s="169" t="s">
        <v>1497</v>
      </c>
    </row>
    <row r="103" spans="1:12" ht="21" customHeight="1" x14ac:dyDescent="0.25">
      <c r="A103" s="166" t="s">
        <v>374</v>
      </c>
      <c r="B103" s="42">
        <v>30</v>
      </c>
      <c r="C103" s="171">
        <v>0</v>
      </c>
      <c r="D103" s="117">
        <v>0</v>
      </c>
      <c r="L103" s="42" t="s">
        <v>1624</v>
      </c>
    </row>
    <row r="104" spans="1:12" ht="21" customHeight="1" x14ac:dyDescent="0.25">
      <c r="A104" s="166" t="s">
        <v>459</v>
      </c>
      <c r="B104" s="42">
        <v>0</v>
      </c>
      <c r="C104" s="171">
        <v>0</v>
      </c>
      <c r="D104" s="117">
        <v>0</v>
      </c>
      <c r="E104" s="174" t="s">
        <v>461</v>
      </c>
      <c r="F104" s="175" t="s">
        <v>460</v>
      </c>
      <c r="L104" s="42" t="s">
        <v>1624</v>
      </c>
    </row>
    <row r="105" spans="1:12" ht="21" customHeight="1" x14ac:dyDescent="0.25">
      <c r="A105" s="166" t="s">
        <v>75</v>
      </c>
      <c r="B105" s="42">
        <v>30</v>
      </c>
      <c r="C105" s="171">
        <v>0.19</v>
      </c>
      <c r="D105" s="117">
        <v>0</v>
      </c>
      <c r="E105" s="169" t="s">
        <v>84</v>
      </c>
      <c r="L105" s="42" t="s">
        <v>1624</v>
      </c>
    </row>
    <row r="106" spans="1:12" ht="21" customHeight="1" x14ac:dyDescent="0.25">
      <c r="A106" s="166" t="s">
        <v>373</v>
      </c>
      <c r="B106" s="42">
        <v>30</v>
      </c>
      <c r="C106" s="171">
        <v>0</v>
      </c>
      <c r="D106" s="117">
        <v>0</v>
      </c>
      <c r="E106" s="169" t="s">
        <v>1447</v>
      </c>
      <c r="L106" s="42" t="s">
        <v>1623</v>
      </c>
    </row>
    <row r="107" spans="1:12" ht="21" customHeight="1" x14ac:dyDescent="0.25">
      <c r="A107" s="166" t="s">
        <v>32</v>
      </c>
      <c r="B107" s="42">
        <v>90</v>
      </c>
      <c r="C107" s="171">
        <v>0.19</v>
      </c>
      <c r="D107" s="117" t="s">
        <v>347</v>
      </c>
      <c r="E107" s="169" t="s">
        <v>205</v>
      </c>
      <c r="L107" s="42" t="s">
        <v>1623</v>
      </c>
    </row>
    <row r="108" spans="1:12" ht="21" customHeight="1" x14ac:dyDescent="0.25">
      <c r="A108" s="166" t="s">
        <v>760</v>
      </c>
      <c r="B108" s="42">
        <v>30</v>
      </c>
      <c r="C108" s="171">
        <v>0.19</v>
      </c>
      <c r="D108" s="117" t="s">
        <v>347</v>
      </c>
      <c r="E108" s="169" t="s">
        <v>413</v>
      </c>
      <c r="L108" s="42" t="s">
        <v>1623</v>
      </c>
    </row>
    <row r="109" spans="1:12" ht="21" customHeight="1" x14ac:dyDescent="0.25">
      <c r="A109" s="166" t="s">
        <v>412</v>
      </c>
      <c r="B109" s="42">
        <v>30</v>
      </c>
      <c r="C109" s="171">
        <v>0.19</v>
      </c>
      <c r="D109" s="117" t="s">
        <v>347</v>
      </c>
      <c r="E109" s="169" t="s">
        <v>413</v>
      </c>
      <c r="L109" s="42" t="s">
        <v>1623</v>
      </c>
    </row>
    <row r="110" spans="1:12" ht="21" customHeight="1" x14ac:dyDescent="0.25">
      <c r="A110" s="166" t="s">
        <v>30</v>
      </c>
      <c r="B110" s="42">
        <v>60</v>
      </c>
      <c r="C110" s="171">
        <v>0</v>
      </c>
      <c r="D110" s="117">
        <v>0</v>
      </c>
      <c r="E110" s="169" t="s">
        <v>184</v>
      </c>
      <c r="L110" s="42" t="s">
        <v>1623</v>
      </c>
    </row>
    <row r="111" spans="1:12" ht="21" customHeight="1" x14ac:dyDescent="0.25">
      <c r="A111" s="166" t="s">
        <v>102</v>
      </c>
      <c r="B111" s="42">
        <v>30</v>
      </c>
      <c r="C111" s="171">
        <v>0.19</v>
      </c>
      <c r="D111" s="117" t="s">
        <v>347</v>
      </c>
      <c r="L111" s="42" t="s">
        <v>1624</v>
      </c>
    </row>
    <row r="112" spans="1:12" ht="21" customHeight="1" x14ac:dyDescent="0.25">
      <c r="A112" s="166" t="s">
        <v>218</v>
      </c>
      <c r="B112" s="42">
        <v>30</v>
      </c>
      <c r="C112" s="171">
        <v>0.19</v>
      </c>
      <c r="D112" s="117" t="s">
        <v>347</v>
      </c>
      <c r="E112" s="169" t="s">
        <v>1475</v>
      </c>
      <c r="L112" s="42" t="s">
        <v>1623</v>
      </c>
    </row>
    <row r="113" spans="1:12" ht="21" customHeight="1" x14ac:dyDescent="0.25">
      <c r="A113" s="166" t="s">
        <v>193</v>
      </c>
      <c r="B113" s="42">
        <v>30</v>
      </c>
      <c r="C113" s="171">
        <v>0.19</v>
      </c>
      <c r="D113" s="117" t="s">
        <v>347</v>
      </c>
      <c r="E113" s="169" t="s">
        <v>214</v>
      </c>
      <c r="F113" s="20" t="s">
        <v>123</v>
      </c>
      <c r="L113" s="42" t="s">
        <v>1623</v>
      </c>
    </row>
    <row r="114" spans="1:12" ht="21" customHeight="1" x14ac:dyDescent="0.25">
      <c r="A114" s="166" t="s">
        <v>132</v>
      </c>
      <c r="B114" s="42">
        <v>30</v>
      </c>
      <c r="C114" s="171">
        <v>0.19</v>
      </c>
      <c r="D114" s="117" t="s">
        <v>347</v>
      </c>
      <c r="E114" s="169" t="s">
        <v>214</v>
      </c>
      <c r="F114" s="20" t="s">
        <v>123</v>
      </c>
      <c r="L114" s="42" t="s">
        <v>1623</v>
      </c>
    </row>
    <row r="115" spans="1:12" ht="21" customHeight="1" x14ac:dyDescent="0.25">
      <c r="A115" s="166" t="s">
        <v>1130</v>
      </c>
      <c r="B115" s="42">
        <v>30</v>
      </c>
      <c r="C115" s="171">
        <v>0.19</v>
      </c>
      <c r="D115" s="117" t="s">
        <v>347</v>
      </c>
      <c r="E115" s="169" t="s">
        <v>1129</v>
      </c>
      <c r="L115" s="42" t="s">
        <v>1623</v>
      </c>
    </row>
    <row r="116" spans="1:12" ht="21" customHeight="1" x14ac:dyDescent="0.25">
      <c r="A116" s="166" t="s">
        <v>442</v>
      </c>
      <c r="B116" s="42">
        <v>30</v>
      </c>
      <c r="C116" s="171">
        <v>0.19</v>
      </c>
      <c r="D116" s="117" t="s">
        <v>347</v>
      </c>
      <c r="E116" s="169" t="s">
        <v>168</v>
      </c>
      <c r="L116" s="42" t="s">
        <v>1623</v>
      </c>
    </row>
    <row r="117" spans="1:12" ht="21" customHeight="1" x14ac:dyDescent="0.25">
      <c r="A117" s="166" t="s">
        <v>43</v>
      </c>
      <c r="B117" s="42">
        <v>30</v>
      </c>
      <c r="C117" s="171">
        <v>0.19</v>
      </c>
      <c r="D117" s="117" t="s">
        <v>347</v>
      </c>
      <c r="E117" s="169" t="s">
        <v>168</v>
      </c>
      <c r="F117" s="20" t="s">
        <v>469</v>
      </c>
      <c r="L117" s="42" t="s">
        <v>1623</v>
      </c>
    </row>
    <row r="118" spans="1:12" ht="21" customHeight="1" x14ac:dyDescent="0.25">
      <c r="A118" s="166" t="s">
        <v>448</v>
      </c>
      <c r="B118" s="42">
        <v>30</v>
      </c>
      <c r="C118" s="171">
        <v>0</v>
      </c>
      <c r="D118" s="117" t="s">
        <v>346</v>
      </c>
      <c r="E118" s="169" t="s">
        <v>138</v>
      </c>
      <c r="L118" s="42" t="s">
        <v>1624</v>
      </c>
    </row>
    <row r="119" spans="1:12" ht="21" customHeight="1" x14ac:dyDescent="0.25">
      <c r="A119" s="166" t="s">
        <v>58</v>
      </c>
      <c r="B119" s="42">
        <v>30</v>
      </c>
      <c r="C119" s="171">
        <v>0.19</v>
      </c>
      <c r="D119" s="117" t="s">
        <v>347</v>
      </c>
      <c r="E119" s="169" t="s">
        <v>145</v>
      </c>
      <c r="F119" s="167"/>
      <c r="L119" s="42" t="s">
        <v>1623</v>
      </c>
    </row>
    <row r="120" spans="1:12" ht="21" customHeight="1" x14ac:dyDescent="0.25">
      <c r="A120" s="166" t="s">
        <v>446</v>
      </c>
      <c r="B120" s="42">
        <v>30</v>
      </c>
      <c r="C120" s="171">
        <v>0.19</v>
      </c>
      <c r="D120" s="117">
        <v>0</v>
      </c>
      <c r="E120" s="169" t="s">
        <v>150</v>
      </c>
      <c r="L120" s="42" t="s">
        <v>1623</v>
      </c>
    </row>
    <row r="121" spans="1:12" ht="21" customHeight="1" x14ac:dyDescent="0.25">
      <c r="A121" s="166" t="s">
        <v>33</v>
      </c>
      <c r="B121" s="42">
        <v>30</v>
      </c>
      <c r="C121" s="171">
        <v>0.19</v>
      </c>
      <c r="D121" s="117" t="s">
        <v>347</v>
      </c>
      <c r="E121" s="169" t="s">
        <v>144</v>
      </c>
      <c r="L121" s="42" t="s">
        <v>1623</v>
      </c>
    </row>
    <row r="122" spans="1:12" ht="21" customHeight="1" x14ac:dyDescent="0.25">
      <c r="A122" s="166" t="s">
        <v>496</v>
      </c>
      <c r="B122" s="42">
        <v>30</v>
      </c>
      <c r="C122" s="171">
        <v>0.19</v>
      </c>
      <c r="D122" s="117">
        <v>0</v>
      </c>
      <c r="E122" s="172"/>
      <c r="L122" s="42" t="s">
        <v>1623</v>
      </c>
    </row>
    <row r="123" spans="1:12" ht="21" customHeight="1" x14ac:dyDescent="0.25">
      <c r="A123" s="166" t="s">
        <v>1727</v>
      </c>
      <c r="B123" s="42">
        <v>10</v>
      </c>
      <c r="C123" s="171">
        <v>0.19</v>
      </c>
      <c r="D123" s="117" t="s">
        <v>350</v>
      </c>
      <c r="E123" s="169" t="s">
        <v>233</v>
      </c>
      <c r="L123" s="42" t="s">
        <v>1624</v>
      </c>
    </row>
    <row r="124" spans="1:12" ht="21" customHeight="1" x14ac:dyDescent="0.25">
      <c r="A124" s="166" t="s">
        <v>948</v>
      </c>
      <c r="B124" s="42">
        <v>30</v>
      </c>
      <c r="C124" s="171">
        <v>0.19</v>
      </c>
      <c r="D124" s="117" t="s">
        <v>347</v>
      </c>
      <c r="E124" s="169" t="s">
        <v>139</v>
      </c>
      <c r="L124" s="42" t="s">
        <v>1623</v>
      </c>
    </row>
    <row r="125" spans="1:12" ht="21" customHeight="1" x14ac:dyDescent="0.25">
      <c r="A125" s="166" t="s">
        <v>1124</v>
      </c>
      <c r="B125" s="42">
        <v>0</v>
      </c>
      <c r="C125" s="171">
        <v>0.19</v>
      </c>
      <c r="D125" s="117" t="s">
        <v>443</v>
      </c>
      <c r="E125" s="174" t="s">
        <v>1125</v>
      </c>
      <c r="L125" s="42" t="s">
        <v>1623</v>
      </c>
    </row>
    <row r="126" spans="1:12" ht="21" customHeight="1" x14ac:dyDescent="0.25">
      <c r="A126" s="166" t="s">
        <v>1124</v>
      </c>
      <c r="B126" s="42">
        <v>30</v>
      </c>
      <c r="C126" s="171">
        <v>0.19</v>
      </c>
      <c r="D126" s="117" t="s">
        <v>347</v>
      </c>
      <c r="L126" s="42" t="s">
        <v>1623</v>
      </c>
    </row>
    <row r="127" spans="1:12" ht="21" customHeight="1" x14ac:dyDescent="0.25">
      <c r="A127" s="166" t="s">
        <v>419</v>
      </c>
      <c r="B127" s="42">
        <v>30</v>
      </c>
      <c r="C127" s="171">
        <v>0.19</v>
      </c>
      <c r="D127" s="117" t="s">
        <v>347</v>
      </c>
      <c r="E127" s="169" t="s">
        <v>438</v>
      </c>
      <c r="L127" s="42" t="s">
        <v>1624</v>
      </c>
    </row>
    <row r="128" spans="1:12" ht="21" customHeight="1" x14ac:dyDescent="0.25">
      <c r="A128" s="166" t="s">
        <v>1345</v>
      </c>
      <c r="B128" s="42">
        <v>30</v>
      </c>
      <c r="C128" s="171">
        <v>0.19</v>
      </c>
      <c r="D128" s="117" t="s">
        <v>347</v>
      </c>
      <c r="E128" s="169" t="s">
        <v>1346</v>
      </c>
      <c r="F128" s="20" t="s">
        <v>1347</v>
      </c>
      <c r="L128" s="42" t="s">
        <v>1624</v>
      </c>
    </row>
    <row r="129" spans="1:12" ht="21" customHeight="1" x14ac:dyDescent="0.25">
      <c r="A129" s="166" t="s">
        <v>18</v>
      </c>
      <c r="B129" s="42">
        <v>30</v>
      </c>
      <c r="C129" s="171">
        <v>0.19</v>
      </c>
      <c r="D129" s="117" t="s">
        <v>347</v>
      </c>
      <c r="E129" s="169" t="s">
        <v>1553</v>
      </c>
      <c r="F129" s="20" t="s">
        <v>485</v>
      </c>
      <c r="L129" s="42" t="s">
        <v>1623</v>
      </c>
    </row>
    <row r="130" spans="1:12" ht="21" customHeight="1" x14ac:dyDescent="0.25">
      <c r="A130" s="166" t="s">
        <v>445</v>
      </c>
      <c r="B130" s="42">
        <v>60</v>
      </c>
      <c r="C130" s="171">
        <v>0.19</v>
      </c>
      <c r="D130" s="117">
        <v>0</v>
      </c>
      <c r="L130" s="42" t="s">
        <v>1623</v>
      </c>
    </row>
    <row r="131" spans="1:12" ht="21" customHeight="1" x14ac:dyDescent="0.25">
      <c r="A131" s="166" t="s">
        <v>453</v>
      </c>
      <c r="B131" s="42">
        <v>10</v>
      </c>
      <c r="C131" s="171">
        <v>0.19</v>
      </c>
      <c r="D131" s="117" t="s">
        <v>347</v>
      </c>
      <c r="E131" s="169" t="s">
        <v>454</v>
      </c>
      <c r="L131" s="42" t="s">
        <v>1623</v>
      </c>
    </row>
    <row r="132" spans="1:12" ht="21" customHeight="1" x14ac:dyDescent="0.25">
      <c r="A132" s="166" t="s">
        <v>1580</v>
      </c>
      <c r="B132" s="42">
        <v>30</v>
      </c>
      <c r="C132" s="171">
        <v>0.19</v>
      </c>
      <c r="D132" s="117" t="s">
        <v>347</v>
      </c>
      <c r="E132" s="169" t="s">
        <v>156</v>
      </c>
      <c r="L132" s="42" t="s">
        <v>1623</v>
      </c>
    </row>
    <row r="133" spans="1:12" ht="21" customHeight="1" x14ac:dyDescent="0.25">
      <c r="A133" s="173" t="s">
        <v>1694</v>
      </c>
      <c r="B133" s="42"/>
      <c r="C133" s="171">
        <v>0</v>
      </c>
      <c r="D133" s="117">
        <v>0</v>
      </c>
      <c r="E133" s="172" t="s">
        <v>1693</v>
      </c>
    </row>
    <row r="134" spans="1:12" ht="21" customHeight="1" x14ac:dyDescent="0.25">
      <c r="A134" s="166" t="s">
        <v>372</v>
      </c>
      <c r="B134" s="42">
        <v>10</v>
      </c>
      <c r="C134" s="171">
        <v>0.19</v>
      </c>
      <c r="D134" s="117">
        <v>0</v>
      </c>
      <c r="L134" s="42" t="s">
        <v>1623</v>
      </c>
    </row>
    <row r="135" spans="1:12" ht="21" customHeight="1" x14ac:dyDescent="0.25">
      <c r="A135" s="166" t="s">
        <v>1318</v>
      </c>
      <c r="B135" s="42">
        <v>0</v>
      </c>
      <c r="C135" s="171">
        <v>0</v>
      </c>
      <c r="D135" s="117">
        <v>0</v>
      </c>
      <c r="E135" s="172"/>
      <c r="L135" s="42" t="s">
        <v>1624</v>
      </c>
    </row>
    <row r="136" spans="1:12" ht="21" customHeight="1" x14ac:dyDescent="0.25">
      <c r="A136" s="166" t="s">
        <v>70</v>
      </c>
      <c r="B136" s="42">
        <v>30</v>
      </c>
      <c r="C136" s="171">
        <v>0.19</v>
      </c>
      <c r="D136" s="117" t="s">
        <v>347</v>
      </c>
      <c r="E136" s="169" t="s">
        <v>84</v>
      </c>
      <c r="L136" s="42" t="s">
        <v>1624</v>
      </c>
    </row>
    <row r="137" spans="1:12" ht="21" customHeight="1" x14ac:dyDescent="0.25">
      <c r="A137" s="173" t="s">
        <v>1564</v>
      </c>
      <c r="B137" s="42">
        <v>0</v>
      </c>
      <c r="C137" s="171">
        <v>0.19</v>
      </c>
      <c r="E137" s="172"/>
      <c r="L137" s="42" t="s">
        <v>1623</v>
      </c>
    </row>
    <row r="138" spans="1:12" ht="21" customHeight="1" x14ac:dyDescent="0.25">
      <c r="A138" s="166" t="s">
        <v>22</v>
      </c>
      <c r="B138" s="42">
        <v>30</v>
      </c>
      <c r="C138" s="171">
        <v>0</v>
      </c>
      <c r="D138" s="117">
        <v>0</v>
      </c>
      <c r="E138" s="169" t="s">
        <v>143</v>
      </c>
      <c r="L138" s="42" t="s">
        <v>1624</v>
      </c>
    </row>
    <row r="139" spans="1:12" ht="21" customHeight="1" x14ac:dyDescent="0.25">
      <c r="A139" s="166" t="s">
        <v>54</v>
      </c>
      <c r="B139" s="42">
        <v>30</v>
      </c>
      <c r="C139" s="171">
        <v>0</v>
      </c>
      <c r="D139" s="117">
        <v>0</v>
      </c>
      <c r="E139" s="169" t="s">
        <v>143</v>
      </c>
      <c r="L139" s="42" t="s">
        <v>1624</v>
      </c>
    </row>
    <row r="140" spans="1:12" ht="21" customHeight="1" x14ac:dyDescent="0.25">
      <c r="A140" s="166" t="s">
        <v>53</v>
      </c>
      <c r="B140" s="42">
        <v>30</v>
      </c>
      <c r="C140" s="171">
        <v>0</v>
      </c>
      <c r="D140" s="117">
        <v>0</v>
      </c>
      <c r="E140" s="169" t="s">
        <v>143</v>
      </c>
      <c r="L140" s="42" t="s">
        <v>1624</v>
      </c>
    </row>
    <row r="141" spans="1:12" ht="21" customHeight="1" x14ac:dyDescent="0.25">
      <c r="A141" s="166" t="s">
        <v>61</v>
      </c>
      <c r="B141" s="42">
        <v>30</v>
      </c>
      <c r="C141" s="171">
        <v>0</v>
      </c>
      <c r="D141" s="117">
        <v>0</v>
      </c>
      <c r="E141" s="169" t="s">
        <v>143</v>
      </c>
      <c r="L141" s="42" t="s">
        <v>1624</v>
      </c>
    </row>
    <row r="142" spans="1:12" ht="21" customHeight="1" x14ac:dyDescent="0.25">
      <c r="A142" s="166" t="s">
        <v>59</v>
      </c>
      <c r="B142" s="42">
        <v>30</v>
      </c>
      <c r="C142" s="171">
        <v>0</v>
      </c>
      <c r="D142" s="117">
        <v>0</v>
      </c>
      <c r="E142" s="169" t="s">
        <v>143</v>
      </c>
      <c r="L142" s="42" t="s">
        <v>1624</v>
      </c>
    </row>
    <row r="143" spans="1:12" ht="21" customHeight="1" x14ac:dyDescent="0.25">
      <c r="A143" s="166" t="s">
        <v>88</v>
      </c>
      <c r="B143" s="42">
        <v>30</v>
      </c>
      <c r="C143" s="171">
        <v>0</v>
      </c>
      <c r="D143" s="117">
        <v>0</v>
      </c>
      <c r="E143" s="169" t="s">
        <v>143</v>
      </c>
      <c r="L143" s="42" t="s">
        <v>1624</v>
      </c>
    </row>
    <row r="144" spans="1:12" ht="21" customHeight="1" x14ac:dyDescent="0.25">
      <c r="A144" s="166" t="s">
        <v>82</v>
      </c>
      <c r="B144" s="42">
        <v>30</v>
      </c>
      <c r="C144" s="171">
        <v>0</v>
      </c>
      <c r="D144" s="117">
        <v>0</v>
      </c>
      <c r="E144" s="169" t="s">
        <v>143</v>
      </c>
      <c r="L144" s="42" t="s">
        <v>1624</v>
      </c>
    </row>
    <row r="145" spans="1:12" ht="21" customHeight="1" x14ac:dyDescent="0.25">
      <c r="A145" s="166" t="s">
        <v>51</v>
      </c>
      <c r="B145" s="42">
        <v>30</v>
      </c>
      <c r="C145" s="171">
        <v>0</v>
      </c>
      <c r="D145" s="117">
        <v>0</v>
      </c>
      <c r="E145" s="169" t="s">
        <v>143</v>
      </c>
      <c r="L145" s="42" t="s">
        <v>1624</v>
      </c>
    </row>
    <row r="146" spans="1:12" ht="21" customHeight="1" x14ac:dyDescent="0.25">
      <c r="A146" s="166" t="s">
        <v>48</v>
      </c>
      <c r="B146" s="42">
        <v>30</v>
      </c>
      <c r="C146" s="171">
        <v>0.19</v>
      </c>
      <c r="D146" s="117" t="s">
        <v>347</v>
      </c>
      <c r="E146" s="169" t="s">
        <v>84</v>
      </c>
      <c r="L146" s="42" t="s">
        <v>1624</v>
      </c>
    </row>
    <row r="147" spans="1:12" ht="21" customHeight="1" x14ac:dyDescent="0.25">
      <c r="A147" s="166" t="s">
        <v>52</v>
      </c>
      <c r="B147" s="42">
        <v>30</v>
      </c>
      <c r="C147" s="171">
        <v>0.19</v>
      </c>
      <c r="D147" s="117" t="s">
        <v>347</v>
      </c>
      <c r="E147" s="169" t="s">
        <v>84</v>
      </c>
      <c r="L147" s="42" t="s">
        <v>1623</v>
      </c>
    </row>
    <row r="148" spans="1:12" ht="21" customHeight="1" x14ac:dyDescent="0.25">
      <c r="A148" s="166" t="s">
        <v>44</v>
      </c>
      <c r="B148" s="42">
        <v>30</v>
      </c>
      <c r="C148" s="171">
        <v>0.19</v>
      </c>
      <c r="D148" s="117" t="s">
        <v>347</v>
      </c>
      <c r="E148" s="169" t="s">
        <v>84</v>
      </c>
      <c r="L148" s="42" t="s">
        <v>1624</v>
      </c>
    </row>
    <row r="149" spans="1:12" ht="21" customHeight="1" x14ac:dyDescent="0.25">
      <c r="A149" s="166" t="s">
        <v>46</v>
      </c>
      <c r="B149" s="42">
        <v>30</v>
      </c>
      <c r="C149" s="171">
        <v>0.19</v>
      </c>
      <c r="D149" s="117" t="s">
        <v>347</v>
      </c>
      <c r="E149" s="169" t="s">
        <v>84</v>
      </c>
      <c r="L149" s="42" t="s">
        <v>1624</v>
      </c>
    </row>
    <row r="150" spans="1:12" ht="21" customHeight="1" x14ac:dyDescent="0.25">
      <c r="A150" s="166" t="s">
        <v>42</v>
      </c>
      <c r="B150" s="42">
        <v>30</v>
      </c>
      <c r="C150" s="171">
        <v>0.19</v>
      </c>
      <c r="D150" s="117">
        <v>0</v>
      </c>
      <c r="E150" s="169" t="s">
        <v>142</v>
      </c>
      <c r="L150" s="42" t="s">
        <v>1623</v>
      </c>
    </row>
    <row r="151" spans="1:12" ht="21" customHeight="1" x14ac:dyDescent="0.25">
      <c r="A151" s="166" t="s">
        <v>63</v>
      </c>
      <c r="B151" s="42">
        <v>30</v>
      </c>
      <c r="C151" s="171">
        <v>0.19</v>
      </c>
      <c r="D151" s="117" t="s">
        <v>347</v>
      </c>
      <c r="E151" s="169" t="s">
        <v>84</v>
      </c>
      <c r="L151" s="42" t="s">
        <v>1623</v>
      </c>
    </row>
    <row r="152" spans="1:12" ht="21" customHeight="1" x14ac:dyDescent="0.25">
      <c r="A152" s="166" t="s">
        <v>36</v>
      </c>
      <c r="B152" s="42">
        <v>30</v>
      </c>
      <c r="C152" s="171">
        <v>0.19</v>
      </c>
      <c r="D152" s="117" t="s">
        <v>347</v>
      </c>
      <c r="E152" s="169" t="s">
        <v>84</v>
      </c>
      <c r="L152" s="42" t="s">
        <v>1623</v>
      </c>
    </row>
    <row r="153" spans="1:12" ht="21" customHeight="1" x14ac:dyDescent="0.25">
      <c r="A153" s="166" t="s">
        <v>116</v>
      </c>
      <c r="B153" s="42">
        <v>30</v>
      </c>
      <c r="C153" s="171">
        <v>0.19</v>
      </c>
      <c r="D153" s="117" t="s">
        <v>347</v>
      </c>
      <c r="E153" s="169" t="s">
        <v>166</v>
      </c>
      <c r="F153" s="20" t="s">
        <v>117</v>
      </c>
      <c r="L153" s="42" t="s">
        <v>1624</v>
      </c>
    </row>
    <row r="154" spans="1:12" ht="21" customHeight="1" x14ac:dyDescent="0.25">
      <c r="A154" s="166" t="s">
        <v>435</v>
      </c>
      <c r="B154" s="42">
        <v>30</v>
      </c>
      <c r="C154" s="171">
        <v>0.19</v>
      </c>
      <c r="D154" s="117" t="s">
        <v>347</v>
      </c>
      <c r="E154" s="169" t="s">
        <v>436</v>
      </c>
      <c r="L154" s="42" t="s">
        <v>1623</v>
      </c>
    </row>
    <row r="155" spans="1:12" ht="21" customHeight="1" x14ac:dyDescent="0.25">
      <c r="A155" s="166" t="s">
        <v>12</v>
      </c>
      <c r="B155" s="42">
        <v>90</v>
      </c>
      <c r="C155" s="171">
        <v>0.19</v>
      </c>
      <c r="D155" s="117" t="s">
        <v>347</v>
      </c>
      <c r="E155" s="169" t="s">
        <v>141</v>
      </c>
      <c r="L155" s="42" t="s">
        <v>1623</v>
      </c>
    </row>
    <row r="156" spans="1:12" ht="21" customHeight="1" x14ac:dyDescent="0.25">
      <c r="A156" s="166" t="s">
        <v>24</v>
      </c>
      <c r="B156" s="42">
        <v>30</v>
      </c>
      <c r="C156" s="171">
        <v>0.19</v>
      </c>
      <c r="D156" s="117" t="s">
        <v>347</v>
      </c>
      <c r="E156" s="169" t="s">
        <v>455</v>
      </c>
      <c r="F156" s="20" t="s">
        <v>468</v>
      </c>
      <c r="L156" s="42" t="s">
        <v>1623</v>
      </c>
    </row>
    <row r="157" spans="1:12" ht="21" customHeight="1" x14ac:dyDescent="0.25">
      <c r="A157" s="166" t="s">
        <v>371</v>
      </c>
      <c r="B157" s="42">
        <v>10</v>
      </c>
      <c r="C157" s="171">
        <v>0.19</v>
      </c>
      <c r="D157" s="117" t="s">
        <v>347</v>
      </c>
      <c r="E157" s="169" t="s">
        <v>213</v>
      </c>
      <c r="L157" s="42" t="s">
        <v>1624</v>
      </c>
    </row>
    <row r="158" spans="1:12" ht="21" customHeight="1" x14ac:dyDescent="0.25">
      <c r="A158" s="166" t="s">
        <v>65</v>
      </c>
      <c r="B158" s="42">
        <v>60</v>
      </c>
      <c r="C158" s="171">
        <v>0.19</v>
      </c>
      <c r="D158" s="117" t="s">
        <v>347</v>
      </c>
      <c r="E158" s="169" t="s">
        <v>399</v>
      </c>
      <c r="L158" s="42" t="s">
        <v>1623</v>
      </c>
    </row>
    <row r="159" spans="1:12" ht="21" customHeight="1" x14ac:dyDescent="0.25">
      <c r="A159" s="166" t="s">
        <v>582</v>
      </c>
      <c r="B159" s="42">
        <v>60</v>
      </c>
      <c r="C159" s="171">
        <v>0.19</v>
      </c>
      <c r="D159" s="117" t="s">
        <v>347</v>
      </c>
      <c r="E159" s="169" t="s">
        <v>583</v>
      </c>
      <c r="L159" s="42" t="s">
        <v>1623</v>
      </c>
    </row>
    <row r="160" spans="1:12" ht="21" customHeight="1" x14ac:dyDescent="0.25">
      <c r="A160" s="166" t="s">
        <v>1163</v>
      </c>
      <c r="B160" s="42">
        <v>30</v>
      </c>
      <c r="C160" s="171">
        <v>0.19</v>
      </c>
      <c r="D160" s="117" t="s">
        <v>347</v>
      </c>
      <c r="E160" s="169" t="s">
        <v>1164</v>
      </c>
      <c r="L160" s="42" t="s">
        <v>1623</v>
      </c>
    </row>
    <row r="161" spans="1:12" ht="21" customHeight="1" x14ac:dyDescent="0.25">
      <c r="A161" s="166" t="s">
        <v>370</v>
      </c>
      <c r="B161" s="42">
        <v>180</v>
      </c>
      <c r="C161" s="171">
        <v>0.05</v>
      </c>
      <c r="D161" s="117" t="s">
        <v>347</v>
      </c>
      <c r="E161" s="169" t="s">
        <v>219</v>
      </c>
      <c r="L161" s="42" t="s">
        <v>1624</v>
      </c>
    </row>
    <row r="162" spans="1:12" ht="21" customHeight="1" x14ac:dyDescent="0.25">
      <c r="A162" s="166" t="s">
        <v>422</v>
      </c>
      <c r="B162" s="42">
        <v>30</v>
      </c>
      <c r="C162" s="171">
        <v>0.19</v>
      </c>
      <c r="D162" s="117" t="s">
        <v>347</v>
      </c>
      <c r="E162" s="169" t="s">
        <v>434</v>
      </c>
      <c r="L162" s="42" t="s">
        <v>1623</v>
      </c>
    </row>
    <row r="163" spans="1:12" ht="21" customHeight="1" x14ac:dyDescent="0.25">
      <c r="A163" s="166" t="s">
        <v>497</v>
      </c>
      <c r="B163" s="42">
        <v>30</v>
      </c>
      <c r="C163" s="171">
        <v>0.19</v>
      </c>
      <c r="D163" s="117" t="s">
        <v>347</v>
      </c>
      <c r="E163" s="172"/>
      <c r="L163" s="42" t="s">
        <v>1623</v>
      </c>
    </row>
    <row r="164" spans="1:12" ht="21" customHeight="1" x14ac:dyDescent="0.25">
      <c r="A164" s="166" t="s">
        <v>369</v>
      </c>
      <c r="B164" s="42">
        <v>30</v>
      </c>
      <c r="C164" s="171">
        <v>0.19</v>
      </c>
      <c r="D164" s="117" t="s">
        <v>347</v>
      </c>
      <c r="E164" s="169" t="s">
        <v>86</v>
      </c>
      <c r="L164" s="42" t="s">
        <v>1624</v>
      </c>
    </row>
    <row r="165" spans="1:12" ht="21" customHeight="1" x14ac:dyDescent="0.25">
      <c r="A165" s="166" t="s">
        <v>1870</v>
      </c>
      <c r="B165" s="42">
        <v>10</v>
      </c>
      <c r="C165" s="171">
        <v>0</v>
      </c>
      <c r="D165" s="117">
        <v>0</v>
      </c>
      <c r="L165" s="42" t="s">
        <v>1624</v>
      </c>
    </row>
    <row r="166" spans="1:12" ht="21" customHeight="1" x14ac:dyDescent="0.25">
      <c r="A166" s="166" t="s">
        <v>1869</v>
      </c>
      <c r="B166" s="42">
        <v>30</v>
      </c>
      <c r="C166" s="171">
        <v>0</v>
      </c>
      <c r="D166" s="117">
        <v>0</v>
      </c>
      <c r="E166" s="169" t="s">
        <v>84</v>
      </c>
      <c r="L166" s="42" t="s">
        <v>1624</v>
      </c>
    </row>
    <row r="167" spans="1:12" ht="21" customHeight="1" x14ac:dyDescent="0.25">
      <c r="A167" s="166" t="s">
        <v>1868</v>
      </c>
      <c r="B167" s="42">
        <v>30</v>
      </c>
      <c r="C167" s="171">
        <v>0</v>
      </c>
      <c r="D167" s="117">
        <v>0</v>
      </c>
      <c r="E167" s="169" t="s">
        <v>84</v>
      </c>
      <c r="L167" s="42" t="s">
        <v>1624</v>
      </c>
    </row>
    <row r="168" spans="1:12" ht="21" customHeight="1" x14ac:dyDescent="0.25">
      <c r="A168" s="166" t="s">
        <v>1867</v>
      </c>
      <c r="B168" s="42">
        <v>30</v>
      </c>
      <c r="C168" s="171">
        <v>0</v>
      </c>
      <c r="D168" s="117">
        <v>0</v>
      </c>
      <c r="L168" s="42" t="s">
        <v>1624</v>
      </c>
    </row>
    <row r="169" spans="1:12" ht="21" customHeight="1" x14ac:dyDescent="0.25">
      <c r="A169" s="166" t="s">
        <v>1872</v>
      </c>
      <c r="B169" s="42">
        <v>30</v>
      </c>
      <c r="C169" s="171">
        <v>0</v>
      </c>
      <c r="D169" s="117">
        <v>0</v>
      </c>
      <c r="E169" s="169" t="s">
        <v>84</v>
      </c>
      <c r="L169" s="42" t="s">
        <v>1624</v>
      </c>
    </row>
    <row r="170" spans="1:12" ht="21" customHeight="1" x14ac:dyDescent="0.25">
      <c r="A170" s="173" t="s">
        <v>1871</v>
      </c>
      <c r="B170" s="42">
        <v>30</v>
      </c>
      <c r="C170" s="171">
        <v>0</v>
      </c>
      <c r="D170" s="117">
        <v>0</v>
      </c>
      <c r="E170" s="172"/>
    </row>
    <row r="171" spans="1:12" ht="21" customHeight="1" x14ac:dyDescent="0.25">
      <c r="A171" s="166" t="s">
        <v>1464</v>
      </c>
      <c r="B171" s="42">
        <v>30</v>
      </c>
      <c r="C171" s="171">
        <v>0.19</v>
      </c>
      <c r="D171" s="117" t="s">
        <v>347</v>
      </c>
      <c r="E171" s="169" t="s">
        <v>1476</v>
      </c>
      <c r="L171" s="42" t="s">
        <v>1623</v>
      </c>
    </row>
    <row r="172" spans="1:12" ht="21" customHeight="1" x14ac:dyDescent="0.25">
      <c r="A172" s="166" t="s">
        <v>45</v>
      </c>
      <c r="B172" s="42">
        <v>30</v>
      </c>
      <c r="C172" s="171">
        <v>0.19</v>
      </c>
      <c r="D172" s="117" t="s">
        <v>347</v>
      </c>
      <c r="E172" s="169" t="s">
        <v>137</v>
      </c>
      <c r="F172" s="20" t="s">
        <v>187</v>
      </c>
      <c r="L172" s="42" t="s">
        <v>1623</v>
      </c>
    </row>
    <row r="173" spans="1:12" ht="21" customHeight="1" x14ac:dyDescent="0.25">
      <c r="A173" s="166" t="s">
        <v>431</v>
      </c>
      <c r="B173" s="42">
        <v>0</v>
      </c>
      <c r="C173" s="171">
        <v>0.19</v>
      </c>
      <c r="D173" s="117">
        <v>0</v>
      </c>
      <c r="E173" s="169" t="s">
        <v>430</v>
      </c>
      <c r="L173" s="42" t="s">
        <v>1624</v>
      </c>
    </row>
    <row r="174" spans="1:12" ht="21" customHeight="1" x14ac:dyDescent="0.25">
      <c r="A174" s="166" t="s">
        <v>424</v>
      </c>
      <c r="B174" s="42">
        <v>30</v>
      </c>
      <c r="C174" s="171">
        <v>0.19</v>
      </c>
      <c r="D174" s="117">
        <v>0</v>
      </c>
      <c r="E174" s="169" t="s">
        <v>398</v>
      </c>
      <c r="L174" s="42" t="s">
        <v>1623</v>
      </c>
    </row>
    <row r="175" spans="1:12" ht="21" customHeight="1" x14ac:dyDescent="0.25">
      <c r="A175" s="166" t="s">
        <v>368</v>
      </c>
      <c r="B175" s="42">
        <v>30</v>
      </c>
      <c r="C175" s="171">
        <v>0.19</v>
      </c>
      <c r="E175" s="169" t="s">
        <v>253</v>
      </c>
      <c r="L175" s="42" t="s">
        <v>1623</v>
      </c>
    </row>
    <row r="176" spans="1:12" ht="21" customHeight="1" x14ac:dyDescent="0.25">
      <c r="A176" s="166" t="s">
        <v>207</v>
      </c>
      <c r="B176" s="42">
        <v>30</v>
      </c>
      <c r="C176" s="171">
        <v>0.19</v>
      </c>
      <c r="D176" s="117" t="s">
        <v>347</v>
      </c>
      <c r="E176" s="169" t="s">
        <v>1579</v>
      </c>
      <c r="L176" s="42" t="s">
        <v>1623</v>
      </c>
    </row>
    <row r="177" spans="1:12" ht="21" customHeight="1" x14ac:dyDescent="0.25">
      <c r="A177" s="166" t="s">
        <v>1219</v>
      </c>
      <c r="B177" s="42">
        <v>90</v>
      </c>
      <c r="C177" s="171">
        <v>0.19</v>
      </c>
      <c r="D177" s="117" t="s">
        <v>347</v>
      </c>
      <c r="E177" s="169" t="s">
        <v>1515</v>
      </c>
      <c r="L177" s="42" t="s">
        <v>1623</v>
      </c>
    </row>
    <row r="178" spans="1:12" ht="21" customHeight="1" x14ac:dyDescent="0.25">
      <c r="A178" s="166" t="s">
        <v>221</v>
      </c>
      <c r="B178" s="42">
        <v>60</v>
      </c>
      <c r="C178" s="171">
        <v>0.19</v>
      </c>
      <c r="D178" s="117" t="s">
        <v>347</v>
      </c>
      <c r="E178" s="169" t="s">
        <v>147</v>
      </c>
      <c r="L178" s="42" t="s">
        <v>1623</v>
      </c>
    </row>
    <row r="179" spans="1:12" ht="21" customHeight="1" x14ac:dyDescent="0.25">
      <c r="A179" s="166" t="s">
        <v>343</v>
      </c>
      <c r="B179" s="42">
        <v>30</v>
      </c>
      <c r="C179" s="171">
        <v>0.19</v>
      </c>
      <c r="D179" s="117">
        <v>0</v>
      </c>
      <c r="E179" s="169" t="s">
        <v>344</v>
      </c>
      <c r="L179" s="42" t="s">
        <v>1623</v>
      </c>
    </row>
    <row r="180" spans="1:12" ht="21" customHeight="1" x14ac:dyDescent="0.25">
      <c r="A180" s="166" t="s">
        <v>367</v>
      </c>
      <c r="B180" s="42">
        <v>0</v>
      </c>
      <c r="C180" s="171">
        <v>0</v>
      </c>
      <c r="D180" s="117">
        <v>0</v>
      </c>
      <c r="E180" s="169" t="s">
        <v>112</v>
      </c>
      <c r="F180" s="20" t="s">
        <v>85</v>
      </c>
      <c r="L180" s="42" t="s">
        <v>1623</v>
      </c>
    </row>
    <row r="181" spans="1:12" ht="21" customHeight="1" x14ac:dyDescent="0.25">
      <c r="A181" s="166" t="s">
        <v>360</v>
      </c>
      <c r="B181" s="42">
        <v>30</v>
      </c>
      <c r="C181" s="171">
        <v>0.19</v>
      </c>
      <c r="D181" s="117">
        <v>0</v>
      </c>
      <c r="E181" s="169" t="s">
        <v>227</v>
      </c>
      <c r="L181" s="42" t="s">
        <v>1624</v>
      </c>
    </row>
    <row r="182" spans="1:12" ht="21" customHeight="1" x14ac:dyDescent="0.25">
      <c r="A182" s="166" t="s">
        <v>220</v>
      </c>
      <c r="B182" s="42">
        <v>30</v>
      </c>
      <c r="C182" s="171">
        <v>0.19</v>
      </c>
      <c r="D182" s="117">
        <v>0</v>
      </c>
      <c r="E182" s="169" t="s">
        <v>227</v>
      </c>
      <c r="L182" s="42" t="s">
        <v>1623</v>
      </c>
    </row>
    <row r="183" spans="1:12" ht="21" customHeight="1" x14ac:dyDescent="0.25">
      <c r="A183" s="166" t="s">
        <v>421</v>
      </c>
      <c r="B183" s="42">
        <v>30</v>
      </c>
      <c r="C183" s="171">
        <v>0</v>
      </c>
      <c r="D183" s="117">
        <v>0</v>
      </c>
      <c r="E183" s="169" t="s">
        <v>423</v>
      </c>
      <c r="L183" s="42" t="s">
        <v>1624</v>
      </c>
    </row>
    <row r="184" spans="1:12" ht="21" customHeight="1" x14ac:dyDescent="0.25">
      <c r="A184" s="166" t="s">
        <v>366</v>
      </c>
      <c r="B184" s="42">
        <v>90</v>
      </c>
      <c r="C184" s="171">
        <v>0</v>
      </c>
      <c r="D184" s="117" t="s">
        <v>348</v>
      </c>
      <c r="E184" s="169" t="s">
        <v>288</v>
      </c>
      <c r="L184" s="42" t="s">
        <v>1624</v>
      </c>
    </row>
    <row r="185" spans="1:12" ht="21" customHeight="1" x14ac:dyDescent="0.25">
      <c r="A185" s="166" t="s">
        <v>392</v>
      </c>
      <c r="B185" s="42">
        <v>20</v>
      </c>
      <c r="C185" s="171">
        <v>0</v>
      </c>
      <c r="D185" s="117">
        <v>0</v>
      </c>
      <c r="E185" s="169" t="s">
        <v>118</v>
      </c>
      <c r="L185" s="42" t="s">
        <v>1624</v>
      </c>
    </row>
    <row r="186" spans="1:12" ht="21" customHeight="1" x14ac:dyDescent="0.25">
      <c r="A186" s="166" t="s">
        <v>1883</v>
      </c>
      <c r="B186" s="42">
        <v>30</v>
      </c>
      <c r="C186" s="171">
        <v>0.19</v>
      </c>
      <c r="D186" s="117" t="s">
        <v>347</v>
      </c>
      <c r="E186" s="169" t="s">
        <v>1884</v>
      </c>
      <c r="L186" s="42" t="s">
        <v>1623</v>
      </c>
    </row>
    <row r="187" spans="1:12" ht="21" customHeight="1" x14ac:dyDescent="0.25">
      <c r="A187" s="166" t="s">
        <v>224</v>
      </c>
      <c r="B187" s="42">
        <v>45</v>
      </c>
      <c r="C187" s="171">
        <v>0</v>
      </c>
      <c r="D187" s="117">
        <v>0</v>
      </c>
      <c r="E187" s="169" t="s">
        <v>603</v>
      </c>
      <c r="L187" s="42" t="s">
        <v>1623</v>
      </c>
    </row>
    <row r="188" spans="1:12" ht="21" customHeight="1" x14ac:dyDescent="0.25">
      <c r="A188" s="166" t="s">
        <v>1726</v>
      </c>
      <c r="B188" s="42">
        <v>45</v>
      </c>
      <c r="C188" s="171">
        <v>0</v>
      </c>
      <c r="D188" s="117">
        <v>0</v>
      </c>
      <c r="E188" s="169" t="s">
        <v>603</v>
      </c>
      <c r="L188" s="42" t="s">
        <v>1623</v>
      </c>
    </row>
    <row r="189" spans="1:12" ht="21" customHeight="1" x14ac:dyDescent="0.25">
      <c r="A189" s="166" t="s">
        <v>223</v>
      </c>
      <c r="B189" s="42">
        <v>45</v>
      </c>
      <c r="C189" s="171">
        <v>0</v>
      </c>
      <c r="D189" s="117">
        <v>0</v>
      </c>
      <c r="E189" s="169" t="s">
        <v>603</v>
      </c>
      <c r="L189" s="42" t="s">
        <v>1623</v>
      </c>
    </row>
    <row r="190" spans="1:12" ht="21" customHeight="1" x14ac:dyDescent="0.25">
      <c r="A190" s="166" t="s">
        <v>222</v>
      </c>
      <c r="B190" s="42">
        <v>60</v>
      </c>
      <c r="C190" s="171">
        <v>0</v>
      </c>
      <c r="D190" s="117">
        <v>0</v>
      </c>
      <c r="E190" s="169" t="s">
        <v>603</v>
      </c>
      <c r="L190" s="42" t="s">
        <v>1623</v>
      </c>
    </row>
    <row r="191" spans="1:12" ht="21" customHeight="1" x14ac:dyDescent="0.25">
      <c r="A191" s="173" t="s">
        <v>1859</v>
      </c>
      <c r="B191" s="42">
        <v>45</v>
      </c>
      <c r="C191" s="171">
        <v>0</v>
      </c>
      <c r="D191" s="117">
        <v>0</v>
      </c>
      <c r="E191" s="172" t="s">
        <v>603</v>
      </c>
    </row>
    <row r="192" spans="1:12" ht="21" customHeight="1" x14ac:dyDescent="0.25">
      <c r="A192" s="166" t="s">
        <v>40</v>
      </c>
      <c r="B192" s="42">
        <v>30</v>
      </c>
      <c r="C192" s="171">
        <v>0.19</v>
      </c>
      <c r="D192" s="117" t="s">
        <v>347</v>
      </c>
      <c r="E192" s="169" t="s">
        <v>84</v>
      </c>
      <c r="L192" s="42" t="s">
        <v>1623</v>
      </c>
    </row>
    <row r="193" spans="1:12" ht="21" customHeight="1" x14ac:dyDescent="0.25">
      <c r="A193" s="166" t="s">
        <v>365</v>
      </c>
      <c r="B193" s="42">
        <v>30</v>
      </c>
      <c r="C193" s="171">
        <v>0</v>
      </c>
      <c r="D193" s="117">
        <v>0</v>
      </c>
      <c r="E193" s="169" t="s">
        <v>140</v>
      </c>
      <c r="L193" s="42" t="s">
        <v>1624</v>
      </c>
    </row>
    <row r="194" spans="1:12" ht="21" customHeight="1" x14ac:dyDescent="0.25">
      <c r="A194" s="166" t="s">
        <v>365</v>
      </c>
      <c r="B194" s="42">
        <v>0</v>
      </c>
      <c r="C194" s="171">
        <v>0.19</v>
      </c>
      <c r="D194" s="117">
        <v>0</v>
      </c>
      <c r="E194" s="169" t="s">
        <v>140</v>
      </c>
      <c r="F194" s="20" t="s">
        <v>458</v>
      </c>
      <c r="L194" s="42" t="s">
        <v>1624</v>
      </c>
    </row>
    <row r="195" spans="1:12" ht="21" customHeight="1" x14ac:dyDescent="0.25">
      <c r="A195" s="166" t="s">
        <v>364</v>
      </c>
      <c r="B195" s="42">
        <v>10</v>
      </c>
      <c r="C195" s="171">
        <v>0.19</v>
      </c>
      <c r="D195" s="117">
        <v>0</v>
      </c>
      <c r="L195" s="42" t="s">
        <v>1624</v>
      </c>
    </row>
    <row r="196" spans="1:12" ht="21" customHeight="1" x14ac:dyDescent="0.25">
      <c r="A196" s="166" t="s">
        <v>450</v>
      </c>
      <c r="B196" s="42">
        <v>0</v>
      </c>
      <c r="C196" s="171">
        <v>0.19</v>
      </c>
      <c r="D196" s="117" t="s">
        <v>347</v>
      </c>
      <c r="E196" s="172" t="s">
        <v>118</v>
      </c>
      <c r="L196" s="42" t="s">
        <v>1624</v>
      </c>
    </row>
    <row r="197" spans="1:12" ht="21" customHeight="1" x14ac:dyDescent="0.25">
      <c r="A197" s="166" t="s">
        <v>47</v>
      </c>
      <c r="B197" s="42">
        <v>30</v>
      </c>
      <c r="C197" s="171">
        <v>0.19</v>
      </c>
      <c r="D197" s="117" t="s">
        <v>347</v>
      </c>
      <c r="E197" s="169" t="s">
        <v>84</v>
      </c>
      <c r="L197" s="42" t="s">
        <v>1623</v>
      </c>
    </row>
    <row r="198" spans="1:12" ht="21" customHeight="1" x14ac:dyDescent="0.25">
      <c r="A198" s="173" t="s">
        <v>1626</v>
      </c>
      <c r="B198" s="42">
        <v>30</v>
      </c>
      <c r="C198" s="171">
        <v>0</v>
      </c>
      <c r="D198" s="117">
        <v>0</v>
      </c>
      <c r="E198" s="172"/>
      <c r="L198" s="42" t="s">
        <v>1623</v>
      </c>
    </row>
    <row r="199" spans="1:12" ht="21" customHeight="1" x14ac:dyDescent="0.25">
      <c r="A199" s="166" t="s">
        <v>995</v>
      </c>
      <c r="B199" s="42">
        <v>0</v>
      </c>
      <c r="C199" s="171">
        <v>0.19</v>
      </c>
      <c r="D199" s="117" t="s">
        <v>347</v>
      </c>
      <c r="E199" s="172"/>
      <c r="L199" s="42" t="s">
        <v>1623</v>
      </c>
    </row>
    <row r="200" spans="1:12" ht="21" customHeight="1" x14ac:dyDescent="0.25">
      <c r="A200" s="166" t="s">
        <v>363</v>
      </c>
      <c r="B200" s="42">
        <v>30</v>
      </c>
      <c r="C200" s="171">
        <v>0.19</v>
      </c>
      <c r="D200" s="117" t="s">
        <v>350</v>
      </c>
      <c r="L200" s="42" t="s">
        <v>1624</v>
      </c>
    </row>
    <row r="201" spans="1:12" ht="21" customHeight="1" x14ac:dyDescent="0.25">
      <c r="A201" s="166" t="s">
        <v>428</v>
      </c>
      <c r="B201" s="42">
        <v>30</v>
      </c>
      <c r="C201" s="171">
        <v>0.19</v>
      </c>
      <c r="D201" s="117" t="s">
        <v>347</v>
      </c>
      <c r="E201" s="169" t="s">
        <v>444</v>
      </c>
      <c r="L201" s="42" t="s">
        <v>1624</v>
      </c>
    </row>
    <row r="202" spans="1:12" ht="21" customHeight="1" x14ac:dyDescent="0.25">
      <c r="A202" s="166" t="s">
        <v>21</v>
      </c>
      <c r="B202" s="42">
        <v>30</v>
      </c>
      <c r="C202" s="171">
        <v>0.19</v>
      </c>
      <c r="D202" s="117" t="s">
        <v>347</v>
      </c>
      <c r="E202" s="169" t="s">
        <v>444</v>
      </c>
      <c r="L202" s="42" t="s">
        <v>1623</v>
      </c>
    </row>
    <row r="203" spans="1:12" ht="21" customHeight="1" x14ac:dyDescent="0.25">
      <c r="A203" s="166" t="s">
        <v>20</v>
      </c>
      <c r="B203" s="42">
        <v>30</v>
      </c>
      <c r="C203" s="171">
        <v>0.19</v>
      </c>
      <c r="D203" s="117" t="s">
        <v>347</v>
      </c>
      <c r="E203" s="169" t="s">
        <v>111</v>
      </c>
      <c r="F203" s="20" t="s">
        <v>170</v>
      </c>
      <c r="L203" s="42" t="s">
        <v>1623</v>
      </c>
    </row>
    <row r="204" spans="1:12" ht="21" customHeight="1" x14ac:dyDescent="0.25">
      <c r="A204" s="166" t="s">
        <v>487</v>
      </c>
      <c r="B204" s="42">
        <v>30</v>
      </c>
      <c r="C204" s="171">
        <v>0</v>
      </c>
      <c r="D204" s="117">
        <v>0</v>
      </c>
      <c r="E204" s="172"/>
      <c r="L204" s="42" t="s">
        <v>1624</v>
      </c>
    </row>
    <row r="205" spans="1:12" ht="21" customHeight="1" x14ac:dyDescent="0.25">
      <c r="A205" s="166" t="s">
        <v>488</v>
      </c>
      <c r="B205" s="42">
        <v>30</v>
      </c>
      <c r="C205" s="171">
        <v>0.19</v>
      </c>
      <c r="D205" s="117" t="s">
        <v>347</v>
      </c>
      <c r="E205" s="172"/>
      <c r="L205" s="42" t="s">
        <v>1624</v>
      </c>
    </row>
    <row r="206" spans="1:12" ht="21" customHeight="1" x14ac:dyDescent="0.25">
      <c r="A206" s="166" t="s">
        <v>1217</v>
      </c>
      <c r="B206" s="42">
        <v>30</v>
      </c>
      <c r="C206" s="171">
        <v>0.19</v>
      </c>
      <c r="D206" s="117" t="s">
        <v>347</v>
      </c>
      <c r="E206" s="169" t="s">
        <v>1218</v>
      </c>
      <c r="L206" s="42" t="s">
        <v>1623</v>
      </c>
    </row>
    <row r="207" spans="1:12" ht="21" customHeight="1" x14ac:dyDescent="0.25">
      <c r="A207" s="166" t="s">
        <v>225</v>
      </c>
      <c r="B207" s="42">
        <v>30</v>
      </c>
      <c r="C207" s="171">
        <v>0.19</v>
      </c>
      <c r="D207" s="117" t="s">
        <v>347</v>
      </c>
      <c r="L207" s="42" t="s">
        <v>1623</v>
      </c>
    </row>
    <row r="208" spans="1:12" ht="21" customHeight="1" x14ac:dyDescent="0.25">
      <c r="A208" s="166" t="s">
        <v>362</v>
      </c>
      <c r="B208" s="42">
        <v>30</v>
      </c>
      <c r="C208" s="171">
        <v>0.19</v>
      </c>
      <c r="D208" s="117">
        <v>0</v>
      </c>
      <c r="E208" s="169" t="s">
        <v>118</v>
      </c>
      <c r="L208" s="42" t="s">
        <v>1624</v>
      </c>
    </row>
    <row r="209" spans="1:12" ht="21" customHeight="1" x14ac:dyDescent="0.25">
      <c r="A209" s="166" t="s">
        <v>211</v>
      </c>
      <c r="B209" s="42">
        <v>30</v>
      </c>
      <c r="C209" s="171">
        <v>0.19</v>
      </c>
      <c r="D209" s="117">
        <v>0</v>
      </c>
      <c r="L209" s="42" t="s">
        <v>1624</v>
      </c>
    </row>
    <row r="210" spans="1:12" ht="21" customHeight="1" x14ac:dyDescent="0.25">
      <c r="A210" s="166" t="s">
        <v>215</v>
      </c>
      <c r="B210" s="42">
        <v>20</v>
      </c>
      <c r="C210" s="171">
        <v>0</v>
      </c>
      <c r="D210" s="117" t="s">
        <v>350</v>
      </c>
      <c r="E210" s="169" t="s">
        <v>216</v>
      </c>
      <c r="L210" s="42" t="s">
        <v>1623</v>
      </c>
    </row>
    <row r="211" spans="1:12" ht="21" customHeight="1" x14ac:dyDescent="0.25">
      <c r="A211" s="166" t="s">
        <v>164</v>
      </c>
      <c r="B211" s="42">
        <v>30</v>
      </c>
      <c r="C211" s="171">
        <v>0.19</v>
      </c>
      <c r="D211" s="117" t="s">
        <v>347</v>
      </c>
      <c r="L211" s="42" t="s">
        <v>1623</v>
      </c>
    </row>
    <row r="212" spans="1:12" ht="21" customHeight="1" x14ac:dyDescent="0.25">
      <c r="A212" s="166" t="s">
        <v>198</v>
      </c>
      <c r="B212" s="42">
        <v>10</v>
      </c>
      <c r="C212" s="171">
        <v>0.19</v>
      </c>
      <c r="D212" s="117" t="s">
        <v>347</v>
      </c>
      <c r="E212" s="169" t="s">
        <v>197</v>
      </c>
      <c r="L212" s="42" t="s">
        <v>1624</v>
      </c>
    </row>
    <row r="213" spans="1:12" ht="21" customHeight="1" x14ac:dyDescent="0.25">
      <c r="A213" s="166" t="s">
        <v>182</v>
      </c>
      <c r="B213" s="42">
        <v>10</v>
      </c>
      <c r="C213" s="171">
        <v>0</v>
      </c>
      <c r="D213" s="117">
        <v>0</v>
      </c>
      <c r="L213" s="42" t="s">
        <v>1624</v>
      </c>
    </row>
    <row r="214" spans="1:12" ht="21" customHeight="1" x14ac:dyDescent="0.25">
      <c r="A214" s="166" t="s">
        <v>50</v>
      </c>
      <c r="B214" s="42">
        <v>30</v>
      </c>
      <c r="C214" s="171">
        <v>0.19</v>
      </c>
      <c r="D214" s="117">
        <v>0</v>
      </c>
      <c r="E214" s="169" t="s">
        <v>186</v>
      </c>
      <c r="L214" s="42" t="s">
        <v>1623</v>
      </c>
    </row>
    <row r="215" spans="1:12" ht="21" customHeight="1" x14ac:dyDescent="0.25">
      <c r="A215" s="166" t="s">
        <v>287</v>
      </c>
      <c r="B215" s="42">
        <v>30</v>
      </c>
      <c r="C215" s="171">
        <v>0.19</v>
      </c>
      <c r="D215" s="117" t="s">
        <v>347</v>
      </c>
      <c r="L215" s="42" t="s">
        <v>1623</v>
      </c>
    </row>
    <row r="216" spans="1:12" ht="21" customHeight="1" x14ac:dyDescent="0.25">
      <c r="A216" s="166" t="s">
        <v>286</v>
      </c>
      <c r="B216" s="42">
        <v>30</v>
      </c>
      <c r="C216" s="171">
        <v>0</v>
      </c>
      <c r="D216" s="117">
        <v>0</v>
      </c>
      <c r="L216" s="42" t="s">
        <v>1623</v>
      </c>
    </row>
    <row r="217" spans="1:12" ht="21" customHeight="1" x14ac:dyDescent="0.25">
      <c r="A217" s="166" t="s">
        <v>285</v>
      </c>
      <c r="B217" s="42">
        <v>30</v>
      </c>
      <c r="C217" s="171">
        <v>0</v>
      </c>
      <c r="D217" s="117">
        <v>0</v>
      </c>
      <c r="E217" s="169" t="s">
        <v>139</v>
      </c>
      <c r="L217" s="42" t="s">
        <v>1623</v>
      </c>
    </row>
    <row r="218" spans="1:12" ht="21" customHeight="1" x14ac:dyDescent="0.25">
      <c r="A218" s="166" t="s">
        <v>328</v>
      </c>
      <c r="B218" s="42">
        <v>30</v>
      </c>
      <c r="C218" s="171">
        <v>0</v>
      </c>
      <c r="D218" s="117">
        <v>0</v>
      </c>
      <c r="E218" s="169" t="s">
        <v>139</v>
      </c>
      <c r="L218" s="42" t="s">
        <v>1623</v>
      </c>
    </row>
    <row r="219" spans="1:12" ht="21" customHeight="1" x14ac:dyDescent="0.25">
      <c r="A219" s="166" t="s">
        <v>284</v>
      </c>
      <c r="B219" s="42">
        <v>30</v>
      </c>
      <c r="C219" s="171">
        <v>0</v>
      </c>
      <c r="D219" s="117">
        <v>0</v>
      </c>
      <c r="E219" s="169" t="s">
        <v>200</v>
      </c>
      <c r="L219" s="42" t="s">
        <v>1623</v>
      </c>
    </row>
    <row r="220" spans="1:12" ht="21" customHeight="1" x14ac:dyDescent="0.25">
      <c r="A220" s="166" t="s">
        <v>327</v>
      </c>
      <c r="B220" s="42">
        <v>30</v>
      </c>
      <c r="C220" s="171">
        <v>0</v>
      </c>
      <c r="D220" s="117">
        <v>0</v>
      </c>
      <c r="E220" s="169" t="s">
        <v>84</v>
      </c>
      <c r="L220" s="42" t="s">
        <v>1623</v>
      </c>
    </row>
    <row r="221" spans="1:12" ht="21" customHeight="1" x14ac:dyDescent="0.25">
      <c r="A221" s="166" t="s">
        <v>326</v>
      </c>
      <c r="B221" s="42">
        <v>30</v>
      </c>
      <c r="C221" s="171">
        <v>0</v>
      </c>
      <c r="D221" s="117">
        <v>0</v>
      </c>
      <c r="E221" s="169" t="s">
        <v>84</v>
      </c>
      <c r="L221" s="42" t="s">
        <v>1623</v>
      </c>
    </row>
    <row r="222" spans="1:12" ht="21" customHeight="1" x14ac:dyDescent="0.25">
      <c r="A222" s="166" t="s">
        <v>283</v>
      </c>
      <c r="B222" s="42">
        <v>30</v>
      </c>
      <c r="C222" s="171">
        <v>0</v>
      </c>
      <c r="D222" s="117">
        <v>0</v>
      </c>
      <c r="E222" s="169" t="s">
        <v>84</v>
      </c>
      <c r="L222" s="42" t="s">
        <v>1623</v>
      </c>
    </row>
    <row r="223" spans="1:12" ht="21" customHeight="1" x14ac:dyDescent="0.25">
      <c r="A223" s="166" t="s">
        <v>486</v>
      </c>
      <c r="B223" s="42">
        <v>30</v>
      </c>
      <c r="C223" s="171">
        <v>0</v>
      </c>
      <c r="D223" s="117">
        <v>0</v>
      </c>
      <c r="E223" s="172"/>
      <c r="L223" s="42" t="s">
        <v>1624</v>
      </c>
    </row>
    <row r="224" spans="1:12" ht="21" customHeight="1" x14ac:dyDescent="0.25">
      <c r="A224" s="166" t="s">
        <v>282</v>
      </c>
      <c r="B224" s="42">
        <v>30</v>
      </c>
      <c r="C224" s="171">
        <v>0</v>
      </c>
      <c r="D224" s="117">
        <v>0</v>
      </c>
      <c r="L224" s="42" t="s">
        <v>1623</v>
      </c>
    </row>
    <row r="225" spans="1:12" ht="21" customHeight="1" x14ac:dyDescent="0.25">
      <c r="A225" s="166" t="s">
        <v>729</v>
      </c>
      <c r="B225" s="42">
        <v>30</v>
      </c>
      <c r="C225" s="171">
        <v>0</v>
      </c>
      <c r="D225" s="117">
        <v>0</v>
      </c>
      <c r="E225" s="172"/>
      <c r="L225" s="42" t="s">
        <v>1623</v>
      </c>
    </row>
    <row r="226" spans="1:12" ht="21" customHeight="1" x14ac:dyDescent="0.25">
      <c r="A226" s="166" t="s">
        <v>325</v>
      </c>
      <c r="B226" s="42">
        <v>30</v>
      </c>
      <c r="C226" s="171">
        <v>0</v>
      </c>
      <c r="D226" s="117">
        <v>0</v>
      </c>
      <c r="E226" s="169" t="s">
        <v>84</v>
      </c>
      <c r="L226" s="42" t="s">
        <v>1623</v>
      </c>
    </row>
    <row r="227" spans="1:12" ht="21" customHeight="1" x14ac:dyDescent="0.25">
      <c r="A227" s="166" t="s">
        <v>324</v>
      </c>
      <c r="B227" s="42">
        <v>30</v>
      </c>
      <c r="C227" s="171">
        <v>0</v>
      </c>
      <c r="D227" s="117">
        <v>0</v>
      </c>
      <c r="E227" s="169" t="s">
        <v>84</v>
      </c>
      <c r="L227" s="42" t="s">
        <v>1624</v>
      </c>
    </row>
    <row r="228" spans="1:12" ht="21" customHeight="1" x14ac:dyDescent="0.25">
      <c r="A228" s="166" t="s">
        <v>281</v>
      </c>
      <c r="B228" s="42">
        <v>20</v>
      </c>
      <c r="C228" s="171">
        <v>0</v>
      </c>
      <c r="D228" s="117">
        <v>0</v>
      </c>
      <c r="L228" s="42" t="s">
        <v>1624</v>
      </c>
    </row>
    <row r="229" spans="1:12" ht="21" customHeight="1" x14ac:dyDescent="0.25">
      <c r="A229" s="166" t="s">
        <v>280</v>
      </c>
      <c r="B229" s="42">
        <v>30</v>
      </c>
      <c r="C229" s="171">
        <v>0</v>
      </c>
      <c r="D229" s="117">
        <v>0</v>
      </c>
      <c r="E229" s="169" t="s">
        <v>192</v>
      </c>
      <c r="L229" s="42" t="s">
        <v>1623</v>
      </c>
    </row>
    <row r="230" spans="1:12" ht="21" customHeight="1" x14ac:dyDescent="0.25">
      <c r="A230" s="166" t="s">
        <v>279</v>
      </c>
      <c r="B230" s="42">
        <v>30</v>
      </c>
      <c r="C230" s="171">
        <v>0</v>
      </c>
      <c r="D230" s="117">
        <v>0</v>
      </c>
      <c r="E230" s="169" t="s">
        <v>84</v>
      </c>
      <c r="L230" s="42" t="s">
        <v>1623</v>
      </c>
    </row>
    <row r="231" spans="1:12" ht="21" customHeight="1" x14ac:dyDescent="0.25">
      <c r="A231" s="166" t="s">
        <v>323</v>
      </c>
      <c r="B231" s="42">
        <v>30</v>
      </c>
      <c r="C231" s="171">
        <v>0</v>
      </c>
      <c r="D231" s="117">
        <v>0</v>
      </c>
      <c r="E231" s="169" t="s">
        <v>84</v>
      </c>
      <c r="L231" s="42" t="s">
        <v>1624</v>
      </c>
    </row>
    <row r="232" spans="1:12" ht="21" customHeight="1" x14ac:dyDescent="0.25">
      <c r="A232" s="166" t="s">
        <v>322</v>
      </c>
      <c r="B232" s="42">
        <v>30</v>
      </c>
      <c r="C232" s="171">
        <v>0</v>
      </c>
      <c r="D232" s="117">
        <v>0</v>
      </c>
      <c r="E232" s="169" t="s">
        <v>84</v>
      </c>
      <c r="L232" s="42" t="s">
        <v>1623</v>
      </c>
    </row>
    <row r="233" spans="1:12" ht="21" customHeight="1" x14ac:dyDescent="0.25">
      <c r="A233" s="166" t="s">
        <v>396</v>
      </c>
      <c r="B233" s="42">
        <v>8</v>
      </c>
      <c r="C233" s="171">
        <v>0</v>
      </c>
      <c r="D233" s="117">
        <v>0</v>
      </c>
      <c r="L233" s="42" t="s">
        <v>1623</v>
      </c>
    </row>
    <row r="234" spans="1:12" ht="21" customHeight="1" x14ac:dyDescent="0.25">
      <c r="A234" s="166" t="s">
        <v>836</v>
      </c>
      <c r="B234" s="42">
        <v>30</v>
      </c>
      <c r="C234" s="171">
        <v>0</v>
      </c>
      <c r="D234" s="117">
        <v>0</v>
      </c>
      <c r="E234" s="172"/>
      <c r="L234" s="42" t="s">
        <v>1623</v>
      </c>
    </row>
    <row r="235" spans="1:12" ht="21" customHeight="1" x14ac:dyDescent="0.25">
      <c r="A235" s="166" t="s">
        <v>278</v>
      </c>
      <c r="B235" s="42">
        <v>30</v>
      </c>
      <c r="C235" s="171">
        <v>0</v>
      </c>
      <c r="D235" s="117">
        <v>0</v>
      </c>
      <c r="E235" s="169" t="s">
        <v>277</v>
      </c>
      <c r="L235" s="42" t="s">
        <v>1623</v>
      </c>
    </row>
    <row r="236" spans="1:12" ht="21" customHeight="1" x14ac:dyDescent="0.25">
      <c r="A236" s="166" t="s">
        <v>321</v>
      </c>
      <c r="B236" s="42">
        <v>30</v>
      </c>
      <c r="C236" s="171">
        <v>0</v>
      </c>
      <c r="D236" s="117">
        <v>0</v>
      </c>
      <c r="E236" s="169" t="s">
        <v>84</v>
      </c>
      <c r="L236" s="42" t="s">
        <v>1624</v>
      </c>
    </row>
    <row r="237" spans="1:12" ht="21" customHeight="1" x14ac:dyDescent="0.25">
      <c r="A237" s="166" t="s">
        <v>320</v>
      </c>
      <c r="B237" s="42">
        <v>30</v>
      </c>
      <c r="C237" s="171">
        <v>0</v>
      </c>
      <c r="D237" s="117">
        <v>0</v>
      </c>
      <c r="E237" s="169" t="s">
        <v>84</v>
      </c>
      <c r="L237" s="42" t="s">
        <v>1624</v>
      </c>
    </row>
    <row r="238" spans="1:12" ht="21" customHeight="1" x14ac:dyDescent="0.25">
      <c r="A238" s="166" t="s">
        <v>726</v>
      </c>
      <c r="B238" s="42">
        <v>30</v>
      </c>
      <c r="C238" s="171">
        <v>0</v>
      </c>
      <c r="D238" s="117">
        <v>0</v>
      </c>
      <c r="E238" s="169" t="s">
        <v>711</v>
      </c>
      <c r="G238" s="42" t="s">
        <v>1623</v>
      </c>
      <c r="H238" s="42"/>
      <c r="I238" s="42"/>
      <c r="L238" s="42" t="s">
        <v>1623</v>
      </c>
    </row>
    <row r="239" spans="1:12" ht="21" customHeight="1" x14ac:dyDescent="0.25">
      <c r="A239" s="166" t="s">
        <v>416</v>
      </c>
      <c r="B239" s="42">
        <v>0</v>
      </c>
      <c r="C239" s="171">
        <v>0</v>
      </c>
      <c r="D239" s="117">
        <v>0</v>
      </c>
      <c r="L239" s="42" t="s">
        <v>1624</v>
      </c>
    </row>
    <row r="240" spans="1:12" ht="21" customHeight="1" x14ac:dyDescent="0.25">
      <c r="A240" s="166" t="s">
        <v>276</v>
      </c>
      <c r="B240" s="42">
        <v>30</v>
      </c>
      <c r="C240" s="171">
        <v>0</v>
      </c>
      <c r="D240" s="117">
        <v>0</v>
      </c>
      <c r="E240" s="169" t="s">
        <v>84</v>
      </c>
      <c r="L240" s="42" t="s">
        <v>1623</v>
      </c>
    </row>
    <row r="241" spans="1:12" ht="21" customHeight="1" x14ac:dyDescent="0.25">
      <c r="A241" s="166" t="s">
        <v>319</v>
      </c>
      <c r="B241" s="42">
        <v>30</v>
      </c>
      <c r="C241" s="171">
        <v>0</v>
      </c>
      <c r="D241" s="117">
        <v>0</v>
      </c>
      <c r="E241" s="169" t="s">
        <v>84</v>
      </c>
      <c r="L241" s="42" t="s">
        <v>1623</v>
      </c>
    </row>
    <row r="242" spans="1:12" ht="21" customHeight="1" x14ac:dyDescent="0.25">
      <c r="A242" s="166" t="s">
        <v>275</v>
      </c>
      <c r="B242" s="42">
        <v>30</v>
      </c>
      <c r="C242" s="171">
        <v>0</v>
      </c>
      <c r="D242" s="117">
        <v>0</v>
      </c>
      <c r="E242" s="169" t="s">
        <v>169</v>
      </c>
      <c r="L242" s="42" t="s">
        <v>1623</v>
      </c>
    </row>
    <row r="243" spans="1:12" ht="21" customHeight="1" x14ac:dyDescent="0.25">
      <c r="A243" s="166" t="s">
        <v>318</v>
      </c>
      <c r="B243" s="42">
        <v>30</v>
      </c>
      <c r="C243" s="171">
        <v>0</v>
      </c>
      <c r="D243" s="117">
        <v>0</v>
      </c>
      <c r="E243" s="169" t="s">
        <v>84</v>
      </c>
      <c r="L243" s="42" t="s">
        <v>1623</v>
      </c>
    </row>
    <row r="244" spans="1:12" ht="21" customHeight="1" x14ac:dyDescent="0.25">
      <c r="A244" s="166" t="s">
        <v>317</v>
      </c>
      <c r="B244" s="42">
        <v>30</v>
      </c>
      <c r="C244" s="171">
        <v>0</v>
      </c>
      <c r="D244" s="117">
        <v>0</v>
      </c>
      <c r="E244" s="169" t="s">
        <v>84</v>
      </c>
      <c r="L244" s="42" t="s">
        <v>1623</v>
      </c>
    </row>
    <row r="245" spans="1:12" ht="21" customHeight="1" x14ac:dyDescent="0.25">
      <c r="A245" s="166" t="s">
        <v>274</v>
      </c>
      <c r="B245" s="42">
        <v>30</v>
      </c>
      <c r="C245" s="171">
        <v>0</v>
      </c>
      <c r="D245" s="117">
        <v>0</v>
      </c>
      <c r="E245" s="169" t="s">
        <v>84</v>
      </c>
      <c r="L245" s="42" t="s">
        <v>1623</v>
      </c>
    </row>
    <row r="246" spans="1:12" ht="21" customHeight="1" x14ac:dyDescent="0.25">
      <c r="A246" s="166" t="s">
        <v>316</v>
      </c>
      <c r="B246" s="42">
        <v>30</v>
      </c>
      <c r="C246" s="171">
        <v>0</v>
      </c>
      <c r="D246" s="117">
        <v>0</v>
      </c>
      <c r="E246" s="169" t="s">
        <v>84</v>
      </c>
      <c r="L246" s="42" t="s">
        <v>1624</v>
      </c>
    </row>
    <row r="247" spans="1:12" ht="21" customHeight="1" x14ac:dyDescent="0.25">
      <c r="A247" s="166" t="s">
        <v>1457</v>
      </c>
      <c r="B247" s="42">
        <v>10</v>
      </c>
      <c r="C247" s="171">
        <v>0</v>
      </c>
      <c r="D247" s="117">
        <v>0</v>
      </c>
      <c r="E247" s="172"/>
      <c r="L247" s="42" t="s">
        <v>1623</v>
      </c>
    </row>
    <row r="248" spans="1:12" ht="21" customHeight="1" x14ac:dyDescent="0.25">
      <c r="A248" s="166" t="s">
        <v>273</v>
      </c>
      <c r="B248" s="42">
        <v>30</v>
      </c>
      <c r="C248" s="171">
        <v>0</v>
      </c>
      <c r="D248" s="117">
        <v>0</v>
      </c>
      <c r="E248" s="169" t="s">
        <v>84</v>
      </c>
      <c r="L248" s="42" t="s">
        <v>1624</v>
      </c>
    </row>
    <row r="249" spans="1:12" ht="21" customHeight="1" x14ac:dyDescent="0.25">
      <c r="A249" s="166" t="s">
        <v>315</v>
      </c>
      <c r="B249" s="42">
        <v>30</v>
      </c>
      <c r="C249" s="171">
        <v>0</v>
      </c>
      <c r="D249" s="117">
        <v>0</v>
      </c>
      <c r="E249" s="169" t="s">
        <v>84</v>
      </c>
      <c r="L249" s="42" t="s">
        <v>1623</v>
      </c>
    </row>
    <row r="250" spans="1:12" ht="21" customHeight="1" x14ac:dyDescent="0.25">
      <c r="A250" s="166" t="s">
        <v>272</v>
      </c>
      <c r="B250" s="42">
        <v>30</v>
      </c>
      <c r="C250" s="171">
        <v>0</v>
      </c>
      <c r="D250" s="117">
        <v>0</v>
      </c>
      <c r="E250" s="169" t="s">
        <v>84</v>
      </c>
      <c r="L250" s="42" t="s">
        <v>1624</v>
      </c>
    </row>
    <row r="251" spans="1:12" ht="21" customHeight="1" x14ac:dyDescent="0.25">
      <c r="A251" s="166" t="s">
        <v>314</v>
      </c>
      <c r="B251" s="42">
        <v>30</v>
      </c>
      <c r="C251" s="171">
        <v>0</v>
      </c>
      <c r="D251" s="117">
        <v>0</v>
      </c>
      <c r="E251" s="169" t="s">
        <v>84</v>
      </c>
      <c r="L251" s="42" t="s">
        <v>1624</v>
      </c>
    </row>
    <row r="252" spans="1:12" ht="21" customHeight="1" x14ac:dyDescent="0.25">
      <c r="A252" s="166" t="s">
        <v>400</v>
      </c>
      <c r="B252" s="42">
        <v>30</v>
      </c>
      <c r="C252" s="171">
        <v>0</v>
      </c>
      <c r="D252" s="117">
        <v>0</v>
      </c>
      <c r="L252" s="42" t="s">
        <v>1623</v>
      </c>
    </row>
    <row r="253" spans="1:12" ht="21" customHeight="1" x14ac:dyDescent="0.25">
      <c r="A253" s="166" t="s">
        <v>271</v>
      </c>
      <c r="B253" s="42">
        <v>30</v>
      </c>
      <c r="C253" s="171">
        <v>0</v>
      </c>
      <c r="D253" s="117">
        <v>0</v>
      </c>
      <c r="E253" s="169" t="s">
        <v>84</v>
      </c>
      <c r="F253" s="20" t="s">
        <v>114</v>
      </c>
      <c r="L253" s="42" t="s">
        <v>1624</v>
      </c>
    </row>
    <row r="254" spans="1:12" ht="21" customHeight="1" x14ac:dyDescent="0.25">
      <c r="A254" s="166" t="s">
        <v>474</v>
      </c>
      <c r="B254" s="42">
        <v>30</v>
      </c>
      <c r="C254" s="171">
        <v>0</v>
      </c>
      <c r="D254" s="117">
        <v>0</v>
      </c>
      <c r="E254" s="172"/>
      <c r="L254" s="42" t="s">
        <v>1623</v>
      </c>
    </row>
    <row r="255" spans="1:12" ht="21" customHeight="1" x14ac:dyDescent="0.25">
      <c r="A255" s="166" t="s">
        <v>313</v>
      </c>
      <c r="B255" s="42">
        <v>30</v>
      </c>
      <c r="C255" s="171">
        <v>0</v>
      </c>
      <c r="D255" s="117">
        <v>0</v>
      </c>
      <c r="E255" s="169" t="s">
        <v>84</v>
      </c>
      <c r="L255" s="42" t="s">
        <v>1624</v>
      </c>
    </row>
    <row r="256" spans="1:12" ht="21" customHeight="1" x14ac:dyDescent="0.25">
      <c r="A256" s="166" t="s">
        <v>270</v>
      </c>
      <c r="B256" s="42">
        <v>30</v>
      </c>
      <c r="C256" s="171">
        <v>0</v>
      </c>
      <c r="D256" s="117">
        <v>0</v>
      </c>
      <c r="L256" s="42" t="s">
        <v>1624</v>
      </c>
    </row>
    <row r="257" spans="1:12" ht="21" customHeight="1" x14ac:dyDescent="0.25">
      <c r="A257" s="166" t="s">
        <v>269</v>
      </c>
      <c r="B257" s="42">
        <v>30</v>
      </c>
      <c r="C257" s="171">
        <v>0</v>
      </c>
      <c r="D257" s="117">
        <v>0</v>
      </c>
      <c r="E257" s="169" t="s">
        <v>204</v>
      </c>
      <c r="L257" s="42" t="s">
        <v>1623</v>
      </c>
    </row>
    <row r="258" spans="1:12" ht="21" customHeight="1" x14ac:dyDescent="0.25">
      <c r="A258" s="166" t="s">
        <v>429</v>
      </c>
      <c r="B258" s="42">
        <v>30</v>
      </c>
      <c r="C258" s="171">
        <v>0</v>
      </c>
      <c r="D258" s="117">
        <v>0</v>
      </c>
      <c r="E258" s="169" t="s">
        <v>84</v>
      </c>
      <c r="L258" s="42" t="s">
        <v>1624</v>
      </c>
    </row>
    <row r="259" spans="1:12" ht="21" customHeight="1" x14ac:dyDescent="0.25">
      <c r="A259" s="166" t="s">
        <v>267</v>
      </c>
      <c r="B259" s="42">
        <v>30</v>
      </c>
      <c r="C259" s="171">
        <v>0</v>
      </c>
      <c r="D259" s="117">
        <v>0</v>
      </c>
      <c r="E259" s="169" t="s">
        <v>84</v>
      </c>
      <c r="L259" s="42" t="s">
        <v>1624</v>
      </c>
    </row>
    <row r="260" spans="1:12" ht="21" customHeight="1" x14ac:dyDescent="0.25">
      <c r="A260" s="166" t="s">
        <v>473</v>
      </c>
      <c r="B260" s="42">
        <v>30</v>
      </c>
      <c r="C260" s="171">
        <v>0</v>
      </c>
      <c r="D260" s="117">
        <v>0</v>
      </c>
      <c r="E260" s="172"/>
      <c r="L260" s="42" t="s">
        <v>1623</v>
      </c>
    </row>
    <row r="261" spans="1:12" ht="21" customHeight="1" x14ac:dyDescent="0.25">
      <c r="A261" s="166" t="s">
        <v>312</v>
      </c>
      <c r="B261" s="42">
        <v>30</v>
      </c>
      <c r="C261" s="171">
        <v>0</v>
      </c>
      <c r="D261" s="117">
        <v>0</v>
      </c>
      <c r="E261" s="169" t="s">
        <v>84</v>
      </c>
      <c r="L261" s="42" t="s">
        <v>1624</v>
      </c>
    </row>
    <row r="262" spans="1:12" ht="21" customHeight="1" x14ac:dyDescent="0.25">
      <c r="A262" s="166" t="s">
        <v>311</v>
      </c>
      <c r="B262" s="42">
        <v>30</v>
      </c>
      <c r="C262" s="171">
        <v>0</v>
      </c>
      <c r="D262" s="117">
        <v>0</v>
      </c>
      <c r="E262" s="169" t="s">
        <v>84</v>
      </c>
      <c r="L262" s="42" t="s">
        <v>1623</v>
      </c>
    </row>
    <row r="263" spans="1:12" ht="21" customHeight="1" x14ac:dyDescent="0.25">
      <c r="A263" s="173" t="s">
        <v>1769</v>
      </c>
      <c r="B263" s="42">
        <v>30</v>
      </c>
      <c r="C263" s="171"/>
      <c r="E263" s="172"/>
    </row>
    <row r="264" spans="1:12" ht="21" customHeight="1" x14ac:dyDescent="0.25">
      <c r="A264" s="166" t="s">
        <v>310</v>
      </c>
      <c r="B264" s="42">
        <v>30</v>
      </c>
      <c r="C264" s="171">
        <v>0</v>
      </c>
      <c r="D264" s="117">
        <v>0</v>
      </c>
      <c r="E264" s="169" t="s">
        <v>409</v>
      </c>
      <c r="L264" s="42" t="s">
        <v>1623</v>
      </c>
    </row>
    <row r="265" spans="1:12" ht="21" customHeight="1" x14ac:dyDescent="0.25">
      <c r="A265" s="166" t="s">
        <v>812</v>
      </c>
      <c r="B265" s="42">
        <v>30</v>
      </c>
      <c r="C265" s="171">
        <v>0</v>
      </c>
      <c r="D265" s="117">
        <v>0</v>
      </c>
      <c r="E265" s="172"/>
      <c r="L265" s="42" t="s">
        <v>1623</v>
      </c>
    </row>
    <row r="266" spans="1:12" ht="21" customHeight="1" x14ac:dyDescent="0.25">
      <c r="A266" s="166" t="s">
        <v>309</v>
      </c>
      <c r="B266" s="42">
        <v>30</v>
      </c>
      <c r="C266" s="171">
        <v>0</v>
      </c>
      <c r="D266" s="117">
        <v>0</v>
      </c>
      <c r="E266" s="169" t="s">
        <v>84</v>
      </c>
      <c r="L266" s="42" t="s">
        <v>1623</v>
      </c>
    </row>
    <row r="267" spans="1:12" ht="21" customHeight="1" x14ac:dyDescent="0.25">
      <c r="A267" s="166" t="s">
        <v>266</v>
      </c>
      <c r="B267" s="42">
        <v>20</v>
      </c>
      <c r="C267" s="171">
        <v>0</v>
      </c>
      <c r="D267" s="117">
        <v>0</v>
      </c>
      <c r="L267" s="42" t="s">
        <v>1623</v>
      </c>
    </row>
    <row r="268" spans="1:12" ht="21" customHeight="1" x14ac:dyDescent="0.25">
      <c r="A268" s="166" t="s">
        <v>308</v>
      </c>
      <c r="B268" s="42">
        <v>30</v>
      </c>
      <c r="C268" s="171">
        <v>0</v>
      </c>
      <c r="D268" s="117">
        <v>0</v>
      </c>
      <c r="E268" s="169" t="s">
        <v>84</v>
      </c>
      <c r="L268" s="42" t="s">
        <v>1624</v>
      </c>
    </row>
    <row r="269" spans="1:12" ht="21" customHeight="1" x14ac:dyDescent="0.25">
      <c r="A269" s="173" t="s">
        <v>1549</v>
      </c>
      <c r="B269" s="42">
        <v>30</v>
      </c>
      <c r="C269" s="171">
        <v>0</v>
      </c>
      <c r="D269" s="117">
        <v>0</v>
      </c>
      <c r="E269" s="172"/>
      <c r="L269" s="42" t="s">
        <v>1624</v>
      </c>
    </row>
    <row r="270" spans="1:12" ht="21" customHeight="1" x14ac:dyDescent="0.25">
      <c r="A270" s="166" t="s">
        <v>307</v>
      </c>
      <c r="B270" s="42">
        <v>30</v>
      </c>
      <c r="C270" s="171">
        <v>0</v>
      </c>
      <c r="D270" s="117">
        <v>0</v>
      </c>
      <c r="E270" s="169" t="s">
        <v>84</v>
      </c>
      <c r="L270" s="42" t="s">
        <v>1624</v>
      </c>
    </row>
    <row r="271" spans="1:12" ht="21" customHeight="1" x14ac:dyDescent="0.25">
      <c r="A271" s="166" t="s">
        <v>265</v>
      </c>
      <c r="B271" s="42">
        <v>30</v>
      </c>
      <c r="C271" s="171">
        <v>0</v>
      </c>
      <c r="D271" s="117">
        <v>0</v>
      </c>
      <c r="E271" s="169" t="s">
        <v>214</v>
      </c>
      <c r="F271" s="20" t="s">
        <v>123</v>
      </c>
      <c r="L271" s="42" t="s">
        <v>1623</v>
      </c>
    </row>
    <row r="272" spans="1:12" ht="21" customHeight="1" x14ac:dyDescent="0.25">
      <c r="A272" s="166" t="s">
        <v>1170</v>
      </c>
      <c r="B272" s="42">
        <v>30</v>
      </c>
      <c r="C272" s="171">
        <v>0</v>
      </c>
      <c r="D272" s="117">
        <v>0</v>
      </c>
      <c r="E272" s="172"/>
      <c r="L272" s="42" t="s">
        <v>1623</v>
      </c>
    </row>
    <row r="273" spans="1:12" ht="21" customHeight="1" x14ac:dyDescent="0.25">
      <c r="A273" s="166" t="s">
        <v>264</v>
      </c>
      <c r="B273" s="42">
        <v>30</v>
      </c>
      <c r="C273" s="171">
        <v>0</v>
      </c>
      <c r="D273" s="117">
        <v>0</v>
      </c>
      <c r="L273" s="42" t="s">
        <v>1624</v>
      </c>
    </row>
    <row r="274" spans="1:12" ht="21" customHeight="1" x14ac:dyDescent="0.25">
      <c r="A274" s="166" t="s">
        <v>1122</v>
      </c>
      <c r="B274" s="42">
        <v>0</v>
      </c>
      <c r="C274" s="171">
        <v>0</v>
      </c>
      <c r="D274" s="117">
        <v>0</v>
      </c>
      <c r="E274" s="172"/>
      <c r="L274" s="42" t="s">
        <v>1624</v>
      </c>
    </row>
    <row r="275" spans="1:12" ht="21" customHeight="1" x14ac:dyDescent="0.25">
      <c r="A275" s="166" t="s">
        <v>447</v>
      </c>
      <c r="B275" s="42">
        <v>30</v>
      </c>
      <c r="C275" s="171">
        <v>0</v>
      </c>
      <c r="D275" s="117">
        <v>0</v>
      </c>
      <c r="E275" s="169" t="s">
        <v>138</v>
      </c>
      <c r="F275" s="167"/>
      <c r="L275" s="42" t="s">
        <v>1624</v>
      </c>
    </row>
    <row r="276" spans="1:12" ht="21" customHeight="1" x14ac:dyDescent="0.25">
      <c r="A276" s="166" t="s">
        <v>263</v>
      </c>
      <c r="B276" s="42">
        <v>30</v>
      </c>
      <c r="C276" s="171">
        <v>0</v>
      </c>
      <c r="D276" s="117">
        <v>0</v>
      </c>
      <c r="L276" s="42" t="s">
        <v>1624</v>
      </c>
    </row>
    <row r="277" spans="1:12" ht="20.100000000000001" customHeight="1" x14ac:dyDescent="0.25">
      <c r="A277" s="166" t="s">
        <v>306</v>
      </c>
      <c r="B277" s="42">
        <v>30</v>
      </c>
      <c r="C277" s="171">
        <v>0</v>
      </c>
      <c r="D277" s="117">
        <v>0</v>
      </c>
      <c r="E277" s="169" t="s">
        <v>145</v>
      </c>
      <c r="F277" s="20" t="s">
        <v>109</v>
      </c>
      <c r="L277" s="42" t="s">
        <v>1623</v>
      </c>
    </row>
    <row r="278" spans="1:12" ht="21" customHeight="1" x14ac:dyDescent="0.25">
      <c r="A278" s="166" t="s">
        <v>262</v>
      </c>
      <c r="B278" s="42">
        <v>30</v>
      </c>
      <c r="C278" s="171">
        <v>0</v>
      </c>
      <c r="D278" s="117">
        <v>0</v>
      </c>
      <c r="E278" s="169" t="s">
        <v>84</v>
      </c>
      <c r="L278" s="42" t="s">
        <v>1623</v>
      </c>
    </row>
    <row r="279" spans="1:12" ht="21" customHeight="1" x14ac:dyDescent="0.25">
      <c r="A279" s="166" t="s">
        <v>261</v>
      </c>
      <c r="B279" s="42">
        <v>30</v>
      </c>
      <c r="C279" s="171">
        <v>0</v>
      </c>
      <c r="D279" s="117">
        <v>0</v>
      </c>
      <c r="E279" s="169" t="s">
        <v>84</v>
      </c>
      <c r="L279" s="42" t="s">
        <v>1623</v>
      </c>
    </row>
    <row r="280" spans="1:12" ht="21" customHeight="1" x14ac:dyDescent="0.25">
      <c r="A280" s="166" t="s">
        <v>305</v>
      </c>
      <c r="B280" s="42">
        <v>30</v>
      </c>
      <c r="C280" s="171">
        <v>0</v>
      </c>
      <c r="D280" s="117">
        <v>0</v>
      </c>
      <c r="L280" s="42" t="s">
        <v>1623</v>
      </c>
    </row>
    <row r="281" spans="1:12" ht="21" customHeight="1" x14ac:dyDescent="0.25">
      <c r="A281" s="166" t="s">
        <v>260</v>
      </c>
      <c r="B281" s="42">
        <v>30</v>
      </c>
      <c r="C281" s="171">
        <v>0</v>
      </c>
      <c r="D281" s="117">
        <v>0</v>
      </c>
      <c r="E281" s="169" t="s">
        <v>84</v>
      </c>
      <c r="L281" s="42" t="s">
        <v>1623</v>
      </c>
    </row>
    <row r="282" spans="1:12" ht="21" customHeight="1" x14ac:dyDescent="0.25">
      <c r="A282" s="166" t="s">
        <v>259</v>
      </c>
      <c r="B282" s="42">
        <v>60</v>
      </c>
      <c r="C282" s="171">
        <v>0</v>
      </c>
      <c r="D282" s="117">
        <v>0</v>
      </c>
      <c r="E282" s="169" t="s">
        <v>258</v>
      </c>
      <c r="L282" s="42" t="s">
        <v>1623</v>
      </c>
    </row>
    <row r="283" spans="1:12" ht="21" customHeight="1" x14ac:dyDescent="0.25">
      <c r="A283" s="166" t="s">
        <v>257</v>
      </c>
      <c r="B283" s="42">
        <v>30</v>
      </c>
      <c r="C283" s="171">
        <v>0</v>
      </c>
      <c r="D283" s="117">
        <v>0</v>
      </c>
      <c r="L283" s="42" t="s">
        <v>1623</v>
      </c>
    </row>
    <row r="284" spans="1:12" ht="21" customHeight="1" x14ac:dyDescent="0.25">
      <c r="A284" s="173" t="s">
        <v>1750</v>
      </c>
      <c r="B284" s="42">
        <v>30</v>
      </c>
      <c r="C284" s="171">
        <v>0</v>
      </c>
      <c r="D284" s="117">
        <v>0</v>
      </c>
      <c r="E284" s="169" t="s">
        <v>156</v>
      </c>
    </row>
    <row r="285" spans="1:12" ht="21" customHeight="1" x14ac:dyDescent="0.25">
      <c r="A285" s="166" t="s">
        <v>304</v>
      </c>
      <c r="B285" s="42">
        <v>90</v>
      </c>
      <c r="C285" s="171">
        <v>0</v>
      </c>
      <c r="D285" s="117">
        <v>0</v>
      </c>
      <c r="E285" s="169" t="s">
        <v>84</v>
      </c>
      <c r="L285" s="42" t="s">
        <v>1624</v>
      </c>
    </row>
    <row r="286" spans="1:12" ht="21" customHeight="1" x14ac:dyDescent="0.25">
      <c r="A286" s="173" t="s">
        <v>1801</v>
      </c>
      <c r="B286" s="42">
        <v>60</v>
      </c>
      <c r="C286" s="171">
        <v>0</v>
      </c>
      <c r="D286" s="117">
        <v>0</v>
      </c>
      <c r="E286" s="172"/>
      <c r="L286" s="42" t="s">
        <v>1624</v>
      </c>
    </row>
    <row r="287" spans="1:12" ht="21" customHeight="1" x14ac:dyDescent="0.25">
      <c r="A287" s="166" t="s">
        <v>256</v>
      </c>
      <c r="B287" s="42">
        <v>30</v>
      </c>
      <c r="C287" s="171">
        <v>0</v>
      </c>
      <c r="D287" s="117">
        <v>0</v>
      </c>
      <c r="E287" s="169" t="s">
        <v>397</v>
      </c>
      <c r="L287" s="42" t="s">
        <v>1624</v>
      </c>
    </row>
    <row r="288" spans="1:12" ht="21" customHeight="1" x14ac:dyDescent="0.25">
      <c r="A288" s="166" t="s">
        <v>420</v>
      </c>
      <c r="B288" s="42">
        <v>30</v>
      </c>
      <c r="C288" s="171">
        <v>0</v>
      </c>
      <c r="D288" s="117">
        <v>0</v>
      </c>
      <c r="E288" s="172"/>
      <c r="L288" s="42" t="s">
        <v>1623</v>
      </c>
    </row>
    <row r="289" spans="1:12" ht="21" customHeight="1" x14ac:dyDescent="0.25">
      <c r="A289" s="166" t="s">
        <v>303</v>
      </c>
      <c r="B289" s="42">
        <v>30</v>
      </c>
      <c r="C289" s="171">
        <v>0</v>
      </c>
      <c r="D289" s="117">
        <v>0</v>
      </c>
      <c r="E289" s="169" t="s">
        <v>84</v>
      </c>
      <c r="L289" s="42" t="s">
        <v>1624</v>
      </c>
    </row>
    <row r="290" spans="1:12" ht="21" customHeight="1" x14ac:dyDescent="0.25">
      <c r="A290" s="166" t="s">
        <v>302</v>
      </c>
      <c r="B290" s="42">
        <v>30</v>
      </c>
      <c r="C290" s="171">
        <v>0</v>
      </c>
      <c r="D290" s="117">
        <v>0</v>
      </c>
      <c r="E290" s="169" t="s">
        <v>84</v>
      </c>
      <c r="L290" s="42" t="s">
        <v>1624</v>
      </c>
    </row>
    <row r="291" spans="1:12" ht="21" customHeight="1" x14ac:dyDescent="0.25">
      <c r="A291" s="166" t="s">
        <v>301</v>
      </c>
      <c r="B291" s="42">
        <v>30</v>
      </c>
      <c r="C291" s="171">
        <v>0</v>
      </c>
      <c r="D291" s="117">
        <v>0</v>
      </c>
      <c r="E291" s="169" t="s">
        <v>84</v>
      </c>
      <c r="L291" s="42" t="s">
        <v>1624</v>
      </c>
    </row>
    <row r="292" spans="1:12" ht="21" customHeight="1" x14ac:dyDescent="0.25">
      <c r="A292" s="166" t="s">
        <v>300</v>
      </c>
      <c r="B292" s="42">
        <v>30</v>
      </c>
      <c r="C292" s="171">
        <v>0</v>
      </c>
      <c r="D292" s="117">
        <v>0</v>
      </c>
      <c r="L292" s="42" t="s">
        <v>1624</v>
      </c>
    </row>
    <row r="293" spans="1:12" ht="21" customHeight="1" x14ac:dyDescent="0.25">
      <c r="A293" s="166" t="s">
        <v>299</v>
      </c>
      <c r="B293" s="42">
        <v>30</v>
      </c>
      <c r="C293" s="171">
        <v>0</v>
      </c>
      <c r="D293" s="117">
        <v>0</v>
      </c>
      <c r="E293" s="169" t="s">
        <v>84</v>
      </c>
      <c r="F293" s="20" t="s">
        <v>110</v>
      </c>
      <c r="L293" s="42" t="s">
        <v>1623</v>
      </c>
    </row>
    <row r="294" spans="1:12" ht="21" customHeight="1" x14ac:dyDescent="0.25">
      <c r="A294" s="173" t="s">
        <v>1753</v>
      </c>
      <c r="B294" s="42">
        <v>0</v>
      </c>
      <c r="C294" s="171">
        <v>0</v>
      </c>
      <c r="D294" s="117">
        <v>0</v>
      </c>
      <c r="E294" s="172"/>
    </row>
    <row r="295" spans="1:12" ht="21" customHeight="1" x14ac:dyDescent="0.25">
      <c r="A295" s="166" t="s">
        <v>255</v>
      </c>
      <c r="B295" s="42">
        <v>30</v>
      </c>
      <c r="C295" s="171">
        <v>0</v>
      </c>
      <c r="D295" s="117">
        <v>0</v>
      </c>
      <c r="E295" s="169" t="s">
        <v>84</v>
      </c>
      <c r="L295" s="42" t="s">
        <v>1623</v>
      </c>
    </row>
    <row r="296" spans="1:12" ht="21" customHeight="1" x14ac:dyDescent="0.25">
      <c r="A296" s="166" t="s">
        <v>254</v>
      </c>
      <c r="B296" s="42">
        <v>30</v>
      </c>
      <c r="C296" s="171">
        <v>0</v>
      </c>
      <c r="D296" s="117">
        <v>0</v>
      </c>
      <c r="E296" s="169" t="s">
        <v>84</v>
      </c>
      <c r="L296" s="42" t="s">
        <v>1623</v>
      </c>
    </row>
    <row r="297" spans="1:12" ht="21" customHeight="1" x14ac:dyDescent="0.25">
      <c r="A297" s="166" t="s">
        <v>252</v>
      </c>
      <c r="B297" s="42">
        <v>30</v>
      </c>
      <c r="C297" s="171">
        <v>0</v>
      </c>
      <c r="D297" s="117">
        <v>0</v>
      </c>
      <c r="L297" s="42" t="s">
        <v>1623</v>
      </c>
    </row>
    <row r="298" spans="1:12" ht="21" customHeight="1" x14ac:dyDescent="0.25">
      <c r="A298" s="166" t="s">
        <v>359</v>
      </c>
      <c r="B298" s="42">
        <v>10</v>
      </c>
      <c r="C298" s="171">
        <v>0</v>
      </c>
      <c r="D298" s="117">
        <v>0</v>
      </c>
      <c r="E298" s="169" t="s">
        <v>235</v>
      </c>
      <c r="L298" s="42" t="s">
        <v>1623</v>
      </c>
    </row>
    <row r="299" spans="1:12" ht="21" customHeight="1" x14ac:dyDescent="0.25">
      <c r="A299" s="166" t="s">
        <v>251</v>
      </c>
      <c r="B299" s="42">
        <v>30</v>
      </c>
      <c r="C299" s="171">
        <v>0</v>
      </c>
      <c r="D299" s="117">
        <v>0</v>
      </c>
      <c r="L299" s="42" t="s">
        <v>1623</v>
      </c>
    </row>
    <row r="300" spans="1:12" ht="21" customHeight="1" x14ac:dyDescent="0.25">
      <c r="A300" s="166" t="s">
        <v>250</v>
      </c>
      <c r="B300" s="42">
        <v>30</v>
      </c>
      <c r="C300" s="171">
        <v>0</v>
      </c>
      <c r="D300" s="117">
        <v>0</v>
      </c>
      <c r="L300" s="42" t="s">
        <v>1623</v>
      </c>
    </row>
    <row r="301" spans="1:12" ht="21" customHeight="1" x14ac:dyDescent="0.25">
      <c r="A301" s="166" t="s">
        <v>249</v>
      </c>
      <c r="B301" s="42">
        <v>30</v>
      </c>
      <c r="C301" s="171">
        <v>0</v>
      </c>
      <c r="D301" s="117">
        <v>0</v>
      </c>
      <c r="E301" s="169" t="s">
        <v>200</v>
      </c>
      <c r="L301" s="42" t="s">
        <v>1623</v>
      </c>
    </row>
    <row r="302" spans="1:12" ht="21" customHeight="1" x14ac:dyDescent="0.25">
      <c r="A302" s="173" t="s">
        <v>1552</v>
      </c>
      <c r="B302" s="42">
        <v>90</v>
      </c>
      <c r="C302" s="171"/>
      <c r="E302" s="172"/>
      <c r="L302" s="42" t="s">
        <v>1623</v>
      </c>
    </row>
    <row r="303" spans="1:12" ht="21" customHeight="1" x14ac:dyDescent="0.25">
      <c r="A303" s="166" t="s">
        <v>861</v>
      </c>
      <c r="B303" s="42">
        <v>30</v>
      </c>
      <c r="C303" s="171">
        <v>0</v>
      </c>
      <c r="D303" s="117">
        <v>0</v>
      </c>
      <c r="E303" s="172"/>
      <c r="L303" s="42" t="s">
        <v>1623</v>
      </c>
    </row>
    <row r="304" spans="1:12" ht="21" customHeight="1" x14ac:dyDescent="0.25">
      <c r="A304" s="166" t="s">
        <v>298</v>
      </c>
      <c r="B304" s="42">
        <v>30</v>
      </c>
      <c r="C304" s="171">
        <v>0</v>
      </c>
      <c r="D304" s="117">
        <v>0</v>
      </c>
      <c r="E304" s="169" t="s">
        <v>137</v>
      </c>
      <c r="L304" s="42" t="s">
        <v>1623</v>
      </c>
    </row>
    <row r="305" spans="1:12" ht="21" customHeight="1" x14ac:dyDescent="0.25">
      <c r="A305" s="166" t="s">
        <v>361</v>
      </c>
      <c r="B305" s="42">
        <v>30</v>
      </c>
      <c r="C305" s="171">
        <v>0</v>
      </c>
      <c r="D305" s="117">
        <v>0</v>
      </c>
      <c r="L305" s="42" t="s">
        <v>1624</v>
      </c>
    </row>
    <row r="306" spans="1:12" ht="21" customHeight="1" x14ac:dyDescent="0.25">
      <c r="A306" s="166" t="s">
        <v>248</v>
      </c>
      <c r="B306" s="42">
        <v>30</v>
      </c>
      <c r="C306" s="171">
        <v>0</v>
      </c>
      <c r="D306" s="117">
        <v>0</v>
      </c>
      <c r="E306" s="169" t="s">
        <v>84</v>
      </c>
      <c r="L306" s="42" t="s">
        <v>1623</v>
      </c>
    </row>
    <row r="307" spans="1:12" ht="21" customHeight="1" x14ac:dyDescent="0.25">
      <c r="A307" s="166" t="s">
        <v>247</v>
      </c>
      <c r="B307" s="42">
        <v>30</v>
      </c>
      <c r="C307" s="171">
        <v>0</v>
      </c>
      <c r="D307" s="117">
        <v>0</v>
      </c>
      <c r="L307" s="42" t="s">
        <v>1623</v>
      </c>
    </row>
    <row r="308" spans="1:12" ht="21" customHeight="1" x14ac:dyDescent="0.25">
      <c r="A308" s="166" t="s">
        <v>246</v>
      </c>
      <c r="B308" s="42">
        <v>30</v>
      </c>
      <c r="C308" s="171">
        <v>0</v>
      </c>
      <c r="D308" s="117">
        <v>0</v>
      </c>
      <c r="E308" s="169" t="s">
        <v>84</v>
      </c>
      <c r="L308" s="42" t="s">
        <v>1623</v>
      </c>
    </row>
    <row r="309" spans="1:12" ht="21" customHeight="1" x14ac:dyDescent="0.25">
      <c r="A309" s="166" t="s">
        <v>245</v>
      </c>
      <c r="B309" s="42">
        <v>10</v>
      </c>
      <c r="C309" s="171">
        <v>0</v>
      </c>
      <c r="D309" s="117">
        <v>0</v>
      </c>
      <c r="E309" s="169" t="s">
        <v>234</v>
      </c>
      <c r="L309" s="42" t="s">
        <v>1623</v>
      </c>
    </row>
    <row r="310" spans="1:12" ht="21" customHeight="1" x14ac:dyDescent="0.25">
      <c r="A310" s="166" t="s">
        <v>297</v>
      </c>
      <c r="B310" s="42">
        <v>30</v>
      </c>
      <c r="C310" s="171">
        <v>0</v>
      </c>
      <c r="D310" s="117">
        <v>0</v>
      </c>
      <c r="E310" s="169" t="s">
        <v>84</v>
      </c>
      <c r="L310" s="42" t="s">
        <v>1623</v>
      </c>
    </row>
    <row r="311" spans="1:12" ht="21" customHeight="1" x14ac:dyDescent="0.25">
      <c r="A311" s="166" t="s">
        <v>296</v>
      </c>
      <c r="B311" s="42">
        <v>30</v>
      </c>
      <c r="C311" s="171">
        <v>0</v>
      </c>
      <c r="D311" s="117">
        <v>0</v>
      </c>
      <c r="E311" s="169" t="s">
        <v>84</v>
      </c>
      <c r="L311" s="42" t="s">
        <v>1624</v>
      </c>
    </row>
    <row r="312" spans="1:12" ht="21" customHeight="1" x14ac:dyDescent="0.25">
      <c r="A312" s="166" t="s">
        <v>244</v>
      </c>
      <c r="B312" s="42">
        <v>30</v>
      </c>
      <c r="C312" s="171">
        <v>0</v>
      </c>
      <c r="D312" s="117">
        <v>0</v>
      </c>
      <c r="E312" s="169" t="s">
        <v>84</v>
      </c>
      <c r="L312" s="42" t="s">
        <v>1623</v>
      </c>
    </row>
    <row r="313" spans="1:12" ht="21" customHeight="1" x14ac:dyDescent="0.25">
      <c r="A313" s="166" t="s">
        <v>558</v>
      </c>
      <c r="B313" s="42">
        <v>30</v>
      </c>
      <c r="C313" s="171">
        <v>0</v>
      </c>
      <c r="D313" s="117">
        <v>0</v>
      </c>
      <c r="E313" s="172"/>
      <c r="L313" s="42" t="s">
        <v>1623</v>
      </c>
    </row>
    <row r="314" spans="1:12" ht="21" customHeight="1" x14ac:dyDescent="0.25">
      <c r="A314" s="166" t="s">
        <v>492</v>
      </c>
      <c r="B314" s="42">
        <v>30</v>
      </c>
      <c r="C314" s="171">
        <v>0</v>
      </c>
      <c r="D314" s="117">
        <v>0</v>
      </c>
      <c r="E314" s="172"/>
      <c r="L314" s="42" t="s">
        <v>1623</v>
      </c>
    </row>
    <row r="315" spans="1:12" ht="21" customHeight="1" x14ac:dyDescent="0.25">
      <c r="A315" s="166" t="s">
        <v>295</v>
      </c>
      <c r="B315" s="42">
        <v>30</v>
      </c>
      <c r="C315" s="171">
        <v>0</v>
      </c>
      <c r="D315" s="117">
        <v>0</v>
      </c>
      <c r="E315" s="169" t="s">
        <v>84</v>
      </c>
      <c r="L315" s="42" t="s">
        <v>1623</v>
      </c>
    </row>
    <row r="316" spans="1:12" ht="21" customHeight="1" x14ac:dyDescent="0.25">
      <c r="A316" s="166" t="s">
        <v>243</v>
      </c>
      <c r="B316" s="42">
        <v>30</v>
      </c>
      <c r="C316" s="171">
        <v>0</v>
      </c>
      <c r="D316" s="117">
        <v>0</v>
      </c>
      <c r="E316" s="169" t="s">
        <v>344</v>
      </c>
      <c r="L316" s="42" t="s">
        <v>1623</v>
      </c>
    </row>
    <row r="317" spans="1:12" ht="21" customHeight="1" x14ac:dyDescent="0.25">
      <c r="A317" s="166" t="s">
        <v>242</v>
      </c>
      <c r="B317" s="42">
        <v>30</v>
      </c>
      <c r="C317" s="171">
        <v>0</v>
      </c>
      <c r="D317" s="117">
        <v>0</v>
      </c>
      <c r="E317" s="169" t="s">
        <v>84</v>
      </c>
      <c r="L317" s="42" t="s">
        <v>1623</v>
      </c>
    </row>
    <row r="318" spans="1:12" ht="21" customHeight="1" x14ac:dyDescent="0.25">
      <c r="A318" s="166" t="s">
        <v>241</v>
      </c>
      <c r="B318" s="42">
        <v>30</v>
      </c>
      <c r="C318" s="171">
        <v>0</v>
      </c>
      <c r="D318" s="117">
        <v>0</v>
      </c>
      <c r="L318" s="42" t="s">
        <v>1624</v>
      </c>
    </row>
    <row r="319" spans="1:12" ht="21" customHeight="1" x14ac:dyDescent="0.25">
      <c r="A319" s="166" t="s">
        <v>1578</v>
      </c>
      <c r="B319" s="42">
        <v>30</v>
      </c>
      <c r="C319" s="171">
        <v>0</v>
      </c>
      <c r="D319" s="117">
        <v>0</v>
      </c>
      <c r="E319" s="169" t="s">
        <v>237</v>
      </c>
      <c r="L319" s="42" t="s">
        <v>1623</v>
      </c>
    </row>
    <row r="320" spans="1:12" ht="21" customHeight="1" x14ac:dyDescent="0.25">
      <c r="A320" s="166" t="s">
        <v>1643</v>
      </c>
      <c r="B320" s="42">
        <v>30</v>
      </c>
      <c r="C320" s="171">
        <v>0</v>
      </c>
      <c r="D320" s="117">
        <v>0</v>
      </c>
      <c r="E320" s="169" t="s">
        <v>84</v>
      </c>
      <c r="L320" s="42" t="s">
        <v>1623</v>
      </c>
    </row>
    <row r="321" spans="1:12" ht="21" customHeight="1" x14ac:dyDescent="0.25">
      <c r="A321" s="166" t="s">
        <v>898</v>
      </c>
      <c r="B321" s="42">
        <v>30</v>
      </c>
      <c r="C321" s="171">
        <v>0</v>
      </c>
      <c r="D321" s="117">
        <v>0</v>
      </c>
      <c r="E321" s="172"/>
      <c r="L321" s="42" t="s">
        <v>1623</v>
      </c>
    </row>
    <row r="322" spans="1:12" ht="21" customHeight="1" x14ac:dyDescent="0.25">
      <c r="A322" s="166" t="s">
        <v>240</v>
      </c>
      <c r="B322" s="42">
        <v>30</v>
      </c>
      <c r="C322" s="171">
        <v>0</v>
      </c>
      <c r="D322" s="117">
        <v>0</v>
      </c>
      <c r="L322" s="42" t="s">
        <v>1623</v>
      </c>
    </row>
    <row r="323" spans="1:12" ht="21" customHeight="1" x14ac:dyDescent="0.25">
      <c r="A323" s="166" t="s">
        <v>239</v>
      </c>
      <c r="B323" s="42">
        <v>20</v>
      </c>
      <c r="C323" s="171">
        <v>0</v>
      </c>
      <c r="D323" s="117">
        <v>0</v>
      </c>
      <c r="L323" s="42" t="s">
        <v>1624</v>
      </c>
    </row>
    <row r="324" spans="1:12" ht="21" customHeight="1" x14ac:dyDescent="0.25">
      <c r="A324" s="166" t="s">
        <v>238</v>
      </c>
      <c r="B324" s="42">
        <v>30</v>
      </c>
      <c r="C324" s="171">
        <v>0</v>
      </c>
      <c r="D324" s="117">
        <v>0</v>
      </c>
      <c r="E324" s="169" t="s">
        <v>84</v>
      </c>
      <c r="L324" s="42" t="s">
        <v>1623</v>
      </c>
    </row>
    <row r="325" spans="1:12" ht="21" customHeight="1" x14ac:dyDescent="0.25">
      <c r="A325" s="166" t="s">
        <v>294</v>
      </c>
      <c r="B325" s="42">
        <v>30</v>
      </c>
      <c r="C325" s="171">
        <v>0</v>
      </c>
      <c r="D325" s="117">
        <v>0</v>
      </c>
      <c r="E325" s="169" t="s">
        <v>84</v>
      </c>
      <c r="L325" s="42" t="s">
        <v>1623</v>
      </c>
    </row>
    <row r="326" spans="1:12" ht="21" customHeight="1" x14ac:dyDescent="0.25">
      <c r="A326" s="166" t="s">
        <v>1603</v>
      </c>
      <c r="B326" s="42">
        <v>30</v>
      </c>
      <c r="C326" s="171">
        <v>0</v>
      </c>
      <c r="D326" s="117">
        <v>0</v>
      </c>
      <c r="E326" s="169" t="s">
        <v>84</v>
      </c>
      <c r="L326" s="42" t="s">
        <v>1623</v>
      </c>
    </row>
    <row r="327" spans="1:12" ht="21" customHeight="1" x14ac:dyDescent="0.25">
      <c r="A327" s="166" t="s">
        <v>236</v>
      </c>
      <c r="B327" s="42">
        <v>30</v>
      </c>
      <c r="C327" s="171">
        <v>0</v>
      </c>
      <c r="D327" s="117">
        <v>0</v>
      </c>
      <c r="E327" s="169" t="s">
        <v>231</v>
      </c>
      <c r="F327" s="20" t="s">
        <v>230</v>
      </c>
      <c r="L327" s="42" t="s">
        <v>1623</v>
      </c>
    </row>
    <row r="328" spans="1:12" ht="21" customHeight="1" x14ac:dyDescent="0.25">
      <c r="A328" s="166" t="s">
        <v>293</v>
      </c>
      <c r="B328" s="42">
        <v>30</v>
      </c>
      <c r="C328" s="171">
        <v>0</v>
      </c>
      <c r="D328" s="117">
        <v>0</v>
      </c>
      <c r="E328" s="169" t="s">
        <v>84</v>
      </c>
      <c r="L328" s="42" t="s">
        <v>1624</v>
      </c>
    </row>
    <row r="329" spans="1:12" ht="21" customHeight="1" x14ac:dyDescent="0.25">
      <c r="A329" s="166" t="s">
        <v>57</v>
      </c>
      <c r="B329" s="42">
        <v>30</v>
      </c>
      <c r="C329" s="171">
        <v>0.19</v>
      </c>
      <c r="D329" s="117" t="s">
        <v>347</v>
      </c>
      <c r="E329" s="169" t="s">
        <v>84</v>
      </c>
      <c r="L329" s="42" t="s">
        <v>1624</v>
      </c>
    </row>
    <row r="330" spans="1:12" ht="21" customHeight="1" x14ac:dyDescent="0.25">
      <c r="A330" s="166" t="s">
        <v>411</v>
      </c>
      <c r="B330" s="42">
        <v>30</v>
      </c>
      <c r="C330" s="171">
        <v>0.19</v>
      </c>
      <c r="D330" s="117" t="s">
        <v>347</v>
      </c>
      <c r="E330" s="169" t="s">
        <v>1496</v>
      </c>
      <c r="L330" s="42" t="s">
        <v>1623</v>
      </c>
    </row>
    <row r="331" spans="1:12" ht="21" customHeight="1" x14ac:dyDescent="0.25">
      <c r="A331" s="173" t="s">
        <v>1921</v>
      </c>
      <c r="B331" s="42">
        <v>30</v>
      </c>
      <c r="C331" s="171">
        <v>0.19</v>
      </c>
      <c r="D331" s="117" t="s">
        <v>347</v>
      </c>
      <c r="E331" s="169" t="s">
        <v>1922</v>
      </c>
    </row>
    <row r="332" spans="1:12" ht="21" customHeight="1" x14ac:dyDescent="0.25">
      <c r="A332" s="173" t="s">
        <v>1937</v>
      </c>
      <c r="B332" s="42">
        <v>0</v>
      </c>
      <c r="C332" s="171">
        <v>0.19</v>
      </c>
      <c r="D332" s="117" t="s">
        <v>347</v>
      </c>
      <c r="E332" s="172"/>
    </row>
  </sheetData>
  <conditionalFormatting sqref="A1:A332">
    <cfRule type="expression" dxfId="345" priority="31">
      <formula>$S1="Por pagar"</formula>
    </cfRule>
    <cfRule type="expression" dxfId="344" priority="32">
      <formula>$S1="Vencida"</formula>
    </cfRule>
    <cfRule type="expression" dxfId="343" priority="33">
      <formula>$S1="Pagada"</formula>
    </cfRule>
  </conditionalFormatting>
  <conditionalFormatting sqref="A227">
    <cfRule type="expression" dxfId="342" priority="28">
      <formula>$S227="Por pagar"</formula>
    </cfRule>
    <cfRule type="expression" dxfId="341" priority="29">
      <formula>$S227="Vencida"</formula>
    </cfRule>
    <cfRule type="expression" dxfId="340" priority="30">
      <formula>$S227="Pagada"</formula>
    </cfRule>
  </conditionalFormatting>
  <conditionalFormatting sqref="A239">
    <cfRule type="expression" dxfId="339" priority="25">
      <formula>$S239="Por pagar"</formula>
    </cfRule>
    <cfRule type="expression" dxfId="338" priority="26">
      <formula>$S239="Vencida"</formula>
    </cfRule>
    <cfRule type="expression" dxfId="337" priority="27">
      <formula>$S239="Pagada"</formula>
    </cfRule>
  </conditionalFormatting>
  <conditionalFormatting sqref="A241">
    <cfRule type="expression" dxfId="336" priority="22">
      <formula>$S241="Por pagar"</formula>
    </cfRule>
    <cfRule type="expression" dxfId="335" priority="23">
      <formula>$S241="Vencida"</formula>
    </cfRule>
    <cfRule type="expression" dxfId="334" priority="24">
      <formula>$S241="Pagada"</formula>
    </cfRule>
  </conditionalFormatting>
  <conditionalFormatting sqref="A244">
    <cfRule type="expression" dxfId="333" priority="19">
      <formula>$S244="Por pagar"</formula>
    </cfRule>
    <cfRule type="expression" dxfId="332" priority="20">
      <formula>$S244="Vencida"</formula>
    </cfRule>
    <cfRule type="expression" dxfId="331" priority="21">
      <formula>$S244="Pagada"</formula>
    </cfRule>
  </conditionalFormatting>
  <conditionalFormatting sqref="A247">
    <cfRule type="expression" dxfId="330" priority="16">
      <formula>$S247="Por pagar"</formula>
    </cfRule>
    <cfRule type="expression" dxfId="329" priority="17">
      <formula>$S247="Vencida"</formula>
    </cfRule>
    <cfRule type="expression" dxfId="328" priority="18">
      <formula>$S247="Pagada"</formula>
    </cfRule>
  </conditionalFormatting>
  <conditionalFormatting sqref="A250">
    <cfRule type="expression" dxfId="327" priority="13">
      <formula>$S250="Por pagar"</formula>
    </cfRule>
    <cfRule type="expression" dxfId="326" priority="14">
      <formula>$S250="Vencida"</formula>
    </cfRule>
    <cfRule type="expression" dxfId="325" priority="15">
      <formula>$S250="Pagada"</formula>
    </cfRule>
  </conditionalFormatting>
  <conditionalFormatting sqref="A254">
    <cfRule type="expression" dxfId="324" priority="10">
      <formula>$S254="Por pagar"</formula>
    </cfRule>
    <cfRule type="expression" dxfId="323" priority="11">
      <formula>$S254="Vencida"</formula>
    </cfRule>
    <cfRule type="expression" dxfId="322" priority="12">
      <formula>$S254="Pagada"</formula>
    </cfRule>
  </conditionalFormatting>
  <dataValidations count="1">
    <dataValidation type="list" allowBlank="1" showInputMessage="1" showErrorMessage="1" error="Primero crea el proveedor en la hoja &quot;Proveedores&quot;." sqref="A218" xr:uid="{77572996-20EB-437C-9030-DFC47C99B2D6}">
      <formula1>$A:$A</formula1>
    </dataValidation>
  </dataValidations>
  <hyperlinks>
    <hyperlink ref="E4" r:id="rId1" display="carloseuristika@hotmail.com;girlesa.ruiz@servipilas.com;joriescobar64@gmail.com" xr:uid="{561982AE-06ED-4F50-A56D-EE26D2CC75EE}"/>
    <hyperlink ref="E8" r:id="rId2" display="howardlondono@impocarga.com;oswaldo.alvarez@logimexsas.com;girlesa.ruiz@servipilas.com;joriescobar64@gmail.com" xr:uid="{FAA7D466-4997-45EB-951F-8361C0637145}"/>
    <hyperlink ref="E69" r:id="rId3" display="vcortes@power-sonic.com;alexander.baur@power-sonic.com;jirias@power-sonic.com;girlesa.ruiz@servipilas.com;joriescobar64@gmail.com;info@servipilas.com" xr:uid="{4E77A19D-4B3C-488C-9FBA-1EF577DE97F9}"/>
    <hyperlink ref="E9" r:id="rId4" display="jessica.barrios@carpainternacional;girlesa.ruiz@servipilas.com;joriescobar64@gmail.com" xr:uid="{ED4B35BD-DD15-49F7-AE9E-CB75C4F21A5A}"/>
    <hyperlink ref="E28" r:id="rId5" display="lpena@tbplusenergy.com;girlesa.ruiz@servipilas.com;joriescobar64@gmail.com" xr:uid="{2E0BF1B0-F7E1-4748-9780-C1F63208C01D}"/>
    <hyperlink ref="E192" r:id="rId6" display="jessica.barrios@carpainternacional;girlesa.ruiz@servipilas.com;joriescobar64@gmail.com" xr:uid="{00D1BA77-5CD7-41B8-9B30-D0FD87A6EDB3}"/>
    <hyperlink ref="E118" r:id="rId7" display="jmacias@nanicastation.com.co;facturas@nanicastation.com.co;girlesa.ruiz@servipilas.com;joriescobar64@gmail.com" xr:uid="{A30216ED-A36B-42B0-BBB8-8CB32EA27205}"/>
    <hyperlink ref="E190" r:id="rId8" xr:uid="{7249B88F-12EB-47AD-A1D5-CA4D648B62F8}"/>
    <hyperlink ref="E176" r:id="rId9" xr:uid="{CE62F396-7DD1-446B-834E-847DE56C5EAE}"/>
    <hyperlink ref="E197" r:id="rId10" display="jessica.barrios@carpainternacional;girlesa.ruiz@servipilas.com;joriescobar64@gmail.com" xr:uid="{1D84D8E0-3181-4565-AA6E-87BF9B04CCB7}"/>
    <hyperlink ref="E212" r:id="rId11" display="alexenriquez73.ae@gmail.com;girlesa.ruiz@servipilas.com;joriescobar64@gmail.com;info@servipilas.com" xr:uid="{DA082B31-23E6-4BC8-A2B1-606CD8D34C75}"/>
    <hyperlink ref="E119" r:id="rId12" display="jarlysas@gmail.com;o.clockinternational@gmail.com;girlesa.ruiz@servipilas.com;joriescobar64@gmail.com" xr:uid="{3F18548B-0AB9-4A3D-9F35-2549ECC305BF}"/>
    <hyperlink ref="E275" r:id="rId13" display="jarlysas@gmail.com;o.clockinternational@gmail.com;girlesa.ruiz@servipilas.com;joriescobar64@gmail.com" xr:uid="{A2CA6E71-6063-46BD-933B-4C714D6DAB5A}"/>
    <hyperlink ref="E97" r:id="rId14" xr:uid="{01663586-B004-457E-89DB-C9F486A2F704}"/>
    <hyperlink ref="E179" r:id="rId15" xr:uid="{4C45EAF0-13B8-4174-AAF4-89A4F2A92339}"/>
    <hyperlink ref="E316" r:id="rId16" xr:uid="{B08EE749-2121-4642-9E43-DD9DC668BA9E}"/>
    <hyperlink ref="E73" r:id="rId17" xr:uid="{83271EF2-8058-4E07-A6EC-F6CED024CC78}"/>
    <hyperlink ref="E101" r:id="rId18" xr:uid="{8C3B3A78-B040-4936-9A3E-C204B23F051F}"/>
    <hyperlink ref="E287" r:id="rId19" xr:uid="{ADC47169-530C-45C1-B633-264E44FE5354}"/>
    <hyperlink ref="E174" r:id="rId20" xr:uid="{9CDD4FC4-8A1C-49B9-AC5B-E6041A5B28F5}"/>
    <hyperlink ref="E158" r:id="rId21" xr:uid="{1A85D8CC-9E3F-41AB-92F0-450FD29F6C9E}"/>
    <hyperlink ref="E94" r:id="rId22" xr:uid="{FCCAEC71-E9AC-47BE-8E61-6A5FDEE410A3}"/>
    <hyperlink ref="E264" r:id="rId23" xr:uid="{482B179A-71A6-493A-8242-802ACBA0ACDA}"/>
    <hyperlink ref="E109" r:id="rId24" xr:uid="{892B025D-76B1-4625-9F33-C7C07F0C7974}"/>
    <hyperlink ref="E42" r:id="rId25" xr:uid="{BECB3A0A-E5B2-417B-A252-E17B96AED2CC}"/>
    <hyperlink ref="E127" r:id="rId26" xr:uid="{C3B034BC-1EE2-45FB-B930-AAD08ED4A45C}"/>
    <hyperlink ref="E154" r:id="rId27" xr:uid="{D4495511-4B1A-4CE4-83E4-90A6C47608B9}"/>
    <hyperlink ref="E183" r:id="rId28" xr:uid="{5AB5BF9C-5F01-4621-BECA-43745E906963}"/>
    <hyperlink ref="E162" r:id="rId29" xr:uid="{2478673F-B941-4863-8494-98C6008373EE}"/>
    <hyperlink ref="E96" r:id="rId30" xr:uid="{2509AEA1-249F-4F59-90A9-4BD6A04795FE}"/>
    <hyperlink ref="E173" r:id="rId31" xr:uid="{C858FF04-0DD3-4188-B427-8FCF0A6AB415}"/>
    <hyperlink ref="E120" r:id="rId32" xr:uid="{98B13428-3E35-430C-821C-D92A58607230}"/>
    <hyperlink ref="E31" r:id="rId33" xr:uid="{7BF8FC88-F0EC-4935-8F24-4C4B37502C4A}"/>
    <hyperlink ref="E47" r:id="rId34" xr:uid="{89B2FACD-60F6-4A54-A546-5FB11A9D582F}"/>
    <hyperlink ref="E201" r:id="rId35" xr:uid="{A134BC90-8D03-4867-B7DC-AE1A9E3F6D1E}"/>
    <hyperlink ref="E202" r:id="rId36" xr:uid="{21705948-D234-49D9-BF49-23B9F0C49E27}"/>
    <hyperlink ref="E131" r:id="rId37" xr:uid="{061934EE-7307-4B57-B0C7-ED8F7FBCB174}"/>
    <hyperlink ref="E156" r:id="rId38" xr:uid="{61F2F2B1-89E9-40D3-9CA1-820CB6B9601F}"/>
    <hyperlink ref="E194" r:id="rId39" xr:uid="{092582AB-2C50-4EC4-8BD7-2D5A0282CD0C}"/>
    <hyperlink ref="E104" r:id="rId40" xr:uid="{0136AA99-044C-40BD-BE85-CFB535272EBA}"/>
    <hyperlink ref="E2" r:id="rId41" xr:uid="{7992F441-764D-4CEA-8073-1C789250B204}"/>
    <hyperlink ref="E38" r:id="rId42" xr:uid="{33163C04-D759-49B5-B8DA-F7E5C0F8FA0D}"/>
    <hyperlink ref="E193" r:id="rId43" xr:uid="{A80D6750-F999-4A9E-BF21-741A7356E0C1}"/>
    <hyperlink ref="E7" r:id="rId44" xr:uid="{2BD7A451-9290-4536-87BD-620F13E416AA}"/>
    <hyperlink ref="A223" r:id="rId45" display="UNIFORMES@" xr:uid="{85D855E3-E840-4304-BB1C-2A00B2BA648D}"/>
    <hyperlink ref="E159" r:id="rId46" xr:uid="{67AC581A-C186-4045-B8D9-F972F5C5D611}"/>
    <hyperlink ref="E123:E125" r:id="rId47" display="jessica.barrios@carpainternacional.com;girlesa.ruiz@servipilas.com;joriescobar64@gmail.com" xr:uid="{D7757A38-9B7B-4373-B638-73A9809F1AA8}"/>
    <hyperlink ref="E41" r:id="rId48" xr:uid="{85B64461-47FD-48E4-A11D-E0E18781AD17}"/>
    <hyperlink ref="E43" r:id="rId49" xr:uid="{0BD23B30-EFB0-4B05-8ADB-5D101A195A33}"/>
    <hyperlink ref="E238" r:id="rId50" xr:uid="{EF39B1D2-7792-4DB0-9D4F-82F6553A7642}"/>
    <hyperlink ref="E108" r:id="rId51" xr:uid="{4868193B-3AF0-4922-B114-B4386FC1E472}"/>
    <hyperlink ref="E125" r:id="rId52" xr:uid="{8A4D4B1E-76BB-446C-943F-56C97E313ECC}"/>
    <hyperlink ref="E115" r:id="rId53" xr:uid="{949B29E9-02C5-4EF8-A3AF-3E9B8B50C139}"/>
    <hyperlink ref="E160" r:id="rId54" xr:uid="{FAE033CE-D429-4C01-AEFF-D8B6364220C0}"/>
    <hyperlink ref="E50" r:id="rId55" xr:uid="{BA018914-29DB-43CA-A548-A04BBD3BE44C}"/>
    <hyperlink ref="E206" r:id="rId56" xr:uid="{8B7C0E63-B613-4AEE-BCE0-3D2547B71E8C}"/>
    <hyperlink ref="E177" r:id="rId57" display="comercializadorajls@hotmail.com" xr:uid="{DF070CA9-F3B5-4C7D-8BA0-7C282F6B0E11}"/>
    <hyperlink ref="E128" r:id="rId58" xr:uid="{A1E31DC4-DF89-4E86-A1BF-BFC5FE41CB8F}"/>
    <hyperlink ref="E106" r:id="rId59" xr:uid="{62F5D669-6C67-4B8C-9FF6-2E06C1323054}"/>
    <hyperlink ref="E112" r:id="rId60" xr:uid="{723CC03E-A6C5-4CE6-80EC-46CECC052BB2}"/>
    <hyperlink ref="E171" r:id="rId61" xr:uid="{C700CC90-81EE-4025-85E3-FAC37CD3CF2B}"/>
    <hyperlink ref="E330" r:id="rId62" xr:uid="{6C60FFE3-1F47-4B39-9015-4B4A5EE42CD0}"/>
    <hyperlink ref="E100" r:id="rId63" xr:uid="{3CC6D305-D94B-458E-9B73-11E466EA109A}"/>
    <hyperlink ref="E99" r:id="rId64" xr:uid="{FAF3902D-3886-48FD-A6DD-D7E65E307A35}"/>
    <hyperlink ref="E98" r:id="rId65" xr:uid="{B7F168F3-0A77-40FF-BB0F-84E8707B8745}"/>
    <hyperlink ref="E40" r:id="rId66" xr:uid="{7F19F1F4-98A0-4301-9A42-E04D9296DAB4}"/>
    <hyperlink ref="E39" r:id="rId67" xr:uid="{6F0F6C7C-9EBB-458B-812E-B08DF0FB7641}"/>
    <hyperlink ref="E129" r:id="rId68" display="angela.navas@hyrdistribuciones.com;girlesa.ruiz@servipilas.com;joriescobar64@gmail.com" xr:uid="{3197AC0C-5CDD-456B-B9CF-E1D70D0A65B1}"/>
    <hyperlink ref="E34" r:id="rId69" xr:uid="{6030358C-BE3A-4FE2-8A1E-048849C066A5}"/>
    <hyperlink ref="E178" r:id="rId70" xr:uid="{545955FB-78DD-406C-AEFA-0A4A7AA7A85B}"/>
    <hyperlink ref="E21" r:id="rId71" display="admon@surtiexpress.com.co.com;girlesa.ruiz@servipilas.com;joriescobar64@gmail.com" xr:uid="{7341D5FD-B2A3-4D8E-8EB4-26032257065F}"/>
    <hyperlink ref="E48" r:id="rId72" xr:uid="{7C780451-B94B-401E-A521-15185082966C}"/>
    <hyperlink ref="E132" r:id="rId73" xr:uid="{EEDA868C-2F17-4F83-9F59-617B40472331}"/>
    <hyperlink ref="E257" r:id="rId74" xr:uid="{E2633589-4D5D-4745-AEB7-CA460B317298}"/>
    <hyperlink ref="E218" r:id="rId75" xr:uid="{AC9A8F97-129A-4D3D-87AB-73D32E20A1C0}"/>
    <hyperlink ref="E11" r:id="rId76" xr:uid="{089BAA1A-2ECB-4571-9EB0-1CCBB4BC5441}"/>
    <hyperlink ref="E133" r:id="rId77" xr:uid="{22328E60-066F-41EA-B487-EFB0EE7D4A7F}"/>
    <hyperlink ref="E102" r:id="rId78" xr:uid="{209B5C91-C4C6-47ED-B6FF-BE10E817D7F1}"/>
    <hyperlink ref="E284" r:id="rId79" xr:uid="{9EDD0E33-306E-4023-9A32-34F5D186AE7D}"/>
    <hyperlink ref="E155" r:id="rId80" xr:uid="{684103BF-71B5-4950-BA60-04F4AEDACF3E}"/>
    <hyperlink ref="E331" r:id="rId81" xr:uid="{1E88ED09-F8AB-49E3-8640-6DD732D9A60A}"/>
  </hyperlinks>
  <pageMargins left="0.7" right="0.7" top="0.75" bottom="0.75" header="0.3" footer="0.3"/>
  <pageSetup paperSize="9" orientation="portrait" r:id="rId82"/>
  <tableParts count="1">
    <tablePart r:id="rId8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B6EC51F-C8CD-49B9-A38C-2B4CB8C3A653}">
          <x14:formula1>
            <xm:f>Retenciones!$A:$A</xm:f>
          </x14:formula1>
          <xm:sqref>D1</xm:sqref>
        </x14:dataValidation>
        <x14:dataValidation type="list" allowBlank="1" showInputMessage="1" showErrorMessage="1" xr:uid="{F5FD3D79-115E-4889-A8E3-4CF6BBCC11F6}">
          <x14:formula1>
            <xm:f>'Palabra que no opera y Listas d'!$E$2:$E$3</xm:f>
          </x14:formula1>
          <xm:sqref>G2:I332</xm:sqref>
        </x14:dataValidation>
        <x14:dataValidation type="list" allowBlank="1" showInputMessage="1" showErrorMessage="1" xr:uid="{B5A62AA5-23EA-4F7A-B2B4-6878BD22A052}">
          <x14:formula1>
            <xm:f>Retenciones!$A$2:$A$25</xm:f>
          </x14:formula1>
          <xm:sqref>D2:D1048576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3A017-5649-4FEC-8EAA-99E240C5BE79}">
  <sheetPr codeName="Hoja11">
    <tabColor theme="5" tint="0.59999389629810485"/>
  </sheetPr>
  <dimension ref="A1:E8"/>
  <sheetViews>
    <sheetView workbookViewId="0">
      <selection activeCell="E6" sqref="E6"/>
    </sheetView>
  </sheetViews>
  <sheetFormatPr baseColWidth="10" defaultColWidth="11.5703125" defaultRowHeight="15" x14ac:dyDescent="0.25"/>
  <cols>
    <col min="1" max="1" width="22" style="42" bestFit="1" customWidth="1"/>
    <col min="2" max="2" width="17.5703125" customWidth="1"/>
  </cols>
  <sheetData>
    <row r="1" spans="1:5" ht="38.25" x14ac:dyDescent="0.25">
      <c r="A1" s="44" t="s">
        <v>358</v>
      </c>
      <c r="B1" s="104" t="s">
        <v>1519</v>
      </c>
      <c r="C1" s="104" t="s">
        <v>1532</v>
      </c>
      <c r="D1" s="105" t="s">
        <v>1538</v>
      </c>
      <c r="E1" s="105" t="s">
        <v>1622</v>
      </c>
    </row>
    <row r="2" spans="1:5" x14ac:dyDescent="0.25">
      <c r="A2" s="45" t="s">
        <v>395</v>
      </c>
      <c r="B2" t="s">
        <v>1530</v>
      </c>
      <c r="C2" t="s">
        <v>1533</v>
      </c>
      <c r="D2" s="43">
        <v>0</v>
      </c>
      <c r="E2" s="48" t="s">
        <v>1623</v>
      </c>
    </row>
    <row r="3" spans="1:5" x14ac:dyDescent="0.25">
      <c r="B3" t="s">
        <v>504</v>
      </c>
      <c r="C3" t="s">
        <v>1534</v>
      </c>
      <c r="E3" s="48" t="s">
        <v>1624</v>
      </c>
    </row>
    <row r="4" spans="1:5" x14ac:dyDescent="0.25">
      <c r="C4" t="s">
        <v>1535</v>
      </c>
    </row>
    <row r="5" spans="1:5" x14ac:dyDescent="0.25">
      <c r="C5" t="s">
        <v>1536</v>
      </c>
    </row>
    <row r="6" spans="1:5" x14ac:dyDescent="0.25">
      <c r="C6" t="s">
        <v>1395</v>
      </c>
    </row>
    <row r="7" spans="1:5" x14ac:dyDescent="0.25">
      <c r="C7" t="s">
        <v>1541</v>
      </c>
    </row>
    <row r="8" spans="1:5" x14ac:dyDescent="0.25">
      <c r="C8" t="s">
        <v>1537</v>
      </c>
    </row>
  </sheetData>
  <dataValidations count="1">
    <dataValidation allowBlank="1" showInputMessage="1" showErrorMessage="1" error="Primero crea el proveedor en la hoja &quot;Proveedores&quot;." sqref="B1:D1" xr:uid="{C4757183-93B8-4800-9CE6-5437F3DB455E}"/>
  </dataValidations>
  <hyperlinks>
    <hyperlink ref="A2" r:id="rId1" xr:uid="{105D12F8-423B-4A30-A16E-9120E251499C}"/>
  </hyperlinks>
  <pageMargins left="0.7" right="0.7" top="0.75" bottom="0.75" header="0.3" footer="0.3"/>
  <pageSetup paperSize="9" orientation="portrait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A5714-C1A6-4EAE-B4B6-BB4BF625550E}">
  <sheetPr codeName="Hoja1"/>
  <dimension ref="A1:AB1661"/>
  <sheetViews>
    <sheetView tabSelected="1" topLeftCell="G1" zoomScale="110" zoomScaleNormal="110" workbookViewId="0">
      <selection activeCell="S1" sqref="S1:XFD1048576"/>
    </sheetView>
  </sheetViews>
  <sheetFormatPr baseColWidth="10" defaultColWidth="0" defaultRowHeight="27.75" customHeight="1" x14ac:dyDescent="0.25"/>
  <cols>
    <col min="1" max="1" width="10.7109375" style="209" hidden="1" customWidth="1"/>
    <col min="2" max="2" width="15.7109375" style="209" hidden="1" customWidth="1"/>
    <col min="3" max="3" width="11.85546875" style="209" hidden="1" customWidth="1"/>
    <col min="4" max="4" width="18.42578125" style="209" hidden="1" customWidth="1"/>
    <col min="5" max="5" width="8.5703125" style="209" hidden="1" customWidth="1"/>
    <col min="6" max="6" width="22.85546875" style="209" hidden="1" customWidth="1"/>
    <col min="7" max="7" width="15.5703125" style="202" customWidth="1"/>
    <col min="8" max="8" width="41" style="202" customWidth="1"/>
    <col min="9" max="9" width="17.28515625" style="202" customWidth="1"/>
    <col min="10" max="10" width="21.140625" style="202" customWidth="1"/>
    <col min="11" max="11" width="17.7109375" style="202" bestFit="1" customWidth="1"/>
    <col min="12" max="12" width="18.85546875" style="202" customWidth="1"/>
    <col min="13" max="13" width="13.28515625" style="202" customWidth="1"/>
    <col min="14" max="14" width="14.28515625" style="210" customWidth="1"/>
    <col min="15" max="15" width="14.5703125" style="210" customWidth="1"/>
    <col min="16" max="17" width="15.5703125" style="210" customWidth="1"/>
    <col min="18" max="18" width="14.5703125" style="210" bestFit="1" customWidth="1"/>
    <col min="19" max="19" width="15.140625" style="209" hidden="1"/>
    <col min="20" max="20" width="15.28515625" style="209" hidden="1"/>
    <col min="21" max="21" width="18.5703125" style="209" hidden="1"/>
    <col min="22" max="22" width="16.42578125" style="209" hidden="1"/>
    <col min="23" max="24" width="15.42578125" style="209" hidden="1"/>
    <col min="25" max="25" width="13.140625" style="209" hidden="1"/>
    <col min="26" max="26" width="12.140625" style="209" hidden="1"/>
    <col min="27" max="27" width="11.42578125" style="202" hidden="1"/>
    <col min="28" max="28" width="11.85546875" style="202" hidden="1"/>
    <col min="29" max="16384" width="11.42578125" style="202" hidden="1"/>
  </cols>
  <sheetData>
    <row r="1" spans="1:26" s="201" customFormat="1" ht="57.75" customHeight="1" x14ac:dyDescent="0.25">
      <c r="A1" s="128" t="s">
        <v>1654</v>
      </c>
      <c r="B1" s="128" t="s">
        <v>119</v>
      </c>
      <c r="C1" s="128" t="s">
        <v>4</v>
      </c>
      <c r="D1" s="129" t="s">
        <v>115</v>
      </c>
      <c r="E1" s="130" t="s">
        <v>5</v>
      </c>
      <c r="F1" s="128" t="s">
        <v>81</v>
      </c>
      <c r="G1" s="76" t="s">
        <v>6</v>
      </c>
      <c r="H1" s="76" t="s">
        <v>3</v>
      </c>
      <c r="I1" s="76" t="s">
        <v>1</v>
      </c>
      <c r="J1" s="76" t="s">
        <v>2</v>
      </c>
      <c r="K1" s="76" t="s">
        <v>1519</v>
      </c>
      <c r="L1" s="76" t="s">
        <v>1532</v>
      </c>
      <c r="M1" s="76" t="s">
        <v>71</v>
      </c>
      <c r="N1" s="147" t="s">
        <v>72</v>
      </c>
      <c r="O1" s="147" t="s">
        <v>1538</v>
      </c>
      <c r="P1" s="147" t="s">
        <v>1542</v>
      </c>
      <c r="Q1" s="147" t="s">
        <v>1539</v>
      </c>
      <c r="R1" s="147" t="s">
        <v>73</v>
      </c>
      <c r="S1" s="131" t="s">
        <v>7</v>
      </c>
      <c r="T1" s="131" t="s">
        <v>292</v>
      </c>
      <c r="U1" s="131" t="s">
        <v>345</v>
      </c>
      <c r="V1" s="131" t="s">
        <v>352</v>
      </c>
      <c r="W1" s="131" t="s">
        <v>354</v>
      </c>
      <c r="X1" s="132" t="s">
        <v>353</v>
      </c>
      <c r="Y1" s="133" t="s">
        <v>355</v>
      </c>
      <c r="Z1" s="134" t="s">
        <v>395</v>
      </c>
    </row>
    <row r="2" spans="1:26" ht="27.75" customHeight="1" x14ac:dyDescent="0.25">
      <c r="A2" s="141" t="str">
        <f>+IF(PROVEEDORES[[#This Row],[FECHA DE PAGO]]=PROVEEDORES[[#This Row],[FECHA DE FACTURACIÓN]],"DE CONTADO","CRÉDITO")</f>
        <v>DE CONTADO</v>
      </c>
      <c r="B2" s="138" t="b">
        <f>+IF((PROVEEDORES[[#This Row],[FECHA DE PAGO]]-PROVEEDORES[[#This Row],[FECHA DE FACTURACIÓN]])&gt;PROVEEDORES[[#This Row],[PLAZO Días]],"PAGO VENCIDO")</f>
        <v>0</v>
      </c>
      <c r="C2" s="138">
        <f>+VLOOKUP(PROVEEDORES[[#This Row],[PROVEEDOR]],TERCEROS_INFO[#All],2,FALSE)</f>
        <v>30</v>
      </c>
      <c r="D2" s="139">
        <f>+SUMIFS(PROVEEDORES[Total],PROVEEDORES[PROVEEDOR],PROVEEDORES[[#This Row],[PROVEEDOR]],PROVEEDORES[FECHA DE PAGO],"")</f>
        <v>0</v>
      </c>
      <c r="E2" s="140"/>
      <c r="F2" s="138" t="str">
        <f>+VLOOKUP(PROVEEDORES[[#This Row],[PROVEEDOR]],
                       Terceros!$A:$F,
                       5,
                       FALSE)</f>
        <v/>
      </c>
      <c r="G2" s="127">
        <v>44931</v>
      </c>
      <c r="H2" s="123" t="s">
        <v>1803</v>
      </c>
      <c r="I2" s="127">
        <v>44931</v>
      </c>
      <c r="J2" s="124" t="s">
        <v>528</v>
      </c>
      <c r="K2" s="124" t="s">
        <v>1530</v>
      </c>
      <c r="L2" s="124" t="s">
        <v>1533</v>
      </c>
      <c r="M2" s="125">
        <v>3875760</v>
      </c>
      <c r="N2" s="148">
        <v>0</v>
      </c>
      <c r="O2" s="148">
        <v>0</v>
      </c>
      <c r="P2" s="149">
        <v>0</v>
      </c>
      <c r="Q2" s="148">
        <v>0</v>
      </c>
      <c r="R2" s="150">
        <v>3875760</v>
      </c>
      <c r="S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" s="135">
        <f ca="1">+IF(PROVEEDORES[[#This Row],[FECHA DE PAGO]]=0,TODAY()-PROVEEDORES[[#This Row],[FECHA DE FACTURACIÓN]]-PROVEEDORES[[#This Row],[PLAZO Días]],0)</f>
        <v>0</v>
      </c>
      <c r="U2" s="135">
        <f>+VLOOKUP(PROVEEDORES[[#This Row],[PROVEEDOR]],Terceros!$A:$D,4,FALSE)</f>
        <v>0</v>
      </c>
      <c r="V2" s="135">
        <f>+YEAR(PROVEEDORES[[#This Row],[FECHA DE FACTURACIÓN]])</f>
        <v>2023</v>
      </c>
      <c r="W2" s="135">
        <f>+MATCH(PROVEEDORES[[#This Row],[año facturado]],Retenciones!$1:$1,0)</f>
        <v>6</v>
      </c>
      <c r="X2" s="136">
        <f>+VLOOKUP(PROVEEDORES[[#This Row],[ID RETENCION]],Retenciones!$A$1:$O$25,PROVEEDORES[[#This Row],[indicador de columna]],FALSE)</f>
        <v>0</v>
      </c>
      <c r="Y2" s="137">
        <f>+VLOOKUP(PROVEEDORES[[#This Row],[ID RETENCION]],Retenciones!$A$1:$O$25,2,FALSE)</f>
        <v>0</v>
      </c>
      <c r="Z2" s="126" t="b">
        <f>+OR(COUNTIF(PROVEEDORES[[#This Row],[PROVEEDOR]],"*"&amp;'Palabra que no opera y Listas d'!$A$2&amp;"*"))</f>
        <v>0</v>
      </c>
    </row>
    <row r="3" spans="1:26" ht="27.75" customHeight="1" x14ac:dyDescent="0.25">
      <c r="A3" s="141" t="str">
        <f>+IF(PROVEEDORES[[#This Row],[FECHA DE PAGO]]=PROVEEDORES[[#This Row],[FECHA DE FACTURACIÓN]],"DE CONTADO","CRÉDITO")</f>
        <v>DE CONTADO</v>
      </c>
      <c r="B3" s="138" t="b">
        <f>+IF((PROVEEDORES[[#This Row],[FECHA DE PAGO]]-PROVEEDORES[[#This Row],[FECHA DE FACTURACIÓN]])&gt;PROVEEDORES[[#This Row],[PLAZO Días]],"PAGO VENCIDO")</f>
        <v>0</v>
      </c>
      <c r="C3" s="138">
        <f>+VLOOKUP(PROVEEDORES[[#This Row],[PROVEEDOR]],TERCEROS_INFO[#All],2,FALSE)</f>
        <v>30</v>
      </c>
      <c r="D3" s="139">
        <f>+SUMIFS(PROVEEDORES[Total],PROVEEDORES[PROVEEDOR],PROVEEDORES[[#This Row],[PROVEEDOR]],PROVEEDORES[FECHA DE PAGO],"")</f>
        <v>0</v>
      </c>
      <c r="E3" s="140"/>
      <c r="F3" s="138" t="str">
        <f>+VLOOKUP(PROVEEDORES[[#This Row],[PROVEEDOR]],
                       Terceros!$A:$F,
                       5,
                       FALSE)</f>
        <v/>
      </c>
      <c r="G3" s="127">
        <v>44940</v>
      </c>
      <c r="H3" s="123" t="s">
        <v>481</v>
      </c>
      <c r="I3" s="127">
        <v>44940</v>
      </c>
      <c r="J3" s="124" t="s">
        <v>523</v>
      </c>
      <c r="K3" s="124" t="s">
        <v>1530</v>
      </c>
      <c r="L3" s="124"/>
      <c r="M3" s="125">
        <v>896000</v>
      </c>
      <c r="N3" s="148">
        <v>0</v>
      </c>
      <c r="O3" s="148">
        <v>0</v>
      </c>
      <c r="P3" s="149">
        <v>0</v>
      </c>
      <c r="Q3" s="148">
        <v>0</v>
      </c>
      <c r="R3" s="150">
        <v>896000</v>
      </c>
      <c r="S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" s="135">
        <f ca="1">+IF(PROVEEDORES[[#This Row],[FECHA DE PAGO]]=0,TODAY()-PROVEEDORES[[#This Row],[FECHA DE FACTURACIÓN]]-PROVEEDORES[[#This Row],[PLAZO Días]],0)</f>
        <v>0</v>
      </c>
      <c r="U3" s="135">
        <f>+VLOOKUP(PROVEEDORES[[#This Row],[PROVEEDOR]],Terceros!$A:$D,4,FALSE)</f>
        <v>0</v>
      </c>
      <c r="V3" s="135">
        <f>+YEAR(PROVEEDORES[[#This Row],[FECHA DE FACTURACIÓN]])</f>
        <v>2023</v>
      </c>
      <c r="W3" s="135">
        <f>+MATCH(PROVEEDORES[[#This Row],[año facturado]],Retenciones!$1:$1,0)</f>
        <v>6</v>
      </c>
      <c r="X3" s="136">
        <f>+VLOOKUP(PROVEEDORES[[#This Row],[ID RETENCION]],Retenciones!$A$1:$O$25,PROVEEDORES[[#This Row],[indicador de columna]],FALSE)</f>
        <v>0</v>
      </c>
      <c r="Y3" s="137">
        <f>+VLOOKUP(PROVEEDORES[[#This Row],[ID RETENCION]],Retenciones!$A$1:$O$25,2,FALSE)</f>
        <v>0</v>
      </c>
      <c r="Z3" s="126" t="b">
        <f>+OR(COUNTIF(PROVEEDORES[[#This Row],[PROVEEDOR]],"*"&amp;'Palabra que no opera y Listas d'!$A$2&amp;"*"))</f>
        <v>0</v>
      </c>
    </row>
    <row r="4" spans="1:26" ht="27.75" customHeight="1" x14ac:dyDescent="0.25">
      <c r="A4" s="141" t="str">
        <f>+IF(PROVEEDORES[[#This Row],[FECHA DE PAGO]]=PROVEEDORES[[#This Row],[FECHA DE FACTURACIÓN]],"DE CONTADO","CRÉDITO")</f>
        <v>CRÉDITO</v>
      </c>
      <c r="B4" s="138" t="b">
        <f>+IF((PROVEEDORES[[#This Row],[FECHA DE PAGO]]-PROVEEDORES[[#This Row],[FECHA DE FACTURACIÓN]])&gt;PROVEEDORES[[#This Row],[PLAZO Días]],"PAGO VENCIDO")</f>
        <v>0</v>
      </c>
      <c r="C4" s="138">
        <f>+VLOOKUP(PROVEEDORES[[#This Row],[PROVEEDOR]],TERCEROS_INFO[#All],2,FALSE)</f>
        <v>30</v>
      </c>
      <c r="D4" s="139">
        <f>+SUMIFS(PROVEEDORES[Total],PROVEEDORES[PROVEEDOR],PROVEEDORES[[#This Row],[PROVEEDOR]],PROVEEDORES[FECHA DE PAGO],"")</f>
        <v>0</v>
      </c>
      <c r="E4" s="140"/>
      <c r="F4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4" s="127">
        <v>44942</v>
      </c>
      <c r="H4" s="123" t="s">
        <v>373</v>
      </c>
      <c r="I4" s="127">
        <v>44928</v>
      </c>
      <c r="J4" s="124" t="s">
        <v>506</v>
      </c>
      <c r="K4" s="124" t="s">
        <v>1530</v>
      </c>
      <c r="L4" s="124"/>
      <c r="M4" s="125">
        <v>1866320</v>
      </c>
      <c r="N4" s="148">
        <v>0</v>
      </c>
      <c r="O4" s="148">
        <v>0</v>
      </c>
      <c r="P4" s="149">
        <v>0</v>
      </c>
      <c r="Q4" s="148">
        <v>0</v>
      </c>
      <c r="R4" s="150">
        <v>1866320</v>
      </c>
      <c r="S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" s="135">
        <f ca="1">+IF(PROVEEDORES[[#This Row],[FECHA DE PAGO]]=0,TODAY()-PROVEEDORES[[#This Row],[FECHA DE FACTURACIÓN]]-PROVEEDORES[[#This Row],[PLAZO Días]],0)</f>
        <v>0</v>
      </c>
      <c r="U4" s="135">
        <f>+VLOOKUP(PROVEEDORES[[#This Row],[PROVEEDOR]],Terceros!$A:$D,4,FALSE)</f>
        <v>0</v>
      </c>
      <c r="V4" s="135">
        <f>+YEAR(PROVEEDORES[[#This Row],[FECHA DE FACTURACIÓN]])</f>
        <v>2023</v>
      </c>
      <c r="W4" s="135">
        <f>+MATCH(PROVEEDORES[[#This Row],[año facturado]],Retenciones!$1:$1,0)</f>
        <v>6</v>
      </c>
      <c r="X4" s="136">
        <f>+VLOOKUP(PROVEEDORES[[#This Row],[ID RETENCION]],Retenciones!$A$1:$O$25,PROVEEDORES[[#This Row],[indicador de columna]],FALSE)</f>
        <v>0</v>
      </c>
      <c r="Y4" s="137">
        <f>+VLOOKUP(PROVEEDORES[[#This Row],[ID RETENCION]],Retenciones!$A$1:$O$25,2,FALSE)</f>
        <v>0</v>
      </c>
      <c r="Z4" s="126" t="b">
        <f>+OR(COUNTIF(PROVEEDORES[[#This Row],[PROVEEDOR]],"*"&amp;'Palabra que no opera y Listas d'!$A$2&amp;"*"))</f>
        <v>1</v>
      </c>
    </row>
    <row r="5" spans="1:26" ht="27.75" customHeight="1" x14ac:dyDescent="0.25">
      <c r="A5" s="141" t="str">
        <f>+IF(PROVEEDORES[[#This Row],[FECHA DE PAGO]]=PROVEEDORES[[#This Row],[FECHA DE FACTURACIÓN]],"DE CONTADO","CRÉDITO")</f>
        <v>DE CONTADO</v>
      </c>
      <c r="B5" s="138" t="b">
        <f>+IF((PROVEEDORES[[#This Row],[FECHA DE PAGO]]-PROVEEDORES[[#This Row],[FECHA DE FACTURACIÓN]])&gt;PROVEEDORES[[#This Row],[PLAZO Días]],"PAGO VENCIDO")</f>
        <v>0</v>
      </c>
      <c r="C5" s="138">
        <f>+VLOOKUP(PROVEEDORES[[#This Row],[PROVEEDOR]],TERCEROS_INFO[#All],2,FALSE)</f>
        <v>30</v>
      </c>
      <c r="D5" s="139">
        <f>+SUMIFS(PROVEEDORES[Total],PROVEEDORES[PROVEEDOR],PROVEEDORES[[#This Row],[PROVEEDOR]],PROVEEDORES[FECHA DE PAGO],"")</f>
        <v>0</v>
      </c>
      <c r="E5" s="140"/>
      <c r="F5" s="138" t="str">
        <f>+VLOOKUP(PROVEEDORES[[#This Row],[PROVEEDOR]],
                       Terceros!$A:$F,
                       5,
                       FALSE)</f>
        <v/>
      </c>
      <c r="G5" s="127">
        <v>44943</v>
      </c>
      <c r="H5" s="123" t="s">
        <v>525</v>
      </c>
      <c r="I5" s="127">
        <v>44943</v>
      </c>
      <c r="J5" s="124" t="s">
        <v>531</v>
      </c>
      <c r="K5" s="124" t="s">
        <v>1530</v>
      </c>
      <c r="L5" s="124"/>
      <c r="M5" s="125">
        <v>1055879</v>
      </c>
      <c r="N5" s="148">
        <v>0</v>
      </c>
      <c r="O5" s="148">
        <v>0</v>
      </c>
      <c r="P5" s="149">
        <v>0</v>
      </c>
      <c r="Q5" s="148">
        <v>0</v>
      </c>
      <c r="R5" s="150">
        <v>1055879</v>
      </c>
      <c r="S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" s="135">
        <f ca="1">+IF(PROVEEDORES[[#This Row],[FECHA DE PAGO]]=0,TODAY()-PROVEEDORES[[#This Row],[FECHA DE FACTURACIÓN]]-PROVEEDORES[[#This Row],[PLAZO Días]],0)</f>
        <v>0</v>
      </c>
      <c r="U5" s="135">
        <f>+VLOOKUP(PROVEEDORES[[#This Row],[PROVEEDOR]],Terceros!$A:$D,4,FALSE)</f>
        <v>0</v>
      </c>
      <c r="V5" s="135">
        <f>+YEAR(PROVEEDORES[[#This Row],[FECHA DE FACTURACIÓN]])</f>
        <v>2023</v>
      </c>
      <c r="W5" s="135">
        <f>+MATCH(PROVEEDORES[[#This Row],[año facturado]],Retenciones!$1:$1,0)</f>
        <v>6</v>
      </c>
      <c r="X5" s="136">
        <f>+VLOOKUP(PROVEEDORES[[#This Row],[ID RETENCION]],Retenciones!$A$1:$O$25,PROVEEDORES[[#This Row],[indicador de columna]],FALSE)</f>
        <v>0</v>
      </c>
      <c r="Y5" s="137">
        <f>+VLOOKUP(PROVEEDORES[[#This Row],[ID RETENCION]],Retenciones!$A$1:$O$25,2,FALSE)</f>
        <v>0</v>
      </c>
      <c r="Z5" s="126" t="b">
        <f>+OR(COUNTIF(PROVEEDORES[[#This Row],[PROVEEDOR]],"*"&amp;'Palabra que no opera y Listas d'!$A$2&amp;"*"))</f>
        <v>0</v>
      </c>
    </row>
    <row r="6" spans="1:26" ht="27.75" customHeight="1" x14ac:dyDescent="0.25">
      <c r="A6" s="141" t="str">
        <f>+IF(PROVEEDORES[[#This Row],[FECHA DE PAGO]]=PROVEEDORES[[#This Row],[FECHA DE FACTURACIÓN]],"DE CONTADO","CRÉDITO")</f>
        <v>CRÉDITO</v>
      </c>
      <c r="B6" s="138" t="b">
        <f>+IF((PROVEEDORES[[#This Row],[FECHA DE PAGO]]-PROVEEDORES[[#This Row],[FECHA DE FACTURACIÓN]])&gt;PROVEEDORES[[#This Row],[PLAZO Días]],"PAGO VENCIDO")</f>
        <v>0</v>
      </c>
      <c r="C6" s="138">
        <f>+VLOOKUP(PROVEEDORES[[#This Row],[PROVEEDOR]],TERCEROS_INFO[#All],2,FALSE)</f>
        <v>30</v>
      </c>
      <c r="D6" s="139">
        <f>+SUMIFS(PROVEEDORES[Total],PROVEEDORES[PROVEEDOR],PROVEEDORES[[#This Row],[PROVEEDOR]],PROVEEDORES[FECHA DE PAGO],"")</f>
        <v>0</v>
      </c>
      <c r="E6" s="140"/>
      <c r="F6" s="138" t="str">
        <f>+VLOOKUP(PROVEEDORES[[#This Row],[PROVEEDOR]],
                       Terceros!$A:$F,
                       5,
                       FALSE)</f>
        <v>facturacion@losmolinos.com.co</v>
      </c>
      <c r="G6" s="127">
        <v>44946</v>
      </c>
      <c r="H6" s="123" t="s">
        <v>376</v>
      </c>
      <c r="I6" s="127">
        <v>44929</v>
      </c>
      <c r="J6" s="124" t="s">
        <v>509</v>
      </c>
      <c r="K6" s="124" t="s">
        <v>1530</v>
      </c>
      <c r="L6" s="124"/>
      <c r="M6" s="125">
        <v>337254</v>
      </c>
      <c r="N6" s="148">
        <v>0</v>
      </c>
      <c r="O6" s="148">
        <v>0</v>
      </c>
      <c r="P6" s="149">
        <v>0</v>
      </c>
      <c r="Q6" s="148">
        <v>0</v>
      </c>
      <c r="R6" s="150">
        <v>337254</v>
      </c>
      <c r="S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" s="135">
        <f ca="1">+IF(PROVEEDORES[[#This Row],[FECHA DE PAGO]]=0,TODAY()-PROVEEDORES[[#This Row],[FECHA DE FACTURACIÓN]]-PROVEEDORES[[#This Row],[PLAZO Días]],0)</f>
        <v>0</v>
      </c>
      <c r="U6" s="135">
        <f>+VLOOKUP(PROVEEDORES[[#This Row],[PROVEEDOR]],Terceros!$A:$D,4,FALSE)</f>
        <v>0</v>
      </c>
      <c r="V6" s="135">
        <f>+YEAR(PROVEEDORES[[#This Row],[FECHA DE FACTURACIÓN]])</f>
        <v>2023</v>
      </c>
      <c r="W6" s="135">
        <f>+MATCH(PROVEEDORES[[#This Row],[año facturado]],Retenciones!$1:$1,0)</f>
        <v>6</v>
      </c>
      <c r="X6" s="136">
        <f>+VLOOKUP(PROVEEDORES[[#This Row],[ID RETENCION]],Retenciones!$A$1:$O$25,PROVEEDORES[[#This Row],[indicador de columna]],FALSE)</f>
        <v>0</v>
      </c>
      <c r="Y6" s="137">
        <f>+VLOOKUP(PROVEEDORES[[#This Row],[ID RETENCION]],Retenciones!$A$1:$O$25,2,FALSE)</f>
        <v>0</v>
      </c>
      <c r="Z6" s="126" t="b">
        <f>+OR(COUNTIF(PROVEEDORES[[#This Row],[PROVEEDOR]],"*"&amp;'Palabra que no opera y Listas d'!$A$2&amp;"*"))</f>
        <v>1</v>
      </c>
    </row>
    <row r="7" spans="1:26" ht="27.75" customHeight="1" x14ac:dyDescent="0.25">
      <c r="A7" s="141" t="str">
        <f>+IF(PROVEEDORES[[#This Row],[FECHA DE PAGO]]=PROVEEDORES[[#This Row],[FECHA DE FACTURACIÓN]],"DE CONTADO","CRÉDITO")</f>
        <v>DE CONTADO</v>
      </c>
      <c r="B7" s="138" t="b">
        <f>+IF((PROVEEDORES[[#This Row],[FECHA DE PAGO]]-PROVEEDORES[[#This Row],[FECHA DE FACTURACIÓN]])&gt;PROVEEDORES[[#This Row],[PLAZO Días]],"PAGO VENCIDO")</f>
        <v>0</v>
      </c>
      <c r="C7" s="138">
        <f>+VLOOKUP(PROVEEDORES[[#This Row],[PROVEEDOR]],TERCEROS_INFO[#All],2,FALSE)</f>
        <v>30</v>
      </c>
      <c r="D7" s="139">
        <f>+SUMIFS(PROVEEDORES[Total],PROVEEDORES[PROVEEDOR],PROVEEDORES[[#This Row],[PROVEEDOR]],PROVEEDORES[FECHA DE PAGO],"")</f>
        <v>0</v>
      </c>
      <c r="E7" s="140"/>
      <c r="F7" s="138" t="str">
        <f>+VLOOKUP(PROVEEDORES[[#This Row],[PROVEEDOR]],
                       Terceros!$A:$F,
                       5,
                       FALSE)</f>
        <v/>
      </c>
      <c r="G7" s="127">
        <v>44946</v>
      </c>
      <c r="H7" s="123" t="s">
        <v>525</v>
      </c>
      <c r="I7" s="127">
        <v>44946</v>
      </c>
      <c r="J7" s="124" t="s">
        <v>526</v>
      </c>
      <c r="K7" s="124" t="s">
        <v>1530</v>
      </c>
      <c r="L7" s="124"/>
      <c r="M7" s="125">
        <v>69000</v>
      </c>
      <c r="N7" s="148">
        <v>0</v>
      </c>
      <c r="O7" s="148">
        <v>0</v>
      </c>
      <c r="P7" s="149">
        <v>0</v>
      </c>
      <c r="Q7" s="148">
        <v>0</v>
      </c>
      <c r="R7" s="150">
        <v>69000</v>
      </c>
      <c r="S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" s="135">
        <f ca="1">+IF(PROVEEDORES[[#This Row],[FECHA DE PAGO]]=0,TODAY()-PROVEEDORES[[#This Row],[FECHA DE FACTURACIÓN]]-PROVEEDORES[[#This Row],[PLAZO Días]],0)</f>
        <v>0</v>
      </c>
      <c r="U7" s="135">
        <f>+VLOOKUP(PROVEEDORES[[#This Row],[PROVEEDOR]],Terceros!$A:$D,4,FALSE)</f>
        <v>0</v>
      </c>
      <c r="V7" s="135">
        <f>+YEAR(PROVEEDORES[[#This Row],[FECHA DE FACTURACIÓN]])</f>
        <v>2023</v>
      </c>
      <c r="W7" s="135">
        <f>+MATCH(PROVEEDORES[[#This Row],[año facturado]],Retenciones!$1:$1,0)</f>
        <v>6</v>
      </c>
      <c r="X7" s="136">
        <f>+VLOOKUP(PROVEEDORES[[#This Row],[ID RETENCION]],Retenciones!$A$1:$O$25,PROVEEDORES[[#This Row],[indicador de columna]],FALSE)</f>
        <v>0</v>
      </c>
      <c r="Y7" s="137">
        <f>+VLOOKUP(PROVEEDORES[[#This Row],[ID RETENCION]],Retenciones!$A$1:$O$25,2,FALSE)</f>
        <v>0</v>
      </c>
      <c r="Z7" s="126" t="b">
        <f>+OR(COUNTIF(PROVEEDORES[[#This Row],[PROVEEDOR]],"*"&amp;'Palabra que no opera y Listas d'!$A$2&amp;"*"))</f>
        <v>0</v>
      </c>
    </row>
    <row r="8" spans="1:26" ht="27.75" customHeight="1" x14ac:dyDescent="0.25">
      <c r="A8" s="141" t="str">
        <f>+IF(PROVEEDORES[[#This Row],[FECHA DE PAGO]]=PROVEEDORES[[#This Row],[FECHA DE FACTURACIÓN]],"DE CONTADO","CRÉDITO")</f>
        <v>DE CONTADO</v>
      </c>
      <c r="B8" s="138" t="b">
        <f>+IF((PROVEEDORES[[#This Row],[FECHA DE PAGO]]-PROVEEDORES[[#This Row],[FECHA DE FACTURACIÓN]])&gt;PROVEEDORES[[#This Row],[PLAZO Días]],"PAGO VENCIDO")</f>
        <v>0</v>
      </c>
      <c r="C8" s="138">
        <f>+VLOOKUP(PROVEEDORES[[#This Row],[PROVEEDOR]],TERCEROS_INFO[#All],2,FALSE)</f>
        <v>30</v>
      </c>
      <c r="D8" s="139">
        <f>+SUMIFS(PROVEEDORES[Total],PROVEEDORES[PROVEEDOR],PROVEEDORES[[#This Row],[PROVEEDOR]],PROVEEDORES[FECHA DE PAGO],"")</f>
        <v>1350000</v>
      </c>
      <c r="E8" s="140"/>
      <c r="F8" s="138" t="str">
        <f>+VLOOKUP(PROVEEDORES[[#This Row],[PROVEEDOR]],
                       Terceros!$A:$F,
                       5,
                       FALSE)</f>
        <v/>
      </c>
      <c r="G8" s="127">
        <v>44947</v>
      </c>
      <c r="H8" s="123" t="s">
        <v>1807</v>
      </c>
      <c r="I8" s="127">
        <v>44947</v>
      </c>
      <c r="J8" s="124" t="s">
        <v>529</v>
      </c>
      <c r="K8" s="124" t="s">
        <v>1530</v>
      </c>
      <c r="L8" s="124"/>
      <c r="M8" s="125">
        <v>840000</v>
      </c>
      <c r="N8" s="148">
        <v>0</v>
      </c>
      <c r="O8" s="148">
        <v>0</v>
      </c>
      <c r="P8" s="149">
        <v>0</v>
      </c>
      <c r="Q8" s="148">
        <v>0</v>
      </c>
      <c r="R8" s="150">
        <v>840000</v>
      </c>
      <c r="S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" s="135">
        <f ca="1">+IF(PROVEEDORES[[#This Row],[FECHA DE PAGO]]=0,TODAY()-PROVEEDORES[[#This Row],[FECHA DE FACTURACIÓN]]-PROVEEDORES[[#This Row],[PLAZO Días]],0)</f>
        <v>0</v>
      </c>
      <c r="U8" s="135">
        <f>+VLOOKUP(PROVEEDORES[[#This Row],[PROVEEDOR]],Terceros!$A:$D,4,FALSE)</f>
        <v>0</v>
      </c>
      <c r="V8" s="135">
        <f>+YEAR(PROVEEDORES[[#This Row],[FECHA DE FACTURACIÓN]])</f>
        <v>2023</v>
      </c>
      <c r="W8" s="135">
        <f>+MATCH(PROVEEDORES[[#This Row],[año facturado]],Retenciones!$1:$1,0)</f>
        <v>6</v>
      </c>
      <c r="X8" s="136">
        <f>+VLOOKUP(PROVEEDORES[[#This Row],[ID RETENCION]],Retenciones!$A$1:$O$25,PROVEEDORES[[#This Row],[indicador de columna]],FALSE)</f>
        <v>0</v>
      </c>
      <c r="Y8" s="137">
        <f>+VLOOKUP(PROVEEDORES[[#This Row],[ID RETENCION]],Retenciones!$A$1:$O$25,2,FALSE)</f>
        <v>0</v>
      </c>
      <c r="Z8" s="126" t="b">
        <f>+OR(COUNTIF(PROVEEDORES[[#This Row],[PROVEEDOR]],"*"&amp;'Palabra que no opera y Listas d'!$A$2&amp;"*"))</f>
        <v>0</v>
      </c>
    </row>
    <row r="9" spans="1:26" ht="27.75" customHeight="1" x14ac:dyDescent="0.25">
      <c r="A9" s="141" t="str">
        <f>+IF(PROVEEDORES[[#This Row],[FECHA DE PAGO]]=PROVEEDORES[[#This Row],[FECHA DE FACTURACIÓN]],"DE CONTADO","CRÉDITO")</f>
        <v>CRÉDITO</v>
      </c>
      <c r="B9" s="138" t="b">
        <f>+IF((PROVEEDORES[[#This Row],[FECHA DE PAGO]]-PROVEEDORES[[#This Row],[FECHA DE FACTURACIÓN]])&gt;PROVEEDORES[[#This Row],[PLAZO Días]],"PAGO VENCIDO")</f>
        <v>0</v>
      </c>
      <c r="C9" s="138">
        <f>+VLOOKUP(PROVEEDORES[[#This Row],[PROVEEDOR]],TERCEROS_INFO[#All],2,FALSE)</f>
        <v>60</v>
      </c>
      <c r="D9" s="139">
        <f>+SUMIFS(PROVEEDORES[Total],PROVEEDORES[PROVEEDOR],PROVEEDORES[[#This Row],[PROVEEDOR]],PROVEEDORES[FECHA DE PAGO],"")</f>
        <v>0</v>
      </c>
      <c r="E9" s="140"/>
      <c r="F9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9" s="127">
        <v>44948</v>
      </c>
      <c r="H9" s="123" t="s">
        <v>65</v>
      </c>
      <c r="I9" s="127">
        <v>45252</v>
      </c>
      <c r="J9" s="124" t="s">
        <v>1455</v>
      </c>
      <c r="K9" s="124" t="s">
        <v>1530</v>
      </c>
      <c r="L9" s="124"/>
      <c r="M9" s="125">
        <v>-504202</v>
      </c>
      <c r="N9" s="148">
        <v>-95798.38</v>
      </c>
      <c r="O9" s="148">
        <v>0</v>
      </c>
      <c r="P9" s="149">
        <v>0</v>
      </c>
      <c r="Q9" s="148">
        <v>0</v>
      </c>
      <c r="R9" s="150">
        <v>-600000.38</v>
      </c>
      <c r="S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" s="135">
        <f ca="1">+IF(PROVEEDORES[[#This Row],[FECHA DE PAGO]]=0,TODAY()-PROVEEDORES[[#This Row],[FECHA DE FACTURACIÓN]]-PROVEEDORES[[#This Row],[PLAZO Días]],0)</f>
        <v>0</v>
      </c>
      <c r="U9" s="135" t="str">
        <f>+VLOOKUP(PROVEEDORES[[#This Row],[PROVEEDOR]],Terceros!$A:$D,4,FALSE)</f>
        <v>2,5% con base</v>
      </c>
      <c r="V9" s="135">
        <f>+YEAR(PROVEEDORES[[#This Row],[FECHA DE FACTURACIÓN]])</f>
        <v>2023</v>
      </c>
      <c r="W9" s="135">
        <f>+MATCH(PROVEEDORES[[#This Row],[año facturado]],Retenciones!$1:$1,0)</f>
        <v>6</v>
      </c>
      <c r="X9" s="136">
        <f>+VLOOKUP(PROVEEDORES[[#This Row],[ID RETENCION]],Retenciones!$A$1:$O$25,PROVEEDORES[[#This Row],[indicador de columna]],FALSE)</f>
        <v>1145000</v>
      </c>
      <c r="Y9" s="137">
        <f>+VLOOKUP(PROVEEDORES[[#This Row],[ID RETENCION]],Retenciones!$A$1:$O$25,2,FALSE)</f>
        <v>2.5000000000000001E-2</v>
      </c>
      <c r="Z9" s="126" t="b">
        <f>+OR(COUNTIF(PROVEEDORES[[#This Row],[PROVEEDOR]],"*"&amp;'Palabra que no opera y Listas d'!$A$2&amp;"*"))</f>
        <v>0</v>
      </c>
    </row>
    <row r="10" spans="1:26" ht="27.75" customHeight="1" x14ac:dyDescent="0.25">
      <c r="A10" s="141" t="str">
        <f>+IF(PROVEEDORES[[#This Row],[FECHA DE PAGO]]=PROVEEDORES[[#This Row],[FECHA DE FACTURACIÓN]],"DE CONTADO","CRÉDITO")</f>
        <v>DE CONTADO</v>
      </c>
      <c r="B10" s="138" t="b">
        <f>+IF((PROVEEDORES[[#This Row],[FECHA DE PAGO]]-PROVEEDORES[[#This Row],[FECHA DE FACTURACIÓN]])&gt;PROVEEDORES[[#This Row],[PLAZO Días]],"PAGO VENCIDO")</f>
        <v>0</v>
      </c>
      <c r="C10" s="138">
        <f>+VLOOKUP(PROVEEDORES[[#This Row],[PROVEEDOR]],TERCEROS_INFO[#All],2,FALSE)</f>
        <v>30</v>
      </c>
      <c r="D10" s="139">
        <f>+SUMIFS(PROVEEDORES[Total],PROVEEDORES[PROVEEDOR],PROVEEDORES[[#This Row],[PROVEEDOR]],PROVEEDORES[FECHA DE PAGO],"")</f>
        <v>0</v>
      </c>
      <c r="E10" s="140"/>
      <c r="F10" s="138" t="str">
        <f>+VLOOKUP(PROVEEDORES[[#This Row],[PROVEEDOR]],
                       Terceros!$A:$F,
                       5,
                       FALSE)</f>
        <v/>
      </c>
      <c r="G10" s="127">
        <v>44949</v>
      </c>
      <c r="H10" s="123" t="s">
        <v>481</v>
      </c>
      <c r="I10" s="127">
        <v>44949</v>
      </c>
      <c r="J10" s="124" t="s">
        <v>524</v>
      </c>
      <c r="K10" s="124" t="s">
        <v>1530</v>
      </c>
      <c r="L10" s="124"/>
      <c r="M10" s="125">
        <v>1883000</v>
      </c>
      <c r="N10" s="148">
        <v>0</v>
      </c>
      <c r="O10" s="148">
        <v>0</v>
      </c>
      <c r="P10" s="149">
        <v>0</v>
      </c>
      <c r="Q10" s="148">
        <v>0</v>
      </c>
      <c r="R10" s="150">
        <v>1883000</v>
      </c>
      <c r="S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" s="135">
        <f ca="1">+IF(PROVEEDORES[[#This Row],[FECHA DE PAGO]]=0,TODAY()-PROVEEDORES[[#This Row],[FECHA DE FACTURACIÓN]]-PROVEEDORES[[#This Row],[PLAZO Días]],0)</f>
        <v>0</v>
      </c>
      <c r="U10" s="135">
        <f>+VLOOKUP(PROVEEDORES[[#This Row],[PROVEEDOR]],Terceros!$A:$D,4,FALSE)</f>
        <v>0</v>
      </c>
      <c r="V10" s="135">
        <f>+YEAR(PROVEEDORES[[#This Row],[FECHA DE FACTURACIÓN]])</f>
        <v>2023</v>
      </c>
      <c r="W10" s="135">
        <f>+MATCH(PROVEEDORES[[#This Row],[año facturado]],Retenciones!$1:$1,0)</f>
        <v>6</v>
      </c>
      <c r="X10" s="136">
        <f>+VLOOKUP(PROVEEDORES[[#This Row],[ID RETENCION]],Retenciones!$A$1:$O$25,PROVEEDORES[[#This Row],[indicador de columna]],FALSE)</f>
        <v>0</v>
      </c>
      <c r="Y10" s="137">
        <f>+VLOOKUP(PROVEEDORES[[#This Row],[ID RETENCION]],Retenciones!$A$1:$O$25,2,FALSE)</f>
        <v>0</v>
      </c>
      <c r="Z10" s="126" t="b">
        <f>+OR(COUNTIF(PROVEEDORES[[#This Row],[PROVEEDOR]],"*"&amp;'Palabra que no opera y Listas d'!$A$2&amp;"*"))</f>
        <v>0</v>
      </c>
    </row>
    <row r="11" spans="1:26" ht="27.75" customHeight="1" x14ac:dyDescent="0.25">
      <c r="A11" s="141" t="str">
        <f>+IF(PROVEEDORES[[#This Row],[FECHA DE PAGO]]=PROVEEDORES[[#This Row],[FECHA DE FACTURACIÓN]],"DE CONTADO","CRÉDITO")</f>
        <v>DE CONTADO</v>
      </c>
      <c r="B11" s="138" t="b">
        <f>+IF((PROVEEDORES[[#This Row],[FECHA DE PAGO]]-PROVEEDORES[[#This Row],[FECHA DE FACTURACIÓN]])&gt;PROVEEDORES[[#This Row],[PLAZO Días]],"PAGO VENCIDO")</f>
        <v>0</v>
      </c>
      <c r="C11" s="138">
        <f>+VLOOKUP(PROVEEDORES[[#This Row],[PROVEEDOR]],TERCEROS_INFO[#All],2,FALSE)</f>
        <v>30</v>
      </c>
      <c r="D11" s="139">
        <f>+SUMIFS(PROVEEDORES[Total],PROVEEDORES[PROVEEDOR],PROVEEDORES[[#This Row],[PROVEEDOR]],PROVEEDORES[FECHA DE PAGO],"")</f>
        <v>0</v>
      </c>
      <c r="E11" s="140"/>
      <c r="F11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11" s="127">
        <v>44949</v>
      </c>
      <c r="H11" s="123" t="s">
        <v>1865</v>
      </c>
      <c r="I11" s="127">
        <v>44949</v>
      </c>
      <c r="J11" s="124" t="s">
        <v>520</v>
      </c>
      <c r="K11" s="124" t="s">
        <v>1530</v>
      </c>
      <c r="L11" s="124"/>
      <c r="M11" s="125">
        <v>2110000</v>
      </c>
      <c r="N11" s="148">
        <v>0</v>
      </c>
      <c r="O11" s="148">
        <v>0</v>
      </c>
      <c r="P11" s="149">
        <v>0</v>
      </c>
      <c r="Q11" s="148">
        <v>0</v>
      </c>
      <c r="R11" s="150">
        <v>2110000</v>
      </c>
      <c r="S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" s="135">
        <f ca="1">+IF(PROVEEDORES[[#This Row],[FECHA DE PAGO]]=0,TODAY()-PROVEEDORES[[#This Row],[FECHA DE FACTURACIÓN]]-PROVEEDORES[[#This Row],[PLAZO Días]],0)</f>
        <v>0</v>
      </c>
      <c r="U11" s="135">
        <f>+VLOOKUP(PROVEEDORES[[#This Row],[PROVEEDOR]],Terceros!$A:$D,4,FALSE)</f>
        <v>0</v>
      </c>
      <c r="V11" s="135">
        <f>+YEAR(PROVEEDORES[[#This Row],[FECHA DE FACTURACIÓN]])</f>
        <v>2023</v>
      </c>
      <c r="W11" s="135">
        <f>+MATCH(PROVEEDORES[[#This Row],[año facturado]],Retenciones!$1:$1,0)</f>
        <v>6</v>
      </c>
      <c r="X11" s="136">
        <f>+VLOOKUP(PROVEEDORES[[#This Row],[ID RETENCION]],Retenciones!$A$1:$O$25,PROVEEDORES[[#This Row],[indicador de columna]],FALSE)</f>
        <v>0</v>
      </c>
      <c r="Y11" s="137">
        <f>+VLOOKUP(PROVEEDORES[[#This Row],[ID RETENCION]],Retenciones!$A$1:$O$25,2,FALSE)</f>
        <v>0</v>
      </c>
      <c r="Z11" s="126" t="b">
        <f>+OR(COUNTIF(PROVEEDORES[[#This Row],[PROVEEDOR]],"*"&amp;'Palabra que no opera y Listas d'!$A$2&amp;"*"))</f>
        <v>0</v>
      </c>
    </row>
    <row r="12" spans="1:26" ht="27.75" customHeight="1" x14ac:dyDescent="0.25">
      <c r="A12" s="141" t="str">
        <f>+IF(PROVEEDORES[[#This Row],[FECHA DE PAGO]]=PROVEEDORES[[#This Row],[FECHA DE FACTURACIÓN]],"DE CONTADO","CRÉDITO")</f>
        <v>CRÉDITO</v>
      </c>
      <c r="B12" s="138" t="b">
        <f>+IF((PROVEEDORES[[#This Row],[FECHA DE PAGO]]-PROVEEDORES[[#This Row],[FECHA DE FACTURACIÓN]])&gt;PROVEEDORES[[#This Row],[PLAZO Días]],"PAGO VENCIDO")</f>
        <v>0</v>
      </c>
      <c r="C12" s="138">
        <f>+VLOOKUP(PROVEEDORES[[#This Row],[PROVEEDOR]],TERCEROS_INFO[#All],2,FALSE)</f>
        <v>30</v>
      </c>
      <c r="D12" s="139">
        <f>+SUMIFS(PROVEEDORES[Total],PROVEEDORES[PROVEEDOR],PROVEEDORES[[#This Row],[PROVEEDOR]],PROVEEDORES[FECHA DE PAGO],"")</f>
        <v>0</v>
      </c>
      <c r="E12" s="140"/>
      <c r="F12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2" s="127">
        <v>44952</v>
      </c>
      <c r="H12" s="123" t="s">
        <v>394</v>
      </c>
      <c r="I12" s="127">
        <v>44928</v>
      </c>
      <c r="J12" s="124" t="s">
        <v>515</v>
      </c>
      <c r="K12" s="124" t="s">
        <v>1530</v>
      </c>
      <c r="L12" s="124"/>
      <c r="M12" s="125">
        <v>242340</v>
      </c>
      <c r="N12" s="148">
        <v>46044.6</v>
      </c>
      <c r="O12" s="148">
        <v>0</v>
      </c>
      <c r="P12" s="149">
        <v>3.5000000000000003E-2</v>
      </c>
      <c r="Q12" s="148">
        <v>8481.9000000000015</v>
      </c>
      <c r="R12" s="150">
        <v>279902.69999999995</v>
      </c>
      <c r="S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" s="135">
        <f ca="1">+IF(PROVEEDORES[[#This Row],[FECHA DE PAGO]]=0,TODAY()-PROVEEDORES[[#This Row],[FECHA DE FACTURACIÓN]]-PROVEEDORES[[#This Row],[PLAZO Días]],0)</f>
        <v>0</v>
      </c>
      <c r="U12" s="135" t="str">
        <f>+VLOOKUP(PROVEEDORES[[#This Row],[PROVEEDOR]],Terceros!$A:$D,4,FALSE)</f>
        <v>3,5% sin base</v>
      </c>
      <c r="V12" s="135">
        <f>+YEAR(PROVEEDORES[[#This Row],[FECHA DE FACTURACIÓN]])</f>
        <v>2023</v>
      </c>
      <c r="W12" s="135">
        <f>+MATCH(PROVEEDORES[[#This Row],[año facturado]],Retenciones!$1:$1,0)</f>
        <v>6</v>
      </c>
      <c r="X12" s="136">
        <f>+VLOOKUP(PROVEEDORES[[#This Row],[ID RETENCION]],Retenciones!$A$1:$O$25,PROVEEDORES[[#This Row],[indicador de columna]],FALSE)</f>
        <v>0</v>
      </c>
      <c r="Y12" s="137">
        <f>+VLOOKUP(PROVEEDORES[[#This Row],[ID RETENCION]],Retenciones!$A$1:$O$25,2,FALSE)</f>
        <v>3.5000000000000003E-2</v>
      </c>
      <c r="Z12" s="126" t="b">
        <f>+OR(COUNTIF(PROVEEDORES[[#This Row],[PROVEEDOR]],"*"&amp;'Palabra que no opera y Listas d'!$A$2&amp;"*"))</f>
        <v>1</v>
      </c>
    </row>
    <row r="13" spans="1:26" ht="27.75" customHeight="1" x14ac:dyDescent="0.25">
      <c r="A13" s="141" t="str">
        <f>+IF(PROVEEDORES[[#This Row],[FECHA DE PAGO]]=PROVEEDORES[[#This Row],[FECHA DE FACTURACIÓN]],"DE CONTADO","CRÉDITO")</f>
        <v>CRÉDITO</v>
      </c>
      <c r="B13" s="138" t="b">
        <f>+IF((PROVEEDORES[[#This Row],[FECHA DE PAGO]]-PROVEEDORES[[#This Row],[FECHA DE FACTURACIÓN]])&gt;PROVEEDORES[[#This Row],[PLAZO Días]],"PAGO VENCIDO")</f>
        <v>0</v>
      </c>
      <c r="C13" s="138">
        <f>+VLOOKUP(PROVEEDORES[[#This Row],[PROVEEDOR]],TERCEROS_INFO[#All],2,FALSE)</f>
        <v>30</v>
      </c>
      <c r="D13" s="139">
        <f>+SUMIFS(PROVEEDORES[Total],PROVEEDORES[PROVEEDOR],PROVEEDORES[[#This Row],[PROVEEDOR]],PROVEEDORES[FECHA DE PAGO],"")</f>
        <v>0</v>
      </c>
      <c r="E13" s="140"/>
      <c r="F13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3" s="127">
        <v>44952</v>
      </c>
      <c r="H13" s="123" t="s">
        <v>382</v>
      </c>
      <c r="I13" s="127">
        <v>44930</v>
      </c>
      <c r="J13" s="124" t="s">
        <v>510</v>
      </c>
      <c r="K13" s="124" t="s">
        <v>1530</v>
      </c>
      <c r="L13" s="124"/>
      <c r="M13" s="125">
        <v>949891</v>
      </c>
      <c r="N13" s="148">
        <v>0</v>
      </c>
      <c r="O13" s="148">
        <v>0</v>
      </c>
      <c r="P13" s="149">
        <v>0</v>
      </c>
      <c r="Q13" s="148">
        <v>0</v>
      </c>
      <c r="R13" s="150">
        <v>949891</v>
      </c>
      <c r="S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" s="135">
        <f ca="1">+IF(PROVEEDORES[[#This Row],[FECHA DE PAGO]]=0,TODAY()-PROVEEDORES[[#This Row],[FECHA DE FACTURACIÓN]]-PROVEEDORES[[#This Row],[PLAZO Días]],0)</f>
        <v>0</v>
      </c>
      <c r="U13" s="135">
        <f>+VLOOKUP(PROVEEDORES[[#This Row],[PROVEEDOR]],Terceros!$A:$D,4,FALSE)</f>
        <v>0</v>
      </c>
      <c r="V13" s="135">
        <f>+YEAR(PROVEEDORES[[#This Row],[FECHA DE FACTURACIÓN]])</f>
        <v>2023</v>
      </c>
      <c r="W13" s="135">
        <f>+MATCH(PROVEEDORES[[#This Row],[año facturado]],Retenciones!$1:$1,0)</f>
        <v>6</v>
      </c>
      <c r="X13" s="136">
        <f>+VLOOKUP(PROVEEDORES[[#This Row],[ID RETENCION]],Retenciones!$A$1:$O$25,PROVEEDORES[[#This Row],[indicador de columna]],FALSE)</f>
        <v>0</v>
      </c>
      <c r="Y13" s="137">
        <f>+VLOOKUP(PROVEEDORES[[#This Row],[ID RETENCION]],Retenciones!$A$1:$O$25,2,FALSE)</f>
        <v>0</v>
      </c>
      <c r="Z13" s="126" t="b">
        <f>+OR(COUNTIF(PROVEEDORES[[#This Row],[PROVEEDOR]],"*"&amp;'Palabra que no opera y Listas d'!$A$2&amp;"*"))</f>
        <v>1</v>
      </c>
    </row>
    <row r="14" spans="1:26" ht="27.75" customHeight="1" x14ac:dyDescent="0.25">
      <c r="A14" s="141" t="str">
        <f>+IF(PROVEEDORES[[#This Row],[FECHA DE PAGO]]=PROVEEDORES[[#This Row],[FECHA DE FACTURACIÓN]],"DE CONTADO","CRÉDITO")</f>
        <v>CRÉDITO</v>
      </c>
      <c r="B14" s="138" t="b">
        <f>+IF((PROVEEDORES[[#This Row],[FECHA DE PAGO]]-PROVEEDORES[[#This Row],[FECHA DE FACTURACIÓN]])&gt;PROVEEDORES[[#This Row],[PLAZO Días]],"PAGO VENCIDO")</f>
        <v>0</v>
      </c>
      <c r="C14" s="138">
        <f>+VLOOKUP(PROVEEDORES[[#This Row],[PROVEEDOR]],TERCEROS_INFO[#All],2,FALSE)</f>
        <v>30</v>
      </c>
      <c r="D14" s="139">
        <f>+SUMIFS(PROVEEDORES[Total],PROVEEDORES[PROVEEDOR],PROVEEDORES[[#This Row],[PROVEEDOR]],PROVEEDORES[FECHA DE PAGO],"")</f>
        <v>0</v>
      </c>
      <c r="E14" s="140"/>
      <c r="F14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4" s="127">
        <v>44952</v>
      </c>
      <c r="H14" s="123" t="s">
        <v>382</v>
      </c>
      <c r="I14" s="127">
        <v>44930</v>
      </c>
      <c r="J14" s="124" t="s">
        <v>512</v>
      </c>
      <c r="K14" s="124" t="s">
        <v>1530</v>
      </c>
      <c r="L14" s="124"/>
      <c r="M14" s="125">
        <v>928304</v>
      </c>
      <c r="N14" s="148">
        <v>0</v>
      </c>
      <c r="O14" s="148">
        <v>0</v>
      </c>
      <c r="P14" s="149">
        <v>0</v>
      </c>
      <c r="Q14" s="148">
        <v>0</v>
      </c>
      <c r="R14" s="150">
        <v>928304</v>
      </c>
      <c r="S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" s="135">
        <f ca="1">+IF(PROVEEDORES[[#This Row],[FECHA DE PAGO]]=0,TODAY()-PROVEEDORES[[#This Row],[FECHA DE FACTURACIÓN]]-PROVEEDORES[[#This Row],[PLAZO Días]],0)</f>
        <v>0</v>
      </c>
      <c r="U14" s="135">
        <f>+VLOOKUP(PROVEEDORES[[#This Row],[PROVEEDOR]],Terceros!$A:$D,4,FALSE)</f>
        <v>0</v>
      </c>
      <c r="V14" s="135">
        <f>+YEAR(PROVEEDORES[[#This Row],[FECHA DE FACTURACIÓN]])</f>
        <v>2023</v>
      </c>
      <c r="W14" s="135">
        <f>+MATCH(PROVEEDORES[[#This Row],[año facturado]],Retenciones!$1:$1,0)</f>
        <v>6</v>
      </c>
      <c r="X14" s="136">
        <f>+VLOOKUP(PROVEEDORES[[#This Row],[ID RETENCION]],Retenciones!$A$1:$O$25,PROVEEDORES[[#This Row],[indicador de columna]],FALSE)</f>
        <v>0</v>
      </c>
      <c r="Y14" s="137">
        <f>+VLOOKUP(PROVEEDORES[[#This Row],[ID RETENCION]],Retenciones!$A$1:$O$25,2,FALSE)</f>
        <v>0</v>
      </c>
      <c r="Z14" s="126" t="b">
        <f>+OR(COUNTIF(PROVEEDORES[[#This Row],[PROVEEDOR]],"*"&amp;'Palabra que no opera y Listas d'!$A$2&amp;"*"))</f>
        <v>1</v>
      </c>
    </row>
    <row r="15" spans="1:26" ht="27.75" customHeight="1" x14ac:dyDescent="0.25">
      <c r="A15" s="141" t="str">
        <f>+IF(PROVEEDORES[[#This Row],[FECHA DE PAGO]]=PROVEEDORES[[#This Row],[FECHA DE FACTURACIÓN]],"DE CONTADO","CRÉDITO")</f>
        <v>CRÉDITO</v>
      </c>
      <c r="B15" s="138" t="b">
        <f>+IF((PROVEEDORES[[#This Row],[FECHA DE PAGO]]-PROVEEDORES[[#This Row],[FECHA DE FACTURACIÓN]])&gt;PROVEEDORES[[#This Row],[PLAZO Días]],"PAGO VENCIDO")</f>
        <v>0</v>
      </c>
      <c r="C15" s="138">
        <f>+VLOOKUP(PROVEEDORES[[#This Row],[PROVEEDOR]],TERCEROS_INFO[#All],2,FALSE)</f>
        <v>30</v>
      </c>
      <c r="D15" s="139">
        <f>+SUMIFS(PROVEEDORES[Total],PROVEEDORES[PROVEEDOR],PROVEEDORES[[#This Row],[PROVEEDOR]],PROVEEDORES[FECHA DE PAGO],"")</f>
        <v>0</v>
      </c>
      <c r="E15" s="140"/>
      <c r="F15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" s="127">
        <v>44952</v>
      </c>
      <c r="H15" s="123" t="s">
        <v>368</v>
      </c>
      <c r="I15" s="127">
        <v>44931</v>
      </c>
      <c r="J15" s="124" t="s">
        <v>725</v>
      </c>
      <c r="K15" s="124" t="s">
        <v>1530</v>
      </c>
      <c r="L15" s="124"/>
      <c r="M15" s="125">
        <v>895663</v>
      </c>
      <c r="N15" s="148">
        <v>170175.97</v>
      </c>
      <c r="O15" s="148">
        <v>0</v>
      </c>
      <c r="P15" s="149">
        <v>0</v>
      </c>
      <c r="Q15" s="148">
        <v>0</v>
      </c>
      <c r="R15" s="150">
        <v>1065838.97</v>
      </c>
      <c r="S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" s="135">
        <f ca="1">+IF(PROVEEDORES[[#This Row],[FECHA DE PAGO]]=0,TODAY()-PROVEEDORES[[#This Row],[FECHA DE FACTURACIÓN]]-PROVEEDORES[[#This Row],[PLAZO Días]],0)</f>
        <v>0</v>
      </c>
      <c r="U15" s="135">
        <f>+VLOOKUP(PROVEEDORES[[#This Row],[PROVEEDOR]],Terceros!$A:$D,4,FALSE)</f>
        <v>0</v>
      </c>
      <c r="V15" s="135">
        <f>+YEAR(PROVEEDORES[[#This Row],[FECHA DE FACTURACIÓN]])</f>
        <v>2023</v>
      </c>
      <c r="W15" s="135">
        <f>+MATCH(PROVEEDORES[[#This Row],[año facturado]],Retenciones!$1:$1,0)</f>
        <v>6</v>
      </c>
      <c r="X15" s="136">
        <f>+VLOOKUP(PROVEEDORES[[#This Row],[ID RETENCION]],Retenciones!$A$1:$O$25,PROVEEDORES[[#This Row],[indicador de columna]],FALSE)</f>
        <v>0</v>
      </c>
      <c r="Y15" s="137">
        <f>+VLOOKUP(PROVEEDORES[[#This Row],[ID RETENCION]],Retenciones!$A$1:$O$25,2,FALSE)</f>
        <v>0</v>
      </c>
      <c r="Z15" s="126" t="b">
        <f>+OR(COUNTIF(PROVEEDORES[[#This Row],[PROVEEDOR]],"*"&amp;'Palabra que no opera y Listas d'!$A$2&amp;"*"))</f>
        <v>1</v>
      </c>
    </row>
    <row r="16" spans="1:26" ht="27.75" customHeight="1" x14ac:dyDescent="0.25">
      <c r="A16" s="141" t="str">
        <f>+IF(PROVEEDORES[[#This Row],[FECHA DE PAGO]]=PROVEEDORES[[#This Row],[FECHA DE FACTURACIÓN]],"DE CONTADO","CRÉDITO")</f>
        <v>CRÉDITO</v>
      </c>
      <c r="B16" s="138" t="b">
        <f>+IF((PROVEEDORES[[#This Row],[FECHA DE PAGO]]-PROVEEDORES[[#This Row],[FECHA DE FACTURACIÓN]])&gt;PROVEEDORES[[#This Row],[PLAZO Días]],"PAGO VENCIDO")</f>
        <v>0</v>
      </c>
      <c r="C16" s="138">
        <f>+VLOOKUP(PROVEEDORES[[#This Row],[PROVEEDOR]],TERCEROS_INFO[#All],2,FALSE)</f>
        <v>30</v>
      </c>
      <c r="D16" s="139">
        <f>+SUMIFS(PROVEEDORES[Total],PROVEEDORES[PROVEEDOR],PROVEEDORES[[#This Row],[PROVEEDOR]],PROVEEDORES[FECHA DE PAGO],"")</f>
        <v>0</v>
      </c>
      <c r="E16" s="140"/>
      <c r="F16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6" s="127">
        <v>44952</v>
      </c>
      <c r="H16" s="123" t="s">
        <v>382</v>
      </c>
      <c r="I16" s="127">
        <v>44931</v>
      </c>
      <c r="J16" s="124" t="s">
        <v>511</v>
      </c>
      <c r="K16" s="124" t="s">
        <v>1530</v>
      </c>
      <c r="L16" s="124"/>
      <c r="M16" s="125">
        <v>68166</v>
      </c>
      <c r="N16" s="148">
        <v>0</v>
      </c>
      <c r="O16" s="148">
        <v>0</v>
      </c>
      <c r="P16" s="149">
        <v>0</v>
      </c>
      <c r="Q16" s="148">
        <v>0</v>
      </c>
      <c r="R16" s="150">
        <v>68166</v>
      </c>
      <c r="S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" s="135">
        <f ca="1">+IF(PROVEEDORES[[#This Row],[FECHA DE PAGO]]=0,TODAY()-PROVEEDORES[[#This Row],[FECHA DE FACTURACIÓN]]-PROVEEDORES[[#This Row],[PLAZO Días]],0)</f>
        <v>0</v>
      </c>
      <c r="U16" s="135">
        <f>+VLOOKUP(PROVEEDORES[[#This Row],[PROVEEDOR]],Terceros!$A:$D,4,FALSE)</f>
        <v>0</v>
      </c>
      <c r="V16" s="135">
        <f>+YEAR(PROVEEDORES[[#This Row],[FECHA DE FACTURACIÓN]])</f>
        <v>2023</v>
      </c>
      <c r="W16" s="135">
        <f>+MATCH(PROVEEDORES[[#This Row],[año facturado]],Retenciones!$1:$1,0)</f>
        <v>6</v>
      </c>
      <c r="X16" s="136">
        <f>+VLOOKUP(PROVEEDORES[[#This Row],[ID RETENCION]],Retenciones!$A$1:$O$25,PROVEEDORES[[#This Row],[indicador de columna]],FALSE)</f>
        <v>0</v>
      </c>
      <c r="Y16" s="137">
        <f>+VLOOKUP(PROVEEDORES[[#This Row],[ID RETENCION]],Retenciones!$A$1:$O$25,2,FALSE)</f>
        <v>0</v>
      </c>
      <c r="Z16" s="126" t="b">
        <f>+OR(COUNTIF(PROVEEDORES[[#This Row],[PROVEEDOR]],"*"&amp;'Palabra que no opera y Listas d'!$A$2&amp;"*"))</f>
        <v>1</v>
      </c>
    </row>
    <row r="17" spans="1:26" ht="27.75" customHeight="1" x14ac:dyDescent="0.25">
      <c r="A17" s="141" t="str">
        <f>+IF(PROVEEDORES[[#This Row],[FECHA DE PAGO]]=PROVEEDORES[[#This Row],[FECHA DE FACTURACIÓN]],"DE CONTADO","CRÉDITO")</f>
        <v>CRÉDITO</v>
      </c>
      <c r="B17" s="138" t="b">
        <f>+IF((PROVEEDORES[[#This Row],[FECHA DE PAGO]]-PROVEEDORES[[#This Row],[FECHA DE FACTURACIÓN]])&gt;PROVEEDORES[[#This Row],[PLAZO Días]],"PAGO VENCIDO")</f>
        <v>0</v>
      </c>
      <c r="C17" s="138">
        <f>+VLOOKUP(PROVEEDORES[[#This Row],[PROVEEDOR]],TERCEROS_INFO[#All],2,FALSE)</f>
        <v>30</v>
      </c>
      <c r="D17" s="139">
        <f>+SUMIFS(PROVEEDORES[Total],PROVEEDORES[PROVEEDOR],PROVEEDORES[[#This Row],[PROVEEDOR]],PROVEEDORES[FECHA DE PAGO],"")</f>
        <v>0</v>
      </c>
      <c r="E17" s="140"/>
      <c r="F17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7" s="127">
        <v>44952</v>
      </c>
      <c r="H17" s="123" t="s">
        <v>382</v>
      </c>
      <c r="I17" s="127">
        <v>44931</v>
      </c>
      <c r="J17" s="124" t="s">
        <v>513</v>
      </c>
      <c r="K17" s="124" t="s">
        <v>1530</v>
      </c>
      <c r="L17" s="124"/>
      <c r="M17" s="125">
        <v>59583</v>
      </c>
      <c r="N17" s="148">
        <v>0</v>
      </c>
      <c r="O17" s="148">
        <v>0</v>
      </c>
      <c r="P17" s="149">
        <v>0</v>
      </c>
      <c r="Q17" s="148">
        <v>0</v>
      </c>
      <c r="R17" s="150">
        <v>59583</v>
      </c>
      <c r="S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" s="135">
        <f ca="1">+IF(PROVEEDORES[[#This Row],[FECHA DE PAGO]]=0,TODAY()-PROVEEDORES[[#This Row],[FECHA DE FACTURACIÓN]]-PROVEEDORES[[#This Row],[PLAZO Días]],0)</f>
        <v>0</v>
      </c>
      <c r="U17" s="135">
        <f>+VLOOKUP(PROVEEDORES[[#This Row],[PROVEEDOR]],Terceros!$A:$D,4,FALSE)</f>
        <v>0</v>
      </c>
      <c r="V17" s="135">
        <f>+YEAR(PROVEEDORES[[#This Row],[FECHA DE FACTURACIÓN]])</f>
        <v>2023</v>
      </c>
      <c r="W17" s="135">
        <f>+MATCH(PROVEEDORES[[#This Row],[año facturado]],Retenciones!$1:$1,0)</f>
        <v>6</v>
      </c>
      <c r="X17" s="136">
        <f>+VLOOKUP(PROVEEDORES[[#This Row],[ID RETENCION]],Retenciones!$A$1:$O$25,PROVEEDORES[[#This Row],[indicador de columna]],FALSE)</f>
        <v>0</v>
      </c>
      <c r="Y17" s="137">
        <f>+VLOOKUP(PROVEEDORES[[#This Row],[ID RETENCION]],Retenciones!$A$1:$O$25,2,FALSE)</f>
        <v>0</v>
      </c>
      <c r="Z17" s="126" t="b">
        <f>+OR(COUNTIF(PROVEEDORES[[#This Row],[PROVEEDOR]],"*"&amp;'Palabra que no opera y Listas d'!$A$2&amp;"*"))</f>
        <v>1</v>
      </c>
    </row>
    <row r="18" spans="1:26" ht="27.75" customHeight="1" x14ac:dyDescent="0.25">
      <c r="A18" s="141" t="str">
        <f>+IF(PROVEEDORES[[#This Row],[FECHA DE PAGO]]=PROVEEDORES[[#This Row],[FECHA DE FACTURACIÓN]],"DE CONTADO","CRÉDITO")</f>
        <v>CRÉDITO</v>
      </c>
      <c r="B18" s="138" t="b">
        <f>+IF((PROVEEDORES[[#This Row],[FECHA DE PAGO]]-PROVEEDORES[[#This Row],[FECHA DE FACTURACIÓN]])&gt;PROVEEDORES[[#This Row],[PLAZO Días]],"PAGO VENCIDO")</f>
        <v>0</v>
      </c>
      <c r="C18" s="138">
        <f>+VLOOKUP(PROVEEDORES[[#This Row],[PROVEEDOR]],TERCEROS_INFO[#All],2,FALSE)</f>
        <v>30</v>
      </c>
      <c r="D18" s="139">
        <f>+SUMIFS(PROVEEDORES[Total],PROVEEDORES[PROVEEDOR],PROVEEDORES[[#This Row],[PROVEEDOR]],PROVEEDORES[FECHA DE PAGO],"")</f>
        <v>0</v>
      </c>
      <c r="E18" s="140"/>
      <c r="F18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8" s="127">
        <v>44952</v>
      </c>
      <c r="H18" s="123" t="s">
        <v>380</v>
      </c>
      <c r="I18" s="127">
        <v>44944</v>
      </c>
      <c r="J18" s="124">
        <v>5652</v>
      </c>
      <c r="K18" s="124" t="s">
        <v>1530</v>
      </c>
      <c r="L18" s="124"/>
      <c r="M18" s="125">
        <v>3002200</v>
      </c>
      <c r="N18" s="148">
        <v>0</v>
      </c>
      <c r="O18" s="148">
        <v>0</v>
      </c>
      <c r="P18" s="149">
        <v>3.5000000000000003E-2</v>
      </c>
      <c r="Q18" s="148">
        <v>105077.00000000001</v>
      </c>
      <c r="R18" s="150">
        <v>2897123</v>
      </c>
      <c r="S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" s="135">
        <f ca="1">+IF(PROVEEDORES[[#This Row],[FECHA DE PAGO]]=0,TODAY()-PROVEEDORES[[#This Row],[FECHA DE FACTURACIÓN]]-PROVEEDORES[[#This Row],[PLAZO Días]],0)</f>
        <v>0</v>
      </c>
      <c r="U18" s="135" t="str">
        <f>+VLOOKUP(PROVEEDORES[[#This Row],[PROVEEDOR]],Terceros!$A:$D,4,FALSE)</f>
        <v>3,5% sin base</v>
      </c>
      <c r="V18" s="135">
        <f>+YEAR(PROVEEDORES[[#This Row],[FECHA DE FACTURACIÓN]])</f>
        <v>2023</v>
      </c>
      <c r="W18" s="135">
        <f>+MATCH(PROVEEDORES[[#This Row],[año facturado]],Retenciones!$1:$1,0)</f>
        <v>6</v>
      </c>
      <c r="X18" s="136">
        <f>+VLOOKUP(PROVEEDORES[[#This Row],[ID RETENCION]],Retenciones!$A$1:$O$25,PROVEEDORES[[#This Row],[indicador de columna]],FALSE)</f>
        <v>0</v>
      </c>
      <c r="Y18" s="137">
        <f>+VLOOKUP(PROVEEDORES[[#This Row],[ID RETENCION]],Retenciones!$A$1:$O$25,2,FALSE)</f>
        <v>3.5000000000000003E-2</v>
      </c>
      <c r="Z18" s="126" t="b">
        <f>+OR(COUNTIF(PROVEEDORES[[#This Row],[PROVEEDOR]],"*"&amp;'Palabra que no opera y Listas d'!$A$2&amp;"*"))</f>
        <v>1</v>
      </c>
    </row>
    <row r="19" spans="1:26" ht="27.75" customHeight="1" x14ac:dyDescent="0.25">
      <c r="A19" s="141" t="str">
        <f>+IF(PROVEEDORES[[#This Row],[FECHA DE PAGO]]=PROVEEDORES[[#This Row],[FECHA DE FACTURACIÓN]],"DE CONTADO","CRÉDITO")</f>
        <v>CRÉDITO</v>
      </c>
      <c r="B19" s="138" t="b">
        <f>+IF((PROVEEDORES[[#This Row],[FECHA DE PAGO]]-PROVEEDORES[[#This Row],[FECHA DE FACTURACIÓN]])&gt;PROVEEDORES[[#This Row],[PLAZO Días]],"PAGO VENCIDO")</f>
        <v>0</v>
      </c>
      <c r="C19" s="138">
        <f>+VLOOKUP(PROVEEDORES[[#This Row],[PROVEEDOR]],TERCEROS_INFO[#All],2,FALSE)</f>
        <v>30</v>
      </c>
      <c r="D19" s="139">
        <f>+SUMIFS(PROVEEDORES[Total],PROVEEDORES[PROVEEDOR],PROVEEDORES[[#This Row],[PROVEEDOR]],PROVEEDORES[FECHA DE PAGO],"")</f>
        <v>0</v>
      </c>
      <c r="E19" s="140"/>
      <c r="F19" s="13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9" s="127">
        <v>44952</v>
      </c>
      <c r="H19" s="123" t="s">
        <v>1806</v>
      </c>
      <c r="I19" s="127">
        <v>44945</v>
      </c>
      <c r="J19" s="124">
        <v>394</v>
      </c>
      <c r="K19" s="124" t="s">
        <v>1530</v>
      </c>
      <c r="L19" s="124"/>
      <c r="M19" s="125">
        <v>300000</v>
      </c>
      <c r="N19" s="148">
        <v>0</v>
      </c>
      <c r="O19" s="148">
        <v>0</v>
      </c>
      <c r="P19" s="149">
        <v>0</v>
      </c>
      <c r="Q19" s="148">
        <v>0</v>
      </c>
      <c r="R19" s="150">
        <v>300000</v>
      </c>
      <c r="S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" s="135">
        <f ca="1">+IF(PROVEEDORES[[#This Row],[FECHA DE PAGO]]=0,TODAY()-PROVEEDORES[[#This Row],[FECHA DE FACTURACIÓN]]-PROVEEDORES[[#This Row],[PLAZO Días]],0)</f>
        <v>0</v>
      </c>
      <c r="U19" s="135">
        <f>+VLOOKUP(PROVEEDORES[[#This Row],[PROVEEDOR]],Terceros!$A:$D,4,FALSE)</f>
        <v>0</v>
      </c>
      <c r="V19" s="135">
        <f>+YEAR(PROVEEDORES[[#This Row],[FECHA DE FACTURACIÓN]])</f>
        <v>2023</v>
      </c>
      <c r="W19" s="135">
        <f>+MATCH(PROVEEDORES[[#This Row],[año facturado]],Retenciones!$1:$1,0)</f>
        <v>6</v>
      </c>
      <c r="X19" s="136">
        <f>+VLOOKUP(PROVEEDORES[[#This Row],[ID RETENCION]],Retenciones!$A$1:$O$25,PROVEEDORES[[#This Row],[indicador de columna]],FALSE)</f>
        <v>0</v>
      </c>
      <c r="Y19" s="137">
        <f>+VLOOKUP(PROVEEDORES[[#This Row],[ID RETENCION]],Retenciones!$A$1:$O$25,2,FALSE)</f>
        <v>0</v>
      </c>
      <c r="Z19" s="126" t="b">
        <f>+OR(COUNTIF(PROVEEDORES[[#This Row],[PROVEEDOR]],"*"&amp;'Palabra que no opera y Listas d'!$A$2&amp;"*"))</f>
        <v>0</v>
      </c>
    </row>
    <row r="20" spans="1:26" ht="27.75" customHeight="1" x14ac:dyDescent="0.25">
      <c r="A20" s="141" t="str">
        <f>+IF(PROVEEDORES[[#This Row],[FECHA DE PAGO]]=PROVEEDORES[[#This Row],[FECHA DE FACTURACIÓN]],"DE CONTADO","CRÉDITO")</f>
        <v>CRÉDITO</v>
      </c>
      <c r="B20" s="138" t="b">
        <f>+IF((PROVEEDORES[[#This Row],[FECHA DE PAGO]]-PROVEEDORES[[#This Row],[FECHA DE FACTURACIÓN]])&gt;PROVEEDORES[[#This Row],[PLAZO Días]],"PAGO VENCIDO")</f>
        <v>0</v>
      </c>
      <c r="C20" s="138">
        <f>+VLOOKUP(PROVEEDORES[[#This Row],[PROVEEDOR]],TERCEROS_INFO[#All],2,FALSE)</f>
        <v>30</v>
      </c>
      <c r="D20" s="139">
        <f>+SUMIFS(PROVEEDORES[Total],PROVEEDORES[PROVEEDOR],PROVEEDORES[[#This Row],[PROVEEDOR]],PROVEEDORES[FECHA DE PAGO],"")</f>
        <v>0</v>
      </c>
      <c r="E20" s="140"/>
      <c r="F20" s="13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0" s="127">
        <v>44952</v>
      </c>
      <c r="H20" s="123" t="s">
        <v>448</v>
      </c>
      <c r="I20" s="127">
        <v>44945</v>
      </c>
      <c r="J20" s="124" t="s">
        <v>514</v>
      </c>
      <c r="K20" s="124" t="s">
        <v>1530</v>
      </c>
      <c r="L20" s="124"/>
      <c r="M20" s="125">
        <v>276000</v>
      </c>
      <c r="N20" s="148">
        <v>0</v>
      </c>
      <c r="O20" s="148">
        <v>0</v>
      </c>
      <c r="P20" s="149">
        <v>0.01</v>
      </c>
      <c r="Q20" s="148">
        <v>2760</v>
      </c>
      <c r="R20" s="150">
        <v>273240</v>
      </c>
      <c r="S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" s="135">
        <f ca="1">+IF(PROVEEDORES[[#This Row],[FECHA DE PAGO]]=0,TODAY()-PROVEEDORES[[#This Row],[FECHA DE FACTURACIÓN]]-PROVEEDORES[[#This Row],[PLAZO Días]],0)</f>
        <v>0</v>
      </c>
      <c r="U20" s="135" t="str">
        <f>+VLOOKUP(PROVEEDORES[[#This Row],[PROVEEDOR]],Terceros!$A:$D,4,FALSE)</f>
        <v>1% con base</v>
      </c>
      <c r="V20" s="135">
        <f>+YEAR(PROVEEDORES[[#This Row],[FECHA DE FACTURACIÓN]])</f>
        <v>2023</v>
      </c>
      <c r="W20" s="135">
        <f>+MATCH(PROVEEDORES[[#This Row],[año facturado]],Retenciones!$1:$1,0)</f>
        <v>6</v>
      </c>
      <c r="X20" s="136">
        <f>+VLOOKUP(PROVEEDORES[[#This Row],[ID RETENCION]],Retenciones!$A$1:$O$25,PROVEEDORES[[#This Row],[indicador de columna]],FALSE)</f>
        <v>170000</v>
      </c>
      <c r="Y20" s="137">
        <f>+VLOOKUP(PROVEEDORES[[#This Row],[ID RETENCION]],Retenciones!$A$1:$O$25,2,FALSE)</f>
        <v>0.01</v>
      </c>
      <c r="Z20" s="126" t="b">
        <f>+OR(COUNTIF(PROVEEDORES[[#This Row],[PROVEEDOR]],"*"&amp;'Palabra que no opera y Listas d'!$A$2&amp;"*"))</f>
        <v>0</v>
      </c>
    </row>
    <row r="21" spans="1:26" ht="27.75" customHeight="1" x14ac:dyDescent="0.25">
      <c r="A21" s="141" t="str">
        <f>+IF(PROVEEDORES[[#This Row],[FECHA DE PAGO]]=PROVEEDORES[[#This Row],[FECHA DE FACTURACIÓN]],"DE CONTADO","CRÉDITO")</f>
        <v>DE CONTADO</v>
      </c>
      <c r="B21" s="138" t="b">
        <f>+IF((PROVEEDORES[[#This Row],[FECHA DE PAGO]]-PROVEEDORES[[#This Row],[FECHA DE FACTURACIÓN]])&gt;PROVEEDORES[[#This Row],[PLAZO Días]],"PAGO VENCIDO")</f>
        <v>0</v>
      </c>
      <c r="C21" s="138">
        <f>+VLOOKUP(PROVEEDORES[[#This Row],[PROVEEDOR]],TERCEROS_INFO[#All],2,FALSE)</f>
        <v>30</v>
      </c>
      <c r="D21" s="139">
        <f>+SUMIFS(PROVEEDORES[Total],PROVEEDORES[PROVEEDOR],PROVEEDORES[[#This Row],[PROVEEDOR]],PROVEEDORES[FECHA DE PAGO],"")</f>
        <v>0</v>
      </c>
      <c r="E21" s="140"/>
      <c r="F21" s="138" t="str">
        <f>+VLOOKUP(PROVEEDORES[[#This Row],[PROVEEDOR]],
                       Terceros!$A:$F,
                       5,
                       FALSE)</f>
        <v/>
      </c>
      <c r="G21" s="127">
        <v>44952</v>
      </c>
      <c r="H21" s="123" t="s">
        <v>481</v>
      </c>
      <c r="I21" s="127">
        <v>44952</v>
      </c>
      <c r="J21" s="124" t="s">
        <v>522</v>
      </c>
      <c r="K21" s="124" t="s">
        <v>1530</v>
      </c>
      <c r="L21" s="124"/>
      <c r="M21" s="125">
        <v>1193000</v>
      </c>
      <c r="N21" s="148">
        <v>0</v>
      </c>
      <c r="O21" s="148">
        <v>0</v>
      </c>
      <c r="P21" s="149">
        <v>0</v>
      </c>
      <c r="Q21" s="148">
        <v>0</v>
      </c>
      <c r="R21" s="150">
        <v>1193000</v>
      </c>
      <c r="S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" s="135">
        <f ca="1">+IF(PROVEEDORES[[#This Row],[FECHA DE PAGO]]=0,TODAY()-PROVEEDORES[[#This Row],[FECHA DE FACTURACIÓN]]-PROVEEDORES[[#This Row],[PLAZO Días]],0)</f>
        <v>0</v>
      </c>
      <c r="U21" s="135">
        <f>+VLOOKUP(PROVEEDORES[[#This Row],[PROVEEDOR]],Terceros!$A:$D,4,FALSE)</f>
        <v>0</v>
      </c>
      <c r="V21" s="135">
        <f>+YEAR(PROVEEDORES[[#This Row],[FECHA DE FACTURACIÓN]])</f>
        <v>2023</v>
      </c>
      <c r="W21" s="135">
        <f>+MATCH(PROVEEDORES[[#This Row],[año facturado]],Retenciones!$1:$1,0)</f>
        <v>6</v>
      </c>
      <c r="X21" s="136">
        <f>+VLOOKUP(PROVEEDORES[[#This Row],[ID RETENCION]],Retenciones!$A$1:$O$25,PROVEEDORES[[#This Row],[indicador de columna]],FALSE)</f>
        <v>0</v>
      </c>
      <c r="Y21" s="137">
        <f>+VLOOKUP(PROVEEDORES[[#This Row],[ID RETENCION]],Retenciones!$A$1:$O$25,2,FALSE)</f>
        <v>0</v>
      </c>
      <c r="Z21" s="126" t="b">
        <f>+OR(COUNTIF(PROVEEDORES[[#This Row],[PROVEEDOR]],"*"&amp;'Palabra que no opera y Listas d'!$A$2&amp;"*"))</f>
        <v>0</v>
      </c>
    </row>
    <row r="22" spans="1:26" ht="27.75" customHeight="1" x14ac:dyDescent="0.25">
      <c r="A22" s="141" t="str">
        <f>+IF(PROVEEDORES[[#This Row],[FECHA DE PAGO]]=PROVEEDORES[[#This Row],[FECHA DE FACTURACIÓN]],"DE CONTADO","CRÉDITO")</f>
        <v>CRÉDITO</v>
      </c>
      <c r="B22" s="138" t="b">
        <f>+IF((PROVEEDORES[[#This Row],[FECHA DE PAGO]]-PROVEEDORES[[#This Row],[FECHA DE FACTURACIÓN]])&gt;PROVEEDORES[[#This Row],[PLAZO Días]],"PAGO VENCIDO")</f>
        <v>0</v>
      </c>
      <c r="C22" s="138">
        <f>+VLOOKUP(PROVEEDORES[[#This Row],[PROVEEDOR]],TERCEROS_INFO[#All],2,FALSE)</f>
        <v>30</v>
      </c>
      <c r="D22" s="139">
        <f>+SUMIFS(PROVEEDORES[Total],PROVEEDORES[PROVEEDOR],PROVEEDORES[[#This Row],[PROVEEDOR]],PROVEEDORES[FECHA DE PAGO],"")</f>
        <v>0</v>
      </c>
      <c r="E22" s="140"/>
      <c r="F22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2" s="127">
        <v>44953</v>
      </c>
      <c r="H22" s="123" t="s">
        <v>368</v>
      </c>
      <c r="I22" s="127">
        <v>44927</v>
      </c>
      <c r="J22" s="124" t="s">
        <v>517</v>
      </c>
      <c r="K22" s="124" t="s">
        <v>1530</v>
      </c>
      <c r="L22" s="124"/>
      <c r="M22" s="125">
        <v>3294426</v>
      </c>
      <c r="N22" s="148">
        <v>625940.94000000006</v>
      </c>
      <c r="O22" s="148">
        <v>0</v>
      </c>
      <c r="P22" s="149">
        <v>0</v>
      </c>
      <c r="Q22" s="148">
        <v>0</v>
      </c>
      <c r="R22" s="150">
        <v>3920366.94</v>
      </c>
      <c r="S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" s="135">
        <f ca="1">+IF(PROVEEDORES[[#This Row],[FECHA DE PAGO]]=0,TODAY()-PROVEEDORES[[#This Row],[FECHA DE FACTURACIÓN]]-PROVEEDORES[[#This Row],[PLAZO Días]],0)</f>
        <v>0</v>
      </c>
      <c r="U22" s="135">
        <f>+VLOOKUP(PROVEEDORES[[#This Row],[PROVEEDOR]],Terceros!$A:$D,4,FALSE)</f>
        <v>0</v>
      </c>
      <c r="V22" s="135">
        <f>+YEAR(PROVEEDORES[[#This Row],[FECHA DE FACTURACIÓN]])</f>
        <v>2023</v>
      </c>
      <c r="W22" s="135">
        <f>+MATCH(PROVEEDORES[[#This Row],[año facturado]],Retenciones!$1:$1,0)</f>
        <v>6</v>
      </c>
      <c r="X22" s="136">
        <f>+VLOOKUP(PROVEEDORES[[#This Row],[ID RETENCION]],Retenciones!$A$1:$O$25,PROVEEDORES[[#This Row],[indicador de columna]],FALSE)</f>
        <v>0</v>
      </c>
      <c r="Y22" s="137">
        <f>+VLOOKUP(PROVEEDORES[[#This Row],[ID RETENCION]],Retenciones!$A$1:$O$25,2,FALSE)</f>
        <v>0</v>
      </c>
      <c r="Z22" s="126" t="b">
        <f>+OR(COUNTIF(PROVEEDORES[[#This Row],[PROVEEDOR]],"*"&amp;'Palabra que no opera y Listas d'!$A$2&amp;"*"))</f>
        <v>1</v>
      </c>
    </row>
    <row r="23" spans="1:26" ht="27.75" customHeight="1" x14ac:dyDescent="0.25">
      <c r="A23" s="141" t="str">
        <f>+IF(PROVEEDORES[[#This Row],[FECHA DE PAGO]]=PROVEEDORES[[#This Row],[FECHA DE FACTURACIÓN]],"DE CONTADO","CRÉDITO")</f>
        <v>CRÉDITO</v>
      </c>
      <c r="B23" s="138" t="b">
        <f>+IF((PROVEEDORES[[#This Row],[FECHA DE PAGO]]-PROVEEDORES[[#This Row],[FECHA DE FACTURACIÓN]])&gt;PROVEEDORES[[#This Row],[PLAZO Días]],"PAGO VENCIDO")</f>
        <v>0</v>
      </c>
      <c r="C23" s="138">
        <f>+VLOOKUP(PROVEEDORES[[#This Row],[PROVEEDOR]],TERCEROS_INFO[#All],2,FALSE)</f>
        <v>30</v>
      </c>
      <c r="D23" s="139">
        <f>+SUMIFS(PROVEEDORES[Total],PROVEEDORES[PROVEEDOR],PROVEEDORES[[#This Row],[PROVEEDOR]],PROVEEDORES[FECHA DE PAGO],"")</f>
        <v>0</v>
      </c>
      <c r="E23" s="140"/>
      <c r="F23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23" s="127">
        <v>44953</v>
      </c>
      <c r="H23" s="123" t="s">
        <v>383</v>
      </c>
      <c r="I23" s="127">
        <v>44928</v>
      </c>
      <c r="J23" s="124" t="s">
        <v>518</v>
      </c>
      <c r="K23" s="124" t="s">
        <v>1530</v>
      </c>
      <c r="L23" s="124"/>
      <c r="M23" s="125">
        <v>3891260</v>
      </c>
      <c r="N23" s="148">
        <v>739339.4</v>
      </c>
      <c r="O23" s="148">
        <v>0</v>
      </c>
      <c r="P23" s="149">
        <v>3.5000000000000003E-2</v>
      </c>
      <c r="Q23" s="148">
        <v>136194.1</v>
      </c>
      <c r="R23" s="150">
        <v>4494405.3000000007</v>
      </c>
      <c r="S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" s="135">
        <f ca="1">+IF(PROVEEDORES[[#This Row],[FECHA DE PAGO]]=0,TODAY()-PROVEEDORES[[#This Row],[FECHA DE FACTURACIÓN]]-PROVEEDORES[[#This Row],[PLAZO Días]],0)</f>
        <v>0</v>
      </c>
      <c r="U23" s="135" t="str">
        <f>+VLOOKUP(PROVEEDORES[[#This Row],[PROVEEDOR]],Terceros!$A:$D,4,FALSE)</f>
        <v>3,5% sin base</v>
      </c>
      <c r="V23" s="135">
        <f>+YEAR(PROVEEDORES[[#This Row],[FECHA DE FACTURACIÓN]])</f>
        <v>2023</v>
      </c>
      <c r="W23" s="135">
        <f>+MATCH(PROVEEDORES[[#This Row],[año facturado]],Retenciones!$1:$1,0)</f>
        <v>6</v>
      </c>
      <c r="X23" s="136">
        <f>+VLOOKUP(PROVEEDORES[[#This Row],[ID RETENCION]],Retenciones!$A$1:$O$25,PROVEEDORES[[#This Row],[indicador de columna]],FALSE)</f>
        <v>0</v>
      </c>
      <c r="Y23" s="137">
        <f>+VLOOKUP(PROVEEDORES[[#This Row],[ID RETENCION]],Retenciones!$A$1:$O$25,2,FALSE)</f>
        <v>3.5000000000000003E-2</v>
      </c>
      <c r="Z23" s="126" t="b">
        <f>+OR(COUNTIF(PROVEEDORES[[#This Row],[PROVEEDOR]],"*"&amp;'Palabra que no opera y Listas d'!$A$2&amp;"*"))</f>
        <v>1</v>
      </c>
    </row>
    <row r="24" spans="1:26" ht="27.75" customHeight="1" x14ac:dyDescent="0.25">
      <c r="A24" s="141" t="str">
        <f>+IF(PROVEEDORES[[#This Row],[FECHA DE PAGO]]=PROVEEDORES[[#This Row],[FECHA DE FACTURACIÓN]],"DE CONTADO","CRÉDITO")</f>
        <v>CRÉDITO</v>
      </c>
      <c r="B24" s="138" t="str">
        <f>+IF((PROVEEDORES[[#This Row],[FECHA DE PAGO]]-PROVEEDORES[[#This Row],[FECHA DE FACTURACIÓN]])&gt;PROVEEDORES[[#This Row],[PLAZO Días]],"PAGO VENCIDO")</f>
        <v>PAGO VENCIDO</v>
      </c>
      <c r="C24" s="138">
        <f>+VLOOKUP(PROVEEDORES[[#This Row],[PROVEEDOR]],TERCEROS_INFO[#All],2,FALSE)</f>
        <v>10</v>
      </c>
      <c r="D24" s="139">
        <f>+SUMIFS(PROVEEDORES[Total],PROVEEDORES[PROVEEDOR],PROVEEDORES[[#This Row],[PROVEEDOR]],PROVEEDORES[FECHA DE PAGO],"")</f>
        <v>0</v>
      </c>
      <c r="E24" s="140"/>
      <c r="F24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4" s="127">
        <v>44953</v>
      </c>
      <c r="H24" s="123" t="s">
        <v>482</v>
      </c>
      <c r="I24" s="127">
        <v>44928</v>
      </c>
      <c r="J24" s="124" t="s">
        <v>519</v>
      </c>
      <c r="K24" s="124" t="s">
        <v>1530</v>
      </c>
      <c r="L24" s="124"/>
      <c r="M24" s="125">
        <v>4730000</v>
      </c>
      <c r="N24" s="148">
        <v>898700</v>
      </c>
      <c r="O24" s="148">
        <v>0</v>
      </c>
      <c r="P24" s="149">
        <v>0</v>
      </c>
      <c r="Q24" s="148">
        <v>0</v>
      </c>
      <c r="R24" s="150">
        <v>5628700</v>
      </c>
      <c r="S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" s="135">
        <f ca="1">+IF(PROVEEDORES[[#This Row],[FECHA DE PAGO]]=0,TODAY()-PROVEEDORES[[#This Row],[FECHA DE FACTURACIÓN]]-PROVEEDORES[[#This Row],[PLAZO Días]],0)</f>
        <v>0</v>
      </c>
      <c r="U24" s="135">
        <f>+VLOOKUP(PROVEEDORES[[#This Row],[PROVEEDOR]],Terceros!$A:$D,4,FALSE)</f>
        <v>0</v>
      </c>
      <c r="V24" s="135">
        <f>+YEAR(PROVEEDORES[[#This Row],[FECHA DE FACTURACIÓN]])</f>
        <v>2023</v>
      </c>
      <c r="W24" s="135">
        <f>+MATCH(PROVEEDORES[[#This Row],[año facturado]],Retenciones!$1:$1,0)</f>
        <v>6</v>
      </c>
      <c r="X24" s="136">
        <f>+VLOOKUP(PROVEEDORES[[#This Row],[ID RETENCION]],Retenciones!$A$1:$O$25,PROVEEDORES[[#This Row],[indicador de columna]],FALSE)</f>
        <v>0</v>
      </c>
      <c r="Y24" s="137">
        <f>+VLOOKUP(PROVEEDORES[[#This Row],[ID RETENCION]],Retenciones!$A$1:$O$25,2,FALSE)</f>
        <v>0</v>
      </c>
      <c r="Z24" s="126" t="b">
        <f>+OR(COUNTIF(PROVEEDORES[[#This Row],[PROVEEDOR]],"*"&amp;'Palabra que no opera y Listas d'!$A$2&amp;"*"))</f>
        <v>1</v>
      </c>
    </row>
    <row r="25" spans="1:26" ht="27.75" customHeight="1" x14ac:dyDescent="0.25">
      <c r="A25" s="141" t="str">
        <f>+IF(PROVEEDORES[[#This Row],[FECHA DE PAGO]]=PROVEEDORES[[#This Row],[FECHA DE FACTURACIÓN]],"DE CONTADO","CRÉDITO")</f>
        <v>CRÉDITO</v>
      </c>
      <c r="B25" s="138" t="b">
        <f>+IF((PROVEEDORES[[#This Row],[FECHA DE PAGO]]-PROVEEDORES[[#This Row],[FECHA DE FACTURACIÓN]])&gt;PROVEEDORES[[#This Row],[PLAZO Días]],"PAGO VENCIDO")</f>
        <v>0</v>
      </c>
      <c r="C25" s="138">
        <f>+VLOOKUP(PROVEEDORES[[#This Row],[PROVEEDOR]],TERCEROS_INFO[#All],2,FALSE)</f>
        <v>30</v>
      </c>
      <c r="D25" s="139">
        <f>+SUMIFS(PROVEEDORES[Total],PROVEEDORES[PROVEEDOR],PROVEEDORES[[#This Row],[PROVEEDOR]],PROVEEDORES[FECHA DE PAGO],"")</f>
        <v>0</v>
      </c>
      <c r="E25" s="140"/>
      <c r="F25" s="13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5" s="127">
        <v>44953</v>
      </c>
      <c r="H25" s="123" t="s">
        <v>1806</v>
      </c>
      <c r="I25" s="127">
        <v>44976</v>
      </c>
      <c r="J25" s="124">
        <v>402</v>
      </c>
      <c r="K25" s="124" t="s">
        <v>1530</v>
      </c>
      <c r="L25" s="124"/>
      <c r="M25" s="125">
        <v>400000</v>
      </c>
      <c r="N25" s="148">
        <v>0</v>
      </c>
      <c r="O25" s="148">
        <v>0</v>
      </c>
      <c r="P25" s="149">
        <v>0</v>
      </c>
      <c r="Q25" s="148">
        <v>0</v>
      </c>
      <c r="R25" s="150">
        <v>400000</v>
      </c>
      <c r="S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" s="135">
        <f ca="1">+IF(PROVEEDORES[[#This Row],[FECHA DE PAGO]]=0,TODAY()-PROVEEDORES[[#This Row],[FECHA DE FACTURACIÓN]]-PROVEEDORES[[#This Row],[PLAZO Días]],0)</f>
        <v>0</v>
      </c>
      <c r="U25" s="135">
        <f>+VLOOKUP(PROVEEDORES[[#This Row],[PROVEEDOR]],Terceros!$A:$D,4,FALSE)</f>
        <v>0</v>
      </c>
      <c r="V25" s="135">
        <f>+YEAR(PROVEEDORES[[#This Row],[FECHA DE FACTURACIÓN]])</f>
        <v>2023</v>
      </c>
      <c r="W25" s="135">
        <f>+MATCH(PROVEEDORES[[#This Row],[año facturado]],Retenciones!$1:$1,0)</f>
        <v>6</v>
      </c>
      <c r="X25" s="136">
        <f>+VLOOKUP(PROVEEDORES[[#This Row],[ID RETENCION]],Retenciones!$A$1:$O$25,PROVEEDORES[[#This Row],[indicador de columna]],FALSE)</f>
        <v>0</v>
      </c>
      <c r="Y25" s="137">
        <f>+VLOOKUP(PROVEEDORES[[#This Row],[ID RETENCION]],Retenciones!$A$1:$O$25,2,FALSE)</f>
        <v>0</v>
      </c>
      <c r="Z25" s="126" t="b">
        <f>+OR(COUNTIF(PROVEEDORES[[#This Row],[PROVEEDOR]],"*"&amp;'Palabra que no opera y Listas d'!$A$2&amp;"*"))</f>
        <v>0</v>
      </c>
    </row>
    <row r="26" spans="1:26" ht="27.75" customHeight="1" x14ac:dyDescent="0.25">
      <c r="A26" s="141" t="str">
        <f>+IF(PROVEEDORES[[#This Row],[FECHA DE PAGO]]=PROVEEDORES[[#This Row],[FECHA DE FACTURACIÓN]],"DE CONTADO","CRÉDITO")</f>
        <v>CRÉDITO</v>
      </c>
      <c r="B26" s="138" t="b">
        <f>+IF((PROVEEDORES[[#This Row],[FECHA DE PAGO]]-PROVEEDORES[[#This Row],[FECHA DE FACTURACIÓN]])&gt;PROVEEDORES[[#This Row],[PLAZO Días]],"PAGO VENCIDO")</f>
        <v>0</v>
      </c>
      <c r="C26" s="138">
        <f>+VLOOKUP(PROVEEDORES[[#This Row],[PROVEEDOR]],TERCEROS_INFO[#All],2,FALSE)</f>
        <v>30</v>
      </c>
      <c r="D26" s="139">
        <f>+SUMIFS(PROVEEDORES[Total],PROVEEDORES[PROVEEDOR],PROVEEDORES[[#This Row],[PROVEEDOR]],PROVEEDORES[FECHA DE PAGO],"")</f>
        <v>0</v>
      </c>
      <c r="E26" s="140"/>
      <c r="F26" s="13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6" s="127">
        <v>44953</v>
      </c>
      <c r="H26" s="123" t="s">
        <v>448</v>
      </c>
      <c r="I26" s="127">
        <v>44976</v>
      </c>
      <c r="J26" s="124" t="s">
        <v>585</v>
      </c>
      <c r="K26" s="124" t="s">
        <v>1530</v>
      </c>
      <c r="L26" s="124"/>
      <c r="M26" s="125">
        <v>330000</v>
      </c>
      <c r="N26" s="148">
        <v>0</v>
      </c>
      <c r="O26" s="148">
        <v>0</v>
      </c>
      <c r="P26" s="149">
        <v>0.01</v>
      </c>
      <c r="Q26" s="148">
        <v>3300</v>
      </c>
      <c r="R26" s="150">
        <v>326700</v>
      </c>
      <c r="S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" s="135">
        <f ca="1">+IF(PROVEEDORES[[#This Row],[FECHA DE PAGO]]=0,TODAY()-PROVEEDORES[[#This Row],[FECHA DE FACTURACIÓN]]-PROVEEDORES[[#This Row],[PLAZO Días]],0)</f>
        <v>0</v>
      </c>
      <c r="U26" s="135" t="str">
        <f>+VLOOKUP(PROVEEDORES[[#This Row],[PROVEEDOR]],Terceros!$A:$D,4,FALSE)</f>
        <v>1% con base</v>
      </c>
      <c r="V26" s="135">
        <f>+YEAR(PROVEEDORES[[#This Row],[FECHA DE FACTURACIÓN]])</f>
        <v>2023</v>
      </c>
      <c r="W26" s="135">
        <f>+MATCH(PROVEEDORES[[#This Row],[año facturado]],Retenciones!$1:$1,0)</f>
        <v>6</v>
      </c>
      <c r="X26" s="136">
        <f>+VLOOKUP(PROVEEDORES[[#This Row],[ID RETENCION]],Retenciones!$A$1:$O$25,PROVEEDORES[[#This Row],[indicador de columna]],FALSE)</f>
        <v>170000</v>
      </c>
      <c r="Y26" s="137">
        <f>+VLOOKUP(PROVEEDORES[[#This Row],[ID RETENCION]],Retenciones!$A$1:$O$25,2,FALSE)</f>
        <v>0.01</v>
      </c>
      <c r="Z26" s="126" t="b">
        <f>+OR(COUNTIF(PROVEEDORES[[#This Row],[PROVEEDOR]],"*"&amp;'Palabra que no opera y Listas d'!$A$2&amp;"*"))</f>
        <v>0</v>
      </c>
    </row>
    <row r="27" spans="1:26" ht="27.75" customHeight="1" x14ac:dyDescent="0.25">
      <c r="A27" s="141" t="str">
        <f>+IF(PROVEEDORES[[#This Row],[FECHA DE PAGO]]=PROVEEDORES[[#This Row],[FECHA DE FACTURACIÓN]],"DE CONTADO","CRÉDITO")</f>
        <v>DE CONTADO</v>
      </c>
      <c r="B27" s="138" t="b">
        <f>+IF((PROVEEDORES[[#This Row],[FECHA DE PAGO]]-PROVEEDORES[[#This Row],[FECHA DE FACTURACIÓN]])&gt;PROVEEDORES[[#This Row],[PLAZO Días]],"PAGO VENCIDO")</f>
        <v>0</v>
      </c>
      <c r="C27" s="138">
        <f>+VLOOKUP(PROVEEDORES[[#This Row],[PROVEEDOR]],TERCEROS_INFO[#All],2,FALSE)</f>
        <v>30</v>
      </c>
      <c r="D27" s="139">
        <f>+SUMIFS(PROVEEDORES[Total],PROVEEDORES[PROVEEDOR],PROVEEDORES[[#This Row],[PROVEEDOR]],PROVEEDORES[FECHA DE PAGO],"")</f>
        <v>0</v>
      </c>
      <c r="E27" s="140"/>
      <c r="F27" s="138" t="str">
        <f>+VLOOKUP(PROVEEDORES[[#This Row],[PROVEEDOR]],
                       Terceros!$A:$F,
                       5,
                       FALSE)</f>
        <v/>
      </c>
      <c r="G27" s="127">
        <v>44954</v>
      </c>
      <c r="H27" s="123" t="s">
        <v>525</v>
      </c>
      <c r="I27" s="127">
        <v>44954</v>
      </c>
      <c r="J27" s="124" t="s">
        <v>530</v>
      </c>
      <c r="K27" s="124" t="s">
        <v>1530</v>
      </c>
      <c r="L27" s="124"/>
      <c r="M27" s="125">
        <v>771400</v>
      </c>
      <c r="N27" s="148">
        <v>0</v>
      </c>
      <c r="O27" s="148">
        <v>0</v>
      </c>
      <c r="P27" s="149">
        <v>0</v>
      </c>
      <c r="Q27" s="148">
        <v>0</v>
      </c>
      <c r="R27" s="150">
        <v>771400</v>
      </c>
      <c r="S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" s="135">
        <f ca="1">+IF(PROVEEDORES[[#This Row],[FECHA DE PAGO]]=0,TODAY()-PROVEEDORES[[#This Row],[FECHA DE FACTURACIÓN]]-PROVEEDORES[[#This Row],[PLAZO Días]],0)</f>
        <v>0</v>
      </c>
      <c r="U27" s="135">
        <f>+VLOOKUP(PROVEEDORES[[#This Row],[PROVEEDOR]],Terceros!$A:$D,4,FALSE)</f>
        <v>0</v>
      </c>
      <c r="V27" s="135">
        <f>+YEAR(PROVEEDORES[[#This Row],[FECHA DE FACTURACIÓN]])</f>
        <v>2023</v>
      </c>
      <c r="W27" s="135">
        <f>+MATCH(PROVEEDORES[[#This Row],[año facturado]],Retenciones!$1:$1,0)</f>
        <v>6</v>
      </c>
      <c r="X27" s="136">
        <f>+VLOOKUP(PROVEEDORES[[#This Row],[ID RETENCION]],Retenciones!$A$1:$O$25,PROVEEDORES[[#This Row],[indicador de columna]],FALSE)</f>
        <v>0</v>
      </c>
      <c r="Y27" s="137">
        <f>+VLOOKUP(PROVEEDORES[[#This Row],[ID RETENCION]],Retenciones!$A$1:$O$25,2,FALSE)</f>
        <v>0</v>
      </c>
      <c r="Z27" s="126" t="b">
        <f>+OR(COUNTIF(PROVEEDORES[[#This Row],[PROVEEDOR]],"*"&amp;'Palabra que no opera y Listas d'!$A$2&amp;"*"))</f>
        <v>0</v>
      </c>
    </row>
    <row r="28" spans="1:26" ht="27.75" customHeight="1" x14ac:dyDescent="0.25">
      <c r="A28" s="141" t="str">
        <f>+IF(PROVEEDORES[[#This Row],[FECHA DE PAGO]]=PROVEEDORES[[#This Row],[FECHA DE FACTURACIÓN]],"DE CONTADO","CRÉDITO")</f>
        <v>DE CONTADO</v>
      </c>
      <c r="B28" s="138" t="b">
        <f>+IF((PROVEEDORES[[#This Row],[FECHA DE PAGO]]-PROVEEDORES[[#This Row],[FECHA DE FACTURACIÓN]])&gt;PROVEEDORES[[#This Row],[PLAZO Días]],"PAGO VENCIDO")</f>
        <v>0</v>
      </c>
      <c r="C28" s="138">
        <f>+VLOOKUP(PROVEEDORES[[#This Row],[PROVEEDOR]],TERCEROS_INFO[#All],2,FALSE)</f>
        <v>30</v>
      </c>
      <c r="D28" s="139">
        <f>+SUMIFS(PROVEEDORES[Total],PROVEEDORES[PROVEEDOR],PROVEEDORES[[#This Row],[PROVEEDOR]],PROVEEDORES[FECHA DE PAGO],"")</f>
        <v>0</v>
      </c>
      <c r="E28" s="140"/>
      <c r="F28" s="138" t="str">
        <f>+VLOOKUP(PROVEEDORES[[#This Row],[PROVEEDOR]],
                       Terceros!$A:$F,
                       5,
                       FALSE)</f>
        <v/>
      </c>
      <c r="G28" s="127">
        <v>44957</v>
      </c>
      <c r="H28" s="123" t="s">
        <v>525</v>
      </c>
      <c r="I28" s="127">
        <v>44957</v>
      </c>
      <c r="J28" s="124" t="s">
        <v>1531</v>
      </c>
      <c r="K28" s="124" t="s">
        <v>1530</v>
      </c>
      <c r="L28" s="124"/>
      <c r="M28" s="125">
        <v>0</v>
      </c>
      <c r="N28" s="148">
        <v>0</v>
      </c>
      <c r="O28" s="148">
        <v>0</v>
      </c>
      <c r="P28" s="149">
        <v>0</v>
      </c>
      <c r="Q28" s="148">
        <v>0</v>
      </c>
      <c r="R28" s="150">
        <v>0</v>
      </c>
      <c r="S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" s="135">
        <f ca="1">+IF(PROVEEDORES[[#This Row],[FECHA DE PAGO]]=0,TODAY()-PROVEEDORES[[#This Row],[FECHA DE FACTURACIÓN]]-PROVEEDORES[[#This Row],[PLAZO Días]],0)</f>
        <v>0</v>
      </c>
      <c r="U28" s="135">
        <f>+VLOOKUP(PROVEEDORES[[#This Row],[PROVEEDOR]],Terceros!$A:$D,4,FALSE)</f>
        <v>0</v>
      </c>
      <c r="V28" s="135">
        <f>+YEAR(PROVEEDORES[[#This Row],[FECHA DE FACTURACIÓN]])</f>
        <v>2023</v>
      </c>
      <c r="W28" s="135">
        <f>+MATCH(PROVEEDORES[[#This Row],[año facturado]],Retenciones!$1:$1,0)</f>
        <v>6</v>
      </c>
      <c r="X28" s="136">
        <f>+VLOOKUP(PROVEEDORES[[#This Row],[ID RETENCION]],Retenciones!$A$1:$O$25,PROVEEDORES[[#This Row],[indicador de columna]],FALSE)</f>
        <v>0</v>
      </c>
      <c r="Y28" s="137">
        <f>+VLOOKUP(PROVEEDORES[[#This Row],[ID RETENCION]],Retenciones!$A$1:$O$25,2,FALSE)</f>
        <v>0</v>
      </c>
      <c r="Z28" s="126" t="b">
        <f>+OR(COUNTIF(PROVEEDORES[[#This Row],[PROVEEDOR]],"*"&amp;'Palabra que no opera y Listas d'!$A$2&amp;"*"))</f>
        <v>0</v>
      </c>
    </row>
    <row r="29" spans="1:26" ht="27.75" customHeight="1" x14ac:dyDescent="0.25">
      <c r="A29" s="141" t="str">
        <f>+IF(PROVEEDORES[[#This Row],[FECHA DE PAGO]]=PROVEEDORES[[#This Row],[FECHA DE FACTURACIÓN]],"DE CONTADO","CRÉDITO")</f>
        <v>DE CONTADO</v>
      </c>
      <c r="B29" s="138" t="b">
        <f>+IF((PROVEEDORES[[#This Row],[FECHA DE PAGO]]-PROVEEDORES[[#This Row],[FECHA DE FACTURACIÓN]])&gt;PROVEEDORES[[#This Row],[PLAZO Días]],"PAGO VENCIDO")</f>
        <v>0</v>
      </c>
      <c r="C29" s="138">
        <f>+VLOOKUP(PROVEEDORES[[#This Row],[PROVEEDOR]],TERCEROS_INFO[#All],2,FALSE)</f>
        <v>30</v>
      </c>
      <c r="D29" s="139">
        <f>+SUMIFS(PROVEEDORES[Total],PROVEEDORES[PROVEEDOR],PROVEEDORES[[#This Row],[PROVEEDOR]],PROVEEDORES[FECHA DE PAGO],"")</f>
        <v>0</v>
      </c>
      <c r="E29" s="140"/>
      <c r="F29" s="138" t="str">
        <f>+VLOOKUP(PROVEEDORES[[#This Row],[PROVEEDOR]],
                       Terceros!$A:$F,
                       5,
                       FALSE)</f>
        <v/>
      </c>
      <c r="G29" s="127">
        <v>44957</v>
      </c>
      <c r="H29" s="123" t="s">
        <v>525</v>
      </c>
      <c r="I29" s="127">
        <v>44957</v>
      </c>
      <c r="J29" s="124" t="s">
        <v>502</v>
      </c>
      <c r="K29" s="124" t="s">
        <v>1530</v>
      </c>
      <c r="L29" s="124"/>
      <c r="M29" s="125">
        <v>56000</v>
      </c>
      <c r="N29" s="148">
        <v>0</v>
      </c>
      <c r="O29" s="148">
        <v>0</v>
      </c>
      <c r="P29" s="149">
        <v>0</v>
      </c>
      <c r="Q29" s="148">
        <v>0</v>
      </c>
      <c r="R29" s="150">
        <v>56000</v>
      </c>
      <c r="S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" s="135">
        <f ca="1">+IF(PROVEEDORES[[#This Row],[FECHA DE PAGO]]=0,TODAY()-PROVEEDORES[[#This Row],[FECHA DE FACTURACIÓN]]-PROVEEDORES[[#This Row],[PLAZO Días]],0)</f>
        <v>0</v>
      </c>
      <c r="U29" s="135">
        <f>+VLOOKUP(PROVEEDORES[[#This Row],[PROVEEDOR]],Terceros!$A:$D,4,FALSE)</f>
        <v>0</v>
      </c>
      <c r="V29" s="135">
        <f>+YEAR(PROVEEDORES[[#This Row],[FECHA DE FACTURACIÓN]])</f>
        <v>2023</v>
      </c>
      <c r="W29" s="135">
        <f>+MATCH(PROVEEDORES[[#This Row],[año facturado]],Retenciones!$1:$1,0)</f>
        <v>6</v>
      </c>
      <c r="X29" s="136">
        <f>+VLOOKUP(PROVEEDORES[[#This Row],[ID RETENCION]],Retenciones!$A$1:$O$25,PROVEEDORES[[#This Row],[indicador de columna]],FALSE)</f>
        <v>0</v>
      </c>
      <c r="Y29" s="137">
        <f>+VLOOKUP(PROVEEDORES[[#This Row],[ID RETENCION]],Retenciones!$A$1:$O$25,2,FALSE)</f>
        <v>0</v>
      </c>
      <c r="Z29" s="126" t="b">
        <f>+OR(COUNTIF(PROVEEDORES[[#This Row],[PROVEEDOR]],"*"&amp;'Palabra que no opera y Listas d'!$A$2&amp;"*"))</f>
        <v>0</v>
      </c>
    </row>
    <row r="30" spans="1:26" ht="27.75" customHeight="1" x14ac:dyDescent="0.25">
      <c r="A30" s="141" t="str">
        <f>+IF(PROVEEDORES[[#This Row],[FECHA DE PAGO]]=PROVEEDORES[[#This Row],[FECHA DE FACTURACIÓN]],"DE CONTADO","CRÉDITO")</f>
        <v>DE CONTADO</v>
      </c>
      <c r="B30" s="138" t="b">
        <f>+IF((PROVEEDORES[[#This Row],[FECHA DE PAGO]]-PROVEEDORES[[#This Row],[FECHA DE FACTURACIÓN]])&gt;PROVEEDORES[[#This Row],[PLAZO Días]],"PAGO VENCIDO")</f>
        <v>0</v>
      </c>
      <c r="C30" s="138">
        <f>+VLOOKUP(PROVEEDORES[[#This Row],[PROVEEDOR]],TERCEROS_INFO[#All],2,FALSE)</f>
        <v>30</v>
      </c>
      <c r="D30" s="139">
        <f>+SUMIFS(PROVEEDORES[Total],PROVEEDORES[PROVEEDOR],PROVEEDORES[[#This Row],[PROVEEDOR]],PROVEEDORES[FECHA DE PAGO],"")</f>
        <v>0</v>
      </c>
      <c r="E30" s="140"/>
      <c r="F30" s="138" t="str">
        <f>+VLOOKUP(PROVEEDORES[[#This Row],[PROVEEDOR]],
                       Terceros!$A:$F,
                       5,
                       FALSE)</f>
        <v/>
      </c>
      <c r="G30" s="127">
        <v>44957</v>
      </c>
      <c r="H30" s="123" t="s">
        <v>525</v>
      </c>
      <c r="I30" s="127">
        <v>44957</v>
      </c>
      <c r="J30" s="124" t="s">
        <v>503</v>
      </c>
      <c r="K30" s="124" t="s">
        <v>1530</v>
      </c>
      <c r="L30" s="124"/>
      <c r="M30" s="125">
        <v>115930</v>
      </c>
      <c r="N30" s="148">
        <v>0</v>
      </c>
      <c r="O30" s="148">
        <v>0</v>
      </c>
      <c r="P30" s="149">
        <v>0</v>
      </c>
      <c r="Q30" s="148">
        <v>0</v>
      </c>
      <c r="R30" s="150">
        <v>115930</v>
      </c>
      <c r="S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" s="135">
        <f ca="1">+IF(PROVEEDORES[[#This Row],[FECHA DE PAGO]]=0,TODAY()-PROVEEDORES[[#This Row],[FECHA DE FACTURACIÓN]]-PROVEEDORES[[#This Row],[PLAZO Días]],0)</f>
        <v>0</v>
      </c>
      <c r="U30" s="135">
        <f>+VLOOKUP(PROVEEDORES[[#This Row],[PROVEEDOR]],Terceros!$A:$D,4,FALSE)</f>
        <v>0</v>
      </c>
      <c r="V30" s="135">
        <f>+YEAR(PROVEEDORES[[#This Row],[FECHA DE FACTURACIÓN]])</f>
        <v>2023</v>
      </c>
      <c r="W30" s="135">
        <f>+MATCH(PROVEEDORES[[#This Row],[año facturado]],Retenciones!$1:$1,0)</f>
        <v>6</v>
      </c>
      <c r="X30" s="136">
        <f>+VLOOKUP(PROVEEDORES[[#This Row],[ID RETENCION]],Retenciones!$A$1:$O$25,PROVEEDORES[[#This Row],[indicador de columna]],FALSE)</f>
        <v>0</v>
      </c>
      <c r="Y30" s="137">
        <f>+VLOOKUP(PROVEEDORES[[#This Row],[ID RETENCION]],Retenciones!$A$1:$O$25,2,FALSE)</f>
        <v>0</v>
      </c>
      <c r="Z30" s="126" t="b">
        <f>+OR(COUNTIF(PROVEEDORES[[#This Row],[PROVEEDOR]],"*"&amp;'Palabra que no opera y Listas d'!$A$2&amp;"*"))</f>
        <v>0</v>
      </c>
    </row>
    <row r="31" spans="1:26" ht="27.75" customHeight="1" x14ac:dyDescent="0.25">
      <c r="A31" s="141" t="str">
        <f>+IF(PROVEEDORES[[#This Row],[FECHA DE PAGO]]=PROVEEDORES[[#This Row],[FECHA DE FACTURACIÓN]],"DE CONTADO","CRÉDITO")</f>
        <v>DE CONTADO</v>
      </c>
      <c r="B31" s="138" t="b">
        <f>+IF((PROVEEDORES[[#This Row],[FECHA DE PAGO]]-PROVEEDORES[[#This Row],[FECHA DE FACTURACIÓN]])&gt;PROVEEDORES[[#This Row],[PLAZO Días]],"PAGO VENCIDO")</f>
        <v>0</v>
      </c>
      <c r="C31" s="138">
        <f>+VLOOKUP(PROVEEDORES[[#This Row],[PROVEEDOR]],TERCEROS_INFO[#All],2,FALSE)</f>
        <v>30</v>
      </c>
      <c r="D31" s="139">
        <f>+SUMIFS(PROVEEDORES[Total],PROVEEDORES[PROVEEDOR],PROVEEDORES[[#This Row],[PROVEEDOR]],PROVEEDORES[FECHA DE PAGO],"")</f>
        <v>0</v>
      </c>
      <c r="E31" s="140"/>
      <c r="F31" s="138" t="str">
        <f>+VLOOKUP(PROVEEDORES[[#This Row],[PROVEEDOR]],
                       Terceros!$A:$F,
                       5,
                       FALSE)</f>
        <v/>
      </c>
      <c r="G31" s="127">
        <v>44957</v>
      </c>
      <c r="H31" s="123" t="s">
        <v>525</v>
      </c>
      <c r="I31" s="127">
        <v>44957</v>
      </c>
      <c r="J31" s="124" t="s">
        <v>478</v>
      </c>
      <c r="K31" s="124" t="s">
        <v>1530</v>
      </c>
      <c r="L31" s="124"/>
      <c r="M31" s="125">
        <v>177600</v>
      </c>
      <c r="N31" s="148">
        <v>0</v>
      </c>
      <c r="O31" s="148">
        <v>0</v>
      </c>
      <c r="P31" s="149">
        <v>0</v>
      </c>
      <c r="Q31" s="148">
        <v>0</v>
      </c>
      <c r="R31" s="150">
        <v>177600</v>
      </c>
      <c r="S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" s="135">
        <f ca="1">+IF(PROVEEDORES[[#This Row],[FECHA DE PAGO]]=0,TODAY()-PROVEEDORES[[#This Row],[FECHA DE FACTURACIÓN]]-PROVEEDORES[[#This Row],[PLAZO Días]],0)</f>
        <v>0</v>
      </c>
      <c r="U31" s="135">
        <f>+VLOOKUP(PROVEEDORES[[#This Row],[PROVEEDOR]],Terceros!$A:$D,4,FALSE)</f>
        <v>0</v>
      </c>
      <c r="V31" s="135">
        <f>+YEAR(PROVEEDORES[[#This Row],[FECHA DE FACTURACIÓN]])</f>
        <v>2023</v>
      </c>
      <c r="W31" s="135">
        <f>+MATCH(PROVEEDORES[[#This Row],[año facturado]],Retenciones!$1:$1,0)</f>
        <v>6</v>
      </c>
      <c r="X31" s="136">
        <f>+VLOOKUP(PROVEEDORES[[#This Row],[ID RETENCION]],Retenciones!$A$1:$O$25,PROVEEDORES[[#This Row],[indicador de columna]],FALSE)</f>
        <v>0</v>
      </c>
      <c r="Y31" s="137">
        <f>+VLOOKUP(PROVEEDORES[[#This Row],[ID RETENCION]],Retenciones!$A$1:$O$25,2,FALSE)</f>
        <v>0</v>
      </c>
      <c r="Z31" s="126" t="b">
        <f>+OR(COUNTIF(PROVEEDORES[[#This Row],[PROVEEDOR]],"*"&amp;'Palabra que no opera y Listas d'!$A$2&amp;"*"))</f>
        <v>0</v>
      </c>
    </row>
    <row r="32" spans="1:26" ht="27.75" customHeight="1" x14ac:dyDescent="0.25">
      <c r="A32" s="141" t="str">
        <f>+IF(PROVEEDORES[[#This Row],[FECHA DE PAGO]]=PROVEEDORES[[#This Row],[FECHA DE FACTURACIÓN]],"DE CONTADO","CRÉDITO")</f>
        <v>DE CONTADO</v>
      </c>
      <c r="B32" s="138" t="b">
        <f>+IF((PROVEEDORES[[#This Row],[FECHA DE PAGO]]-PROVEEDORES[[#This Row],[FECHA DE FACTURACIÓN]])&gt;PROVEEDORES[[#This Row],[PLAZO Días]],"PAGO VENCIDO")</f>
        <v>0</v>
      </c>
      <c r="C32" s="138">
        <f>+VLOOKUP(PROVEEDORES[[#This Row],[PROVEEDOR]],TERCEROS_INFO[#All],2,FALSE)</f>
        <v>30</v>
      </c>
      <c r="D32" s="139">
        <f>+SUMIFS(PROVEEDORES[Total],PROVEEDORES[PROVEEDOR],PROVEEDORES[[#This Row],[PROVEEDOR]],PROVEEDORES[FECHA DE PAGO],"")</f>
        <v>0</v>
      </c>
      <c r="E32" s="140"/>
      <c r="F32" s="138" t="str">
        <f>+VLOOKUP(PROVEEDORES[[#This Row],[PROVEEDOR]],
                       Terceros!$A:$F,
                       5,
                       FALSE)</f>
        <v/>
      </c>
      <c r="G32" s="127">
        <v>44957</v>
      </c>
      <c r="H32" s="123" t="s">
        <v>525</v>
      </c>
      <c r="I32" s="127">
        <v>44957</v>
      </c>
      <c r="J32" s="124" t="s">
        <v>476</v>
      </c>
      <c r="K32" s="124" t="s">
        <v>1530</v>
      </c>
      <c r="L32" s="124"/>
      <c r="M32" s="125">
        <v>586500</v>
      </c>
      <c r="N32" s="148">
        <v>0</v>
      </c>
      <c r="O32" s="148">
        <v>0</v>
      </c>
      <c r="P32" s="149">
        <v>0</v>
      </c>
      <c r="Q32" s="148">
        <v>0</v>
      </c>
      <c r="R32" s="150">
        <v>586500</v>
      </c>
      <c r="S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" s="135">
        <f ca="1">+IF(PROVEEDORES[[#This Row],[FECHA DE PAGO]]=0,TODAY()-PROVEEDORES[[#This Row],[FECHA DE FACTURACIÓN]]-PROVEEDORES[[#This Row],[PLAZO Días]],0)</f>
        <v>0</v>
      </c>
      <c r="U32" s="135">
        <f>+VLOOKUP(PROVEEDORES[[#This Row],[PROVEEDOR]],Terceros!$A:$D,4,FALSE)</f>
        <v>0</v>
      </c>
      <c r="V32" s="135">
        <f>+YEAR(PROVEEDORES[[#This Row],[FECHA DE FACTURACIÓN]])</f>
        <v>2023</v>
      </c>
      <c r="W32" s="135">
        <f>+MATCH(PROVEEDORES[[#This Row],[año facturado]],Retenciones!$1:$1,0)</f>
        <v>6</v>
      </c>
      <c r="X32" s="136">
        <f>+VLOOKUP(PROVEEDORES[[#This Row],[ID RETENCION]],Retenciones!$A$1:$O$25,PROVEEDORES[[#This Row],[indicador de columna]],FALSE)</f>
        <v>0</v>
      </c>
      <c r="Y32" s="137">
        <f>+VLOOKUP(PROVEEDORES[[#This Row],[ID RETENCION]],Retenciones!$A$1:$O$25,2,FALSE)</f>
        <v>0</v>
      </c>
      <c r="Z32" s="126" t="b">
        <f>+OR(COUNTIF(PROVEEDORES[[#This Row],[PROVEEDOR]],"*"&amp;'Palabra que no opera y Listas d'!$A$2&amp;"*"))</f>
        <v>0</v>
      </c>
    </row>
    <row r="33" spans="1:26" ht="27.75" customHeight="1" x14ac:dyDescent="0.25">
      <c r="A33" s="141" t="str">
        <f>+IF(PROVEEDORES[[#This Row],[FECHA DE PAGO]]=PROVEEDORES[[#This Row],[FECHA DE FACTURACIÓN]],"DE CONTADO","CRÉDITO")</f>
        <v>DE CONTADO</v>
      </c>
      <c r="B33" s="138" t="b">
        <f>+IF((PROVEEDORES[[#This Row],[FECHA DE PAGO]]-PROVEEDORES[[#This Row],[FECHA DE FACTURACIÓN]])&gt;PROVEEDORES[[#This Row],[PLAZO Días]],"PAGO VENCIDO")</f>
        <v>0</v>
      </c>
      <c r="C33" s="138">
        <f>+VLOOKUP(PROVEEDORES[[#This Row],[PROVEEDOR]],TERCEROS_INFO[#All],2,FALSE)</f>
        <v>30</v>
      </c>
      <c r="D33" s="139">
        <f>+SUMIFS(PROVEEDORES[Total],PROVEEDORES[PROVEEDOR],PROVEEDORES[[#This Row],[PROVEEDOR]],PROVEEDORES[FECHA DE PAGO],"")</f>
        <v>0</v>
      </c>
      <c r="E33" s="140"/>
      <c r="F33" s="138" t="str">
        <f>+VLOOKUP(PROVEEDORES[[#This Row],[PROVEEDOR]],
                       Terceros!$A:$F,
                       5,
                       FALSE)</f>
        <v/>
      </c>
      <c r="G33" s="127">
        <v>44957</v>
      </c>
      <c r="H33" s="123" t="s">
        <v>525</v>
      </c>
      <c r="I33" s="127">
        <v>44957</v>
      </c>
      <c r="J33" s="124" t="s">
        <v>477</v>
      </c>
      <c r="K33" s="124" t="s">
        <v>1530</v>
      </c>
      <c r="L33" s="124"/>
      <c r="M33" s="125">
        <v>1979300</v>
      </c>
      <c r="N33" s="148">
        <v>0</v>
      </c>
      <c r="O33" s="148">
        <v>0</v>
      </c>
      <c r="P33" s="149">
        <v>0</v>
      </c>
      <c r="Q33" s="148">
        <v>0</v>
      </c>
      <c r="R33" s="150">
        <v>1979300</v>
      </c>
      <c r="S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" s="135">
        <f ca="1">+IF(PROVEEDORES[[#This Row],[FECHA DE PAGO]]=0,TODAY()-PROVEEDORES[[#This Row],[FECHA DE FACTURACIÓN]]-PROVEEDORES[[#This Row],[PLAZO Días]],0)</f>
        <v>0</v>
      </c>
      <c r="U33" s="135">
        <f>+VLOOKUP(PROVEEDORES[[#This Row],[PROVEEDOR]],Terceros!$A:$D,4,FALSE)</f>
        <v>0</v>
      </c>
      <c r="V33" s="135">
        <f>+YEAR(PROVEEDORES[[#This Row],[FECHA DE FACTURACIÓN]])</f>
        <v>2023</v>
      </c>
      <c r="W33" s="135">
        <f>+MATCH(PROVEEDORES[[#This Row],[año facturado]],Retenciones!$1:$1,0)</f>
        <v>6</v>
      </c>
      <c r="X33" s="136">
        <f>+VLOOKUP(PROVEEDORES[[#This Row],[ID RETENCION]],Retenciones!$A$1:$O$25,PROVEEDORES[[#This Row],[indicador de columna]],FALSE)</f>
        <v>0</v>
      </c>
      <c r="Y33" s="137">
        <f>+VLOOKUP(PROVEEDORES[[#This Row],[ID RETENCION]],Retenciones!$A$1:$O$25,2,FALSE)</f>
        <v>0</v>
      </c>
      <c r="Z33" s="126" t="b">
        <f>+OR(COUNTIF(PROVEEDORES[[#This Row],[PROVEEDOR]],"*"&amp;'Palabra que no opera y Listas d'!$A$2&amp;"*"))</f>
        <v>0</v>
      </c>
    </row>
    <row r="34" spans="1:26" ht="27.75" customHeight="1" x14ac:dyDescent="0.25">
      <c r="A34" s="141" t="str">
        <f>+IF(PROVEEDORES[[#This Row],[FECHA DE PAGO]]=PROVEEDORES[[#This Row],[FECHA DE FACTURACIÓN]],"DE CONTADO","CRÉDITO")</f>
        <v>CRÉDITO</v>
      </c>
      <c r="B34" s="138" t="b">
        <f>+IF((PROVEEDORES[[#This Row],[FECHA DE PAGO]]-PROVEEDORES[[#This Row],[FECHA DE FACTURACIÓN]])&gt;PROVEEDORES[[#This Row],[PLAZO Días]],"PAGO VENCIDO")</f>
        <v>0</v>
      </c>
      <c r="C34" s="138">
        <f>+VLOOKUP(PROVEEDORES[[#This Row],[PROVEEDOR]],TERCEROS_INFO[#All],2,FALSE)</f>
        <v>30</v>
      </c>
      <c r="D34" s="139">
        <f>+SUMIFS(PROVEEDORES[Total],PROVEEDORES[PROVEEDOR],PROVEEDORES[[#This Row],[PROVEEDOR]],PROVEEDORES[FECHA DE PAGO],"")</f>
        <v>0</v>
      </c>
      <c r="E34" s="140"/>
      <c r="F34" s="138" t="str">
        <f>+VLOOKUP(PROVEEDORES[[#This Row],[PROVEEDOR]],
                       Terceros!$A:$F,
                       5,
                       FALSE)</f>
        <v>PSE</v>
      </c>
      <c r="G34" s="127">
        <v>44958</v>
      </c>
      <c r="H34" s="123" t="s">
        <v>388</v>
      </c>
      <c r="I34" s="127">
        <v>44931</v>
      </c>
      <c r="J34" s="124" t="s">
        <v>516</v>
      </c>
      <c r="K34" s="124" t="s">
        <v>1530</v>
      </c>
      <c r="L34" s="124"/>
      <c r="M34" s="125">
        <v>398800</v>
      </c>
      <c r="N34" s="148">
        <v>75772</v>
      </c>
      <c r="O34" s="148">
        <v>0</v>
      </c>
      <c r="P34" s="149">
        <v>0</v>
      </c>
      <c r="Q34" s="148">
        <v>0</v>
      </c>
      <c r="R34" s="150">
        <v>474572</v>
      </c>
      <c r="S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" s="135">
        <f ca="1">+IF(PROVEEDORES[[#This Row],[FECHA DE PAGO]]=0,TODAY()-PROVEEDORES[[#This Row],[FECHA DE FACTURACIÓN]]-PROVEEDORES[[#This Row],[PLAZO Días]],0)</f>
        <v>0</v>
      </c>
      <c r="U34" s="135">
        <f>+VLOOKUP(PROVEEDORES[[#This Row],[PROVEEDOR]],Terceros!$A:$D,4,FALSE)</f>
        <v>0</v>
      </c>
      <c r="V34" s="135">
        <f>+YEAR(PROVEEDORES[[#This Row],[FECHA DE FACTURACIÓN]])</f>
        <v>2023</v>
      </c>
      <c r="W34" s="135">
        <f>+MATCH(PROVEEDORES[[#This Row],[año facturado]],Retenciones!$1:$1,0)</f>
        <v>6</v>
      </c>
      <c r="X34" s="136">
        <f>+VLOOKUP(PROVEEDORES[[#This Row],[ID RETENCION]],Retenciones!$A$1:$O$25,PROVEEDORES[[#This Row],[indicador de columna]],FALSE)</f>
        <v>0</v>
      </c>
      <c r="Y34" s="137">
        <f>+VLOOKUP(PROVEEDORES[[#This Row],[ID RETENCION]],Retenciones!$A$1:$O$25,2,FALSE)</f>
        <v>0</v>
      </c>
      <c r="Z34" s="126" t="b">
        <f>+OR(COUNTIF(PROVEEDORES[[#This Row],[PROVEEDOR]],"*"&amp;'Palabra que no opera y Listas d'!$A$2&amp;"*"))</f>
        <v>1</v>
      </c>
    </row>
    <row r="35" spans="1:26" ht="27.75" customHeight="1" x14ac:dyDescent="0.25">
      <c r="A35" s="141" t="str">
        <f>+IF(PROVEEDORES[[#This Row],[FECHA DE PAGO]]=PROVEEDORES[[#This Row],[FECHA DE FACTURACIÓN]],"DE CONTADO","CRÉDITO")</f>
        <v>CRÉDITO</v>
      </c>
      <c r="B35" s="138" t="b">
        <f>+IF((PROVEEDORES[[#This Row],[FECHA DE PAGO]]-PROVEEDORES[[#This Row],[FECHA DE FACTURACIÓN]])&gt;PROVEEDORES[[#This Row],[PLAZO Días]],"PAGO VENCIDO")</f>
        <v>0</v>
      </c>
      <c r="C35" s="138">
        <f>+VLOOKUP(PROVEEDORES[[#This Row],[PROVEEDOR]],TERCEROS_INFO[#All],2,FALSE)</f>
        <v>30</v>
      </c>
      <c r="D35" s="139">
        <f>+SUMIFS(PROVEEDORES[Total],PROVEEDORES[PROVEEDOR],PROVEEDORES[[#This Row],[PROVEEDOR]],PROVEEDORES[FECHA DE PAGO],"")</f>
        <v>0</v>
      </c>
      <c r="E35" s="140"/>
      <c r="F35" s="138" t="str">
        <f>+VLOOKUP(PROVEEDORES[[#This Row],[PROVEEDOR]],
                       Terceros!$A:$F,
                       5,
                       FALSE)</f>
        <v/>
      </c>
      <c r="G35" s="127">
        <v>44960</v>
      </c>
      <c r="H35" s="123" t="s">
        <v>481</v>
      </c>
      <c r="I35" s="127">
        <v>44959</v>
      </c>
      <c r="J35" s="124">
        <v>2785</v>
      </c>
      <c r="K35" s="124" t="s">
        <v>1530</v>
      </c>
      <c r="L35" s="124"/>
      <c r="M35" s="125">
        <v>1814000</v>
      </c>
      <c r="N35" s="148">
        <v>0</v>
      </c>
      <c r="O35" s="148">
        <v>0</v>
      </c>
      <c r="P35" s="149">
        <v>0</v>
      </c>
      <c r="Q35" s="148">
        <v>0</v>
      </c>
      <c r="R35" s="150">
        <v>1814000</v>
      </c>
      <c r="S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" s="135">
        <f ca="1">+IF(PROVEEDORES[[#This Row],[FECHA DE PAGO]]=0,TODAY()-PROVEEDORES[[#This Row],[FECHA DE FACTURACIÓN]]-PROVEEDORES[[#This Row],[PLAZO Días]],0)</f>
        <v>0</v>
      </c>
      <c r="U35" s="135">
        <f>+VLOOKUP(PROVEEDORES[[#This Row],[PROVEEDOR]],Terceros!$A:$D,4,FALSE)</f>
        <v>0</v>
      </c>
      <c r="V35" s="135">
        <f>+YEAR(PROVEEDORES[[#This Row],[FECHA DE FACTURACIÓN]])</f>
        <v>2023</v>
      </c>
      <c r="W35" s="135">
        <f>+MATCH(PROVEEDORES[[#This Row],[año facturado]],Retenciones!$1:$1,0)</f>
        <v>6</v>
      </c>
      <c r="X35" s="136">
        <f>+VLOOKUP(PROVEEDORES[[#This Row],[ID RETENCION]],Retenciones!$A$1:$O$25,PROVEEDORES[[#This Row],[indicador de columna]],FALSE)</f>
        <v>0</v>
      </c>
      <c r="Y35" s="137">
        <f>+VLOOKUP(PROVEEDORES[[#This Row],[ID RETENCION]],Retenciones!$A$1:$O$25,2,FALSE)</f>
        <v>0</v>
      </c>
      <c r="Z35" s="126" t="b">
        <f>+OR(COUNTIF(PROVEEDORES[[#This Row],[PROVEEDOR]],"*"&amp;'Palabra que no opera y Listas d'!$A$2&amp;"*"))</f>
        <v>0</v>
      </c>
    </row>
    <row r="36" spans="1:26" ht="27.75" customHeight="1" x14ac:dyDescent="0.25">
      <c r="A36" s="141" t="str">
        <f>+IF(PROVEEDORES[[#This Row],[FECHA DE PAGO]]=PROVEEDORES[[#This Row],[FECHA DE FACTURACIÓN]],"DE CONTADO","CRÉDITO")</f>
        <v>CRÉDITO</v>
      </c>
      <c r="B36" s="138" t="b">
        <f>+IF((PROVEEDORES[[#This Row],[FECHA DE PAGO]]-PROVEEDORES[[#This Row],[FECHA DE FACTURACIÓN]])&gt;PROVEEDORES[[#This Row],[PLAZO Días]],"PAGO VENCIDO")</f>
        <v>0</v>
      </c>
      <c r="C36" s="138">
        <f>+VLOOKUP(PROVEEDORES[[#This Row],[PROVEEDOR]],TERCEROS_INFO[#All],2,FALSE)</f>
        <v>30</v>
      </c>
      <c r="D36" s="139">
        <f>+SUMIFS(PROVEEDORES[Total],PROVEEDORES[PROVEEDOR],PROVEEDORES[[#This Row],[PROVEEDOR]],PROVEEDORES[FECHA DE PAGO],"")</f>
        <v>0</v>
      </c>
      <c r="E36" s="140"/>
      <c r="F36" s="138" t="str">
        <f>+VLOOKUP(PROVEEDORES[[#This Row],[PROVEEDOR]],
                       Terceros!$A:$F,
                       5,
                       FALSE)</f>
        <v/>
      </c>
      <c r="G36" s="127">
        <v>44964</v>
      </c>
      <c r="H36" s="123" t="s">
        <v>481</v>
      </c>
      <c r="I36" s="127">
        <v>44963</v>
      </c>
      <c r="J36" s="124">
        <v>2791</v>
      </c>
      <c r="K36" s="124" t="s">
        <v>1530</v>
      </c>
      <c r="L36" s="124"/>
      <c r="M36" s="125">
        <v>2470000</v>
      </c>
      <c r="N36" s="148">
        <v>0</v>
      </c>
      <c r="O36" s="148">
        <v>0</v>
      </c>
      <c r="P36" s="149">
        <v>0</v>
      </c>
      <c r="Q36" s="148">
        <v>0</v>
      </c>
      <c r="R36" s="150">
        <v>2470000</v>
      </c>
      <c r="S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" s="135">
        <f ca="1">+IF(PROVEEDORES[[#This Row],[FECHA DE PAGO]]=0,TODAY()-PROVEEDORES[[#This Row],[FECHA DE FACTURACIÓN]]-PROVEEDORES[[#This Row],[PLAZO Días]],0)</f>
        <v>0</v>
      </c>
      <c r="U36" s="135">
        <f>+VLOOKUP(PROVEEDORES[[#This Row],[PROVEEDOR]],Terceros!$A:$D,4,FALSE)</f>
        <v>0</v>
      </c>
      <c r="V36" s="135">
        <f>+YEAR(PROVEEDORES[[#This Row],[FECHA DE FACTURACIÓN]])</f>
        <v>2023</v>
      </c>
      <c r="W36" s="135">
        <f>+MATCH(PROVEEDORES[[#This Row],[año facturado]],Retenciones!$1:$1,0)</f>
        <v>6</v>
      </c>
      <c r="X36" s="136">
        <f>+VLOOKUP(PROVEEDORES[[#This Row],[ID RETENCION]],Retenciones!$A$1:$O$25,PROVEEDORES[[#This Row],[indicador de columna]],FALSE)</f>
        <v>0</v>
      </c>
      <c r="Y36" s="137">
        <f>+VLOOKUP(PROVEEDORES[[#This Row],[ID RETENCION]],Retenciones!$A$1:$O$25,2,FALSE)</f>
        <v>0</v>
      </c>
      <c r="Z36" s="126" t="b">
        <f>+OR(COUNTIF(PROVEEDORES[[#This Row],[PROVEEDOR]],"*"&amp;'Palabra que no opera y Listas d'!$A$2&amp;"*"))</f>
        <v>0</v>
      </c>
    </row>
    <row r="37" spans="1:26" ht="27.75" customHeight="1" x14ac:dyDescent="0.25">
      <c r="A37" s="141" t="str">
        <f>+IF(PROVEEDORES[[#This Row],[FECHA DE PAGO]]=PROVEEDORES[[#This Row],[FECHA DE FACTURACIÓN]],"DE CONTADO","CRÉDITO")</f>
        <v>CRÉDITO</v>
      </c>
      <c r="B37" s="138" t="str">
        <f>+IF((PROVEEDORES[[#This Row],[FECHA DE PAGO]]-PROVEEDORES[[#This Row],[FECHA DE FACTURACIÓN]])&gt;PROVEEDORES[[#This Row],[PLAZO Días]],"PAGO VENCIDO")</f>
        <v>PAGO VENCIDO</v>
      </c>
      <c r="C37" s="138">
        <f>+VLOOKUP(PROVEEDORES[[#This Row],[PROVEEDOR]],TERCEROS_INFO[#All],2,FALSE)</f>
        <v>0</v>
      </c>
      <c r="D37" s="139">
        <f>+SUMIFS(PROVEEDORES[Total],PROVEEDORES[PROVEEDOR],PROVEEDORES[[#This Row],[PROVEEDOR]],PROVEEDORES[FECHA DE PAGO],"")</f>
        <v>0</v>
      </c>
      <c r="E37" s="140"/>
      <c r="F37" s="138" t="str">
        <f>+VLOOKUP(PROVEEDORES[[#This Row],[PROVEEDOR]],
                       Terceros!$A:$F,
                       5,
                       FALSE)</f>
        <v>contabilidad@comercialweb.com.co;info@servipilas.com</v>
      </c>
      <c r="G37" s="127">
        <v>44966</v>
      </c>
      <c r="H37" s="123" t="s">
        <v>560</v>
      </c>
      <c r="I37" s="127">
        <v>44958</v>
      </c>
      <c r="J37" s="124">
        <v>1536</v>
      </c>
      <c r="K37" s="124" t="s">
        <v>1530</v>
      </c>
      <c r="L37" s="124"/>
      <c r="M37" s="125">
        <v>600000</v>
      </c>
      <c r="N37" s="148">
        <v>0</v>
      </c>
      <c r="O37" s="148">
        <v>0</v>
      </c>
      <c r="P37" s="149">
        <v>0</v>
      </c>
      <c r="Q37" s="148">
        <v>0</v>
      </c>
      <c r="R37" s="150">
        <v>600000</v>
      </c>
      <c r="S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" s="135">
        <f ca="1">+IF(PROVEEDORES[[#This Row],[FECHA DE PAGO]]=0,TODAY()-PROVEEDORES[[#This Row],[FECHA DE FACTURACIÓN]]-PROVEEDORES[[#This Row],[PLAZO Días]],0)</f>
        <v>0</v>
      </c>
      <c r="U37" s="135">
        <f>+VLOOKUP(PROVEEDORES[[#This Row],[PROVEEDOR]],Terceros!$A:$D,4,FALSE)</f>
        <v>0</v>
      </c>
      <c r="V37" s="135">
        <f>+YEAR(PROVEEDORES[[#This Row],[FECHA DE FACTURACIÓN]])</f>
        <v>2023</v>
      </c>
      <c r="W37" s="135">
        <f>+MATCH(PROVEEDORES[[#This Row],[año facturado]],Retenciones!$1:$1,0)</f>
        <v>6</v>
      </c>
      <c r="X37" s="136">
        <f>+VLOOKUP(PROVEEDORES[[#This Row],[ID RETENCION]],Retenciones!$A$1:$O$25,PROVEEDORES[[#This Row],[indicador de columna]],FALSE)</f>
        <v>0</v>
      </c>
      <c r="Y37" s="137">
        <f>+VLOOKUP(PROVEEDORES[[#This Row],[ID RETENCION]],Retenciones!$A$1:$O$25,2,FALSE)</f>
        <v>0</v>
      </c>
      <c r="Z37" s="126" t="b">
        <f>+OR(COUNTIF(PROVEEDORES[[#This Row],[PROVEEDOR]],"*"&amp;'Palabra que no opera y Listas d'!$A$2&amp;"*"))</f>
        <v>1</v>
      </c>
    </row>
    <row r="38" spans="1:26" ht="27.75" customHeight="1" x14ac:dyDescent="0.25">
      <c r="A38" s="141" t="str">
        <f>+IF(PROVEEDORES[[#This Row],[FECHA DE PAGO]]=PROVEEDORES[[#This Row],[FECHA DE FACTURACIÓN]],"DE CONTADO","CRÉDITO")</f>
        <v>CRÉDITO</v>
      </c>
      <c r="B38" s="138" t="b">
        <f>+IF((PROVEEDORES[[#This Row],[FECHA DE PAGO]]-PROVEEDORES[[#This Row],[FECHA DE FACTURACIÓN]])&gt;PROVEEDORES[[#This Row],[PLAZO Días]],"PAGO VENCIDO")</f>
        <v>0</v>
      </c>
      <c r="C38" s="138">
        <f>+VLOOKUP(PROVEEDORES[[#This Row],[PROVEEDOR]],TERCEROS_INFO[#All],2,FALSE)</f>
        <v>30</v>
      </c>
      <c r="D38" s="139">
        <f>+SUMIFS(PROVEEDORES[Total],PROVEEDORES[PROVEEDOR],PROVEEDORES[[#This Row],[PROVEEDOR]],PROVEEDORES[FECHA DE PAGO],"")</f>
        <v>0</v>
      </c>
      <c r="E38" s="140"/>
      <c r="F38" s="138" t="str">
        <f>+VLOOKUP(PROVEEDORES[[#This Row],[PROVEEDOR]],
                       Terceros!$A:$F,
                       5,
                       FALSE)</f>
        <v/>
      </c>
      <c r="G38" s="127">
        <v>44966</v>
      </c>
      <c r="H38" s="123" t="s">
        <v>481</v>
      </c>
      <c r="I38" s="127">
        <v>44965</v>
      </c>
      <c r="J38" s="124" t="s">
        <v>595</v>
      </c>
      <c r="K38" s="124" t="s">
        <v>1530</v>
      </c>
      <c r="L38" s="124"/>
      <c r="M38" s="125">
        <v>2710000</v>
      </c>
      <c r="N38" s="148">
        <v>0</v>
      </c>
      <c r="O38" s="148">
        <v>0</v>
      </c>
      <c r="P38" s="149">
        <v>0</v>
      </c>
      <c r="Q38" s="148">
        <v>0</v>
      </c>
      <c r="R38" s="150">
        <v>2710000</v>
      </c>
      <c r="S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" s="135">
        <f ca="1">+IF(PROVEEDORES[[#This Row],[FECHA DE PAGO]]=0,TODAY()-PROVEEDORES[[#This Row],[FECHA DE FACTURACIÓN]]-PROVEEDORES[[#This Row],[PLAZO Días]],0)</f>
        <v>0</v>
      </c>
      <c r="U38" s="135">
        <f>+VLOOKUP(PROVEEDORES[[#This Row],[PROVEEDOR]],Terceros!$A:$D,4,FALSE)</f>
        <v>0</v>
      </c>
      <c r="V38" s="135">
        <f>+YEAR(PROVEEDORES[[#This Row],[FECHA DE FACTURACIÓN]])</f>
        <v>2023</v>
      </c>
      <c r="W38" s="135">
        <f>+MATCH(PROVEEDORES[[#This Row],[año facturado]],Retenciones!$1:$1,0)</f>
        <v>6</v>
      </c>
      <c r="X38" s="136">
        <f>+VLOOKUP(PROVEEDORES[[#This Row],[ID RETENCION]],Retenciones!$A$1:$O$25,PROVEEDORES[[#This Row],[indicador de columna]],FALSE)</f>
        <v>0</v>
      </c>
      <c r="Y38" s="137">
        <f>+VLOOKUP(PROVEEDORES[[#This Row],[ID RETENCION]],Retenciones!$A$1:$O$25,2,FALSE)</f>
        <v>0</v>
      </c>
      <c r="Z38" s="126" t="b">
        <f>+OR(COUNTIF(PROVEEDORES[[#This Row],[PROVEEDOR]],"*"&amp;'Palabra que no opera y Listas d'!$A$2&amp;"*"))</f>
        <v>0</v>
      </c>
    </row>
    <row r="39" spans="1:26" ht="27.75" customHeight="1" x14ac:dyDescent="0.25">
      <c r="A39" s="141" t="str">
        <f>+IF(PROVEEDORES[[#This Row],[FECHA DE PAGO]]=PROVEEDORES[[#This Row],[FECHA DE FACTURACIÓN]],"DE CONTADO","CRÉDITO")</f>
        <v>DE CONTADO</v>
      </c>
      <c r="B39" s="138" t="b">
        <f>+IF((PROVEEDORES[[#This Row],[FECHA DE PAGO]]-PROVEEDORES[[#This Row],[FECHA DE FACTURACIÓN]])&gt;PROVEEDORES[[#This Row],[PLAZO Días]],"PAGO VENCIDO")</f>
        <v>0</v>
      </c>
      <c r="C39" s="138">
        <f>+VLOOKUP(PROVEEDORES[[#This Row],[PROVEEDOR]],TERCEROS_INFO[#All],2,FALSE)</f>
        <v>30</v>
      </c>
      <c r="D39" s="139">
        <f>+SUMIFS(PROVEEDORES[Total],PROVEEDORES[PROVEEDOR],PROVEEDORES[[#This Row],[PROVEEDOR]],PROVEEDORES[FECHA DE PAGO],"")</f>
        <v>0</v>
      </c>
      <c r="E39" s="140"/>
      <c r="F39" s="138" t="str">
        <f>+VLOOKUP(PROVEEDORES[[#This Row],[PROVEEDOR]],
                       Terceros!$A:$F,
                       5,
                       FALSE)</f>
        <v/>
      </c>
      <c r="G39" s="127">
        <v>44967</v>
      </c>
      <c r="H39" s="123" t="s">
        <v>525</v>
      </c>
      <c r="I39" s="127">
        <v>44967</v>
      </c>
      <c r="J39" s="124" t="s">
        <v>601</v>
      </c>
      <c r="K39" s="124" t="s">
        <v>1530</v>
      </c>
      <c r="L39" s="124"/>
      <c r="M39" s="125">
        <v>578000</v>
      </c>
      <c r="N39" s="148">
        <v>0</v>
      </c>
      <c r="O39" s="148">
        <v>0</v>
      </c>
      <c r="P39" s="149">
        <v>0</v>
      </c>
      <c r="Q39" s="148">
        <v>0</v>
      </c>
      <c r="R39" s="150">
        <v>578000</v>
      </c>
      <c r="S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" s="135">
        <f ca="1">+IF(PROVEEDORES[[#This Row],[FECHA DE PAGO]]=0,TODAY()-PROVEEDORES[[#This Row],[FECHA DE FACTURACIÓN]]-PROVEEDORES[[#This Row],[PLAZO Días]],0)</f>
        <v>0</v>
      </c>
      <c r="U39" s="135">
        <f>+VLOOKUP(PROVEEDORES[[#This Row],[PROVEEDOR]],Terceros!$A:$D,4,FALSE)</f>
        <v>0</v>
      </c>
      <c r="V39" s="135">
        <f>+YEAR(PROVEEDORES[[#This Row],[FECHA DE FACTURACIÓN]])</f>
        <v>2023</v>
      </c>
      <c r="W39" s="135">
        <f>+MATCH(PROVEEDORES[[#This Row],[año facturado]],Retenciones!$1:$1,0)</f>
        <v>6</v>
      </c>
      <c r="X39" s="136">
        <f>+VLOOKUP(PROVEEDORES[[#This Row],[ID RETENCION]],Retenciones!$A$1:$O$25,PROVEEDORES[[#This Row],[indicador de columna]],FALSE)</f>
        <v>0</v>
      </c>
      <c r="Y39" s="137">
        <f>+VLOOKUP(PROVEEDORES[[#This Row],[ID RETENCION]],Retenciones!$A$1:$O$25,2,FALSE)</f>
        <v>0</v>
      </c>
      <c r="Z39" s="126" t="b">
        <f>+OR(COUNTIF(PROVEEDORES[[#This Row],[PROVEEDOR]],"*"&amp;'Palabra que no opera y Listas d'!$A$2&amp;"*"))</f>
        <v>0</v>
      </c>
    </row>
    <row r="40" spans="1:26" ht="27.75" customHeight="1" x14ac:dyDescent="0.25">
      <c r="A40" s="141" t="str">
        <f>+IF(PROVEEDORES[[#This Row],[FECHA DE PAGO]]=PROVEEDORES[[#This Row],[FECHA DE FACTURACIÓN]],"DE CONTADO","CRÉDITO")</f>
        <v>CRÉDITO</v>
      </c>
      <c r="B40" s="138" t="str">
        <f>+IF((PROVEEDORES[[#This Row],[FECHA DE PAGO]]-PROVEEDORES[[#This Row],[FECHA DE FACTURACIÓN]])&gt;PROVEEDORES[[#This Row],[PLAZO Días]],"PAGO VENCIDO")</f>
        <v>PAGO VENCIDO</v>
      </c>
      <c r="C40" s="138">
        <f>+VLOOKUP(PROVEEDORES[[#This Row],[PROVEEDOR]],TERCEROS_INFO[#All],2,FALSE)</f>
        <v>30</v>
      </c>
      <c r="D40" s="139">
        <f>+SUMIFS(PROVEEDORES[Total],PROVEEDORES[PROVEEDOR],PROVEEDORES[[#This Row],[PROVEEDOR]],PROVEEDORES[FECHA DE PAGO],"")</f>
        <v>0</v>
      </c>
      <c r="E40" s="140"/>
      <c r="F40" s="138">
        <f>+VLOOKUP(PROVEEDORES[[#This Row],[PROVEEDOR]],
                       Terceros!$A:$F,
                       5,
                       FALSE)</f>
        <v>0</v>
      </c>
      <c r="G40" s="127">
        <v>44969</v>
      </c>
      <c r="H40" s="123" t="s">
        <v>1805</v>
      </c>
      <c r="I40" s="127">
        <v>44938</v>
      </c>
      <c r="J40" s="124">
        <v>348</v>
      </c>
      <c r="K40" s="124" t="s">
        <v>1530</v>
      </c>
      <c r="L40" s="124"/>
      <c r="M40" s="125">
        <v>1044000</v>
      </c>
      <c r="N40" s="148">
        <v>0</v>
      </c>
      <c r="O40" s="148">
        <v>0</v>
      </c>
      <c r="P40" s="149">
        <v>0</v>
      </c>
      <c r="Q40" s="148">
        <v>0</v>
      </c>
      <c r="R40" s="150">
        <v>1044000</v>
      </c>
      <c r="S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" s="135">
        <f ca="1">+IF(PROVEEDORES[[#This Row],[FECHA DE PAGO]]=0,TODAY()-PROVEEDORES[[#This Row],[FECHA DE FACTURACIÓN]]-PROVEEDORES[[#This Row],[PLAZO Días]],0)</f>
        <v>0</v>
      </c>
      <c r="U40" s="135">
        <f>+VLOOKUP(PROVEEDORES[[#This Row],[PROVEEDOR]],Terceros!$A:$D,4,FALSE)</f>
        <v>0</v>
      </c>
      <c r="V40" s="135">
        <f>+YEAR(PROVEEDORES[[#This Row],[FECHA DE FACTURACIÓN]])</f>
        <v>2023</v>
      </c>
      <c r="W40" s="135">
        <f>+MATCH(PROVEEDORES[[#This Row],[año facturado]],Retenciones!$1:$1,0)</f>
        <v>6</v>
      </c>
      <c r="X40" s="136">
        <f>+VLOOKUP(PROVEEDORES[[#This Row],[ID RETENCION]],Retenciones!$A$1:$O$25,PROVEEDORES[[#This Row],[indicador de columna]],FALSE)</f>
        <v>0</v>
      </c>
      <c r="Y40" s="137">
        <f>+VLOOKUP(PROVEEDORES[[#This Row],[ID RETENCION]],Retenciones!$A$1:$O$25,2,FALSE)</f>
        <v>0</v>
      </c>
      <c r="Z40" s="126" t="b">
        <f>+OR(COUNTIF(PROVEEDORES[[#This Row],[PROVEEDOR]],"*"&amp;'Palabra que no opera y Listas d'!$A$2&amp;"*"))</f>
        <v>0</v>
      </c>
    </row>
    <row r="41" spans="1:26" ht="27.75" customHeight="1" x14ac:dyDescent="0.25">
      <c r="A41" s="141" t="str">
        <f>+IF(PROVEEDORES[[#This Row],[FECHA DE PAGO]]=PROVEEDORES[[#This Row],[FECHA DE FACTURACIÓN]],"DE CONTADO","CRÉDITO")</f>
        <v>DE CONTADO</v>
      </c>
      <c r="B41" s="138" t="b">
        <f>+IF((PROVEEDORES[[#This Row],[FECHA DE PAGO]]-PROVEEDORES[[#This Row],[FECHA DE FACTURACIÓN]])&gt;PROVEEDORES[[#This Row],[PLAZO Días]],"PAGO VENCIDO")</f>
        <v>0</v>
      </c>
      <c r="C41" s="138">
        <f>+VLOOKUP(PROVEEDORES[[#This Row],[PROVEEDOR]],TERCEROS_INFO[#All],2,FALSE)</f>
        <v>30</v>
      </c>
      <c r="D41" s="139">
        <f>+SUMIFS(PROVEEDORES[Total],PROVEEDORES[PROVEEDOR],PROVEEDORES[[#This Row],[PROVEEDOR]],PROVEEDORES[FECHA DE PAGO],"")</f>
        <v>0</v>
      </c>
      <c r="E41" s="140"/>
      <c r="F41" s="138" t="str">
        <f>+VLOOKUP(PROVEEDORES[[#This Row],[PROVEEDOR]],
                       Terceros!$A:$F,
                       5,
                       FALSE)</f>
        <v>santiago.botero@apcmayorista.com;girlesa.ruiz@servipilas.com;joriescobar64@gmail.com</v>
      </c>
      <c r="G41" s="127">
        <v>44972</v>
      </c>
      <c r="H41" s="123" t="s">
        <v>428</v>
      </c>
      <c r="I41" s="127">
        <v>44972</v>
      </c>
      <c r="J41" s="124">
        <v>32185</v>
      </c>
      <c r="K41" s="124" t="s">
        <v>1530</v>
      </c>
      <c r="L41" s="124"/>
      <c r="M41" s="125">
        <v>1605723</v>
      </c>
      <c r="N41" s="148">
        <v>305087.37</v>
      </c>
      <c r="O41" s="148">
        <v>0</v>
      </c>
      <c r="P41" s="149">
        <v>2.5000000000000001E-2</v>
      </c>
      <c r="Q41" s="148">
        <v>40143.075000000004</v>
      </c>
      <c r="R41" s="150">
        <v>1870667.2950000002</v>
      </c>
      <c r="S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" s="135">
        <f ca="1">+IF(PROVEEDORES[[#This Row],[FECHA DE PAGO]]=0,TODAY()-PROVEEDORES[[#This Row],[FECHA DE FACTURACIÓN]]-PROVEEDORES[[#This Row],[PLAZO Días]],0)</f>
        <v>0</v>
      </c>
      <c r="U41" s="135" t="str">
        <f>+VLOOKUP(PROVEEDORES[[#This Row],[PROVEEDOR]],Terceros!$A:$D,4,FALSE)</f>
        <v>2,5% con base</v>
      </c>
      <c r="V41" s="135">
        <f>+YEAR(PROVEEDORES[[#This Row],[FECHA DE FACTURACIÓN]])</f>
        <v>2023</v>
      </c>
      <c r="W41" s="135">
        <f>+MATCH(PROVEEDORES[[#This Row],[año facturado]],Retenciones!$1:$1,0)</f>
        <v>6</v>
      </c>
      <c r="X41" s="136">
        <f>+VLOOKUP(PROVEEDORES[[#This Row],[ID RETENCION]],Retenciones!$A$1:$O$25,PROVEEDORES[[#This Row],[indicador de columna]],FALSE)</f>
        <v>1145000</v>
      </c>
      <c r="Y41" s="137">
        <f>+VLOOKUP(PROVEEDORES[[#This Row],[ID RETENCION]],Retenciones!$A$1:$O$25,2,FALSE)</f>
        <v>2.5000000000000001E-2</v>
      </c>
      <c r="Z41" s="126" t="b">
        <f>+OR(COUNTIF(PROVEEDORES[[#This Row],[PROVEEDOR]],"*"&amp;'Palabra que no opera y Listas d'!$A$2&amp;"*"))</f>
        <v>1</v>
      </c>
    </row>
    <row r="42" spans="1:26" ht="27.75" customHeight="1" x14ac:dyDescent="0.25">
      <c r="A42" s="141" t="str">
        <f>+IF(PROVEEDORES[[#This Row],[FECHA DE PAGO]]=PROVEEDORES[[#This Row],[FECHA DE FACTURACIÓN]],"DE CONTADO","CRÉDITO")</f>
        <v>DE CONTADO</v>
      </c>
      <c r="B42" s="138" t="b">
        <f>+IF((PROVEEDORES[[#This Row],[FECHA DE PAGO]]-PROVEEDORES[[#This Row],[FECHA DE FACTURACIÓN]])&gt;PROVEEDORES[[#This Row],[PLAZO Días]],"PAGO VENCIDO")</f>
        <v>0</v>
      </c>
      <c r="C42" s="138">
        <f>+VLOOKUP(PROVEEDORES[[#This Row],[PROVEEDOR]],TERCEROS_INFO[#All],2,FALSE)</f>
        <v>30</v>
      </c>
      <c r="D42" s="139">
        <f>+SUMIFS(PROVEEDORES[Total],PROVEEDORES[PROVEEDOR],PROVEEDORES[[#This Row],[PROVEEDOR]],PROVEEDORES[FECHA DE PAGO],"")</f>
        <v>5813868.5099999998</v>
      </c>
      <c r="E42" s="140"/>
      <c r="F42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42" s="127">
        <v>44972</v>
      </c>
      <c r="H42" s="123" t="s">
        <v>24</v>
      </c>
      <c r="I42" s="127">
        <v>44972</v>
      </c>
      <c r="J42" s="124" t="s">
        <v>581</v>
      </c>
      <c r="K42" s="124" t="s">
        <v>504</v>
      </c>
      <c r="L42" s="124"/>
      <c r="M42" s="125">
        <v>2122650</v>
      </c>
      <c r="N42" s="148">
        <v>403303.5</v>
      </c>
      <c r="O42" s="148">
        <v>0</v>
      </c>
      <c r="P42" s="149">
        <v>2.5000000000000001E-2</v>
      </c>
      <c r="Q42" s="148">
        <v>53066.25</v>
      </c>
      <c r="R42" s="150">
        <v>2472887.25</v>
      </c>
      <c r="S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" s="135">
        <f ca="1">+IF(PROVEEDORES[[#This Row],[FECHA DE PAGO]]=0,TODAY()-PROVEEDORES[[#This Row],[FECHA DE FACTURACIÓN]]-PROVEEDORES[[#This Row],[PLAZO Días]],0)</f>
        <v>0</v>
      </c>
      <c r="U42" s="135" t="str">
        <f>+VLOOKUP(PROVEEDORES[[#This Row],[PROVEEDOR]],Terceros!$A:$D,4,FALSE)</f>
        <v>2,5% con base</v>
      </c>
      <c r="V42" s="135">
        <f>+YEAR(PROVEEDORES[[#This Row],[FECHA DE FACTURACIÓN]])</f>
        <v>2023</v>
      </c>
      <c r="W42" s="135">
        <f>+MATCH(PROVEEDORES[[#This Row],[año facturado]],Retenciones!$1:$1,0)</f>
        <v>6</v>
      </c>
      <c r="X42" s="136">
        <f>+VLOOKUP(PROVEEDORES[[#This Row],[ID RETENCION]],Retenciones!$A$1:$O$25,PROVEEDORES[[#This Row],[indicador de columna]],FALSE)</f>
        <v>1145000</v>
      </c>
      <c r="Y42" s="137">
        <f>+VLOOKUP(PROVEEDORES[[#This Row],[ID RETENCION]],Retenciones!$A$1:$O$25,2,FALSE)</f>
        <v>2.5000000000000001E-2</v>
      </c>
      <c r="Z42" s="126" t="b">
        <f>+OR(COUNTIF(PROVEEDORES[[#This Row],[PROVEEDOR]],"*"&amp;'Palabra que no opera y Listas d'!$A$2&amp;"*"))</f>
        <v>0</v>
      </c>
    </row>
    <row r="43" spans="1:26" ht="27.75" customHeight="1" x14ac:dyDescent="0.25">
      <c r="A43" s="141" t="str">
        <f>+IF(PROVEEDORES[[#This Row],[FECHA DE PAGO]]=PROVEEDORES[[#This Row],[FECHA DE FACTURACIÓN]],"DE CONTADO","CRÉDITO")</f>
        <v>DE CONTADO</v>
      </c>
      <c r="B43" s="138" t="b">
        <f>+IF((PROVEEDORES[[#This Row],[FECHA DE PAGO]]-PROVEEDORES[[#This Row],[FECHA DE FACTURACIÓN]])&gt;PROVEEDORES[[#This Row],[PLAZO Días]],"PAGO VENCIDO")</f>
        <v>0</v>
      </c>
      <c r="C43" s="138">
        <f>+VLOOKUP(PROVEEDORES[[#This Row],[PROVEEDOR]],TERCEROS_INFO[#All],2,FALSE)</f>
        <v>30</v>
      </c>
      <c r="D43" s="139">
        <f>+SUMIFS(PROVEEDORES[Total],PROVEEDORES[PROVEEDOR],PROVEEDORES[[#This Row],[PROVEEDOR]],PROVEEDORES[FECHA DE PAGO],"")</f>
        <v>0</v>
      </c>
      <c r="E43" s="140"/>
      <c r="F43" s="138">
        <f>+VLOOKUP(PROVEEDORES[[#This Row],[PROVEEDOR]],
                       Terceros!$A:$F,
                       5,
                       FALSE)</f>
        <v>0</v>
      </c>
      <c r="G43" s="127">
        <v>44973</v>
      </c>
      <c r="H43" s="123" t="s">
        <v>496</v>
      </c>
      <c r="I43" s="127">
        <v>44973</v>
      </c>
      <c r="J43" s="124">
        <v>1378</v>
      </c>
      <c r="K43" s="124" t="s">
        <v>1530</v>
      </c>
      <c r="L43" s="124"/>
      <c r="M43" s="125">
        <v>361345</v>
      </c>
      <c r="N43" s="148">
        <v>68655.55</v>
      </c>
      <c r="O43" s="148">
        <v>0</v>
      </c>
      <c r="P43" s="149">
        <v>0</v>
      </c>
      <c r="Q43" s="148">
        <v>0</v>
      </c>
      <c r="R43" s="150">
        <v>430000.55</v>
      </c>
      <c r="S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" s="135">
        <f ca="1">+IF(PROVEEDORES[[#This Row],[FECHA DE PAGO]]=0,TODAY()-PROVEEDORES[[#This Row],[FECHA DE FACTURACIÓN]]-PROVEEDORES[[#This Row],[PLAZO Días]],0)</f>
        <v>0</v>
      </c>
      <c r="U43" s="135">
        <f>+VLOOKUP(PROVEEDORES[[#This Row],[PROVEEDOR]],Terceros!$A:$D,4,FALSE)</f>
        <v>0</v>
      </c>
      <c r="V43" s="135">
        <f>+YEAR(PROVEEDORES[[#This Row],[FECHA DE FACTURACIÓN]])</f>
        <v>2023</v>
      </c>
      <c r="W43" s="135">
        <f>+MATCH(PROVEEDORES[[#This Row],[año facturado]],Retenciones!$1:$1,0)</f>
        <v>6</v>
      </c>
      <c r="X43" s="136">
        <f>+VLOOKUP(PROVEEDORES[[#This Row],[ID RETENCION]],Retenciones!$A$1:$O$25,PROVEEDORES[[#This Row],[indicador de columna]],FALSE)</f>
        <v>0</v>
      </c>
      <c r="Y43" s="137">
        <f>+VLOOKUP(PROVEEDORES[[#This Row],[ID RETENCION]],Retenciones!$A$1:$O$25,2,FALSE)</f>
        <v>0</v>
      </c>
      <c r="Z43" s="126" t="b">
        <f>+OR(COUNTIF(PROVEEDORES[[#This Row],[PROVEEDOR]],"*"&amp;'Palabra que no opera y Listas d'!$A$2&amp;"*"))</f>
        <v>0</v>
      </c>
    </row>
    <row r="44" spans="1:26" ht="27.75" customHeight="1" x14ac:dyDescent="0.25">
      <c r="A44" s="141" t="str">
        <f>+IF(PROVEEDORES[[#This Row],[FECHA DE PAGO]]=PROVEEDORES[[#This Row],[FECHA DE FACTURACIÓN]],"DE CONTADO","CRÉDITO")</f>
        <v>CRÉDITO</v>
      </c>
      <c r="B44" s="138" t="b">
        <f>+IF((PROVEEDORES[[#This Row],[FECHA DE PAGO]]-PROVEEDORES[[#This Row],[FECHA DE FACTURACIÓN]])&gt;PROVEEDORES[[#This Row],[PLAZO Días]],"PAGO VENCIDO")</f>
        <v>0</v>
      </c>
      <c r="C44" s="138">
        <f>+VLOOKUP(PROVEEDORES[[#This Row],[PROVEEDOR]],TERCEROS_INFO[#All],2,FALSE)</f>
        <v>30</v>
      </c>
      <c r="D44" s="139">
        <f>+SUMIFS(PROVEEDORES[Total],PROVEEDORES[PROVEEDOR],PROVEEDORES[[#This Row],[PROVEEDOR]],PROVEEDORES[FECHA DE PAGO],"")</f>
        <v>0</v>
      </c>
      <c r="E44" s="140"/>
      <c r="F44" s="138" t="str">
        <f>+VLOOKUP(PROVEEDORES[[#This Row],[PROVEEDOR]],
                       Terceros!$A:$F,
                       5,
                       FALSE)</f>
        <v/>
      </c>
      <c r="G44" s="127">
        <v>44974</v>
      </c>
      <c r="H44" s="123" t="s">
        <v>481</v>
      </c>
      <c r="I44" s="127">
        <v>44972</v>
      </c>
      <c r="J44" s="124" t="s">
        <v>627</v>
      </c>
      <c r="K44" s="124" t="s">
        <v>1530</v>
      </c>
      <c r="L44" s="124"/>
      <c r="M44" s="125">
        <v>4760000</v>
      </c>
      <c r="N44" s="148">
        <v>0</v>
      </c>
      <c r="O44" s="148">
        <v>0</v>
      </c>
      <c r="P44" s="149">
        <v>0</v>
      </c>
      <c r="Q44" s="148">
        <v>0</v>
      </c>
      <c r="R44" s="150">
        <v>4760000</v>
      </c>
      <c r="S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" s="135">
        <f ca="1">+IF(PROVEEDORES[[#This Row],[FECHA DE PAGO]]=0,TODAY()-PROVEEDORES[[#This Row],[FECHA DE FACTURACIÓN]]-PROVEEDORES[[#This Row],[PLAZO Días]],0)</f>
        <v>0</v>
      </c>
      <c r="U44" s="135">
        <f>+VLOOKUP(PROVEEDORES[[#This Row],[PROVEEDOR]],Terceros!$A:$D,4,FALSE)</f>
        <v>0</v>
      </c>
      <c r="V44" s="135">
        <f>+YEAR(PROVEEDORES[[#This Row],[FECHA DE FACTURACIÓN]])</f>
        <v>2023</v>
      </c>
      <c r="W44" s="135">
        <f>+MATCH(PROVEEDORES[[#This Row],[año facturado]],Retenciones!$1:$1,0)</f>
        <v>6</v>
      </c>
      <c r="X44" s="136">
        <f>+VLOOKUP(PROVEEDORES[[#This Row],[ID RETENCION]],Retenciones!$A$1:$O$25,PROVEEDORES[[#This Row],[indicador de columna]],FALSE)</f>
        <v>0</v>
      </c>
      <c r="Y44" s="137">
        <f>+VLOOKUP(PROVEEDORES[[#This Row],[ID RETENCION]],Retenciones!$A$1:$O$25,2,FALSE)</f>
        <v>0</v>
      </c>
      <c r="Z44" s="126" t="b">
        <f>+OR(COUNTIF(PROVEEDORES[[#This Row],[PROVEEDOR]],"*"&amp;'Palabra que no opera y Listas d'!$A$2&amp;"*"))</f>
        <v>0</v>
      </c>
    </row>
    <row r="45" spans="1:26" ht="27.75" customHeight="1" x14ac:dyDescent="0.25">
      <c r="A45" s="141" t="str">
        <f>+IF(PROVEEDORES[[#This Row],[FECHA DE PAGO]]=PROVEEDORES[[#This Row],[FECHA DE FACTURACIÓN]],"DE CONTADO","CRÉDITO")</f>
        <v>CRÉDITO</v>
      </c>
      <c r="B45" s="138" t="str">
        <f>+IF((PROVEEDORES[[#This Row],[FECHA DE PAGO]]-PROVEEDORES[[#This Row],[FECHA DE FACTURACIÓN]])&gt;PROVEEDORES[[#This Row],[PLAZO Días]],"PAGO VENCIDO")</f>
        <v>PAGO VENCIDO</v>
      </c>
      <c r="C45" s="138">
        <f>+VLOOKUP(PROVEEDORES[[#This Row],[PROVEEDOR]],TERCEROS_INFO[#All],2,FALSE)</f>
        <v>30</v>
      </c>
      <c r="D45" s="139">
        <f>+SUMIFS(PROVEEDORES[Total],PROVEEDORES[PROVEEDOR],PROVEEDORES[[#This Row],[PROVEEDOR]],PROVEEDORES[FECHA DE PAGO],"")</f>
        <v>2095000</v>
      </c>
      <c r="E45" s="140"/>
      <c r="F45" s="13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45" s="127">
        <v>44977</v>
      </c>
      <c r="H45" s="123" t="s">
        <v>1804</v>
      </c>
      <c r="I45" s="127">
        <v>44932</v>
      </c>
      <c r="J45" s="124" t="s">
        <v>533</v>
      </c>
      <c r="K45" s="124" t="s">
        <v>1530</v>
      </c>
      <c r="L45" s="124"/>
      <c r="M45" s="125">
        <v>2300000</v>
      </c>
      <c r="N45" s="148">
        <v>0</v>
      </c>
      <c r="O45" s="148">
        <v>0</v>
      </c>
      <c r="P45" s="149">
        <v>0</v>
      </c>
      <c r="Q45" s="148">
        <v>0</v>
      </c>
      <c r="R45" s="150">
        <v>2300000</v>
      </c>
      <c r="S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" s="135">
        <f ca="1">+IF(PROVEEDORES[[#This Row],[FECHA DE PAGO]]=0,TODAY()-PROVEEDORES[[#This Row],[FECHA DE FACTURACIÓN]]-PROVEEDORES[[#This Row],[PLAZO Días]],0)</f>
        <v>0</v>
      </c>
      <c r="U45" s="135">
        <f>+VLOOKUP(PROVEEDORES[[#This Row],[PROVEEDOR]],Terceros!$A:$D,4,FALSE)</f>
        <v>0</v>
      </c>
      <c r="V45" s="135">
        <f>+YEAR(PROVEEDORES[[#This Row],[FECHA DE FACTURACIÓN]])</f>
        <v>2023</v>
      </c>
      <c r="W45" s="135">
        <f>+MATCH(PROVEEDORES[[#This Row],[año facturado]],Retenciones!$1:$1,0)</f>
        <v>6</v>
      </c>
      <c r="X45" s="136">
        <f>+VLOOKUP(PROVEEDORES[[#This Row],[ID RETENCION]],Retenciones!$A$1:$O$25,PROVEEDORES[[#This Row],[indicador de columna]],FALSE)</f>
        <v>0</v>
      </c>
      <c r="Y45" s="137">
        <f>+VLOOKUP(PROVEEDORES[[#This Row],[ID RETENCION]],Retenciones!$A$1:$O$25,2,FALSE)</f>
        <v>0</v>
      </c>
      <c r="Z45" s="126" t="b">
        <f>+OR(COUNTIF(PROVEEDORES[[#This Row],[PROVEEDOR]],"*"&amp;'Palabra que no opera y Listas d'!$A$2&amp;"*"))</f>
        <v>0</v>
      </c>
    </row>
    <row r="46" spans="1:26" ht="27.75" customHeight="1" x14ac:dyDescent="0.25">
      <c r="A46" s="141" t="str">
        <f>+IF(PROVEEDORES[[#This Row],[FECHA DE PAGO]]=PROVEEDORES[[#This Row],[FECHA DE FACTURACIÓN]],"DE CONTADO","CRÉDITO")</f>
        <v>CRÉDITO</v>
      </c>
      <c r="B46" s="138" t="b">
        <f>+IF((PROVEEDORES[[#This Row],[FECHA DE PAGO]]-PROVEEDORES[[#This Row],[FECHA DE FACTURACIÓN]])&gt;PROVEEDORES[[#This Row],[PLAZO Días]],"PAGO VENCIDO")</f>
        <v>0</v>
      </c>
      <c r="C46" s="138">
        <f>+VLOOKUP(PROVEEDORES[[#This Row],[PROVEEDOR]],TERCEROS_INFO[#All],2,FALSE)</f>
        <v>30</v>
      </c>
      <c r="D46" s="139">
        <f>+SUMIFS(PROVEEDORES[Total],PROVEEDORES[PROVEEDOR],PROVEEDORES[[#This Row],[PROVEEDOR]],PROVEEDORES[FECHA DE PAGO],"")</f>
        <v>352000</v>
      </c>
      <c r="E46" s="140"/>
      <c r="F46" s="138" t="str">
        <f>+VLOOKUP(PROVEEDORES[[#This Row],[PROVEEDOR]],
                       Terceros!$A:$F,
                       5,
                       FALSE)</f>
        <v/>
      </c>
      <c r="G46" s="127">
        <v>44977</v>
      </c>
      <c r="H46" s="123" t="s">
        <v>527</v>
      </c>
      <c r="I46" s="127">
        <v>44958</v>
      </c>
      <c r="J46" s="124">
        <v>32</v>
      </c>
      <c r="K46" s="124" t="s">
        <v>1530</v>
      </c>
      <c r="L46" s="124"/>
      <c r="M46" s="125">
        <v>70000</v>
      </c>
      <c r="N46" s="148">
        <v>0</v>
      </c>
      <c r="O46" s="148">
        <v>0</v>
      </c>
      <c r="P46" s="149">
        <v>0</v>
      </c>
      <c r="Q46" s="148">
        <v>0</v>
      </c>
      <c r="R46" s="150">
        <v>70000</v>
      </c>
      <c r="S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" s="135">
        <f ca="1">+IF(PROVEEDORES[[#This Row],[FECHA DE PAGO]]=0,TODAY()-PROVEEDORES[[#This Row],[FECHA DE FACTURACIÓN]]-PROVEEDORES[[#This Row],[PLAZO Días]],0)</f>
        <v>0</v>
      </c>
      <c r="U46" s="135">
        <f>+VLOOKUP(PROVEEDORES[[#This Row],[PROVEEDOR]],Terceros!$A:$D,4,FALSE)</f>
        <v>0</v>
      </c>
      <c r="V46" s="135">
        <f>+YEAR(PROVEEDORES[[#This Row],[FECHA DE FACTURACIÓN]])</f>
        <v>2023</v>
      </c>
      <c r="W46" s="135">
        <f>+MATCH(PROVEEDORES[[#This Row],[año facturado]],Retenciones!$1:$1,0)</f>
        <v>6</v>
      </c>
      <c r="X46" s="136">
        <f>+VLOOKUP(PROVEEDORES[[#This Row],[ID RETENCION]],Retenciones!$A$1:$O$25,PROVEEDORES[[#This Row],[indicador de columna]],FALSE)</f>
        <v>0</v>
      </c>
      <c r="Y46" s="137">
        <f>+VLOOKUP(PROVEEDORES[[#This Row],[ID RETENCION]],Retenciones!$A$1:$O$25,2,FALSE)</f>
        <v>0</v>
      </c>
      <c r="Z46" s="126" t="b">
        <f>+OR(COUNTIF(PROVEEDORES[[#This Row],[PROVEEDOR]],"*"&amp;'Palabra que no opera y Listas d'!$A$2&amp;"*"))</f>
        <v>0</v>
      </c>
    </row>
    <row r="47" spans="1:26" ht="27.75" customHeight="1" x14ac:dyDescent="0.25">
      <c r="A47" s="141" t="str">
        <f>+IF(PROVEEDORES[[#This Row],[FECHA DE PAGO]]=PROVEEDORES[[#This Row],[FECHA DE FACTURACIÓN]],"DE CONTADO","CRÉDITO")</f>
        <v>CRÉDITO</v>
      </c>
      <c r="B47" s="138" t="b">
        <f>+IF((PROVEEDORES[[#This Row],[FECHA DE PAGO]]-PROVEEDORES[[#This Row],[FECHA DE FACTURACIÓN]])&gt;PROVEEDORES[[#This Row],[PLAZO Días]],"PAGO VENCIDO")</f>
        <v>0</v>
      </c>
      <c r="C47" s="138">
        <f>+VLOOKUP(PROVEEDORES[[#This Row],[PROVEEDOR]],TERCEROS_INFO[#All],2,FALSE)</f>
        <v>30</v>
      </c>
      <c r="D47" s="139">
        <f>+SUMIFS(PROVEEDORES[Total],PROVEEDORES[PROVEEDOR],PROVEEDORES[[#This Row],[PROVEEDOR]],PROVEEDORES[FECHA DE PAGO],"")</f>
        <v>352000</v>
      </c>
      <c r="E47" s="140"/>
      <c r="F47" s="138" t="str">
        <f>+VLOOKUP(PROVEEDORES[[#This Row],[PROVEEDOR]],
                       Terceros!$A:$F,
                       5,
                       FALSE)</f>
        <v/>
      </c>
      <c r="G47" s="127">
        <v>44977</v>
      </c>
      <c r="H47" s="123" t="s">
        <v>527</v>
      </c>
      <c r="I47" s="127">
        <v>44958</v>
      </c>
      <c r="J47" s="124">
        <v>31</v>
      </c>
      <c r="K47" s="124" t="s">
        <v>1530</v>
      </c>
      <c r="L47" s="124"/>
      <c r="M47" s="125">
        <v>251000</v>
      </c>
      <c r="N47" s="148">
        <v>0</v>
      </c>
      <c r="O47" s="148">
        <v>0</v>
      </c>
      <c r="P47" s="149">
        <v>0</v>
      </c>
      <c r="Q47" s="148">
        <v>0</v>
      </c>
      <c r="R47" s="150">
        <v>251000</v>
      </c>
      <c r="S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" s="135">
        <f ca="1">+IF(PROVEEDORES[[#This Row],[FECHA DE PAGO]]=0,TODAY()-PROVEEDORES[[#This Row],[FECHA DE FACTURACIÓN]]-PROVEEDORES[[#This Row],[PLAZO Días]],0)</f>
        <v>0</v>
      </c>
      <c r="U47" s="135">
        <f>+VLOOKUP(PROVEEDORES[[#This Row],[PROVEEDOR]],Terceros!$A:$D,4,FALSE)</f>
        <v>0</v>
      </c>
      <c r="V47" s="135">
        <f>+YEAR(PROVEEDORES[[#This Row],[FECHA DE FACTURACIÓN]])</f>
        <v>2023</v>
      </c>
      <c r="W47" s="135">
        <f>+MATCH(PROVEEDORES[[#This Row],[año facturado]],Retenciones!$1:$1,0)</f>
        <v>6</v>
      </c>
      <c r="X47" s="136">
        <f>+VLOOKUP(PROVEEDORES[[#This Row],[ID RETENCION]],Retenciones!$A$1:$O$25,PROVEEDORES[[#This Row],[indicador de columna]],FALSE)</f>
        <v>0</v>
      </c>
      <c r="Y47" s="137">
        <f>+VLOOKUP(PROVEEDORES[[#This Row],[ID RETENCION]],Retenciones!$A$1:$O$25,2,FALSE)</f>
        <v>0</v>
      </c>
      <c r="Z47" s="126" t="b">
        <f>+OR(COUNTIF(PROVEEDORES[[#This Row],[PROVEEDOR]],"*"&amp;'Palabra que no opera y Listas d'!$A$2&amp;"*"))</f>
        <v>0</v>
      </c>
    </row>
    <row r="48" spans="1:26" ht="27.75" customHeight="1" x14ac:dyDescent="0.25">
      <c r="A48" s="141" t="str">
        <f>+IF(PROVEEDORES[[#This Row],[FECHA DE PAGO]]=PROVEEDORES[[#This Row],[FECHA DE FACTURACIÓN]],"DE CONTADO","CRÉDITO")</f>
        <v>CRÉDITO</v>
      </c>
      <c r="B48" s="138" t="b">
        <f>+IF((PROVEEDORES[[#This Row],[FECHA DE PAGO]]-PROVEEDORES[[#This Row],[FECHA DE FACTURACIÓN]])&gt;PROVEEDORES[[#This Row],[PLAZO Días]],"PAGO VENCIDO")</f>
        <v>0</v>
      </c>
      <c r="C48" s="138">
        <f>+VLOOKUP(PROVEEDORES[[#This Row],[PROVEEDOR]],TERCEROS_INFO[#All],2,FALSE)</f>
        <v>30</v>
      </c>
      <c r="D48" s="139">
        <f>+SUMIFS(PROVEEDORES[Total],PROVEEDORES[PROVEEDOR],PROVEEDORES[[#This Row],[PROVEEDOR]],PROVEEDORES[FECHA DE PAGO],"")</f>
        <v>352000</v>
      </c>
      <c r="E48" s="140"/>
      <c r="F48" s="138" t="str">
        <f>+VLOOKUP(PROVEEDORES[[#This Row],[PROVEEDOR]],
                       Terceros!$A:$F,
                       5,
                       FALSE)</f>
        <v/>
      </c>
      <c r="G48" s="127">
        <v>44977</v>
      </c>
      <c r="H48" s="123" t="s">
        <v>527</v>
      </c>
      <c r="I48" s="127">
        <v>44958</v>
      </c>
      <c r="J48" s="124">
        <v>33</v>
      </c>
      <c r="K48" s="124" t="s">
        <v>1530</v>
      </c>
      <c r="L48" s="124"/>
      <c r="M48" s="125">
        <v>339400</v>
      </c>
      <c r="N48" s="148">
        <v>0</v>
      </c>
      <c r="O48" s="148">
        <v>0</v>
      </c>
      <c r="P48" s="149">
        <v>0</v>
      </c>
      <c r="Q48" s="148">
        <v>0</v>
      </c>
      <c r="R48" s="150">
        <v>339400</v>
      </c>
      <c r="S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" s="135">
        <f ca="1">+IF(PROVEEDORES[[#This Row],[FECHA DE PAGO]]=0,TODAY()-PROVEEDORES[[#This Row],[FECHA DE FACTURACIÓN]]-PROVEEDORES[[#This Row],[PLAZO Días]],0)</f>
        <v>0</v>
      </c>
      <c r="U48" s="135">
        <f>+VLOOKUP(PROVEEDORES[[#This Row],[PROVEEDOR]],Terceros!$A:$D,4,FALSE)</f>
        <v>0</v>
      </c>
      <c r="V48" s="135">
        <f>+YEAR(PROVEEDORES[[#This Row],[FECHA DE FACTURACIÓN]])</f>
        <v>2023</v>
      </c>
      <c r="W48" s="135">
        <f>+MATCH(PROVEEDORES[[#This Row],[año facturado]],Retenciones!$1:$1,0)</f>
        <v>6</v>
      </c>
      <c r="X48" s="136">
        <f>+VLOOKUP(PROVEEDORES[[#This Row],[ID RETENCION]],Retenciones!$A$1:$O$25,PROVEEDORES[[#This Row],[indicador de columna]],FALSE)</f>
        <v>0</v>
      </c>
      <c r="Y48" s="137">
        <f>+VLOOKUP(PROVEEDORES[[#This Row],[ID RETENCION]],Retenciones!$A$1:$O$25,2,FALSE)</f>
        <v>0</v>
      </c>
      <c r="Z48" s="126" t="b">
        <f>+OR(COUNTIF(PROVEEDORES[[#This Row],[PROVEEDOR]],"*"&amp;'Palabra que no opera y Listas d'!$A$2&amp;"*"))</f>
        <v>0</v>
      </c>
    </row>
    <row r="49" spans="1:26" ht="27.75" customHeight="1" x14ac:dyDescent="0.25">
      <c r="A49" s="141" t="str">
        <f>+IF(PROVEEDORES[[#This Row],[FECHA DE PAGO]]=PROVEEDORES[[#This Row],[FECHA DE FACTURACIÓN]],"DE CONTADO","CRÉDITO")</f>
        <v>CRÉDITO</v>
      </c>
      <c r="B49" s="138" t="b">
        <f>+IF((PROVEEDORES[[#This Row],[FECHA DE PAGO]]-PROVEEDORES[[#This Row],[FECHA DE FACTURACIÓN]])&gt;PROVEEDORES[[#This Row],[PLAZO Días]],"PAGO VENCIDO")</f>
        <v>0</v>
      </c>
      <c r="C49" s="138">
        <f>+VLOOKUP(PROVEEDORES[[#This Row],[PROVEEDOR]],TERCEROS_INFO[#All],2,FALSE)</f>
        <v>30</v>
      </c>
      <c r="D49" s="139">
        <f>+SUMIFS(PROVEEDORES[Total],PROVEEDORES[PROVEEDOR],PROVEEDORES[[#This Row],[PROVEEDOR]],PROVEEDORES[FECHA DE PAGO],"")</f>
        <v>0</v>
      </c>
      <c r="E49" s="140"/>
      <c r="F49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49" s="127">
        <v>44977</v>
      </c>
      <c r="H49" s="123" t="s">
        <v>368</v>
      </c>
      <c r="I49" s="127">
        <v>44958</v>
      </c>
      <c r="J49" s="124" t="s">
        <v>578</v>
      </c>
      <c r="K49" s="124" t="s">
        <v>1530</v>
      </c>
      <c r="L49" s="124"/>
      <c r="M49" s="125">
        <v>527</v>
      </c>
      <c r="N49" s="148">
        <v>100.13</v>
      </c>
      <c r="O49" s="148">
        <v>0</v>
      </c>
      <c r="P49" s="149">
        <v>0</v>
      </c>
      <c r="Q49" s="148">
        <v>0</v>
      </c>
      <c r="R49" s="150">
        <v>627.13</v>
      </c>
      <c r="S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" s="135">
        <f ca="1">+IF(PROVEEDORES[[#This Row],[FECHA DE PAGO]]=0,TODAY()-PROVEEDORES[[#This Row],[FECHA DE FACTURACIÓN]]-PROVEEDORES[[#This Row],[PLAZO Días]],0)</f>
        <v>0</v>
      </c>
      <c r="U49" s="135">
        <f>+VLOOKUP(PROVEEDORES[[#This Row],[PROVEEDOR]],Terceros!$A:$D,4,FALSE)</f>
        <v>0</v>
      </c>
      <c r="V49" s="135">
        <f>+YEAR(PROVEEDORES[[#This Row],[FECHA DE FACTURACIÓN]])</f>
        <v>2023</v>
      </c>
      <c r="W49" s="135">
        <f>+MATCH(PROVEEDORES[[#This Row],[año facturado]],Retenciones!$1:$1,0)</f>
        <v>6</v>
      </c>
      <c r="X49" s="136">
        <f>+VLOOKUP(PROVEEDORES[[#This Row],[ID RETENCION]],Retenciones!$A$1:$O$25,PROVEEDORES[[#This Row],[indicador de columna]],FALSE)</f>
        <v>0</v>
      </c>
      <c r="Y49" s="137">
        <f>+VLOOKUP(PROVEEDORES[[#This Row],[ID RETENCION]],Retenciones!$A$1:$O$25,2,FALSE)</f>
        <v>0</v>
      </c>
      <c r="Z49" s="126" t="b">
        <f>+OR(COUNTIF(PROVEEDORES[[#This Row],[PROVEEDOR]],"*"&amp;'Palabra que no opera y Listas d'!$A$2&amp;"*"))</f>
        <v>1</v>
      </c>
    </row>
    <row r="50" spans="1:26" ht="27.75" customHeight="1" x14ac:dyDescent="0.25">
      <c r="A50" s="141" t="str">
        <f>+IF(PROVEEDORES[[#This Row],[FECHA DE PAGO]]=PROVEEDORES[[#This Row],[FECHA DE FACTURACIÓN]],"DE CONTADO","CRÉDITO")</f>
        <v>CRÉDITO</v>
      </c>
      <c r="B50" s="138" t="b">
        <f>+IF((PROVEEDORES[[#This Row],[FECHA DE PAGO]]-PROVEEDORES[[#This Row],[FECHA DE FACTURACIÓN]])&gt;PROVEEDORES[[#This Row],[PLAZO Días]],"PAGO VENCIDO")</f>
        <v>0</v>
      </c>
      <c r="C50" s="138">
        <f>+VLOOKUP(PROVEEDORES[[#This Row],[PROVEEDOR]],TERCEROS_INFO[#All],2,FALSE)</f>
        <v>30</v>
      </c>
      <c r="D50" s="139">
        <f>+SUMIFS(PROVEEDORES[Total],PROVEEDORES[PROVEEDOR],PROVEEDORES[[#This Row],[PROVEEDOR]],PROVEEDORES[FECHA DE PAGO],"")</f>
        <v>0</v>
      </c>
      <c r="E50" s="140"/>
      <c r="F50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0" s="127">
        <v>44977</v>
      </c>
      <c r="H50" s="123" t="s">
        <v>368</v>
      </c>
      <c r="I50" s="127">
        <v>44958</v>
      </c>
      <c r="J50" s="124" t="s">
        <v>577</v>
      </c>
      <c r="K50" s="124" t="s">
        <v>1530</v>
      </c>
      <c r="L50" s="124"/>
      <c r="M50" s="125">
        <v>2196</v>
      </c>
      <c r="N50" s="148">
        <v>417.24</v>
      </c>
      <c r="O50" s="148">
        <v>0</v>
      </c>
      <c r="P50" s="149">
        <v>0</v>
      </c>
      <c r="Q50" s="148">
        <v>0</v>
      </c>
      <c r="R50" s="150">
        <v>2613.2399999999998</v>
      </c>
      <c r="S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" s="135">
        <f ca="1">+IF(PROVEEDORES[[#This Row],[FECHA DE PAGO]]=0,TODAY()-PROVEEDORES[[#This Row],[FECHA DE FACTURACIÓN]]-PROVEEDORES[[#This Row],[PLAZO Días]],0)</f>
        <v>0</v>
      </c>
      <c r="U50" s="135">
        <f>+VLOOKUP(PROVEEDORES[[#This Row],[PROVEEDOR]],Terceros!$A:$D,4,FALSE)</f>
        <v>0</v>
      </c>
      <c r="V50" s="135">
        <f>+YEAR(PROVEEDORES[[#This Row],[FECHA DE FACTURACIÓN]])</f>
        <v>2023</v>
      </c>
      <c r="W50" s="135">
        <f>+MATCH(PROVEEDORES[[#This Row],[año facturado]],Retenciones!$1:$1,0)</f>
        <v>6</v>
      </c>
      <c r="X50" s="136">
        <f>+VLOOKUP(PROVEEDORES[[#This Row],[ID RETENCION]],Retenciones!$A$1:$O$25,PROVEEDORES[[#This Row],[indicador de columna]],FALSE)</f>
        <v>0</v>
      </c>
      <c r="Y50" s="137">
        <f>+VLOOKUP(PROVEEDORES[[#This Row],[ID RETENCION]],Retenciones!$A$1:$O$25,2,FALSE)</f>
        <v>0</v>
      </c>
      <c r="Z50" s="126" t="b">
        <f>+OR(COUNTIF(PROVEEDORES[[#This Row],[PROVEEDOR]],"*"&amp;'Palabra que no opera y Listas d'!$A$2&amp;"*"))</f>
        <v>1</v>
      </c>
    </row>
    <row r="51" spans="1:26" ht="27.75" customHeight="1" x14ac:dyDescent="0.25">
      <c r="A51" s="141" t="str">
        <f>+IF(PROVEEDORES[[#This Row],[FECHA DE PAGO]]=PROVEEDORES[[#This Row],[FECHA DE FACTURACIÓN]],"DE CONTADO","CRÉDITO")</f>
        <v>CRÉDITO</v>
      </c>
      <c r="B51" s="138" t="b">
        <f>+IF((PROVEEDORES[[#This Row],[FECHA DE PAGO]]-PROVEEDORES[[#This Row],[FECHA DE FACTURACIÓN]])&gt;PROVEEDORES[[#This Row],[PLAZO Días]],"PAGO VENCIDO")</f>
        <v>0</v>
      </c>
      <c r="C51" s="138">
        <f>+VLOOKUP(PROVEEDORES[[#This Row],[PROVEEDOR]],TERCEROS_INFO[#All],2,FALSE)</f>
        <v>30</v>
      </c>
      <c r="D51" s="139">
        <f>+SUMIFS(PROVEEDORES[Total],PROVEEDORES[PROVEEDOR],PROVEEDORES[[#This Row],[PROVEEDOR]],PROVEEDORES[FECHA DE PAGO],"")</f>
        <v>0</v>
      </c>
      <c r="E51" s="140"/>
      <c r="F51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1" s="127">
        <v>44977</v>
      </c>
      <c r="H51" s="123" t="s">
        <v>368</v>
      </c>
      <c r="I51" s="127">
        <v>44958</v>
      </c>
      <c r="J51" s="124" t="s">
        <v>579</v>
      </c>
      <c r="K51" s="124" t="s">
        <v>1530</v>
      </c>
      <c r="L51" s="124"/>
      <c r="M51" s="125">
        <v>37336</v>
      </c>
      <c r="N51" s="148">
        <v>7093.84</v>
      </c>
      <c r="O51" s="148">
        <v>0</v>
      </c>
      <c r="P51" s="149">
        <v>0</v>
      </c>
      <c r="Q51" s="148">
        <v>0</v>
      </c>
      <c r="R51" s="150">
        <v>44429.84</v>
      </c>
      <c r="S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" s="135">
        <f ca="1">+IF(PROVEEDORES[[#This Row],[FECHA DE PAGO]]=0,TODAY()-PROVEEDORES[[#This Row],[FECHA DE FACTURACIÓN]]-PROVEEDORES[[#This Row],[PLAZO Días]],0)</f>
        <v>0</v>
      </c>
      <c r="U51" s="135">
        <f>+VLOOKUP(PROVEEDORES[[#This Row],[PROVEEDOR]],Terceros!$A:$D,4,FALSE)</f>
        <v>0</v>
      </c>
      <c r="V51" s="135">
        <f>+YEAR(PROVEEDORES[[#This Row],[FECHA DE FACTURACIÓN]])</f>
        <v>2023</v>
      </c>
      <c r="W51" s="135">
        <f>+MATCH(PROVEEDORES[[#This Row],[año facturado]],Retenciones!$1:$1,0)</f>
        <v>6</v>
      </c>
      <c r="X51" s="136">
        <f>+VLOOKUP(PROVEEDORES[[#This Row],[ID RETENCION]],Retenciones!$A$1:$O$25,PROVEEDORES[[#This Row],[indicador de columna]],FALSE)</f>
        <v>0</v>
      </c>
      <c r="Y51" s="137">
        <f>+VLOOKUP(PROVEEDORES[[#This Row],[ID RETENCION]],Retenciones!$A$1:$O$25,2,FALSE)</f>
        <v>0</v>
      </c>
      <c r="Z51" s="126" t="b">
        <f>+OR(COUNTIF(PROVEEDORES[[#This Row],[PROVEEDOR]],"*"&amp;'Palabra que no opera y Listas d'!$A$2&amp;"*"))</f>
        <v>1</v>
      </c>
    </row>
    <row r="52" spans="1:26" ht="27.75" customHeight="1" x14ac:dyDescent="0.25">
      <c r="A52" s="141" t="str">
        <f>+IF(PROVEEDORES[[#This Row],[FECHA DE PAGO]]=PROVEEDORES[[#This Row],[FECHA DE FACTURACIÓN]],"DE CONTADO","CRÉDITO")</f>
        <v>CRÉDITO</v>
      </c>
      <c r="B52" s="138" t="b">
        <f>+IF((PROVEEDORES[[#This Row],[FECHA DE PAGO]]-PROVEEDORES[[#This Row],[FECHA DE FACTURACIÓN]])&gt;PROVEEDORES[[#This Row],[PLAZO Días]],"PAGO VENCIDO")</f>
        <v>0</v>
      </c>
      <c r="C52" s="138">
        <f>+VLOOKUP(PROVEEDORES[[#This Row],[PROVEEDOR]],TERCEROS_INFO[#All],2,FALSE)</f>
        <v>30</v>
      </c>
      <c r="D52" s="139">
        <f>+SUMIFS(PROVEEDORES[Total],PROVEEDORES[PROVEEDOR],PROVEEDORES[[#This Row],[PROVEEDOR]],PROVEEDORES[FECHA DE PAGO],"")</f>
        <v>0</v>
      </c>
      <c r="E52" s="140"/>
      <c r="F52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2" s="127">
        <v>44977</v>
      </c>
      <c r="H52" s="123" t="s">
        <v>368</v>
      </c>
      <c r="I52" s="127">
        <v>44958</v>
      </c>
      <c r="J52" s="124" t="s">
        <v>576</v>
      </c>
      <c r="K52" s="124" t="s">
        <v>1530</v>
      </c>
      <c r="L52" s="124"/>
      <c r="M52" s="125">
        <v>895662</v>
      </c>
      <c r="N52" s="148">
        <v>170175.78</v>
      </c>
      <c r="O52" s="148">
        <v>0</v>
      </c>
      <c r="P52" s="149">
        <v>0</v>
      </c>
      <c r="Q52" s="148">
        <v>0</v>
      </c>
      <c r="R52" s="150">
        <v>1065837.78</v>
      </c>
      <c r="S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" s="135">
        <f ca="1">+IF(PROVEEDORES[[#This Row],[FECHA DE PAGO]]=0,TODAY()-PROVEEDORES[[#This Row],[FECHA DE FACTURACIÓN]]-PROVEEDORES[[#This Row],[PLAZO Días]],0)</f>
        <v>0</v>
      </c>
      <c r="U52" s="135">
        <f>+VLOOKUP(PROVEEDORES[[#This Row],[PROVEEDOR]],Terceros!$A:$D,4,FALSE)</f>
        <v>0</v>
      </c>
      <c r="V52" s="135">
        <f>+YEAR(PROVEEDORES[[#This Row],[FECHA DE FACTURACIÓN]])</f>
        <v>2023</v>
      </c>
      <c r="W52" s="135">
        <f>+MATCH(PROVEEDORES[[#This Row],[año facturado]],Retenciones!$1:$1,0)</f>
        <v>6</v>
      </c>
      <c r="X52" s="136">
        <f>+VLOOKUP(PROVEEDORES[[#This Row],[ID RETENCION]],Retenciones!$A$1:$O$25,PROVEEDORES[[#This Row],[indicador de columna]],FALSE)</f>
        <v>0</v>
      </c>
      <c r="Y52" s="137">
        <f>+VLOOKUP(PROVEEDORES[[#This Row],[ID RETENCION]],Retenciones!$A$1:$O$25,2,FALSE)</f>
        <v>0</v>
      </c>
      <c r="Z52" s="126" t="b">
        <f>+OR(COUNTIF(PROVEEDORES[[#This Row],[PROVEEDOR]],"*"&amp;'Palabra que no opera y Listas d'!$A$2&amp;"*"))</f>
        <v>1</v>
      </c>
    </row>
    <row r="53" spans="1:26" ht="27.75" customHeight="1" x14ac:dyDescent="0.25">
      <c r="A53" s="141" t="str">
        <f>+IF(PROVEEDORES[[#This Row],[FECHA DE PAGO]]=PROVEEDORES[[#This Row],[FECHA DE FACTURACIÓN]],"DE CONTADO","CRÉDITO")</f>
        <v>CRÉDITO</v>
      </c>
      <c r="B53" s="138" t="b">
        <f>+IF((PROVEEDORES[[#This Row],[FECHA DE PAGO]]-PROVEEDORES[[#This Row],[FECHA DE FACTURACIÓN]])&gt;PROVEEDORES[[#This Row],[PLAZO Días]],"PAGO VENCIDO")</f>
        <v>0</v>
      </c>
      <c r="C53" s="138">
        <f>+VLOOKUP(PROVEEDORES[[#This Row],[PROVEEDOR]],TERCEROS_INFO[#All],2,FALSE)</f>
        <v>30</v>
      </c>
      <c r="D53" s="139">
        <f>+SUMIFS(PROVEEDORES[Total],PROVEEDORES[PROVEEDOR],PROVEEDORES[[#This Row],[PROVEEDOR]],PROVEEDORES[FECHA DE PAGO],"")</f>
        <v>0</v>
      </c>
      <c r="E53" s="140"/>
      <c r="F53" s="138" t="str">
        <f>+VLOOKUP(PROVEEDORES[[#This Row],[PROVEEDOR]],
                       Terceros!$A:$F,
                       5,
                       FALSE)</f>
        <v>facturacion@losmolinos.com.co</v>
      </c>
      <c r="G53" s="127">
        <v>44977</v>
      </c>
      <c r="H53" s="123" t="s">
        <v>376</v>
      </c>
      <c r="I53" s="127">
        <v>44958</v>
      </c>
      <c r="J53" s="124" t="s">
        <v>571</v>
      </c>
      <c r="K53" s="124" t="s">
        <v>1530</v>
      </c>
      <c r="L53" s="124"/>
      <c r="M53" s="125">
        <v>329981</v>
      </c>
      <c r="N53" s="148">
        <v>0</v>
      </c>
      <c r="O53" s="148">
        <v>0</v>
      </c>
      <c r="P53" s="149">
        <v>0</v>
      </c>
      <c r="Q53" s="148">
        <v>0</v>
      </c>
      <c r="R53" s="150">
        <v>329981</v>
      </c>
      <c r="S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" s="135">
        <f ca="1">+IF(PROVEEDORES[[#This Row],[FECHA DE PAGO]]=0,TODAY()-PROVEEDORES[[#This Row],[FECHA DE FACTURACIÓN]]-PROVEEDORES[[#This Row],[PLAZO Días]],0)</f>
        <v>0</v>
      </c>
      <c r="U53" s="135">
        <f>+VLOOKUP(PROVEEDORES[[#This Row],[PROVEEDOR]],Terceros!$A:$D,4,FALSE)</f>
        <v>0</v>
      </c>
      <c r="V53" s="135">
        <f>+YEAR(PROVEEDORES[[#This Row],[FECHA DE FACTURACIÓN]])</f>
        <v>2023</v>
      </c>
      <c r="W53" s="135">
        <f>+MATCH(PROVEEDORES[[#This Row],[año facturado]],Retenciones!$1:$1,0)</f>
        <v>6</v>
      </c>
      <c r="X53" s="136">
        <f>+VLOOKUP(PROVEEDORES[[#This Row],[ID RETENCION]],Retenciones!$A$1:$O$25,PROVEEDORES[[#This Row],[indicador de columna]],FALSE)</f>
        <v>0</v>
      </c>
      <c r="Y53" s="137">
        <f>+VLOOKUP(PROVEEDORES[[#This Row],[ID RETENCION]],Retenciones!$A$1:$O$25,2,FALSE)</f>
        <v>0</v>
      </c>
      <c r="Z53" s="126" t="b">
        <f>+OR(COUNTIF(PROVEEDORES[[#This Row],[PROVEEDOR]],"*"&amp;'Palabra que no opera y Listas d'!$A$2&amp;"*"))</f>
        <v>1</v>
      </c>
    </row>
    <row r="54" spans="1:26" ht="27.75" customHeight="1" x14ac:dyDescent="0.25">
      <c r="A54" s="141" t="str">
        <f>+IF(PROVEEDORES[[#This Row],[FECHA DE PAGO]]=PROVEEDORES[[#This Row],[FECHA DE FACTURACIÓN]],"DE CONTADO","CRÉDITO")</f>
        <v>CRÉDITO</v>
      </c>
      <c r="B54" s="138" t="b">
        <f>+IF((PROVEEDORES[[#This Row],[FECHA DE PAGO]]-PROVEEDORES[[#This Row],[FECHA DE FACTURACIÓN]])&gt;PROVEEDORES[[#This Row],[PLAZO Días]],"PAGO VENCIDO")</f>
        <v>0</v>
      </c>
      <c r="C54" s="138">
        <f>+VLOOKUP(PROVEEDORES[[#This Row],[PROVEEDOR]],TERCEROS_INFO[#All],2,FALSE)</f>
        <v>30</v>
      </c>
      <c r="D54" s="139">
        <f>+SUMIFS(PROVEEDORES[Total],PROVEEDORES[PROVEEDOR],PROVEEDORES[[#This Row],[PROVEEDOR]],PROVEEDORES[FECHA DE PAGO],"")</f>
        <v>0</v>
      </c>
      <c r="E54" s="140"/>
      <c r="F54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54" s="127">
        <v>44977</v>
      </c>
      <c r="H54" s="123" t="s">
        <v>382</v>
      </c>
      <c r="I54" s="127">
        <v>44958</v>
      </c>
      <c r="J54" s="124" t="s">
        <v>572</v>
      </c>
      <c r="K54" s="124" t="s">
        <v>1530</v>
      </c>
      <c r="L54" s="124"/>
      <c r="M54" s="125">
        <v>928304</v>
      </c>
      <c r="N54" s="148">
        <v>0</v>
      </c>
      <c r="O54" s="148">
        <v>0</v>
      </c>
      <c r="P54" s="149">
        <v>0</v>
      </c>
      <c r="Q54" s="148">
        <v>0</v>
      </c>
      <c r="R54" s="150">
        <v>928304</v>
      </c>
      <c r="S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" s="135">
        <f ca="1">+IF(PROVEEDORES[[#This Row],[FECHA DE PAGO]]=0,TODAY()-PROVEEDORES[[#This Row],[FECHA DE FACTURACIÓN]]-PROVEEDORES[[#This Row],[PLAZO Días]],0)</f>
        <v>0</v>
      </c>
      <c r="U54" s="135">
        <f>+VLOOKUP(PROVEEDORES[[#This Row],[PROVEEDOR]],Terceros!$A:$D,4,FALSE)</f>
        <v>0</v>
      </c>
      <c r="V54" s="135">
        <f>+YEAR(PROVEEDORES[[#This Row],[FECHA DE FACTURACIÓN]])</f>
        <v>2023</v>
      </c>
      <c r="W54" s="135">
        <f>+MATCH(PROVEEDORES[[#This Row],[año facturado]],Retenciones!$1:$1,0)</f>
        <v>6</v>
      </c>
      <c r="X54" s="136">
        <f>+VLOOKUP(PROVEEDORES[[#This Row],[ID RETENCION]],Retenciones!$A$1:$O$25,PROVEEDORES[[#This Row],[indicador de columna]],FALSE)</f>
        <v>0</v>
      </c>
      <c r="Y54" s="137">
        <f>+VLOOKUP(PROVEEDORES[[#This Row],[ID RETENCION]],Retenciones!$A$1:$O$25,2,FALSE)</f>
        <v>0</v>
      </c>
      <c r="Z54" s="126" t="b">
        <f>+OR(COUNTIF(PROVEEDORES[[#This Row],[PROVEEDOR]],"*"&amp;'Palabra que no opera y Listas d'!$A$2&amp;"*"))</f>
        <v>1</v>
      </c>
    </row>
    <row r="55" spans="1:26" ht="27.75" customHeight="1" x14ac:dyDescent="0.25">
      <c r="A55" s="141" t="str">
        <f>+IF(PROVEEDORES[[#This Row],[FECHA DE PAGO]]=PROVEEDORES[[#This Row],[FECHA DE FACTURACIÓN]],"DE CONTADO","CRÉDITO")</f>
        <v>CRÉDITO</v>
      </c>
      <c r="B55" s="138" t="b">
        <f>+IF((PROVEEDORES[[#This Row],[FECHA DE PAGO]]-PROVEEDORES[[#This Row],[FECHA DE FACTURACIÓN]])&gt;PROVEEDORES[[#This Row],[PLAZO Días]],"PAGO VENCIDO")</f>
        <v>0</v>
      </c>
      <c r="C55" s="138">
        <f>+VLOOKUP(PROVEEDORES[[#This Row],[PROVEEDOR]],TERCEROS_INFO[#All],2,FALSE)</f>
        <v>30</v>
      </c>
      <c r="D55" s="139">
        <f>+SUMIFS(PROVEEDORES[Total],PROVEEDORES[PROVEEDOR],PROVEEDORES[[#This Row],[PROVEEDOR]],PROVEEDORES[FECHA DE PAGO],"")</f>
        <v>0</v>
      </c>
      <c r="E55" s="140"/>
      <c r="F55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55" s="127">
        <v>44977</v>
      </c>
      <c r="H55" s="123" t="s">
        <v>382</v>
      </c>
      <c r="I55" s="127">
        <v>44958</v>
      </c>
      <c r="J55" s="124" t="s">
        <v>573</v>
      </c>
      <c r="K55" s="124" t="s">
        <v>1530</v>
      </c>
      <c r="L55" s="124"/>
      <c r="M55" s="125">
        <v>949891</v>
      </c>
      <c r="N55" s="148">
        <v>0</v>
      </c>
      <c r="O55" s="148">
        <v>0</v>
      </c>
      <c r="P55" s="149">
        <v>0</v>
      </c>
      <c r="Q55" s="148">
        <v>0</v>
      </c>
      <c r="R55" s="150">
        <v>949891</v>
      </c>
      <c r="S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" s="135">
        <f ca="1">+IF(PROVEEDORES[[#This Row],[FECHA DE PAGO]]=0,TODAY()-PROVEEDORES[[#This Row],[FECHA DE FACTURACIÓN]]-PROVEEDORES[[#This Row],[PLAZO Días]],0)</f>
        <v>0</v>
      </c>
      <c r="U55" s="135">
        <f>+VLOOKUP(PROVEEDORES[[#This Row],[PROVEEDOR]],Terceros!$A:$D,4,FALSE)</f>
        <v>0</v>
      </c>
      <c r="V55" s="135">
        <f>+YEAR(PROVEEDORES[[#This Row],[FECHA DE FACTURACIÓN]])</f>
        <v>2023</v>
      </c>
      <c r="W55" s="135">
        <f>+MATCH(PROVEEDORES[[#This Row],[año facturado]],Retenciones!$1:$1,0)</f>
        <v>6</v>
      </c>
      <c r="X55" s="136">
        <f>+VLOOKUP(PROVEEDORES[[#This Row],[ID RETENCION]],Retenciones!$A$1:$O$25,PROVEEDORES[[#This Row],[indicador de columna]],FALSE)</f>
        <v>0</v>
      </c>
      <c r="Y55" s="137">
        <f>+VLOOKUP(PROVEEDORES[[#This Row],[ID RETENCION]],Retenciones!$A$1:$O$25,2,FALSE)</f>
        <v>0</v>
      </c>
      <c r="Z55" s="126" t="b">
        <f>+OR(COUNTIF(PROVEEDORES[[#This Row],[PROVEEDOR]],"*"&amp;'Palabra que no opera y Listas d'!$A$2&amp;"*"))</f>
        <v>1</v>
      </c>
    </row>
    <row r="56" spans="1:26" ht="27.75" customHeight="1" x14ac:dyDescent="0.25">
      <c r="A56" s="141" t="str">
        <f>+IF(PROVEEDORES[[#This Row],[FECHA DE PAGO]]=PROVEEDORES[[#This Row],[FECHA DE FACTURACIÓN]],"DE CONTADO","CRÉDITO")</f>
        <v>CRÉDITO</v>
      </c>
      <c r="B56" s="138" t="b">
        <f>+IF((PROVEEDORES[[#This Row],[FECHA DE PAGO]]-PROVEEDORES[[#This Row],[FECHA DE FACTURACIÓN]])&gt;PROVEEDORES[[#This Row],[PLAZO Días]],"PAGO VENCIDO")</f>
        <v>0</v>
      </c>
      <c r="C56" s="138">
        <f>+VLOOKUP(PROVEEDORES[[#This Row],[PROVEEDOR]],TERCEROS_INFO[#All],2,FALSE)</f>
        <v>30</v>
      </c>
      <c r="D56" s="139">
        <f>+SUMIFS(PROVEEDORES[Total],PROVEEDORES[PROVEEDOR],PROVEEDORES[[#This Row],[PROVEEDOR]],PROVEEDORES[FECHA DE PAGO],"")</f>
        <v>0</v>
      </c>
      <c r="E56" s="140"/>
      <c r="F56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56" s="127">
        <v>44977</v>
      </c>
      <c r="H56" s="123" t="s">
        <v>382</v>
      </c>
      <c r="I56" s="127">
        <v>44958</v>
      </c>
      <c r="J56" s="124" t="s">
        <v>574</v>
      </c>
      <c r="K56" s="124" t="s">
        <v>1530</v>
      </c>
      <c r="L56" s="124"/>
      <c r="M56" s="125">
        <v>59583</v>
      </c>
      <c r="N56" s="148">
        <v>0</v>
      </c>
      <c r="O56" s="148">
        <v>0</v>
      </c>
      <c r="P56" s="149">
        <v>0</v>
      </c>
      <c r="Q56" s="148">
        <v>0</v>
      </c>
      <c r="R56" s="150">
        <v>59583</v>
      </c>
      <c r="S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" s="135">
        <f ca="1">+IF(PROVEEDORES[[#This Row],[FECHA DE PAGO]]=0,TODAY()-PROVEEDORES[[#This Row],[FECHA DE FACTURACIÓN]]-PROVEEDORES[[#This Row],[PLAZO Días]],0)</f>
        <v>0</v>
      </c>
      <c r="U56" s="135">
        <f>+VLOOKUP(PROVEEDORES[[#This Row],[PROVEEDOR]],Terceros!$A:$D,4,FALSE)</f>
        <v>0</v>
      </c>
      <c r="V56" s="135">
        <f>+YEAR(PROVEEDORES[[#This Row],[FECHA DE FACTURACIÓN]])</f>
        <v>2023</v>
      </c>
      <c r="W56" s="135">
        <f>+MATCH(PROVEEDORES[[#This Row],[año facturado]],Retenciones!$1:$1,0)</f>
        <v>6</v>
      </c>
      <c r="X56" s="136">
        <f>+VLOOKUP(PROVEEDORES[[#This Row],[ID RETENCION]],Retenciones!$A$1:$O$25,PROVEEDORES[[#This Row],[indicador de columna]],FALSE)</f>
        <v>0</v>
      </c>
      <c r="Y56" s="137">
        <f>+VLOOKUP(PROVEEDORES[[#This Row],[ID RETENCION]],Retenciones!$A$1:$O$25,2,FALSE)</f>
        <v>0</v>
      </c>
      <c r="Z56" s="126" t="b">
        <f>+OR(COUNTIF(PROVEEDORES[[#This Row],[PROVEEDOR]],"*"&amp;'Palabra que no opera y Listas d'!$A$2&amp;"*"))</f>
        <v>1</v>
      </c>
    </row>
    <row r="57" spans="1:26" ht="27.75" customHeight="1" x14ac:dyDescent="0.25">
      <c r="A57" s="141" t="str">
        <f>+IF(PROVEEDORES[[#This Row],[FECHA DE PAGO]]=PROVEEDORES[[#This Row],[FECHA DE FACTURACIÓN]],"DE CONTADO","CRÉDITO")</f>
        <v>CRÉDITO</v>
      </c>
      <c r="B57" s="138" t="b">
        <f>+IF((PROVEEDORES[[#This Row],[FECHA DE PAGO]]-PROVEEDORES[[#This Row],[FECHA DE FACTURACIÓN]])&gt;PROVEEDORES[[#This Row],[PLAZO Días]],"PAGO VENCIDO")</f>
        <v>0</v>
      </c>
      <c r="C57" s="138">
        <f>+VLOOKUP(PROVEEDORES[[#This Row],[PROVEEDOR]],TERCEROS_INFO[#All],2,FALSE)</f>
        <v>30</v>
      </c>
      <c r="D57" s="139">
        <f>+SUMIFS(PROVEEDORES[Total],PROVEEDORES[PROVEEDOR],PROVEEDORES[[#This Row],[PROVEEDOR]],PROVEEDORES[FECHA DE PAGO],"")</f>
        <v>0</v>
      </c>
      <c r="E57" s="140"/>
      <c r="F57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57" s="127">
        <v>44977</v>
      </c>
      <c r="H57" s="123" t="s">
        <v>382</v>
      </c>
      <c r="I57" s="127">
        <v>44958</v>
      </c>
      <c r="J57" s="124" t="s">
        <v>575</v>
      </c>
      <c r="K57" s="124" t="s">
        <v>1530</v>
      </c>
      <c r="L57" s="124"/>
      <c r="M57" s="125">
        <v>68166</v>
      </c>
      <c r="N57" s="148">
        <v>0</v>
      </c>
      <c r="O57" s="148">
        <v>0</v>
      </c>
      <c r="P57" s="149">
        <v>0</v>
      </c>
      <c r="Q57" s="148">
        <v>0</v>
      </c>
      <c r="R57" s="150">
        <v>68166</v>
      </c>
      <c r="S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" s="135">
        <f ca="1">+IF(PROVEEDORES[[#This Row],[FECHA DE PAGO]]=0,TODAY()-PROVEEDORES[[#This Row],[FECHA DE FACTURACIÓN]]-PROVEEDORES[[#This Row],[PLAZO Días]],0)</f>
        <v>0</v>
      </c>
      <c r="U57" s="135">
        <f>+VLOOKUP(PROVEEDORES[[#This Row],[PROVEEDOR]],Terceros!$A:$D,4,FALSE)</f>
        <v>0</v>
      </c>
      <c r="V57" s="135">
        <f>+YEAR(PROVEEDORES[[#This Row],[FECHA DE FACTURACIÓN]])</f>
        <v>2023</v>
      </c>
      <c r="W57" s="135">
        <f>+MATCH(PROVEEDORES[[#This Row],[año facturado]],Retenciones!$1:$1,0)</f>
        <v>6</v>
      </c>
      <c r="X57" s="136">
        <f>+VLOOKUP(PROVEEDORES[[#This Row],[ID RETENCION]],Retenciones!$A$1:$O$25,PROVEEDORES[[#This Row],[indicador de columna]],FALSE)</f>
        <v>0</v>
      </c>
      <c r="Y57" s="137">
        <f>+VLOOKUP(PROVEEDORES[[#This Row],[ID RETENCION]],Retenciones!$A$1:$O$25,2,FALSE)</f>
        <v>0</v>
      </c>
      <c r="Z57" s="126" t="b">
        <f>+OR(COUNTIF(PROVEEDORES[[#This Row],[PROVEEDOR]],"*"&amp;'Palabra que no opera y Listas d'!$A$2&amp;"*"))</f>
        <v>1</v>
      </c>
    </row>
    <row r="58" spans="1:26" ht="27.75" customHeight="1" x14ac:dyDescent="0.25">
      <c r="A58" s="141" t="str">
        <f>+IF(PROVEEDORES[[#This Row],[FECHA DE PAGO]]=PROVEEDORES[[#This Row],[FECHA DE FACTURACIÓN]],"DE CONTADO","CRÉDITO")</f>
        <v>CRÉDITO</v>
      </c>
      <c r="B58" s="138" t="b">
        <f>+IF((PROVEEDORES[[#This Row],[FECHA DE PAGO]]-PROVEEDORES[[#This Row],[FECHA DE FACTURACIÓN]])&gt;PROVEEDORES[[#This Row],[PLAZO Días]],"PAGO VENCIDO")</f>
        <v>0</v>
      </c>
      <c r="C58" s="138">
        <f>+VLOOKUP(PROVEEDORES[[#This Row],[PROVEEDOR]],TERCEROS_INFO[#All],2,FALSE)</f>
        <v>30</v>
      </c>
      <c r="D58" s="139">
        <f>+SUMIFS(PROVEEDORES[Total],PROVEEDORES[PROVEEDOR],PROVEEDORES[[#This Row],[PROVEEDOR]],PROVEEDORES[FECHA DE PAGO],"")</f>
        <v>352000</v>
      </c>
      <c r="E58" s="140"/>
      <c r="F58" s="138" t="str">
        <f>+VLOOKUP(PROVEEDORES[[#This Row],[PROVEEDOR]],
                       Terceros!$A:$F,
                       5,
                       FALSE)</f>
        <v/>
      </c>
      <c r="G58" s="127">
        <v>44977</v>
      </c>
      <c r="H58" s="123" t="s">
        <v>527</v>
      </c>
      <c r="I58" s="127">
        <v>44959</v>
      </c>
      <c r="J58" s="124">
        <v>29</v>
      </c>
      <c r="K58" s="124" t="s">
        <v>1530</v>
      </c>
      <c r="L58" s="124"/>
      <c r="M58" s="125">
        <v>33000</v>
      </c>
      <c r="N58" s="148">
        <v>0</v>
      </c>
      <c r="O58" s="148">
        <v>0</v>
      </c>
      <c r="P58" s="149">
        <v>0</v>
      </c>
      <c r="Q58" s="148">
        <v>0</v>
      </c>
      <c r="R58" s="150">
        <v>33000</v>
      </c>
      <c r="S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" s="135">
        <f ca="1">+IF(PROVEEDORES[[#This Row],[FECHA DE PAGO]]=0,TODAY()-PROVEEDORES[[#This Row],[FECHA DE FACTURACIÓN]]-PROVEEDORES[[#This Row],[PLAZO Días]],0)</f>
        <v>0</v>
      </c>
      <c r="U58" s="135">
        <f>+VLOOKUP(PROVEEDORES[[#This Row],[PROVEEDOR]],Terceros!$A:$D,4,FALSE)</f>
        <v>0</v>
      </c>
      <c r="V58" s="135">
        <f>+YEAR(PROVEEDORES[[#This Row],[FECHA DE FACTURACIÓN]])</f>
        <v>2023</v>
      </c>
      <c r="W58" s="135">
        <f>+MATCH(PROVEEDORES[[#This Row],[año facturado]],Retenciones!$1:$1,0)</f>
        <v>6</v>
      </c>
      <c r="X58" s="136">
        <f>+VLOOKUP(PROVEEDORES[[#This Row],[ID RETENCION]],Retenciones!$A$1:$O$25,PROVEEDORES[[#This Row],[indicador de columna]],FALSE)</f>
        <v>0</v>
      </c>
      <c r="Y58" s="137">
        <f>+VLOOKUP(PROVEEDORES[[#This Row],[ID RETENCION]],Retenciones!$A$1:$O$25,2,FALSE)</f>
        <v>0</v>
      </c>
      <c r="Z58" s="126" t="b">
        <f>+OR(COUNTIF(PROVEEDORES[[#This Row],[PROVEEDOR]],"*"&amp;'Palabra que no opera y Listas d'!$A$2&amp;"*"))</f>
        <v>0</v>
      </c>
    </row>
    <row r="59" spans="1:26" ht="27.75" customHeight="1" x14ac:dyDescent="0.25">
      <c r="A59" s="141" t="str">
        <f>+IF(PROVEEDORES[[#This Row],[FECHA DE PAGO]]=PROVEEDORES[[#This Row],[FECHA DE FACTURACIÓN]],"DE CONTADO","CRÉDITO")</f>
        <v>CRÉDITO</v>
      </c>
      <c r="B59" s="138" t="b">
        <f>+IF((PROVEEDORES[[#This Row],[FECHA DE PAGO]]-PROVEEDORES[[#This Row],[FECHA DE FACTURACIÓN]])&gt;PROVEEDORES[[#This Row],[PLAZO Días]],"PAGO VENCIDO")</f>
        <v>0</v>
      </c>
      <c r="C59" s="138">
        <f>+VLOOKUP(PROVEEDORES[[#This Row],[PROVEEDOR]],TERCEROS_INFO[#All],2,FALSE)</f>
        <v>30</v>
      </c>
      <c r="D59" s="139">
        <f>+SUMIFS(PROVEEDORES[Total],PROVEEDORES[PROVEEDOR],PROVEEDORES[[#This Row],[PROVEEDOR]],PROVEEDORES[FECHA DE PAGO],"")</f>
        <v>352000</v>
      </c>
      <c r="E59" s="140"/>
      <c r="F59" s="138" t="str">
        <f>+VLOOKUP(PROVEEDORES[[#This Row],[PROVEEDOR]],
                       Terceros!$A:$F,
                       5,
                       FALSE)</f>
        <v/>
      </c>
      <c r="G59" s="127">
        <v>44977</v>
      </c>
      <c r="H59" s="123" t="s">
        <v>527</v>
      </c>
      <c r="I59" s="127">
        <v>44959</v>
      </c>
      <c r="J59" s="124">
        <v>30</v>
      </c>
      <c r="K59" s="124" t="s">
        <v>1530</v>
      </c>
      <c r="L59" s="124"/>
      <c r="M59" s="125">
        <v>64500</v>
      </c>
      <c r="N59" s="148">
        <v>0</v>
      </c>
      <c r="O59" s="148">
        <v>0</v>
      </c>
      <c r="P59" s="149">
        <v>0</v>
      </c>
      <c r="Q59" s="148">
        <v>0</v>
      </c>
      <c r="R59" s="150">
        <v>64500</v>
      </c>
      <c r="S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" s="135">
        <f ca="1">+IF(PROVEEDORES[[#This Row],[FECHA DE PAGO]]=0,TODAY()-PROVEEDORES[[#This Row],[FECHA DE FACTURACIÓN]]-PROVEEDORES[[#This Row],[PLAZO Días]],0)</f>
        <v>0</v>
      </c>
      <c r="U59" s="135">
        <f>+VLOOKUP(PROVEEDORES[[#This Row],[PROVEEDOR]],Terceros!$A:$D,4,FALSE)</f>
        <v>0</v>
      </c>
      <c r="V59" s="135">
        <f>+YEAR(PROVEEDORES[[#This Row],[FECHA DE FACTURACIÓN]])</f>
        <v>2023</v>
      </c>
      <c r="W59" s="135">
        <f>+MATCH(PROVEEDORES[[#This Row],[año facturado]],Retenciones!$1:$1,0)</f>
        <v>6</v>
      </c>
      <c r="X59" s="136">
        <f>+VLOOKUP(PROVEEDORES[[#This Row],[ID RETENCION]],Retenciones!$A$1:$O$25,PROVEEDORES[[#This Row],[indicador de columna]],FALSE)</f>
        <v>0</v>
      </c>
      <c r="Y59" s="137">
        <f>+VLOOKUP(PROVEEDORES[[#This Row],[ID RETENCION]],Retenciones!$A$1:$O$25,2,FALSE)</f>
        <v>0</v>
      </c>
      <c r="Z59" s="126" t="b">
        <f>+OR(COUNTIF(PROVEEDORES[[#This Row],[PROVEEDOR]],"*"&amp;'Palabra que no opera y Listas d'!$A$2&amp;"*"))</f>
        <v>0</v>
      </c>
    </row>
    <row r="60" spans="1:26" ht="27.75" customHeight="1" x14ac:dyDescent="0.25">
      <c r="A60" s="141" t="str">
        <f>+IF(PROVEEDORES[[#This Row],[FECHA DE PAGO]]=PROVEEDORES[[#This Row],[FECHA DE FACTURACIÓN]],"DE CONTADO","CRÉDITO")</f>
        <v>CRÉDITO</v>
      </c>
      <c r="B60" s="138" t="b">
        <f>+IF((PROVEEDORES[[#This Row],[FECHA DE PAGO]]-PROVEEDORES[[#This Row],[FECHA DE FACTURACIÓN]])&gt;PROVEEDORES[[#This Row],[PLAZO Días]],"PAGO VENCIDO")</f>
        <v>0</v>
      </c>
      <c r="C60" s="138">
        <f>+VLOOKUP(PROVEEDORES[[#This Row],[PROVEEDOR]],TERCEROS_INFO[#All],2,FALSE)</f>
        <v>30</v>
      </c>
      <c r="D60" s="139">
        <f>+SUMIFS(PROVEEDORES[Total],PROVEEDORES[PROVEEDOR],PROVEEDORES[[#This Row],[PROVEEDOR]],PROVEEDORES[FECHA DE PAGO],"")</f>
        <v>352000</v>
      </c>
      <c r="E60" s="140"/>
      <c r="F60" s="138" t="str">
        <f>+VLOOKUP(PROVEEDORES[[#This Row],[PROVEEDOR]],
                       Terceros!$A:$F,
                       5,
                       FALSE)</f>
        <v/>
      </c>
      <c r="G60" s="127">
        <v>44977</v>
      </c>
      <c r="H60" s="123" t="s">
        <v>527</v>
      </c>
      <c r="I60" s="127">
        <v>44959</v>
      </c>
      <c r="J60" s="124">
        <v>25</v>
      </c>
      <c r="K60" s="124" t="s">
        <v>1530</v>
      </c>
      <c r="L60" s="124"/>
      <c r="M60" s="125">
        <v>87000</v>
      </c>
      <c r="N60" s="148">
        <v>0</v>
      </c>
      <c r="O60" s="148">
        <v>0</v>
      </c>
      <c r="P60" s="149">
        <v>0</v>
      </c>
      <c r="Q60" s="148">
        <v>0</v>
      </c>
      <c r="R60" s="150">
        <v>87000</v>
      </c>
      <c r="S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" s="135">
        <f ca="1">+IF(PROVEEDORES[[#This Row],[FECHA DE PAGO]]=0,TODAY()-PROVEEDORES[[#This Row],[FECHA DE FACTURACIÓN]]-PROVEEDORES[[#This Row],[PLAZO Días]],0)</f>
        <v>0</v>
      </c>
      <c r="U60" s="135">
        <f>+VLOOKUP(PROVEEDORES[[#This Row],[PROVEEDOR]],Terceros!$A:$D,4,FALSE)</f>
        <v>0</v>
      </c>
      <c r="V60" s="135">
        <f>+YEAR(PROVEEDORES[[#This Row],[FECHA DE FACTURACIÓN]])</f>
        <v>2023</v>
      </c>
      <c r="W60" s="135">
        <f>+MATCH(PROVEEDORES[[#This Row],[año facturado]],Retenciones!$1:$1,0)</f>
        <v>6</v>
      </c>
      <c r="X60" s="136">
        <f>+VLOOKUP(PROVEEDORES[[#This Row],[ID RETENCION]],Retenciones!$A$1:$O$25,PROVEEDORES[[#This Row],[indicador de columna]],FALSE)</f>
        <v>0</v>
      </c>
      <c r="Y60" s="137">
        <f>+VLOOKUP(PROVEEDORES[[#This Row],[ID RETENCION]],Retenciones!$A$1:$O$25,2,FALSE)</f>
        <v>0</v>
      </c>
      <c r="Z60" s="126" t="b">
        <f>+OR(COUNTIF(PROVEEDORES[[#This Row],[PROVEEDOR]],"*"&amp;'Palabra que no opera y Listas d'!$A$2&amp;"*"))</f>
        <v>0</v>
      </c>
    </row>
    <row r="61" spans="1:26" ht="27.75" customHeight="1" x14ac:dyDescent="0.25">
      <c r="A61" s="141" t="str">
        <f>+IF(PROVEEDORES[[#This Row],[FECHA DE PAGO]]=PROVEEDORES[[#This Row],[FECHA DE FACTURACIÓN]],"DE CONTADO","CRÉDITO")</f>
        <v>CRÉDITO</v>
      </c>
      <c r="B61" s="138" t="b">
        <f>+IF((PROVEEDORES[[#This Row],[FECHA DE PAGO]]-PROVEEDORES[[#This Row],[FECHA DE FACTURACIÓN]])&gt;PROVEEDORES[[#This Row],[PLAZO Días]],"PAGO VENCIDO")</f>
        <v>0</v>
      </c>
      <c r="C61" s="138">
        <f>+VLOOKUP(PROVEEDORES[[#This Row],[PROVEEDOR]],TERCEROS_INFO[#All],2,FALSE)</f>
        <v>30</v>
      </c>
      <c r="D61" s="139">
        <f>+SUMIFS(PROVEEDORES[Total],PROVEEDORES[PROVEEDOR],PROVEEDORES[[#This Row],[PROVEEDOR]],PROVEEDORES[FECHA DE PAGO],"")</f>
        <v>352000</v>
      </c>
      <c r="E61" s="140"/>
      <c r="F61" s="138" t="str">
        <f>+VLOOKUP(PROVEEDORES[[#This Row],[PROVEEDOR]],
                       Terceros!$A:$F,
                       5,
                       FALSE)</f>
        <v/>
      </c>
      <c r="G61" s="127">
        <v>44977</v>
      </c>
      <c r="H61" s="123" t="s">
        <v>527</v>
      </c>
      <c r="I61" s="127">
        <v>44959</v>
      </c>
      <c r="J61" s="124">
        <v>28</v>
      </c>
      <c r="K61" s="124" t="s">
        <v>1530</v>
      </c>
      <c r="L61" s="124"/>
      <c r="M61" s="125">
        <v>196500</v>
      </c>
      <c r="N61" s="148">
        <v>0</v>
      </c>
      <c r="O61" s="148">
        <v>0</v>
      </c>
      <c r="P61" s="149">
        <v>0</v>
      </c>
      <c r="Q61" s="148">
        <v>0</v>
      </c>
      <c r="R61" s="150">
        <v>196500</v>
      </c>
      <c r="S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" s="135">
        <f ca="1">+IF(PROVEEDORES[[#This Row],[FECHA DE PAGO]]=0,TODAY()-PROVEEDORES[[#This Row],[FECHA DE FACTURACIÓN]]-PROVEEDORES[[#This Row],[PLAZO Días]],0)</f>
        <v>0</v>
      </c>
      <c r="U61" s="135">
        <f>+VLOOKUP(PROVEEDORES[[#This Row],[PROVEEDOR]],Terceros!$A:$D,4,FALSE)</f>
        <v>0</v>
      </c>
      <c r="V61" s="135">
        <f>+YEAR(PROVEEDORES[[#This Row],[FECHA DE FACTURACIÓN]])</f>
        <v>2023</v>
      </c>
      <c r="W61" s="135">
        <f>+MATCH(PROVEEDORES[[#This Row],[año facturado]],Retenciones!$1:$1,0)</f>
        <v>6</v>
      </c>
      <c r="X61" s="136">
        <f>+VLOOKUP(PROVEEDORES[[#This Row],[ID RETENCION]],Retenciones!$A$1:$O$25,PROVEEDORES[[#This Row],[indicador de columna]],FALSE)</f>
        <v>0</v>
      </c>
      <c r="Y61" s="137">
        <f>+VLOOKUP(PROVEEDORES[[#This Row],[ID RETENCION]],Retenciones!$A$1:$O$25,2,FALSE)</f>
        <v>0</v>
      </c>
      <c r="Z61" s="126" t="b">
        <f>+OR(COUNTIF(PROVEEDORES[[#This Row],[PROVEEDOR]],"*"&amp;'Palabra que no opera y Listas d'!$A$2&amp;"*"))</f>
        <v>0</v>
      </c>
    </row>
    <row r="62" spans="1:26" ht="27.75" customHeight="1" x14ac:dyDescent="0.25">
      <c r="A62" s="141" t="str">
        <f>+IF(PROVEEDORES[[#This Row],[FECHA DE PAGO]]=PROVEEDORES[[#This Row],[FECHA DE FACTURACIÓN]],"DE CONTADO","CRÉDITO")</f>
        <v>CRÉDITO</v>
      </c>
      <c r="B62" s="138" t="b">
        <f>+IF((PROVEEDORES[[#This Row],[FECHA DE PAGO]]-PROVEEDORES[[#This Row],[FECHA DE FACTURACIÓN]])&gt;PROVEEDORES[[#This Row],[PLAZO Días]],"PAGO VENCIDO")</f>
        <v>0</v>
      </c>
      <c r="C62" s="138">
        <f>+VLOOKUP(PROVEEDORES[[#This Row],[PROVEEDOR]],TERCEROS_INFO[#All],2,FALSE)</f>
        <v>30</v>
      </c>
      <c r="D62" s="139">
        <f>+SUMIFS(PROVEEDORES[Total],PROVEEDORES[PROVEEDOR],PROVEEDORES[[#This Row],[PROVEEDOR]],PROVEEDORES[FECHA DE PAGO],"")</f>
        <v>352000</v>
      </c>
      <c r="E62" s="140"/>
      <c r="F62" s="138" t="str">
        <f>+VLOOKUP(PROVEEDORES[[#This Row],[PROVEEDOR]],
                       Terceros!$A:$F,
                       5,
                       FALSE)</f>
        <v/>
      </c>
      <c r="G62" s="127">
        <v>44977</v>
      </c>
      <c r="H62" s="123" t="s">
        <v>527</v>
      </c>
      <c r="I62" s="127">
        <v>44959</v>
      </c>
      <c r="J62" s="124">
        <v>35</v>
      </c>
      <c r="K62" s="124" t="s">
        <v>1530</v>
      </c>
      <c r="L62" s="124"/>
      <c r="M62" s="125">
        <v>207000</v>
      </c>
      <c r="N62" s="148">
        <v>0</v>
      </c>
      <c r="O62" s="148">
        <v>0</v>
      </c>
      <c r="P62" s="149">
        <v>0</v>
      </c>
      <c r="Q62" s="148">
        <v>0</v>
      </c>
      <c r="R62" s="150">
        <v>207000</v>
      </c>
      <c r="S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" s="135">
        <f ca="1">+IF(PROVEEDORES[[#This Row],[FECHA DE PAGO]]=0,TODAY()-PROVEEDORES[[#This Row],[FECHA DE FACTURACIÓN]]-PROVEEDORES[[#This Row],[PLAZO Días]],0)</f>
        <v>0</v>
      </c>
      <c r="U62" s="135">
        <f>+VLOOKUP(PROVEEDORES[[#This Row],[PROVEEDOR]],Terceros!$A:$D,4,FALSE)</f>
        <v>0</v>
      </c>
      <c r="V62" s="135">
        <f>+YEAR(PROVEEDORES[[#This Row],[FECHA DE FACTURACIÓN]])</f>
        <v>2023</v>
      </c>
      <c r="W62" s="135">
        <f>+MATCH(PROVEEDORES[[#This Row],[año facturado]],Retenciones!$1:$1,0)</f>
        <v>6</v>
      </c>
      <c r="X62" s="136">
        <f>+VLOOKUP(PROVEEDORES[[#This Row],[ID RETENCION]],Retenciones!$A$1:$O$25,PROVEEDORES[[#This Row],[indicador de columna]],FALSE)</f>
        <v>0</v>
      </c>
      <c r="Y62" s="137">
        <f>+VLOOKUP(PROVEEDORES[[#This Row],[ID RETENCION]],Retenciones!$A$1:$O$25,2,FALSE)</f>
        <v>0</v>
      </c>
      <c r="Z62" s="126" t="b">
        <f>+OR(COUNTIF(PROVEEDORES[[#This Row],[PROVEEDOR]],"*"&amp;'Palabra que no opera y Listas d'!$A$2&amp;"*"))</f>
        <v>0</v>
      </c>
    </row>
    <row r="63" spans="1:26" ht="27.75" customHeight="1" x14ac:dyDescent="0.25">
      <c r="A63" s="141" t="str">
        <f>+IF(PROVEEDORES[[#This Row],[FECHA DE PAGO]]=PROVEEDORES[[#This Row],[FECHA DE FACTURACIÓN]],"DE CONTADO","CRÉDITO")</f>
        <v>CRÉDITO</v>
      </c>
      <c r="B63" s="138" t="b">
        <f>+IF((PROVEEDORES[[#This Row],[FECHA DE PAGO]]-PROVEEDORES[[#This Row],[FECHA DE FACTURACIÓN]])&gt;PROVEEDORES[[#This Row],[PLAZO Días]],"PAGO VENCIDO")</f>
        <v>0</v>
      </c>
      <c r="C63" s="138">
        <f>+VLOOKUP(PROVEEDORES[[#This Row],[PROVEEDOR]],TERCEROS_INFO[#All],2,FALSE)</f>
        <v>30</v>
      </c>
      <c r="D63" s="139">
        <f>+SUMIFS(PROVEEDORES[Total],PROVEEDORES[PROVEEDOR],PROVEEDORES[[#This Row],[PROVEEDOR]],PROVEEDORES[FECHA DE PAGO],"")</f>
        <v>352000</v>
      </c>
      <c r="E63" s="140"/>
      <c r="F63" s="138" t="str">
        <f>+VLOOKUP(PROVEEDORES[[#This Row],[PROVEEDOR]],
                       Terceros!$A:$F,
                       5,
                       FALSE)</f>
        <v/>
      </c>
      <c r="G63" s="127">
        <v>44977</v>
      </c>
      <c r="H63" s="123" t="s">
        <v>527</v>
      </c>
      <c r="I63" s="127">
        <v>44959</v>
      </c>
      <c r="J63" s="124">
        <v>34</v>
      </c>
      <c r="K63" s="124" t="s">
        <v>1530</v>
      </c>
      <c r="L63" s="124"/>
      <c r="M63" s="125">
        <v>411500</v>
      </c>
      <c r="N63" s="148">
        <v>0</v>
      </c>
      <c r="O63" s="148">
        <v>0</v>
      </c>
      <c r="P63" s="149">
        <v>0</v>
      </c>
      <c r="Q63" s="148">
        <v>0</v>
      </c>
      <c r="R63" s="150">
        <v>411500</v>
      </c>
      <c r="S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" s="135">
        <f ca="1">+IF(PROVEEDORES[[#This Row],[FECHA DE PAGO]]=0,TODAY()-PROVEEDORES[[#This Row],[FECHA DE FACTURACIÓN]]-PROVEEDORES[[#This Row],[PLAZO Días]],0)</f>
        <v>0</v>
      </c>
      <c r="U63" s="135">
        <f>+VLOOKUP(PROVEEDORES[[#This Row],[PROVEEDOR]],Terceros!$A:$D,4,FALSE)</f>
        <v>0</v>
      </c>
      <c r="V63" s="135">
        <f>+YEAR(PROVEEDORES[[#This Row],[FECHA DE FACTURACIÓN]])</f>
        <v>2023</v>
      </c>
      <c r="W63" s="135">
        <f>+MATCH(PROVEEDORES[[#This Row],[año facturado]],Retenciones!$1:$1,0)</f>
        <v>6</v>
      </c>
      <c r="X63" s="136">
        <f>+VLOOKUP(PROVEEDORES[[#This Row],[ID RETENCION]],Retenciones!$A$1:$O$25,PROVEEDORES[[#This Row],[indicador de columna]],FALSE)</f>
        <v>0</v>
      </c>
      <c r="Y63" s="137">
        <f>+VLOOKUP(PROVEEDORES[[#This Row],[ID RETENCION]],Retenciones!$A$1:$O$25,2,FALSE)</f>
        <v>0</v>
      </c>
      <c r="Z63" s="126" t="b">
        <f>+OR(COUNTIF(PROVEEDORES[[#This Row],[PROVEEDOR]],"*"&amp;'Palabra que no opera y Listas d'!$A$2&amp;"*"))</f>
        <v>0</v>
      </c>
    </row>
    <row r="64" spans="1:26" ht="27.75" customHeight="1" x14ac:dyDescent="0.25">
      <c r="A64" s="141" t="str">
        <f>+IF(PROVEEDORES[[#This Row],[FECHA DE PAGO]]=PROVEEDORES[[#This Row],[FECHA DE FACTURACIÓN]],"DE CONTADO","CRÉDITO")</f>
        <v>CRÉDITO</v>
      </c>
      <c r="B64" s="138" t="b">
        <f>+IF((PROVEEDORES[[#This Row],[FECHA DE PAGO]]-PROVEEDORES[[#This Row],[FECHA DE FACTURACIÓN]])&gt;PROVEEDORES[[#This Row],[PLAZO Días]],"PAGO VENCIDO")</f>
        <v>0</v>
      </c>
      <c r="C64" s="138">
        <f>+VLOOKUP(PROVEEDORES[[#This Row],[PROVEEDOR]],TERCEROS_INFO[#All],2,FALSE)</f>
        <v>30</v>
      </c>
      <c r="D64" s="139">
        <f>+SUMIFS(PROVEEDORES[Total],PROVEEDORES[PROVEEDOR],PROVEEDORES[[#This Row],[PROVEEDOR]],PROVEEDORES[FECHA DE PAGO],"")</f>
        <v>0</v>
      </c>
      <c r="E64" s="140"/>
      <c r="F64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64" s="127">
        <v>44977</v>
      </c>
      <c r="H64" s="123" t="s">
        <v>373</v>
      </c>
      <c r="I64" s="127">
        <v>44963</v>
      </c>
      <c r="J64" s="124" t="s">
        <v>570</v>
      </c>
      <c r="K64" s="124" t="s">
        <v>1530</v>
      </c>
      <c r="L64" s="124"/>
      <c r="M64" s="125">
        <v>1866320</v>
      </c>
      <c r="N64" s="148">
        <v>0</v>
      </c>
      <c r="O64" s="148">
        <v>0</v>
      </c>
      <c r="P64" s="149">
        <v>0</v>
      </c>
      <c r="Q64" s="148">
        <v>0</v>
      </c>
      <c r="R64" s="150">
        <v>1866320</v>
      </c>
      <c r="S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" s="135">
        <f ca="1">+IF(PROVEEDORES[[#This Row],[FECHA DE PAGO]]=0,TODAY()-PROVEEDORES[[#This Row],[FECHA DE FACTURACIÓN]]-PROVEEDORES[[#This Row],[PLAZO Días]],0)</f>
        <v>0</v>
      </c>
      <c r="U64" s="135">
        <f>+VLOOKUP(PROVEEDORES[[#This Row],[PROVEEDOR]],Terceros!$A:$D,4,FALSE)</f>
        <v>0</v>
      </c>
      <c r="V64" s="135">
        <f>+YEAR(PROVEEDORES[[#This Row],[FECHA DE FACTURACIÓN]])</f>
        <v>2023</v>
      </c>
      <c r="W64" s="135">
        <f>+MATCH(PROVEEDORES[[#This Row],[año facturado]],Retenciones!$1:$1,0)</f>
        <v>6</v>
      </c>
      <c r="X64" s="136">
        <f>+VLOOKUP(PROVEEDORES[[#This Row],[ID RETENCION]],Retenciones!$A$1:$O$25,PROVEEDORES[[#This Row],[indicador de columna]],FALSE)</f>
        <v>0</v>
      </c>
      <c r="Y64" s="137">
        <f>+VLOOKUP(PROVEEDORES[[#This Row],[ID RETENCION]],Retenciones!$A$1:$O$25,2,FALSE)</f>
        <v>0</v>
      </c>
      <c r="Z64" s="126" t="b">
        <f>+OR(COUNTIF(PROVEEDORES[[#This Row],[PROVEEDOR]],"*"&amp;'Palabra que no opera y Listas d'!$A$2&amp;"*"))</f>
        <v>1</v>
      </c>
    </row>
    <row r="65" spans="1:26" ht="27.75" customHeight="1" x14ac:dyDescent="0.25">
      <c r="A65" s="141" t="str">
        <f>+IF(PROVEEDORES[[#This Row],[FECHA DE PAGO]]=PROVEEDORES[[#This Row],[FECHA DE FACTURACIÓN]],"DE CONTADO","CRÉDITO")</f>
        <v>CRÉDITO</v>
      </c>
      <c r="B65" s="138" t="b">
        <f>+IF((PROVEEDORES[[#This Row],[FECHA DE PAGO]]-PROVEEDORES[[#This Row],[FECHA DE FACTURACIÓN]])&gt;PROVEEDORES[[#This Row],[PLAZO Días]],"PAGO VENCIDO")</f>
        <v>0</v>
      </c>
      <c r="C65" s="138">
        <f>+VLOOKUP(PROVEEDORES[[#This Row],[PROVEEDOR]],TERCEROS_INFO[#All],2,FALSE)</f>
        <v>30</v>
      </c>
      <c r="D65" s="139">
        <f>+SUMIFS(PROVEEDORES[Total],PROVEEDORES[PROVEEDOR],PROVEEDORES[[#This Row],[PROVEEDOR]],PROVEEDORES[FECHA DE PAGO],"")</f>
        <v>0</v>
      </c>
      <c r="E65" s="140"/>
      <c r="F65" s="13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65" s="127">
        <v>44983</v>
      </c>
      <c r="H65" s="123" t="s">
        <v>426</v>
      </c>
      <c r="I65" s="127">
        <v>44965</v>
      </c>
      <c r="J65" s="124" t="s">
        <v>566</v>
      </c>
      <c r="K65" s="124" t="s">
        <v>1530</v>
      </c>
      <c r="L65" s="124"/>
      <c r="M65" s="125">
        <v>579832</v>
      </c>
      <c r="N65" s="148">
        <v>110168.08</v>
      </c>
      <c r="O65" s="148">
        <v>0</v>
      </c>
      <c r="P65" s="149">
        <v>0</v>
      </c>
      <c r="Q65" s="148">
        <v>0</v>
      </c>
      <c r="R65" s="150">
        <v>690000.08</v>
      </c>
      <c r="S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" s="135">
        <f ca="1">+IF(PROVEEDORES[[#This Row],[FECHA DE PAGO]]=0,TODAY()-PROVEEDORES[[#This Row],[FECHA DE FACTURACIÓN]]-PROVEEDORES[[#This Row],[PLAZO Días]],0)</f>
        <v>0</v>
      </c>
      <c r="U65" s="135">
        <f>+VLOOKUP(PROVEEDORES[[#This Row],[PROVEEDOR]],Terceros!$A:$D,4,FALSE)</f>
        <v>0</v>
      </c>
      <c r="V65" s="135">
        <f>+YEAR(PROVEEDORES[[#This Row],[FECHA DE FACTURACIÓN]])</f>
        <v>2023</v>
      </c>
      <c r="W65" s="135">
        <f>+MATCH(PROVEEDORES[[#This Row],[año facturado]],Retenciones!$1:$1,0)</f>
        <v>6</v>
      </c>
      <c r="X65" s="136">
        <f>+VLOOKUP(PROVEEDORES[[#This Row],[ID RETENCION]],Retenciones!$A$1:$O$25,PROVEEDORES[[#This Row],[indicador de columna]],FALSE)</f>
        <v>0</v>
      </c>
      <c r="Y65" s="137">
        <f>+VLOOKUP(PROVEEDORES[[#This Row],[ID RETENCION]],Retenciones!$A$1:$O$25,2,FALSE)</f>
        <v>0</v>
      </c>
      <c r="Z65" s="126" t="b">
        <f>+OR(COUNTIF(PROVEEDORES[[#This Row],[PROVEEDOR]],"*"&amp;'Palabra que no opera y Listas d'!$A$2&amp;"*"))</f>
        <v>0</v>
      </c>
    </row>
    <row r="66" spans="1:26" ht="27.75" customHeight="1" x14ac:dyDescent="0.25">
      <c r="A66" s="141" t="str">
        <f>+IF(PROVEEDORES[[#This Row],[FECHA DE PAGO]]=PROVEEDORES[[#This Row],[FECHA DE FACTURACIÓN]],"DE CONTADO","CRÉDITO")</f>
        <v>CRÉDITO</v>
      </c>
      <c r="B66" s="138" t="b">
        <f>+IF((PROVEEDORES[[#This Row],[FECHA DE PAGO]]-PROVEEDORES[[#This Row],[FECHA DE FACTURACIÓN]])&gt;PROVEEDORES[[#This Row],[PLAZO Días]],"PAGO VENCIDO")</f>
        <v>0</v>
      </c>
      <c r="C66" s="138">
        <f>+VLOOKUP(PROVEEDORES[[#This Row],[PROVEEDOR]],TERCEROS_INFO[#All],2,FALSE)</f>
        <v>30</v>
      </c>
      <c r="D66" s="139">
        <f>+SUMIFS(PROVEEDORES[Total],PROVEEDORES[PROVEEDOR],PROVEEDORES[[#This Row],[PROVEEDOR]],PROVEEDORES[FECHA DE PAGO],"")</f>
        <v>0</v>
      </c>
      <c r="E66" s="140"/>
      <c r="F66" s="13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66" s="127">
        <v>44983</v>
      </c>
      <c r="H66" s="123" t="s">
        <v>426</v>
      </c>
      <c r="I66" s="127">
        <v>44967</v>
      </c>
      <c r="J66" s="124" t="s">
        <v>567</v>
      </c>
      <c r="K66" s="124" t="s">
        <v>1530</v>
      </c>
      <c r="L66" s="124"/>
      <c r="M66" s="125">
        <v>425210</v>
      </c>
      <c r="N66" s="148">
        <v>80789.899999999994</v>
      </c>
      <c r="O66" s="148">
        <v>0</v>
      </c>
      <c r="P66" s="149">
        <v>0</v>
      </c>
      <c r="Q66" s="148">
        <v>0</v>
      </c>
      <c r="R66" s="150">
        <v>505999.9</v>
      </c>
      <c r="S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" s="135">
        <f ca="1">+IF(PROVEEDORES[[#This Row],[FECHA DE PAGO]]=0,TODAY()-PROVEEDORES[[#This Row],[FECHA DE FACTURACIÓN]]-PROVEEDORES[[#This Row],[PLAZO Días]],0)</f>
        <v>0</v>
      </c>
      <c r="U66" s="135">
        <f>+VLOOKUP(PROVEEDORES[[#This Row],[PROVEEDOR]],Terceros!$A:$D,4,FALSE)</f>
        <v>0</v>
      </c>
      <c r="V66" s="135">
        <f>+YEAR(PROVEEDORES[[#This Row],[FECHA DE FACTURACIÓN]])</f>
        <v>2023</v>
      </c>
      <c r="W66" s="135">
        <f>+MATCH(PROVEEDORES[[#This Row],[año facturado]],Retenciones!$1:$1,0)</f>
        <v>6</v>
      </c>
      <c r="X66" s="136">
        <f>+VLOOKUP(PROVEEDORES[[#This Row],[ID RETENCION]],Retenciones!$A$1:$O$25,PROVEEDORES[[#This Row],[indicador de columna]],FALSE)</f>
        <v>0</v>
      </c>
      <c r="Y66" s="137">
        <f>+VLOOKUP(PROVEEDORES[[#This Row],[ID RETENCION]],Retenciones!$A$1:$O$25,2,FALSE)</f>
        <v>0</v>
      </c>
      <c r="Z66" s="126" t="b">
        <f>+OR(COUNTIF(PROVEEDORES[[#This Row],[PROVEEDOR]],"*"&amp;'Palabra que no opera y Listas d'!$A$2&amp;"*"))</f>
        <v>0</v>
      </c>
    </row>
    <row r="67" spans="1:26" ht="27.75" customHeight="1" x14ac:dyDescent="0.25">
      <c r="A67" s="141" t="str">
        <f>+IF(PROVEEDORES[[#This Row],[FECHA DE PAGO]]=PROVEEDORES[[#This Row],[FECHA DE FACTURACIÓN]],"DE CONTADO","CRÉDITO")</f>
        <v>CRÉDITO</v>
      </c>
      <c r="B67" s="138" t="b">
        <f>+IF((PROVEEDORES[[#This Row],[FECHA DE PAGO]]-PROVEEDORES[[#This Row],[FECHA DE FACTURACIÓN]])&gt;PROVEEDORES[[#This Row],[PLAZO Días]],"PAGO VENCIDO")</f>
        <v>0</v>
      </c>
      <c r="C67" s="138">
        <f>+VLOOKUP(PROVEEDORES[[#This Row],[PROVEEDOR]],TERCEROS_INFO[#All],2,FALSE)</f>
        <v>30</v>
      </c>
      <c r="D67" s="139">
        <f>+SUMIFS(PROVEEDORES[Total],PROVEEDORES[PROVEEDOR],PROVEEDORES[[#This Row],[PROVEEDOR]],PROVEEDORES[FECHA DE PAGO],"")</f>
        <v>0</v>
      </c>
      <c r="E67" s="140"/>
      <c r="F67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67" s="127">
        <v>44984</v>
      </c>
      <c r="H67" s="123" t="s">
        <v>394</v>
      </c>
      <c r="I67" s="127">
        <v>44958</v>
      </c>
      <c r="J67" s="124" t="s">
        <v>586</v>
      </c>
      <c r="K67" s="124" t="s">
        <v>1530</v>
      </c>
      <c r="L67" s="124"/>
      <c r="M67" s="125">
        <v>243611</v>
      </c>
      <c r="N67" s="148">
        <v>46286.090000000004</v>
      </c>
      <c r="O67" s="148">
        <v>0</v>
      </c>
      <c r="P67" s="149">
        <v>3.5000000000000003E-2</v>
      </c>
      <c r="Q67" s="148">
        <v>8526.3850000000002</v>
      </c>
      <c r="R67" s="150">
        <v>281370.70500000002</v>
      </c>
      <c r="S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" s="135">
        <f ca="1">+IF(PROVEEDORES[[#This Row],[FECHA DE PAGO]]=0,TODAY()-PROVEEDORES[[#This Row],[FECHA DE FACTURACIÓN]]-PROVEEDORES[[#This Row],[PLAZO Días]],0)</f>
        <v>0</v>
      </c>
      <c r="U67" s="135" t="str">
        <f>+VLOOKUP(PROVEEDORES[[#This Row],[PROVEEDOR]],Terceros!$A:$D,4,FALSE)</f>
        <v>3,5% sin base</v>
      </c>
      <c r="V67" s="135">
        <f>+YEAR(PROVEEDORES[[#This Row],[FECHA DE FACTURACIÓN]])</f>
        <v>2023</v>
      </c>
      <c r="W67" s="135">
        <f>+MATCH(PROVEEDORES[[#This Row],[año facturado]],Retenciones!$1:$1,0)</f>
        <v>6</v>
      </c>
      <c r="X67" s="136">
        <f>+VLOOKUP(PROVEEDORES[[#This Row],[ID RETENCION]],Retenciones!$A$1:$O$25,PROVEEDORES[[#This Row],[indicador de columna]],FALSE)</f>
        <v>0</v>
      </c>
      <c r="Y67" s="137">
        <f>+VLOOKUP(PROVEEDORES[[#This Row],[ID RETENCION]],Retenciones!$A$1:$O$25,2,FALSE)</f>
        <v>3.5000000000000003E-2</v>
      </c>
      <c r="Z67" s="126" t="b">
        <f>+OR(COUNTIF(PROVEEDORES[[#This Row],[PROVEEDOR]],"*"&amp;'Palabra que no opera y Listas d'!$A$2&amp;"*"))</f>
        <v>1</v>
      </c>
    </row>
    <row r="68" spans="1:26" ht="27.75" customHeight="1" x14ac:dyDescent="0.25">
      <c r="A68" s="141" t="str">
        <f>+IF(PROVEEDORES[[#This Row],[FECHA DE PAGO]]=PROVEEDORES[[#This Row],[FECHA DE FACTURACIÓN]],"DE CONTADO","CRÉDITO")</f>
        <v>CRÉDITO</v>
      </c>
      <c r="B68" s="138" t="b">
        <f>+IF((PROVEEDORES[[#This Row],[FECHA DE PAGO]]-PROVEEDORES[[#This Row],[FECHA DE FACTURACIÓN]])&gt;PROVEEDORES[[#This Row],[PLAZO Días]],"PAGO VENCIDO")</f>
        <v>0</v>
      </c>
      <c r="C68" s="138">
        <f>+VLOOKUP(PROVEEDORES[[#This Row],[PROVEEDOR]],TERCEROS_INFO[#All],2,FALSE)</f>
        <v>30</v>
      </c>
      <c r="D68" s="139">
        <f>+SUMIFS(PROVEEDORES[Total],PROVEEDORES[PROVEEDOR],PROVEEDORES[[#This Row],[PROVEEDOR]],PROVEEDORES[FECHA DE PAGO],"")</f>
        <v>0</v>
      </c>
      <c r="E68" s="140"/>
      <c r="F68" s="138">
        <f>+VLOOKUP(PROVEEDORES[[#This Row],[PROVEEDOR]],
                       Terceros!$A:$F,
                       5,
                       FALSE)</f>
        <v>0</v>
      </c>
      <c r="G68" s="127">
        <v>44984</v>
      </c>
      <c r="H68" s="123" t="s">
        <v>550</v>
      </c>
      <c r="I68" s="127">
        <v>44965</v>
      </c>
      <c r="J68" s="124" t="s">
        <v>559</v>
      </c>
      <c r="K68" s="124" t="s">
        <v>1530</v>
      </c>
      <c r="L68" s="124"/>
      <c r="M68" s="125">
        <v>200000</v>
      </c>
      <c r="N68" s="148">
        <v>38000</v>
      </c>
      <c r="O68" s="148">
        <v>0</v>
      </c>
      <c r="P68" s="149">
        <v>0</v>
      </c>
      <c r="Q68" s="148">
        <v>0</v>
      </c>
      <c r="R68" s="150">
        <v>238000</v>
      </c>
      <c r="S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" s="135">
        <f ca="1">+IF(PROVEEDORES[[#This Row],[FECHA DE PAGO]]=0,TODAY()-PROVEEDORES[[#This Row],[FECHA DE FACTURACIÓN]]-PROVEEDORES[[#This Row],[PLAZO Días]],0)</f>
        <v>0</v>
      </c>
      <c r="U68" s="135" t="str">
        <f>+VLOOKUP(PROVEEDORES[[#This Row],[PROVEEDOR]],Terceros!$A:$D,4,FALSE)</f>
        <v>2,5% con base</v>
      </c>
      <c r="V68" s="135">
        <f>+YEAR(PROVEEDORES[[#This Row],[FECHA DE FACTURACIÓN]])</f>
        <v>2023</v>
      </c>
      <c r="W68" s="135">
        <f>+MATCH(PROVEEDORES[[#This Row],[año facturado]],Retenciones!$1:$1,0)</f>
        <v>6</v>
      </c>
      <c r="X68" s="136">
        <f>+VLOOKUP(PROVEEDORES[[#This Row],[ID RETENCION]],Retenciones!$A$1:$O$25,PROVEEDORES[[#This Row],[indicador de columna]],FALSE)</f>
        <v>1145000</v>
      </c>
      <c r="Y68" s="137">
        <f>+VLOOKUP(PROVEEDORES[[#This Row],[ID RETENCION]],Retenciones!$A$1:$O$25,2,FALSE)</f>
        <v>2.5000000000000001E-2</v>
      </c>
      <c r="Z68" s="126" t="b">
        <f>+OR(COUNTIF(PROVEEDORES[[#This Row],[PROVEEDOR]],"*"&amp;'Palabra que no opera y Listas d'!$A$2&amp;"*"))</f>
        <v>1</v>
      </c>
    </row>
    <row r="69" spans="1:26" ht="27.75" customHeight="1" x14ac:dyDescent="0.25">
      <c r="A69" s="141" t="str">
        <f>+IF(PROVEEDORES[[#This Row],[FECHA DE PAGO]]=PROVEEDORES[[#This Row],[FECHA DE FACTURACIÓN]],"DE CONTADO","CRÉDITO")</f>
        <v>DE CONTADO</v>
      </c>
      <c r="B69" s="138" t="b">
        <f>+IF((PROVEEDORES[[#This Row],[FECHA DE PAGO]]-PROVEEDORES[[#This Row],[FECHA DE FACTURACIÓN]])&gt;PROVEEDORES[[#This Row],[PLAZO Días]],"PAGO VENCIDO")</f>
        <v>0</v>
      </c>
      <c r="C69" s="138">
        <f>+VLOOKUP(PROVEEDORES[[#This Row],[PROVEEDOR]],TERCEROS_INFO[#All],2,FALSE)</f>
        <v>30</v>
      </c>
      <c r="D69" s="139">
        <f>+SUMIFS(PROVEEDORES[Total],PROVEEDORES[PROVEEDOR],PROVEEDORES[[#This Row],[PROVEEDOR]],PROVEEDORES[FECHA DE PAGO],"")</f>
        <v>0</v>
      </c>
      <c r="E69" s="140"/>
      <c r="F69" s="138" t="str">
        <f>+VLOOKUP(PROVEEDORES[[#This Row],[PROVEEDOR]],
                       Terceros!$A:$F,
                       5,
                       FALSE)</f>
        <v/>
      </c>
      <c r="G69" s="127">
        <v>44985</v>
      </c>
      <c r="H69" s="123" t="s">
        <v>525</v>
      </c>
      <c r="I69" s="127">
        <v>44985</v>
      </c>
      <c r="J69" s="124" t="s">
        <v>502</v>
      </c>
      <c r="K69" s="124" t="s">
        <v>1530</v>
      </c>
      <c r="L69" s="124"/>
      <c r="M69" s="125">
        <v>0</v>
      </c>
      <c r="N69" s="148">
        <v>0</v>
      </c>
      <c r="O69" s="148">
        <v>0</v>
      </c>
      <c r="P69" s="149">
        <v>0</v>
      </c>
      <c r="Q69" s="148">
        <v>0</v>
      </c>
      <c r="R69" s="150">
        <v>0</v>
      </c>
      <c r="S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" s="135">
        <f ca="1">+IF(PROVEEDORES[[#This Row],[FECHA DE PAGO]]=0,TODAY()-PROVEEDORES[[#This Row],[FECHA DE FACTURACIÓN]]-PROVEEDORES[[#This Row],[PLAZO Días]],0)</f>
        <v>0</v>
      </c>
      <c r="U69" s="135">
        <f>+VLOOKUP(PROVEEDORES[[#This Row],[PROVEEDOR]],Terceros!$A:$D,4,FALSE)</f>
        <v>0</v>
      </c>
      <c r="V69" s="135">
        <f>+YEAR(PROVEEDORES[[#This Row],[FECHA DE FACTURACIÓN]])</f>
        <v>2023</v>
      </c>
      <c r="W69" s="135">
        <f>+MATCH(PROVEEDORES[[#This Row],[año facturado]],Retenciones!$1:$1,0)</f>
        <v>6</v>
      </c>
      <c r="X69" s="136">
        <f>+VLOOKUP(PROVEEDORES[[#This Row],[ID RETENCION]],Retenciones!$A$1:$O$25,PROVEEDORES[[#This Row],[indicador de columna]],FALSE)</f>
        <v>0</v>
      </c>
      <c r="Y69" s="137">
        <f>+VLOOKUP(PROVEEDORES[[#This Row],[ID RETENCION]],Retenciones!$A$1:$O$25,2,FALSE)</f>
        <v>0</v>
      </c>
      <c r="Z69" s="126" t="b">
        <f>+OR(COUNTIF(PROVEEDORES[[#This Row],[PROVEEDOR]],"*"&amp;'Palabra que no opera y Listas d'!$A$2&amp;"*"))</f>
        <v>0</v>
      </c>
    </row>
    <row r="70" spans="1:26" ht="27.75" customHeight="1" x14ac:dyDescent="0.25">
      <c r="A70" s="141" t="str">
        <f>+IF(PROVEEDORES[[#This Row],[FECHA DE PAGO]]=PROVEEDORES[[#This Row],[FECHA DE FACTURACIÓN]],"DE CONTADO","CRÉDITO")</f>
        <v>DE CONTADO</v>
      </c>
      <c r="B70" s="138" t="b">
        <f>+IF((PROVEEDORES[[#This Row],[FECHA DE PAGO]]-PROVEEDORES[[#This Row],[FECHA DE FACTURACIÓN]])&gt;PROVEEDORES[[#This Row],[PLAZO Días]],"PAGO VENCIDO")</f>
        <v>0</v>
      </c>
      <c r="C70" s="138">
        <f>+VLOOKUP(PROVEEDORES[[#This Row],[PROVEEDOR]],TERCEROS_INFO[#All],2,FALSE)</f>
        <v>30</v>
      </c>
      <c r="D70" s="139">
        <f>+SUMIFS(PROVEEDORES[Total],PROVEEDORES[PROVEEDOR],PROVEEDORES[[#This Row],[PROVEEDOR]],PROVEEDORES[FECHA DE PAGO],"")</f>
        <v>0</v>
      </c>
      <c r="E70" s="140"/>
      <c r="F70" s="138" t="str">
        <f>+VLOOKUP(PROVEEDORES[[#This Row],[PROVEEDOR]],
                       Terceros!$A:$F,
                       5,
                       FALSE)</f>
        <v/>
      </c>
      <c r="G70" s="127">
        <v>44985</v>
      </c>
      <c r="H70" s="123" t="s">
        <v>525</v>
      </c>
      <c r="I70" s="127">
        <v>44985</v>
      </c>
      <c r="J70" s="124" t="s">
        <v>1531</v>
      </c>
      <c r="K70" s="124" t="s">
        <v>1530</v>
      </c>
      <c r="L70" s="124"/>
      <c r="M70" s="125">
        <v>0</v>
      </c>
      <c r="N70" s="148">
        <v>0</v>
      </c>
      <c r="O70" s="148">
        <v>0</v>
      </c>
      <c r="P70" s="149">
        <v>0</v>
      </c>
      <c r="Q70" s="148">
        <v>0</v>
      </c>
      <c r="R70" s="150">
        <v>0</v>
      </c>
      <c r="S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" s="135">
        <f ca="1">+IF(PROVEEDORES[[#This Row],[FECHA DE PAGO]]=0,TODAY()-PROVEEDORES[[#This Row],[FECHA DE FACTURACIÓN]]-PROVEEDORES[[#This Row],[PLAZO Días]],0)</f>
        <v>0</v>
      </c>
      <c r="U70" s="135">
        <f>+VLOOKUP(PROVEEDORES[[#This Row],[PROVEEDOR]],Terceros!$A:$D,4,FALSE)</f>
        <v>0</v>
      </c>
      <c r="V70" s="135">
        <f>+YEAR(PROVEEDORES[[#This Row],[FECHA DE FACTURACIÓN]])</f>
        <v>2023</v>
      </c>
      <c r="W70" s="135">
        <f>+MATCH(PROVEEDORES[[#This Row],[año facturado]],Retenciones!$1:$1,0)</f>
        <v>6</v>
      </c>
      <c r="X70" s="136">
        <f>+VLOOKUP(PROVEEDORES[[#This Row],[ID RETENCION]],Retenciones!$A$1:$O$25,PROVEEDORES[[#This Row],[indicador de columna]],FALSE)</f>
        <v>0</v>
      </c>
      <c r="Y70" s="137">
        <f>+VLOOKUP(PROVEEDORES[[#This Row],[ID RETENCION]],Retenciones!$A$1:$O$25,2,FALSE)</f>
        <v>0</v>
      </c>
      <c r="Z70" s="126" t="b">
        <f>+OR(COUNTIF(PROVEEDORES[[#This Row],[PROVEEDOR]],"*"&amp;'Palabra que no opera y Listas d'!$A$2&amp;"*"))</f>
        <v>0</v>
      </c>
    </row>
    <row r="71" spans="1:26" ht="27.75" customHeight="1" x14ac:dyDescent="0.25">
      <c r="A71" s="141" t="str">
        <f>+IF(PROVEEDORES[[#This Row],[FECHA DE PAGO]]=PROVEEDORES[[#This Row],[FECHA DE FACTURACIÓN]],"DE CONTADO","CRÉDITO")</f>
        <v>DE CONTADO</v>
      </c>
      <c r="B71" s="138" t="b">
        <f>+IF((PROVEEDORES[[#This Row],[FECHA DE PAGO]]-PROVEEDORES[[#This Row],[FECHA DE FACTURACIÓN]])&gt;PROVEEDORES[[#This Row],[PLAZO Días]],"PAGO VENCIDO")</f>
        <v>0</v>
      </c>
      <c r="C71" s="138">
        <f>+VLOOKUP(PROVEEDORES[[#This Row],[PROVEEDOR]],TERCEROS_INFO[#All],2,FALSE)</f>
        <v>30</v>
      </c>
      <c r="D71" s="139">
        <f>+SUMIFS(PROVEEDORES[Total],PROVEEDORES[PROVEEDOR],PROVEEDORES[[#This Row],[PROVEEDOR]],PROVEEDORES[FECHA DE PAGO],"")</f>
        <v>0</v>
      </c>
      <c r="E71" s="140"/>
      <c r="F71" s="138" t="str">
        <f>+VLOOKUP(PROVEEDORES[[#This Row],[PROVEEDOR]],
                       Terceros!$A:$F,
                       5,
                       FALSE)</f>
        <v/>
      </c>
      <c r="G71" s="127">
        <v>44985</v>
      </c>
      <c r="H71" s="123" t="s">
        <v>525</v>
      </c>
      <c r="I71" s="127">
        <v>44985</v>
      </c>
      <c r="J71" s="124" t="s">
        <v>478</v>
      </c>
      <c r="K71" s="124" t="s">
        <v>1530</v>
      </c>
      <c r="L71" s="124"/>
      <c r="M71" s="125">
        <v>203500</v>
      </c>
      <c r="N71" s="148">
        <v>0</v>
      </c>
      <c r="O71" s="148">
        <v>0</v>
      </c>
      <c r="P71" s="149">
        <v>0</v>
      </c>
      <c r="Q71" s="148">
        <v>0</v>
      </c>
      <c r="R71" s="150">
        <v>203500</v>
      </c>
      <c r="S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" s="135">
        <f ca="1">+IF(PROVEEDORES[[#This Row],[FECHA DE PAGO]]=0,TODAY()-PROVEEDORES[[#This Row],[FECHA DE FACTURACIÓN]]-PROVEEDORES[[#This Row],[PLAZO Días]],0)</f>
        <v>0</v>
      </c>
      <c r="U71" s="135">
        <f>+VLOOKUP(PROVEEDORES[[#This Row],[PROVEEDOR]],Terceros!$A:$D,4,FALSE)</f>
        <v>0</v>
      </c>
      <c r="V71" s="135">
        <f>+YEAR(PROVEEDORES[[#This Row],[FECHA DE FACTURACIÓN]])</f>
        <v>2023</v>
      </c>
      <c r="W71" s="135">
        <f>+MATCH(PROVEEDORES[[#This Row],[año facturado]],Retenciones!$1:$1,0)</f>
        <v>6</v>
      </c>
      <c r="X71" s="136">
        <f>+VLOOKUP(PROVEEDORES[[#This Row],[ID RETENCION]],Retenciones!$A$1:$O$25,PROVEEDORES[[#This Row],[indicador de columna]],FALSE)</f>
        <v>0</v>
      </c>
      <c r="Y71" s="137">
        <f>+VLOOKUP(PROVEEDORES[[#This Row],[ID RETENCION]],Retenciones!$A$1:$O$25,2,FALSE)</f>
        <v>0</v>
      </c>
      <c r="Z71" s="126" t="b">
        <f>+OR(COUNTIF(PROVEEDORES[[#This Row],[PROVEEDOR]],"*"&amp;'Palabra que no opera y Listas d'!$A$2&amp;"*"))</f>
        <v>0</v>
      </c>
    </row>
    <row r="72" spans="1:26" ht="27.75" customHeight="1" x14ac:dyDescent="0.25">
      <c r="A72" s="141" t="str">
        <f>+IF(PROVEEDORES[[#This Row],[FECHA DE PAGO]]=PROVEEDORES[[#This Row],[FECHA DE FACTURACIÓN]],"DE CONTADO","CRÉDITO")</f>
        <v>DE CONTADO</v>
      </c>
      <c r="B72" s="138" t="b">
        <f>+IF((PROVEEDORES[[#This Row],[FECHA DE PAGO]]-PROVEEDORES[[#This Row],[FECHA DE FACTURACIÓN]])&gt;PROVEEDORES[[#This Row],[PLAZO Días]],"PAGO VENCIDO")</f>
        <v>0</v>
      </c>
      <c r="C72" s="138">
        <f>+VLOOKUP(PROVEEDORES[[#This Row],[PROVEEDOR]],TERCEROS_INFO[#All],2,FALSE)</f>
        <v>30</v>
      </c>
      <c r="D72" s="139">
        <f>+SUMIFS(PROVEEDORES[Total],PROVEEDORES[PROVEEDOR],PROVEEDORES[[#This Row],[PROVEEDOR]],PROVEEDORES[FECHA DE PAGO],"")</f>
        <v>0</v>
      </c>
      <c r="E72" s="140"/>
      <c r="F72" s="138" t="str">
        <f>+VLOOKUP(PROVEEDORES[[#This Row],[PROVEEDOR]],
                       Terceros!$A:$F,
                       5,
                       FALSE)</f>
        <v/>
      </c>
      <c r="G72" s="127">
        <v>44985</v>
      </c>
      <c r="H72" s="123" t="s">
        <v>525</v>
      </c>
      <c r="I72" s="127">
        <v>44985</v>
      </c>
      <c r="J72" s="124" t="s">
        <v>476</v>
      </c>
      <c r="K72" s="124" t="s">
        <v>1530</v>
      </c>
      <c r="L72" s="124"/>
      <c r="M72" s="125">
        <v>385700</v>
      </c>
      <c r="N72" s="148">
        <v>0</v>
      </c>
      <c r="O72" s="148">
        <v>0</v>
      </c>
      <c r="P72" s="149">
        <v>0</v>
      </c>
      <c r="Q72" s="148">
        <v>0</v>
      </c>
      <c r="R72" s="150">
        <v>385700</v>
      </c>
      <c r="S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" s="135">
        <f ca="1">+IF(PROVEEDORES[[#This Row],[FECHA DE PAGO]]=0,TODAY()-PROVEEDORES[[#This Row],[FECHA DE FACTURACIÓN]]-PROVEEDORES[[#This Row],[PLAZO Días]],0)</f>
        <v>0</v>
      </c>
      <c r="U72" s="135">
        <f>+VLOOKUP(PROVEEDORES[[#This Row],[PROVEEDOR]],Terceros!$A:$D,4,FALSE)</f>
        <v>0</v>
      </c>
      <c r="V72" s="135">
        <f>+YEAR(PROVEEDORES[[#This Row],[FECHA DE FACTURACIÓN]])</f>
        <v>2023</v>
      </c>
      <c r="W72" s="135">
        <f>+MATCH(PROVEEDORES[[#This Row],[año facturado]],Retenciones!$1:$1,0)</f>
        <v>6</v>
      </c>
      <c r="X72" s="136">
        <f>+VLOOKUP(PROVEEDORES[[#This Row],[ID RETENCION]],Retenciones!$A$1:$O$25,PROVEEDORES[[#This Row],[indicador de columna]],FALSE)</f>
        <v>0</v>
      </c>
      <c r="Y72" s="137">
        <f>+VLOOKUP(PROVEEDORES[[#This Row],[ID RETENCION]],Retenciones!$A$1:$O$25,2,FALSE)</f>
        <v>0</v>
      </c>
      <c r="Z72" s="126" t="b">
        <f>+OR(COUNTIF(PROVEEDORES[[#This Row],[PROVEEDOR]],"*"&amp;'Palabra que no opera y Listas d'!$A$2&amp;"*"))</f>
        <v>0</v>
      </c>
    </row>
    <row r="73" spans="1:26" ht="27.75" customHeight="1" x14ac:dyDescent="0.25">
      <c r="A73" s="141" t="str">
        <f>+IF(PROVEEDORES[[#This Row],[FECHA DE PAGO]]=PROVEEDORES[[#This Row],[FECHA DE FACTURACIÓN]],"DE CONTADO","CRÉDITO")</f>
        <v>DE CONTADO</v>
      </c>
      <c r="B73" s="138" t="b">
        <f>+IF((PROVEEDORES[[#This Row],[FECHA DE PAGO]]-PROVEEDORES[[#This Row],[FECHA DE FACTURACIÓN]])&gt;PROVEEDORES[[#This Row],[PLAZO Días]],"PAGO VENCIDO")</f>
        <v>0</v>
      </c>
      <c r="C73" s="138">
        <f>+VLOOKUP(PROVEEDORES[[#This Row],[PROVEEDOR]],TERCEROS_INFO[#All],2,FALSE)</f>
        <v>30</v>
      </c>
      <c r="D73" s="139">
        <f>+SUMIFS(PROVEEDORES[Total],PROVEEDORES[PROVEEDOR],PROVEEDORES[[#This Row],[PROVEEDOR]],PROVEEDORES[FECHA DE PAGO],"")</f>
        <v>0</v>
      </c>
      <c r="E73" s="140"/>
      <c r="F73" s="138" t="str">
        <f>+VLOOKUP(PROVEEDORES[[#This Row],[PROVEEDOR]],
                       Terceros!$A:$F,
                       5,
                       FALSE)</f>
        <v/>
      </c>
      <c r="G73" s="127">
        <v>44985</v>
      </c>
      <c r="H73" s="123" t="s">
        <v>525</v>
      </c>
      <c r="I73" s="127">
        <v>44985</v>
      </c>
      <c r="J73" s="124" t="s">
        <v>503</v>
      </c>
      <c r="K73" s="124" t="s">
        <v>1530</v>
      </c>
      <c r="L73" s="124"/>
      <c r="M73" s="125">
        <v>976000</v>
      </c>
      <c r="N73" s="148">
        <v>0</v>
      </c>
      <c r="O73" s="148">
        <v>0</v>
      </c>
      <c r="P73" s="149">
        <v>0</v>
      </c>
      <c r="Q73" s="148">
        <v>0</v>
      </c>
      <c r="R73" s="150">
        <v>976000</v>
      </c>
      <c r="S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" s="135">
        <f ca="1">+IF(PROVEEDORES[[#This Row],[FECHA DE PAGO]]=0,TODAY()-PROVEEDORES[[#This Row],[FECHA DE FACTURACIÓN]]-PROVEEDORES[[#This Row],[PLAZO Días]],0)</f>
        <v>0</v>
      </c>
      <c r="U73" s="135">
        <f>+VLOOKUP(PROVEEDORES[[#This Row],[PROVEEDOR]],Terceros!$A:$D,4,FALSE)</f>
        <v>0</v>
      </c>
      <c r="V73" s="135">
        <f>+YEAR(PROVEEDORES[[#This Row],[FECHA DE FACTURACIÓN]])</f>
        <v>2023</v>
      </c>
      <c r="W73" s="135">
        <f>+MATCH(PROVEEDORES[[#This Row],[año facturado]],Retenciones!$1:$1,0)</f>
        <v>6</v>
      </c>
      <c r="X73" s="136">
        <f>+VLOOKUP(PROVEEDORES[[#This Row],[ID RETENCION]],Retenciones!$A$1:$O$25,PROVEEDORES[[#This Row],[indicador de columna]],FALSE)</f>
        <v>0</v>
      </c>
      <c r="Y73" s="137">
        <f>+VLOOKUP(PROVEEDORES[[#This Row],[ID RETENCION]],Retenciones!$A$1:$O$25,2,FALSE)</f>
        <v>0</v>
      </c>
      <c r="Z73" s="126" t="b">
        <f>+OR(COUNTIF(PROVEEDORES[[#This Row],[PROVEEDOR]],"*"&amp;'Palabra que no opera y Listas d'!$A$2&amp;"*"))</f>
        <v>0</v>
      </c>
    </row>
    <row r="74" spans="1:26" ht="27.75" customHeight="1" x14ac:dyDescent="0.25">
      <c r="A74" s="141" t="str">
        <f>+IF(PROVEEDORES[[#This Row],[FECHA DE PAGO]]=PROVEEDORES[[#This Row],[FECHA DE FACTURACIÓN]],"DE CONTADO","CRÉDITO")</f>
        <v>DE CONTADO</v>
      </c>
      <c r="B74" s="138" t="b">
        <f>+IF((PROVEEDORES[[#This Row],[FECHA DE PAGO]]-PROVEEDORES[[#This Row],[FECHA DE FACTURACIÓN]])&gt;PROVEEDORES[[#This Row],[PLAZO Días]],"PAGO VENCIDO")</f>
        <v>0</v>
      </c>
      <c r="C74" s="138">
        <f>+VLOOKUP(PROVEEDORES[[#This Row],[PROVEEDOR]],TERCEROS_INFO[#All],2,FALSE)</f>
        <v>30</v>
      </c>
      <c r="D74" s="139">
        <f>+SUMIFS(PROVEEDORES[Total],PROVEEDORES[PROVEEDOR],PROVEEDORES[[#This Row],[PROVEEDOR]],PROVEEDORES[FECHA DE PAGO],"")</f>
        <v>0</v>
      </c>
      <c r="E74" s="140"/>
      <c r="F74" s="138" t="str">
        <f>+VLOOKUP(PROVEEDORES[[#This Row],[PROVEEDOR]],
                       Terceros!$A:$F,
                       5,
                       FALSE)</f>
        <v/>
      </c>
      <c r="G74" s="127">
        <v>44985</v>
      </c>
      <c r="H74" s="123" t="s">
        <v>525</v>
      </c>
      <c r="I74" s="127">
        <v>44985</v>
      </c>
      <c r="J74" s="124" t="s">
        <v>477</v>
      </c>
      <c r="K74" s="124" t="s">
        <v>1530</v>
      </c>
      <c r="L74" s="124"/>
      <c r="M74" s="125">
        <v>1657000</v>
      </c>
      <c r="N74" s="148">
        <v>0</v>
      </c>
      <c r="O74" s="148">
        <v>0</v>
      </c>
      <c r="P74" s="149">
        <v>0</v>
      </c>
      <c r="Q74" s="148">
        <v>0</v>
      </c>
      <c r="R74" s="150">
        <v>1657000</v>
      </c>
      <c r="S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" s="135">
        <f ca="1">+IF(PROVEEDORES[[#This Row],[FECHA DE PAGO]]=0,TODAY()-PROVEEDORES[[#This Row],[FECHA DE FACTURACIÓN]]-PROVEEDORES[[#This Row],[PLAZO Días]],0)</f>
        <v>0</v>
      </c>
      <c r="U74" s="135">
        <f>+VLOOKUP(PROVEEDORES[[#This Row],[PROVEEDOR]],Terceros!$A:$D,4,FALSE)</f>
        <v>0</v>
      </c>
      <c r="V74" s="135">
        <f>+YEAR(PROVEEDORES[[#This Row],[FECHA DE FACTURACIÓN]])</f>
        <v>2023</v>
      </c>
      <c r="W74" s="135">
        <f>+MATCH(PROVEEDORES[[#This Row],[año facturado]],Retenciones!$1:$1,0)</f>
        <v>6</v>
      </c>
      <c r="X74" s="136">
        <f>+VLOOKUP(PROVEEDORES[[#This Row],[ID RETENCION]],Retenciones!$A$1:$O$25,PROVEEDORES[[#This Row],[indicador de columna]],FALSE)</f>
        <v>0</v>
      </c>
      <c r="Y74" s="137">
        <f>+VLOOKUP(PROVEEDORES[[#This Row],[ID RETENCION]],Retenciones!$A$1:$O$25,2,FALSE)</f>
        <v>0</v>
      </c>
      <c r="Z74" s="126" t="b">
        <f>+OR(COUNTIF(PROVEEDORES[[#This Row],[PROVEEDOR]],"*"&amp;'Palabra que no opera y Listas d'!$A$2&amp;"*"))</f>
        <v>0</v>
      </c>
    </row>
    <row r="75" spans="1:26" ht="27.75" customHeight="1" x14ac:dyDescent="0.25">
      <c r="A75" s="141" t="str">
        <f>+IF(PROVEEDORES[[#This Row],[FECHA DE PAGO]]=PROVEEDORES[[#This Row],[FECHA DE FACTURACIÓN]],"DE CONTADO","CRÉDITO")</f>
        <v>CRÉDITO</v>
      </c>
      <c r="B75" s="138" t="b">
        <f>+IF((PROVEEDORES[[#This Row],[FECHA DE PAGO]]-PROVEEDORES[[#This Row],[FECHA DE FACTURACIÓN]])&gt;PROVEEDORES[[#This Row],[PLAZO Días]],"PAGO VENCIDO")</f>
        <v>0</v>
      </c>
      <c r="C75" s="138">
        <f>+VLOOKUP(PROVEEDORES[[#This Row],[PROVEEDOR]],TERCEROS_INFO[#All],2,FALSE)</f>
        <v>30</v>
      </c>
      <c r="D75" s="139">
        <f>+SUMIFS(PROVEEDORES[Total],PROVEEDORES[PROVEEDOR],PROVEEDORES[[#This Row],[PROVEEDOR]],PROVEEDORES[FECHA DE PAGO],"")</f>
        <v>3130000</v>
      </c>
      <c r="E75" s="140"/>
      <c r="F75" s="138">
        <f>+VLOOKUP(PROVEEDORES[[#This Row],[PROVEEDOR]],
                       Terceros!$A:$F,
                       5,
                       FALSE)</f>
        <v>0</v>
      </c>
      <c r="G75" s="127">
        <v>44986</v>
      </c>
      <c r="H75" s="123" t="s">
        <v>472</v>
      </c>
      <c r="I75" s="127">
        <v>44958</v>
      </c>
      <c r="J75" s="124" t="s">
        <v>557</v>
      </c>
      <c r="K75" s="124" t="s">
        <v>1530</v>
      </c>
      <c r="L75" s="124"/>
      <c r="M75" s="125">
        <v>1075000</v>
      </c>
      <c r="N75" s="148">
        <v>0</v>
      </c>
      <c r="O75" s="148">
        <v>0</v>
      </c>
      <c r="P75" s="149">
        <v>0</v>
      </c>
      <c r="Q75" s="148">
        <v>0</v>
      </c>
      <c r="R75" s="150">
        <v>1075000</v>
      </c>
      <c r="S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" s="135">
        <f ca="1">+IF(PROVEEDORES[[#This Row],[FECHA DE PAGO]]=0,TODAY()-PROVEEDORES[[#This Row],[FECHA DE FACTURACIÓN]]-PROVEEDORES[[#This Row],[PLAZO Días]],0)</f>
        <v>0</v>
      </c>
      <c r="U75" s="135">
        <f>+VLOOKUP(PROVEEDORES[[#This Row],[PROVEEDOR]],Terceros!$A:$D,4,FALSE)</f>
        <v>0</v>
      </c>
      <c r="V75" s="135">
        <f>+YEAR(PROVEEDORES[[#This Row],[FECHA DE FACTURACIÓN]])</f>
        <v>2023</v>
      </c>
      <c r="W75" s="135">
        <f>+MATCH(PROVEEDORES[[#This Row],[año facturado]],Retenciones!$1:$1,0)</f>
        <v>6</v>
      </c>
      <c r="X75" s="136">
        <f>+VLOOKUP(PROVEEDORES[[#This Row],[ID RETENCION]],Retenciones!$A$1:$O$25,PROVEEDORES[[#This Row],[indicador de columna]],FALSE)</f>
        <v>0</v>
      </c>
      <c r="Y75" s="137">
        <f>+VLOOKUP(PROVEEDORES[[#This Row],[ID RETENCION]],Retenciones!$A$1:$O$25,2,FALSE)</f>
        <v>0</v>
      </c>
      <c r="Z75" s="126" t="b">
        <f>+OR(COUNTIF(PROVEEDORES[[#This Row],[PROVEEDOR]],"*"&amp;'Palabra que no opera y Listas d'!$A$2&amp;"*"))</f>
        <v>0</v>
      </c>
    </row>
    <row r="76" spans="1:26" ht="27.75" customHeight="1" x14ac:dyDescent="0.25">
      <c r="A76" s="141" t="str">
        <f>+IF(PROVEEDORES[[#This Row],[FECHA DE PAGO]]=PROVEEDORES[[#This Row],[FECHA DE FACTURACIÓN]],"DE CONTADO","CRÉDITO")</f>
        <v>CRÉDITO</v>
      </c>
      <c r="B76" s="138" t="b">
        <f>+IF((PROVEEDORES[[#This Row],[FECHA DE PAGO]]-PROVEEDORES[[#This Row],[FECHA DE FACTURACIÓN]])&gt;PROVEEDORES[[#This Row],[PLAZO Días]],"PAGO VENCIDO")</f>
        <v>0</v>
      </c>
      <c r="C76" s="138">
        <f>+VLOOKUP(PROVEEDORES[[#This Row],[PROVEEDOR]],TERCEROS_INFO[#All],2,FALSE)</f>
        <v>30</v>
      </c>
      <c r="D76" s="139">
        <f>+SUMIFS(PROVEEDORES[Total],PROVEEDORES[PROVEEDOR],PROVEEDORES[[#This Row],[PROVEEDOR]],PROVEEDORES[FECHA DE PAGO],"")</f>
        <v>134000</v>
      </c>
      <c r="E76" s="140"/>
      <c r="F76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76" s="127">
        <v>44986</v>
      </c>
      <c r="H76" s="123" t="s">
        <v>1808</v>
      </c>
      <c r="I76" s="127">
        <v>44972</v>
      </c>
      <c r="J76" s="124" t="s">
        <v>592</v>
      </c>
      <c r="K76" s="124" t="s">
        <v>1530</v>
      </c>
      <c r="L76" s="124"/>
      <c r="M76" s="125">
        <v>101500</v>
      </c>
      <c r="N76" s="148">
        <v>0</v>
      </c>
      <c r="O76" s="148">
        <v>0</v>
      </c>
      <c r="P76" s="149">
        <v>0</v>
      </c>
      <c r="Q76" s="148">
        <v>0</v>
      </c>
      <c r="R76" s="150">
        <v>101500</v>
      </c>
      <c r="S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" s="135">
        <f ca="1">+IF(PROVEEDORES[[#This Row],[FECHA DE PAGO]]=0,TODAY()-PROVEEDORES[[#This Row],[FECHA DE FACTURACIÓN]]-PROVEEDORES[[#This Row],[PLAZO Días]],0)</f>
        <v>0</v>
      </c>
      <c r="U76" s="135">
        <f>+VLOOKUP(PROVEEDORES[[#This Row],[PROVEEDOR]],Terceros!$A:$D,4,FALSE)</f>
        <v>0</v>
      </c>
      <c r="V76" s="135">
        <f>+YEAR(PROVEEDORES[[#This Row],[FECHA DE FACTURACIÓN]])</f>
        <v>2023</v>
      </c>
      <c r="W76" s="135">
        <f>+MATCH(PROVEEDORES[[#This Row],[año facturado]],Retenciones!$1:$1,0)</f>
        <v>6</v>
      </c>
      <c r="X76" s="136">
        <f>+VLOOKUP(PROVEEDORES[[#This Row],[ID RETENCION]],Retenciones!$A$1:$O$25,PROVEEDORES[[#This Row],[indicador de columna]],FALSE)</f>
        <v>0</v>
      </c>
      <c r="Y76" s="137">
        <f>+VLOOKUP(PROVEEDORES[[#This Row],[ID RETENCION]],Retenciones!$A$1:$O$25,2,FALSE)</f>
        <v>0</v>
      </c>
      <c r="Z76" s="126" t="b">
        <f>+OR(COUNTIF(PROVEEDORES[[#This Row],[PROVEEDOR]],"*"&amp;'Palabra que no opera y Listas d'!$A$2&amp;"*"))</f>
        <v>0</v>
      </c>
    </row>
    <row r="77" spans="1:26" ht="27.75" customHeight="1" x14ac:dyDescent="0.25">
      <c r="A77" s="141" t="str">
        <f>+IF(PROVEEDORES[[#This Row],[FECHA DE PAGO]]=PROVEEDORES[[#This Row],[FECHA DE FACTURACIÓN]],"DE CONTADO","CRÉDITO")</f>
        <v>CRÉDITO</v>
      </c>
      <c r="B77" s="138" t="str">
        <f>+IF((PROVEEDORES[[#This Row],[FECHA DE PAGO]]-PROVEEDORES[[#This Row],[FECHA DE FACTURACIÓN]])&gt;PROVEEDORES[[#This Row],[PLAZO Días]],"PAGO VENCIDO")</f>
        <v>PAGO VENCIDO</v>
      </c>
      <c r="C77" s="138">
        <f>+VLOOKUP(PROVEEDORES[[#This Row],[PROVEEDOR]],TERCEROS_INFO[#All],2,FALSE)</f>
        <v>30</v>
      </c>
      <c r="D77" s="139">
        <f>+SUMIFS(PROVEEDORES[Total],PROVEEDORES[PROVEEDOR],PROVEEDORES[[#This Row],[PROVEEDOR]],PROVEEDORES[FECHA DE PAGO],"")</f>
        <v>4466504.835</v>
      </c>
      <c r="E77" s="140"/>
      <c r="F77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77" s="127">
        <v>44988</v>
      </c>
      <c r="H77" s="123" t="s">
        <v>18</v>
      </c>
      <c r="I77" s="127">
        <v>44936</v>
      </c>
      <c r="J77" s="124" t="s">
        <v>537</v>
      </c>
      <c r="K77" s="124" t="s">
        <v>1530</v>
      </c>
      <c r="L77" s="124"/>
      <c r="M77" s="125">
        <v>2030628</v>
      </c>
      <c r="N77" s="148">
        <v>385819.32</v>
      </c>
      <c r="O77" s="148">
        <v>0</v>
      </c>
      <c r="P77" s="149">
        <v>2.5000000000000001E-2</v>
      </c>
      <c r="Q77" s="148">
        <v>50765.700000000004</v>
      </c>
      <c r="R77" s="150">
        <v>2365681.6199999996</v>
      </c>
      <c r="S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" s="135">
        <f ca="1">+IF(PROVEEDORES[[#This Row],[FECHA DE PAGO]]=0,TODAY()-PROVEEDORES[[#This Row],[FECHA DE FACTURACIÓN]]-PROVEEDORES[[#This Row],[PLAZO Días]],0)</f>
        <v>0</v>
      </c>
      <c r="U77" s="135" t="str">
        <f>+VLOOKUP(PROVEEDORES[[#This Row],[PROVEEDOR]],Terceros!$A:$D,4,FALSE)</f>
        <v>2,5% con base</v>
      </c>
      <c r="V77" s="135">
        <f>+YEAR(PROVEEDORES[[#This Row],[FECHA DE FACTURACIÓN]])</f>
        <v>2023</v>
      </c>
      <c r="W77" s="135">
        <f>+MATCH(PROVEEDORES[[#This Row],[año facturado]],Retenciones!$1:$1,0)</f>
        <v>6</v>
      </c>
      <c r="X77" s="136">
        <f>+VLOOKUP(PROVEEDORES[[#This Row],[ID RETENCION]],Retenciones!$A$1:$O$25,PROVEEDORES[[#This Row],[indicador de columna]],FALSE)</f>
        <v>1145000</v>
      </c>
      <c r="Y77" s="137">
        <f>+VLOOKUP(PROVEEDORES[[#This Row],[ID RETENCION]],Retenciones!$A$1:$O$25,2,FALSE)</f>
        <v>2.5000000000000001E-2</v>
      </c>
      <c r="Z77" s="126" t="b">
        <f>+OR(COUNTIF(PROVEEDORES[[#This Row],[PROVEEDOR]],"*"&amp;'Palabra que no opera y Listas d'!$A$2&amp;"*"))</f>
        <v>0</v>
      </c>
    </row>
    <row r="78" spans="1:26" ht="27.75" customHeight="1" x14ac:dyDescent="0.25">
      <c r="A78" s="141" t="str">
        <f>+IF(PROVEEDORES[[#This Row],[FECHA DE PAGO]]=PROVEEDORES[[#This Row],[FECHA DE FACTURACIÓN]],"DE CONTADO","CRÉDITO")</f>
        <v>CRÉDITO</v>
      </c>
      <c r="B78" s="138" t="str">
        <f>+IF((PROVEEDORES[[#This Row],[FECHA DE PAGO]]-PROVEEDORES[[#This Row],[FECHA DE FACTURACIÓN]])&gt;PROVEEDORES[[#This Row],[PLAZO Días]],"PAGO VENCIDO")</f>
        <v>PAGO VENCIDO</v>
      </c>
      <c r="C78" s="138">
        <f>+VLOOKUP(PROVEEDORES[[#This Row],[PROVEEDOR]],TERCEROS_INFO[#All],2,FALSE)</f>
        <v>30</v>
      </c>
      <c r="D78" s="139">
        <f>+SUMIFS(PROVEEDORES[Total],PROVEEDORES[PROVEEDOR],PROVEEDORES[[#This Row],[PROVEEDOR]],PROVEEDORES[FECHA DE PAGO],"")</f>
        <v>4466504.835</v>
      </c>
      <c r="E78" s="140"/>
      <c r="F78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78" s="127">
        <v>44988</v>
      </c>
      <c r="H78" s="123" t="s">
        <v>18</v>
      </c>
      <c r="I78" s="127">
        <v>44937</v>
      </c>
      <c r="J78" s="124" t="s">
        <v>538</v>
      </c>
      <c r="K78" s="124" t="s">
        <v>1530</v>
      </c>
      <c r="L78" s="124"/>
      <c r="M78" s="125">
        <v>703990</v>
      </c>
      <c r="N78" s="148">
        <v>133758.1</v>
      </c>
      <c r="O78" s="148">
        <v>0</v>
      </c>
      <c r="P78" s="149">
        <v>0</v>
      </c>
      <c r="Q78" s="148">
        <v>0</v>
      </c>
      <c r="R78" s="150">
        <v>837748.1</v>
      </c>
      <c r="S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" s="135">
        <f ca="1">+IF(PROVEEDORES[[#This Row],[FECHA DE PAGO]]=0,TODAY()-PROVEEDORES[[#This Row],[FECHA DE FACTURACIÓN]]-PROVEEDORES[[#This Row],[PLAZO Días]],0)</f>
        <v>0</v>
      </c>
      <c r="U78" s="135" t="str">
        <f>+VLOOKUP(PROVEEDORES[[#This Row],[PROVEEDOR]],Terceros!$A:$D,4,FALSE)</f>
        <v>2,5% con base</v>
      </c>
      <c r="V78" s="135">
        <f>+YEAR(PROVEEDORES[[#This Row],[FECHA DE FACTURACIÓN]])</f>
        <v>2023</v>
      </c>
      <c r="W78" s="135">
        <f>+MATCH(PROVEEDORES[[#This Row],[año facturado]],Retenciones!$1:$1,0)</f>
        <v>6</v>
      </c>
      <c r="X78" s="136">
        <f>+VLOOKUP(PROVEEDORES[[#This Row],[ID RETENCION]],Retenciones!$A$1:$O$25,PROVEEDORES[[#This Row],[indicador de columna]],FALSE)</f>
        <v>1145000</v>
      </c>
      <c r="Y78" s="137">
        <f>+VLOOKUP(PROVEEDORES[[#This Row],[ID RETENCION]],Retenciones!$A$1:$O$25,2,FALSE)</f>
        <v>2.5000000000000001E-2</v>
      </c>
      <c r="Z78" s="126" t="b">
        <f>+OR(COUNTIF(PROVEEDORES[[#This Row],[PROVEEDOR]],"*"&amp;'Palabra que no opera y Listas d'!$A$2&amp;"*"))</f>
        <v>0</v>
      </c>
    </row>
    <row r="79" spans="1:26" ht="27.75" customHeight="1" x14ac:dyDescent="0.25">
      <c r="A79" s="141" t="str">
        <f>+IF(PROVEEDORES[[#This Row],[FECHA DE PAGO]]=PROVEEDORES[[#This Row],[FECHA DE FACTURACIÓN]],"DE CONTADO","CRÉDITO")</f>
        <v>CRÉDITO</v>
      </c>
      <c r="B79" s="138" t="b">
        <f>+IF((PROVEEDORES[[#This Row],[FECHA DE PAGO]]-PROVEEDORES[[#This Row],[FECHA DE FACTURACIÓN]])&gt;PROVEEDORES[[#This Row],[PLAZO Días]],"PAGO VENCIDO")</f>
        <v>0</v>
      </c>
      <c r="C79" s="138">
        <f>+VLOOKUP(PROVEEDORES[[#This Row],[PROVEEDOR]],TERCEROS_INFO[#All],2,FALSE)</f>
        <v>60</v>
      </c>
      <c r="D79" s="139">
        <f>+SUMIFS(PROVEEDORES[Total],PROVEEDORES[PROVEEDOR],PROVEEDORES[[#This Row],[PROVEEDOR]],PROVEEDORES[FECHA DE PAGO],"")</f>
        <v>50353355.590000004</v>
      </c>
      <c r="E79" s="140"/>
      <c r="F79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79" s="127">
        <v>44988</v>
      </c>
      <c r="H79" s="123" t="s">
        <v>9</v>
      </c>
      <c r="I79" s="127">
        <v>44937</v>
      </c>
      <c r="J79" s="124" t="s">
        <v>541</v>
      </c>
      <c r="K79" s="124" t="s">
        <v>1530</v>
      </c>
      <c r="L79" s="124"/>
      <c r="M79" s="125">
        <v>612179</v>
      </c>
      <c r="N79" s="148">
        <v>116314.01</v>
      </c>
      <c r="O79" s="148">
        <v>0</v>
      </c>
      <c r="P79" s="149">
        <v>0</v>
      </c>
      <c r="Q79" s="148">
        <v>0</v>
      </c>
      <c r="R79" s="150">
        <v>728493.01</v>
      </c>
      <c r="S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" s="135">
        <f ca="1">+IF(PROVEEDORES[[#This Row],[FECHA DE PAGO]]=0,TODAY()-PROVEEDORES[[#This Row],[FECHA DE FACTURACIÓN]]-PROVEEDORES[[#This Row],[PLAZO Días]],0)</f>
        <v>0</v>
      </c>
      <c r="U79" s="135" t="str">
        <f>+VLOOKUP(PROVEEDORES[[#This Row],[PROVEEDOR]],Terceros!$A:$D,4,FALSE)</f>
        <v>2,5% con base</v>
      </c>
      <c r="V79" s="135">
        <f>+YEAR(PROVEEDORES[[#This Row],[FECHA DE FACTURACIÓN]])</f>
        <v>2023</v>
      </c>
      <c r="W79" s="135">
        <f>+MATCH(PROVEEDORES[[#This Row],[año facturado]],Retenciones!$1:$1,0)</f>
        <v>6</v>
      </c>
      <c r="X79" s="136">
        <f>+VLOOKUP(PROVEEDORES[[#This Row],[ID RETENCION]],Retenciones!$A$1:$O$25,PROVEEDORES[[#This Row],[indicador de columna]],FALSE)</f>
        <v>1145000</v>
      </c>
      <c r="Y79" s="137">
        <f>+VLOOKUP(PROVEEDORES[[#This Row],[ID RETENCION]],Retenciones!$A$1:$O$25,2,FALSE)</f>
        <v>2.5000000000000001E-2</v>
      </c>
      <c r="Z79" s="126" t="b">
        <f>+OR(COUNTIF(PROVEEDORES[[#This Row],[PROVEEDOR]],"*"&amp;'Palabra que no opera y Listas d'!$A$2&amp;"*"))</f>
        <v>0</v>
      </c>
    </row>
    <row r="80" spans="1:26" ht="27.75" customHeight="1" x14ac:dyDescent="0.25">
      <c r="A80" s="141" t="str">
        <f>+IF(PROVEEDORES[[#This Row],[FECHA DE PAGO]]=PROVEEDORES[[#This Row],[FECHA DE FACTURACIÓN]],"DE CONTADO","CRÉDITO")</f>
        <v>CRÉDITO</v>
      </c>
      <c r="B80" s="138" t="str">
        <f>+IF((PROVEEDORES[[#This Row],[FECHA DE PAGO]]-PROVEEDORES[[#This Row],[FECHA DE FACTURACIÓN]])&gt;PROVEEDORES[[#This Row],[PLAZO Días]],"PAGO VENCIDO")</f>
        <v>PAGO VENCIDO</v>
      </c>
      <c r="C80" s="138">
        <f>+VLOOKUP(PROVEEDORES[[#This Row],[PROVEEDOR]],TERCEROS_INFO[#All],2,FALSE)</f>
        <v>30</v>
      </c>
      <c r="D80" s="139">
        <f>+SUMIFS(PROVEEDORES[Total],PROVEEDORES[PROVEEDOR],PROVEEDORES[[#This Row],[PROVEEDOR]],PROVEEDORES[FECHA DE PAGO],"")</f>
        <v>4466504.835</v>
      </c>
      <c r="E80" s="140"/>
      <c r="F80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80" s="127">
        <v>44988</v>
      </c>
      <c r="H80" s="123" t="s">
        <v>18</v>
      </c>
      <c r="I80" s="127">
        <v>44938</v>
      </c>
      <c r="J80" s="124" t="s">
        <v>536</v>
      </c>
      <c r="K80" s="124" t="s">
        <v>1530</v>
      </c>
      <c r="L80" s="124"/>
      <c r="M80" s="125">
        <v>12580881</v>
      </c>
      <c r="N80" s="148">
        <v>2390367.39</v>
      </c>
      <c r="O80" s="148">
        <v>0</v>
      </c>
      <c r="P80" s="149">
        <v>2.5000000000000001E-2</v>
      </c>
      <c r="Q80" s="148">
        <v>314522.02500000002</v>
      </c>
      <c r="R80" s="150">
        <v>14656726.365</v>
      </c>
      <c r="S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" s="135">
        <f ca="1">+IF(PROVEEDORES[[#This Row],[FECHA DE PAGO]]=0,TODAY()-PROVEEDORES[[#This Row],[FECHA DE FACTURACIÓN]]-PROVEEDORES[[#This Row],[PLAZO Días]],0)</f>
        <v>0</v>
      </c>
      <c r="U80" s="135" t="str">
        <f>+VLOOKUP(PROVEEDORES[[#This Row],[PROVEEDOR]],Terceros!$A:$D,4,FALSE)</f>
        <v>2,5% con base</v>
      </c>
      <c r="V80" s="135">
        <f>+YEAR(PROVEEDORES[[#This Row],[FECHA DE FACTURACIÓN]])</f>
        <v>2023</v>
      </c>
      <c r="W80" s="135">
        <f>+MATCH(PROVEEDORES[[#This Row],[año facturado]],Retenciones!$1:$1,0)</f>
        <v>6</v>
      </c>
      <c r="X80" s="136">
        <f>+VLOOKUP(PROVEEDORES[[#This Row],[ID RETENCION]],Retenciones!$A$1:$O$25,PROVEEDORES[[#This Row],[indicador de columna]],FALSE)</f>
        <v>1145000</v>
      </c>
      <c r="Y80" s="137">
        <f>+VLOOKUP(PROVEEDORES[[#This Row],[ID RETENCION]],Retenciones!$A$1:$O$25,2,FALSE)</f>
        <v>2.5000000000000001E-2</v>
      </c>
      <c r="Z80" s="126" t="b">
        <f>+OR(COUNTIF(PROVEEDORES[[#This Row],[PROVEEDOR]],"*"&amp;'Palabra que no opera y Listas d'!$A$2&amp;"*"))</f>
        <v>0</v>
      </c>
    </row>
    <row r="81" spans="1:26" ht="27.75" customHeight="1" x14ac:dyDescent="0.25">
      <c r="A81" s="141" t="str">
        <f>+IF(PROVEEDORES[[#This Row],[FECHA DE PAGO]]=PROVEEDORES[[#This Row],[FECHA DE FACTURACIÓN]],"DE CONTADO","CRÉDITO")</f>
        <v>CRÉDITO</v>
      </c>
      <c r="B81" s="138" t="str">
        <f>+IF((PROVEEDORES[[#This Row],[FECHA DE PAGO]]-PROVEEDORES[[#This Row],[FECHA DE FACTURACIÓN]])&gt;PROVEEDORES[[#This Row],[PLAZO Días]],"PAGO VENCIDO")</f>
        <v>PAGO VENCIDO</v>
      </c>
      <c r="C81" s="138">
        <f>+VLOOKUP(PROVEEDORES[[#This Row],[PROVEEDOR]],TERCEROS_INFO[#All],2,FALSE)</f>
        <v>30</v>
      </c>
      <c r="D81" s="139">
        <f>+SUMIFS(PROVEEDORES[Total],PROVEEDORES[PROVEEDOR],PROVEEDORES[[#This Row],[PROVEEDOR]],PROVEEDORES[FECHA DE PAGO],"")</f>
        <v>9349257.8100000005</v>
      </c>
      <c r="E81" s="140"/>
      <c r="F81" s="13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81" s="127">
        <v>44988</v>
      </c>
      <c r="H81" s="123" t="s">
        <v>226</v>
      </c>
      <c r="I81" s="127">
        <v>44949</v>
      </c>
      <c r="J81" s="124" t="s">
        <v>539</v>
      </c>
      <c r="K81" s="124" t="s">
        <v>1530</v>
      </c>
      <c r="L81" s="124"/>
      <c r="M81" s="125">
        <v>732750</v>
      </c>
      <c r="N81" s="148">
        <v>139222.5</v>
      </c>
      <c r="O81" s="148">
        <v>0</v>
      </c>
      <c r="P81" s="149">
        <v>0</v>
      </c>
      <c r="Q81" s="148">
        <v>0</v>
      </c>
      <c r="R81" s="150">
        <v>871972.5</v>
      </c>
      <c r="S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" s="135">
        <f ca="1">+IF(PROVEEDORES[[#This Row],[FECHA DE PAGO]]=0,TODAY()-PROVEEDORES[[#This Row],[FECHA DE FACTURACIÓN]]-PROVEEDORES[[#This Row],[PLAZO Días]],0)</f>
        <v>0</v>
      </c>
      <c r="U81" s="135" t="str">
        <f>+VLOOKUP(PROVEEDORES[[#This Row],[PROVEEDOR]],Terceros!$A:$D,4,FALSE)</f>
        <v>2,5% con base</v>
      </c>
      <c r="V81" s="135">
        <f>+YEAR(PROVEEDORES[[#This Row],[FECHA DE FACTURACIÓN]])</f>
        <v>2023</v>
      </c>
      <c r="W81" s="135">
        <f>+MATCH(PROVEEDORES[[#This Row],[año facturado]],Retenciones!$1:$1,0)</f>
        <v>6</v>
      </c>
      <c r="X81" s="136">
        <f>+VLOOKUP(PROVEEDORES[[#This Row],[ID RETENCION]],Retenciones!$A$1:$O$25,PROVEEDORES[[#This Row],[indicador de columna]],FALSE)</f>
        <v>1145000</v>
      </c>
      <c r="Y81" s="137">
        <f>+VLOOKUP(PROVEEDORES[[#This Row],[ID RETENCION]],Retenciones!$A$1:$O$25,2,FALSE)</f>
        <v>2.5000000000000001E-2</v>
      </c>
      <c r="Z81" s="126" t="b">
        <f>+OR(COUNTIF(PROVEEDORES[[#This Row],[PROVEEDOR]],"*"&amp;'Palabra que no opera y Listas d'!$A$2&amp;"*"))</f>
        <v>0</v>
      </c>
    </row>
    <row r="82" spans="1:26" ht="27.75" customHeight="1" x14ac:dyDescent="0.25">
      <c r="A82" s="141" t="str">
        <f>+IF(PROVEEDORES[[#This Row],[FECHA DE PAGO]]=PROVEEDORES[[#This Row],[FECHA DE FACTURACIÓN]],"DE CONTADO","CRÉDITO")</f>
        <v>CRÉDITO</v>
      </c>
      <c r="B82" s="138" t="str">
        <f>+IF((PROVEEDORES[[#This Row],[FECHA DE PAGO]]-PROVEEDORES[[#This Row],[FECHA DE FACTURACIÓN]])&gt;PROVEEDORES[[#This Row],[PLAZO Días]],"PAGO VENCIDO")</f>
        <v>PAGO VENCIDO</v>
      </c>
      <c r="C82" s="138">
        <f>+VLOOKUP(PROVEEDORES[[#This Row],[PROVEEDOR]],TERCEROS_INFO[#All],2,FALSE)</f>
        <v>30</v>
      </c>
      <c r="D82" s="139">
        <f>+SUMIFS(PROVEEDORES[Total],PROVEEDORES[PROVEEDOR],PROVEEDORES[[#This Row],[PROVEEDOR]],PROVEEDORES[FECHA DE PAGO],"")</f>
        <v>3152439.05</v>
      </c>
      <c r="E82" s="140"/>
      <c r="F82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82" s="127">
        <v>44988</v>
      </c>
      <c r="H82" s="123" t="s">
        <v>220</v>
      </c>
      <c r="I82" s="127">
        <v>44950</v>
      </c>
      <c r="J82" s="124" t="s">
        <v>534</v>
      </c>
      <c r="K82" s="124" t="s">
        <v>1530</v>
      </c>
      <c r="L82" s="124"/>
      <c r="M82" s="125">
        <v>2040000</v>
      </c>
      <c r="N82" s="148">
        <v>387600</v>
      </c>
      <c r="O82" s="148">
        <v>0</v>
      </c>
      <c r="P82" s="149">
        <v>0</v>
      </c>
      <c r="Q82" s="148">
        <v>0</v>
      </c>
      <c r="R82" s="150">
        <v>2427600</v>
      </c>
      <c r="S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" s="135">
        <f ca="1">+IF(PROVEEDORES[[#This Row],[FECHA DE PAGO]]=0,TODAY()-PROVEEDORES[[#This Row],[FECHA DE FACTURACIÓN]]-PROVEEDORES[[#This Row],[PLAZO Días]],0)</f>
        <v>0</v>
      </c>
      <c r="U82" s="135">
        <f>+VLOOKUP(PROVEEDORES[[#This Row],[PROVEEDOR]],Terceros!$A:$D,4,FALSE)</f>
        <v>0</v>
      </c>
      <c r="V82" s="135">
        <f>+YEAR(PROVEEDORES[[#This Row],[FECHA DE FACTURACIÓN]])</f>
        <v>2023</v>
      </c>
      <c r="W82" s="135">
        <f>+MATCH(PROVEEDORES[[#This Row],[año facturado]],Retenciones!$1:$1,0)</f>
        <v>6</v>
      </c>
      <c r="X82" s="136">
        <f>+VLOOKUP(PROVEEDORES[[#This Row],[ID RETENCION]],Retenciones!$A$1:$O$25,PROVEEDORES[[#This Row],[indicador de columna]],FALSE)</f>
        <v>0</v>
      </c>
      <c r="Y82" s="137">
        <f>+VLOOKUP(PROVEEDORES[[#This Row],[ID RETENCION]],Retenciones!$A$1:$O$25,2,FALSE)</f>
        <v>0</v>
      </c>
      <c r="Z82" s="126" t="b">
        <f>+OR(COUNTIF(PROVEEDORES[[#This Row],[PROVEEDOR]],"*"&amp;'Palabra que no opera y Listas d'!$A$2&amp;"*"))</f>
        <v>0</v>
      </c>
    </row>
    <row r="83" spans="1:26" ht="27.75" customHeight="1" x14ac:dyDescent="0.25">
      <c r="A83" s="141" t="str">
        <f>+IF(PROVEEDORES[[#This Row],[FECHA DE PAGO]]=PROVEEDORES[[#This Row],[FECHA DE FACTURACIÓN]],"DE CONTADO","CRÉDITO")</f>
        <v>CRÉDITO</v>
      </c>
      <c r="B83" s="138" t="str">
        <f>+IF((PROVEEDORES[[#This Row],[FECHA DE PAGO]]-PROVEEDORES[[#This Row],[FECHA DE FACTURACIÓN]])&gt;PROVEEDORES[[#This Row],[PLAZO Días]],"PAGO VENCIDO")</f>
        <v>PAGO VENCIDO</v>
      </c>
      <c r="C83" s="138">
        <f>+VLOOKUP(PROVEEDORES[[#This Row],[PROVEEDOR]],TERCEROS_INFO[#All],2,FALSE)</f>
        <v>30</v>
      </c>
      <c r="D83" s="139">
        <f>+SUMIFS(PROVEEDORES[Total],PROVEEDORES[PROVEEDOR],PROVEEDORES[[#This Row],[PROVEEDOR]],PROVEEDORES[FECHA DE PAGO],"")</f>
        <v>1776037.21</v>
      </c>
      <c r="E83" s="140"/>
      <c r="F83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3" s="127">
        <v>44988</v>
      </c>
      <c r="H83" s="123" t="s">
        <v>17</v>
      </c>
      <c r="I83" s="127">
        <v>44951</v>
      </c>
      <c r="J83" s="124" t="s">
        <v>587</v>
      </c>
      <c r="K83" s="124" t="s">
        <v>1530</v>
      </c>
      <c r="L83" s="124"/>
      <c r="M83" s="125">
        <v>819316</v>
      </c>
      <c r="N83" s="148">
        <v>155670.04</v>
      </c>
      <c r="O83" s="148">
        <v>0</v>
      </c>
      <c r="P83" s="149">
        <v>0</v>
      </c>
      <c r="Q83" s="148">
        <v>0</v>
      </c>
      <c r="R83" s="150">
        <v>974986.04</v>
      </c>
      <c r="S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" s="135">
        <f ca="1">+IF(PROVEEDORES[[#This Row],[FECHA DE PAGO]]=0,TODAY()-PROVEEDORES[[#This Row],[FECHA DE FACTURACIÓN]]-PROVEEDORES[[#This Row],[PLAZO Días]],0)</f>
        <v>0</v>
      </c>
      <c r="U83" s="135">
        <f>+VLOOKUP(PROVEEDORES[[#This Row],[PROVEEDOR]],Terceros!$A:$D,4,FALSE)</f>
        <v>0</v>
      </c>
      <c r="V83" s="135">
        <f>+YEAR(PROVEEDORES[[#This Row],[FECHA DE FACTURACIÓN]])</f>
        <v>2023</v>
      </c>
      <c r="W83" s="135">
        <f>+MATCH(PROVEEDORES[[#This Row],[año facturado]],Retenciones!$1:$1,0)</f>
        <v>6</v>
      </c>
      <c r="X83" s="136">
        <f>+VLOOKUP(PROVEEDORES[[#This Row],[ID RETENCION]],Retenciones!$A$1:$O$25,PROVEEDORES[[#This Row],[indicador de columna]],FALSE)</f>
        <v>0</v>
      </c>
      <c r="Y83" s="137">
        <f>+VLOOKUP(PROVEEDORES[[#This Row],[ID RETENCION]],Retenciones!$A$1:$O$25,2,FALSE)</f>
        <v>0</v>
      </c>
      <c r="Z83" s="126" t="b">
        <f>+OR(COUNTIF(PROVEEDORES[[#This Row],[PROVEEDOR]],"*"&amp;'Palabra que no opera y Listas d'!$A$2&amp;"*"))</f>
        <v>0</v>
      </c>
    </row>
    <row r="84" spans="1:26" ht="27.75" customHeight="1" x14ac:dyDescent="0.25">
      <c r="A84" s="141" t="str">
        <f>+IF(PROVEEDORES[[#This Row],[FECHA DE PAGO]]=PROVEEDORES[[#This Row],[FECHA DE FACTURACIÓN]],"DE CONTADO","CRÉDITO")</f>
        <v>CRÉDITO</v>
      </c>
      <c r="B84" s="138" t="str">
        <f>+IF((PROVEEDORES[[#This Row],[FECHA DE PAGO]]-PROVEEDORES[[#This Row],[FECHA DE FACTURACIÓN]])&gt;PROVEEDORES[[#This Row],[PLAZO Días]],"PAGO VENCIDO")</f>
        <v>PAGO VENCIDO</v>
      </c>
      <c r="C84" s="138">
        <f>+VLOOKUP(PROVEEDORES[[#This Row],[PROVEEDOR]],TERCEROS_INFO[#All],2,FALSE)</f>
        <v>30</v>
      </c>
      <c r="D84" s="139">
        <f>+SUMIFS(PROVEEDORES[Total],PROVEEDORES[PROVEEDOR],PROVEEDORES[[#This Row],[PROVEEDOR]],PROVEEDORES[FECHA DE PAGO],"")</f>
        <v>0</v>
      </c>
      <c r="E84" s="140"/>
      <c r="F84" s="13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84" s="127">
        <v>44988</v>
      </c>
      <c r="H84" s="123" t="s">
        <v>1592</v>
      </c>
      <c r="I84" s="127">
        <v>44951</v>
      </c>
      <c r="J84" s="124" t="s">
        <v>543</v>
      </c>
      <c r="K84" s="124" t="s">
        <v>1530</v>
      </c>
      <c r="L84" s="124"/>
      <c r="M84" s="125">
        <v>3088000</v>
      </c>
      <c r="N84" s="148">
        <v>586720</v>
      </c>
      <c r="O84" s="148">
        <v>0</v>
      </c>
      <c r="P84" s="149">
        <v>2.5000000000000001E-2</v>
      </c>
      <c r="Q84" s="148">
        <v>77200</v>
      </c>
      <c r="R84" s="150">
        <v>3597520</v>
      </c>
      <c r="S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" s="135">
        <f ca="1">+IF(PROVEEDORES[[#This Row],[FECHA DE PAGO]]=0,TODAY()-PROVEEDORES[[#This Row],[FECHA DE FACTURACIÓN]]-PROVEEDORES[[#This Row],[PLAZO Días]],0)</f>
        <v>0</v>
      </c>
      <c r="U84" s="135" t="str">
        <f>+VLOOKUP(PROVEEDORES[[#This Row],[PROVEEDOR]],Terceros!$A:$D,4,FALSE)</f>
        <v>2,5% con base</v>
      </c>
      <c r="V84" s="135">
        <f>+YEAR(PROVEEDORES[[#This Row],[FECHA DE FACTURACIÓN]])</f>
        <v>2023</v>
      </c>
      <c r="W84" s="135">
        <f>+MATCH(PROVEEDORES[[#This Row],[año facturado]],Retenciones!$1:$1,0)</f>
        <v>6</v>
      </c>
      <c r="X84" s="136">
        <f>+VLOOKUP(PROVEEDORES[[#This Row],[ID RETENCION]],Retenciones!$A$1:$O$25,PROVEEDORES[[#This Row],[indicador de columna]],FALSE)</f>
        <v>1145000</v>
      </c>
      <c r="Y84" s="137">
        <f>+VLOOKUP(PROVEEDORES[[#This Row],[ID RETENCION]],Retenciones!$A$1:$O$25,2,FALSE)</f>
        <v>2.5000000000000001E-2</v>
      </c>
      <c r="Z84" s="126" t="b">
        <f>+OR(COUNTIF(PROVEEDORES[[#This Row],[PROVEEDOR]],"*"&amp;'Palabra que no opera y Listas d'!$A$2&amp;"*"))</f>
        <v>0</v>
      </c>
    </row>
    <row r="85" spans="1:26" ht="27.75" customHeight="1" x14ac:dyDescent="0.25">
      <c r="A85" s="141" t="str">
        <f>+IF(PROVEEDORES[[#This Row],[FECHA DE PAGO]]=PROVEEDORES[[#This Row],[FECHA DE FACTURACIÓN]],"DE CONTADO","CRÉDITO")</f>
        <v>CRÉDITO</v>
      </c>
      <c r="B85" s="138" t="str">
        <f>+IF((PROVEEDORES[[#This Row],[FECHA DE PAGO]]-PROVEEDORES[[#This Row],[FECHA DE FACTURACIÓN]])&gt;PROVEEDORES[[#This Row],[PLAZO Días]],"PAGO VENCIDO")</f>
        <v>PAGO VENCIDO</v>
      </c>
      <c r="C85" s="138">
        <f>+VLOOKUP(PROVEEDORES[[#This Row],[PROVEEDOR]],TERCEROS_INFO[#All],2,FALSE)</f>
        <v>30</v>
      </c>
      <c r="D85" s="139">
        <f>+SUMIFS(PROVEEDORES[Total],PROVEEDORES[PROVEEDOR],PROVEEDORES[[#This Row],[PROVEEDOR]],PROVEEDORES[FECHA DE PAGO],"")</f>
        <v>1460000.29</v>
      </c>
      <c r="E85" s="140"/>
      <c r="F85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5" s="127">
        <v>44988</v>
      </c>
      <c r="H85" s="123" t="s">
        <v>131</v>
      </c>
      <c r="I85" s="127">
        <v>44951</v>
      </c>
      <c r="J85" s="124" t="s">
        <v>540</v>
      </c>
      <c r="K85" s="124" t="s">
        <v>1530</v>
      </c>
      <c r="L85" s="124"/>
      <c r="M85" s="125">
        <v>1216808</v>
      </c>
      <c r="N85" s="148">
        <v>231193.52</v>
      </c>
      <c r="O85" s="148">
        <v>0</v>
      </c>
      <c r="P85" s="149">
        <v>2.5000000000000001E-2</v>
      </c>
      <c r="Q85" s="148">
        <v>30420.2</v>
      </c>
      <c r="R85" s="150">
        <v>1417581.32</v>
      </c>
      <c r="S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" s="135">
        <f ca="1">+IF(PROVEEDORES[[#This Row],[FECHA DE PAGO]]=0,TODAY()-PROVEEDORES[[#This Row],[FECHA DE FACTURACIÓN]]-PROVEEDORES[[#This Row],[PLAZO Días]],0)</f>
        <v>0</v>
      </c>
      <c r="U85" s="135" t="str">
        <f>+VLOOKUP(PROVEEDORES[[#This Row],[PROVEEDOR]],Terceros!$A:$D,4,FALSE)</f>
        <v>2,5% con base</v>
      </c>
      <c r="V85" s="135">
        <f>+YEAR(PROVEEDORES[[#This Row],[FECHA DE FACTURACIÓN]])</f>
        <v>2023</v>
      </c>
      <c r="W85" s="135">
        <f>+MATCH(PROVEEDORES[[#This Row],[año facturado]],Retenciones!$1:$1,0)</f>
        <v>6</v>
      </c>
      <c r="X85" s="136">
        <f>+VLOOKUP(PROVEEDORES[[#This Row],[ID RETENCION]],Retenciones!$A$1:$O$25,PROVEEDORES[[#This Row],[indicador de columna]],FALSE)</f>
        <v>1145000</v>
      </c>
      <c r="Y85" s="137">
        <f>+VLOOKUP(PROVEEDORES[[#This Row],[ID RETENCION]],Retenciones!$A$1:$O$25,2,FALSE)</f>
        <v>2.5000000000000001E-2</v>
      </c>
      <c r="Z85" s="126" t="b">
        <f>+OR(COUNTIF(PROVEEDORES[[#This Row],[PROVEEDOR]],"*"&amp;'Palabra que no opera y Listas d'!$A$2&amp;"*"))</f>
        <v>0</v>
      </c>
    </row>
    <row r="86" spans="1:26" ht="27.75" customHeight="1" x14ac:dyDescent="0.25">
      <c r="A86" s="141" t="str">
        <f>+IF(PROVEEDORES[[#This Row],[FECHA DE PAGO]]=PROVEEDORES[[#This Row],[FECHA DE FACTURACIÓN]],"DE CONTADO","CRÉDITO")</f>
        <v>CRÉDITO</v>
      </c>
      <c r="B86" s="138" t="b">
        <f>+IF((PROVEEDORES[[#This Row],[FECHA DE PAGO]]-PROVEEDORES[[#This Row],[FECHA DE FACTURACIÓN]])&gt;PROVEEDORES[[#This Row],[PLAZO Días]],"PAGO VENCIDO")</f>
        <v>0</v>
      </c>
      <c r="C86" s="138">
        <f>+VLOOKUP(PROVEEDORES[[#This Row],[PROVEEDOR]],TERCEROS_INFO[#All],2,FALSE)</f>
        <v>60</v>
      </c>
      <c r="D86" s="139">
        <f>+SUMIFS(PROVEEDORES[Total],PROVEEDORES[PROVEEDOR],PROVEEDORES[[#This Row],[PROVEEDOR]],PROVEEDORES[FECHA DE PAGO],"")</f>
        <v>0</v>
      </c>
      <c r="E86" s="140"/>
      <c r="F86" s="13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86" s="127">
        <v>44988</v>
      </c>
      <c r="H86" s="123" t="s">
        <v>221</v>
      </c>
      <c r="I86" s="127">
        <v>44952</v>
      </c>
      <c r="J86" s="124" t="s">
        <v>535</v>
      </c>
      <c r="K86" s="124" t="s">
        <v>1530</v>
      </c>
      <c r="L86" s="124"/>
      <c r="M86" s="125">
        <v>4892185</v>
      </c>
      <c r="N86" s="148">
        <v>929515.15</v>
      </c>
      <c r="O86" s="148">
        <v>0</v>
      </c>
      <c r="P86" s="149">
        <v>2.5000000000000001E-2</v>
      </c>
      <c r="Q86" s="148">
        <v>122304.625</v>
      </c>
      <c r="R86" s="150">
        <v>5699395.5250000004</v>
      </c>
      <c r="S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" s="135">
        <f ca="1">+IF(PROVEEDORES[[#This Row],[FECHA DE PAGO]]=0,TODAY()-PROVEEDORES[[#This Row],[FECHA DE FACTURACIÓN]]-PROVEEDORES[[#This Row],[PLAZO Días]],0)</f>
        <v>0</v>
      </c>
      <c r="U86" s="135" t="str">
        <f>+VLOOKUP(PROVEEDORES[[#This Row],[PROVEEDOR]],Terceros!$A:$D,4,FALSE)</f>
        <v>2,5% con base</v>
      </c>
      <c r="V86" s="135">
        <f>+YEAR(PROVEEDORES[[#This Row],[FECHA DE FACTURACIÓN]])</f>
        <v>2023</v>
      </c>
      <c r="W86" s="135">
        <f>+MATCH(PROVEEDORES[[#This Row],[año facturado]],Retenciones!$1:$1,0)</f>
        <v>6</v>
      </c>
      <c r="X86" s="136">
        <f>+VLOOKUP(PROVEEDORES[[#This Row],[ID RETENCION]],Retenciones!$A$1:$O$25,PROVEEDORES[[#This Row],[indicador de columna]],FALSE)</f>
        <v>1145000</v>
      </c>
      <c r="Y86" s="137">
        <f>+VLOOKUP(PROVEEDORES[[#This Row],[ID RETENCION]],Retenciones!$A$1:$O$25,2,FALSE)</f>
        <v>2.5000000000000001E-2</v>
      </c>
      <c r="Z86" s="126" t="b">
        <f>+OR(COUNTIF(PROVEEDORES[[#This Row],[PROVEEDOR]],"*"&amp;'Palabra que no opera y Listas d'!$A$2&amp;"*"))</f>
        <v>0</v>
      </c>
    </row>
    <row r="87" spans="1:26" ht="27.75" customHeight="1" x14ac:dyDescent="0.25">
      <c r="A87" s="141" t="str">
        <f>+IF(PROVEEDORES[[#This Row],[FECHA DE PAGO]]=PROVEEDORES[[#This Row],[FECHA DE FACTURACIÓN]],"DE CONTADO","CRÉDITO")</f>
        <v>CRÉDITO</v>
      </c>
      <c r="B87" s="138" t="str">
        <f>+IF((PROVEEDORES[[#This Row],[FECHA DE PAGO]]-PROVEEDORES[[#This Row],[FECHA DE FACTURACIÓN]])&gt;PROVEEDORES[[#This Row],[PLAZO Días]],"PAGO VENCIDO")</f>
        <v>PAGO VENCIDO</v>
      </c>
      <c r="C87" s="138">
        <f>+VLOOKUP(PROVEEDORES[[#This Row],[PROVEEDOR]],TERCEROS_INFO[#All],2,FALSE)</f>
        <v>30</v>
      </c>
      <c r="D87" s="139">
        <f>+SUMIFS(PROVEEDORES[Total],PROVEEDORES[PROVEEDOR],PROVEEDORES[[#This Row],[PROVEEDOR]],PROVEEDORES[FECHA DE PAGO],"")</f>
        <v>0</v>
      </c>
      <c r="E87" s="140"/>
      <c r="F87" s="13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87" s="127">
        <v>44988</v>
      </c>
      <c r="H87" s="123" t="s">
        <v>452</v>
      </c>
      <c r="I87" s="127">
        <v>44952</v>
      </c>
      <c r="J87" s="124" t="s">
        <v>545</v>
      </c>
      <c r="K87" s="124" t="s">
        <v>1530</v>
      </c>
      <c r="L87" s="124"/>
      <c r="M87" s="125">
        <v>1278410</v>
      </c>
      <c r="N87" s="148">
        <v>242897.9</v>
      </c>
      <c r="O87" s="148">
        <v>0</v>
      </c>
      <c r="P87" s="149">
        <v>2.5000000000000001E-2</v>
      </c>
      <c r="Q87" s="148">
        <v>31960.25</v>
      </c>
      <c r="R87" s="150">
        <v>1489347.65</v>
      </c>
      <c r="S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" s="135">
        <f ca="1">+IF(PROVEEDORES[[#This Row],[FECHA DE PAGO]]=0,TODAY()-PROVEEDORES[[#This Row],[FECHA DE FACTURACIÓN]]-PROVEEDORES[[#This Row],[PLAZO Días]],0)</f>
        <v>0</v>
      </c>
      <c r="U87" s="135" t="str">
        <f>+VLOOKUP(PROVEEDORES[[#This Row],[PROVEEDOR]],Terceros!$A:$D,4,FALSE)</f>
        <v>2,5% con base</v>
      </c>
      <c r="V87" s="135">
        <f>+YEAR(PROVEEDORES[[#This Row],[FECHA DE FACTURACIÓN]])</f>
        <v>2023</v>
      </c>
      <c r="W87" s="135">
        <f>+MATCH(PROVEEDORES[[#This Row],[año facturado]],Retenciones!$1:$1,0)</f>
        <v>6</v>
      </c>
      <c r="X87" s="136">
        <f>+VLOOKUP(PROVEEDORES[[#This Row],[ID RETENCION]],Retenciones!$A$1:$O$25,PROVEEDORES[[#This Row],[indicador de columna]],FALSE)</f>
        <v>1145000</v>
      </c>
      <c r="Y87" s="137">
        <f>+VLOOKUP(PROVEEDORES[[#This Row],[ID RETENCION]],Retenciones!$A$1:$O$25,2,FALSE)</f>
        <v>2.5000000000000001E-2</v>
      </c>
      <c r="Z87" s="126" t="b">
        <f>+OR(COUNTIF(PROVEEDORES[[#This Row],[PROVEEDOR]],"*"&amp;'Palabra que no opera y Listas d'!$A$2&amp;"*"))</f>
        <v>0</v>
      </c>
    </row>
    <row r="88" spans="1:26" ht="27.75" customHeight="1" x14ac:dyDescent="0.25">
      <c r="A88" s="141" t="str">
        <f>+IF(PROVEEDORES[[#This Row],[FECHA DE PAGO]]=PROVEEDORES[[#This Row],[FECHA DE FACTURACIÓN]],"DE CONTADO","CRÉDITO")</f>
        <v>CRÉDITO</v>
      </c>
      <c r="B88" s="138" t="str">
        <f>+IF((PROVEEDORES[[#This Row],[FECHA DE PAGO]]-PROVEEDORES[[#This Row],[FECHA DE FACTURACIÓN]])&gt;PROVEEDORES[[#This Row],[PLAZO Días]],"PAGO VENCIDO")</f>
        <v>PAGO VENCIDO</v>
      </c>
      <c r="C88" s="138">
        <f>+VLOOKUP(PROVEEDORES[[#This Row],[PROVEEDOR]],TERCEROS_INFO[#All],2,FALSE)</f>
        <v>30</v>
      </c>
      <c r="D88" s="139">
        <f>+SUMIFS(PROVEEDORES[Total],PROVEEDORES[PROVEEDOR],PROVEEDORES[[#This Row],[PROVEEDOR]],PROVEEDORES[FECHA DE PAGO],"")</f>
        <v>5581100</v>
      </c>
      <c r="E88" s="140"/>
      <c r="F88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88" s="127">
        <v>44988</v>
      </c>
      <c r="H88" s="123" t="s">
        <v>446</v>
      </c>
      <c r="I88" s="127">
        <v>44953</v>
      </c>
      <c r="J88" s="124">
        <v>40466</v>
      </c>
      <c r="K88" s="124" t="s">
        <v>1530</v>
      </c>
      <c r="L88" s="124"/>
      <c r="M88" s="125">
        <v>1636800</v>
      </c>
      <c r="N88" s="148">
        <v>310992</v>
      </c>
      <c r="O88" s="148">
        <v>0</v>
      </c>
      <c r="P88" s="149">
        <v>0</v>
      </c>
      <c r="Q88" s="148">
        <v>0</v>
      </c>
      <c r="R88" s="150">
        <v>1947792</v>
      </c>
      <c r="S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" s="135">
        <f ca="1">+IF(PROVEEDORES[[#This Row],[FECHA DE PAGO]]=0,TODAY()-PROVEEDORES[[#This Row],[FECHA DE FACTURACIÓN]]-PROVEEDORES[[#This Row],[PLAZO Días]],0)</f>
        <v>0</v>
      </c>
      <c r="U88" s="135">
        <f>+VLOOKUP(PROVEEDORES[[#This Row],[PROVEEDOR]],Terceros!$A:$D,4,FALSE)</f>
        <v>0</v>
      </c>
      <c r="V88" s="135">
        <f>+YEAR(PROVEEDORES[[#This Row],[FECHA DE FACTURACIÓN]])</f>
        <v>2023</v>
      </c>
      <c r="W88" s="135">
        <f>+MATCH(PROVEEDORES[[#This Row],[año facturado]],Retenciones!$1:$1,0)</f>
        <v>6</v>
      </c>
      <c r="X88" s="136">
        <f>+VLOOKUP(PROVEEDORES[[#This Row],[ID RETENCION]],Retenciones!$A$1:$O$25,PROVEEDORES[[#This Row],[indicador de columna]],FALSE)</f>
        <v>0</v>
      </c>
      <c r="Y88" s="137">
        <f>+VLOOKUP(PROVEEDORES[[#This Row],[ID RETENCION]],Retenciones!$A$1:$O$25,2,FALSE)</f>
        <v>0</v>
      </c>
      <c r="Z88" s="126" t="b">
        <f>+OR(COUNTIF(PROVEEDORES[[#This Row],[PROVEEDOR]],"*"&amp;'Palabra que no opera y Listas d'!$A$2&amp;"*"))</f>
        <v>0</v>
      </c>
    </row>
    <row r="89" spans="1:26" ht="27.75" customHeight="1" x14ac:dyDescent="0.25">
      <c r="A89" s="141" t="str">
        <f>+IF(PROVEEDORES[[#This Row],[FECHA DE PAGO]]=PROVEEDORES[[#This Row],[FECHA DE FACTURACIÓN]],"DE CONTADO","CRÉDITO")</f>
        <v>CRÉDITO</v>
      </c>
      <c r="B89" s="138" t="str">
        <f>+IF((PROVEEDORES[[#This Row],[FECHA DE PAGO]]-PROVEEDORES[[#This Row],[FECHA DE FACTURACIÓN]])&gt;PROVEEDORES[[#This Row],[PLAZO Días]],"PAGO VENCIDO")</f>
        <v>PAGO VENCIDO</v>
      </c>
      <c r="C89" s="138">
        <f>+VLOOKUP(PROVEEDORES[[#This Row],[PROVEEDOR]],TERCEROS_INFO[#All],2,FALSE)</f>
        <v>30</v>
      </c>
      <c r="D89" s="139">
        <f>+SUMIFS(PROVEEDORES[Total],PROVEEDORES[PROVEEDOR],PROVEEDORES[[#This Row],[PROVEEDOR]],PROVEEDORES[FECHA DE PAGO],"")</f>
        <v>1776037.21</v>
      </c>
      <c r="E89" s="140"/>
      <c r="F89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89" s="127">
        <v>44988</v>
      </c>
      <c r="H89" s="123" t="s">
        <v>17</v>
      </c>
      <c r="I89" s="127">
        <v>44957</v>
      </c>
      <c r="J89" s="124" t="s">
        <v>561</v>
      </c>
      <c r="K89" s="124" t="s">
        <v>1530</v>
      </c>
      <c r="L89" s="124"/>
      <c r="M89" s="125">
        <v>412700</v>
      </c>
      <c r="N89" s="148">
        <v>78413</v>
      </c>
      <c r="O89" s="148">
        <v>0</v>
      </c>
      <c r="P89" s="149">
        <v>0</v>
      </c>
      <c r="Q89" s="148">
        <v>0</v>
      </c>
      <c r="R89" s="150">
        <v>491113</v>
      </c>
      <c r="S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" s="135">
        <f ca="1">+IF(PROVEEDORES[[#This Row],[FECHA DE PAGO]]=0,TODAY()-PROVEEDORES[[#This Row],[FECHA DE FACTURACIÓN]]-PROVEEDORES[[#This Row],[PLAZO Días]],0)</f>
        <v>0</v>
      </c>
      <c r="U89" s="135">
        <f>+VLOOKUP(PROVEEDORES[[#This Row],[PROVEEDOR]],Terceros!$A:$D,4,FALSE)</f>
        <v>0</v>
      </c>
      <c r="V89" s="135">
        <f>+YEAR(PROVEEDORES[[#This Row],[FECHA DE FACTURACIÓN]])</f>
        <v>2023</v>
      </c>
      <c r="W89" s="135">
        <f>+MATCH(PROVEEDORES[[#This Row],[año facturado]],Retenciones!$1:$1,0)</f>
        <v>6</v>
      </c>
      <c r="X89" s="136">
        <f>+VLOOKUP(PROVEEDORES[[#This Row],[ID RETENCION]],Retenciones!$A$1:$O$25,PROVEEDORES[[#This Row],[indicador de columna]],FALSE)</f>
        <v>0</v>
      </c>
      <c r="Y89" s="137">
        <f>+VLOOKUP(PROVEEDORES[[#This Row],[ID RETENCION]],Retenciones!$A$1:$O$25,2,FALSE)</f>
        <v>0</v>
      </c>
      <c r="Z89" s="126" t="b">
        <f>+OR(COUNTIF(PROVEEDORES[[#This Row],[PROVEEDOR]],"*"&amp;'Palabra que no opera y Listas d'!$A$2&amp;"*"))</f>
        <v>0</v>
      </c>
    </row>
    <row r="90" spans="1:26" ht="27.75" customHeight="1" x14ac:dyDescent="0.25">
      <c r="A90" s="141" t="str">
        <f>+IF(PROVEEDORES[[#This Row],[FECHA DE PAGO]]=PROVEEDORES[[#This Row],[FECHA DE FACTURACIÓN]],"DE CONTADO","CRÉDITO")</f>
        <v>CRÉDITO</v>
      </c>
      <c r="B90" s="138" t="str">
        <f>+IF((PROVEEDORES[[#This Row],[FECHA DE PAGO]]-PROVEEDORES[[#This Row],[FECHA DE FACTURACIÓN]])&gt;PROVEEDORES[[#This Row],[PLAZO Días]],"PAGO VENCIDO")</f>
        <v>PAGO VENCIDO</v>
      </c>
      <c r="C90" s="138">
        <f>+VLOOKUP(PROVEEDORES[[#This Row],[PROVEEDOR]],TERCEROS_INFO[#All],2,FALSE)</f>
        <v>30</v>
      </c>
      <c r="D90" s="139">
        <f>+SUMIFS(PROVEEDORES[Total],PROVEEDORES[PROVEEDOR],PROVEEDORES[[#This Row],[PROVEEDOR]],PROVEEDORES[FECHA DE PAGO],"")</f>
        <v>1460000.29</v>
      </c>
      <c r="E90" s="140"/>
      <c r="F90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90" s="127">
        <v>44988</v>
      </c>
      <c r="H90" s="123" t="s">
        <v>131</v>
      </c>
      <c r="I90" s="127">
        <v>44957</v>
      </c>
      <c r="J90" s="124" t="s">
        <v>544</v>
      </c>
      <c r="K90" s="124" t="s">
        <v>1530</v>
      </c>
      <c r="L90" s="124"/>
      <c r="M90" s="125">
        <v>262185</v>
      </c>
      <c r="N90" s="148">
        <v>49815.15</v>
      </c>
      <c r="O90" s="148">
        <v>0</v>
      </c>
      <c r="P90" s="149">
        <v>0</v>
      </c>
      <c r="Q90" s="148">
        <v>0</v>
      </c>
      <c r="R90" s="150">
        <v>312000.15000000002</v>
      </c>
      <c r="S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" s="135">
        <f ca="1">+IF(PROVEEDORES[[#This Row],[FECHA DE PAGO]]=0,TODAY()-PROVEEDORES[[#This Row],[FECHA DE FACTURACIÓN]]-PROVEEDORES[[#This Row],[PLAZO Días]],0)</f>
        <v>0</v>
      </c>
      <c r="U90" s="135" t="str">
        <f>+VLOOKUP(PROVEEDORES[[#This Row],[PROVEEDOR]],Terceros!$A:$D,4,FALSE)</f>
        <v>2,5% con base</v>
      </c>
      <c r="V90" s="135">
        <f>+YEAR(PROVEEDORES[[#This Row],[FECHA DE FACTURACIÓN]])</f>
        <v>2023</v>
      </c>
      <c r="W90" s="135">
        <f>+MATCH(PROVEEDORES[[#This Row],[año facturado]],Retenciones!$1:$1,0)</f>
        <v>6</v>
      </c>
      <c r="X90" s="136">
        <f>+VLOOKUP(PROVEEDORES[[#This Row],[ID RETENCION]],Retenciones!$A$1:$O$25,PROVEEDORES[[#This Row],[indicador de columna]],FALSE)</f>
        <v>1145000</v>
      </c>
      <c r="Y90" s="137">
        <f>+VLOOKUP(PROVEEDORES[[#This Row],[ID RETENCION]],Retenciones!$A$1:$O$25,2,FALSE)</f>
        <v>2.5000000000000001E-2</v>
      </c>
      <c r="Z90" s="126" t="b">
        <f>+OR(COUNTIF(PROVEEDORES[[#This Row],[PROVEEDOR]],"*"&amp;'Palabra que no opera y Listas d'!$A$2&amp;"*"))</f>
        <v>0</v>
      </c>
    </row>
    <row r="91" spans="1:26" ht="27.75" customHeight="1" x14ac:dyDescent="0.25">
      <c r="A91" s="141" t="str">
        <f>+IF(PROVEEDORES[[#This Row],[FECHA DE PAGO]]=PROVEEDORES[[#This Row],[FECHA DE FACTURACIÓN]],"DE CONTADO","CRÉDITO")</f>
        <v>CRÉDITO</v>
      </c>
      <c r="B91" s="138" t="b">
        <f>+IF((PROVEEDORES[[#This Row],[FECHA DE PAGO]]-PROVEEDORES[[#This Row],[FECHA DE FACTURACIÓN]])&gt;PROVEEDORES[[#This Row],[PLAZO Días]],"PAGO VENCIDO")</f>
        <v>0</v>
      </c>
      <c r="C91" s="138">
        <f>+VLOOKUP(PROVEEDORES[[#This Row],[PROVEEDOR]],TERCEROS_INFO[#All],2,FALSE)</f>
        <v>30</v>
      </c>
      <c r="D91" s="139">
        <f>+SUMIFS(PROVEEDORES[Total],PROVEEDORES[PROVEEDOR],PROVEEDORES[[#This Row],[PROVEEDOR]],PROVEEDORES[FECHA DE PAGO],"")</f>
        <v>1776037.21</v>
      </c>
      <c r="E91" s="140"/>
      <c r="F91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1" s="127">
        <v>44988</v>
      </c>
      <c r="H91" s="123" t="s">
        <v>17</v>
      </c>
      <c r="I91" s="127">
        <v>44960</v>
      </c>
      <c r="J91" s="124" t="s">
        <v>552</v>
      </c>
      <c r="K91" s="124" t="s">
        <v>1530</v>
      </c>
      <c r="L91" s="124"/>
      <c r="M91" s="125">
        <v>-14300</v>
      </c>
      <c r="N91" s="148">
        <v>-2717</v>
      </c>
      <c r="O91" s="148">
        <v>0</v>
      </c>
      <c r="P91" s="149">
        <v>0</v>
      </c>
      <c r="Q91" s="148">
        <v>0</v>
      </c>
      <c r="R91" s="150">
        <v>-17017</v>
      </c>
      <c r="S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" s="135">
        <f ca="1">+IF(PROVEEDORES[[#This Row],[FECHA DE PAGO]]=0,TODAY()-PROVEEDORES[[#This Row],[FECHA DE FACTURACIÓN]]-PROVEEDORES[[#This Row],[PLAZO Días]],0)</f>
        <v>0</v>
      </c>
      <c r="U91" s="135">
        <f>+VLOOKUP(PROVEEDORES[[#This Row],[PROVEEDOR]],Terceros!$A:$D,4,FALSE)</f>
        <v>0</v>
      </c>
      <c r="V91" s="135">
        <f>+YEAR(PROVEEDORES[[#This Row],[FECHA DE FACTURACIÓN]])</f>
        <v>2023</v>
      </c>
      <c r="W91" s="135">
        <f>+MATCH(PROVEEDORES[[#This Row],[año facturado]],Retenciones!$1:$1,0)</f>
        <v>6</v>
      </c>
      <c r="X91" s="136">
        <f>+VLOOKUP(PROVEEDORES[[#This Row],[ID RETENCION]],Retenciones!$A$1:$O$25,PROVEEDORES[[#This Row],[indicador de columna]],FALSE)</f>
        <v>0</v>
      </c>
      <c r="Y91" s="137">
        <f>+VLOOKUP(PROVEEDORES[[#This Row],[ID RETENCION]],Retenciones!$A$1:$O$25,2,FALSE)</f>
        <v>0</v>
      </c>
      <c r="Z91" s="126" t="b">
        <f>+OR(COUNTIF(PROVEEDORES[[#This Row],[PROVEEDOR]],"*"&amp;'Palabra que no opera y Listas d'!$A$2&amp;"*"))</f>
        <v>0</v>
      </c>
    </row>
    <row r="92" spans="1:26" ht="27.75" customHeight="1" x14ac:dyDescent="0.25">
      <c r="A92" s="141" t="str">
        <f>+IF(PROVEEDORES[[#This Row],[FECHA DE PAGO]]=PROVEEDORES[[#This Row],[FECHA DE FACTURACIÓN]],"DE CONTADO","CRÉDITO")</f>
        <v>CRÉDITO</v>
      </c>
      <c r="B92" s="138" t="b">
        <f>+IF((PROVEEDORES[[#This Row],[FECHA DE PAGO]]-PROVEEDORES[[#This Row],[FECHA DE FACTURACIÓN]])&gt;PROVEEDORES[[#This Row],[PLAZO Días]],"PAGO VENCIDO")</f>
        <v>0</v>
      </c>
      <c r="C92" s="138">
        <f>+VLOOKUP(PROVEEDORES[[#This Row],[PROVEEDOR]],TERCEROS_INFO[#All],2,FALSE)</f>
        <v>30</v>
      </c>
      <c r="D92" s="139">
        <f>+SUMIFS(PROVEEDORES[Total],PROVEEDORES[PROVEEDOR],PROVEEDORES[[#This Row],[PROVEEDOR]],PROVEEDORES[FECHA DE PAGO],"")</f>
        <v>1776037.21</v>
      </c>
      <c r="E92" s="140"/>
      <c r="F92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2" s="127">
        <v>44988</v>
      </c>
      <c r="H92" s="123" t="s">
        <v>17</v>
      </c>
      <c r="I92" s="127">
        <v>44960</v>
      </c>
      <c r="J92" s="124" t="s">
        <v>562</v>
      </c>
      <c r="K92" s="124" t="s">
        <v>1530</v>
      </c>
      <c r="L92" s="124"/>
      <c r="M92" s="125">
        <v>2018990</v>
      </c>
      <c r="N92" s="148">
        <v>383608.1</v>
      </c>
      <c r="O92" s="148">
        <v>0</v>
      </c>
      <c r="P92" s="149">
        <v>0</v>
      </c>
      <c r="Q92" s="148">
        <v>0</v>
      </c>
      <c r="R92" s="150">
        <v>2402598.1</v>
      </c>
      <c r="S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" s="135">
        <f ca="1">+IF(PROVEEDORES[[#This Row],[FECHA DE PAGO]]=0,TODAY()-PROVEEDORES[[#This Row],[FECHA DE FACTURACIÓN]]-PROVEEDORES[[#This Row],[PLAZO Días]],0)</f>
        <v>0</v>
      </c>
      <c r="U92" s="135">
        <f>+VLOOKUP(PROVEEDORES[[#This Row],[PROVEEDOR]],Terceros!$A:$D,4,FALSE)</f>
        <v>0</v>
      </c>
      <c r="V92" s="135">
        <f>+YEAR(PROVEEDORES[[#This Row],[FECHA DE FACTURACIÓN]])</f>
        <v>2023</v>
      </c>
      <c r="W92" s="135">
        <f>+MATCH(PROVEEDORES[[#This Row],[año facturado]],Retenciones!$1:$1,0)</f>
        <v>6</v>
      </c>
      <c r="X92" s="136">
        <f>+VLOOKUP(PROVEEDORES[[#This Row],[ID RETENCION]],Retenciones!$A$1:$O$25,PROVEEDORES[[#This Row],[indicador de columna]],FALSE)</f>
        <v>0</v>
      </c>
      <c r="Y92" s="137">
        <f>+VLOOKUP(PROVEEDORES[[#This Row],[ID RETENCION]],Retenciones!$A$1:$O$25,2,FALSE)</f>
        <v>0</v>
      </c>
      <c r="Z92" s="126" t="b">
        <f>+OR(COUNTIF(PROVEEDORES[[#This Row],[PROVEEDOR]],"*"&amp;'Palabra que no opera y Listas d'!$A$2&amp;"*"))</f>
        <v>0</v>
      </c>
    </row>
    <row r="93" spans="1:26" ht="27.75" customHeight="1" x14ac:dyDescent="0.25">
      <c r="A93" s="141" t="str">
        <f>+IF(PROVEEDORES[[#This Row],[FECHA DE PAGO]]=PROVEEDORES[[#This Row],[FECHA DE FACTURACIÓN]],"DE CONTADO","CRÉDITO")</f>
        <v>CRÉDITO</v>
      </c>
      <c r="B93" s="138" t="b">
        <f>+IF((PROVEEDORES[[#This Row],[FECHA DE PAGO]]-PROVEEDORES[[#This Row],[FECHA DE FACTURACIÓN]])&gt;PROVEEDORES[[#This Row],[PLAZO Días]],"PAGO VENCIDO")</f>
        <v>0</v>
      </c>
      <c r="C93" s="138">
        <f>+VLOOKUP(PROVEEDORES[[#This Row],[PROVEEDOR]],TERCEROS_INFO[#All],2,FALSE)</f>
        <v>45</v>
      </c>
      <c r="D93" s="139">
        <f>+SUMIFS(PROVEEDORES[Total],PROVEEDORES[PROVEEDOR],PROVEEDORES[[#This Row],[PROVEEDOR]],PROVEEDORES[FECHA DE PAGO],"")</f>
        <v>22186260.039999999</v>
      </c>
      <c r="E93" s="140"/>
      <c r="F93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3" s="127">
        <v>44988</v>
      </c>
      <c r="H93" s="123" t="s">
        <v>19</v>
      </c>
      <c r="I93" s="127">
        <v>44960</v>
      </c>
      <c r="J93" s="124" t="s">
        <v>553</v>
      </c>
      <c r="K93" s="124" t="s">
        <v>1530</v>
      </c>
      <c r="L93" s="124"/>
      <c r="M93" s="125">
        <v>8219280</v>
      </c>
      <c r="N93" s="148">
        <v>1561663.2</v>
      </c>
      <c r="O93" s="148">
        <v>0</v>
      </c>
      <c r="P93" s="149">
        <v>0</v>
      </c>
      <c r="Q93" s="148">
        <v>0</v>
      </c>
      <c r="R93" s="150">
        <v>9780943.1999999993</v>
      </c>
      <c r="S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" s="135">
        <f ca="1">+IF(PROVEEDORES[[#This Row],[FECHA DE PAGO]]=0,TODAY()-PROVEEDORES[[#This Row],[FECHA DE FACTURACIÓN]]-PROVEEDORES[[#This Row],[PLAZO Días]],0)</f>
        <v>0</v>
      </c>
      <c r="U93" s="135">
        <f>+VLOOKUP(PROVEEDORES[[#This Row],[PROVEEDOR]],Terceros!$A:$D,4,FALSE)</f>
        <v>0</v>
      </c>
      <c r="V93" s="135">
        <f>+YEAR(PROVEEDORES[[#This Row],[FECHA DE FACTURACIÓN]])</f>
        <v>2023</v>
      </c>
      <c r="W93" s="135">
        <f>+MATCH(PROVEEDORES[[#This Row],[año facturado]],Retenciones!$1:$1,0)</f>
        <v>6</v>
      </c>
      <c r="X93" s="136">
        <f>+VLOOKUP(PROVEEDORES[[#This Row],[ID RETENCION]],Retenciones!$A$1:$O$25,PROVEEDORES[[#This Row],[indicador de columna]],FALSE)</f>
        <v>0</v>
      </c>
      <c r="Y93" s="137">
        <f>+VLOOKUP(PROVEEDORES[[#This Row],[ID RETENCION]],Retenciones!$A$1:$O$25,2,FALSE)</f>
        <v>0</v>
      </c>
      <c r="Z93" s="126" t="b">
        <f>+OR(COUNTIF(PROVEEDORES[[#This Row],[PROVEEDOR]],"*"&amp;'Palabra que no opera y Listas d'!$A$2&amp;"*"))</f>
        <v>0</v>
      </c>
    </row>
    <row r="94" spans="1:26" ht="27.75" customHeight="1" x14ac:dyDescent="0.25">
      <c r="A94" s="141" t="str">
        <f>+IF(PROVEEDORES[[#This Row],[FECHA DE PAGO]]=PROVEEDORES[[#This Row],[FECHA DE FACTURACIÓN]],"DE CONTADO","CRÉDITO")</f>
        <v>CRÉDITO</v>
      </c>
      <c r="B94" s="138" t="b">
        <f>+IF((PROVEEDORES[[#This Row],[FECHA DE PAGO]]-PROVEEDORES[[#This Row],[FECHA DE FACTURACIÓN]])&gt;PROVEEDORES[[#This Row],[PLAZO Días]],"PAGO VENCIDO")</f>
        <v>0</v>
      </c>
      <c r="C94" s="138">
        <f>+VLOOKUP(PROVEEDORES[[#This Row],[PROVEEDOR]],TERCEROS_INFO[#All],2,FALSE)</f>
        <v>30</v>
      </c>
      <c r="D94" s="139">
        <f>+SUMIFS(PROVEEDORES[Total],PROVEEDORES[PROVEEDOR],PROVEEDORES[[#This Row],[PROVEEDOR]],PROVEEDORES[FECHA DE PAGO],"")</f>
        <v>0</v>
      </c>
      <c r="E94" s="140"/>
      <c r="F94" s="138">
        <f>+VLOOKUP(PROVEEDORES[[#This Row],[PROVEEDOR]],
                       Terceros!$A:$F,
                       5,
                       FALSE)</f>
        <v>0</v>
      </c>
      <c r="G94" s="127">
        <v>44988</v>
      </c>
      <c r="H94" s="123" t="s">
        <v>1805</v>
      </c>
      <c r="I94" s="127">
        <v>44977</v>
      </c>
      <c r="J94" s="124" t="s">
        <v>591</v>
      </c>
      <c r="K94" s="124" t="s">
        <v>1530</v>
      </c>
      <c r="L94" s="124"/>
      <c r="M94" s="125">
        <v>1008000</v>
      </c>
      <c r="N94" s="148">
        <v>0</v>
      </c>
      <c r="O94" s="148">
        <v>0</v>
      </c>
      <c r="P94" s="149">
        <v>0</v>
      </c>
      <c r="Q94" s="148">
        <v>0</v>
      </c>
      <c r="R94" s="150">
        <v>1008000</v>
      </c>
      <c r="S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" s="135">
        <f ca="1">+IF(PROVEEDORES[[#This Row],[FECHA DE PAGO]]=0,TODAY()-PROVEEDORES[[#This Row],[FECHA DE FACTURACIÓN]]-PROVEEDORES[[#This Row],[PLAZO Días]],0)</f>
        <v>0</v>
      </c>
      <c r="U94" s="135">
        <f>+VLOOKUP(PROVEEDORES[[#This Row],[PROVEEDOR]],Terceros!$A:$D,4,FALSE)</f>
        <v>0</v>
      </c>
      <c r="V94" s="135">
        <f>+YEAR(PROVEEDORES[[#This Row],[FECHA DE FACTURACIÓN]])</f>
        <v>2023</v>
      </c>
      <c r="W94" s="135">
        <f>+MATCH(PROVEEDORES[[#This Row],[año facturado]],Retenciones!$1:$1,0)</f>
        <v>6</v>
      </c>
      <c r="X94" s="136">
        <f>+VLOOKUP(PROVEEDORES[[#This Row],[ID RETENCION]],Retenciones!$A$1:$O$25,PROVEEDORES[[#This Row],[indicador de columna]],FALSE)</f>
        <v>0</v>
      </c>
      <c r="Y94" s="137">
        <f>+VLOOKUP(PROVEEDORES[[#This Row],[ID RETENCION]],Retenciones!$A$1:$O$25,2,FALSE)</f>
        <v>0</v>
      </c>
      <c r="Z94" s="126" t="b">
        <f>+OR(COUNTIF(PROVEEDORES[[#This Row],[PROVEEDOR]],"*"&amp;'Palabra que no opera y Listas d'!$A$2&amp;"*"))</f>
        <v>0</v>
      </c>
    </row>
    <row r="95" spans="1:26" ht="27.75" customHeight="1" x14ac:dyDescent="0.25">
      <c r="A95" s="141" t="str">
        <f>+IF(PROVEEDORES[[#This Row],[FECHA DE PAGO]]=PROVEEDORES[[#This Row],[FECHA DE FACTURACIÓN]],"DE CONTADO","CRÉDITO")</f>
        <v>DE CONTADO</v>
      </c>
      <c r="B95" s="138" t="b">
        <f>+IF((PROVEEDORES[[#This Row],[FECHA DE PAGO]]-PROVEEDORES[[#This Row],[FECHA DE FACTURACIÓN]])&gt;PROVEEDORES[[#This Row],[PLAZO Días]],"PAGO VENCIDO")</f>
        <v>0</v>
      </c>
      <c r="C95" s="138">
        <f>+VLOOKUP(PROVEEDORES[[#This Row],[PROVEEDOR]],TERCEROS_INFO[#All],2,FALSE)</f>
        <v>30</v>
      </c>
      <c r="D95" s="139">
        <f>+SUMIFS(PROVEEDORES[Total],PROVEEDORES[PROVEEDOR],PROVEEDORES[[#This Row],[PROVEEDOR]],PROVEEDORES[FECHA DE PAGO],"")</f>
        <v>0</v>
      </c>
      <c r="E95" s="140"/>
      <c r="F95" s="138" t="str">
        <f>+VLOOKUP(PROVEEDORES[[#This Row],[PROVEEDOR]],
                       Terceros!$A:$F,
                       5,
                       FALSE)</f>
        <v/>
      </c>
      <c r="G95" s="127">
        <v>44988</v>
      </c>
      <c r="H95" s="123" t="s">
        <v>1813</v>
      </c>
      <c r="I95" s="127">
        <v>44988</v>
      </c>
      <c r="J95" s="124" t="s">
        <v>624</v>
      </c>
      <c r="K95" s="124" t="s">
        <v>1530</v>
      </c>
      <c r="L95" s="124"/>
      <c r="M95" s="125">
        <v>171400</v>
      </c>
      <c r="N95" s="148">
        <v>0</v>
      </c>
      <c r="O95" s="148">
        <v>0</v>
      </c>
      <c r="P95" s="149">
        <v>0</v>
      </c>
      <c r="Q95" s="148">
        <v>0</v>
      </c>
      <c r="R95" s="150">
        <v>171400</v>
      </c>
      <c r="S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" s="135">
        <f ca="1">+IF(PROVEEDORES[[#This Row],[FECHA DE PAGO]]=0,TODAY()-PROVEEDORES[[#This Row],[FECHA DE FACTURACIÓN]]-PROVEEDORES[[#This Row],[PLAZO Días]],0)</f>
        <v>0</v>
      </c>
      <c r="U95" s="135">
        <f>+VLOOKUP(PROVEEDORES[[#This Row],[PROVEEDOR]],Terceros!$A:$D,4,FALSE)</f>
        <v>0</v>
      </c>
      <c r="V95" s="135">
        <f>+YEAR(PROVEEDORES[[#This Row],[FECHA DE FACTURACIÓN]])</f>
        <v>2023</v>
      </c>
      <c r="W95" s="135">
        <f>+MATCH(PROVEEDORES[[#This Row],[año facturado]],Retenciones!$1:$1,0)</f>
        <v>6</v>
      </c>
      <c r="X95" s="136">
        <f>+VLOOKUP(PROVEEDORES[[#This Row],[ID RETENCION]],Retenciones!$A$1:$O$25,PROVEEDORES[[#This Row],[indicador de columna]],FALSE)</f>
        <v>0</v>
      </c>
      <c r="Y95" s="137">
        <f>+VLOOKUP(PROVEEDORES[[#This Row],[ID RETENCION]],Retenciones!$A$1:$O$25,2,FALSE)</f>
        <v>0</v>
      </c>
      <c r="Z95" s="126" t="b">
        <f>+OR(COUNTIF(PROVEEDORES[[#This Row],[PROVEEDOR]],"*"&amp;'Palabra que no opera y Listas d'!$A$2&amp;"*"))</f>
        <v>1</v>
      </c>
    </row>
    <row r="96" spans="1:26" ht="27.75" customHeight="1" x14ac:dyDescent="0.25">
      <c r="A96" s="141" t="str">
        <f>+IF(PROVEEDORES[[#This Row],[FECHA DE PAGO]]=PROVEEDORES[[#This Row],[FECHA DE FACTURACIÓN]],"DE CONTADO","CRÉDITO")</f>
        <v>CRÉDITO</v>
      </c>
      <c r="B96" s="138" t="str">
        <f>+IF((PROVEEDORES[[#This Row],[FECHA DE PAGO]]-PROVEEDORES[[#This Row],[FECHA DE FACTURACIÓN]])&gt;PROVEEDORES[[#This Row],[PLAZO Días]],"PAGO VENCIDO")</f>
        <v>PAGO VENCIDO</v>
      </c>
      <c r="C96" s="138">
        <f>+VLOOKUP(PROVEEDORES[[#This Row],[PROVEEDOR]],TERCEROS_INFO[#All],2,FALSE)</f>
        <v>30</v>
      </c>
      <c r="D96" s="139">
        <f>+SUMIFS(PROVEEDORES[Total],PROVEEDORES[PROVEEDOR],PROVEEDORES[[#This Row],[PROVEEDOR]],PROVEEDORES[FECHA DE PAGO],"")</f>
        <v>0</v>
      </c>
      <c r="E96" s="140"/>
      <c r="F96" s="138">
        <f>+VLOOKUP(PROVEEDORES[[#This Row],[PROVEEDOR]],
                       Terceros!$A:$F,
                       5,
                       FALSE)</f>
        <v>0</v>
      </c>
      <c r="G96" s="127">
        <v>44991</v>
      </c>
      <c r="H96" s="123" t="s">
        <v>547</v>
      </c>
      <c r="I96" s="127">
        <v>44957</v>
      </c>
      <c r="J96" s="124" t="s">
        <v>548</v>
      </c>
      <c r="K96" s="124" t="s">
        <v>1530</v>
      </c>
      <c r="L96" s="124"/>
      <c r="M96" s="125">
        <v>430000</v>
      </c>
      <c r="N96" s="148">
        <v>81700</v>
      </c>
      <c r="O96" s="148">
        <v>0</v>
      </c>
      <c r="P96" s="149">
        <v>0</v>
      </c>
      <c r="Q96" s="148">
        <v>0</v>
      </c>
      <c r="R96" s="150">
        <v>511700</v>
      </c>
      <c r="S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" s="135">
        <f ca="1">+IF(PROVEEDORES[[#This Row],[FECHA DE PAGO]]=0,TODAY()-PROVEEDORES[[#This Row],[FECHA DE FACTURACIÓN]]-PROVEEDORES[[#This Row],[PLAZO Días]],0)</f>
        <v>0</v>
      </c>
      <c r="U96" s="135" t="str">
        <f>+VLOOKUP(PROVEEDORES[[#This Row],[PROVEEDOR]],Terceros!$A:$D,4,FALSE)</f>
        <v>2,5% con base</v>
      </c>
      <c r="V96" s="135">
        <f>+YEAR(PROVEEDORES[[#This Row],[FECHA DE FACTURACIÓN]])</f>
        <v>2023</v>
      </c>
      <c r="W96" s="135">
        <f>+MATCH(PROVEEDORES[[#This Row],[año facturado]],Retenciones!$1:$1,0)</f>
        <v>6</v>
      </c>
      <c r="X96" s="136">
        <f>+VLOOKUP(PROVEEDORES[[#This Row],[ID RETENCION]],Retenciones!$A$1:$O$25,PROVEEDORES[[#This Row],[indicador de columna]],FALSE)</f>
        <v>1145000</v>
      </c>
      <c r="Y96" s="137">
        <f>+VLOOKUP(PROVEEDORES[[#This Row],[ID RETENCION]],Retenciones!$A$1:$O$25,2,FALSE)</f>
        <v>2.5000000000000001E-2</v>
      </c>
      <c r="Z96" s="126" t="b">
        <f>+OR(COUNTIF(PROVEEDORES[[#This Row],[PROVEEDOR]],"*"&amp;'Palabra que no opera y Listas d'!$A$2&amp;"*"))</f>
        <v>0</v>
      </c>
    </row>
    <row r="97" spans="1:26" ht="27.75" customHeight="1" x14ac:dyDescent="0.25">
      <c r="A97" s="141" t="str">
        <f>+IF(PROVEEDORES[[#This Row],[FECHA DE PAGO]]=PROVEEDORES[[#This Row],[FECHA DE FACTURACIÓN]],"DE CONTADO","CRÉDITO")</f>
        <v>CRÉDITO</v>
      </c>
      <c r="B97" s="138" t="b">
        <f>+IF((PROVEEDORES[[#This Row],[FECHA DE PAGO]]-PROVEEDORES[[#This Row],[FECHA DE FACTURACIÓN]])&gt;PROVEEDORES[[#This Row],[PLAZO Días]],"PAGO VENCIDO")</f>
        <v>0</v>
      </c>
      <c r="C97" s="138">
        <f>+VLOOKUP(PROVEEDORES[[#This Row],[PROVEEDOR]],TERCEROS_INFO[#All],2,FALSE)</f>
        <v>30</v>
      </c>
      <c r="D97" s="139">
        <f>+SUMIFS(PROVEEDORES[Total],PROVEEDORES[PROVEEDOR],PROVEEDORES[[#This Row],[PROVEEDOR]],PROVEEDORES[FECHA DE PAGO],"")</f>
        <v>0</v>
      </c>
      <c r="E97" s="140"/>
      <c r="F97" s="13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97" s="127">
        <v>44991</v>
      </c>
      <c r="H97" s="123" t="s">
        <v>385</v>
      </c>
      <c r="I97" s="127">
        <v>44966</v>
      </c>
      <c r="J97" s="124" t="s">
        <v>549</v>
      </c>
      <c r="K97" s="124" t="s">
        <v>1530</v>
      </c>
      <c r="L97" s="124"/>
      <c r="M97" s="125">
        <v>1520000</v>
      </c>
      <c r="N97" s="148">
        <v>0</v>
      </c>
      <c r="O97" s="148">
        <v>0</v>
      </c>
      <c r="P97" s="149">
        <v>3.5000000000000003E-2</v>
      </c>
      <c r="Q97" s="148">
        <v>53200.000000000007</v>
      </c>
      <c r="R97" s="150">
        <v>1466800</v>
      </c>
      <c r="S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" s="135">
        <f ca="1">+IF(PROVEEDORES[[#This Row],[FECHA DE PAGO]]=0,TODAY()-PROVEEDORES[[#This Row],[FECHA DE FACTURACIÓN]]-PROVEEDORES[[#This Row],[PLAZO Días]],0)</f>
        <v>0</v>
      </c>
      <c r="U97" s="135" t="str">
        <f>+VLOOKUP(PROVEEDORES[[#This Row],[PROVEEDOR]],Terceros!$A:$D,4,FALSE)</f>
        <v>3,5% sin base</v>
      </c>
      <c r="V97" s="135">
        <f>+YEAR(PROVEEDORES[[#This Row],[FECHA DE FACTURACIÓN]])</f>
        <v>2023</v>
      </c>
      <c r="W97" s="135">
        <f>+MATCH(PROVEEDORES[[#This Row],[año facturado]],Retenciones!$1:$1,0)</f>
        <v>6</v>
      </c>
      <c r="X97" s="136">
        <f>+VLOOKUP(PROVEEDORES[[#This Row],[ID RETENCION]],Retenciones!$A$1:$O$25,PROVEEDORES[[#This Row],[indicador de columna]],FALSE)</f>
        <v>0</v>
      </c>
      <c r="Y97" s="137">
        <f>+VLOOKUP(PROVEEDORES[[#This Row],[ID RETENCION]],Retenciones!$A$1:$O$25,2,FALSE)</f>
        <v>3.5000000000000003E-2</v>
      </c>
      <c r="Z97" s="126" t="b">
        <f>+OR(COUNTIF(PROVEEDORES[[#This Row],[PROVEEDOR]],"*"&amp;'Palabra que no opera y Listas d'!$A$2&amp;"*"))</f>
        <v>1</v>
      </c>
    </row>
    <row r="98" spans="1:26" ht="27.75" customHeight="1" x14ac:dyDescent="0.25">
      <c r="A98" s="141" t="str">
        <f>+IF(PROVEEDORES[[#This Row],[FECHA DE PAGO]]=PROVEEDORES[[#This Row],[FECHA DE FACTURACIÓN]],"DE CONTADO","CRÉDITO")</f>
        <v>DE CONTADO</v>
      </c>
      <c r="B98" s="138" t="b">
        <f>+IF((PROVEEDORES[[#This Row],[FECHA DE PAGO]]-PROVEEDORES[[#This Row],[FECHA DE FACTURACIÓN]])&gt;PROVEEDORES[[#This Row],[PLAZO Días]],"PAGO VENCIDO")</f>
        <v>0</v>
      </c>
      <c r="C98" s="138">
        <f>+VLOOKUP(PROVEEDORES[[#This Row],[PROVEEDOR]],TERCEROS_INFO[#All],2,FALSE)</f>
        <v>30</v>
      </c>
      <c r="D98" s="139">
        <f>+SUMIFS(PROVEEDORES[Total],PROVEEDORES[PROVEEDOR],PROVEEDORES[[#This Row],[PROVEEDOR]],PROVEEDORES[FECHA DE PAGO],"")</f>
        <v>0</v>
      </c>
      <c r="E98" s="140"/>
      <c r="F98" s="138" t="str">
        <f>+VLOOKUP(PROVEEDORES[[#This Row],[PROVEEDOR]],
                       Terceros!$A:$F,
                       5,
                       FALSE)</f>
        <v>alejovelas0426@gmail.com;girlesa.ruiz@servipilas.com;joriescobar64@gmail.com</v>
      </c>
      <c r="G98" s="127">
        <v>44991</v>
      </c>
      <c r="H98" s="123" t="s">
        <v>1814</v>
      </c>
      <c r="I98" s="127">
        <v>44991</v>
      </c>
      <c r="J98" s="124" t="s">
        <v>660</v>
      </c>
      <c r="K98" s="124" t="s">
        <v>1530</v>
      </c>
      <c r="L98" s="124"/>
      <c r="M98" s="125">
        <v>430000</v>
      </c>
      <c r="N98" s="148">
        <v>0</v>
      </c>
      <c r="O98" s="148">
        <v>0</v>
      </c>
      <c r="P98" s="149">
        <v>0</v>
      </c>
      <c r="Q98" s="148">
        <v>0</v>
      </c>
      <c r="R98" s="150">
        <v>430000</v>
      </c>
      <c r="S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" s="135">
        <f ca="1">+IF(PROVEEDORES[[#This Row],[FECHA DE PAGO]]=0,TODAY()-PROVEEDORES[[#This Row],[FECHA DE FACTURACIÓN]]-PROVEEDORES[[#This Row],[PLAZO Días]],0)</f>
        <v>0</v>
      </c>
      <c r="U98" s="135">
        <f>+VLOOKUP(PROVEEDORES[[#This Row],[PROVEEDOR]],Terceros!$A:$D,4,FALSE)</f>
        <v>0</v>
      </c>
      <c r="V98" s="135">
        <f>+YEAR(PROVEEDORES[[#This Row],[FECHA DE FACTURACIÓN]])</f>
        <v>2023</v>
      </c>
      <c r="W98" s="135">
        <f>+MATCH(PROVEEDORES[[#This Row],[año facturado]],Retenciones!$1:$1,0)</f>
        <v>6</v>
      </c>
      <c r="X98" s="136">
        <f>+VLOOKUP(PROVEEDORES[[#This Row],[ID RETENCION]],Retenciones!$A$1:$O$25,PROVEEDORES[[#This Row],[indicador de columna]],FALSE)</f>
        <v>0</v>
      </c>
      <c r="Y98" s="137">
        <f>+VLOOKUP(PROVEEDORES[[#This Row],[ID RETENCION]],Retenciones!$A$1:$O$25,2,FALSE)</f>
        <v>0</v>
      </c>
      <c r="Z98" s="126" t="b">
        <f>+OR(COUNTIF(PROVEEDORES[[#This Row],[PROVEEDOR]],"*"&amp;'Palabra que no opera y Listas d'!$A$2&amp;"*"))</f>
        <v>0</v>
      </c>
    </row>
    <row r="99" spans="1:26" ht="27.75" customHeight="1" x14ac:dyDescent="0.25">
      <c r="A99" s="141" t="str">
        <f>+IF(PROVEEDORES[[#This Row],[FECHA DE PAGO]]=PROVEEDORES[[#This Row],[FECHA DE FACTURACIÓN]],"DE CONTADO","CRÉDITO")</f>
        <v>DE CONTADO</v>
      </c>
      <c r="B99" s="138" t="b">
        <f>+IF((PROVEEDORES[[#This Row],[FECHA DE PAGO]]-PROVEEDORES[[#This Row],[FECHA DE FACTURACIÓN]])&gt;PROVEEDORES[[#This Row],[PLAZO Días]],"PAGO VENCIDO")</f>
        <v>0</v>
      </c>
      <c r="C99" s="138">
        <f>+VLOOKUP(PROVEEDORES[[#This Row],[PROVEEDOR]],TERCEROS_INFO[#All],2,FALSE)</f>
        <v>30</v>
      </c>
      <c r="D99" s="139">
        <f>+SUMIFS(PROVEEDORES[Total],PROVEEDORES[PROVEEDOR],PROVEEDORES[[#This Row],[PROVEEDOR]],PROVEEDORES[FECHA DE PAGO],"")</f>
        <v>0</v>
      </c>
      <c r="E99" s="140"/>
      <c r="F99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99" s="127">
        <v>44991</v>
      </c>
      <c r="H99" s="123" t="s">
        <v>1863</v>
      </c>
      <c r="I99" s="127">
        <v>44991</v>
      </c>
      <c r="J99" s="124" t="s">
        <v>688</v>
      </c>
      <c r="K99" s="124" t="s">
        <v>1530</v>
      </c>
      <c r="L99" s="124"/>
      <c r="M99" s="125">
        <v>1930000</v>
      </c>
      <c r="N99" s="148">
        <v>0</v>
      </c>
      <c r="O99" s="148">
        <v>0</v>
      </c>
      <c r="P99" s="149">
        <v>0</v>
      </c>
      <c r="Q99" s="148">
        <v>0</v>
      </c>
      <c r="R99" s="150">
        <v>1930000</v>
      </c>
      <c r="S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" s="135">
        <f ca="1">+IF(PROVEEDORES[[#This Row],[FECHA DE PAGO]]=0,TODAY()-PROVEEDORES[[#This Row],[FECHA DE FACTURACIÓN]]-PROVEEDORES[[#This Row],[PLAZO Días]],0)</f>
        <v>0</v>
      </c>
      <c r="U99" s="135">
        <f>+VLOOKUP(PROVEEDORES[[#This Row],[PROVEEDOR]],Terceros!$A:$D,4,FALSE)</f>
        <v>0</v>
      </c>
      <c r="V99" s="135">
        <f>+YEAR(PROVEEDORES[[#This Row],[FECHA DE FACTURACIÓN]])</f>
        <v>2023</v>
      </c>
      <c r="W99" s="135">
        <f>+MATCH(PROVEEDORES[[#This Row],[año facturado]],Retenciones!$1:$1,0)</f>
        <v>6</v>
      </c>
      <c r="X99" s="136">
        <f>+VLOOKUP(PROVEEDORES[[#This Row],[ID RETENCION]],Retenciones!$A$1:$O$25,PROVEEDORES[[#This Row],[indicador de columna]],FALSE)</f>
        <v>0</v>
      </c>
      <c r="Y99" s="137">
        <f>+VLOOKUP(PROVEEDORES[[#This Row],[ID RETENCION]],Retenciones!$A$1:$O$25,2,FALSE)</f>
        <v>0</v>
      </c>
      <c r="Z99" s="126" t="b">
        <f>+OR(COUNTIF(PROVEEDORES[[#This Row],[PROVEEDOR]],"*"&amp;'Palabra que no opera y Listas d'!$A$2&amp;"*"))</f>
        <v>0</v>
      </c>
    </row>
    <row r="100" spans="1:26" ht="27.75" customHeight="1" x14ac:dyDescent="0.25">
      <c r="A100" s="141" t="str">
        <f>+IF(PROVEEDORES[[#This Row],[FECHA DE PAGO]]=PROVEEDORES[[#This Row],[FECHA DE FACTURACIÓN]],"DE CONTADO","CRÉDITO")</f>
        <v>DE CONTADO</v>
      </c>
      <c r="B100" s="138" t="b">
        <f>+IF((PROVEEDORES[[#This Row],[FECHA DE PAGO]]-PROVEEDORES[[#This Row],[FECHA DE FACTURACIÓN]])&gt;PROVEEDORES[[#This Row],[PLAZO Días]],"PAGO VENCIDO")</f>
        <v>0</v>
      </c>
      <c r="C100" s="138">
        <f>+VLOOKUP(PROVEEDORES[[#This Row],[PROVEEDOR]],TERCEROS_INFO[#All],2,FALSE)</f>
        <v>30</v>
      </c>
      <c r="D100" s="139">
        <f>+SUMIFS(PROVEEDORES[Total],PROVEEDORES[PROVEEDOR],PROVEEDORES[[#This Row],[PROVEEDOR]],PROVEEDORES[FECHA DE PAGO],"")</f>
        <v>0</v>
      </c>
      <c r="E100" s="140"/>
      <c r="F100" s="138">
        <f>+VLOOKUP(PROVEEDORES[[#This Row],[PROVEEDOR]],
                       Terceros!$A:$F,
                       5,
                       FALSE)</f>
        <v>0</v>
      </c>
      <c r="G100" s="127">
        <v>44991</v>
      </c>
      <c r="H100" s="123" t="s">
        <v>291</v>
      </c>
      <c r="I100" s="127">
        <v>44991</v>
      </c>
      <c r="J100" s="124" t="s">
        <v>602</v>
      </c>
      <c r="K100" s="124" t="s">
        <v>1530</v>
      </c>
      <c r="L100" s="124"/>
      <c r="M100" s="125">
        <v>1682849</v>
      </c>
      <c r="N100" s="148">
        <v>319741.31</v>
      </c>
      <c r="O100" s="148">
        <v>0</v>
      </c>
      <c r="P100" s="149">
        <v>2.5000000000000001E-2</v>
      </c>
      <c r="Q100" s="148">
        <v>42071.225000000006</v>
      </c>
      <c r="R100" s="150">
        <v>1960519.085</v>
      </c>
      <c r="S1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" s="135">
        <f ca="1">+IF(PROVEEDORES[[#This Row],[FECHA DE PAGO]]=0,TODAY()-PROVEEDORES[[#This Row],[FECHA DE FACTURACIÓN]]-PROVEEDORES[[#This Row],[PLAZO Días]],0)</f>
        <v>0</v>
      </c>
      <c r="U100" s="135" t="str">
        <f>+VLOOKUP(PROVEEDORES[[#This Row],[PROVEEDOR]],Terceros!$A:$D,4,FALSE)</f>
        <v>2,5% con base</v>
      </c>
      <c r="V100" s="135">
        <f>+YEAR(PROVEEDORES[[#This Row],[FECHA DE FACTURACIÓN]])</f>
        <v>2023</v>
      </c>
      <c r="W100" s="135">
        <f>+MATCH(PROVEEDORES[[#This Row],[año facturado]],Retenciones!$1:$1,0)</f>
        <v>6</v>
      </c>
      <c r="X100" s="136">
        <f>+VLOOKUP(PROVEEDORES[[#This Row],[ID RETENCION]],Retenciones!$A$1:$O$25,PROVEEDORES[[#This Row],[indicador de columna]],FALSE)</f>
        <v>1145000</v>
      </c>
      <c r="Y100" s="137">
        <f>+VLOOKUP(PROVEEDORES[[#This Row],[ID RETENCION]],Retenciones!$A$1:$O$25,2,FALSE)</f>
        <v>2.5000000000000001E-2</v>
      </c>
      <c r="Z100" s="126" t="b">
        <f>+OR(COUNTIF(PROVEEDORES[[#This Row],[PROVEEDOR]],"*"&amp;'Palabra que no opera y Listas d'!$A$2&amp;"*"))</f>
        <v>0</v>
      </c>
    </row>
    <row r="101" spans="1:26" ht="27.75" customHeight="1" x14ac:dyDescent="0.25">
      <c r="A101" s="141" t="str">
        <f>+IF(PROVEEDORES[[#This Row],[FECHA DE PAGO]]=PROVEEDORES[[#This Row],[FECHA DE FACTURACIÓN]],"DE CONTADO","CRÉDITO")</f>
        <v>DE CONTADO</v>
      </c>
      <c r="B101" s="138" t="b">
        <f>+IF((PROVEEDORES[[#This Row],[FECHA DE PAGO]]-PROVEEDORES[[#This Row],[FECHA DE FACTURACIÓN]])&gt;PROVEEDORES[[#This Row],[PLAZO Días]],"PAGO VENCIDO")</f>
        <v>0</v>
      </c>
      <c r="C101" s="138">
        <f>+VLOOKUP(PROVEEDORES[[#This Row],[PROVEEDOR]],TERCEROS_INFO[#All],2,FALSE)</f>
        <v>30</v>
      </c>
      <c r="D101" s="139">
        <f>+SUMIFS(PROVEEDORES[Total],PROVEEDORES[PROVEEDOR],PROVEEDORES[[#This Row],[PROVEEDOR]],PROVEEDORES[FECHA DE PAGO],"")</f>
        <v>0</v>
      </c>
      <c r="E101" s="140"/>
      <c r="F101" s="138" t="str">
        <f>+VLOOKUP(PROVEEDORES[[#This Row],[PROVEEDOR]],
                       Terceros!$A:$F,
                       5,
                       FALSE)</f>
        <v>lpena@tbplusenergy.com;girlesa.ruiz@servipilas.com;joriescobar64@gmail.com</v>
      </c>
      <c r="G101" s="127">
        <v>44991</v>
      </c>
      <c r="H101" s="123" t="s">
        <v>199</v>
      </c>
      <c r="I101" s="127">
        <v>44991</v>
      </c>
      <c r="J101" s="124">
        <v>6922</v>
      </c>
      <c r="K101" s="124" t="s">
        <v>1530</v>
      </c>
      <c r="L101" s="124"/>
      <c r="M101" s="125">
        <v>4100000</v>
      </c>
      <c r="N101" s="148">
        <v>779000</v>
      </c>
      <c r="O101" s="148">
        <v>0</v>
      </c>
      <c r="P101" s="149">
        <v>2.5000000000000001E-2</v>
      </c>
      <c r="Q101" s="148">
        <v>102500</v>
      </c>
      <c r="R101" s="150">
        <v>4776500</v>
      </c>
      <c r="S1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" s="135">
        <f ca="1">+IF(PROVEEDORES[[#This Row],[FECHA DE PAGO]]=0,TODAY()-PROVEEDORES[[#This Row],[FECHA DE FACTURACIÓN]]-PROVEEDORES[[#This Row],[PLAZO Días]],0)</f>
        <v>0</v>
      </c>
      <c r="U101" s="135" t="str">
        <f>+VLOOKUP(PROVEEDORES[[#This Row],[PROVEEDOR]],Terceros!$A:$D,4,FALSE)</f>
        <v>2,5% con base</v>
      </c>
      <c r="V101" s="135">
        <f>+YEAR(PROVEEDORES[[#This Row],[FECHA DE FACTURACIÓN]])</f>
        <v>2023</v>
      </c>
      <c r="W101" s="135">
        <f>+MATCH(PROVEEDORES[[#This Row],[año facturado]],Retenciones!$1:$1,0)</f>
        <v>6</v>
      </c>
      <c r="X101" s="136">
        <f>+VLOOKUP(PROVEEDORES[[#This Row],[ID RETENCION]],Retenciones!$A$1:$O$25,PROVEEDORES[[#This Row],[indicador de columna]],FALSE)</f>
        <v>1145000</v>
      </c>
      <c r="Y101" s="137">
        <f>+VLOOKUP(PROVEEDORES[[#This Row],[ID RETENCION]],Retenciones!$A$1:$O$25,2,FALSE)</f>
        <v>2.5000000000000001E-2</v>
      </c>
      <c r="Z101" s="126" t="b">
        <f>+OR(COUNTIF(PROVEEDORES[[#This Row],[PROVEEDOR]],"*"&amp;'Palabra que no opera y Listas d'!$A$2&amp;"*"))</f>
        <v>0</v>
      </c>
    </row>
    <row r="102" spans="1:26" ht="27.75" customHeight="1" x14ac:dyDescent="0.25">
      <c r="A102" s="141" t="str">
        <f>+IF(PROVEEDORES[[#This Row],[FECHA DE PAGO]]=PROVEEDORES[[#This Row],[FECHA DE FACTURACIÓN]],"DE CONTADO","CRÉDITO")</f>
        <v>DE CONTADO</v>
      </c>
      <c r="B102" s="138" t="b">
        <f>+IF((PROVEEDORES[[#This Row],[FECHA DE PAGO]]-PROVEEDORES[[#This Row],[FECHA DE FACTURACIÓN]])&gt;PROVEEDORES[[#This Row],[PLAZO Días]],"PAGO VENCIDO")</f>
        <v>0</v>
      </c>
      <c r="C102" s="138">
        <f>+VLOOKUP(PROVEEDORES[[#This Row],[PROVEEDOR]],TERCEROS_INFO[#All],2,FALSE)</f>
        <v>30</v>
      </c>
      <c r="D102" s="139">
        <f>+SUMIFS(PROVEEDORES[Total],PROVEEDORES[PROVEEDOR],PROVEEDORES[[#This Row],[PROVEEDOR]],PROVEEDORES[FECHA DE PAGO],"")</f>
        <v>5427539.2800000003</v>
      </c>
      <c r="E102" s="140"/>
      <c r="F102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02" s="127">
        <v>44991</v>
      </c>
      <c r="H102" s="123" t="s">
        <v>11</v>
      </c>
      <c r="I102" s="127">
        <v>44991</v>
      </c>
      <c r="J102" s="124" t="s">
        <v>615</v>
      </c>
      <c r="K102" s="124" t="s">
        <v>1530</v>
      </c>
      <c r="L102" s="124"/>
      <c r="M102" s="125">
        <v>350379</v>
      </c>
      <c r="N102" s="148">
        <v>66572.009999999995</v>
      </c>
      <c r="O102" s="148">
        <v>0</v>
      </c>
      <c r="P102" s="149">
        <v>0</v>
      </c>
      <c r="Q102" s="148">
        <v>0</v>
      </c>
      <c r="R102" s="150">
        <v>416951.01</v>
      </c>
      <c r="S1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" s="135">
        <f ca="1">+IF(PROVEEDORES[[#This Row],[FECHA DE PAGO]]=0,TODAY()-PROVEEDORES[[#This Row],[FECHA DE FACTURACIÓN]]-PROVEEDORES[[#This Row],[PLAZO Días]],0)</f>
        <v>0</v>
      </c>
      <c r="U102" s="135" t="str">
        <f>+VLOOKUP(PROVEEDORES[[#This Row],[PROVEEDOR]],Terceros!$A:$D,4,FALSE)</f>
        <v>2,5% con base</v>
      </c>
      <c r="V102" s="135">
        <f>+YEAR(PROVEEDORES[[#This Row],[FECHA DE FACTURACIÓN]])</f>
        <v>2023</v>
      </c>
      <c r="W102" s="135">
        <f>+MATCH(PROVEEDORES[[#This Row],[año facturado]],Retenciones!$1:$1,0)</f>
        <v>6</v>
      </c>
      <c r="X102" s="136">
        <f>+VLOOKUP(PROVEEDORES[[#This Row],[ID RETENCION]],Retenciones!$A$1:$O$25,PROVEEDORES[[#This Row],[indicador de columna]],FALSE)</f>
        <v>1145000</v>
      </c>
      <c r="Y102" s="137">
        <f>+VLOOKUP(PROVEEDORES[[#This Row],[ID RETENCION]],Retenciones!$A$1:$O$25,2,FALSE)</f>
        <v>2.5000000000000001E-2</v>
      </c>
      <c r="Z102" s="126" t="b">
        <f>+OR(COUNTIF(PROVEEDORES[[#This Row],[PROVEEDOR]],"*"&amp;'Palabra que no opera y Listas d'!$A$2&amp;"*"))</f>
        <v>0</v>
      </c>
    </row>
    <row r="103" spans="1:26" ht="27.75" customHeight="1" x14ac:dyDescent="0.25">
      <c r="A103" s="141" t="str">
        <f>+IF(PROVEEDORES[[#This Row],[FECHA DE PAGO]]=PROVEEDORES[[#This Row],[FECHA DE FACTURACIÓN]],"DE CONTADO","CRÉDITO")</f>
        <v>CRÉDITO</v>
      </c>
      <c r="B103" s="138" t="str">
        <f>+IF((PROVEEDORES[[#This Row],[FECHA DE PAGO]]-PROVEEDORES[[#This Row],[FECHA DE FACTURACIÓN]])&gt;PROVEEDORES[[#This Row],[PLAZO Días]],"PAGO VENCIDO")</f>
        <v>PAGO VENCIDO</v>
      </c>
      <c r="C103" s="138">
        <f>+VLOOKUP(PROVEEDORES[[#This Row],[PROVEEDOR]],TERCEROS_INFO[#All],2,FALSE)</f>
        <v>60</v>
      </c>
      <c r="D103" s="139">
        <f>+SUMIFS(PROVEEDORES[Total],PROVEEDORES[PROVEEDOR],PROVEEDORES[[#This Row],[PROVEEDOR]],PROVEEDORES[FECHA DE PAGO],"")</f>
        <v>1730482</v>
      </c>
      <c r="E103" s="140"/>
      <c r="F103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3" s="127">
        <v>44992</v>
      </c>
      <c r="H103" s="123" t="s">
        <v>222</v>
      </c>
      <c r="I103" s="127">
        <v>44927</v>
      </c>
      <c r="J103" s="124">
        <v>1585</v>
      </c>
      <c r="K103" s="124" t="s">
        <v>1530</v>
      </c>
      <c r="L103" s="124"/>
      <c r="M103" s="125">
        <v>192000</v>
      </c>
      <c r="N103" s="148">
        <v>0</v>
      </c>
      <c r="O103" s="148">
        <v>0</v>
      </c>
      <c r="P103" s="149">
        <v>0</v>
      </c>
      <c r="Q103" s="148">
        <v>0</v>
      </c>
      <c r="R103" s="150">
        <v>192000</v>
      </c>
      <c r="S1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" s="135">
        <f ca="1">+IF(PROVEEDORES[[#This Row],[FECHA DE PAGO]]=0,TODAY()-PROVEEDORES[[#This Row],[FECHA DE FACTURACIÓN]]-PROVEEDORES[[#This Row],[PLAZO Días]],0)</f>
        <v>0</v>
      </c>
      <c r="U103" s="135">
        <f>+VLOOKUP(PROVEEDORES[[#This Row],[PROVEEDOR]],Terceros!$A:$D,4,FALSE)</f>
        <v>0</v>
      </c>
      <c r="V103" s="135">
        <f>+YEAR(PROVEEDORES[[#This Row],[FECHA DE FACTURACIÓN]])</f>
        <v>2023</v>
      </c>
      <c r="W103" s="135">
        <f>+MATCH(PROVEEDORES[[#This Row],[año facturado]],Retenciones!$1:$1,0)</f>
        <v>6</v>
      </c>
      <c r="X103" s="136">
        <f>+VLOOKUP(PROVEEDORES[[#This Row],[ID RETENCION]],Retenciones!$A$1:$O$25,PROVEEDORES[[#This Row],[indicador de columna]],FALSE)</f>
        <v>0</v>
      </c>
      <c r="Y103" s="137">
        <f>+VLOOKUP(PROVEEDORES[[#This Row],[ID RETENCION]],Retenciones!$A$1:$O$25,2,FALSE)</f>
        <v>0</v>
      </c>
      <c r="Z103" s="126" t="b">
        <f>+OR(COUNTIF(PROVEEDORES[[#This Row],[PROVEEDOR]],"*"&amp;'Palabra que no opera y Listas d'!$A$2&amp;"*"))</f>
        <v>0</v>
      </c>
    </row>
    <row r="104" spans="1:26" ht="27.75" customHeight="1" x14ac:dyDescent="0.25">
      <c r="A104" s="141" t="str">
        <f>+IF(PROVEEDORES[[#This Row],[FECHA DE PAGO]]=PROVEEDORES[[#This Row],[FECHA DE FACTURACIÓN]],"DE CONTADO","CRÉDITO")</f>
        <v>CRÉDITO</v>
      </c>
      <c r="B104" s="138" t="str">
        <f>+IF((PROVEEDORES[[#This Row],[FECHA DE PAGO]]-PROVEEDORES[[#This Row],[FECHA DE FACTURACIÓN]])&gt;PROVEEDORES[[#This Row],[PLAZO Días]],"PAGO VENCIDO")</f>
        <v>PAGO VENCIDO</v>
      </c>
      <c r="C104" s="138">
        <f>+VLOOKUP(PROVEEDORES[[#This Row],[PROVEEDOR]],TERCEROS_INFO[#All],2,FALSE)</f>
        <v>60</v>
      </c>
      <c r="D104" s="139">
        <f>+SUMIFS(PROVEEDORES[Total],PROVEEDORES[PROVEEDOR],PROVEEDORES[[#This Row],[PROVEEDOR]],PROVEEDORES[FECHA DE PAGO],"")</f>
        <v>1730482</v>
      </c>
      <c r="E104" s="140"/>
      <c r="F104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4" s="127">
        <v>44992</v>
      </c>
      <c r="H104" s="123" t="s">
        <v>222</v>
      </c>
      <c r="I104" s="127">
        <v>44927</v>
      </c>
      <c r="J104" s="124">
        <v>1586</v>
      </c>
      <c r="K104" s="124" t="s">
        <v>1530</v>
      </c>
      <c r="L104" s="124"/>
      <c r="M104" s="125">
        <v>192000</v>
      </c>
      <c r="N104" s="148">
        <v>0</v>
      </c>
      <c r="O104" s="148">
        <v>0</v>
      </c>
      <c r="P104" s="149">
        <v>0</v>
      </c>
      <c r="Q104" s="148">
        <v>0</v>
      </c>
      <c r="R104" s="150">
        <v>192000</v>
      </c>
      <c r="S1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" s="135">
        <f ca="1">+IF(PROVEEDORES[[#This Row],[FECHA DE PAGO]]=0,TODAY()-PROVEEDORES[[#This Row],[FECHA DE FACTURACIÓN]]-PROVEEDORES[[#This Row],[PLAZO Días]],0)</f>
        <v>0</v>
      </c>
      <c r="U104" s="135">
        <f>+VLOOKUP(PROVEEDORES[[#This Row],[PROVEEDOR]],Terceros!$A:$D,4,FALSE)</f>
        <v>0</v>
      </c>
      <c r="V104" s="135">
        <f>+YEAR(PROVEEDORES[[#This Row],[FECHA DE FACTURACIÓN]])</f>
        <v>2023</v>
      </c>
      <c r="W104" s="135">
        <f>+MATCH(PROVEEDORES[[#This Row],[año facturado]],Retenciones!$1:$1,0)</f>
        <v>6</v>
      </c>
      <c r="X104" s="136">
        <f>+VLOOKUP(PROVEEDORES[[#This Row],[ID RETENCION]],Retenciones!$A$1:$O$25,PROVEEDORES[[#This Row],[indicador de columna]],FALSE)</f>
        <v>0</v>
      </c>
      <c r="Y104" s="137">
        <f>+VLOOKUP(PROVEEDORES[[#This Row],[ID RETENCION]],Retenciones!$A$1:$O$25,2,FALSE)</f>
        <v>0</v>
      </c>
      <c r="Z104" s="126" t="b">
        <f>+OR(COUNTIF(PROVEEDORES[[#This Row],[PROVEEDOR]],"*"&amp;'Palabra que no opera y Listas d'!$A$2&amp;"*"))</f>
        <v>0</v>
      </c>
    </row>
    <row r="105" spans="1:26" ht="27.75" customHeight="1" x14ac:dyDescent="0.25">
      <c r="A105" s="141" t="str">
        <f>+IF(PROVEEDORES[[#This Row],[FECHA DE PAGO]]=PROVEEDORES[[#This Row],[FECHA DE FACTURACIÓN]],"DE CONTADO","CRÉDITO")</f>
        <v>CRÉDITO</v>
      </c>
      <c r="B105" s="138" t="b">
        <f>+IF((PROVEEDORES[[#This Row],[FECHA DE PAGO]]-PROVEEDORES[[#This Row],[FECHA DE FACTURACIÓN]])&gt;PROVEEDORES[[#This Row],[PLAZO Días]],"PAGO VENCIDO")</f>
        <v>0</v>
      </c>
      <c r="C105" s="138">
        <f>+VLOOKUP(PROVEEDORES[[#This Row],[PROVEEDOR]],TERCEROS_INFO[#All],2,FALSE)</f>
        <v>60</v>
      </c>
      <c r="D105" s="139">
        <f>+SUMIFS(PROVEEDORES[Total],PROVEEDORES[PROVEEDOR],PROVEEDORES[[#This Row],[PROVEEDOR]],PROVEEDORES[FECHA DE PAGO],"")</f>
        <v>1730482</v>
      </c>
      <c r="E105" s="140"/>
      <c r="F105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5" s="127">
        <v>44992</v>
      </c>
      <c r="H105" s="123" t="s">
        <v>222</v>
      </c>
      <c r="I105" s="127">
        <v>44949</v>
      </c>
      <c r="J105" s="124">
        <v>1591</v>
      </c>
      <c r="K105" s="124" t="s">
        <v>1530</v>
      </c>
      <c r="L105" s="124"/>
      <c r="M105" s="125">
        <v>519340</v>
      </c>
      <c r="N105" s="148">
        <v>0</v>
      </c>
      <c r="O105" s="148">
        <v>0</v>
      </c>
      <c r="P105" s="149">
        <v>0</v>
      </c>
      <c r="Q105" s="148">
        <v>0</v>
      </c>
      <c r="R105" s="150">
        <v>519340</v>
      </c>
      <c r="S1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" s="135">
        <f ca="1">+IF(PROVEEDORES[[#This Row],[FECHA DE PAGO]]=0,TODAY()-PROVEEDORES[[#This Row],[FECHA DE FACTURACIÓN]]-PROVEEDORES[[#This Row],[PLAZO Días]],0)</f>
        <v>0</v>
      </c>
      <c r="U105" s="135">
        <f>+VLOOKUP(PROVEEDORES[[#This Row],[PROVEEDOR]],Terceros!$A:$D,4,FALSE)</f>
        <v>0</v>
      </c>
      <c r="V105" s="135">
        <f>+YEAR(PROVEEDORES[[#This Row],[FECHA DE FACTURACIÓN]])</f>
        <v>2023</v>
      </c>
      <c r="W105" s="135">
        <f>+MATCH(PROVEEDORES[[#This Row],[año facturado]],Retenciones!$1:$1,0)</f>
        <v>6</v>
      </c>
      <c r="X105" s="136">
        <f>+VLOOKUP(PROVEEDORES[[#This Row],[ID RETENCION]],Retenciones!$A$1:$O$25,PROVEEDORES[[#This Row],[indicador de columna]],FALSE)</f>
        <v>0</v>
      </c>
      <c r="Y105" s="137">
        <f>+VLOOKUP(PROVEEDORES[[#This Row],[ID RETENCION]],Retenciones!$A$1:$O$25,2,FALSE)</f>
        <v>0</v>
      </c>
      <c r="Z105" s="126" t="b">
        <f>+OR(COUNTIF(PROVEEDORES[[#This Row],[PROVEEDOR]],"*"&amp;'Palabra que no opera y Listas d'!$A$2&amp;"*"))</f>
        <v>0</v>
      </c>
    </row>
    <row r="106" spans="1:26" ht="27.75" customHeight="1" x14ac:dyDescent="0.25">
      <c r="A106" s="141" t="str">
        <f>+IF(PROVEEDORES[[#This Row],[FECHA DE PAGO]]=PROVEEDORES[[#This Row],[FECHA DE FACTURACIÓN]],"DE CONTADO","CRÉDITO")</f>
        <v>CRÉDITO</v>
      </c>
      <c r="B106" s="138" t="b">
        <f>+IF((PROVEEDORES[[#This Row],[FECHA DE PAGO]]-PROVEEDORES[[#This Row],[FECHA DE FACTURACIÓN]])&gt;PROVEEDORES[[#This Row],[PLAZO Días]],"PAGO VENCIDO")</f>
        <v>0</v>
      </c>
      <c r="C106" s="138">
        <f>+VLOOKUP(PROVEEDORES[[#This Row],[PROVEEDOR]],TERCEROS_INFO[#All],2,FALSE)</f>
        <v>60</v>
      </c>
      <c r="D106" s="139">
        <f>+SUMIFS(PROVEEDORES[Total],PROVEEDORES[PROVEEDOR],PROVEEDORES[[#This Row],[PROVEEDOR]],PROVEEDORES[FECHA DE PAGO],"")</f>
        <v>1730482</v>
      </c>
      <c r="E106" s="140"/>
      <c r="F106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6" s="127">
        <v>44992</v>
      </c>
      <c r="H106" s="123" t="s">
        <v>222</v>
      </c>
      <c r="I106" s="127">
        <v>44949</v>
      </c>
      <c r="J106" s="124">
        <v>1598</v>
      </c>
      <c r="K106" s="124" t="s">
        <v>1530</v>
      </c>
      <c r="L106" s="124"/>
      <c r="M106" s="125">
        <v>184000</v>
      </c>
      <c r="N106" s="148">
        <v>0</v>
      </c>
      <c r="O106" s="148">
        <v>0</v>
      </c>
      <c r="P106" s="149">
        <v>0</v>
      </c>
      <c r="Q106" s="148">
        <v>0</v>
      </c>
      <c r="R106" s="150">
        <v>184000</v>
      </c>
      <c r="S1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" s="135">
        <f ca="1">+IF(PROVEEDORES[[#This Row],[FECHA DE PAGO]]=0,TODAY()-PROVEEDORES[[#This Row],[FECHA DE FACTURACIÓN]]-PROVEEDORES[[#This Row],[PLAZO Días]],0)</f>
        <v>0</v>
      </c>
      <c r="U106" s="135">
        <f>+VLOOKUP(PROVEEDORES[[#This Row],[PROVEEDOR]],Terceros!$A:$D,4,FALSE)</f>
        <v>0</v>
      </c>
      <c r="V106" s="135">
        <f>+YEAR(PROVEEDORES[[#This Row],[FECHA DE FACTURACIÓN]])</f>
        <v>2023</v>
      </c>
      <c r="W106" s="135">
        <f>+MATCH(PROVEEDORES[[#This Row],[año facturado]],Retenciones!$1:$1,0)</f>
        <v>6</v>
      </c>
      <c r="X106" s="136">
        <f>+VLOOKUP(PROVEEDORES[[#This Row],[ID RETENCION]],Retenciones!$A$1:$O$25,PROVEEDORES[[#This Row],[indicador de columna]],FALSE)</f>
        <v>0</v>
      </c>
      <c r="Y106" s="137">
        <f>+VLOOKUP(PROVEEDORES[[#This Row],[ID RETENCION]],Retenciones!$A$1:$O$25,2,FALSE)</f>
        <v>0</v>
      </c>
      <c r="Z106" s="126" t="b">
        <f>+OR(COUNTIF(PROVEEDORES[[#This Row],[PROVEEDOR]],"*"&amp;'Palabra que no opera y Listas d'!$A$2&amp;"*"))</f>
        <v>0</v>
      </c>
    </row>
    <row r="107" spans="1:26" ht="27.75" customHeight="1" x14ac:dyDescent="0.25">
      <c r="A107" s="141" t="str">
        <f>+IF(PROVEEDORES[[#This Row],[FECHA DE PAGO]]=PROVEEDORES[[#This Row],[FECHA DE FACTURACIÓN]],"DE CONTADO","CRÉDITO")</f>
        <v>CRÉDITO</v>
      </c>
      <c r="B107" s="138" t="b">
        <f>+IF((PROVEEDORES[[#This Row],[FECHA DE PAGO]]-PROVEEDORES[[#This Row],[FECHA DE FACTURACIÓN]])&gt;PROVEEDORES[[#This Row],[PLAZO Días]],"PAGO VENCIDO")</f>
        <v>0</v>
      </c>
      <c r="C107" s="138">
        <f>+VLOOKUP(PROVEEDORES[[#This Row],[PROVEEDOR]],TERCEROS_INFO[#All],2,FALSE)</f>
        <v>45</v>
      </c>
      <c r="D107" s="139">
        <f>+SUMIFS(PROVEEDORES[Total],PROVEEDORES[PROVEEDOR],PROVEEDORES[[#This Row],[PROVEEDOR]],PROVEEDORES[FECHA DE PAGO],"")</f>
        <v>0</v>
      </c>
      <c r="E107" s="140"/>
      <c r="F107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7" s="127">
        <v>44992</v>
      </c>
      <c r="H107" s="123" t="s">
        <v>224</v>
      </c>
      <c r="I107" s="127">
        <v>44949</v>
      </c>
      <c r="J107" s="124">
        <v>1589</v>
      </c>
      <c r="K107" s="124" t="s">
        <v>1530</v>
      </c>
      <c r="L107" s="124"/>
      <c r="M107" s="125">
        <v>2299080</v>
      </c>
      <c r="N107" s="148">
        <v>0</v>
      </c>
      <c r="O107" s="148">
        <v>0</v>
      </c>
      <c r="P107" s="149">
        <v>0</v>
      </c>
      <c r="Q107" s="148">
        <v>0</v>
      </c>
      <c r="R107" s="150">
        <v>2299080</v>
      </c>
      <c r="S1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" s="135">
        <f ca="1">+IF(PROVEEDORES[[#This Row],[FECHA DE PAGO]]=0,TODAY()-PROVEEDORES[[#This Row],[FECHA DE FACTURACIÓN]]-PROVEEDORES[[#This Row],[PLAZO Días]],0)</f>
        <v>0</v>
      </c>
      <c r="U107" s="135">
        <f>+VLOOKUP(PROVEEDORES[[#This Row],[PROVEEDOR]],Terceros!$A:$D,4,FALSE)</f>
        <v>0</v>
      </c>
      <c r="V107" s="135">
        <f>+YEAR(PROVEEDORES[[#This Row],[FECHA DE FACTURACIÓN]])</f>
        <v>2023</v>
      </c>
      <c r="W107" s="135">
        <f>+MATCH(PROVEEDORES[[#This Row],[año facturado]],Retenciones!$1:$1,0)</f>
        <v>6</v>
      </c>
      <c r="X107" s="136">
        <f>+VLOOKUP(PROVEEDORES[[#This Row],[ID RETENCION]],Retenciones!$A$1:$O$25,PROVEEDORES[[#This Row],[indicador de columna]],FALSE)</f>
        <v>0</v>
      </c>
      <c r="Y107" s="137">
        <f>+VLOOKUP(PROVEEDORES[[#This Row],[ID RETENCION]],Retenciones!$A$1:$O$25,2,FALSE)</f>
        <v>0</v>
      </c>
      <c r="Z107" s="126" t="b">
        <f>+OR(COUNTIF(PROVEEDORES[[#This Row],[PROVEEDOR]],"*"&amp;'Palabra que no opera y Listas d'!$A$2&amp;"*"))</f>
        <v>0</v>
      </c>
    </row>
    <row r="108" spans="1:26" ht="27.75" customHeight="1" x14ac:dyDescent="0.25">
      <c r="A108" s="141" t="str">
        <f>+IF(PROVEEDORES[[#This Row],[FECHA DE PAGO]]=PROVEEDORES[[#This Row],[FECHA DE FACTURACIÓN]],"DE CONTADO","CRÉDITO")</f>
        <v>CRÉDITO</v>
      </c>
      <c r="B108" s="138" t="b">
        <f>+IF((PROVEEDORES[[#This Row],[FECHA DE PAGO]]-PROVEEDORES[[#This Row],[FECHA DE FACTURACIÓN]])&gt;PROVEEDORES[[#This Row],[PLAZO Días]],"PAGO VENCIDO")</f>
        <v>0</v>
      </c>
      <c r="C108" s="138">
        <f>+VLOOKUP(PROVEEDORES[[#This Row],[PROVEEDOR]],TERCEROS_INFO[#All],2,FALSE)</f>
        <v>60</v>
      </c>
      <c r="D108" s="139">
        <f>+SUMIFS(PROVEEDORES[Total],PROVEEDORES[PROVEEDOR],PROVEEDORES[[#This Row],[PROVEEDOR]],PROVEEDORES[FECHA DE PAGO],"")</f>
        <v>1730482</v>
      </c>
      <c r="E108" s="140"/>
      <c r="F108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8" s="127">
        <v>44992</v>
      </c>
      <c r="H108" s="123" t="s">
        <v>222</v>
      </c>
      <c r="I108" s="127">
        <v>44963</v>
      </c>
      <c r="J108" s="124">
        <v>1607</v>
      </c>
      <c r="K108" s="124" t="s">
        <v>1530</v>
      </c>
      <c r="L108" s="124"/>
      <c r="M108" s="125">
        <v>191200</v>
      </c>
      <c r="N108" s="148">
        <v>0</v>
      </c>
      <c r="O108" s="148">
        <v>0</v>
      </c>
      <c r="P108" s="149">
        <v>0</v>
      </c>
      <c r="Q108" s="148">
        <v>0</v>
      </c>
      <c r="R108" s="150">
        <v>191200</v>
      </c>
      <c r="S1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" s="135">
        <f ca="1">+IF(PROVEEDORES[[#This Row],[FECHA DE PAGO]]=0,TODAY()-PROVEEDORES[[#This Row],[FECHA DE FACTURACIÓN]]-PROVEEDORES[[#This Row],[PLAZO Días]],0)</f>
        <v>0</v>
      </c>
      <c r="U108" s="135">
        <f>+VLOOKUP(PROVEEDORES[[#This Row],[PROVEEDOR]],Terceros!$A:$D,4,FALSE)</f>
        <v>0</v>
      </c>
      <c r="V108" s="135">
        <f>+YEAR(PROVEEDORES[[#This Row],[FECHA DE FACTURACIÓN]])</f>
        <v>2023</v>
      </c>
      <c r="W108" s="135">
        <f>+MATCH(PROVEEDORES[[#This Row],[año facturado]],Retenciones!$1:$1,0)</f>
        <v>6</v>
      </c>
      <c r="X108" s="136">
        <f>+VLOOKUP(PROVEEDORES[[#This Row],[ID RETENCION]],Retenciones!$A$1:$O$25,PROVEEDORES[[#This Row],[indicador de columna]],FALSE)</f>
        <v>0</v>
      </c>
      <c r="Y108" s="137">
        <f>+VLOOKUP(PROVEEDORES[[#This Row],[ID RETENCION]],Retenciones!$A$1:$O$25,2,FALSE)</f>
        <v>0</v>
      </c>
      <c r="Z108" s="126" t="b">
        <f>+OR(COUNTIF(PROVEEDORES[[#This Row],[PROVEEDOR]],"*"&amp;'Palabra que no opera y Listas d'!$A$2&amp;"*"))</f>
        <v>0</v>
      </c>
    </row>
    <row r="109" spans="1:26" ht="27.75" customHeight="1" x14ac:dyDescent="0.25">
      <c r="A109" s="141" t="str">
        <f>+IF(PROVEEDORES[[#This Row],[FECHA DE PAGO]]=PROVEEDORES[[#This Row],[FECHA DE FACTURACIÓN]],"DE CONTADO","CRÉDITO")</f>
        <v>CRÉDITO</v>
      </c>
      <c r="B109" s="138" t="b">
        <f>+IF((PROVEEDORES[[#This Row],[FECHA DE PAGO]]-PROVEEDORES[[#This Row],[FECHA DE FACTURACIÓN]])&gt;PROVEEDORES[[#This Row],[PLAZO Días]],"PAGO VENCIDO")</f>
        <v>0</v>
      </c>
      <c r="C109" s="138">
        <f>+VLOOKUP(PROVEEDORES[[#This Row],[PROVEEDOR]],TERCEROS_INFO[#All],2,FALSE)</f>
        <v>60</v>
      </c>
      <c r="D109" s="139">
        <f>+SUMIFS(PROVEEDORES[Total],PROVEEDORES[PROVEEDOR],PROVEEDORES[[#This Row],[PROVEEDOR]],PROVEEDORES[FECHA DE PAGO],"")</f>
        <v>1730482</v>
      </c>
      <c r="E109" s="140"/>
      <c r="F109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9" s="127">
        <v>44992</v>
      </c>
      <c r="H109" s="123" t="s">
        <v>222</v>
      </c>
      <c r="I109" s="127">
        <v>44963</v>
      </c>
      <c r="J109" s="124">
        <v>1608</v>
      </c>
      <c r="K109" s="124" t="s">
        <v>1530</v>
      </c>
      <c r="L109" s="124"/>
      <c r="M109" s="125">
        <v>191200</v>
      </c>
      <c r="N109" s="148">
        <v>0</v>
      </c>
      <c r="O109" s="148">
        <v>0</v>
      </c>
      <c r="P109" s="149">
        <v>0</v>
      </c>
      <c r="Q109" s="148">
        <v>0</v>
      </c>
      <c r="R109" s="150">
        <v>191200</v>
      </c>
      <c r="S1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" s="135">
        <f ca="1">+IF(PROVEEDORES[[#This Row],[FECHA DE PAGO]]=0,TODAY()-PROVEEDORES[[#This Row],[FECHA DE FACTURACIÓN]]-PROVEEDORES[[#This Row],[PLAZO Días]],0)</f>
        <v>0</v>
      </c>
      <c r="U109" s="135">
        <f>+VLOOKUP(PROVEEDORES[[#This Row],[PROVEEDOR]],Terceros!$A:$D,4,FALSE)</f>
        <v>0</v>
      </c>
      <c r="V109" s="135">
        <f>+YEAR(PROVEEDORES[[#This Row],[FECHA DE FACTURACIÓN]])</f>
        <v>2023</v>
      </c>
      <c r="W109" s="135">
        <f>+MATCH(PROVEEDORES[[#This Row],[año facturado]],Retenciones!$1:$1,0)</f>
        <v>6</v>
      </c>
      <c r="X109" s="136">
        <f>+VLOOKUP(PROVEEDORES[[#This Row],[ID RETENCION]],Retenciones!$A$1:$O$25,PROVEEDORES[[#This Row],[indicador de columna]],FALSE)</f>
        <v>0</v>
      </c>
      <c r="Y109" s="137">
        <f>+VLOOKUP(PROVEEDORES[[#This Row],[ID RETENCION]],Retenciones!$A$1:$O$25,2,FALSE)</f>
        <v>0</v>
      </c>
      <c r="Z109" s="126" t="b">
        <f>+OR(COUNTIF(PROVEEDORES[[#This Row],[PROVEEDOR]],"*"&amp;'Palabra que no opera y Listas d'!$A$2&amp;"*"))</f>
        <v>0</v>
      </c>
    </row>
    <row r="110" spans="1:26" ht="27.75" customHeight="1" x14ac:dyDescent="0.25">
      <c r="A110" s="141" t="str">
        <f>+IF(PROVEEDORES[[#This Row],[FECHA DE PAGO]]=PROVEEDORES[[#This Row],[FECHA DE FACTURACIÓN]],"DE CONTADO","CRÉDITO")</f>
        <v>CRÉDITO</v>
      </c>
      <c r="B110" s="138" t="b">
        <f>+IF((PROVEEDORES[[#This Row],[FECHA DE PAGO]]-PROVEEDORES[[#This Row],[FECHA DE FACTURACIÓN]])&gt;PROVEEDORES[[#This Row],[PLAZO Días]],"PAGO VENCIDO")</f>
        <v>0</v>
      </c>
      <c r="C110" s="138">
        <f>+VLOOKUP(PROVEEDORES[[#This Row],[PROVEEDOR]],TERCEROS_INFO[#All],2,FALSE)</f>
        <v>60</v>
      </c>
      <c r="D110" s="139">
        <f>+SUMIFS(PROVEEDORES[Total],PROVEEDORES[PROVEEDOR],PROVEEDORES[[#This Row],[PROVEEDOR]],PROVEEDORES[FECHA DE PAGO],"")</f>
        <v>1730482</v>
      </c>
      <c r="E110" s="140"/>
      <c r="F110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10" s="127">
        <v>44992</v>
      </c>
      <c r="H110" s="123" t="s">
        <v>222</v>
      </c>
      <c r="I110" s="127">
        <v>44963</v>
      </c>
      <c r="J110" s="124">
        <v>1624</v>
      </c>
      <c r="K110" s="124" t="s">
        <v>1530</v>
      </c>
      <c r="L110" s="124"/>
      <c r="M110" s="125">
        <v>1178064</v>
      </c>
      <c r="N110" s="148">
        <v>0</v>
      </c>
      <c r="O110" s="148">
        <v>0</v>
      </c>
      <c r="P110" s="149">
        <v>0</v>
      </c>
      <c r="Q110" s="148">
        <v>0</v>
      </c>
      <c r="R110" s="150">
        <v>1178064</v>
      </c>
      <c r="S1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" s="135">
        <f ca="1">+IF(PROVEEDORES[[#This Row],[FECHA DE PAGO]]=0,TODAY()-PROVEEDORES[[#This Row],[FECHA DE FACTURACIÓN]]-PROVEEDORES[[#This Row],[PLAZO Días]],0)</f>
        <v>0</v>
      </c>
      <c r="U110" s="135">
        <f>+VLOOKUP(PROVEEDORES[[#This Row],[PROVEEDOR]],Terceros!$A:$D,4,FALSE)</f>
        <v>0</v>
      </c>
      <c r="V110" s="135">
        <f>+YEAR(PROVEEDORES[[#This Row],[FECHA DE FACTURACIÓN]])</f>
        <v>2023</v>
      </c>
      <c r="W110" s="135">
        <f>+MATCH(PROVEEDORES[[#This Row],[año facturado]],Retenciones!$1:$1,0)</f>
        <v>6</v>
      </c>
      <c r="X110" s="136">
        <f>+VLOOKUP(PROVEEDORES[[#This Row],[ID RETENCION]],Retenciones!$A$1:$O$25,PROVEEDORES[[#This Row],[indicador de columna]],FALSE)</f>
        <v>0</v>
      </c>
      <c r="Y110" s="137">
        <f>+VLOOKUP(PROVEEDORES[[#This Row],[ID RETENCION]],Retenciones!$A$1:$O$25,2,FALSE)</f>
        <v>0</v>
      </c>
      <c r="Z110" s="126" t="b">
        <f>+OR(COUNTIF(PROVEEDORES[[#This Row],[PROVEEDOR]],"*"&amp;'Palabra que no opera y Listas d'!$A$2&amp;"*"))</f>
        <v>0</v>
      </c>
    </row>
    <row r="111" spans="1:26" ht="27.75" customHeight="1" x14ac:dyDescent="0.25">
      <c r="A111" s="141" t="str">
        <f>+IF(PROVEEDORES[[#This Row],[FECHA DE PAGO]]=PROVEEDORES[[#This Row],[FECHA DE FACTURACIÓN]],"DE CONTADO","CRÉDITO")</f>
        <v>CRÉDITO</v>
      </c>
      <c r="B111" s="138" t="b">
        <f>+IF((PROVEEDORES[[#This Row],[FECHA DE PAGO]]-PROVEEDORES[[#This Row],[FECHA DE FACTURACIÓN]])&gt;PROVEEDORES[[#This Row],[PLAZO Días]],"PAGO VENCIDO")</f>
        <v>0</v>
      </c>
      <c r="C111" s="138">
        <f>+VLOOKUP(PROVEEDORES[[#This Row],[PROVEEDOR]],TERCEROS_INFO[#All],2,FALSE)</f>
        <v>60</v>
      </c>
      <c r="D111" s="139">
        <f>+SUMIFS(PROVEEDORES[Total],PROVEEDORES[PROVEEDOR],PROVEEDORES[[#This Row],[PROVEEDOR]],PROVEEDORES[FECHA DE PAGO],"")</f>
        <v>1730482</v>
      </c>
      <c r="E111" s="140"/>
      <c r="F111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11" s="127">
        <v>44992</v>
      </c>
      <c r="H111" s="123" t="s">
        <v>222</v>
      </c>
      <c r="I111" s="127">
        <v>44963</v>
      </c>
      <c r="J111" s="124">
        <v>1623</v>
      </c>
      <c r="K111" s="124" t="s">
        <v>1530</v>
      </c>
      <c r="L111" s="124"/>
      <c r="M111" s="125">
        <v>349920</v>
      </c>
      <c r="N111" s="148">
        <v>0</v>
      </c>
      <c r="O111" s="148">
        <v>0</v>
      </c>
      <c r="P111" s="149">
        <v>0</v>
      </c>
      <c r="Q111" s="148">
        <v>0</v>
      </c>
      <c r="R111" s="150">
        <v>349920</v>
      </c>
      <c r="S1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" s="135">
        <f ca="1">+IF(PROVEEDORES[[#This Row],[FECHA DE PAGO]]=0,TODAY()-PROVEEDORES[[#This Row],[FECHA DE FACTURACIÓN]]-PROVEEDORES[[#This Row],[PLAZO Días]],0)</f>
        <v>0</v>
      </c>
      <c r="U111" s="135">
        <f>+VLOOKUP(PROVEEDORES[[#This Row],[PROVEEDOR]],Terceros!$A:$D,4,FALSE)</f>
        <v>0</v>
      </c>
      <c r="V111" s="135">
        <f>+YEAR(PROVEEDORES[[#This Row],[FECHA DE FACTURACIÓN]])</f>
        <v>2023</v>
      </c>
      <c r="W111" s="135">
        <f>+MATCH(PROVEEDORES[[#This Row],[año facturado]],Retenciones!$1:$1,0)</f>
        <v>6</v>
      </c>
      <c r="X111" s="136">
        <f>+VLOOKUP(PROVEEDORES[[#This Row],[ID RETENCION]],Retenciones!$A$1:$O$25,PROVEEDORES[[#This Row],[indicador de columna]],FALSE)</f>
        <v>0</v>
      </c>
      <c r="Y111" s="137">
        <f>+VLOOKUP(PROVEEDORES[[#This Row],[ID RETENCION]],Retenciones!$A$1:$O$25,2,FALSE)</f>
        <v>0</v>
      </c>
      <c r="Z111" s="126" t="b">
        <f>+OR(COUNTIF(PROVEEDORES[[#This Row],[PROVEEDOR]],"*"&amp;'Palabra que no opera y Listas d'!$A$2&amp;"*"))</f>
        <v>0</v>
      </c>
    </row>
    <row r="112" spans="1:26" ht="27.75" customHeight="1" x14ac:dyDescent="0.25">
      <c r="A112" s="141" t="str">
        <f>+IF(PROVEEDORES[[#This Row],[FECHA DE PAGO]]=PROVEEDORES[[#This Row],[FECHA DE FACTURACIÓN]],"DE CONTADO","CRÉDITO")</f>
        <v>DE CONTADO</v>
      </c>
      <c r="B112" s="138" t="b">
        <f>+IF((PROVEEDORES[[#This Row],[FECHA DE PAGO]]-PROVEEDORES[[#This Row],[FECHA DE FACTURACIÓN]])&gt;PROVEEDORES[[#This Row],[PLAZO Días]],"PAGO VENCIDO")</f>
        <v>0</v>
      </c>
      <c r="C112" s="138">
        <f>+VLOOKUP(PROVEEDORES[[#This Row],[PROVEEDOR]],TERCEROS_INFO[#All],2,FALSE)</f>
        <v>30</v>
      </c>
      <c r="D112" s="139">
        <f>+SUMIFS(PROVEEDORES[Total],PROVEEDORES[PROVEEDOR],PROVEEDORES[[#This Row],[PROVEEDOR]],PROVEEDORES[FECHA DE PAGO],"")</f>
        <v>0</v>
      </c>
      <c r="E112" s="140"/>
      <c r="F112" s="138" t="str">
        <f>+VLOOKUP(PROVEEDORES[[#This Row],[PROVEEDOR]],
                       Terceros!$A:$F,
                       5,
                       FALSE)</f>
        <v/>
      </c>
      <c r="G112" s="127">
        <v>44993</v>
      </c>
      <c r="H112" s="123" t="s">
        <v>481</v>
      </c>
      <c r="I112" s="127">
        <v>44993</v>
      </c>
      <c r="J112" s="124" t="s">
        <v>625</v>
      </c>
      <c r="K112" s="124" t="s">
        <v>1530</v>
      </c>
      <c r="L112" s="124"/>
      <c r="M112" s="125">
        <v>5386000</v>
      </c>
      <c r="N112" s="148">
        <v>0</v>
      </c>
      <c r="O112" s="148">
        <v>0</v>
      </c>
      <c r="P112" s="149">
        <v>0</v>
      </c>
      <c r="Q112" s="148">
        <v>0</v>
      </c>
      <c r="R112" s="150">
        <v>5386000</v>
      </c>
      <c r="S1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" s="135">
        <f ca="1">+IF(PROVEEDORES[[#This Row],[FECHA DE PAGO]]=0,TODAY()-PROVEEDORES[[#This Row],[FECHA DE FACTURACIÓN]]-PROVEEDORES[[#This Row],[PLAZO Días]],0)</f>
        <v>0</v>
      </c>
      <c r="U112" s="135">
        <f>+VLOOKUP(PROVEEDORES[[#This Row],[PROVEEDOR]],Terceros!$A:$D,4,FALSE)</f>
        <v>0</v>
      </c>
      <c r="V112" s="135">
        <f>+YEAR(PROVEEDORES[[#This Row],[FECHA DE FACTURACIÓN]])</f>
        <v>2023</v>
      </c>
      <c r="W112" s="135">
        <f>+MATCH(PROVEEDORES[[#This Row],[año facturado]],Retenciones!$1:$1,0)</f>
        <v>6</v>
      </c>
      <c r="X112" s="136">
        <f>+VLOOKUP(PROVEEDORES[[#This Row],[ID RETENCION]],Retenciones!$A$1:$O$25,PROVEEDORES[[#This Row],[indicador de columna]],FALSE)</f>
        <v>0</v>
      </c>
      <c r="Y112" s="137">
        <f>+VLOOKUP(PROVEEDORES[[#This Row],[ID RETENCION]],Retenciones!$A$1:$O$25,2,FALSE)</f>
        <v>0</v>
      </c>
      <c r="Z112" s="126" t="b">
        <f>+OR(COUNTIF(PROVEEDORES[[#This Row],[PROVEEDOR]],"*"&amp;'Palabra que no opera y Listas d'!$A$2&amp;"*"))</f>
        <v>0</v>
      </c>
    </row>
    <row r="113" spans="1:26" ht="27.75" customHeight="1" x14ac:dyDescent="0.25">
      <c r="A113" s="141" t="str">
        <f>+IF(PROVEEDORES[[#This Row],[FECHA DE PAGO]]=PROVEEDORES[[#This Row],[FECHA DE FACTURACIÓN]],"DE CONTADO","CRÉDITO")</f>
        <v>DE CONTADO</v>
      </c>
      <c r="B113" s="138" t="b">
        <f>+IF((PROVEEDORES[[#This Row],[FECHA DE PAGO]]-PROVEEDORES[[#This Row],[FECHA DE FACTURACIÓN]])&gt;PROVEEDORES[[#This Row],[PLAZO Días]],"PAGO VENCIDO")</f>
        <v>0</v>
      </c>
      <c r="C113" s="138">
        <f>+VLOOKUP(PROVEEDORES[[#This Row],[PROVEEDOR]],TERCEROS_INFO[#All],2,FALSE)</f>
        <v>30</v>
      </c>
      <c r="D113" s="139">
        <f>+SUMIFS(PROVEEDORES[Total],PROVEEDORES[PROVEEDOR],PROVEEDORES[[#This Row],[PROVEEDOR]],PROVEEDORES[FECHA DE PAGO],"")</f>
        <v>0</v>
      </c>
      <c r="E113" s="140"/>
      <c r="F113" s="138" t="str">
        <f>+VLOOKUP(PROVEEDORES[[#This Row],[PROVEEDOR]],
                       Terceros!$A:$F,
                       5,
                       FALSE)</f>
        <v/>
      </c>
      <c r="G113" s="127">
        <v>44993</v>
      </c>
      <c r="H113" s="123" t="s">
        <v>466</v>
      </c>
      <c r="I113" s="127">
        <v>44993</v>
      </c>
      <c r="J113" s="124" t="s">
        <v>661</v>
      </c>
      <c r="K113" s="124" t="s">
        <v>1530</v>
      </c>
      <c r="L113" s="124"/>
      <c r="M113" s="125">
        <v>330000</v>
      </c>
      <c r="N113" s="148">
        <v>0</v>
      </c>
      <c r="O113" s="148">
        <v>0</v>
      </c>
      <c r="P113" s="149">
        <v>0</v>
      </c>
      <c r="Q113" s="148">
        <v>0</v>
      </c>
      <c r="R113" s="150">
        <v>330000</v>
      </c>
      <c r="S1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" s="135">
        <f ca="1">+IF(PROVEEDORES[[#This Row],[FECHA DE PAGO]]=0,TODAY()-PROVEEDORES[[#This Row],[FECHA DE FACTURACIÓN]]-PROVEEDORES[[#This Row],[PLAZO Días]],0)</f>
        <v>0</v>
      </c>
      <c r="U113" s="135">
        <f>+VLOOKUP(PROVEEDORES[[#This Row],[PROVEEDOR]],Terceros!$A:$D,4,FALSE)</f>
        <v>0</v>
      </c>
      <c r="V113" s="135">
        <f>+YEAR(PROVEEDORES[[#This Row],[FECHA DE FACTURACIÓN]])</f>
        <v>2023</v>
      </c>
      <c r="W113" s="135">
        <f>+MATCH(PROVEEDORES[[#This Row],[año facturado]],Retenciones!$1:$1,0)</f>
        <v>6</v>
      </c>
      <c r="X113" s="136">
        <f>+VLOOKUP(PROVEEDORES[[#This Row],[ID RETENCION]],Retenciones!$A$1:$O$25,PROVEEDORES[[#This Row],[indicador de columna]],FALSE)</f>
        <v>0</v>
      </c>
      <c r="Y113" s="137">
        <f>+VLOOKUP(PROVEEDORES[[#This Row],[ID RETENCION]],Retenciones!$A$1:$O$25,2,FALSE)</f>
        <v>0</v>
      </c>
      <c r="Z113" s="126" t="b">
        <f>+OR(COUNTIF(PROVEEDORES[[#This Row],[PROVEEDOR]],"*"&amp;'Palabra que no opera y Listas d'!$A$2&amp;"*"))</f>
        <v>0</v>
      </c>
    </row>
    <row r="114" spans="1:26" ht="27.75" customHeight="1" x14ac:dyDescent="0.25">
      <c r="A114" s="141" t="str">
        <f>+IF(PROVEEDORES[[#This Row],[FECHA DE PAGO]]=PROVEEDORES[[#This Row],[FECHA DE FACTURACIÓN]],"DE CONTADO","CRÉDITO")</f>
        <v>CRÉDITO</v>
      </c>
      <c r="B114" s="138" t="str">
        <f>+IF((PROVEEDORES[[#This Row],[FECHA DE PAGO]]-PROVEEDORES[[#This Row],[FECHA DE FACTURACIÓN]])&gt;PROVEEDORES[[#This Row],[PLAZO Días]],"PAGO VENCIDO")</f>
        <v>PAGO VENCIDO</v>
      </c>
      <c r="C114" s="138">
        <f>+VLOOKUP(PROVEEDORES[[#This Row],[PROVEEDOR]],TERCEROS_INFO[#All],2,FALSE)</f>
        <v>30</v>
      </c>
      <c r="D114" s="139">
        <f>+SUMIFS(PROVEEDORES[Total],PROVEEDORES[PROVEEDOR],PROVEEDORES[[#This Row],[PROVEEDOR]],PROVEEDORES[FECHA DE PAGO],"")</f>
        <v>0</v>
      </c>
      <c r="E114" s="140"/>
      <c r="F114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14" s="127">
        <v>44995</v>
      </c>
      <c r="H114" s="123" t="s">
        <v>368</v>
      </c>
      <c r="I114" s="127">
        <v>44958</v>
      </c>
      <c r="J114" s="124" t="s">
        <v>609</v>
      </c>
      <c r="K114" s="124" t="s">
        <v>1530</v>
      </c>
      <c r="L114" s="124"/>
      <c r="M114" s="125">
        <v>3294426</v>
      </c>
      <c r="N114" s="148">
        <v>625940.94000000006</v>
      </c>
      <c r="O114" s="148">
        <v>0</v>
      </c>
      <c r="P114" s="149">
        <v>0</v>
      </c>
      <c r="Q114" s="148">
        <v>0</v>
      </c>
      <c r="R114" s="150">
        <v>3920366.94</v>
      </c>
      <c r="S1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" s="135">
        <f ca="1">+IF(PROVEEDORES[[#This Row],[FECHA DE PAGO]]=0,TODAY()-PROVEEDORES[[#This Row],[FECHA DE FACTURACIÓN]]-PROVEEDORES[[#This Row],[PLAZO Días]],0)</f>
        <v>0</v>
      </c>
      <c r="U114" s="135">
        <f>+VLOOKUP(PROVEEDORES[[#This Row],[PROVEEDOR]],Terceros!$A:$D,4,FALSE)</f>
        <v>0</v>
      </c>
      <c r="V114" s="135">
        <f>+YEAR(PROVEEDORES[[#This Row],[FECHA DE FACTURACIÓN]])</f>
        <v>2023</v>
      </c>
      <c r="W114" s="135">
        <f>+MATCH(PROVEEDORES[[#This Row],[año facturado]],Retenciones!$1:$1,0)</f>
        <v>6</v>
      </c>
      <c r="X114" s="136">
        <f>+VLOOKUP(PROVEEDORES[[#This Row],[ID RETENCION]],Retenciones!$A$1:$O$25,PROVEEDORES[[#This Row],[indicador de columna]],FALSE)</f>
        <v>0</v>
      </c>
      <c r="Y114" s="137">
        <f>+VLOOKUP(PROVEEDORES[[#This Row],[ID RETENCION]],Retenciones!$A$1:$O$25,2,FALSE)</f>
        <v>0</v>
      </c>
      <c r="Z114" s="126" t="b">
        <f>+OR(COUNTIF(PROVEEDORES[[#This Row],[PROVEEDOR]],"*"&amp;'Palabra que no opera y Listas d'!$A$2&amp;"*"))</f>
        <v>1</v>
      </c>
    </row>
    <row r="115" spans="1:26" ht="27.75" customHeight="1" x14ac:dyDescent="0.25">
      <c r="A115" s="141" t="str">
        <f>+IF(PROVEEDORES[[#This Row],[FECHA DE PAGO]]=PROVEEDORES[[#This Row],[FECHA DE FACTURACIÓN]],"DE CONTADO","CRÉDITO")</f>
        <v>CRÉDITO</v>
      </c>
      <c r="B115" s="138" t="str">
        <f>+IF((PROVEEDORES[[#This Row],[FECHA DE PAGO]]-PROVEEDORES[[#This Row],[FECHA DE FACTURACIÓN]])&gt;PROVEEDORES[[#This Row],[PLAZO Días]],"PAGO VENCIDO")</f>
        <v>PAGO VENCIDO</v>
      </c>
      <c r="C115" s="138">
        <f>+VLOOKUP(PROVEEDORES[[#This Row],[PROVEEDOR]],TERCEROS_INFO[#All],2,FALSE)</f>
        <v>30</v>
      </c>
      <c r="D115" s="139">
        <f>+SUMIFS(PROVEEDORES[Total],PROVEEDORES[PROVEEDOR],PROVEEDORES[[#This Row],[PROVEEDOR]],PROVEEDORES[FECHA DE PAGO],"")</f>
        <v>0</v>
      </c>
      <c r="E115" s="140"/>
      <c r="F115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15" s="127">
        <v>44995</v>
      </c>
      <c r="H115" s="123" t="s">
        <v>380</v>
      </c>
      <c r="I115" s="127">
        <v>44958</v>
      </c>
      <c r="J115" s="124" t="s">
        <v>610</v>
      </c>
      <c r="K115" s="124" t="s">
        <v>1530</v>
      </c>
      <c r="L115" s="124"/>
      <c r="M115" s="125">
        <v>3002200</v>
      </c>
      <c r="N115" s="148">
        <v>0</v>
      </c>
      <c r="O115" s="148">
        <v>0</v>
      </c>
      <c r="P115" s="149">
        <v>3.5000000000000003E-2</v>
      </c>
      <c r="Q115" s="148">
        <v>105077.00000000001</v>
      </c>
      <c r="R115" s="150">
        <v>2897123</v>
      </c>
      <c r="S1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" s="135">
        <f ca="1">+IF(PROVEEDORES[[#This Row],[FECHA DE PAGO]]=0,TODAY()-PROVEEDORES[[#This Row],[FECHA DE FACTURACIÓN]]-PROVEEDORES[[#This Row],[PLAZO Días]],0)</f>
        <v>0</v>
      </c>
      <c r="U115" s="135" t="str">
        <f>+VLOOKUP(PROVEEDORES[[#This Row],[PROVEEDOR]],Terceros!$A:$D,4,FALSE)</f>
        <v>3,5% sin base</v>
      </c>
      <c r="V115" s="135">
        <f>+YEAR(PROVEEDORES[[#This Row],[FECHA DE FACTURACIÓN]])</f>
        <v>2023</v>
      </c>
      <c r="W115" s="135">
        <f>+MATCH(PROVEEDORES[[#This Row],[año facturado]],Retenciones!$1:$1,0)</f>
        <v>6</v>
      </c>
      <c r="X115" s="136">
        <f>+VLOOKUP(PROVEEDORES[[#This Row],[ID RETENCION]],Retenciones!$A$1:$O$25,PROVEEDORES[[#This Row],[indicador de columna]],FALSE)</f>
        <v>0</v>
      </c>
      <c r="Y115" s="137">
        <f>+VLOOKUP(PROVEEDORES[[#This Row],[ID RETENCION]],Retenciones!$A$1:$O$25,2,FALSE)</f>
        <v>3.5000000000000003E-2</v>
      </c>
      <c r="Z115" s="126" t="b">
        <f>+OR(COUNTIF(PROVEEDORES[[#This Row],[PROVEEDOR]],"*"&amp;'Palabra que no opera y Listas d'!$A$2&amp;"*"))</f>
        <v>1</v>
      </c>
    </row>
    <row r="116" spans="1:26" ht="27.75" customHeight="1" x14ac:dyDescent="0.25">
      <c r="A116" s="141" t="str">
        <f>+IF(PROVEEDORES[[#This Row],[FECHA DE PAGO]]=PROVEEDORES[[#This Row],[FECHA DE FACTURACIÓN]],"DE CONTADO","CRÉDITO")</f>
        <v>CRÉDITO</v>
      </c>
      <c r="B116" s="138" t="str">
        <f>+IF((PROVEEDORES[[#This Row],[FECHA DE PAGO]]-PROVEEDORES[[#This Row],[FECHA DE FACTURACIÓN]])&gt;PROVEEDORES[[#This Row],[PLAZO Días]],"PAGO VENCIDO")</f>
        <v>PAGO VENCIDO</v>
      </c>
      <c r="C116" s="138">
        <f>+VLOOKUP(PROVEEDORES[[#This Row],[PROVEEDOR]],TERCEROS_INFO[#All],2,FALSE)</f>
        <v>10</v>
      </c>
      <c r="D116" s="139">
        <f>+SUMIFS(PROVEEDORES[Total],PROVEEDORES[PROVEEDOR],PROVEEDORES[[#This Row],[PROVEEDOR]],PROVEEDORES[FECHA DE PAGO],"")</f>
        <v>0</v>
      </c>
      <c r="E116" s="140"/>
      <c r="F116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16" s="127">
        <v>44995</v>
      </c>
      <c r="H116" s="123" t="s">
        <v>482</v>
      </c>
      <c r="I116" s="127">
        <v>44959</v>
      </c>
      <c r="J116" s="124" t="s">
        <v>611</v>
      </c>
      <c r="K116" s="124" t="s">
        <v>1530</v>
      </c>
      <c r="L116" s="124"/>
      <c r="M116" s="125">
        <v>4730000</v>
      </c>
      <c r="N116" s="148">
        <v>898700</v>
      </c>
      <c r="O116" s="148">
        <v>0</v>
      </c>
      <c r="P116" s="149">
        <v>0</v>
      </c>
      <c r="Q116" s="148">
        <v>0</v>
      </c>
      <c r="R116" s="150">
        <v>5628700</v>
      </c>
      <c r="S1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" s="135">
        <f ca="1">+IF(PROVEEDORES[[#This Row],[FECHA DE PAGO]]=0,TODAY()-PROVEEDORES[[#This Row],[FECHA DE FACTURACIÓN]]-PROVEEDORES[[#This Row],[PLAZO Días]],0)</f>
        <v>0</v>
      </c>
      <c r="U116" s="135">
        <f>+VLOOKUP(PROVEEDORES[[#This Row],[PROVEEDOR]],Terceros!$A:$D,4,FALSE)</f>
        <v>0</v>
      </c>
      <c r="V116" s="135">
        <f>+YEAR(PROVEEDORES[[#This Row],[FECHA DE FACTURACIÓN]])</f>
        <v>2023</v>
      </c>
      <c r="W116" s="135">
        <f>+MATCH(PROVEEDORES[[#This Row],[año facturado]],Retenciones!$1:$1,0)</f>
        <v>6</v>
      </c>
      <c r="X116" s="136">
        <f>+VLOOKUP(PROVEEDORES[[#This Row],[ID RETENCION]],Retenciones!$A$1:$O$25,PROVEEDORES[[#This Row],[indicador de columna]],FALSE)</f>
        <v>0</v>
      </c>
      <c r="Y116" s="137">
        <f>+VLOOKUP(PROVEEDORES[[#This Row],[ID RETENCION]],Retenciones!$A$1:$O$25,2,FALSE)</f>
        <v>0</v>
      </c>
      <c r="Z116" s="126" t="b">
        <f>+OR(COUNTIF(PROVEEDORES[[#This Row],[PROVEEDOR]],"*"&amp;'Palabra que no opera y Listas d'!$A$2&amp;"*"))</f>
        <v>1</v>
      </c>
    </row>
    <row r="117" spans="1:26" ht="27.75" customHeight="1" x14ac:dyDescent="0.25">
      <c r="A117" s="141" t="str">
        <f>+IF(PROVEEDORES[[#This Row],[FECHA DE PAGO]]=PROVEEDORES[[#This Row],[FECHA DE FACTURACIÓN]],"DE CONTADO","CRÉDITO")</f>
        <v>CRÉDITO</v>
      </c>
      <c r="B117" s="138" t="str">
        <f>+IF((PROVEEDORES[[#This Row],[FECHA DE PAGO]]-PROVEEDORES[[#This Row],[FECHA DE FACTURACIÓN]])&gt;PROVEEDORES[[#This Row],[PLAZO Días]],"PAGO VENCIDO")</f>
        <v>PAGO VENCIDO</v>
      </c>
      <c r="C117" s="138">
        <f>+VLOOKUP(PROVEEDORES[[#This Row],[PROVEEDOR]],TERCEROS_INFO[#All],2,FALSE)</f>
        <v>30</v>
      </c>
      <c r="D117" s="139">
        <f>+SUMIFS(PROVEEDORES[Total],PROVEEDORES[PROVEEDOR],PROVEEDORES[[#This Row],[PROVEEDOR]],PROVEEDORES[FECHA DE PAGO],"")</f>
        <v>5427539.2800000003</v>
      </c>
      <c r="E117" s="140"/>
      <c r="F117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17" s="127">
        <v>44998</v>
      </c>
      <c r="H117" s="123" t="s">
        <v>11</v>
      </c>
      <c r="I117" s="127">
        <v>44937</v>
      </c>
      <c r="J117" s="124" t="s">
        <v>505</v>
      </c>
      <c r="K117" s="124" t="s">
        <v>1530</v>
      </c>
      <c r="L117" s="124"/>
      <c r="M117" s="125">
        <v>-153013</v>
      </c>
      <c r="N117" s="148">
        <v>-29072.47</v>
      </c>
      <c r="O117" s="148">
        <v>0</v>
      </c>
      <c r="P117" s="149">
        <v>0</v>
      </c>
      <c r="Q117" s="148">
        <v>0</v>
      </c>
      <c r="R117" s="150">
        <v>-182085.47</v>
      </c>
      <c r="S1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" s="135">
        <f ca="1">+IF(PROVEEDORES[[#This Row],[FECHA DE PAGO]]=0,TODAY()-PROVEEDORES[[#This Row],[FECHA DE FACTURACIÓN]]-PROVEEDORES[[#This Row],[PLAZO Días]],0)</f>
        <v>0</v>
      </c>
      <c r="U117" s="135" t="str">
        <f>+VLOOKUP(PROVEEDORES[[#This Row],[PROVEEDOR]],Terceros!$A:$D,4,FALSE)</f>
        <v>2,5% con base</v>
      </c>
      <c r="V117" s="135">
        <f>+YEAR(PROVEEDORES[[#This Row],[FECHA DE FACTURACIÓN]])</f>
        <v>2023</v>
      </c>
      <c r="W117" s="135">
        <f>+MATCH(PROVEEDORES[[#This Row],[año facturado]],Retenciones!$1:$1,0)</f>
        <v>6</v>
      </c>
      <c r="X117" s="136">
        <f>+VLOOKUP(PROVEEDORES[[#This Row],[ID RETENCION]],Retenciones!$A$1:$O$25,PROVEEDORES[[#This Row],[indicador de columna]],FALSE)</f>
        <v>1145000</v>
      </c>
      <c r="Y117" s="137">
        <f>+VLOOKUP(PROVEEDORES[[#This Row],[ID RETENCION]],Retenciones!$A$1:$O$25,2,FALSE)</f>
        <v>2.5000000000000001E-2</v>
      </c>
      <c r="Z117" s="126" t="b">
        <f>+OR(COUNTIF(PROVEEDORES[[#This Row],[PROVEEDOR]],"*"&amp;'Palabra que no opera y Listas d'!$A$2&amp;"*"))</f>
        <v>0</v>
      </c>
    </row>
    <row r="118" spans="1:26" ht="27.75" customHeight="1" x14ac:dyDescent="0.25">
      <c r="A118" s="141" t="str">
        <f>+IF(PROVEEDORES[[#This Row],[FECHA DE PAGO]]=PROVEEDORES[[#This Row],[FECHA DE FACTURACIÓN]],"DE CONTADO","CRÉDITO")</f>
        <v>CRÉDITO</v>
      </c>
      <c r="B118" s="138" t="str">
        <f>+IF((PROVEEDORES[[#This Row],[FECHA DE PAGO]]-PROVEEDORES[[#This Row],[FECHA DE FACTURACIÓN]])&gt;PROVEEDORES[[#This Row],[PLAZO Días]],"PAGO VENCIDO")</f>
        <v>PAGO VENCIDO</v>
      </c>
      <c r="C118" s="138">
        <f>+VLOOKUP(PROVEEDORES[[#This Row],[PROVEEDOR]],TERCEROS_INFO[#All],2,FALSE)</f>
        <v>30</v>
      </c>
      <c r="D118" s="139">
        <f>+SUMIFS(PROVEEDORES[Total],PROVEEDORES[PROVEEDOR],PROVEEDORES[[#This Row],[PROVEEDOR]],PROVEEDORES[FECHA DE PAGO],"")</f>
        <v>5427539.2800000003</v>
      </c>
      <c r="E118" s="140"/>
      <c r="F118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18" s="127">
        <v>44998</v>
      </c>
      <c r="H118" s="123" t="s">
        <v>11</v>
      </c>
      <c r="I118" s="127">
        <v>44951</v>
      </c>
      <c r="J118" s="124" t="s">
        <v>542</v>
      </c>
      <c r="K118" s="124" t="s">
        <v>1530</v>
      </c>
      <c r="L118" s="124"/>
      <c r="M118" s="125">
        <v>2803032</v>
      </c>
      <c r="N118" s="148">
        <v>532576.07999999996</v>
      </c>
      <c r="O118" s="148">
        <v>0</v>
      </c>
      <c r="P118" s="149">
        <v>2.5000000000000001E-2</v>
      </c>
      <c r="Q118" s="148">
        <v>70075.8</v>
      </c>
      <c r="R118" s="150">
        <v>3265532.2800000003</v>
      </c>
      <c r="S1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" s="135">
        <f ca="1">+IF(PROVEEDORES[[#This Row],[FECHA DE PAGO]]=0,TODAY()-PROVEEDORES[[#This Row],[FECHA DE FACTURACIÓN]]-PROVEEDORES[[#This Row],[PLAZO Días]],0)</f>
        <v>0</v>
      </c>
      <c r="U118" s="135" t="str">
        <f>+VLOOKUP(PROVEEDORES[[#This Row],[PROVEEDOR]],Terceros!$A:$D,4,FALSE)</f>
        <v>2,5% con base</v>
      </c>
      <c r="V118" s="135">
        <f>+YEAR(PROVEEDORES[[#This Row],[FECHA DE FACTURACIÓN]])</f>
        <v>2023</v>
      </c>
      <c r="W118" s="135">
        <f>+MATCH(PROVEEDORES[[#This Row],[año facturado]],Retenciones!$1:$1,0)</f>
        <v>6</v>
      </c>
      <c r="X118" s="136">
        <f>+VLOOKUP(PROVEEDORES[[#This Row],[ID RETENCION]],Retenciones!$A$1:$O$25,PROVEEDORES[[#This Row],[indicador de columna]],FALSE)</f>
        <v>1145000</v>
      </c>
      <c r="Y118" s="137">
        <f>+VLOOKUP(PROVEEDORES[[#This Row],[ID RETENCION]],Retenciones!$A$1:$O$25,2,FALSE)</f>
        <v>2.5000000000000001E-2</v>
      </c>
      <c r="Z118" s="126" t="b">
        <f>+OR(COUNTIF(PROVEEDORES[[#This Row],[PROVEEDOR]],"*"&amp;'Palabra que no opera y Listas d'!$A$2&amp;"*"))</f>
        <v>0</v>
      </c>
    </row>
    <row r="119" spans="1:26" ht="27.75" customHeight="1" x14ac:dyDescent="0.25">
      <c r="A119" s="141" t="str">
        <f>+IF(PROVEEDORES[[#This Row],[FECHA DE PAGO]]=PROVEEDORES[[#This Row],[FECHA DE FACTURACIÓN]],"DE CONTADO","CRÉDITO")</f>
        <v>CRÉDITO</v>
      </c>
      <c r="B119" s="138" t="str">
        <f>+IF((PROVEEDORES[[#This Row],[FECHA DE PAGO]]-PROVEEDORES[[#This Row],[FECHA DE FACTURACIÓN]])&gt;PROVEEDORES[[#This Row],[PLAZO Días]],"PAGO VENCIDO")</f>
        <v>PAGO VENCIDO</v>
      </c>
      <c r="C119" s="138">
        <f>+VLOOKUP(PROVEEDORES[[#This Row],[PROVEEDOR]],TERCEROS_INFO[#All],2,FALSE)</f>
        <v>30</v>
      </c>
      <c r="D119" s="139">
        <f>+SUMIFS(PROVEEDORES[Total],PROVEEDORES[PROVEEDOR],PROVEEDORES[[#This Row],[PROVEEDOR]],PROVEEDORES[FECHA DE PAGO],"")</f>
        <v>5427539.2800000003</v>
      </c>
      <c r="E119" s="140"/>
      <c r="F119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19" s="127">
        <v>44998</v>
      </c>
      <c r="H119" s="123" t="s">
        <v>11</v>
      </c>
      <c r="I119" s="127">
        <v>44958</v>
      </c>
      <c r="J119" s="124" t="s">
        <v>554</v>
      </c>
      <c r="K119" s="124" t="s">
        <v>1530</v>
      </c>
      <c r="L119" s="124"/>
      <c r="M119" s="125">
        <v>700758</v>
      </c>
      <c r="N119" s="148">
        <v>133144.01999999999</v>
      </c>
      <c r="O119" s="148">
        <v>0</v>
      </c>
      <c r="P119" s="149">
        <v>0</v>
      </c>
      <c r="Q119" s="148">
        <v>0</v>
      </c>
      <c r="R119" s="150">
        <v>833902.02</v>
      </c>
      <c r="S1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" s="135">
        <f ca="1">+IF(PROVEEDORES[[#This Row],[FECHA DE PAGO]]=0,TODAY()-PROVEEDORES[[#This Row],[FECHA DE FACTURACIÓN]]-PROVEEDORES[[#This Row],[PLAZO Días]],0)</f>
        <v>0</v>
      </c>
      <c r="U119" s="135" t="str">
        <f>+VLOOKUP(PROVEEDORES[[#This Row],[PROVEEDOR]],Terceros!$A:$D,4,FALSE)</f>
        <v>2,5% con base</v>
      </c>
      <c r="V119" s="135">
        <f>+YEAR(PROVEEDORES[[#This Row],[FECHA DE FACTURACIÓN]])</f>
        <v>2023</v>
      </c>
      <c r="W119" s="135">
        <f>+MATCH(PROVEEDORES[[#This Row],[año facturado]],Retenciones!$1:$1,0)</f>
        <v>6</v>
      </c>
      <c r="X119" s="136">
        <f>+VLOOKUP(PROVEEDORES[[#This Row],[ID RETENCION]],Retenciones!$A$1:$O$25,PROVEEDORES[[#This Row],[indicador de columna]],FALSE)</f>
        <v>1145000</v>
      </c>
      <c r="Y119" s="137">
        <f>+VLOOKUP(PROVEEDORES[[#This Row],[ID RETENCION]],Retenciones!$A$1:$O$25,2,FALSE)</f>
        <v>2.5000000000000001E-2</v>
      </c>
      <c r="Z119" s="126" t="b">
        <f>+OR(COUNTIF(PROVEEDORES[[#This Row],[PROVEEDOR]],"*"&amp;'Palabra que no opera y Listas d'!$A$2&amp;"*"))</f>
        <v>0</v>
      </c>
    </row>
    <row r="120" spans="1:26" ht="27.75" customHeight="1" x14ac:dyDescent="0.25">
      <c r="A120" s="141" t="str">
        <f>+IF(PROVEEDORES[[#This Row],[FECHA DE PAGO]]=PROVEEDORES[[#This Row],[FECHA DE FACTURACIÓN]],"DE CONTADO","CRÉDITO")</f>
        <v>CRÉDITO</v>
      </c>
      <c r="B120" s="138" t="str">
        <f>+IF((PROVEEDORES[[#This Row],[FECHA DE PAGO]]-PROVEEDORES[[#This Row],[FECHA DE FACTURACIÓN]])&gt;PROVEEDORES[[#This Row],[PLAZO Días]],"PAGO VENCIDO")</f>
        <v>PAGO VENCIDO</v>
      </c>
      <c r="C120" s="138">
        <f>+VLOOKUP(PROVEEDORES[[#This Row],[PROVEEDOR]],TERCEROS_INFO[#All],2,FALSE)</f>
        <v>30</v>
      </c>
      <c r="D120" s="139">
        <f>+SUMIFS(PROVEEDORES[Total],PROVEEDORES[PROVEEDOR],PROVEEDORES[[#This Row],[PROVEEDOR]],PROVEEDORES[FECHA DE PAGO],"")</f>
        <v>5427539.2800000003</v>
      </c>
      <c r="E120" s="140"/>
      <c r="F120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20" s="127">
        <v>44998</v>
      </c>
      <c r="H120" s="123" t="s">
        <v>11</v>
      </c>
      <c r="I120" s="127">
        <v>44960</v>
      </c>
      <c r="J120" s="124" t="s">
        <v>555</v>
      </c>
      <c r="K120" s="124" t="s">
        <v>1530</v>
      </c>
      <c r="L120" s="124"/>
      <c r="M120" s="125">
        <v>2102274</v>
      </c>
      <c r="N120" s="148">
        <v>399432.06</v>
      </c>
      <c r="O120" s="148">
        <v>0</v>
      </c>
      <c r="P120" s="149">
        <v>2.5000000000000001E-2</v>
      </c>
      <c r="Q120" s="148">
        <v>52556.850000000006</v>
      </c>
      <c r="R120" s="150">
        <v>2449149.21</v>
      </c>
      <c r="S1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" s="135">
        <f ca="1">+IF(PROVEEDORES[[#This Row],[FECHA DE PAGO]]=0,TODAY()-PROVEEDORES[[#This Row],[FECHA DE FACTURACIÓN]]-PROVEEDORES[[#This Row],[PLAZO Días]],0)</f>
        <v>0</v>
      </c>
      <c r="U120" s="135" t="str">
        <f>+VLOOKUP(PROVEEDORES[[#This Row],[PROVEEDOR]],Terceros!$A:$D,4,FALSE)</f>
        <v>2,5% con base</v>
      </c>
      <c r="V120" s="135">
        <f>+YEAR(PROVEEDORES[[#This Row],[FECHA DE FACTURACIÓN]])</f>
        <v>2023</v>
      </c>
      <c r="W120" s="135">
        <f>+MATCH(PROVEEDORES[[#This Row],[año facturado]],Retenciones!$1:$1,0)</f>
        <v>6</v>
      </c>
      <c r="X120" s="136">
        <f>+VLOOKUP(PROVEEDORES[[#This Row],[ID RETENCION]],Retenciones!$A$1:$O$25,PROVEEDORES[[#This Row],[indicador de columna]],FALSE)</f>
        <v>1145000</v>
      </c>
      <c r="Y120" s="137">
        <f>+VLOOKUP(PROVEEDORES[[#This Row],[ID RETENCION]],Retenciones!$A$1:$O$25,2,FALSE)</f>
        <v>2.5000000000000001E-2</v>
      </c>
      <c r="Z120" s="126" t="b">
        <f>+OR(COUNTIF(PROVEEDORES[[#This Row],[PROVEEDOR]],"*"&amp;'Palabra que no opera y Listas d'!$A$2&amp;"*"))</f>
        <v>0</v>
      </c>
    </row>
    <row r="121" spans="1:26" ht="27.75" customHeight="1" x14ac:dyDescent="0.25">
      <c r="A121" s="141" t="str">
        <f>+IF(PROVEEDORES[[#This Row],[FECHA DE PAGO]]=PROVEEDORES[[#This Row],[FECHA DE FACTURACIÓN]],"DE CONTADO","CRÉDITO")</f>
        <v>CRÉDITO</v>
      </c>
      <c r="B121" s="138" t="b">
        <f>+IF((PROVEEDORES[[#This Row],[FECHA DE PAGO]]-PROVEEDORES[[#This Row],[FECHA DE FACTURACIÓN]])&gt;PROVEEDORES[[#This Row],[PLAZO Días]],"PAGO VENCIDO")</f>
        <v>0</v>
      </c>
      <c r="C121" s="138">
        <f>+VLOOKUP(PROVEEDORES[[#This Row],[PROVEEDOR]],TERCEROS_INFO[#All],2,FALSE)</f>
        <v>30</v>
      </c>
      <c r="D121" s="139">
        <f>+SUMIFS(PROVEEDORES[Total],PROVEEDORES[PROVEEDOR],PROVEEDORES[[#This Row],[PROVEEDOR]],PROVEEDORES[FECHA DE PAGO],"")</f>
        <v>5813868.5099999998</v>
      </c>
      <c r="E121" s="140"/>
      <c r="F121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21" s="127">
        <v>44998</v>
      </c>
      <c r="H121" s="123" t="s">
        <v>24</v>
      </c>
      <c r="I121" s="127">
        <v>44973</v>
      </c>
      <c r="J121" s="124" t="s">
        <v>580</v>
      </c>
      <c r="K121" s="124" t="s">
        <v>504</v>
      </c>
      <c r="L121" s="124"/>
      <c r="M121" s="125">
        <v>16645788</v>
      </c>
      <c r="N121" s="148">
        <v>3162699.72</v>
      </c>
      <c r="O121" s="148">
        <v>0</v>
      </c>
      <c r="P121" s="149">
        <v>2.5000000000000001E-2</v>
      </c>
      <c r="Q121" s="148">
        <v>416144.7</v>
      </c>
      <c r="R121" s="150">
        <v>19392343.02</v>
      </c>
      <c r="S1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" s="135">
        <f ca="1">+IF(PROVEEDORES[[#This Row],[FECHA DE PAGO]]=0,TODAY()-PROVEEDORES[[#This Row],[FECHA DE FACTURACIÓN]]-PROVEEDORES[[#This Row],[PLAZO Días]],0)</f>
        <v>0</v>
      </c>
      <c r="U121" s="135" t="str">
        <f>+VLOOKUP(PROVEEDORES[[#This Row],[PROVEEDOR]],Terceros!$A:$D,4,FALSE)</f>
        <v>2,5% con base</v>
      </c>
      <c r="V121" s="135">
        <f>+YEAR(PROVEEDORES[[#This Row],[FECHA DE FACTURACIÓN]])</f>
        <v>2023</v>
      </c>
      <c r="W121" s="135">
        <f>+MATCH(PROVEEDORES[[#This Row],[año facturado]],Retenciones!$1:$1,0)</f>
        <v>6</v>
      </c>
      <c r="X121" s="136">
        <f>+VLOOKUP(PROVEEDORES[[#This Row],[ID RETENCION]],Retenciones!$A$1:$O$25,PROVEEDORES[[#This Row],[indicador de columna]],FALSE)</f>
        <v>1145000</v>
      </c>
      <c r="Y121" s="137">
        <f>+VLOOKUP(PROVEEDORES[[#This Row],[ID RETENCION]],Retenciones!$A$1:$O$25,2,FALSE)</f>
        <v>2.5000000000000001E-2</v>
      </c>
      <c r="Z121" s="126" t="b">
        <f>+OR(COUNTIF(PROVEEDORES[[#This Row],[PROVEEDOR]],"*"&amp;'Palabra que no opera y Listas d'!$A$2&amp;"*"))</f>
        <v>0</v>
      </c>
    </row>
    <row r="122" spans="1:26" ht="27.75" customHeight="1" x14ac:dyDescent="0.25">
      <c r="A122" s="141" t="str">
        <f>+IF(PROVEEDORES[[#This Row],[FECHA DE PAGO]]=PROVEEDORES[[#This Row],[FECHA DE FACTURACIÓN]],"DE CONTADO","CRÉDITO")</f>
        <v>CRÉDITO</v>
      </c>
      <c r="B122" s="138" t="b">
        <f>+IF((PROVEEDORES[[#This Row],[FECHA DE PAGO]]-PROVEEDORES[[#This Row],[FECHA DE FACTURACIÓN]])&gt;PROVEEDORES[[#This Row],[PLAZO Días]],"PAGO VENCIDO")</f>
        <v>0</v>
      </c>
      <c r="C122" s="138">
        <f>+VLOOKUP(PROVEEDORES[[#This Row],[PROVEEDOR]],TERCEROS_INFO[#All],2,FALSE)</f>
        <v>30</v>
      </c>
      <c r="D122" s="139">
        <f>+SUMIFS(PROVEEDORES[Total],PROVEEDORES[PROVEEDOR],PROVEEDORES[[#This Row],[PROVEEDOR]],PROVEEDORES[FECHA DE PAGO],"")</f>
        <v>5813868.5099999998</v>
      </c>
      <c r="E122" s="140"/>
      <c r="F122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22" s="127">
        <v>44998</v>
      </c>
      <c r="H122" s="123" t="s">
        <v>24</v>
      </c>
      <c r="I122" s="127">
        <v>44985</v>
      </c>
      <c r="J122" s="124" t="s">
        <v>598</v>
      </c>
      <c r="K122" s="124" t="s">
        <v>504</v>
      </c>
      <c r="L122" s="124"/>
      <c r="M122" s="125">
        <v>-8403361</v>
      </c>
      <c r="N122" s="148">
        <v>-1596638.59</v>
      </c>
      <c r="O122" s="148">
        <v>0</v>
      </c>
      <c r="P122" s="149">
        <v>0</v>
      </c>
      <c r="Q122" s="148">
        <v>0</v>
      </c>
      <c r="R122" s="150">
        <v>-9999999.5899999999</v>
      </c>
      <c r="S1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" s="135">
        <f ca="1">+IF(PROVEEDORES[[#This Row],[FECHA DE PAGO]]=0,TODAY()-PROVEEDORES[[#This Row],[FECHA DE FACTURACIÓN]]-PROVEEDORES[[#This Row],[PLAZO Días]],0)</f>
        <v>0</v>
      </c>
      <c r="U122" s="135" t="str">
        <f>+VLOOKUP(PROVEEDORES[[#This Row],[PROVEEDOR]],Terceros!$A:$D,4,FALSE)</f>
        <v>2,5% con base</v>
      </c>
      <c r="V122" s="135">
        <f>+YEAR(PROVEEDORES[[#This Row],[FECHA DE FACTURACIÓN]])</f>
        <v>2023</v>
      </c>
      <c r="W122" s="135">
        <f>+MATCH(PROVEEDORES[[#This Row],[año facturado]],Retenciones!$1:$1,0)</f>
        <v>6</v>
      </c>
      <c r="X122" s="136">
        <f>+VLOOKUP(PROVEEDORES[[#This Row],[ID RETENCION]],Retenciones!$A$1:$O$25,PROVEEDORES[[#This Row],[indicador de columna]],FALSE)</f>
        <v>1145000</v>
      </c>
      <c r="Y122" s="137">
        <f>+VLOOKUP(PROVEEDORES[[#This Row],[ID RETENCION]],Retenciones!$A$1:$O$25,2,FALSE)</f>
        <v>2.5000000000000001E-2</v>
      </c>
      <c r="Z122" s="126" t="b">
        <f>+OR(COUNTIF(PROVEEDORES[[#This Row],[PROVEEDOR]],"*"&amp;'Palabra que no opera y Listas d'!$A$2&amp;"*"))</f>
        <v>0</v>
      </c>
    </row>
    <row r="123" spans="1:26" ht="27.75" customHeight="1" x14ac:dyDescent="0.25">
      <c r="A123" s="141" t="str">
        <f>+IF(PROVEEDORES[[#This Row],[FECHA DE PAGO]]=PROVEEDORES[[#This Row],[FECHA DE FACTURACIÓN]],"DE CONTADO","CRÉDITO")</f>
        <v>CRÉDITO</v>
      </c>
      <c r="B123" s="138" t="b">
        <f>+IF((PROVEEDORES[[#This Row],[FECHA DE PAGO]]-PROVEEDORES[[#This Row],[FECHA DE FACTURACIÓN]])&gt;PROVEEDORES[[#This Row],[PLAZO Días]],"PAGO VENCIDO")</f>
        <v>0</v>
      </c>
      <c r="C123" s="138">
        <f>+VLOOKUP(PROVEEDORES[[#This Row],[PROVEEDOR]],TERCEROS_INFO[#All],2,FALSE)</f>
        <v>30</v>
      </c>
      <c r="D123" s="139">
        <f>+SUMIFS(PROVEEDORES[Total],PROVEEDORES[PROVEEDOR],PROVEEDORES[[#This Row],[PROVEEDOR]],PROVEEDORES[FECHA DE PAGO],"")</f>
        <v>12628497</v>
      </c>
      <c r="E123" s="140"/>
      <c r="F123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23" s="127">
        <v>44998</v>
      </c>
      <c r="H123" s="123" t="s">
        <v>451</v>
      </c>
      <c r="I123" s="127">
        <v>44993</v>
      </c>
      <c r="J123" s="124">
        <v>29650</v>
      </c>
      <c r="K123" s="124" t="s">
        <v>1530</v>
      </c>
      <c r="L123" s="124"/>
      <c r="M123" s="125">
        <v>740000</v>
      </c>
      <c r="N123" s="148">
        <v>140600</v>
      </c>
      <c r="O123" s="148">
        <v>0</v>
      </c>
      <c r="P123" s="149">
        <v>0</v>
      </c>
      <c r="Q123" s="148">
        <v>0</v>
      </c>
      <c r="R123" s="150">
        <v>880600</v>
      </c>
      <c r="S1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" s="135">
        <f ca="1">+IF(PROVEEDORES[[#This Row],[FECHA DE PAGO]]=0,TODAY()-PROVEEDORES[[#This Row],[FECHA DE FACTURACIÓN]]-PROVEEDORES[[#This Row],[PLAZO Días]],0)</f>
        <v>0</v>
      </c>
      <c r="U123" s="135" t="str">
        <f>+VLOOKUP(PROVEEDORES[[#This Row],[PROVEEDOR]],Terceros!$A:$D,4,FALSE)</f>
        <v>2,5% con base</v>
      </c>
      <c r="V123" s="135">
        <f>+YEAR(PROVEEDORES[[#This Row],[FECHA DE FACTURACIÓN]])</f>
        <v>2023</v>
      </c>
      <c r="W123" s="135">
        <f>+MATCH(PROVEEDORES[[#This Row],[año facturado]],Retenciones!$1:$1,0)</f>
        <v>6</v>
      </c>
      <c r="X123" s="136">
        <f>+VLOOKUP(PROVEEDORES[[#This Row],[ID RETENCION]],Retenciones!$A$1:$O$25,PROVEEDORES[[#This Row],[indicador de columna]],FALSE)</f>
        <v>1145000</v>
      </c>
      <c r="Y123" s="137">
        <f>+VLOOKUP(PROVEEDORES[[#This Row],[ID RETENCION]],Retenciones!$A$1:$O$25,2,FALSE)</f>
        <v>2.5000000000000001E-2</v>
      </c>
      <c r="Z123" s="126" t="b">
        <f>+OR(COUNTIF(PROVEEDORES[[#This Row],[PROVEEDOR]],"*"&amp;'Palabra que no opera y Listas d'!$A$2&amp;"*"))</f>
        <v>0</v>
      </c>
    </row>
    <row r="124" spans="1:26" ht="27.75" customHeight="1" x14ac:dyDescent="0.25">
      <c r="A124" s="141" t="str">
        <f>+IF(PROVEEDORES[[#This Row],[FECHA DE PAGO]]=PROVEEDORES[[#This Row],[FECHA DE FACTURACIÓN]],"DE CONTADO","CRÉDITO")</f>
        <v>DE CONTADO</v>
      </c>
      <c r="B124" s="138" t="b">
        <f>+IF((PROVEEDORES[[#This Row],[FECHA DE PAGO]]-PROVEEDORES[[#This Row],[FECHA DE FACTURACIÓN]])&gt;PROVEEDORES[[#This Row],[PLAZO Días]],"PAGO VENCIDO")</f>
        <v>0</v>
      </c>
      <c r="C124" s="138">
        <f>+VLOOKUP(PROVEEDORES[[#This Row],[PROVEEDOR]],TERCEROS_INFO[#All],2,FALSE)</f>
        <v>30</v>
      </c>
      <c r="D124" s="139">
        <f>+SUMIFS(PROVEEDORES[Total],PROVEEDORES[PROVEEDOR],PROVEEDORES[[#This Row],[PROVEEDOR]],PROVEEDORES[FECHA DE PAGO],"")</f>
        <v>0</v>
      </c>
      <c r="E124" s="140"/>
      <c r="F124" s="138" t="str">
        <f>+VLOOKUP(PROVEEDORES[[#This Row],[PROVEEDOR]],
                       Terceros!$A:$F,
                       5,
                       FALSE)</f>
        <v/>
      </c>
      <c r="G124" s="127">
        <v>44998</v>
      </c>
      <c r="H124" s="123" t="s">
        <v>481</v>
      </c>
      <c r="I124" s="127">
        <v>44998</v>
      </c>
      <c r="J124" s="124" t="s">
        <v>626</v>
      </c>
      <c r="K124" s="124" t="s">
        <v>1530</v>
      </c>
      <c r="L124" s="124"/>
      <c r="M124" s="125">
        <v>2077000</v>
      </c>
      <c r="N124" s="148">
        <v>0</v>
      </c>
      <c r="O124" s="148">
        <v>0</v>
      </c>
      <c r="P124" s="149">
        <v>0</v>
      </c>
      <c r="Q124" s="148">
        <v>0</v>
      </c>
      <c r="R124" s="150">
        <v>2077000</v>
      </c>
      <c r="S1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" s="135">
        <f ca="1">+IF(PROVEEDORES[[#This Row],[FECHA DE PAGO]]=0,TODAY()-PROVEEDORES[[#This Row],[FECHA DE FACTURACIÓN]]-PROVEEDORES[[#This Row],[PLAZO Días]],0)</f>
        <v>0</v>
      </c>
      <c r="U124" s="135">
        <f>+VLOOKUP(PROVEEDORES[[#This Row],[PROVEEDOR]],Terceros!$A:$D,4,FALSE)</f>
        <v>0</v>
      </c>
      <c r="V124" s="135">
        <f>+YEAR(PROVEEDORES[[#This Row],[FECHA DE FACTURACIÓN]])</f>
        <v>2023</v>
      </c>
      <c r="W124" s="135">
        <f>+MATCH(PROVEEDORES[[#This Row],[año facturado]],Retenciones!$1:$1,0)</f>
        <v>6</v>
      </c>
      <c r="X124" s="136">
        <f>+VLOOKUP(PROVEEDORES[[#This Row],[ID RETENCION]],Retenciones!$A$1:$O$25,PROVEEDORES[[#This Row],[indicador de columna]],FALSE)</f>
        <v>0</v>
      </c>
      <c r="Y124" s="137">
        <f>+VLOOKUP(PROVEEDORES[[#This Row],[ID RETENCION]],Retenciones!$A$1:$O$25,2,FALSE)</f>
        <v>0</v>
      </c>
      <c r="Z124" s="126" t="b">
        <f>+OR(COUNTIF(PROVEEDORES[[#This Row],[PROVEEDOR]],"*"&amp;'Palabra que no opera y Listas d'!$A$2&amp;"*"))</f>
        <v>0</v>
      </c>
    </row>
    <row r="125" spans="1:26" ht="27.75" customHeight="1" x14ac:dyDescent="0.25">
      <c r="A125" s="141" t="str">
        <f>+IF(PROVEEDORES[[#This Row],[FECHA DE PAGO]]=PROVEEDORES[[#This Row],[FECHA DE FACTURACIÓN]],"DE CONTADO","CRÉDITO")</f>
        <v>CRÉDITO</v>
      </c>
      <c r="B125" s="138" t="str">
        <f>+IF((PROVEEDORES[[#This Row],[FECHA DE PAGO]]-PROVEEDORES[[#This Row],[FECHA DE FACTURACIÓN]])&gt;PROVEEDORES[[#This Row],[PLAZO Días]],"PAGO VENCIDO")</f>
        <v>PAGO VENCIDO</v>
      </c>
      <c r="C125" s="138">
        <f>+VLOOKUP(PROVEEDORES[[#This Row],[PROVEEDOR]],TERCEROS_INFO[#All],2,FALSE)</f>
        <v>30</v>
      </c>
      <c r="D125" s="139">
        <f>+SUMIFS(PROVEEDORES[Total],PROVEEDORES[PROVEEDOR],PROVEEDORES[[#This Row],[PROVEEDOR]],PROVEEDORES[FECHA DE PAGO],"")</f>
        <v>818443.92</v>
      </c>
      <c r="E125" s="140"/>
      <c r="F125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5" s="127">
        <v>44999</v>
      </c>
      <c r="H125" s="123" t="s">
        <v>20</v>
      </c>
      <c r="I125" s="127">
        <v>44958</v>
      </c>
      <c r="J125" s="124" t="s">
        <v>556</v>
      </c>
      <c r="K125" s="124" t="s">
        <v>1530</v>
      </c>
      <c r="L125" s="124"/>
      <c r="M125" s="125">
        <v>1955960</v>
      </c>
      <c r="N125" s="148">
        <v>371632.4</v>
      </c>
      <c r="O125" s="148">
        <v>0</v>
      </c>
      <c r="P125" s="149">
        <v>2.5000000000000001E-2</v>
      </c>
      <c r="Q125" s="148">
        <v>48899</v>
      </c>
      <c r="R125" s="150">
        <v>2278693.4</v>
      </c>
      <c r="S1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" s="135">
        <f ca="1">+IF(PROVEEDORES[[#This Row],[FECHA DE PAGO]]=0,TODAY()-PROVEEDORES[[#This Row],[FECHA DE FACTURACIÓN]]-PROVEEDORES[[#This Row],[PLAZO Días]],0)</f>
        <v>0</v>
      </c>
      <c r="U125" s="135" t="str">
        <f>+VLOOKUP(PROVEEDORES[[#This Row],[PROVEEDOR]],Terceros!$A:$D,4,FALSE)</f>
        <v>2,5% con base</v>
      </c>
      <c r="V125" s="135">
        <f>+YEAR(PROVEEDORES[[#This Row],[FECHA DE FACTURACIÓN]])</f>
        <v>2023</v>
      </c>
      <c r="W125" s="135">
        <f>+MATCH(PROVEEDORES[[#This Row],[año facturado]],Retenciones!$1:$1,0)</f>
        <v>6</v>
      </c>
      <c r="X125" s="136">
        <f>+VLOOKUP(PROVEEDORES[[#This Row],[ID RETENCION]],Retenciones!$A$1:$O$25,PROVEEDORES[[#This Row],[indicador de columna]],FALSE)</f>
        <v>1145000</v>
      </c>
      <c r="Y125" s="137">
        <f>+VLOOKUP(PROVEEDORES[[#This Row],[ID RETENCION]],Retenciones!$A$1:$O$25,2,FALSE)</f>
        <v>2.5000000000000001E-2</v>
      </c>
      <c r="Z125" s="126" t="b">
        <f>+OR(COUNTIF(PROVEEDORES[[#This Row],[PROVEEDOR]],"*"&amp;'Palabra que no opera y Listas d'!$A$2&amp;"*"))</f>
        <v>0</v>
      </c>
    </row>
    <row r="126" spans="1:26" ht="27.75" customHeight="1" x14ac:dyDescent="0.25">
      <c r="A126" s="141" t="str">
        <f>+IF(PROVEEDORES[[#This Row],[FECHA DE PAGO]]=PROVEEDORES[[#This Row],[FECHA DE FACTURACIÓN]],"DE CONTADO","CRÉDITO")</f>
        <v>CRÉDITO</v>
      </c>
      <c r="B126" s="138" t="str">
        <f>+IF((PROVEEDORES[[#This Row],[FECHA DE PAGO]]-PROVEEDORES[[#This Row],[FECHA DE FACTURACIÓN]])&gt;PROVEEDORES[[#This Row],[PLAZO Días]],"PAGO VENCIDO")</f>
        <v>PAGO VENCIDO</v>
      </c>
      <c r="C126" s="138">
        <f>+VLOOKUP(PROVEEDORES[[#This Row],[PROVEEDOR]],TERCEROS_INFO[#All],2,FALSE)</f>
        <v>30</v>
      </c>
      <c r="D126" s="139">
        <f>+SUMIFS(PROVEEDORES[Total],PROVEEDORES[PROVEEDOR],PROVEEDORES[[#This Row],[PROVEEDOR]],PROVEEDORES[FECHA DE PAGO],"")</f>
        <v>1776037.21</v>
      </c>
      <c r="E126" s="140"/>
      <c r="F126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6" s="127">
        <v>44999</v>
      </c>
      <c r="H126" s="123" t="s">
        <v>17</v>
      </c>
      <c r="I126" s="127">
        <v>44959</v>
      </c>
      <c r="J126" s="124">
        <v>20088404</v>
      </c>
      <c r="K126" s="124" t="s">
        <v>1530</v>
      </c>
      <c r="L126" s="124"/>
      <c r="M126" s="125">
        <v>205800</v>
      </c>
      <c r="N126" s="148">
        <v>39102</v>
      </c>
      <c r="O126" s="148">
        <v>0</v>
      </c>
      <c r="P126" s="149">
        <v>0</v>
      </c>
      <c r="Q126" s="148">
        <v>0</v>
      </c>
      <c r="R126" s="150">
        <v>244902</v>
      </c>
      <c r="S1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" s="135">
        <f ca="1">+IF(PROVEEDORES[[#This Row],[FECHA DE PAGO]]=0,TODAY()-PROVEEDORES[[#This Row],[FECHA DE FACTURACIÓN]]-PROVEEDORES[[#This Row],[PLAZO Días]],0)</f>
        <v>0</v>
      </c>
      <c r="U126" s="135">
        <f>+VLOOKUP(PROVEEDORES[[#This Row],[PROVEEDOR]],Terceros!$A:$D,4,FALSE)</f>
        <v>0</v>
      </c>
      <c r="V126" s="135">
        <f>+YEAR(PROVEEDORES[[#This Row],[FECHA DE FACTURACIÓN]])</f>
        <v>2023</v>
      </c>
      <c r="W126" s="135">
        <f>+MATCH(PROVEEDORES[[#This Row],[año facturado]],Retenciones!$1:$1,0)</f>
        <v>6</v>
      </c>
      <c r="X126" s="136">
        <f>+VLOOKUP(PROVEEDORES[[#This Row],[ID RETENCION]],Retenciones!$A$1:$O$25,PROVEEDORES[[#This Row],[indicador de columna]],FALSE)</f>
        <v>0</v>
      </c>
      <c r="Y126" s="137">
        <f>+VLOOKUP(PROVEEDORES[[#This Row],[ID RETENCION]],Retenciones!$A$1:$O$25,2,FALSE)</f>
        <v>0</v>
      </c>
      <c r="Z126" s="126" t="b">
        <f>+OR(COUNTIF(PROVEEDORES[[#This Row],[PROVEEDOR]],"*"&amp;'Palabra que no opera y Listas d'!$A$2&amp;"*"))</f>
        <v>0</v>
      </c>
    </row>
    <row r="127" spans="1:26" ht="27.75" customHeight="1" x14ac:dyDescent="0.25">
      <c r="A127" s="141" t="str">
        <f>+IF(PROVEEDORES[[#This Row],[FECHA DE PAGO]]=PROVEEDORES[[#This Row],[FECHA DE FACTURACIÓN]],"DE CONTADO","CRÉDITO")</f>
        <v>CRÉDITO</v>
      </c>
      <c r="B127" s="138" t="str">
        <f>+IF((PROVEEDORES[[#This Row],[FECHA DE PAGO]]-PROVEEDORES[[#This Row],[FECHA DE FACTURACIÓN]])&gt;PROVEEDORES[[#This Row],[PLAZO Días]],"PAGO VENCIDO")</f>
        <v>PAGO VENCIDO</v>
      </c>
      <c r="C127" s="138">
        <f>+VLOOKUP(PROVEEDORES[[#This Row],[PROVEEDOR]],TERCEROS_INFO[#All],2,FALSE)</f>
        <v>30</v>
      </c>
      <c r="D127" s="139">
        <f>+SUMIFS(PROVEEDORES[Total],PROVEEDORES[PROVEEDOR],PROVEEDORES[[#This Row],[PROVEEDOR]],PROVEEDORES[FECHA DE PAGO],"")</f>
        <v>0</v>
      </c>
      <c r="E127" s="140"/>
      <c r="F127" s="13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27" s="127">
        <v>44999</v>
      </c>
      <c r="H127" s="123" t="s">
        <v>43</v>
      </c>
      <c r="I127" s="127">
        <v>44965</v>
      </c>
      <c r="J127" s="124" t="s">
        <v>564</v>
      </c>
      <c r="K127" s="124" t="s">
        <v>1530</v>
      </c>
      <c r="L127" s="124"/>
      <c r="M127" s="125">
        <v>1123137</v>
      </c>
      <c r="N127" s="148">
        <v>213396.03</v>
      </c>
      <c r="O127" s="148">
        <v>0</v>
      </c>
      <c r="P127" s="149">
        <v>0</v>
      </c>
      <c r="Q127" s="148">
        <v>0</v>
      </c>
      <c r="R127" s="150">
        <v>1336533.03</v>
      </c>
      <c r="S1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" s="135">
        <f ca="1">+IF(PROVEEDORES[[#This Row],[FECHA DE PAGO]]=0,TODAY()-PROVEEDORES[[#This Row],[FECHA DE FACTURACIÓN]]-PROVEEDORES[[#This Row],[PLAZO Días]],0)</f>
        <v>0</v>
      </c>
      <c r="U127" s="135" t="str">
        <f>+VLOOKUP(PROVEEDORES[[#This Row],[PROVEEDOR]],Terceros!$A:$D,4,FALSE)</f>
        <v>2,5% con base</v>
      </c>
      <c r="V127" s="135">
        <f>+YEAR(PROVEEDORES[[#This Row],[FECHA DE FACTURACIÓN]])</f>
        <v>2023</v>
      </c>
      <c r="W127" s="135">
        <f>+MATCH(PROVEEDORES[[#This Row],[año facturado]],Retenciones!$1:$1,0)</f>
        <v>6</v>
      </c>
      <c r="X127" s="136">
        <f>+VLOOKUP(PROVEEDORES[[#This Row],[ID RETENCION]],Retenciones!$A$1:$O$25,PROVEEDORES[[#This Row],[indicador de columna]],FALSE)</f>
        <v>1145000</v>
      </c>
      <c r="Y127" s="137">
        <f>+VLOOKUP(PROVEEDORES[[#This Row],[ID RETENCION]],Retenciones!$A$1:$O$25,2,FALSE)</f>
        <v>2.5000000000000001E-2</v>
      </c>
      <c r="Z127" s="126" t="b">
        <f>+OR(COUNTIF(PROVEEDORES[[#This Row],[PROVEEDOR]],"*"&amp;'Palabra que no opera y Listas d'!$A$2&amp;"*"))</f>
        <v>0</v>
      </c>
    </row>
    <row r="128" spans="1:26" ht="27.75" customHeight="1" x14ac:dyDescent="0.25">
      <c r="A128" s="141" t="str">
        <f>+IF(PROVEEDORES[[#This Row],[FECHA DE PAGO]]=PROVEEDORES[[#This Row],[FECHA DE FACTURACIÓN]],"DE CONTADO","CRÉDITO")</f>
        <v>DE CONTADO</v>
      </c>
      <c r="B128" s="138" t="b">
        <f>+IF((PROVEEDORES[[#This Row],[FECHA DE PAGO]]-PROVEEDORES[[#This Row],[FECHA DE FACTURACIÓN]])&gt;PROVEEDORES[[#This Row],[PLAZO Días]],"PAGO VENCIDO")</f>
        <v>0</v>
      </c>
      <c r="C128" s="138">
        <f>+VLOOKUP(PROVEEDORES[[#This Row],[PROVEEDOR]],TERCEROS_INFO[#All],2,FALSE)</f>
        <v>30</v>
      </c>
      <c r="D128" s="139">
        <f>+SUMIFS(PROVEEDORES[Total],PROVEEDORES[PROVEEDOR],PROVEEDORES[[#This Row],[PROVEEDOR]],PROVEEDORES[FECHA DE PAGO],"")</f>
        <v>4198834.75</v>
      </c>
      <c r="E128" s="140"/>
      <c r="F128" s="13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28" s="127">
        <v>44999</v>
      </c>
      <c r="H128" s="123" t="s">
        <v>422</v>
      </c>
      <c r="I128" s="127">
        <v>44999</v>
      </c>
      <c r="J128" s="124">
        <v>2672</v>
      </c>
      <c r="K128" s="124" t="s">
        <v>1530</v>
      </c>
      <c r="L128" s="124"/>
      <c r="M128" s="125">
        <v>858000</v>
      </c>
      <c r="N128" s="148">
        <v>163020</v>
      </c>
      <c r="O128" s="148">
        <v>0</v>
      </c>
      <c r="P128" s="149">
        <v>0</v>
      </c>
      <c r="Q128" s="148">
        <v>0</v>
      </c>
      <c r="R128" s="150">
        <v>1021020</v>
      </c>
      <c r="S1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" s="135">
        <f ca="1">+IF(PROVEEDORES[[#This Row],[FECHA DE PAGO]]=0,TODAY()-PROVEEDORES[[#This Row],[FECHA DE FACTURACIÓN]]-PROVEEDORES[[#This Row],[PLAZO Días]],0)</f>
        <v>0</v>
      </c>
      <c r="U128" s="135" t="str">
        <f>+VLOOKUP(PROVEEDORES[[#This Row],[PROVEEDOR]],Terceros!$A:$D,4,FALSE)</f>
        <v>2,5% con base</v>
      </c>
      <c r="V128" s="135">
        <f>+YEAR(PROVEEDORES[[#This Row],[FECHA DE FACTURACIÓN]])</f>
        <v>2023</v>
      </c>
      <c r="W128" s="135">
        <f>+MATCH(PROVEEDORES[[#This Row],[año facturado]],Retenciones!$1:$1,0)</f>
        <v>6</v>
      </c>
      <c r="X128" s="136">
        <f>+VLOOKUP(PROVEEDORES[[#This Row],[ID RETENCION]],Retenciones!$A$1:$O$25,PROVEEDORES[[#This Row],[indicador de columna]],FALSE)</f>
        <v>1145000</v>
      </c>
      <c r="Y128" s="137">
        <f>+VLOOKUP(PROVEEDORES[[#This Row],[ID RETENCION]],Retenciones!$A$1:$O$25,2,FALSE)</f>
        <v>2.5000000000000001E-2</v>
      </c>
      <c r="Z128" s="126" t="b">
        <f>+OR(COUNTIF(PROVEEDORES[[#This Row],[PROVEEDOR]],"*"&amp;'Palabra que no opera y Listas d'!$A$2&amp;"*"))</f>
        <v>0</v>
      </c>
    </row>
    <row r="129" spans="1:26" ht="27.75" customHeight="1" x14ac:dyDescent="0.25">
      <c r="A129" s="141" t="str">
        <f>+IF(PROVEEDORES[[#This Row],[FECHA DE PAGO]]=PROVEEDORES[[#This Row],[FECHA DE FACTURACIÓN]],"DE CONTADO","CRÉDITO")</f>
        <v>CRÉDITO</v>
      </c>
      <c r="B129" s="138" t="b">
        <f>+IF((PROVEEDORES[[#This Row],[FECHA DE PAGO]]-PROVEEDORES[[#This Row],[FECHA DE FACTURACIÓN]])&gt;PROVEEDORES[[#This Row],[PLAZO Días]],"PAGO VENCIDO")</f>
        <v>0</v>
      </c>
      <c r="C129" s="138">
        <f>+VLOOKUP(PROVEEDORES[[#This Row],[PROVEEDOR]],TERCEROS_INFO[#All],2,FALSE)</f>
        <v>60</v>
      </c>
      <c r="D129" s="139">
        <f>+SUMIFS(PROVEEDORES[Total],PROVEEDORES[PROVEEDOR],PROVEEDORES[[#This Row],[PROVEEDOR]],PROVEEDORES[FECHA DE PAGO],"")</f>
        <v>0</v>
      </c>
      <c r="E129" s="140"/>
      <c r="F129" s="138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129" s="127">
        <v>45000</v>
      </c>
      <c r="H129" s="123" t="s">
        <v>582</v>
      </c>
      <c r="I129" s="127">
        <v>44966</v>
      </c>
      <c r="J129" s="124" t="s">
        <v>584</v>
      </c>
      <c r="K129" s="124" t="s">
        <v>1530</v>
      </c>
      <c r="L129" s="124"/>
      <c r="M129" s="125">
        <v>2906000</v>
      </c>
      <c r="N129" s="148">
        <v>552140</v>
      </c>
      <c r="O129" s="148">
        <v>0</v>
      </c>
      <c r="P129" s="149">
        <v>2.5000000000000001E-2</v>
      </c>
      <c r="Q129" s="148">
        <v>72650</v>
      </c>
      <c r="R129" s="150">
        <v>3385490</v>
      </c>
      <c r="S1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" s="135">
        <f ca="1">+IF(PROVEEDORES[[#This Row],[FECHA DE PAGO]]=0,TODAY()-PROVEEDORES[[#This Row],[FECHA DE FACTURACIÓN]]-PROVEEDORES[[#This Row],[PLAZO Días]],0)</f>
        <v>0</v>
      </c>
      <c r="U129" s="135" t="str">
        <f>+VLOOKUP(PROVEEDORES[[#This Row],[PROVEEDOR]],Terceros!$A:$D,4,FALSE)</f>
        <v>2,5% con base</v>
      </c>
      <c r="V129" s="135">
        <f>+YEAR(PROVEEDORES[[#This Row],[FECHA DE FACTURACIÓN]])</f>
        <v>2023</v>
      </c>
      <c r="W129" s="135">
        <f>+MATCH(PROVEEDORES[[#This Row],[año facturado]],Retenciones!$1:$1,0)</f>
        <v>6</v>
      </c>
      <c r="X129" s="136">
        <f>+VLOOKUP(PROVEEDORES[[#This Row],[ID RETENCION]],Retenciones!$A$1:$O$25,PROVEEDORES[[#This Row],[indicador de columna]],FALSE)</f>
        <v>1145000</v>
      </c>
      <c r="Y129" s="137">
        <f>+VLOOKUP(PROVEEDORES[[#This Row],[ID RETENCION]],Retenciones!$A$1:$O$25,2,FALSE)</f>
        <v>2.5000000000000001E-2</v>
      </c>
      <c r="Z129" s="126" t="b">
        <f>+OR(COUNTIF(PROVEEDORES[[#This Row],[PROVEEDOR]],"*"&amp;'Palabra que no opera y Listas d'!$A$2&amp;"*"))</f>
        <v>0</v>
      </c>
    </row>
    <row r="130" spans="1:26" ht="27.75" customHeight="1" x14ac:dyDescent="0.25">
      <c r="A130" s="141" t="str">
        <f>+IF(PROVEEDORES[[#This Row],[FECHA DE PAGO]]=PROVEEDORES[[#This Row],[FECHA DE FACTURACIÓN]],"DE CONTADO","CRÉDITO")</f>
        <v>DE CONTADO</v>
      </c>
      <c r="B130" s="138" t="b">
        <f>+IF((PROVEEDORES[[#This Row],[FECHA DE PAGO]]-PROVEEDORES[[#This Row],[FECHA DE FACTURACIÓN]])&gt;PROVEEDORES[[#This Row],[PLAZO Días]],"PAGO VENCIDO")</f>
        <v>0</v>
      </c>
      <c r="C130" s="138">
        <f>+VLOOKUP(PROVEEDORES[[#This Row],[PROVEEDOR]],TERCEROS_INFO[#All],2,FALSE)</f>
        <v>30</v>
      </c>
      <c r="D130" s="139">
        <f>+SUMIFS(PROVEEDORES[Total],PROVEEDORES[PROVEEDOR],PROVEEDORES[[#This Row],[PROVEEDOR]],PROVEEDORES[FECHA DE PAGO],"")</f>
        <v>0</v>
      </c>
      <c r="E130" s="140"/>
      <c r="F130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30" s="127">
        <v>45001</v>
      </c>
      <c r="H130" s="123" t="s">
        <v>380</v>
      </c>
      <c r="I130" s="127">
        <v>45001</v>
      </c>
      <c r="J130" s="124" t="s">
        <v>630</v>
      </c>
      <c r="K130" s="124" t="s">
        <v>1530</v>
      </c>
      <c r="L130" s="124"/>
      <c r="M130" s="125">
        <v>3002200</v>
      </c>
      <c r="N130" s="148">
        <v>0</v>
      </c>
      <c r="O130" s="148">
        <v>0</v>
      </c>
      <c r="P130" s="149">
        <v>3.5000000000000003E-2</v>
      </c>
      <c r="Q130" s="148">
        <v>105077.00000000001</v>
      </c>
      <c r="R130" s="150">
        <v>2897123</v>
      </c>
      <c r="S1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" s="135">
        <f ca="1">+IF(PROVEEDORES[[#This Row],[FECHA DE PAGO]]=0,TODAY()-PROVEEDORES[[#This Row],[FECHA DE FACTURACIÓN]]-PROVEEDORES[[#This Row],[PLAZO Días]],0)</f>
        <v>0</v>
      </c>
      <c r="U130" s="135" t="str">
        <f>+VLOOKUP(PROVEEDORES[[#This Row],[PROVEEDOR]],Terceros!$A:$D,4,FALSE)</f>
        <v>3,5% sin base</v>
      </c>
      <c r="V130" s="135">
        <f>+YEAR(PROVEEDORES[[#This Row],[FECHA DE FACTURACIÓN]])</f>
        <v>2023</v>
      </c>
      <c r="W130" s="135">
        <f>+MATCH(PROVEEDORES[[#This Row],[año facturado]],Retenciones!$1:$1,0)</f>
        <v>6</v>
      </c>
      <c r="X130" s="136">
        <f>+VLOOKUP(PROVEEDORES[[#This Row],[ID RETENCION]],Retenciones!$A$1:$O$25,PROVEEDORES[[#This Row],[indicador de columna]],FALSE)</f>
        <v>0</v>
      </c>
      <c r="Y130" s="137">
        <f>+VLOOKUP(PROVEEDORES[[#This Row],[ID RETENCION]],Retenciones!$A$1:$O$25,2,FALSE)</f>
        <v>3.5000000000000003E-2</v>
      </c>
      <c r="Z130" s="126" t="b">
        <f>+OR(COUNTIF(PROVEEDORES[[#This Row],[PROVEEDOR]],"*"&amp;'Palabra que no opera y Listas d'!$A$2&amp;"*"))</f>
        <v>1</v>
      </c>
    </row>
    <row r="131" spans="1:26" ht="27.75" customHeight="1" x14ac:dyDescent="0.25">
      <c r="A131" s="141" t="str">
        <f>+IF(PROVEEDORES[[#This Row],[FECHA DE PAGO]]=PROVEEDORES[[#This Row],[FECHA DE FACTURACIÓN]],"DE CONTADO","CRÉDITO")</f>
        <v>CRÉDITO</v>
      </c>
      <c r="B131" s="138" t="str">
        <f>+IF((PROVEEDORES[[#This Row],[FECHA DE PAGO]]-PROVEEDORES[[#This Row],[FECHA DE FACTURACIÓN]])&gt;PROVEEDORES[[#This Row],[PLAZO Días]],"PAGO VENCIDO")</f>
        <v>PAGO VENCIDO</v>
      </c>
      <c r="C131" s="138">
        <f>+VLOOKUP(PROVEEDORES[[#This Row],[PROVEEDOR]],TERCEROS_INFO[#All],2,FALSE)</f>
        <v>30</v>
      </c>
      <c r="D131" s="139">
        <f>+SUMIFS(PROVEEDORES[Total],PROVEEDORES[PROVEEDOR],PROVEEDORES[[#This Row],[PROVEEDOR]],PROVEEDORES[FECHA DE PAGO],"")</f>
        <v>0</v>
      </c>
      <c r="E131" s="140"/>
      <c r="F131" s="138" t="str">
        <f>+VLOOKUP(PROVEEDORES[[#This Row],[PROVEEDOR]],
                       Terceros!$A:$F,
                       5,
                       FALSE)</f>
        <v>avelinacomer@gmail.com;girlesa.ruiz@servipilas.com;joriescobar64@gmail.com</v>
      </c>
      <c r="G131" s="127">
        <v>45002</v>
      </c>
      <c r="H131" s="123" t="s">
        <v>1810</v>
      </c>
      <c r="I131" s="127">
        <v>44964</v>
      </c>
      <c r="J131" s="124" t="s">
        <v>594</v>
      </c>
      <c r="K131" s="124" t="s">
        <v>1530</v>
      </c>
      <c r="L131" s="124"/>
      <c r="M131" s="125">
        <v>2417600</v>
      </c>
      <c r="N131" s="148">
        <v>0</v>
      </c>
      <c r="O131" s="148">
        <v>0</v>
      </c>
      <c r="P131" s="149">
        <v>0</v>
      </c>
      <c r="Q131" s="148">
        <v>0</v>
      </c>
      <c r="R131" s="150">
        <v>2417600</v>
      </c>
      <c r="S1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" s="135">
        <f ca="1">+IF(PROVEEDORES[[#This Row],[FECHA DE PAGO]]=0,TODAY()-PROVEEDORES[[#This Row],[FECHA DE FACTURACIÓN]]-PROVEEDORES[[#This Row],[PLAZO Días]],0)</f>
        <v>0</v>
      </c>
      <c r="U131" s="135">
        <f>+VLOOKUP(PROVEEDORES[[#This Row],[PROVEEDOR]],Terceros!$A:$D,4,FALSE)</f>
        <v>0</v>
      </c>
      <c r="V131" s="135">
        <f>+YEAR(PROVEEDORES[[#This Row],[FECHA DE FACTURACIÓN]])</f>
        <v>2023</v>
      </c>
      <c r="W131" s="135">
        <f>+MATCH(PROVEEDORES[[#This Row],[año facturado]],Retenciones!$1:$1,0)</f>
        <v>6</v>
      </c>
      <c r="X131" s="136">
        <f>+VLOOKUP(PROVEEDORES[[#This Row],[ID RETENCION]],Retenciones!$A$1:$O$25,PROVEEDORES[[#This Row],[indicador de columna]],FALSE)</f>
        <v>0</v>
      </c>
      <c r="Y131" s="137">
        <f>+VLOOKUP(PROVEEDORES[[#This Row],[ID RETENCION]],Retenciones!$A$1:$O$25,2,FALSE)</f>
        <v>0</v>
      </c>
      <c r="Z131" s="126" t="b">
        <f>+OR(COUNTIF(PROVEEDORES[[#This Row],[PROVEEDOR]],"*"&amp;'Palabra que no opera y Listas d'!$A$2&amp;"*"))</f>
        <v>0</v>
      </c>
    </row>
    <row r="132" spans="1:26" ht="27.75" customHeight="1" x14ac:dyDescent="0.25">
      <c r="A132" s="141" t="str">
        <f>+IF(PROVEEDORES[[#This Row],[FECHA DE PAGO]]=PROVEEDORES[[#This Row],[FECHA DE FACTURACIÓN]],"DE CONTADO","CRÉDITO")</f>
        <v>CRÉDITO</v>
      </c>
      <c r="B132" s="138" t="b">
        <f>+IF((PROVEEDORES[[#This Row],[FECHA DE PAGO]]-PROVEEDORES[[#This Row],[FECHA DE FACTURACIÓN]])&gt;PROVEEDORES[[#This Row],[PLAZO Días]],"PAGO VENCIDO")</f>
        <v>0</v>
      </c>
      <c r="C132" s="138">
        <f>+VLOOKUP(PROVEEDORES[[#This Row],[PROVEEDOR]],TERCEROS_INFO[#All],2,FALSE)</f>
        <v>30</v>
      </c>
      <c r="D132" s="139">
        <f>+SUMIFS(PROVEEDORES[Total],PROVEEDORES[PROVEEDOR],PROVEEDORES[[#This Row],[PROVEEDOR]],PROVEEDORES[FECHA DE PAGO],"")</f>
        <v>0</v>
      </c>
      <c r="E132" s="140"/>
      <c r="F132" s="138" t="str">
        <f>+VLOOKUP(PROVEEDORES[[#This Row],[PROVEEDOR]],
                       Terceros!$A:$F,
                       5,
                       FALSE)</f>
        <v>contabilidad@comsistel.com.co;girlesa.ruiz@servipilas.com;joriescobar64@gmail.com</v>
      </c>
      <c r="G132" s="127">
        <v>45002</v>
      </c>
      <c r="H132" s="123" t="s">
        <v>207</v>
      </c>
      <c r="I132" s="127">
        <v>45001</v>
      </c>
      <c r="J132" s="124" t="s">
        <v>654</v>
      </c>
      <c r="K132" s="124" t="s">
        <v>1530</v>
      </c>
      <c r="L132" s="124"/>
      <c r="M132" s="125">
        <v>428572</v>
      </c>
      <c r="N132" s="148">
        <v>81428.680000000008</v>
      </c>
      <c r="O132" s="148">
        <v>0</v>
      </c>
      <c r="P132" s="149">
        <v>0</v>
      </c>
      <c r="Q132" s="148">
        <v>0</v>
      </c>
      <c r="R132" s="150">
        <v>510000.68</v>
      </c>
      <c r="S1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" s="135">
        <f ca="1">+IF(PROVEEDORES[[#This Row],[FECHA DE PAGO]]=0,TODAY()-PROVEEDORES[[#This Row],[FECHA DE FACTURACIÓN]]-PROVEEDORES[[#This Row],[PLAZO Días]],0)</f>
        <v>0</v>
      </c>
      <c r="U132" s="135" t="str">
        <f>+VLOOKUP(PROVEEDORES[[#This Row],[PROVEEDOR]],Terceros!$A:$D,4,FALSE)</f>
        <v>2,5% con base</v>
      </c>
      <c r="V132" s="135">
        <f>+YEAR(PROVEEDORES[[#This Row],[FECHA DE FACTURACIÓN]])</f>
        <v>2023</v>
      </c>
      <c r="W132" s="135">
        <f>+MATCH(PROVEEDORES[[#This Row],[año facturado]],Retenciones!$1:$1,0)</f>
        <v>6</v>
      </c>
      <c r="X132" s="136">
        <f>+VLOOKUP(PROVEEDORES[[#This Row],[ID RETENCION]],Retenciones!$A$1:$O$25,PROVEEDORES[[#This Row],[indicador de columna]],FALSE)</f>
        <v>1145000</v>
      </c>
      <c r="Y132" s="137">
        <f>+VLOOKUP(PROVEEDORES[[#This Row],[ID RETENCION]],Retenciones!$A$1:$O$25,2,FALSE)</f>
        <v>2.5000000000000001E-2</v>
      </c>
      <c r="Z132" s="126" t="b">
        <f>+OR(COUNTIF(PROVEEDORES[[#This Row],[PROVEEDOR]],"*"&amp;'Palabra que no opera y Listas d'!$A$2&amp;"*"))</f>
        <v>0</v>
      </c>
    </row>
    <row r="133" spans="1:26" ht="27.75" customHeight="1" x14ac:dyDescent="0.25">
      <c r="A133" s="141" t="str">
        <f>+IF(PROVEEDORES[[#This Row],[FECHA DE PAGO]]=PROVEEDORES[[#This Row],[FECHA DE FACTURACIÓN]],"DE CONTADO","CRÉDITO")</f>
        <v>CRÉDITO</v>
      </c>
      <c r="B133" s="138" t="str">
        <f>+IF((PROVEEDORES[[#This Row],[FECHA DE PAGO]]-PROVEEDORES[[#This Row],[FECHA DE FACTURACIÓN]])&gt;PROVEEDORES[[#This Row],[PLAZO Días]],"PAGO VENCIDO")</f>
        <v>PAGO VENCIDO</v>
      </c>
      <c r="C133" s="138">
        <f>+VLOOKUP(PROVEEDORES[[#This Row],[PROVEEDOR]],TERCEROS_INFO[#All],2,FALSE)</f>
        <v>30</v>
      </c>
      <c r="D133" s="139">
        <f>+SUMIFS(PROVEEDORES[Total],PROVEEDORES[PROVEEDOR],PROVEEDORES[[#This Row],[PROVEEDOR]],PROVEEDORES[FECHA DE PAGO],"")</f>
        <v>0</v>
      </c>
      <c r="E133" s="140"/>
      <c r="F133" s="13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33" s="127">
        <v>45006</v>
      </c>
      <c r="H133" s="123" t="s">
        <v>1580</v>
      </c>
      <c r="I133" s="127">
        <v>44960</v>
      </c>
      <c r="J133" s="124" t="s">
        <v>551</v>
      </c>
      <c r="K133" s="124" t="s">
        <v>1530</v>
      </c>
      <c r="L133" s="124"/>
      <c r="M133" s="125">
        <v>756000</v>
      </c>
      <c r="N133" s="148">
        <v>143640</v>
      </c>
      <c r="O133" s="148">
        <v>0</v>
      </c>
      <c r="P133" s="149">
        <v>0</v>
      </c>
      <c r="Q133" s="148">
        <v>0</v>
      </c>
      <c r="R133" s="150">
        <v>899640</v>
      </c>
      <c r="S1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" s="135">
        <f ca="1">+IF(PROVEEDORES[[#This Row],[FECHA DE PAGO]]=0,TODAY()-PROVEEDORES[[#This Row],[FECHA DE FACTURACIÓN]]-PROVEEDORES[[#This Row],[PLAZO Días]],0)</f>
        <v>0</v>
      </c>
      <c r="U133" s="135" t="str">
        <f>+VLOOKUP(PROVEEDORES[[#This Row],[PROVEEDOR]],Terceros!$A:$D,4,FALSE)</f>
        <v>2,5% con base</v>
      </c>
      <c r="V133" s="135">
        <f>+YEAR(PROVEEDORES[[#This Row],[FECHA DE FACTURACIÓN]])</f>
        <v>2023</v>
      </c>
      <c r="W133" s="135">
        <f>+MATCH(PROVEEDORES[[#This Row],[año facturado]],Retenciones!$1:$1,0)</f>
        <v>6</v>
      </c>
      <c r="X133" s="136">
        <f>+VLOOKUP(PROVEEDORES[[#This Row],[ID RETENCION]],Retenciones!$A$1:$O$25,PROVEEDORES[[#This Row],[indicador de columna]],FALSE)</f>
        <v>1145000</v>
      </c>
      <c r="Y133" s="137">
        <f>+VLOOKUP(PROVEEDORES[[#This Row],[ID RETENCION]],Retenciones!$A$1:$O$25,2,FALSE)</f>
        <v>2.5000000000000001E-2</v>
      </c>
      <c r="Z133" s="126" t="b">
        <f>+OR(COUNTIF(PROVEEDORES[[#This Row],[PROVEEDOR]],"*"&amp;'Palabra que no opera y Listas d'!$A$2&amp;"*"))</f>
        <v>0</v>
      </c>
    </row>
    <row r="134" spans="1:26" ht="27.75" customHeight="1" x14ac:dyDescent="0.25">
      <c r="A134" s="141" t="str">
        <f>+IF(PROVEEDORES[[#This Row],[FECHA DE PAGO]]=PROVEEDORES[[#This Row],[FECHA DE FACTURACIÓN]],"DE CONTADO","CRÉDITO")</f>
        <v>CRÉDITO</v>
      </c>
      <c r="B134" s="138" t="str">
        <f>+IF((PROVEEDORES[[#This Row],[FECHA DE PAGO]]-PROVEEDORES[[#This Row],[FECHA DE FACTURACIÓN]])&gt;PROVEEDORES[[#This Row],[PLAZO Días]],"PAGO VENCIDO")</f>
        <v>PAGO VENCIDO</v>
      </c>
      <c r="C134" s="138">
        <f>+VLOOKUP(PROVEEDORES[[#This Row],[PROVEEDOR]],TERCEROS_INFO[#All],2,FALSE)</f>
        <v>30</v>
      </c>
      <c r="D134" s="139">
        <f>+SUMIFS(PROVEEDORES[Total],PROVEEDORES[PROVEEDOR],PROVEEDORES[[#This Row],[PROVEEDOR]],PROVEEDORES[FECHA DE PAGO],"")</f>
        <v>8456975.129999999</v>
      </c>
      <c r="E134" s="140"/>
      <c r="F134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34" s="127">
        <v>45006</v>
      </c>
      <c r="H134" s="123" t="s">
        <v>1464</v>
      </c>
      <c r="I134" s="127">
        <v>44964</v>
      </c>
      <c r="J134" s="124" t="s">
        <v>563</v>
      </c>
      <c r="K134" s="124" t="s">
        <v>1530</v>
      </c>
      <c r="L134" s="124"/>
      <c r="M134" s="125">
        <v>3909400</v>
      </c>
      <c r="N134" s="148">
        <v>742786</v>
      </c>
      <c r="O134" s="148">
        <v>0</v>
      </c>
      <c r="P134" s="149">
        <v>2.5000000000000001E-2</v>
      </c>
      <c r="Q134" s="148">
        <v>97735</v>
      </c>
      <c r="R134" s="150">
        <v>4554451</v>
      </c>
      <c r="S1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" s="135">
        <f ca="1">+IF(PROVEEDORES[[#This Row],[FECHA DE PAGO]]=0,TODAY()-PROVEEDORES[[#This Row],[FECHA DE FACTURACIÓN]]-PROVEEDORES[[#This Row],[PLAZO Días]],0)</f>
        <v>0</v>
      </c>
      <c r="U134" s="135" t="str">
        <f>+VLOOKUP(PROVEEDORES[[#This Row],[PROVEEDOR]],Terceros!$A:$D,4,FALSE)</f>
        <v>2,5% con base</v>
      </c>
      <c r="V134" s="135">
        <f>+YEAR(PROVEEDORES[[#This Row],[FECHA DE FACTURACIÓN]])</f>
        <v>2023</v>
      </c>
      <c r="W134" s="135">
        <f>+MATCH(PROVEEDORES[[#This Row],[año facturado]],Retenciones!$1:$1,0)</f>
        <v>6</v>
      </c>
      <c r="X134" s="136">
        <f>+VLOOKUP(PROVEEDORES[[#This Row],[ID RETENCION]],Retenciones!$A$1:$O$25,PROVEEDORES[[#This Row],[indicador de columna]],FALSE)</f>
        <v>1145000</v>
      </c>
      <c r="Y134" s="137">
        <f>+VLOOKUP(PROVEEDORES[[#This Row],[ID RETENCION]],Retenciones!$A$1:$O$25,2,FALSE)</f>
        <v>2.5000000000000001E-2</v>
      </c>
      <c r="Z134" s="126" t="b">
        <f>+OR(COUNTIF(PROVEEDORES[[#This Row],[PROVEEDOR]],"*"&amp;'Palabra que no opera y Listas d'!$A$2&amp;"*"))</f>
        <v>0</v>
      </c>
    </row>
    <row r="135" spans="1:26" ht="27.75" customHeight="1" x14ac:dyDescent="0.25">
      <c r="A135" s="141" t="str">
        <f>+IF(PROVEEDORES[[#This Row],[FECHA DE PAGO]]=PROVEEDORES[[#This Row],[FECHA DE FACTURACIÓN]],"DE CONTADO","CRÉDITO")</f>
        <v>CRÉDITO</v>
      </c>
      <c r="B135" s="138" t="b">
        <f>+IF((PROVEEDORES[[#This Row],[FECHA DE PAGO]]-PROVEEDORES[[#This Row],[FECHA DE FACTURACIÓN]])&gt;PROVEEDORES[[#This Row],[PLAZO Días]],"PAGO VENCIDO")</f>
        <v>0</v>
      </c>
      <c r="C135" s="138">
        <f>+VLOOKUP(PROVEEDORES[[#This Row],[PROVEEDOR]],TERCEROS_INFO[#All],2,FALSE)</f>
        <v>30</v>
      </c>
      <c r="D135" s="139">
        <f>+SUMIFS(PROVEEDORES[Total],PROVEEDORES[PROVEEDOR],PROVEEDORES[[#This Row],[PROVEEDOR]],PROVEEDORES[FECHA DE PAGO],"")</f>
        <v>8456975.129999999</v>
      </c>
      <c r="E135" s="140"/>
      <c r="F135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35" s="127">
        <v>45006</v>
      </c>
      <c r="H135" s="123" t="s">
        <v>1464</v>
      </c>
      <c r="I135" s="127">
        <v>44978</v>
      </c>
      <c r="J135" s="124" t="s">
        <v>590</v>
      </c>
      <c r="K135" s="124" t="s">
        <v>1530</v>
      </c>
      <c r="L135" s="124"/>
      <c r="M135" s="125">
        <v>346497</v>
      </c>
      <c r="N135" s="148">
        <v>65834.430000000008</v>
      </c>
      <c r="O135" s="148">
        <v>0</v>
      </c>
      <c r="P135" s="149">
        <v>0</v>
      </c>
      <c r="Q135" s="148">
        <v>0</v>
      </c>
      <c r="R135" s="150">
        <v>412331.43</v>
      </c>
      <c r="S1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" s="135">
        <f ca="1">+IF(PROVEEDORES[[#This Row],[FECHA DE PAGO]]=0,TODAY()-PROVEEDORES[[#This Row],[FECHA DE FACTURACIÓN]]-PROVEEDORES[[#This Row],[PLAZO Días]],0)</f>
        <v>0</v>
      </c>
      <c r="U135" s="135" t="str">
        <f>+VLOOKUP(PROVEEDORES[[#This Row],[PROVEEDOR]],Terceros!$A:$D,4,FALSE)</f>
        <v>2,5% con base</v>
      </c>
      <c r="V135" s="135">
        <f>+YEAR(PROVEEDORES[[#This Row],[FECHA DE FACTURACIÓN]])</f>
        <v>2023</v>
      </c>
      <c r="W135" s="135">
        <f>+MATCH(PROVEEDORES[[#This Row],[año facturado]],Retenciones!$1:$1,0)</f>
        <v>6</v>
      </c>
      <c r="X135" s="136">
        <f>+VLOOKUP(PROVEEDORES[[#This Row],[ID RETENCION]],Retenciones!$A$1:$O$25,PROVEEDORES[[#This Row],[indicador de columna]],FALSE)</f>
        <v>1145000</v>
      </c>
      <c r="Y135" s="137">
        <f>+VLOOKUP(PROVEEDORES[[#This Row],[ID RETENCION]],Retenciones!$A$1:$O$25,2,FALSE)</f>
        <v>2.5000000000000001E-2</v>
      </c>
      <c r="Z135" s="126" t="b">
        <f>+OR(COUNTIF(PROVEEDORES[[#This Row],[PROVEEDOR]],"*"&amp;'Palabra que no opera y Listas d'!$A$2&amp;"*"))</f>
        <v>0</v>
      </c>
    </row>
    <row r="136" spans="1:26" ht="27.75" customHeight="1" x14ac:dyDescent="0.25">
      <c r="A136" s="141" t="str">
        <f>+IF(PROVEEDORES[[#This Row],[FECHA DE PAGO]]=PROVEEDORES[[#This Row],[FECHA DE FACTURACIÓN]],"DE CONTADO","CRÉDITO")</f>
        <v>CRÉDITO</v>
      </c>
      <c r="B136" s="138" t="b">
        <f>+IF((PROVEEDORES[[#This Row],[FECHA DE PAGO]]-PROVEEDORES[[#This Row],[FECHA DE FACTURACIÓN]])&gt;PROVEEDORES[[#This Row],[PLAZO Días]],"PAGO VENCIDO")</f>
        <v>0</v>
      </c>
      <c r="C136" s="138">
        <f>+VLOOKUP(PROVEEDORES[[#This Row],[PROVEEDOR]],TERCEROS_INFO[#All],2,FALSE)</f>
        <v>30</v>
      </c>
      <c r="D136" s="139">
        <f>+SUMIFS(PROVEEDORES[Total],PROVEEDORES[PROVEEDOR],PROVEEDORES[[#This Row],[PROVEEDOR]],PROVEEDORES[FECHA DE PAGO],"")</f>
        <v>12628497</v>
      </c>
      <c r="E136" s="140"/>
      <c r="F136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36" s="127">
        <v>45006</v>
      </c>
      <c r="H136" s="123" t="s">
        <v>451</v>
      </c>
      <c r="I136" s="127">
        <v>45002</v>
      </c>
      <c r="J136" s="124">
        <v>29742</v>
      </c>
      <c r="K136" s="124" t="s">
        <v>1530</v>
      </c>
      <c r="L136" s="124"/>
      <c r="M136" s="125">
        <v>188000</v>
      </c>
      <c r="N136" s="148">
        <v>35720</v>
      </c>
      <c r="O136" s="148">
        <v>0</v>
      </c>
      <c r="P136" s="149">
        <v>0</v>
      </c>
      <c r="Q136" s="148">
        <v>0</v>
      </c>
      <c r="R136" s="150">
        <v>223720</v>
      </c>
      <c r="S1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" s="135">
        <f ca="1">+IF(PROVEEDORES[[#This Row],[FECHA DE PAGO]]=0,TODAY()-PROVEEDORES[[#This Row],[FECHA DE FACTURACIÓN]]-PROVEEDORES[[#This Row],[PLAZO Días]],0)</f>
        <v>0</v>
      </c>
      <c r="U136" s="135" t="str">
        <f>+VLOOKUP(PROVEEDORES[[#This Row],[PROVEEDOR]],Terceros!$A:$D,4,FALSE)</f>
        <v>2,5% con base</v>
      </c>
      <c r="V136" s="135">
        <f>+YEAR(PROVEEDORES[[#This Row],[FECHA DE FACTURACIÓN]])</f>
        <v>2023</v>
      </c>
      <c r="W136" s="135">
        <f>+MATCH(PROVEEDORES[[#This Row],[año facturado]],Retenciones!$1:$1,0)</f>
        <v>6</v>
      </c>
      <c r="X136" s="136">
        <f>+VLOOKUP(PROVEEDORES[[#This Row],[ID RETENCION]],Retenciones!$A$1:$O$25,PROVEEDORES[[#This Row],[indicador de columna]],FALSE)</f>
        <v>1145000</v>
      </c>
      <c r="Y136" s="137">
        <f>+VLOOKUP(PROVEEDORES[[#This Row],[ID RETENCION]],Retenciones!$A$1:$O$25,2,FALSE)</f>
        <v>2.5000000000000001E-2</v>
      </c>
      <c r="Z136" s="126" t="b">
        <f>+OR(COUNTIF(PROVEEDORES[[#This Row],[PROVEEDOR]],"*"&amp;'Palabra que no opera y Listas d'!$A$2&amp;"*"))</f>
        <v>0</v>
      </c>
    </row>
    <row r="137" spans="1:26" ht="27.75" customHeight="1" x14ac:dyDescent="0.25">
      <c r="A137" s="141" t="str">
        <f>+IF(PROVEEDORES[[#This Row],[FECHA DE PAGO]]=PROVEEDORES[[#This Row],[FECHA DE FACTURACIÓN]],"DE CONTADO","CRÉDITO")</f>
        <v>DE CONTADO</v>
      </c>
      <c r="B137" s="138" t="b">
        <f>+IF((PROVEEDORES[[#This Row],[FECHA DE PAGO]]-PROVEEDORES[[#This Row],[FECHA DE FACTURACIÓN]])&gt;PROVEEDORES[[#This Row],[PLAZO Días]],"PAGO VENCIDO")</f>
        <v>0</v>
      </c>
      <c r="C137" s="138">
        <f>+VLOOKUP(PROVEEDORES[[#This Row],[PROVEEDOR]],TERCEROS_INFO[#All],2,FALSE)</f>
        <v>30</v>
      </c>
      <c r="D137" s="139">
        <f>+SUMIFS(PROVEEDORES[Total],PROVEEDORES[PROVEEDOR],PROVEEDORES[[#This Row],[PROVEEDOR]],PROVEEDORES[FECHA DE PAGO],"")</f>
        <v>0</v>
      </c>
      <c r="E137" s="140"/>
      <c r="F137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137" s="127">
        <v>45008</v>
      </c>
      <c r="H137" s="123" t="s">
        <v>1865</v>
      </c>
      <c r="I137" s="127">
        <v>45008</v>
      </c>
      <c r="J137" s="124" t="s">
        <v>650</v>
      </c>
      <c r="K137" s="124" t="s">
        <v>1530</v>
      </c>
      <c r="L137" s="124"/>
      <c r="M137" s="125">
        <v>1690000</v>
      </c>
      <c r="N137" s="148">
        <v>0</v>
      </c>
      <c r="O137" s="148">
        <v>0</v>
      </c>
      <c r="P137" s="149">
        <v>0</v>
      </c>
      <c r="Q137" s="148">
        <v>0</v>
      </c>
      <c r="R137" s="150">
        <v>1690000</v>
      </c>
      <c r="S1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" s="135">
        <f ca="1">+IF(PROVEEDORES[[#This Row],[FECHA DE PAGO]]=0,TODAY()-PROVEEDORES[[#This Row],[FECHA DE FACTURACIÓN]]-PROVEEDORES[[#This Row],[PLAZO Días]],0)</f>
        <v>0</v>
      </c>
      <c r="U137" s="135">
        <f>+VLOOKUP(PROVEEDORES[[#This Row],[PROVEEDOR]],Terceros!$A:$D,4,FALSE)</f>
        <v>0</v>
      </c>
      <c r="V137" s="135">
        <f>+YEAR(PROVEEDORES[[#This Row],[FECHA DE FACTURACIÓN]])</f>
        <v>2023</v>
      </c>
      <c r="W137" s="135">
        <f>+MATCH(PROVEEDORES[[#This Row],[año facturado]],Retenciones!$1:$1,0)</f>
        <v>6</v>
      </c>
      <c r="X137" s="136">
        <f>+VLOOKUP(PROVEEDORES[[#This Row],[ID RETENCION]],Retenciones!$A$1:$O$25,PROVEEDORES[[#This Row],[indicador de columna]],FALSE)</f>
        <v>0</v>
      </c>
      <c r="Y137" s="137">
        <f>+VLOOKUP(PROVEEDORES[[#This Row],[ID RETENCION]],Retenciones!$A$1:$O$25,2,FALSE)</f>
        <v>0</v>
      </c>
      <c r="Z137" s="126" t="b">
        <f>+OR(COUNTIF(PROVEEDORES[[#This Row],[PROVEEDOR]],"*"&amp;'Palabra que no opera y Listas d'!$A$2&amp;"*"))</f>
        <v>0</v>
      </c>
    </row>
    <row r="138" spans="1:26" ht="27.75" customHeight="1" x14ac:dyDescent="0.25">
      <c r="A138" s="141" t="str">
        <f>+IF(PROVEEDORES[[#This Row],[FECHA DE PAGO]]=PROVEEDORES[[#This Row],[FECHA DE FACTURACIÓN]],"DE CONTADO","CRÉDITO")</f>
        <v>CRÉDITO</v>
      </c>
      <c r="B138" s="138" t="b">
        <f>+IF((PROVEEDORES[[#This Row],[FECHA DE PAGO]]-PROVEEDORES[[#This Row],[FECHA DE FACTURACIÓN]])&gt;PROVEEDORES[[#This Row],[PLAZO Días]],"PAGO VENCIDO")</f>
        <v>0</v>
      </c>
      <c r="C138" s="138">
        <f>+VLOOKUP(PROVEEDORES[[#This Row],[PROVEEDOR]],TERCEROS_INFO[#All],2,FALSE)</f>
        <v>30</v>
      </c>
      <c r="D138" s="139">
        <f>+SUMIFS(PROVEEDORES[Total],PROVEEDORES[PROVEEDOR],PROVEEDORES[[#This Row],[PROVEEDOR]],PROVEEDORES[FECHA DE PAGO],"")</f>
        <v>0</v>
      </c>
      <c r="E138" s="140"/>
      <c r="F138" s="138" t="str">
        <f>+VLOOKUP(PROVEEDORES[[#This Row],[PROVEEDOR]],
                       Terceros!$A:$F,
                       5,
                       FALSE)</f>
        <v/>
      </c>
      <c r="G138" s="127">
        <v>45010</v>
      </c>
      <c r="H138" s="123" t="s">
        <v>481</v>
      </c>
      <c r="I138" s="127">
        <v>45009</v>
      </c>
      <c r="J138" s="124" t="s">
        <v>655</v>
      </c>
      <c r="K138" s="124" t="s">
        <v>1530</v>
      </c>
      <c r="L138" s="124"/>
      <c r="M138" s="125">
        <v>650000</v>
      </c>
      <c r="N138" s="148">
        <v>0</v>
      </c>
      <c r="O138" s="148">
        <v>0</v>
      </c>
      <c r="P138" s="149">
        <v>0</v>
      </c>
      <c r="Q138" s="148">
        <v>0</v>
      </c>
      <c r="R138" s="150">
        <v>650000</v>
      </c>
      <c r="S1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" s="135">
        <f ca="1">+IF(PROVEEDORES[[#This Row],[FECHA DE PAGO]]=0,TODAY()-PROVEEDORES[[#This Row],[FECHA DE FACTURACIÓN]]-PROVEEDORES[[#This Row],[PLAZO Días]],0)</f>
        <v>0</v>
      </c>
      <c r="U138" s="135">
        <f>+VLOOKUP(PROVEEDORES[[#This Row],[PROVEEDOR]],Terceros!$A:$D,4,FALSE)</f>
        <v>0</v>
      </c>
      <c r="V138" s="135">
        <f>+YEAR(PROVEEDORES[[#This Row],[FECHA DE FACTURACIÓN]])</f>
        <v>2023</v>
      </c>
      <c r="W138" s="135">
        <f>+MATCH(PROVEEDORES[[#This Row],[año facturado]],Retenciones!$1:$1,0)</f>
        <v>6</v>
      </c>
      <c r="X138" s="136">
        <f>+VLOOKUP(PROVEEDORES[[#This Row],[ID RETENCION]],Retenciones!$A$1:$O$25,PROVEEDORES[[#This Row],[indicador de columna]],FALSE)</f>
        <v>0</v>
      </c>
      <c r="Y138" s="137">
        <f>+VLOOKUP(PROVEEDORES[[#This Row],[ID RETENCION]],Retenciones!$A$1:$O$25,2,FALSE)</f>
        <v>0</v>
      </c>
      <c r="Z138" s="126" t="b">
        <f>+OR(COUNTIF(PROVEEDORES[[#This Row],[PROVEEDOR]],"*"&amp;'Palabra que no opera y Listas d'!$A$2&amp;"*"))</f>
        <v>0</v>
      </c>
    </row>
    <row r="139" spans="1:26" ht="27.75" customHeight="1" x14ac:dyDescent="0.25">
      <c r="A139" s="141" t="str">
        <f>+IF(PROVEEDORES[[#This Row],[FECHA DE PAGO]]=PROVEEDORES[[#This Row],[FECHA DE FACTURACIÓN]],"DE CONTADO","CRÉDITO")</f>
        <v>CRÉDITO</v>
      </c>
      <c r="B139" s="138" t="b">
        <f>+IF((PROVEEDORES[[#This Row],[FECHA DE PAGO]]-PROVEEDORES[[#This Row],[FECHA DE FACTURACIÓN]])&gt;PROVEEDORES[[#This Row],[PLAZO Días]],"PAGO VENCIDO")</f>
        <v>0</v>
      </c>
      <c r="C139" s="138">
        <f>+VLOOKUP(PROVEEDORES[[#This Row],[PROVEEDOR]],TERCEROS_INFO[#All],2,FALSE)</f>
        <v>30</v>
      </c>
      <c r="D139" s="139">
        <f>+SUMIFS(PROVEEDORES[Total],PROVEEDORES[PROVEEDOR],PROVEEDORES[[#This Row],[PROVEEDOR]],PROVEEDORES[FECHA DE PAGO],"")</f>
        <v>1350000</v>
      </c>
      <c r="E139" s="140"/>
      <c r="F139" s="138" t="str">
        <f>+VLOOKUP(PROVEEDORES[[#This Row],[PROVEEDOR]],
                       Terceros!$A:$F,
                       5,
                       FALSE)</f>
        <v/>
      </c>
      <c r="G139" s="127">
        <v>45010</v>
      </c>
      <c r="H139" s="123" t="s">
        <v>1807</v>
      </c>
      <c r="I139" s="127">
        <v>45009</v>
      </c>
      <c r="J139" s="124" t="s">
        <v>658</v>
      </c>
      <c r="K139" s="124" t="s">
        <v>1530</v>
      </c>
      <c r="L139" s="124"/>
      <c r="M139" s="125">
        <v>1440000</v>
      </c>
      <c r="N139" s="148">
        <v>0</v>
      </c>
      <c r="O139" s="148">
        <v>0</v>
      </c>
      <c r="P139" s="149">
        <v>0</v>
      </c>
      <c r="Q139" s="148">
        <v>0</v>
      </c>
      <c r="R139" s="150">
        <v>1440000</v>
      </c>
      <c r="S1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" s="135">
        <f ca="1">+IF(PROVEEDORES[[#This Row],[FECHA DE PAGO]]=0,TODAY()-PROVEEDORES[[#This Row],[FECHA DE FACTURACIÓN]]-PROVEEDORES[[#This Row],[PLAZO Días]],0)</f>
        <v>0</v>
      </c>
      <c r="U139" s="135">
        <f>+VLOOKUP(PROVEEDORES[[#This Row],[PROVEEDOR]],Terceros!$A:$D,4,FALSE)</f>
        <v>0</v>
      </c>
      <c r="V139" s="135">
        <f>+YEAR(PROVEEDORES[[#This Row],[FECHA DE FACTURACIÓN]])</f>
        <v>2023</v>
      </c>
      <c r="W139" s="135">
        <f>+MATCH(PROVEEDORES[[#This Row],[año facturado]],Retenciones!$1:$1,0)</f>
        <v>6</v>
      </c>
      <c r="X139" s="136">
        <f>+VLOOKUP(PROVEEDORES[[#This Row],[ID RETENCION]],Retenciones!$A$1:$O$25,PROVEEDORES[[#This Row],[indicador de columna]],FALSE)</f>
        <v>0</v>
      </c>
      <c r="Y139" s="137">
        <f>+VLOOKUP(PROVEEDORES[[#This Row],[ID RETENCION]],Retenciones!$A$1:$O$25,2,FALSE)</f>
        <v>0</v>
      </c>
      <c r="Z139" s="126" t="b">
        <f>+OR(COUNTIF(PROVEEDORES[[#This Row],[PROVEEDOR]],"*"&amp;'Palabra que no opera y Listas d'!$A$2&amp;"*"))</f>
        <v>0</v>
      </c>
    </row>
    <row r="140" spans="1:26" ht="27.75" customHeight="1" x14ac:dyDescent="0.25">
      <c r="A140" s="141" t="str">
        <f>+IF(PROVEEDORES[[#This Row],[FECHA DE PAGO]]=PROVEEDORES[[#This Row],[FECHA DE FACTURACIÓN]],"DE CONTADO","CRÉDITO")</f>
        <v>CRÉDITO</v>
      </c>
      <c r="B140" s="138" t="str">
        <f>+IF((PROVEEDORES[[#This Row],[FECHA DE PAGO]]-PROVEEDORES[[#This Row],[FECHA DE FACTURACIÓN]])&gt;PROVEEDORES[[#This Row],[PLAZO Días]],"PAGO VENCIDO")</f>
        <v>PAGO VENCIDO</v>
      </c>
      <c r="C140" s="138">
        <f>+VLOOKUP(PROVEEDORES[[#This Row],[PROVEEDOR]],TERCEROS_INFO[#All],2,FALSE)</f>
        <v>30</v>
      </c>
      <c r="D140" s="139">
        <f>+SUMIFS(PROVEEDORES[Total],PROVEEDORES[PROVEEDOR],PROVEEDORES[[#This Row],[PROVEEDOR]],PROVEEDORES[FECHA DE PAGO],"")</f>
        <v>0</v>
      </c>
      <c r="E140" s="140"/>
      <c r="F140" s="138" t="str">
        <f>+VLOOKUP(PROVEEDORES[[#This Row],[PROVEEDOR]],
                       Terceros!$A:$F,
                       5,
                       FALSE)</f>
        <v/>
      </c>
      <c r="G140" s="127">
        <v>45012</v>
      </c>
      <c r="H140" s="123" t="s">
        <v>1811</v>
      </c>
      <c r="I140" s="127">
        <v>44965</v>
      </c>
      <c r="J140" s="124" t="s">
        <v>596</v>
      </c>
      <c r="K140" s="124" t="s">
        <v>1530</v>
      </c>
      <c r="L140" s="124"/>
      <c r="M140" s="125">
        <v>2260000</v>
      </c>
      <c r="N140" s="148">
        <v>0</v>
      </c>
      <c r="O140" s="148">
        <v>0</v>
      </c>
      <c r="P140" s="149">
        <v>0</v>
      </c>
      <c r="Q140" s="148">
        <v>0</v>
      </c>
      <c r="R140" s="150">
        <v>2260000</v>
      </c>
      <c r="S1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" s="135">
        <f ca="1">+IF(PROVEEDORES[[#This Row],[FECHA DE PAGO]]=0,TODAY()-PROVEEDORES[[#This Row],[FECHA DE FACTURACIÓN]]-PROVEEDORES[[#This Row],[PLAZO Días]],0)</f>
        <v>0</v>
      </c>
      <c r="U140" s="135">
        <f>+VLOOKUP(PROVEEDORES[[#This Row],[PROVEEDOR]],Terceros!$A:$D,4,FALSE)</f>
        <v>0</v>
      </c>
      <c r="V140" s="135">
        <f>+YEAR(PROVEEDORES[[#This Row],[FECHA DE FACTURACIÓN]])</f>
        <v>2023</v>
      </c>
      <c r="W140" s="135">
        <f>+MATCH(PROVEEDORES[[#This Row],[año facturado]],Retenciones!$1:$1,0)</f>
        <v>6</v>
      </c>
      <c r="X140" s="136">
        <f>+VLOOKUP(PROVEEDORES[[#This Row],[ID RETENCION]],Retenciones!$A$1:$O$25,PROVEEDORES[[#This Row],[indicador de columna]],FALSE)</f>
        <v>0</v>
      </c>
      <c r="Y140" s="137">
        <f>+VLOOKUP(PROVEEDORES[[#This Row],[ID RETENCION]],Retenciones!$A$1:$O$25,2,FALSE)</f>
        <v>0</v>
      </c>
      <c r="Z140" s="126" t="b">
        <f>+OR(COUNTIF(PROVEEDORES[[#This Row],[PROVEEDOR]],"*"&amp;'Palabra que no opera y Listas d'!$A$2&amp;"*"))</f>
        <v>0</v>
      </c>
    </row>
    <row r="141" spans="1:26" ht="27.75" customHeight="1" x14ac:dyDescent="0.25">
      <c r="A141" s="141" t="str">
        <f>+IF(PROVEEDORES[[#This Row],[FECHA DE PAGO]]=PROVEEDORES[[#This Row],[FECHA DE FACTURACIÓN]],"DE CONTADO","CRÉDITO")</f>
        <v>CRÉDITO</v>
      </c>
      <c r="B141" s="138" t="b">
        <f>+IF((PROVEEDORES[[#This Row],[FECHA DE PAGO]]-PROVEEDORES[[#This Row],[FECHA DE FACTURACIÓN]])&gt;PROVEEDORES[[#This Row],[PLAZO Días]],"PAGO VENCIDO")</f>
        <v>0</v>
      </c>
      <c r="C141" s="138">
        <f>+VLOOKUP(PROVEEDORES[[#This Row],[PROVEEDOR]],TERCEROS_INFO[#All],2,FALSE)</f>
        <v>30</v>
      </c>
      <c r="D141" s="139">
        <f>+SUMIFS(PROVEEDORES[Total],PROVEEDORES[PROVEEDOR],PROVEEDORES[[#This Row],[PROVEEDOR]],PROVEEDORES[FECHA DE PAGO],"")</f>
        <v>0</v>
      </c>
      <c r="E141" s="140"/>
      <c r="F141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1" s="127">
        <v>45012</v>
      </c>
      <c r="H141" s="123" t="s">
        <v>368</v>
      </c>
      <c r="I141" s="127">
        <v>44986</v>
      </c>
      <c r="J141" s="124" t="s">
        <v>636</v>
      </c>
      <c r="K141" s="124" t="s">
        <v>1530</v>
      </c>
      <c r="L141" s="124"/>
      <c r="M141" s="125">
        <v>7165</v>
      </c>
      <c r="N141" s="148">
        <v>1361.35</v>
      </c>
      <c r="O141" s="148">
        <v>0</v>
      </c>
      <c r="P141" s="149">
        <v>0</v>
      </c>
      <c r="Q141" s="148">
        <v>0</v>
      </c>
      <c r="R141" s="150">
        <v>8526.35</v>
      </c>
      <c r="S1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" s="135">
        <f ca="1">+IF(PROVEEDORES[[#This Row],[FECHA DE PAGO]]=0,TODAY()-PROVEEDORES[[#This Row],[FECHA DE FACTURACIÓN]]-PROVEEDORES[[#This Row],[PLAZO Días]],0)</f>
        <v>0</v>
      </c>
      <c r="U141" s="135">
        <f>+VLOOKUP(PROVEEDORES[[#This Row],[PROVEEDOR]],Terceros!$A:$D,4,FALSE)</f>
        <v>0</v>
      </c>
      <c r="V141" s="135">
        <f>+YEAR(PROVEEDORES[[#This Row],[FECHA DE FACTURACIÓN]])</f>
        <v>2023</v>
      </c>
      <c r="W141" s="135">
        <f>+MATCH(PROVEEDORES[[#This Row],[año facturado]],Retenciones!$1:$1,0)</f>
        <v>6</v>
      </c>
      <c r="X141" s="136">
        <f>+VLOOKUP(PROVEEDORES[[#This Row],[ID RETENCION]],Retenciones!$A$1:$O$25,PROVEEDORES[[#This Row],[indicador de columna]],FALSE)</f>
        <v>0</v>
      </c>
      <c r="Y141" s="137">
        <f>+VLOOKUP(PROVEEDORES[[#This Row],[ID RETENCION]],Retenciones!$A$1:$O$25,2,FALSE)</f>
        <v>0</v>
      </c>
      <c r="Z141" s="126" t="b">
        <f>+OR(COUNTIF(PROVEEDORES[[#This Row],[PROVEEDOR]],"*"&amp;'Palabra que no opera y Listas d'!$A$2&amp;"*"))</f>
        <v>1</v>
      </c>
    </row>
    <row r="142" spans="1:26" ht="27.75" customHeight="1" x14ac:dyDescent="0.25">
      <c r="A142" s="141" t="str">
        <f>+IF(PROVEEDORES[[#This Row],[FECHA DE PAGO]]=PROVEEDORES[[#This Row],[FECHA DE FACTURACIÓN]],"DE CONTADO","CRÉDITO")</f>
        <v>CRÉDITO</v>
      </c>
      <c r="B142" s="138" t="b">
        <f>+IF((PROVEEDORES[[#This Row],[FECHA DE PAGO]]-PROVEEDORES[[#This Row],[FECHA DE FACTURACIÓN]])&gt;PROVEEDORES[[#This Row],[PLAZO Días]],"PAGO VENCIDO")</f>
        <v>0</v>
      </c>
      <c r="C142" s="138">
        <f>+VLOOKUP(PROVEEDORES[[#This Row],[PROVEEDOR]],TERCEROS_INFO[#All],2,FALSE)</f>
        <v>30</v>
      </c>
      <c r="D142" s="139">
        <f>+SUMIFS(PROVEEDORES[Total],PROVEEDORES[PROVEEDOR],PROVEEDORES[[#This Row],[PROVEEDOR]],PROVEEDORES[FECHA DE PAGO],"")</f>
        <v>0</v>
      </c>
      <c r="E142" s="140"/>
      <c r="F142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2" s="127">
        <v>45012</v>
      </c>
      <c r="H142" s="123" t="s">
        <v>368</v>
      </c>
      <c r="I142" s="127">
        <v>44986</v>
      </c>
      <c r="J142" s="124" t="s">
        <v>637</v>
      </c>
      <c r="K142" s="124" t="s">
        <v>1530</v>
      </c>
      <c r="L142" s="124"/>
      <c r="M142" s="125">
        <v>10150</v>
      </c>
      <c r="N142" s="148">
        <v>1928.5</v>
      </c>
      <c r="O142" s="148">
        <v>0</v>
      </c>
      <c r="P142" s="149">
        <v>0</v>
      </c>
      <c r="Q142" s="148">
        <v>0</v>
      </c>
      <c r="R142" s="150">
        <v>12078.5</v>
      </c>
      <c r="S1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" s="135">
        <f ca="1">+IF(PROVEEDORES[[#This Row],[FECHA DE PAGO]]=0,TODAY()-PROVEEDORES[[#This Row],[FECHA DE FACTURACIÓN]]-PROVEEDORES[[#This Row],[PLAZO Días]],0)</f>
        <v>0</v>
      </c>
      <c r="U142" s="135">
        <f>+VLOOKUP(PROVEEDORES[[#This Row],[PROVEEDOR]],Terceros!$A:$D,4,FALSE)</f>
        <v>0</v>
      </c>
      <c r="V142" s="135">
        <f>+YEAR(PROVEEDORES[[#This Row],[FECHA DE FACTURACIÓN]])</f>
        <v>2023</v>
      </c>
      <c r="W142" s="135">
        <f>+MATCH(PROVEEDORES[[#This Row],[año facturado]],Retenciones!$1:$1,0)</f>
        <v>6</v>
      </c>
      <c r="X142" s="136">
        <f>+VLOOKUP(PROVEEDORES[[#This Row],[ID RETENCION]],Retenciones!$A$1:$O$25,PROVEEDORES[[#This Row],[indicador de columna]],FALSE)</f>
        <v>0</v>
      </c>
      <c r="Y142" s="137">
        <f>+VLOOKUP(PROVEEDORES[[#This Row],[ID RETENCION]],Retenciones!$A$1:$O$25,2,FALSE)</f>
        <v>0</v>
      </c>
      <c r="Z142" s="126" t="b">
        <f>+OR(COUNTIF(PROVEEDORES[[#This Row],[PROVEEDOR]],"*"&amp;'Palabra que no opera y Listas d'!$A$2&amp;"*"))</f>
        <v>1</v>
      </c>
    </row>
    <row r="143" spans="1:26" ht="27.75" customHeight="1" x14ac:dyDescent="0.25">
      <c r="A143" s="141" t="str">
        <f>+IF(PROVEEDORES[[#This Row],[FECHA DE PAGO]]=PROVEEDORES[[#This Row],[FECHA DE FACTURACIÓN]],"DE CONTADO","CRÉDITO")</f>
        <v>CRÉDITO</v>
      </c>
      <c r="B143" s="138" t="b">
        <f>+IF((PROVEEDORES[[#This Row],[FECHA DE PAGO]]-PROVEEDORES[[#This Row],[FECHA DE FACTURACIÓN]])&gt;PROVEEDORES[[#This Row],[PLAZO Días]],"PAGO VENCIDO")</f>
        <v>0</v>
      </c>
      <c r="C143" s="138">
        <f>+VLOOKUP(PROVEEDORES[[#This Row],[PROVEEDOR]],TERCEROS_INFO[#All],2,FALSE)</f>
        <v>30</v>
      </c>
      <c r="D143" s="139">
        <f>+SUMIFS(PROVEEDORES[Total],PROVEEDORES[PROVEEDOR],PROVEEDORES[[#This Row],[PROVEEDOR]],PROVEEDORES[FECHA DE PAGO],"")</f>
        <v>0</v>
      </c>
      <c r="E143" s="140"/>
      <c r="F143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3" s="127">
        <v>45012</v>
      </c>
      <c r="H143" s="123" t="s">
        <v>368</v>
      </c>
      <c r="I143" s="127">
        <v>44986</v>
      </c>
      <c r="J143" s="124" t="s">
        <v>638</v>
      </c>
      <c r="K143" s="124" t="s">
        <v>1530</v>
      </c>
      <c r="L143" s="124"/>
      <c r="M143" s="125">
        <v>39533</v>
      </c>
      <c r="N143" s="148">
        <v>7511.27</v>
      </c>
      <c r="O143" s="148">
        <v>0</v>
      </c>
      <c r="P143" s="149">
        <v>0</v>
      </c>
      <c r="Q143" s="148">
        <v>0</v>
      </c>
      <c r="R143" s="150">
        <v>47044.270000000004</v>
      </c>
      <c r="S1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" s="135">
        <f ca="1">+IF(PROVEEDORES[[#This Row],[FECHA DE PAGO]]=0,TODAY()-PROVEEDORES[[#This Row],[FECHA DE FACTURACIÓN]]-PROVEEDORES[[#This Row],[PLAZO Días]],0)</f>
        <v>0</v>
      </c>
      <c r="U143" s="135">
        <f>+VLOOKUP(PROVEEDORES[[#This Row],[PROVEEDOR]],Terceros!$A:$D,4,FALSE)</f>
        <v>0</v>
      </c>
      <c r="V143" s="135">
        <f>+YEAR(PROVEEDORES[[#This Row],[FECHA DE FACTURACIÓN]])</f>
        <v>2023</v>
      </c>
      <c r="W143" s="135">
        <f>+MATCH(PROVEEDORES[[#This Row],[año facturado]],Retenciones!$1:$1,0)</f>
        <v>6</v>
      </c>
      <c r="X143" s="136">
        <f>+VLOOKUP(PROVEEDORES[[#This Row],[ID RETENCION]],Retenciones!$A$1:$O$25,PROVEEDORES[[#This Row],[indicador de columna]],FALSE)</f>
        <v>0</v>
      </c>
      <c r="Y143" s="137">
        <f>+VLOOKUP(PROVEEDORES[[#This Row],[ID RETENCION]],Retenciones!$A$1:$O$25,2,FALSE)</f>
        <v>0</v>
      </c>
      <c r="Z143" s="126" t="b">
        <f>+OR(COUNTIF(PROVEEDORES[[#This Row],[PROVEEDOR]],"*"&amp;'Palabra que no opera y Listas d'!$A$2&amp;"*"))</f>
        <v>1</v>
      </c>
    </row>
    <row r="144" spans="1:26" ht="27.75" customHeight="1" x14ac:dyDescent="0.25">
      <c r="A144" s="141" t="str">
        <f>+IF(PROVEEDORES[[#This Row],[FECHA DE PAGO]]=PROVEEDORES[[#This Row],[FECHA DE FACTURACIÓN]],"DE CONTADO","CRÉDITO")</f>
        <v>CRÉDITO</v>
      </c>
      <c r="B144" s="138" t="b">
        <f>+IF((PROVEEDORES[[#This Row],[FECHA DE PAGO]]-PROVEEDORES[[#This Row],[FECHA DE FACTURACIÓN]])&gt;PROVEEDORES[[#This Row],[PLAZO Días]],"PAGO VENCIDO")</f>
        <v>0</v>
      </c>
      <c r="C144" s="138">
        <f>+VLOOKUP(PROVEEDORES[[#This Row],[PROVEEDOR]],TERCEROS_INFO[#All],2,FALSE)</f>
        <v>30</v>
      </c>
      <c r="D144" s="139">
        <f>+SUMIFS(PROVEEDORES[Total],PROVEEDORES[PROVEEDOR],PROVEEDORES[[#This Row],[PROVEEDOR]],PROVEEDORES[FECHA DE PAGO],"")</f>
        <v>0</v>
      </c>
      <c r="E144" s="140"/>
      <c r="F144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4" s="127">
        <v>45012</v>
      </c>
      <c r="H144" s="123" t="s">
        <v>368</v>
      </c>
      <c r="I144" s="127">
        <v>44986</v>
      </c>
      <c r="J144" s="124" t="s">
        <v>639</v>
      </c>
      <c r="K144" s="124" t="s">
        <v>1530</v>
      </c>
      <c r="L144" s="124"/>
      <c r="M144" s="125">
        <v>933193</v>
      </c>
      <c r="N144" s="148">
        <v>177306.67</v>
      </c>
      <c r="O144" s="148">
        <v>0</v>
      </c>
      <c r="P144" s="149">
        <v>0</v>
      </c>
      <c r="Q144" s="148">
        <v>0</v>
      </c>
      <c r="R144" s="150">
        <v>1110499.67</v>
      </c>
      <c r="S1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" s="135">
        <f ca="1">+IF(PROVEEDORES[[#This Row],[FECHA DE PAGO]]=0,TODAY()-PROVEEDORES[[#This Row],[FECHA DE FACTURACIÓN]]-PROVEEDORES[[#This Row],[PLAZO Días]],0)</f>
        <v>0</v>
      </c>
      <c r="U144" s="135">
        <f>+VLOOKUP(PROVEEDORES[[#This Row],[PROVEEDOR]],Terceros!$A:$D,4,FALSE)</f>
        <v>0</v>
      </c>
      <c r="V144" s="135">
        <f>+YEAR(PROVEEDORES[[#This Row],[FECHA DE FACTURACIÓN]])</f>
        <v>2023</v>
      </c>
      <c r="W144" s="135">
        <f>+MATCH(PROVEEDORES[[#This Row],[año facturado]],Retenciones!$1:$1,0)</f>
        <v>6</v>
      </c>
      <c r="X144" s="136">
        <f>+VLOOKUP(PROVEEDORES[[#This Row],[ID RETENCION]],Retenciones!$A$1:$O$25,PROVEEDORES[[#This Row],[indicador de columna]],FALSE)</f>
        <v>0</v>
      </c>
      <c r="Y144" s="137">
        <f>+VLOOKUP(PROVEEDORES[[#This Row],[ID RETENCION]],Retenciones!$A$1:$O$25,2,FALSE)</f>
        <v>0</v>
      </c>
      <c r="Z144" s="126" t="b">
        <f>+OR(COUNTIF(PROVEEDORES[[#This Row],[PROVEEDOR]],"*"&amp;'Palabra que no opera y Listas d'!$A$2&amp;"*"))</f>
        <v>1</v>
      </c>
    </row>
    <row r="145" spans="1:26" ht="27.75" customHeight="1" x14ac:dyDescent="0.25">
      <c r="A145" s="141" t="str">
        <f>+IF(PROVEEDORES[[#This Row],[FECHA DE PAGO]]=PROVEEDORES[[#This Row],[FECHA DE FACTURACIÓN]],"DE CONTADO","CRÉDITO")</f>
        <v>CRÉDITO</v>
      </c>
      <c r="B145" s="138" t="b">
        <f>+IF((PROVEEDORES[[#This Row],[FECHA DE PAGO]]-PROVEEDORES[[#This Row],[FECHA DE FACTURACIÓN]])&gt;PROVEEDORES[[#This Row],[PLAZO Días]],"PAGO VENCIDO")</f>
        <v>0</v>
      </c>
      <c r="C145" s="138">
        <f>+VLOOKUP(PROVEEDORES[[#This Row],[PROVEEDOR]],TERCEROS_INFO[#All],2,FALSE)</f>
        <v>30</v>
      </c>
      <c r="D145" s="139">
        <f>+SUMIFS(PROVEEDORES[Total],PROVEEDORES[PROVEEDOR],PROVEEDORES[[#This Row],[PROVEEDOR]],PROVEEDORES[FECHA DE PAGO],"")</f>
        <v>0</v>
      </c>
      <c r="E145" s="140"/>
      <c r="F145" s="138" t="str">
        <f>+VLOOKUP(PROVEEDORES[[#This Row],[PROVEEDOR]],
                       Terceros!$A:$F,
                       5,
                       FALSE)</f>
        <v>facturacion@losmolinos.com.co</v>
      </c>
      <c r="G145" s="127">
        <v>45012</v>
      </c>
      <c r="H145" s="123" t="s">
        <v>376</v>
      </c>
      <c r="I145" s="127">
        <v>44986</v>
      </c>
      <c r="J145" s="124" t="s">
        <v>694</v>
      </c>
      <c r="K145" s="124" t="s">
        <v>1530</v>
      </c>
      <c r="L145" s="124"/>
      <c r="M145" s="125">
        <v>329981</v>
      </c>
      <c r="N145" s="148">
        <v>0</v>
      </c>
      <c r="O145" s="148">
        <v>0</v>
      </c>
      <c r="P145" s="149">
        <v>0</v>
      </c>
      <c r="Q145" s="148">
        <v>0</v>
      </c>
      <c r="R145" s="150">
        <v>329981</v>
      </c>
      <c r="S1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" s="135">
        <f ca="1">+IF(PROVEEDORES[[#This Row],[FECHA DE PAGO]]=0,TODAY()-PROVEEDORES[[#This Row],[FECHA DE FACTURACIÓN]]-PROVEEDORES[[#This Row],[PLAZO Días]],0)</f>
        <v>0</v>
      </c>
      <c r="U145" s="135">
        <f>+VLOOKUP(PROVEEDORES[[#This Row],[PROVEEDOR]],Terceros!$A:$D,4,FALSE)</f>
        <v>0</v>
      </c>
      <c r="V145" s="135">
        <f>+YEAR(PROVEEDORES[[#This Row],[FECHA DE FACTURACIÓN]])</f>
        <v>2023</v>
      </c>
      <c r="W145" s="135">
        <f>+MATCH(PROVEEDORES[[#This Row],[año facturado]],Retenciones!$1:$1,0)</f>
        <v>6</v>
      </c>
      <c r="X145" s="136">
        <f>+VLOOKUP(PROVEEDORES[[#This Row],[ID RETENCION]],Retenciones!$A$1:$O$25,PROVEEDORES[[#This Row],[indicador de columna]],FALSE)</f>
        <v>0</v>
      </c>
      <c r="Y145" s="137">
        <f>+VLOOKUP(PROVEEDORES[[#This Row],[ID RETENCION]],Retenciones!$A$1:$O$25,2,FALSE)</f>
        <v>0</v>
      </c>
      <c r="Z145" s="126" t="b">
        <f>+OR(COUNTIF(PROVEEDORES[[#This Row],[PROVEEDOR]],"*"&amp;'Palabra que no opera y Listas d'!$A$2&amp;"*"))</f>
        <v>1</v>
      </c>
    </row>
    <row r="146" spans="1:26" ht="27.75" customHeight="1" x14ac:dyDescent="0.25">
      <c r="A146" s="141" t="str">
        <f>+IF(PROVEEDORES[[#This Row],[FECHA DE PAGO]]=PROVEEDORES[[#This Row],[FECHA DE FACTURACIÓN]],"DE CONTADO","CRÉDITO")</f>
        <v>CRÉDITO</v>
      </c>
      <c r="B146" s="138" t="b">
        <f>+IF((PROVEEDORES[[#This Row],[FECHA DE PAGO]]-PROVEEDORES[[#This Row],[FECHA DE FACTURACIÓN]])&gt;PROVEEDORES[[#This Row],[PLAZO Días]],"PAGO VENCIDO")</f>
        <v>0</v>
      </c>
      <c r="C146" s="138">
        <f>+VLOOKUP(PROVEEDORES[[#This Row],[PROVEEDOR]],TERCEROS_INFO[#All],2,FALSE)</f>
        <v>30</v>
      </c>
      <c r="D146" s="139">
        <f>+SUMIFS(PROVEEDORES[Total],PROVEEDORES[PROVEEDOR],PROVEEDORES[[#This Row],[PROVEEDOR]],PROVEEDORES[FECHA DE PAGO],"")</f>
        <v>0</v>
      </c>
      <c r="E146" s="140"/>
      <c r="F146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46" s="127">
        <v>45012</v>
      </c>
      <c r="H146" s="123" t="s">
        <v>394</v>
      </c>
      <c r="I146" s="127">
        <v>44986</v>
      </c>
      <c r="J146" s="124" t="s">
        <v>631</v>
      </c>
      <c r="K146" s="124" t="s">
        <v>1530</v>
      </c>
      <c r="L146" s="124"/>
      <c r="M146" s="125">
        <v>243611</v>
      </c>
      <c r="N146" s="148">
        <v>46286.090000000004</v>
      </c>
      <c r="O146" s="148">
        <v>0</v>
      </c>
      <c r="P146" s="149">
        <v>3.5000000000000003E-2</v>
      </c>
      <c r="Q146" s="148">
        <v>8526.3850000000002</v>
      </c>
      <c r="R146" s="150">
        <v>281370.70500000002</v>
      </c>
      <c r="S1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" s="135">
        <f ca="1">+IF(PROVEEDORES[[#This Row],[FECHA DE PAGO]]=0,TODAY()-PROVEEDORES[[#This Row],[FECHA DE FACTURACIÓN]]-PROVEEDORES[[#This Row],[PLAZO Días]],0)</f>
        <v>0</v>
      </c>
      <c r="U146" s="135" t="str">
        <f>+VLOOKUP(PROVEEDORES[[#This Row],[PROVEEDOR]],Terceros!$A:$D,4,FALSE)</f>
        <v>3,5% sin base</v>
      </c>
      <c r="V146" s="135">
        <f>+YEAR(PROVEEDORES[[#This Row],[FECHA DE FACTURACIÓN]])</f>
        <v>2023</v>
      </c>
      <c r="W146" s="135">
        <f>+MATCH(PROVEEDORES[[#This Row],[año facturado]],Retenciones!$1:$1,0)</f>
        <v>6</v>
      </c>
      <c r="X146" s="136">
        <f>+VLOOKUP(PROVEEDORES[[#This Row],[ID RETENCION]],Retenciones!$A$1:$O$25,PROVEEDORES[[#This Row],[indicador de columna]],FALSE)</f>
        <v>0</v>
      </c>
      <c r="Y146" s="137">
        <f>+VLOOKUP(PROVEEDORES[[#This Row],[ID RETENCION]],Retenciones!$A$1:$O$25,2,FALSE)</f>
        <v>3.5000000000000003E-2</v>
      </c>
      <c r="Z146" s="126" t="b">
        <f>+OR(COUNTIF(PROVEEDORES[[#This Row],[PROVEEDOR]],"*"&amp;'Palabra que no opera y Listas d'!$A$2&amp;"*"))</f>
        <v>1</v>
      </c>
    </row>
    <row r="147" spans="1:26" ht="27.75" customHeight="1" x14ac:dyDescent="0.25">
      <c r="A147" s="141" t="str">
        <f>+IF(PROVEEDORES[[#This Row],[FECHA DE PAGO]]=PROVEEDORES[[#This Row],[FECHA DE FACTURACIÓN]],"DE CONTADO","CRÉDITO")</f>
        <v>CRÉDITO</v>
      </c>
      <c r="B147" s="138" t="b">
        <f>+IF((PROVEEDORES[[#This Row],[FECHA DE PAGO]]-PROVEEDORES[[#This Row],[FECHA DE FACTURACIÓN]])&gt;PROVEEDORES[[#This Row],[PLAZO Días]],"PAGO VENCIDO")</f>
        <v>0</v>
      </c>
      <c r="C147" s="138">
        <f>+VLOOKUP(PROVEEDORES[[#This Row],[PROVEEDOR]],TERCEROS_INFO[#All],2,FALSE)</f>
        <v>30</v>
      </c>
      <c r="D147" s="139">
        <f>+SUMIFS(PROVEEDORES[Total],PROVEEDORES[PROVEEDOR],PROVEEDORES[[#This Row],[PROVEEDOR]],PROVEEDORES[FECHA DE PAGO],"")</f>
        <v>0</v>
      </c>
      <c r="E147" s="140"/>
      <c r="F147" s="13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47" s="127">
        <v>45012</v>
      </c>
      <c r="H147" s="123" t="s">
        <v>1806</v>
      </c>
      <c r="I147" s="127">
        <v>44993</v>
      </c>
      <c r="J147" s="124">
        <v>403</v>
      </c>
      <c r="K147" s="124" t="s">
        <v>1530</v>
      </c>
      <c r="L147" s="124"/>
      <c r="M147" s="125">
        <v>300000</v>
      </c>
      <c r="N147" s="148">
        <v>0</v>
      </c>
      <c r="O147" s="148">
        <v>0</v>
      </c>
      <c r="P147" s="149">
        <v>0</v>
      </c>
      <c r="Q147" s="148">
        <v>0</v>
      </c>
      <c r="R147" s="150">
        <v>300000</v>
      </c>
      <c r="S1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" s="135">
        <f ca="1">+IF(PROVEEDORES[[#This Row],[FECHA DE PAGO]]=0,TODAY()-PROVEEDORES[[#This Row],[FECHA DE FACTURACIÓN]]-PROVEEDORES[[#This Row],[PLAZO Días]],0)</f>
        <v>0</v>
      </c>
      <c r="U147" s="135">
        <f>+VLOOKUP(PROVEEDORES[[#This Row],[PROVEEDOR]],Terceros!$A:$D,4,FALSE)</f>
        <v>0</v>
      </c>
      <c r="V147" s="135">
        <f>+YEAR(PROVEEDORES[[#This Row],[FECHA DE FACTURACIÓN]])</f>
        <v>2023</v>
      </c>
      <c r="W147" s="135">
        <f>+MATCH(PROVEEDORES[[#This Row],[año facturado]],Retenciones!$1:$1,0)</f>
        <v>6</v>
      </c>
      <c r="X147" s="136">
        <f>+VLOOKUP(PROVEEDORES[[#This Row],[ID RETENCION]],Retenciones!$A$1:$O$25,PROVEEDORES[[#This Row],[indicador de columna]],FALSE)</f>
        <v>0</v>
      </c>
      <c r="Y147" s="137">
        <f>+VLOOKUP(PROVEEDORES[[#This Row],[ID RETENCION]],Retenciones!$A$1:$O$25,2,FALSE)</f>
        <v>0</v>
      </c>
      <c r="Z147" s="126" t="b">
        <f>+OR(COUNTIF(PROVEEDORES[[#This Row],[PROVEEDOR]],"*"&amp;'Palabra que no opera y Listas d'!$A$2&amp;"*"))</f>
        <v>0</v>
      </c>
    </row>
    <row r="148" spans="1:26" ht="27.75" customHeight="1" x14ac:dyDescent="0.25">
      <c r="A148" s="141" t="str">
        <f>+IF(PROVEEDORES[[#This Row],[FECHA DE PAGO]]=PROVEEDORES[[#This Row],[FECHA DE FACTURACIÓN]],"DE CONTADO","CRÉDITO")</f>
        <v>CRÉDITO</v>
      </c>
      <c r="B148" s="138" t="b">
        <f>+IF((PROVEEDORES[[#This Row],[FECHA DE PAGO]]-PROVEEDORES[[#This Row],[FECHA DE FACTURACIÓN]])&gt;PROVEEDORES[[#This Row],[PLAZO Días]],"PAGO VENCIDO")</f>
        <v>0</v>
      </c>
      <c r="C148" s="138">
        <f>+VLOOKUP(PROVEEDORES[[#This Row],[PROVEEDOR]],TERCEROS_INFO[#All],2,FALSE)</f>
        <v>30</v>
      </c>
      <c r="D148" s="139">
        <f>+SUMIFS(PROVEEDORES[Total],PROVEEDORES[PROVEEDOR],PROVEEDORES[[#This Row],[PROVEEDOR]],PROVEEDORES[FECHA DE PAGO],"")</f>
        <v>0</v>
      </c>
      <c r="E148" s="140"/>
      <c r="F148" s="13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148" s="127">
        <v>45012</v>
      </c>
      <c r="H148" s="123" t="s">
        <v>448</v>
      </c>
      <c r="I148" s="127">
        <v>44993</v>
      </c>
      <c r="J148" s="124" t="s">
        <v>640</v>
      </c>
      <c r="K148" s="124" t="s">
        <v>1530</v>
      </c>
      <c r="L148" s="124"/>
      <c r="M148" s="125">
        <v>290000</v>
      </c>
      <c r="N148" s="148">
        <v>0</v>
      </c>
      <c r="O148" s="148">
        <v>0</v>
      </c>
      <c r="P148" s="149">
        <v>0.01</v>
      </c>
      <c r="Q148" s="148">
        <v>2900</v>
      </c>
      <c r="R148" s="150">
        <v>287100</v>
      </c>
      <c r="S1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" s="135">
        <f ca="1">+IF(PROVEEDORES[[#This Row],[FECHA DE PAGO]]=0,TODAY()-PROVEEDORES[[#This Row],[FECHA DE FACTURACIÓN]]-PROVEEDORES[[#This Row],[PLAZO Días]],0)</f>
        <v>0</v>
      </c>
      <c r="U148" s="135" t="str">
        <f>+VLOOKUP(PROVEEDORES[[#This Row],[PROVEEDOR]],Terceros!$A:$D,4,FALSE)</f>
        <v>1% con base</v>
      </c>
      <c r="V148" s="135">
        <f>+YEAR(PROVEEDORES[[#This Row],[FECHA DE FACTURACIÓN]])</f>
        <v>2023</v>
      </c>
      <c r="W148" s="135">
        <f>+MATCH(PROVEEDORES[[#This Row],[año facturado]],Retenciones!$1:$1,0)</f>
        <v>6</v>
      </c>
      <c r="X148" s="136">
        <f>+VLOOKUP(PROVEEDORES[[#This Row],[ID RETENCION]],Retenciones!$A$1:$O$25,PROVEEDORES[[#This Row],[indicador de columna]],FALSE)</f>
        <v>170000</v>
      </c>
      <c r="Y148" s="137">
        <f>+VLOOKUP(PROVEEDORES[[#This Row],[ID RETENCION]],Retenciones!$A$1:$O$25,2,FALSE)</f>
        <v>0.01</v>
      </c>
      <c r="Z148" s="126" t="b">
        <f>+OR(COUNTIF(PROVEEDORES[[#This Row],[PROVEEDOR]],"*"&amp;'Palabra que no opera y Listas d'!$A$2&amp;"*"))</f>
        <v>0</v>
      </c>
    </row>
    <row r="149" spans="1:26" ht="27.75" customHeight="1" x14ac:dyDescent="0.25">
      <c r="A149" s="141" t="str">
        <f>+IF(PROVEEDORES[[#This Row],[FECHA DE PAGO]]=PROVEEDORES[[#This Row],[FECHA DE FACTURACIÓN]],"DE CONTADO","CRÉDITO")</f>
        <v>CRÉDITO</v>
      </c>
      <c r="B149" s="138" t="b">
        <f>+IF((PROVEEDORES[[#This Row],[FECHA DE PAGO]]-PROVEEDORES[[#This Row],[FECHA DE FACTURACIÓN]])&gt;PROVEEDORES[[#This Row],[PLAZO Días]],"PAGO VENCIDO")</f>
        <v>0</v>
      </c>
      <c r="C149" s="138">
        <f>+VLOOKUP(PROVEEDORES[[#This Row],[PROVEEDOR]],TERCEROS_INFO[#All],2,FALSE)</f>
        <v>30</v>
      </c>
      <c r="D149" s="139">
        <f>+SUMIFS(PROVEEDORES[Total],PROVEEDORES[PROVEEDOR],PROVEEDORES[[#This Row],[PROVEEDOR]],PROVEEDORES[FECHA DE PAGO],"")</f>
        <v>0</v>
      </c>
      <c r="E149" s="140"/>
      <c r="F149" s="13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49" s="127">
        <v>45012</v>
      </c>
      <c r="H149" s="123" t="s">
        <v>452</v>
      </c>
      <c r="I149" s="127">
        <v>45008</v>
      </c>
      <c r="J149" s="124" t="s">
        <v>641</v>
      </c>
      <c r="K149" s="124" t="s">
        <v>1530</v>
      </c>
      <c r="L149" s="124"/>
      <c r="M149" s="125">
        <v>16180800</v>
      </c>
      <c r="N149" s="148">
        <v>3074352</v>
      </c>
      <c r="O149" s="148">
        <v>0</v>
      </c>
      <c r="P149" s="149">
        <v>2.5000000000000001E-2</v>
      </c>
      <c r="Q149" s="148">
        <v>404520</v>
      </c>
      <c r="R149" s="150">
        <v>18850632</v>
      </c>
      <c r="S1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" s="135">
        <f ca="1">+IF(PROVEEDORES[[#This Row],[FECHA DE PAGO]]=0,TODAY()-PROVEEDORES[[#This Row],[FECHA DE FACTURACIÓN]]-PROVEEDORES[[#This Row],[PLAZO Días]],0)</f>
        <v>0</v>
      </c>
      <c r="U149" s="135" t="str">
        <f>+VLOOKUP(PROVEEDORES[[#This Row],[PROVEEDOR]],Terceros!$A:$D,4,FALSE)</f>
        <v>2,5% con base</v>
      </c>
      <c r="V149" s="135">
        <f>+YEAR(PROVEEDORES[[#This Row],[FECHA DE FACTURACIÓN]])</f>
        <v>2023</v>
      </c>
      <c r="W149" s="135">
        <f>+MATCH(PROVEEDORES[[#This Row],[año facturado]],Retenciones!$1:$1,0)</f>
        <v>6</v>
      </c>
      <c r="X149" s="136">
        <f>+VLOOKUP(PROVEEDORES[[#This Row],[ID RETENCION]],Retenciones!$A$1:$O$25,PROVEEDORES[[#This Row],[indicador de columna]],FALSE)</f>
        <v>1145000</v>
      </c>
      <c r="Y149" s="137">
        <f>+VLOOKUP(PROVEEDORES[[#This Row],[ID RETENCION]],Retenciones!$A$1:$O$25,2,FALSE)</f>
        <v>2.5000000000000001E-2</v>
      </c>
      <c r="Z149" s="126" t="b">
        <f>+OR(COUNTIF(PROVEEDORES[[#This Row],[PROVEEDOR]],"*"&amp;'Palabra que no opera y Listas d'!$A$2&amp;"*"))</f>
        <v>0</v>
      </c>
    </row>
    <row r="150" spans="1:26" ht="27.75" customHeight="1" x14ac:dyDescent="0.25">
      <c r="A150" s="141" t="str">
        <f>+IF(PROVEEDORES[[#This Row],[FECHA DE PAGO]]=PROVEEDORES[[#This Row],[FECHA DE FACTURACIÓN]],"DE CONTADO","CRÉDITO")</f>
        <v>CRÉDITO</v>
      </c>
      <c r="B150" s="138" t="b">
        <f>+IF((PROVEEDORES[[#This Row],[FECHA DE PAGO]]-PROVEEDORES[[#This Row],[FECHA DE FACTURACIÓN]])&gt;PROVEEDORES[[#This Row],[PLAZO Días]],"PAGO VENCIDO")</f>
        <v>0</v>
      </c>
      <c r="C150" s="138">
        <f>+VLOOKUP(PROVEEDORES[[#This Row],[PROVEEDOR]],TERCEROS_INFO[#All],2,FALSE)</f>
        <v>30</v>
      </c>
      <c r="D150" s="139">
        <f>+SUMIFS(PROVEEDORES[Total],PROVEEDORES[PROVEEDOR],PROVEEDORES[[#This Row],[PROVEEDOR]],PROVEEDORES[FECHA DE PAGO],"")</f>
        <v>0</v>
      </c>
      <c r="E150" s="140"/>
      <c r="F150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0" s="127">
        <v>45014</v>
      </c>
      <c r="H150" s="123" t="s">
        <v>368</v>
      </c>
      <c r="I150" s="127">
        <v>44986</v>
      </c>
      <c r="J150" s="124" t="s">
        <v>643</v>
      </c>
      <c r="K150" s="124" t="s">
        <v>1530</v>
      </c>
      <c r="L150" s="124"/>
      <c r="M150" s="125">
        <v>3294426</v>
      </c>
      <c r="N150" s="148">
        <v>625940.94000000006</v>
      </c>
      <c r="O150" s="148">
        <v>0</v>
      </c>
      <c r="P150" s="149">
        <v>0</v>
      </c>
      <c r="Q150" s="148">
        <v>0</v>
      </c>
      <c r="R150" s="150">
        <v>3920366.94</v>
      </c>
      <c r="S1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" s="135">
        <f ca="1">+IF(PROVEEDORES[[#This Row],[FECHA DE PAGO]]=0,TODAY()-PROVEEDORES[[#This Row],[FECHA DE FACTURACIÓN]]-PROVEEDORES[[#This Row],[PLAZO Días]],0)</f>
        <v>0</v>
      </c>
      <c r="U150" s="135">
        <f>+VLOOKUP(PROVEEDORES[[#This Row],[PROVEEDOR]],Terceros!$A:$D,4,FALSE)</f>
        <v>0</v>
      </c>
      <c r="V150" s="135">
        <f>+YEAR(PROVEEDORES[[#This Row],[FECHA DE FACTURACIÓN]])</f>
        <v>2023</v>
      </c>
      <c r="W150" s="135">
        <f>+MATCH(PROVEEDORES[[#This Row],[año facturado]],Retenciones!$1:$1,0)</f>
        <v>6</v>
      </c>
      <c r="X150" s="136">
        <f>+VLOOKUP(PROVEEDORES[[#This Row],[ID RETENCION]],Retenciones!$A$1:$O$25,PROVEEDORES[[#This Row],[indicador de columna]],FALSE)</f>
        <v>0</v>
      </c>
      <c r="Y150" s="137">
        <f>+VLOOKUP(PROVEEDORES[[#This Row],[ID RETENCION]],Retenciones!$A$1:$O$25,2,FALSE)</f>
        <v>0</v>
      </c>
      <c r="Z150" s="126" t="b">
        <f>+OR(COUNTIF(PROVEEDORES[[#This Row],[PROVEEDOR]],"*"&amp;'Palabra que no opera y Listas d'!$A$2&amp;"*"))</f>
        <v>1</v>
      </c>
    </row>
    <row r="151" spans="1:26" ht="27.75" customHeight="1" x14ac:dyDescent="0.25">
      <c r="A151" s="141" t="str">
        <f>+IF(PROVEEDORES[[#This Row],[FECHA DE PAGO]]=PROVEEDORES[[#This Row],[FECHA DE FACTURACIÓN]],"DE CONTADO","CRÉDITO")</f>
        <v>CRÉDITO</v>
      </c>
      <c r="B151" s="138" t="b">
        <f>+IF((PROVEEDORES[[#This Row],[FECHA DE PAGO]]-PROVEEDORES[[#This Row],[FECHA DE FACTURACIÓN]])&gt;PROVEEDORES[[#This Row],[PLAZO Días]],"PAGO VENCIDO")</f>
        <v>0</v>
      </c>
      <c r="C151" s="138">
        <f>+VLOOKUP(PROVEEDORES[[#This Row],[PROVEEDOR]],TERCEROS_INFO[#All],2,FALSE)</f>
        <v>30</v>
      </c>
      <c r="D151" s="139">
        <f>+SUMIFS(PROVEEDORES[Total],PROVEEDORES[PROVEEDOR],PROVEEDORES[[#This Row],[PROVEEDOR]],PROVEEDORES[FECHA DE PAGO],"")</f>
        <v>0</v>
      </c>
      <c r="E151" s="140"/>
      <c r="F151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51" s="127">
        <v>45014</v>
      </c>
      <c r="H151" s="123" t="s">
        <v>382</v>
      </c>
      <c r="I151" s="127">
        <v>44986</v>
      </c>
      <c r="J151" s="124" t="s">
        <v>632</v>
      </c>
      <c r="K151" s="124" t="s">
        <v>1530</v>
      </c>
      <c r="L151" s="124"/>
      <c r="M151" s="125">
        <v>59583</v>
      </c>
      <c r="N151" s="148">
        <v>0</v>
      </c>
      <c r="O151" s="148">
        <v>0</v>
      </c>
      <c r="P151" s="149">
        <v>0</v>
      </c>
      <c r="Q151" s="148">
        <v>0</v>
      </c>
      <c r="R151" s="150">
        <v>59583</v>
      </c>
      <c r="S1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" s="135">
        <f ca="1">+IF(PROVEEDORES[[#This Row],[FECHA DE PAGO]]=0,TODAY()-PROVEEDORES[[#This Row],[FECHA DE FACTURACIÓN]]-PROVEEDORES[[#This Row],[PLAZO Días]],0)</f>
        <v>0</v>
      </c>
      <c r="U151" s="135">
        <f>+VLOOKUP(PROVEEDORES[[#This Row],[PROVEEDOR]],Terceros!$A:$D,4,FALSE)</f>
        <v>0</v>
      </c>
      <c r="V151" s="135">
        <f>+YEAR(PROVEEDORES[[#This Row],[FECHA DE FACTURACIÓN]])</f>
        <v>2023</v>
      </c>
      <c r="W151" s="135">
        <f>+MATCH(PROVEEDORES[[#This Row],[año facturado]],Retenciones!$1:$1,0)</f>
        <v>6</v>
      </c>
      <c r="X151" s="136">
        <f>+VLOOKUP(PROVEEDORES[[#This Row],[ID RETENCION]],Retenciones!$A$1:$O$25,PROVEEDORES[[#This Row],[indicador de columna]],FALSE)</f>
        <v>0</v>
      </c>
      <c r="Y151" s="137">
        <f>+VLOOKUP(PROVEEDORES[[#This Row],[ID RETENCION]],Retenciones!$A$1:$O$25,2,FALSE)</f>
        <v>0</v>
      </c>
      <c r="Z151" s="126" t="b">
        <f>+OR(COUNTIF(PROVEEDORES[[#This Row],[PROVEEDOR]],"*"&amp;'Palabra que no opera y Listas d'!$A$2&amp;"*"))</f>
        <v>1</v>
      </c>
    </row>
    <row r="152" spans="1:26" ht="27.75" customHeight="1" x14ac:dyDescent="0.25">
      <c r="A152" s="141" t="str">
        <f>+IF(PROVEEDORES[[#This Row],[FECHA DE PAGO]]=PROVEEDORES[[#This Row],[FECHA DE FACTURACIÓN]],"DE CONTADO","CRÉDITO")</f>
        <v>CRÉDITO</v>
      </c>
      <c r="B152" s="138" t="b">
        <f>+IF((PROVEEDORES[[#This Row],[FECHA DE PAGO]]-PROVEEDORES[[#This Row],[FECHA DE FACTURACIÓN]])&gt;PROVEEDORES[[#This Row],[PLAZO Días]],"PAGO VENCIDO")</f>
        <v>0</v>
      </c>
      <c r="C152" s="138">
        <f>+VLOOKUP(PROVEEDORES[[#This Row],[PROVEEDOR]],TERCEROS_INFO[#All],2,FALSE)</f>
        <v>30</v>
      </c>
      <c r="D152" s="139">
        <f>+SUMIFS(PROVEEDORES[Total],PROVEEDORES[PROVEEDOR],PROVEEDORES[[#This Row],[PROVEEDOR]],PROVEEDORES[FECHA DE PAGO],"")</f>
        <v>0</v>
      </c>
      <c r="E152" s="140"/>
      <c r="F152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52" s="127">
        <v>45014</v>
      </c>
      <c r="H152" s="123" t="s">
        <v>382</v>
      </c>
      <c r="I152" s="127">
        <v>44986</v>
      </c>
      <c r="J152" s="124" t="s">
        <v>633</v>
      </c>
      <c r="K152" s="124" t="s">
        <v>1530</v>
      </c>
      <c r="L152" s="124"/>
      <c r="M152" s="125">
        <v>928304</v>
      </c>
      <c r="N152" s="148">
        <v>0</v>
      </c>
      <c r="O152" s="148">
        <v>0</v>
      </c>
      <c r="P152" s="149">
        <v>0</v>
      </c>
      <c r="Q152" s="148">
        <v>0</v>
      </c>
      <c r="R152" s="150">
        <v>928304</v>
      </c>
      <c r="S1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" s="135">
        <f ca="1">+IF(PROVEEDORES[[#This Row],[FECHA DE PAGO]]=0,TODAY()-PROVEEDORES[[#This Row],[FECHA DE FACTURACIÓN]]-PROVEEDORES[[#This Row],[PLAZO Días]],0)</f>
        <v>0</v>
      </c>
      <c r="U152" s="135">
        <f>+VLOOKUP(PROVEEDORES[[#This Row],[PROVEEDOR]],Terceros!$A:$D,4,FALSE)</f>
        <v>0</v>
      </c>
      <c r="V152" s="135">
        <f>+YEAR(PROVEEDORES[[#This Row],[FECHA DE FACTURACIÓN]])</f>
        <v>2023</v>
      </c>
      <c r="W152" s="135">
        <f>+MATCH(PROVEEDORES[[#This Row],[año facturado]],Retenciones!$1:$1,0)</f>
        <v>6</v>
      </c>
      <c r="X152" s="136">
        <f>+VLOOKUP(PROVEEDORES[[#This Row],[ID RETENCION]],Retenciones!$A$1:$O$25,PROVEEDORES[[#This Row],[indicador de columna]],FALSE)</f>
        <v>0</v>
      </c>
      <c r="Y152" s="137">
        <f>+VLOOKUP(PROVEEDORES[[#This Row],[ID RETENCION]],Retenciones!$A$1:$O$25,2,FALSE)</f>
        <v>0</v>
      </c>
      <c r="Z152" s="126" t="b">
        <f>+OR(COUNTIF(PROVEEDORES[[#This Row],[PROVEEDOR]],"*"&amp;'Palabra que no opera y Listas d'!$A$2&amp;"*"))</f>
        <v>1</v>
      </c>
    </row>
    <row r="153" spans="1:26" ht="27.75" customHeight="1" x14ac:dyDescent="0.25">
      <c r="A153" s="141" t="str">
        <f>+IF(PROVEEDORES[[#This Row],[FECHA DE PAGO]]=PROVEEDORES[[#This Row],[FECHA DE FACTURACIÓN]],"DE CONTADO","CRÉDITO")</f>
        <v>CRÉDITO</v>
      </c>
      <c r="B153" s="138" t="b">
        <f>+IF((PROVEEDORES[[#This Row],[FECHA DE PAGO]]-PROVEEDORES[[#This Row],[FECHA DE FACTURACIÓN]])&gt;PROVEEDORES[[#This Row],[PLAZO Días]],"PAGO VENCIDO")</f>
        <v>0</v>
      </c>
      <c r="C153" s="138">
        <f>+VLOOKUP(PROVEEDORES[[#This Row],[PROVEEDOR]],TERCEROS_INFO[#All],2,FALSE)</f>
        <v>30</v>
      </c>
      <c r="D153" s="139">
        <f>+SUMIFS(PROVEEDORES[Total],PROVEEDORES[PROVEEDOR],PROVEEDORES[[#This Row],[PROVEEDOR]],PROVEEDORES[FECHA DE PAGO],"")</f>
        <v>0</v>
      </c>
      <c r="E153" s="140"/>
      <c r="F153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53" s="127">
        <v>45014</v>
      </c>
      <c r="H153" s="123" t="s">
        <v>382</v>
      </c>
      <c r="I153" s="127">
        <v>44986</v>
      </c>
      <c r="J153" s="124" t="s">
        <v>634</v>
      </c>
      <c r="K153" s="124" t="s">
        <v>1530</v>
      </c>
      <c r="L153" s="124"/>
      <c r="M153" s="125">
        <v>68166</v>
      </c>
      <c r="N153" s="148">
        <v>0</v>
      </c>
      <c r="O153" s="148">
        <v>0</v>
      </c>
      <c r="P153" s="149">
        <v>0</v>
      </c>
      <c r="Q153" s="148">
        <v>0</v>
      </c>
      <c r="R153" s="150">
        <v>68166</v>
      </c>
      <c r="S1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" s="135">
        <f ca="1">+IF(PROVEEDORES[[#This Row],[FECHA DE PAGO]]=0,TODAY()-PROVEEDORES[[#This Row],[FECHA DE FACTURACIÓN]]-PROVEEDORES[[#This Row],[PLAZO Días]],0)</f>
        <v>0</v>
      </c>
      <c r="U153" s="135">
        <f>+VLOOKUP(PROVEEDORES[[#This Row],[PROVEEDOR]],Terceros!$A:$D,4,FALSE)</f>
        <v>0</v>
      </c>
      <c r="V153" s="135">
        <f>+YEAR(PROVEEDORES[[#This Row],[FECHA DE FACTURACIÓN]])</f>
        <v>2023</v>
      </c>
      <c r="W153" s="135">
        <f>+MATCH(PROVEEDORES[[#This Row],[año facturado]],Retenciones!$1:$1,0)</f>
        <v>6</v>
      </c>
      <c r="X153" s="136">
        <f>+VLOOKUP(PROVEEDORES[[#This Row],[ID RETENCION]],Retenciones!$A$1:$O$25,PROVEEDORES[[#This Row],[indicador de columna]],FALSE)</f>
        <v>0</v>
      </c>
      <c r="Y153" s="137">
        <f>+VLOOKUP(PROVEEDORES[[#This Row],[ID RETENCION]],Retenciones!$A$1:$O$25,2,FALSE)</f>
        <v>0</v>
      </c>
      <c r="Z153" s="126" t="b">
        <f>+OR(COUNTIF(PROVEEDORES[[#This Row],[PROVEEDOR]],"*"&amp;'Palabra que no opera y Listas d'!$A$2&amp;"*"))</f>
        <v>1</v>
      </c>
    </row>
    <row r="154" spans="1:26" ht="27.75" customHeight="1" x14ac:dyDescent="0.25">
      <c r="A154" s="141" t="str">
        <f>+IF(PROVEEDORES[[#This Row],[FECHA DE PAGO]]=PROVEEDORES[[#This Row],[FECHA DE FACTURACIÓN]],"DE CONTADO","CRÉDITO")</f>
        <v>CRÉDITO</v>
      </c>
      <c r="B154" s="138" t="b">
        <f>+IF((PROVEEDORES[[#This Row],[FECHA DE PAGO]]-PROVEEDORES[[#This Row],[FECHA DE FACTURACIÓN]])&gt;PROVEEDORES[[#This Row],[PLAZO Días]],"PAGO VENCIDO")</f>
        <v>0</v>
      </c>
      <c r="C154" s="138">
        <f>+VLOOKUP(PROVEEDORES[[#This Row],[PROVEEDOR]],TERCEROS_INFO[#All],2,FALSE)</f>
        <v>30</v>
      </c>
      <c r="D154" s="139">
        <f>+SUMIFS(PROVEEDORES[Total],PROVEEDORES[PROVEEDOR],PROVEEDORES[[#This Row],[PROVEEDOR]],PROVEEDORES[FECHA DE PAGO],"")</f>
        <v>0</v>
      </c>
      <c r="E154" s="140"/>
      <c r="F154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54" s="127">
        <v>45014</v>
      </c>
      <c r="H154" s="123" t="s">
        <v>382</v>
      </c>
      <c r="I154" s="127">
        <v>44986</v>
      </c>
      <c r="J154" s="124" t="s">
        <v>635</v>
      </c>
      <c r="K154" s="124" t="s">
        <v>1530</v>
      </c>
      <c r="L154" s="124"/>
      <c r="M154" s="125">
        <v>949891</v>
      </c>
      <c r="N154" s="148">
        <v>0</v>
      </c>
      <c r="O154" s="148">
        <v>0</v>
      </c>
      <c r="P154" s="149">
        <v>0</v>
      </c>
      <c r="Q154" s="148">
        <v>0</v>
      </c>
      <c r="R154" s="150">
        <v>949891</v>
      </c>
      <c r="S1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" s="135">
        <f ca="1">+IF(PROVEEDORES[[#This Row],[FECHA DE PAGO]]=0,TODAY()-PROVEEDORES[[#This Row],[FECHA DE FACTURACIÓN]]-PROVEEDORES[[#This Row],[PLAZO Días]],0)</f>
        <v>0</v>
      </c>
      <c r="U154" s="135">
        <f>+VLOOKUP(PROVEEDORES[[#This Row],[PROVEEDOR]],Terceros!$A:$D,4,FALSE)</f>
        <v>0</v>
      </c>
      <c r="V154" s="135">
        <f>+YEAR(PROVEEDORES[[#This Row],[FECHA DE FACTURACIÓN]])</f>
        <v>2023</v>
      </c>
      <c r="W154" s="135">
        <f>+MATCH(PROVEEDORES[[#This Row],[año facturado]],Retenciones!$1:$1,0)</f>
        <v>6</v>
      </c>
      <c r="X154" s="136">
        <f>+VLOOKUP(PROVEEDORES[[#This Row],[ID RETENCION]],Retenciones!$A$1:$O$25,PROVEEDORES[[#This Row],[indicador de columna]],FALSE)</f>
        <v>0</v>
      </c>
      <c r="Y154" s="137">
        <f>+VLOOKUP(PROVEEDORES[[#This Row],[ID RETENCION]],Retenciones!$A$1:$O$25,2,FALSE)</f>
        <v>0</v>
      </c>
      <c r="Z154" s="126" t="b">
        <f>+OR(COUNTIF(PROVEEDORES[[#This Row],[PROVEEDOR]],"*"&amp;'Palabra que no opera y Listas d'!$A$2&amp;"*"))</f>
        <v>1</v>
      </c>
    </row>
    <row r="155" spans="1:26" ht="27.75" customHeight="1" x14ac:dyDescent="0.25">
      <c r="A155" s="141" t="str">
        <f>+IF(PROVEEDORES[[#This Row],[FECHA DE PAGO]]=PROVEEDORES[[#This Row],[FECHA DE FACTURACIÓN]],"DE CONTADO","CRÉDITO")</f>
        <v>CRÉDITO</v>
      </c>
      <c r="B155" s="138" t="b">
        <f>+IF((PROVEEDORES[[#This Row],[FECHA DE PAGO]]-PROVEEDORES[[#This Row],[FECHA DE FACTURACIÓN]])&gt;PROVEEDORES[[#This Row],[PLAZO Días]],"PAGO VENCIDO")</f>
        <v>0</v>
      </c>
      <c r="C155" s="138">
        <f>+VLOOKUP(PROVEEDORES[[#This Row],[PROVEEDOR]],TERCEROS_INFO[#All],2,FALSE)</f>
        <v>30</v>
      </c>
      <c r="D155" s="139">
        <f>+SUMIFS(PROVEEDORES[Total],PROVEEDORES[PROVEEDOR],PROVEEDORES[[#This Row],[PROVEEDOR]],PROVEEDORES[FECHA DE PAGO],"")</f>
        <v>0</v>
      </c>
      <c r="E155" s="140"/>
      <c r="F155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55" s="127">
        <v>45014</v>
      </c>
      <c r="H155" s="123" t="s">
        <v>383</v>
      </c>
      <c r="I155" s="127">
        <v>44986</v>
      </c>
      <c r="J155" s="124" t="s">
        <v>645</v>
      </c>
      <c r="K155" s="124" t="s">
        <v>1530</v>
      </c>
      <c r="L155" s="124"/>
      <c r="M155" s="125">
        <v>3945038</v>
      </c>
      <c r="N155" s="148">
        <v>749557.22</v>
      </c>
      <c r="O155" s="148">
        <v>0</v>
      </c>
      <c r="P155" s="149">
        <v>3.5000000000000003E-2</v>
      </c>
      <c r="Q155" s="148">
        <v>138076.33000000002</v>
      </c>
      <c r="R155" s="150">
        <v>4556518.8899999997</v>
      </c>
      <c r="S1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" s="135">
        <f ca="1">+IF(PROVEEDORES[[#This Row],[FECHA DE PAGO]]=0,TODAY()-PROVEEDORES[[#This Row],[FECHA DE FACTURACIÓN]]-PROVEEDORES[[#This Row],[PLAZO Días]],0)</f>
        <v>0</v>
      </c>
      <c r="U155" s="135" t="str">
        <f>+VLOOKUP(PROVEEDORES[[#This Row],[PROVEEDOR]],Terceros!$A:$D,4,FALSE)</f>
        <v>3,5% sin base</v>
      </c>
      <c r="V155" s="135">
        <f>+YEAR(PROVEEDORES[[#This Row],[FECHA DE FACTURACIÓN]])</f>
        <v>2023</v>
      </c>
      <c r="W155" s="135">
        <f>+MATCH(PROVEEDORES[[#This Row],[año facturado]],Retenciones!$1:$1,0)</f>
        <v>6</v>
      </c>
      <c r="X155" s="136">
        <f>+VLOOKUP(PROVEEDORES[[#This Row],[ID RETENCION]],Retenciones!$A$1:$O$25,PROVEEDORES[[#This Row],[indicador de columna]],FALSE)</f>
        <v>0</v>
      </c>
      <c r="Y155" s="137">
        <f>+VLOOKUP(PROVEEDORES[[#This Row],[ID RETENCION]],Retenciones!$A$1:$O$25,2,FALSE)</f>
        <v>3.5000000000000003E-2</v>
      </c>
      <c r="Z155" s="126" t="b">
        <f>+OR(COUNTIF(PROVEEDORES[[#This Row],[PROVEEDOR]],"*"&amp;'Palabra que no opera y Listas d'!$A$2&amp;"*"))</f>
        <v>1</v>
      </c>
    </row>
    <row r="156" spans="1:26" ht="27.75" customHeight="1" x14ac:dyDescent="0.25">
      <c r="A156" s="141" t="str">
        <f>+IF(PROVEEDORES[[#This Row],[FECHA DE PAGO]]=PROVEEDORES[[#This Row],[FECHA DE FACTURACIÓN]],"DE CONTADO","CRÉDITO")</f>
        <v>CRÉDITO</v>
      </c>
      <c r="B156" s="138" t="b">
        <f>+IF((PROVEEDORES[[#This Row],[FECHA DE PAGO]]-PROVEEDORES[[#This Row],[FECHA DE FACTURACIÓN]])&gt;PROVEEDORES[[#This Row],[PLAZO Días]],"PAGO VENCIDO")</f>
        <v>0</v>
      </c>
      <c r="C156" s="138">
        <f>+VLOOKUP(PROVEEDORES[[#This Row],[PROVEEDOR]],TERCEROS_INFO[#All],2,FALSE)</f>
        <v>30</v>
      </c>
      <c r="D156" s="139">
        <f>+SUMIFS(PROVEEDORES[Total],PROVEEDORES[PROVEEDOR],PROVEEDORES[[#This Row],[PROVEEDOR]],PROVEEDORES[FECHA DE PAGO],"")</f>
        <v>0</v>
      </c>
      <c r="E156" s="140"/>
      <c r="F156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56" s="127">
        <v>45014</v>
      </c>
      <c r="H156" s="123" t="s">
        <v>383</v>
      </c>
      <c r="I156" s="127">
        <v>44986</v>
      </c>
      <c r="J156" s="124" t="s">
        <v>646</v>
      </c>
      <c r="K156" s="124" t="s">
        <v>1530</v>
      </c>
      <c r="L156" s="124"/>
      <c r="M156" s="125">
        <v>92201</v>
      </c>
      <c r="N156" s="148">
        <v>17518.189999999999</v>
      </c>
      <c r="O156" s="148">
        <v>0</v>
      </c>
      <c r="P156" s="149">
        <v>3.5000000000000003E-2</v>
      </c>
      <c r="Q156" s="148">
        <v>3227.0350000000003</v>
      </c>
      <c r="R156" s="150">
        <v>106492.155</v>
      </c>
      <c r="S1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" s="135">
        <f ca="1">+IF(PROVEEDORES[[#This Row],[FECHA DE PAGO]]=0,TODAY()-PROVEEDORES[[#This Row],[FECHA DE FACTURACIÓN]]-PROVEEDORES[[#This Row],[PLAZO Días]],0)</f>
        <v>0</v>
      </c>
      <c r="U156" s="135" t="str">
        <f>+VLOOKUP(PROVEEDORES[[#This Row],[PROVEEDOR]],Terceros!$A:$D,4,FALSE)</f>
        <v>3,5% sin base</v>
      </c>
      <c r="V156" s="135">
        <f>+YEAR(PROVEEDORES[[#This Row],[FECHA DE FACTURACIÓN]])</f>
        <v>2023</v>
      </c>
      <c r="W156" s="135">
        <f>+MATCH(PROVEEDORES[[#This Row],[año facturado]],Retenciones!$1:$1,0)</f>
        <v>6</v>
      </c>
      <c r="X156" s="136">
        <f>+VLOOKUP(PROVEEDORES[[#This Row],[ID RETENCION]],Retenciones!$A$1:$O$25,PROVEEDORES[[#This Row],[indicador de columna]],FALSE)</f>
        <v>0</v>
      </c>
      <c r="Y156" s="137">
        <f>+VLOOKUP(PROVEEDORES[[#This Row],[ID RETENCION]],Retenciones!$A$1:$O$25,2,FALSE)</f>
        <v>3.5000000000000003E-2</v>
      </c>
      <c r="Z156" s="126" t="b">
        <f>+OR(COUNTIF(PROVEEDORES[[#This Row],[PROVEEDOR]],"*"&amp;'Palabra que no opera y Listas d'!$A$2&amp;"*"))</f>
        <v>1</v>
      </c>
    </row>
    <row r="157" spans="1:26" ht="27.75" customHeight="1" x14ac:dyDescent="0.25">
      <c r="A157" s="141" t="str">
        <f>+IF(PROVEEDORES[[#This Row],[FECHA DE PAGO]]=PROVEEDORES[[#This Row],[FECHA DE FACTURACIÓN]],"DE CONTADO","CRÉDITO")</f>
        <v>CRÉDITO</v>
      </c>
      <c r="B157" s="138" t="b">
        <f>+IF((PROVEEDORES[[#This Row],[FECHA DE PAGO]]-PROVEEDORES[[#This Row],[FECHA DE FACTURACIÓN]])&gt;PROVEEDORES[[#This Row],[PLAZO Días]],"PAGO VENCIDO")</f>
        <v>0</v>
      </c>
      <c r="C157" s="138">
        <f>+VLOOKUP(PROVEEDORES[[#This Row],[PROVEEDOR]],TERCEROS_INFO[#All],2,FALSE)</f>
        <v>30</v>
      </c>
      <c r="D157" s="139">
        <f>+SUMIFS(PROVEEDORES[Total],PROVEEDORES[PROVEEDOR],PROVEEDORES[[#This Row],[PROVEEDOR]],PROVEEDORES[FECHA DE PAGO],"")</f>
        <v>0</v>
      </c>
      <c r="E157" s="140"/>
      <c r="F157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57" s="127">
        <v>45014</v>
      </c>
      <c r="H157" s="123" t="s">
        <v>383</v>
      </c>
      <c r="I157" s="127">
        <v>44986</v>
      </c>
      <c r="J157" s="124" t="s">
        <v>647</v>
      </c>
      <c r="K157" s="124" t="s">
        <v>1530</v>
      </c>
      <c r="L157" s="124"/>
      <c r="M157" s="125">
        <v>-7783</v>
      </c>
      <c r="N157" s="148">
        <v>-1478.77</v>
      </c>
      <c r="O157" s="148">
        <v>0</v>
      </c>
      <c r="P157" s="149">
        <v>0</v>
      </c>
      <c r="Q157" s="148">
        <v>0</v>
      </c>
      <c r="R157" s="150">
        <v>-9261.77</v>
      </c>
      <c r="S1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" s="135">
        <f ca="1">+IF(PROVEEDORES[[#This Row],[FECHA DE PAGO]]=0,TODAY()-PROVEEDORES[[#This Row],[FECHA DE FACTURACIÓN]]-PROVEEDORES[[#This Row],[PLAZO Días]],0)</f>
        <v>0</v>
      </c>
      <c r="U157" s="135" t="str">
        <f>+VLOOKUP(PROVEEDORES[[#This Row],[PROVEEDOR]],Terceros!$A:$D,4,FALSE)</f>
        <v>3,5% sin base</v>
      </c>
      <c r="V157" s="135">
        <f>+YEAR(PROVEEDORES[[#This Row],[FECHA DE FACTURACIÓN]])</f>
        <v>2023</v>
      </c>
      <c r="W157" s="135">
        <f>+MATCH(PROVEEDORES[[#This Row],[año facturado]],Retenciones!$1:$1,0)</f>
        <v>6</v>
      </c>
      <c r="X157" s="136">
        <f>+VLOOKUP(PROVEEDORES[[#This Row],[ID RETENCION]],Retenciones!$A$1:$O$25,PROVEEDORES[[#This Row],[indicador de columna]],FALSE)</f>
        <v>0</v>
      </c>
      <c r="Y157" s="137">
        <f>+VLOOKUP(PROVEEDORES[[#This Row],[ID RETENCION]],Retenciones!$A$1:$O$25,2,FALSE)</f>
        <v>3.5000000000000003E-2</v>
      </c>
      <c r="Z157" s="126" t="b">
        <f>+OR(COUNTIF(PROVEEDORES[[#This Row],[PROVEEDOR]],"*"&amp;'Palabra que no opera y Listas d'!$A$2&amp;"*"))</f>
        <v>1</v>
      </c>
    </row>
    <row r="158" spans="1:26" ht="27.75" customHeight="1" x14ac:dyDescent="0.25">
      <c r="A158" s="141" t="str">
        <f>+IF(PROVEEDORES[[#This Row],[FECHA DE PAGO]]=PROVEEDORES[[#This Row],[FECHA DE FACTURACIÓN]],"DE CONTADO","CRÉDITO")</f>
        <v>CRÉDITO</v>
      </c>
      <c r="B158" s="138" t="str">
        <f>+IF((PROVEEDORES[[#This Row],[FECHA DE PAGO]]-PROVEEDORES[[#This Row],[FECHA DE FACTURACIÓN]])&gt;PROVEEDORES[[#This Row],[PLAZO Días]],"PAGO VENCIDO")</f>
        <v>PAGO VENCIDO</v>
      </c>
      <c r="C158" s="138">
        <f>+VLOOKUP(PROVEEDORES[[#This Row],[PROVEEDOR]],TERCEROS_INFO[#All],2,FALSE)</f>
        <v>10</v>
      </c>
      <c r="D158" s="139">
        <f>+SUMIFS(PROVEEDORES[Total],PROVEEDORES[PROVEEDOR],PROVEEDORES[[#This Row],[PROVEEDOR]],PROVEEDORES[FECHA DE PAGO],"")</f>
        <v>0</v>
      </c>
      <c r="E158" s="140"/>
      <c r="F158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58" s="127">
        <v>45014</v>
      </c>
      <c r="H158" s="123" t="s">
        <v>482</v>
      </c>
      <c r="I158" s="127">
        <v>44986</v>
      </c>
      <c r="J158" s="124" t="s">
        <v>644</v>
      </c>
      <c r="K158" s="124" t="s">
        <v>1530</v>
      </c>
      <c r="L158" s="124"/>
      <c r="M158" s="125">
        <v>4730000</v>
      </c>
      <c r="N158" s="148">
        <v>898700</v>
      </c>
      <c r="O158" s="148">
        <v>0</v>
      </c>
      <c r="P158" s="149">
        <v>0</v>
      </c>
      <c r="Q158" s="148">
        <v>0</v>
      </c>
      <c r="R158" s="150">
        <v>5628700</v>
      </c>
      <c r="S1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" s="135">
        <f ca="1">+IF(PROVEEDORES[[#This Row],[FECHA DE PAGO]]=0,TODAY()-PROVEEDORES[[#This Row],[FECHA DE FACTURACIÓN]]-PROVEEDORES[[#This Row],[PLAZO Días]],0)</f>
        <v>0</v>
      </c>
      <c r="U158" s="135">
        <f>+VLOOKUP(PROVEEDORES[[#This Row],[PROVEEDOR]],Terceros!$A:$D,4,FALSE)</f>
        <v>0</v>
      </c>
      <c r="V158" s="135">
        <f>+YEAR(PROVEEDORES[[#This Row],[FECHA DE FACTURACIÓN]])</f>
        <v>2023</v>
      </c>
      <c r="W158" s="135">
        <f>+MATCH(PROVEEDORES[[#This Row],[año facturado]],Retenciones!$1:$1,0)</f>
        <v>6</v>
      </c>
      <c r="X158" s="136">
        <f>+VLOOKUP(PROVEEDORES[[#This Row],[ID RETENCION]],Retenciones!$A$1:$O$25,PROVEEDORES[[#This Row],[indicador de columna]],FALSE)</f>
        <v>0</v>
      </c>
      <c r="Y158" s="137">
        <f>+VLOOKUP(PROVEEDORES[[#This Row],[ID RETENCION]],Retenciones!$A$1:$O$25,2,FALSE)</f>
        <v>0</v>
      </c>
      <c r="Z158" s="126" t="b">
        <f>+OR(COUNTIF(PROVEEDORES[[#This Row],[PROVEEDOR]],"*"&amp;'Palabra que no opera y Listas d'!$A$2&amp;"*"))</f>
        <v>1</v>
      </c>
    </row>
    <row r="159" spans="1:26" ht="27.75" customHeight="1" x14ac:dyDescent="0.25">
      <c r="A159" s="141" t="str">
        <f>+IF(PROVEEDORES[[#This Row],[FECHA DE PAGO]]=PROVEEDORES[[#This Row],[FECHA DE FACTURACIÓN]],"DE CONTADO","CRÉDITO")</f>
        <v>CRÉDITO</v>
      </c>
      <c r="B159" s="138" t="b">
        <f>+IF((PROVEEDORES[[#This Row],[FECHA DE PAGO]]-PROVEEDORES[[#This Row],[FECHA DE FACTURACIÓN]])&gt;PROVEEDORES[[#This Row],[PLAZO Días]],"PAGO VENCIDO")</f>
        <v>0</v>
      </c>
      <c r="C159" s="138">
        <f>+VLOOKUP(PROVEEDORES[[#This Row],[PROVEEDOR]],TERCEROS_INFO[#All],2,FALSE)</f>
        <v>30</v>
      </c>
      <c r="D159" s="139">
        <f>+SUMIFS(PROVEEDORES[Total],PROVEEDORES[PROVEEDOR],PROVEEDORES[[#This Row],[PROVEEDOR]],PROVEEDORES[FECHA DE PAGO],"")</f>
        <v>0</v>
      </c>
      <c r="E159" s="140"/>
      <c r="F159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159" s="127">
        <v>45014</v>
      </c>
      <c r="H159" s="123" t="s">
        <v>373</v>
      </c>
      <c r="I159" s="127">
        <v>44988</v>
      </c>
      <c r="J159" s="124" t="s">
        <v>642</v>
      </c>
      <c r="K159" s="124" t="s">
        <v>1530</v>
      </c>
      <c r="L159" s="124"/>
      <c r="M159" s="125">
        <v>1840056</v>
      </c>
      <c r="N159" s="148">
        <v>0</v>
      </c>
      <c r="O159" s="148">
        <v>0</v>
      </c>
      <c r="P159" s="149">
        <v>0</v>
      </c>
      <c r="Q159" s="148">
        <v>0</v>
      </c>
      <c r="R159" s="150">
        <v>1840056</v>
      </c>
      <c r="S1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" s="135">
        <f ca="1">+IF(PROVEEDORES[[#This Row],[FECHA DE PAGO]]=0,TODAY()-PROVEEDORES[[#This Row],[FECHA DE FACTURACIÓN]]-PROVEEDORES[[#This Row],[PLAZO Días]],0)</f>
        <v>0</v>
      </c>
      <c r="U159" s="135">
        <f>+VLOOKUP(PROVEEDORES[[#This Row],[PROVEEDOR]],Terceros!$A:$D,4,FALSE)</f>
        <v>0</v>
      </c>
      <c r="V159" s="135">
        <f>+YEAR(PROVEEDORES[[#This Row],[FECHA DE FACTURACIÓN]])</f>
        <v>2023</v>
      </c>
      <c r="W159" s="135">
        <f>+MATCH(PROVEEDORES[[#This Row],[año facturado]],Retenciones!$1:$1,0)</f>
        <v>6</v>
      </c>
      <c r="X159" s="136">
        <f>+VLOOKUP(PROVEEDORES[[#This Row],[ID RETENCION]],Retenciones!$A$1:$O$25,PROVEEDORES[[#This Row],[indicador de columna]],FALSE)</f>
        <v>0</v>
      </c>
      <c r="Y159" s="137">
        <f>+VLOOKUP(PROVEEDORES[[#This Row],[ID RETENCION]],Retenciones!$A$1:$O$25,2,FALSE)</f>
        <v>0</v>
      </c>
      <c r="Z159" s="126" t="b">
        <f>+OR(COUNTIF(PROVEEDORES[[#This Row],[PROVEEDOR]],"*"&amp;'Palabra que no opera y Listas d'!$A$2&amp;"*"))</f>
        <v>1</v>
      </c>
    </row>
    <row r="160" spans="1:26" ht="27.75" customHeight="1" x14ac:dyDescent="0.25">
      <c r="A160" s="141" t="str">
        <f>+IF(PROVEEDORES[[#This Row],[FECHA DE PAGO]]=PROVEEDORES[[#This Row],[FECHA DE FACTURACIÓN]],"DE CONTADO","CRÉDITO")</f>
        <v>CRÉDITO</v>
      </c>
      <c r="B160" s="138" t="b">
        <f>+IF((PROVEEDORES[[#This Row],[FECHA DE PAGO]]-PROVEEDORES[[#This Row],[FECHA DE FACTURACIÓN]])&gt;PROVEEDORES[[#This Row],[PLAZO Días]],"PAGO VENCIDO")</f>
        <v>0</v>
      </c>
      <c r="C160" s="138">
        <f>+VLOOKUP(PROVEEDORES[[#This Row],[PROVEEDOR]],TERCEROS_INFO[#All],2,FALSE)</f>
        <v>60</v>
      </c>
      <c r="D160" s="139">
        <f>+SUMIFS(PROVEEDORES[Total],PROVEEDORES[PROVEEDOR],PROVEEDORES[[#This Row],[PROVEEDOR]],PROVEEDORES[FECHA DE PAGO],"")</f>
        <v>0</v>
      </c>
      <c r="E160" s="140"/>
      <c r="F160" s="138">
        <f>+VLOOKUP(PROVEEDORES[[#This Row],[PROVEEDOR]],
                       Terceros!$A:$F,
                       5,
                       FALSE)</f>
        <v>0</v>
      </c>
      <c r="G160" s="127">
        <v>45016</v>
      </c>
      <c r="H160" s="123" t="s">
        <v>445</v>
      </c>
      <c r="I160" s="127">
        <v>44970</v>
      </c>
      <c r="J160" s="124" t="s">
        <v>598</v>
      </c>
      <c r="K160" s="124" t="s">
        <v>1530</v>
      </c>
      <c r="L160" s="124"/>
      <c r="M160" s="125">
        <v>-2521008</v>
      </c>
      <c r="N160" s="148">
        <v>-478991.52</v>
      </c>
      <c r="O160" s="148">
        <v>0</v>
      </c>
      <c r="P160" s="149">
        <v>0</v>
      </c>
      <c r="Q160" s="148">
        <v>0</v>
      </c>
      <c r="R160" s="150">
        <v>-2999999.52</v>
      </c>
      <c r="S1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" s="135">
        <f ca="1">+IF(PROVEEDORES[[#This Row],[FECHA DE PAGO]]=0,TODAY()-PROVEEDORES[[#This Row],[FECHA DE FACTURACIÓN]]-PROVEEDORES[[#This Row],[PLAZO Días]],0)</f>
        <v>0</v>
      </c>
      <c r="U160" s="135">
        <f>+VLOOKUP(PROVEEDORES[[#This Row],[PROVEEDOR]],Terceros!$A:$D,4,FALSE)</f>
        <v>0</v>
      </c>
      <c r="V160" s="135">
        <f>+YEAR(PROVEEDORES[[#This Row],[FECHA DE FACTURACIÓN]])</f>
        <v>2023</v>
      </c>
      <c r="W160" s="135">
        <f>+MATCH(PROVEEDORES[[#This Row],[año facturado]],Retenciones!$1:$1,0)</f>
        <v>6</v>
      </c>
      <c r="X160" s="136">
        <f>+VLOOKUP(PROVEEDORES[[#This Row],[ID RETENCION]],Retenciones!$A$1:$O$25,PROVEEDORES[[#This Row],[indicador de columna]],FALSE)</f>
        <v>0</v>
      </c>
      <c r="Y160" s="137">
        <f>+VLOOKUP(PROVEEDORES[[#This Row],[ID RETENCION]],Retenciones!$A$1:$O$25,2,FALSE)</f>
        <v>0</v>
      </c>
      <c r="Z160" s="126" t="b">
        <f>+OR(COUNTIF(PROVEEDORES[[#This Row],[PROVEEDOR]],"*"&amp;'Palabra que no opera y Listas d'!$A$2&amp;"*"))</f>
        <v>1</v>
      </c>
    </row>
    <row r="161" spans="1:26" ht="27.75" customHeight="1" x14ac:dyDescent="0.25">
      <c r="A161" s="141" t="str">
        <f>+IF(PROVEEDORES[[#This Row],[FECHA DE PAGO]]=PROVEEDORES[[#This Row],[FECHA DE FACTURACIÓN]],"DE CONTADO","CRÉDITO")</f>
        <v>CRÉDITO</v>
      </c>
      <c r="B161" s="138" t="b">
        <f>+IF((PROVEEDORES[[#This Row],[FECHA DE PAGO]]-PROVEEDORES[[#This Row],[FECHA DE FACTURACIÓN]])&gt;PROVEEDORES[[#This Row],[PLAZO Días]],"PAGO VENCIDO")</f>
        <v>0</v>
      </c>
      <c r="C161" s="138">
        <f>+VLOOKUP(PROVEEDORES[[#This Row],[PROVEEDOR]],TERCEROS_INFO[#All],2,FALSE)</f>
        <v>60</v>
      </c>
      <c r="D161" s="139">
        <f>+SUMIFS(PROVEEDORES[Total],PROVEEDORES[PROVEEDOR],PROVEEDORES[[#This Row],[PROVEEDOR]],PROVEEDORES[FECHA DE PAGO],"")</f>
        <v>0</v>
      </c>
      <c r="E161" s="140"/>
      <c r="F161" s="138">
        <f>+VLOOKUP(PROVEEDORES[[#This Row],[PROVEEDOR]],
                       Terceros!$A:$F,
                       5,
                       FALSE)</f>
        <v>0</v>
      </c>
      <c r="G161" s="127">
        <v>45016</v>
      </c>
      <c r="H161" s="123" t="s">
        <v>445</v>
      </c>
      <c r="I161" s="127">
        <v>44980</v>
      </c>
      <c r="J161" s="124" t="s">
        <v>598</v>
      </c>
      <c r="K161" s="124" t="s">
        <v>1530</v>
      </c>
      <c r="L161" s="124"/>
      <c r="M161" s="125">
        <v>-2689076</v>
      </c>
      <c r="N161" s="148">
        <v>-510924.44</v>
      </c>
      <c r="O161" s="148">
        <v>0</v>
      </c>
      <c r="P161" s="149">
        <v>0</v>
      </c>
      <c r="Q161" s="148">
        <v>0</v>
      </c>
      <c r="R161" s="150">
        <v>-3200000.44</v>
      </c>
      <c r="S1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" s="135">
        <f ca="1">+IF(PROVEEDORES[[#This Row],[FECHA DE PAGO]]=0,TODAY()-PROVEEDORES[[#This Row],[FECHA DE FACTURACIÓN]]-PROVEEDORES[[#This Row],[PLAZO Días]],0)</f>
        <v>0</v>
      </c>
      <c r="U161" s="135">
        <f>+VLOOKUP(PROVEEDORES[[#This Row],[PROVEEDOR]],Terceros!$A:$D,4,FALSE)</f>
        <v>0</v>
      </c>
      <c r="V161" s="135">
        <f>+YEAR(PROVEEDORES[[#This Row],[FECHA DE FACTURACIÓN]])</f>
        <v>2023</v>
      </c>
      <c r="W161" s="135">
        <f>+MATCH(PROVEEDORES[[#This Row],[año facturado]],Retenciones!$1:$1,0)</f>
        <v>6</v>
      </c>
      <c r="X161" s="136">
        <f>+VLOOKUP(PROVEEDORES[[#This Row],[ID RETENCION]],Retenciones!$A$1:$O$25,PROVEEDORES[[#This Row],[indicador de columna]],FALSE)</f>
        <v>0</v>
      </c>
      <c r="Y161" s="137">
        <f>+VLOOKUP(PROVEEDORES[[#This Row],[ID RETENCION]],Retenciones!$A$1:$O$25,2,FALSE)</f>
        <v>0</v>
      </c>
      <c r="Z161" s="126" t="b">
        <f>+OR(COUNTIF(PROVEEDORES[[#This Row],[PROVEEDOR]],"*"&amp;'Palabra que no opera y Listas d'!$A$2&amp;"*"))</f>
        <v>1</v>
      </c>
    </row>
    <row r="162" spans="1:26" ht="27.75" customHeight="1" x14ac:dyDescent="0.25">
      <c r="A162" s="141" t="str">
        <f>+IF(PROVEEDORES[[#This Row],[FECHA DE PAGO]]=PROVEEDORES[[#This Row],[FECHA DE FACTURACIÓN]],"DE CONTADO","CRÉDITO")</f>
        <v>CRÉDITO</v>
      </c>
      <c r="B162" s="138" t="b">
        <f>+IF((PROVEEDORES[[#This Row],[FECHA DE PAGO]]-PROVEEDORES[[#This Row],[FECHA DE FACTURACIÓN]])&gt;PROVEEDORES[[#This Row],[PLAZO Días]],"PAGO VENCIDO")</f>
        <v>0</v>
      </c>
      <c r="C162" s="138">
        <f>+VLOOKUP(PROVEEDORES[[#This Row],[PROVEEDOR]],TERCEROS_INFO[#All],2,FALSE)</f>
        <v>60</v>
      </c>
      <c r="D162" s="139">
        <f>+SUMIFS(PROVEEDORES[Total],PROVEEDORES[PROVEEDOR],PROVEEDORES[[#This Row],[PROVEEDOR]],PROVEEDORES[FECHA DE PAGO],"")</f>
        <v>0</v>
      </c>
      <c r="E162" s="140"/>
      <c r="F162" s="138">
        <f>+VLOOKUP(PROVEEDORES[[#This Row],[PROVEEDOR]],
                       Terceros!$A:$F,
                       5,
                       FALSE)</f>
        <v>0</v>
      </c>
      <c r="G162" s="127">
        <v>45016</v>
      </c>
      <c r="H162" s="123" t="s">
        <v>445</v>
      </c>
      <c r="I162" s="127">
        <v>44984</v>
      </c>
      <c r="J162" s="124" t="s">
        <v>598</v>
      </c>
      <c r="K162" s="124" t="s">
        <v>1530</v>
      </c>
      <c r="L162" s="124"/>
      <c r="M162" s="125">
        <v>-840336</v>
      </c>
      <c r="N162" s="148">
        <v>-159663.84</v>
      </c>
      <c r="O162" s="148">
        <v>0</v>
      </c>
      <c r="P162" s="149">
        <v>0</v>
      </c>
      <c r="Q162" s="148">
        <v>0</v>
      </c>
      <c r="R162" s="150">
        <v>-999999.84</v>
      </c>
      <c r="S1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" s="135">
        <f ca="1">+IF(PROVEEDORES[[#This Row],[FECHA DE PAGO]]=0,TODAY()-PROVEEDORES[[#This Row],[FECHA DE FACTURACIÓN]]-PROVEEDORES[[#This Row],[PLAZO Días]],0)</f>
        <v>0</v>
      </c>
      <c r="U162" s="135">
        <f>+VLOOKUP(PROVEEDORES[[#This Row],[PROVEEDOR]],Terceros!$A:$D,4,FALSE)</f>
        <v>0</v>
      </c>
      <c r="V162" s="135">
        <f>+YEAR(PROVEEDORES[[#This Row],[FECHA DE FACTURACIÓN]])</f>
        <v>2023</v>
      </c>
      <c r="W162" s="135">
        <f>+MATCH(PROVEEDORES[[#This Row],[año facturado]],Retenciones!$1:$1,0)</f>
        <v>6</v>
      </c>
      <c r="X162" s="136">
        <f>+VLOOKUP(PROVEEDORES[[#This Row],[ID RETENCION]],Retenciones!$A$1:$O$25,PROVEEDORES[[#This Row],[indicador de columna]],FALSE)</f>
        <v>0</v>
      </c>
      <c r="Y162" s="137">
        <f>+VLOOKUP(PROVEEDORES[[#This Row],[ID RETENCION]],Retenciones!$A$1:$O$25,2,FALSE)</f>
        <v>0</v>
      </c>
      <c r="Z162" s="126" t="b">
        <f>+OR(COUNTIF(PROVEEDORES[[#This Row],[PROVEEDOR]],"*"&amp;'Palabra que no opera y Listas d'!$A$2&amp;"*"))</f>
        <v>1</v>
      </c>
    </row>
    <row r="163" spans="1:26" ht="27.75" customHeight="1" x14ac:dyDescent="0.25">
      <c r="A163" s="141" t="str">
        <f>+IF(PROVEEDORES[[#This Row],[FECHA DE PAGO]]=PROVEEDORES[[#This Row],[FECHA DE FACTURACIÓN]],"DE CONTADO","CRÉDITO")</f>
        <v>CRÉDITO</v>
      </c>
      <c r="B163" s="138" t="b">
        <f>+IF((PROVEEDORES[[#This Row],[FECHA DE PAGO]]-PROVEEDORES[[#This Row],[FECHA DE FACTURACIÓN]])&gt;PROVEEDORES[[#This Row],[PLAZO Días]],"PAGO VENCIDO")</f>
        <v>0</v>
      </c>
      <c r="C163" s="138">
        <f>+VLOOKUP(PROVEEDORES[[#This Row],[PROVEEDOR]],TERCEROS_INFO[#All],2,FALSE)</f>
        <v>60</v>
      </c>
      <c r="D163" s="139">
        <f>+SUMIFS(PROVEEDORES[Total],PROVEEDORES[PROVEEDOR],PROVEEDORES[[#This Row],[PROVEEDOR]],PROVEEDORES[FECHA DE PAGO],"")</f>
        <v>0</v>
      </c>
      <c r="E163" s="140"/>
      <c r="F163" s="138">
        <f>+VLOOKUP(PROVEEDORES[[#This Row],[PROVEEDOR]],
                       Terceros!$A:$F,
                       5,
                       FALSE)</f>
        <v>0</v>
      </c>
      <c r="G163" s="127">
        <v>45016</v>
      </c>
      <c r="H163" s="123" t="s">
        <v>445</v>
      </c>
      <c r="I163" s="127">
        <v>44985</v>
      </c>
      <c r="J163" s="124" t="s">
        <v>598</v>
      </c>
      <c r="K163" s="124" t="s">
        <v>1530</v>
      </c>
      <c r="L163" s="124"/>
      <c r="M163" s="125">
        <v>-840336</v>
      </c>
      <c r="N163" s="148">
        <v>-159663.84</v>
      </c>
      <c r="O163" s="148">
        <v>0</v>
      </c>
      <c r="P163" s="149">
        <v>0</v>
      </c>
      <c r="Q163" s="148">
        <v>0</v>
      </c>
      <c r="R163" s="150">
        <v>-999999.84</v>
      </c>
      <c r="S1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" s="135">
        <f ca="1">+IF(PROVEEDORES[[#This Row],[FECHA DE PAGO]]=0,TODAY()-PROVEEDORES[[#This Row],[FECHA DE FACTURACIÓN]]-PROVEEDORES[[#This Row],[PLAZO Días]],0)</f>
        <v>0</v>
      </c>
      <c r="U163" s="135">
        <f>+VLOOKUP(PROVEEDORES[[#This Row],[PROVEEDOR]],Terceros!$A:$D,4,FALSE)</f>
        <v>0</v>
      </c>
      <c r="V163" s="135">
        <f>+YEAR(PROVEEDORES[[#This Row],[FECHA DE FACTURACIÓN]])</f>
        <v>2023</v>
      </c>
      <c r="W163" s="135">
        <f>+MATCH(PROVEEDORES[[#This Row],[año facturado]],Retenciones!$1:$1,0)</f>
        <v>6</v>
      </c>
      <c r="X163" s="136">
        <f>+VLOOKUP(PROVEEDORES[[#This Row],[ID RETENCION]],Retenciones!$A$1:$O$25,PROVEEDORES[[#This Row],[indicador de columna]],FALSE)</f>
        <v>0</v>
      </c>
      <c r="Y163" s="137">
        <f>+VLOOKUP(PROVEEDORES[[#This Row],[ID RETENCION]],Retenciones!$A$1:$O$25,2,FALSE)</f>
        <v>0</v>
      </c>
      <c r="Z163" s="126" t="b">
        <f>+OR(COUNTIF(PROVEEDORES[[#This Row],[PROVEEDOR]],"*"&amp;'Palabra que no opera y Listas d'!$A$2&amp;"*"))</f>
        <v>1</v>
      </c>
    </row>
    <row r="164" spans="1:26" ht="27.75" customHeight="1" x14ac:dyDescent="0.25">
      <c r="A164" s="141" t="str">
        <f>+IF(PROVEEDORES[[#This Row],[FECHA DE PAGO]]=PROVEEDORES[[#This Row],[FECHA DE FACTURACIÓN]],"DE CONTADO","CRÉDITO")</f>
        <v>CRÉDITO</v>
      </c>
      <c r="B164" s="138" t="b">
        <f>+IF((PROVEEDORES[[#This Row],[FECHA DE PAGO]]-PROVEEDORES[[#This Row],[FECHA DE FACTURACIÓN]])&gt;PROVEEDORES[[#This Row],[PLAZO Días]],"PAGO VENCIDO")</f>
        <v>0</v>
      </c>
      <c r="C164" s="138">
        <f>+VLOOKUP(PROVEEDORES[[#This Row],[PROVEEDOR]],TERCEROS_INFO[#All],2,FALSE)</f>
        <v>60</v>
      </c>
      <c r="D164" s="139">
        <f>+SUMIFS(PROVEEDORES[Total],PROVEEDORES[PROVEEDOR],PROVEEDORES[[#This Row],[PROVEEDOR]],PROVEEDORES[FECHA DE PAGO],"")</f>
        <v>0</v>
      </c>
      <c r="E164" s="140"/>
      <c r="F164" s="138">
        <f>+VLOOKUP(PROVEEDORES[[#This Row],[PROVEEDOR]],
                       Terceros!$A:$F,
                       5,
                       FALSE)</f>
        <v>0</v>
      </c>
      <c r="G164" s="127">
        <v>45016</v>
      </c>
      <c r="H164" s="123" t="s">
        <v>445</v>
      </c>
      <c r="I164" s="127">
        <v>45009</v>
      </c>
      <c r="J164" s="124" t="s">
        <v>598</v>
      </c>
      <c r="K164" s="124" t="s">
        <v>1530</v>
      </c>
      <c r="L164" s="124"/>
      <c r="M164" s="125">
        <v>-1059244</v>
      </c>
      <c r="N164" s="148">
        <v>-201256.36000000002</v>
      </c>
      <c r="O164" s="148">
        <v>0</v>
      </c>
      <c r="P164" s="149">
        <v>0</v>
      </c>
      <c r="Q164" s="148">
        <v>0</v>
      </c>
      <c r="R164" s="150">
        <v>-1260500.3600000001</v>
      </c>
      <c r="S1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" s="135">
        <f ca="1">+IF(PROVEEDORES[[#This Row],[FECHA DE PAGO]]=0,TODAY()-PROVEEDORES[[#This Row],[FECHA DE FACTURACIÓN]]-PROVEEDORES[[#This Row],[PLAZO Días]],0)</f>
        <v>0</v>
      </c>
      <c r="U164" s="135">
        <f>+VLOOKUP(PROVEEDORES[[#This Row],[PROVEEDOR]],Terceros!$A:$D,4,FALSE)</f>
        <v>0</v>
      </c>
      <c r="V164" s="135">
        <f>+YEAR(PROVEEDORES[[#This Row],[FECHA DE FACTURACIÓN]])</f>
        <v>2023</v>
      </c>
      <c r="W164" s="135">
        <f>+MATCH(PROVEEDORES[[#This Row],[año facturado]],Retenciones!$1:$1,0)</f>
        <v>6</v>
      </c>
      <c r="X164" s="136">
        <f>+VLOOKUP(PROVEEDORES[[#This Row],[ID RETENCION]],Retenciones!$A$1:$O$25,PROVEEDORES[[#This Row],[indicador de columna]],FALSE)</f>
        <v>0</v>
      </c>
      <c r="Y164" s="137">
        <f>+VLOOKUP(PROVEEDORES[[#This Row],[ID RETENCION]],Retenciones!$A$1:$O$25,2,FALSE)</f>
        <v>0</v>
      </c>
      <c r="Z164" s="126" t="b">
        <f>+OR(COUNTIF(PROVEEDORES[[#This Row],[PROVEEDOR]],"*"&amp;'Palabra que no opera y Listas d'!$A$2&amp;"*"))</f>
        <v>1</v>
      </c>
    </row>
    <row r="165" spans="1:26" ht="27.75" customHeight="1" x14ac:dyDescent="0.25">
      <c r="A165" s="141" t="str">
        <f>+IF(PROVEEDORES[[#This Row],[FECHA DE PAGO]]=PROVEEDORES[[#This Row],[FECHA DE FACTURACIÓN]],"DE CONTADO","CRÉDITO")</f>
        <v>DE CONTADO</v>
      </c>
      <c r="B165" s="138" t="b">
        <f>+IF((PROVEEDORES[[#This Row],[FECHA DE PAGO]]-PROVEEDORES[[#This Row],[FECHA DE FACTURACIÓN]])&gt;PROVEEDORES[[#This Row],[PLAZO Días]],"PAGO VENCIDO")</f>
        <v>0</v>
      </c>
      <c r="C165" s="138">
        <f>+VLOOKUP(PROVEEDORES[[#This Row],[PROVEEDOR]],TERCEROS_INFO[#All],2,FALSE)</f>
        <v>30</v>
      </c>
      <c r="D165" s="139">
        <f>+SUMIFS(PROVEEDORES[Total],PROVEEDORES[PROVEEDOR],PROVEEDORES[[#This Row],[PROVEEDOR]],PROVEEDORES[FECHA DE PAGO],"")</f>
        <v>0</v>
      </c>
      <c r="E165" s="140"/>
      <c r="F165" s="138" t="str">
        <f>+VLOOKUP(PROVEEDORES[[#This Row],[PROVEEDOR]],
                       Terceros!$A:$F,
                       5,
                       FALSE)</f>
        <v/>
      </c>
      <c r="G165" s="127">
        <v>45016</v>
      </c>
      <c r="H165" s="123" t="s">
        <v>525</v>
      </c>
      <c r="I165" s="127">
        <v>45016</v>
      </c>
      <c r="J165" s="124" t="s">
        <v>1531</v>
      </c>
      <c r="K165" s="124" t="s">
        <v>1530</v>
      </c>
      <c r="L165" s="124"/>
      <c r="M165" s="125">
        <v>0</v>
      </c>
      <c r="N165" s="148">
        <v>0</v>
      </c>
      <c r="O165" s="148">
        <v>0</v>
      </c>
      <c r="P165" s="149">
        <v>0</v>
      </c>
      <c r="Q165" s="148">
        <v>0</v>
      </c>
      <c r="R165" s="150">
        <v>0</v>
      </c>
      <c r="S1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" s="135">
        <f ca="1">+IF(PROVEEDORES[[#This Row],[FECHA DE PAGO]]=0,TODAY()-PROVEEDORES[[#This Row],[FECHA DE FACTURACIÓN]]-PROVEEDORES[[#This Row],[PLAZO Días]],0)</f>
        <v>0</v>
      </c>
      <c r="U165" s="135">
        <f>+VLOOKUP(PROVEEDORES[[#This Row],[PROVEEDOR]],Terceros!$A:$D,4,FALSE)</f>
        <v>0</v>
      </c>
      <c r="V165" s="135">
        <f>+YEAR(PROVEEDORES[[#This Row],[FECHA DE FACTURACIÓN]])</f>
        <v>2023</v>
      </c>
      <c r="W165" s="135">
        <f>+MATCH(PROVEEDORES[[#This Row],[año facturado]],Retenciones!$1:$1,0)</f>
        <v>6</v>
      </c>
      <c r="X165" s="136">
        <f>+VLOOKUP(PROVEEDORES[[#This Row],[ID RETENCION]],Retenciones!$A$1:$O$25,PROVEEDORES[[#This Row],[indicador de columna]],FALSE)</f>
        <v>0</v>
      </c>
      <c r="Y165" s="137">
        <f>+VLOOKUP(PROVEEDORES[[#This Row],[ID RETENCION]],Retenciones!$A$1:$O$25,2,FALSE)</f>
        <v>0</v>
      </c>
      <c r="Z165" s="126" t="b">
        <f>+OR(COUNTIF(PROVEEDORES[[#This Row],[PROVEEDOR]],"*"&amp;'Palabra que no opera y Listas d'!$A$2&amp;"*"))</f>
        <v>0</v>
      </c>
    </row>
    <row r="166" spans="1:26" ht="27.75" customHeight="1" x14ac:dyDescent="0.25">
      <c r="A166" s="141" t="str">
        <f>+IF(PROVEEDORES[[#This Row],[FECHA DE PAGO]]=PROVEEDORES[[#This Row],[FECHA DE FACTURACIÓN]],"DE CONTADO","CRÉDITO")</f>
        <v>DE CONTADO</v>
      </c>
      <c r="B166" s="138" t="b">
        <f>+IF((PROVEEDORES[[#This Row],[FECHA DE PAGO]]-PROVEEDORES[[#This Row],[FECHA DE FACTURACIÓN]])&gt;PROVEEDORES[[#This Row],[PLAZO Días]],"PAGO VENCIDO")</f>
        <v>0</v>
      </c>
      <c r="C166" s="138">
        <f>+VLOOKUP(PROVEEDORES[[#This Row],[PROVEEDOR]],TERCEROS_INFO[#All],2,FALSE)</f>
        <v>30</v>
      </c>
      <c r="D166" s="139">
        <f>+SUMIFS(PROVEEDORES[Total],PROVEEDORES[PROVEEDOR],PROVEEDORES[[#This Row],[PROVEEDOR]],PROVEEDORES[FECHA DE PAGO],"")</f>
        <v>0</v>
      </c>
      <c r="E166" s="140"/>
      <c r="F166" s="138" t="str">
        <f>+VLOOKUP(PROVEEDORES[[#This Row],[PROVEEDOR]],
                       Terceros!$A:$F,
                       5,
                       FALSE)</f>
        <v/>
      </c>
      <c r="G166" s="127">
        <v>45016</v>
      </c>
      <c r="H166" s="123" t="s">
        <v>525</v>
      </c>
      <c r="I166" s="127">
        <v>45016</v>
      </c>
      <c r="J166" s="124" t="s">
        <v>502</v>
      </c>
      <c r="K166" s="124" t="s">
        <v>1530</v>
      </c>
      <c r="L166" s="124"/>
      <c r="M166" s="125">
        <v>82500</v>
      </c>
      <c r="N166" s="148">
        <v>0</v>
      </c>
      <c r="O166" s="148">
        <v>0</v>
      </c>
      <c r="P166" s="149">
        <v>0</v>
      </c>
      <c r="Q166" s="148">
        <v>0</v>
      </c>
      <c r="R166" s="150">
        <v>82500</v>
      </c>
      <c r="S1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" s="135">
        <f ca="1">+IF(PROVEEDORES[[#This Row],[FECHA DE PAGO]]=0,TODAY()-PROVEEDORES[[#This Row],[FECHA DE FACTURACIÓN]]-PROVEEDORES[[#This Row],[PLAZO Días]],0)</f>
        <v>0</v>
      </c>
      <c r="U166" s="135">
        <f>+VLOOKUP(PROVEEDORES[[#This Row],[PROVEEDOR]],Terceros!$A:$D,4,FALSE)</f>
        <v>0</v>
      </c>
      <c r="V166" s="135">
        <f>+YEAR(PROVEEDORES[[#This Row],[FECHA DE FACTURACIÓN]])</f>
        <v>2023</v>
      </c>
      <c r="W166" s="135">
        <f>+MATCH(PROVEEDORES[[#This Row],[año facturado]],Retenciones!$1:$1,0)</f>
        <v>6</v>
      </c>
      <c r="X166" s="136">
        <f>+VLOOKUP(PROVEEDORES[[#This Row],[ID RETENCION]],Retenciones!$A$1:$O$25,PROVEEDORES[[#This Row],[indicador de columna]],FALSE)</f>
        <v>0</v>
      </c>
      <c r="Y166" s="137">
        <f>+VLOOKUP(PROVEEDORES[[#This Row],[ID RETENCION]],Retenciones!$A$1:$O$25,2,FALSE)</f>
        <v>0</v>
      </c>
      <c r="Z166" s="126" t="b">
        <f>+OR(COUNTIF(PROVEEDORES[[#This Row],[PROVEEDOR]],"*"&amp;'Palabra que no opera y Listas d'!$A$2&amp;"*"))</f>
        <v>0</v>
      </c>
    </row>
    <row r="167" spans="1:26" ht="27.75" customHeight="1" x14ac:dyDescent="0.25">
      <c r="A167" s="141" t="str">
        <f>+IF(PROVEEDORES[[#This Row],[FECHA DE PAGO]]=PROVEEDORES[[#This Row],[FECHA DE FACTURACIÓN]],"DE CONTADO","CRÉDITO")</f>
        <v>DE CONTADO</v>
      </c>
      <c r="B167" s="138" t="b">
        <f>+IF((PROVEEDORES[[#This Row],[FECHA DE PAGO]]-PROVEEDORES[[#This Row],[FECHA DE FACTURACIÓN]])&gt;PROVEEDORES[[#This Row],[PLAZO Días]],"PAGO VENCIDO")</f>
        <v>0</v>
      </c>
      <c r="C167" s="138">
        <f>+VLOOKUP(PROVEEDORES[[#This Row],[PROVEEDOR]],TERCEROS_INFO[#All],2,FALSE)</f>
        <v>30</v>
      </c>
      <c r="D167" s="139">
        <f>+SUMIFS(PROVEEDORES[Total],PROVEEDORES[PROVEEDOR],PROVEEDORES[[#This Row],[PROVEEDOR]],PROVEEDORES[FECHA DE PAGO],"")</f>
        <v>0</v>
      </c>
      <c r="E167" s="140"/>
      <c r="F167" s="138" t="str">
        <f>+VLOOKUP(PROVEEDORES[[#This Row],[PROVEEDOR]],
                       Terceros!$A:$F,
                       5,
                       FALSE)</f>
        <v/>
      </c>
      <c r="G167" s="127">
        <v>45016</v>
      </c>
      <c r="H167" s="123" t="s">
        <v>525</v>
      </c>
      <c r="I167" s="127">
        <v>45016</v>
      </c>
      <c r="J167" s="124" t="s">
        <v>476</v>
      </c>
      <c r="K167" s="124" t="s">
        <v>1530</v>
      </c>
      <c r="L167" s="124"/>
      <c r="M167" s="125">
        <v>562500</v>
      </c>
      <c r="N167" s="148">
        <v>0</v>
      </c>
      <c r="O167" s="148">
        <v>0</v>
      </c>
      <c r="P167" s="149">
        <v>0</v>
      </c>
      <c r="Q167" s="148">
        <v>0</v>
      </c>
      <c r="R167" s="150">
        <v>562500</v>
      </c>
      <c r="S1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7" s="135">
        <f ca="1">+IF(PROVEEDORES[[#This Row],[FECHA DE PAGO]]=0,TODAY()-PROVEEDORES[[#This Row],[FECHA DE FACTURACIÓN]]-PROVEEDORES[[#This Row],[PLAZO Días]],0)</f>
        <v>0</v>
      </c>
      <c r="U167" s="135">
        <f>+VLOOKUP(PROVEEDORES[[#This Row],[PROVEEDOR]],Terceros!$A:$D,4,FALSE)</f>
        <v>0</v>
      </c>
      <c r="V167" s="135">
        <f>+YEAR(PROVEEDORES[[#This Row],[FECHA DE FACTURACIÓN]])</f>
        <v>2023</v>
      </c>
      <c r="W167" s="135">
        <f>+MATCH(PROVEEDORES[[#This Row],[año facturado]],Retenciones!$1:$1,0)</f>
        <v>6</v>
      </c>
      <c r="X167" s="136">
        <f>+VLOOKUP(PROVEEDORES[[#This Row],[ID RETENCION]],Retenciones!$A$1:$O$25,PROVEEDORES[[#This Row],[indicador de columna]],FALSE)</f>
        <v>0</v>
      </c>
      <c r="Y167" s="137">
        <f>+VLOOKUP(PROVEEDORES[[#This Row],[ID RETENCION]],Retenciones!$A$1:$O$25,2,FALSE)</f>
        <v>0</v>
      </c>
      <c r="Z167" s="126" t="b">
        <f>+OR(COUNTIF(PROVEEDORES[[#This Row],[PROVEEDOR]],"*"&amp;'Palabra que no opera y Listas d'!$A$2&amp;"*"))</f>
        <v>0</v>
      </c>
    </row>
    <row r="168" spans="1:26" ht="27.75" customHeight="1" x14ac:dyDescent="0.25">
      <c r="A168" s="141" t="str">
        <f>+IF(PROVEEDORES[[#This Row],[FECHA DE PAGO]]=PROVEEDORES[[#This Row],[FECHA DE FACTURACIÓN]],"DE CONTADO","CRÉDITO")</f>
        <v>DE CONTADO</v>
      </c>
      <c r="B168" s="138" t="b">
        <f>+IF((PROVEEDORES[[#This Row],[FECHA DE PAGO]]-PROVEEDORES[[#This Row],[FECHA DE FACTURACIÓN]])&gt;PROVEEDORES[[#This Row],[PLAZO Días]],"PAGO VENCIDO")</f>
        <v>0</v>
      </c>
      <c r="C168" s="138">
        <f>+VLOOKUP(PROVEEDORES[[#This Row],[PROVEEDOR]],TERCEROS_INFO[#All],2,FALSE)</f>
        <v>30</v>
      </c>
      <c r="D168" s="139">
        <f>+SUMIFS(PROVEEDORES[Total],PROVEEDORES[PROVEEDOR],PROVEEDORES[[#This Row],[PROVEEDOR]],PROVEEDORES[FECHA DE PAGO],"")</f>
        <v>0</v>
      </c>
      <c r="E168" s="140"/>
      <c r="F168" s="138" t="str">
        <f>+VLOOKUP(PROVEEDORES[[#This Row],[PROVEEDOR]],
                       Terceros!$A:$F,
                       5,
                       FALSE)</f>
        <v/>
      </c>
      <c r="G168" s="127">
        <v>45016</v>
      </c>
      <c r="H168" s="123" t="s">
        <v>525</v>
      </c>
      <c r="I168" s="127">
        <v>45016</v>
      </c>
      <c r="J168" s="124" t="s">
        <v>480</v>
      </c>
      <c r="K168" s="124" t="s">
        <v>1530</v>
      </c>
      <c r="L168" s="124"/>
      <c r="M168" s="125">
        <v>645900</v>
      </c>
      <c r="N168" s="148">
        <v>0</v>
      </c>
      <c r="O168" s="148">
        <v>0</v>
      </c>
      <c r="P168" s="149">
        <v>0</v>
      </c>
      <c r="Q168" s="148">
        <v>0</v>
      </c>
      <c r="R168" s="150">
        <v>645900</v>
      </c>
      <c r="S1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8" s="135">
        <f ca="1">+IF(PROVEEDORES[[#This Row],[FECHA DE PAGO]]=0,TODAY()-PROVEEDORES[[#This Row],[FECHA DE FACTURACIÓN]]-PROVEEDORES[[#This Row],[PLAZO Días]],0)</f>
        <v>0</v>
      </c>
      <c r="U168" s="135">
        <f>+VLOOKUP(PROVEEDORES[[#This Row],[PROVEEDOR]],Terceros!$A:$D,4,FALSE)</f>
        <v>0</v>
      </c>
      <c r="V168" s="135">
        <f>+YEAR(PROVEEDORES[[#This Row],[FECHA DE FACTURACIÓN]])</f>
        <v>2023</v>
      </c>
      <c r="W168" s="135">
        <f>+MATCH(PROVEEDORES[[#This Row],[año facturado]],Retenciones!$1:$1,0)</f>
        <v>6</v>
      </c>
      <c r="X168" s="136">
        <f>+VLOOKUP(PROVEEDORES[[#This Row],[ID RETENCION]],Retenciones!$A$1:$O$25,PROVEEDORES[[#This Row],[indicador de columna]],FALSE)</f>
        <v>0</v>
      </c>
      <c r="Y168" s="137">
        <f>+VLOOKUP(PROVEEDORES[[#This Row],[ID RETENCION]],Retenciones!$A$1:$O$25,2,FALSE)</f>
        <v>0</v>
      </c>
      <c r="Z168" s="126" t="b">
        <f>+OR(COUNTIF(PROVEEDORES[[#This Row],[PROVEEDOR]],"*"&amp;'Palabra que no opera y Listas d'!$A$2&amp;"*"))</f>
        <v>0</v>
      </c>
    </row>
    <row r="169" spans="1:26" ht="27.75" customHeight="1" x14ac:dyDescent="0.25">
      <c r="A169" s="141" t="str">
        <f>+IF(PROVEEDORES[[#This Row],[FECHA DE PAGO]]=PROVEEDORES[[#This Row],[FECHA DE FACTURACIÓN]],"DE CONTADO","CRÉDITO")</f>
        <v>DE CONTADO</v>
      </c>
      <c r="B169" s="138" t="b">
        <f>+IF((PROVEEDORES[[#This Row],[FECHA DE PAGO]]-PROVEEDORES[[#This Row],[FECHA DE FACTURACIÓN]])&gt;PROVEEDORES[[#This Row],[PLAZO Días]],"PAGO VENCIDO")</f>
        <v>0</v>
      </c>
      <c r="C169" s="138">
        <f>+VLOOKUP(PROVEEDORES[[#This Row],[PROVEEDOR]],TERCEROS_INFO[#All],2,FALSE)</f>
        <v>30</v>
      </c>
      <c r="D169" s="139">
        <f>+SUMIFS(PROVEEDORES[Total],PROVEEDORES[PROVEEDOR],PROVEEDORES[[#This Row],[PROVEEDOR]],PROVEEDORES[FECHA DE PAGO],"")</f>
        <v>0</v>
      </c>
      <c r="E169" s="140"/>
      <c r="F169" s="138" t="str">
        <f>+VLOOKUP(PROVEEDORES[[#This Row],[PROVEEDOR]],
                       Terceros!$A:$F,
                       5,
                       FALSE)</f>
        <v/>
      </c>
      <c r="G169" s="127">
        <v>45016</v>
      </c>
      <c r="H169" s="123" t="s">
        <v>525</v>
      </c>
      <c r="I169" s="127">
        <v>45016</v>
      </c>
      <c r="J169" s="124" t="s">
        <v>477</v>
      </c>
      <c r="K169" s="124" t="s">
        <v>1530</v>
      </c>
      <c r="L169" s="124"/>
      <c r="M169" s="125">
        <v>4188400</v>
      </c>
      <c r="N169" s="148">
        <v>0</v>
      </c>
      <c r="O169" s="148">
        <v>0</v>
      </c>
      <c r="P169" s="149">
        <v>0</v>
      </c>
      <c r="Q169" s="148">
        <v>0</v>
      </c>
      <c r="R169" s="150">
        <v>4188400</v>
      </c>
      <c r="S1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9" s="135">
        <f ca="1">+IF(PROVEEDORES[[#This Row],[FECHA DE PAGO]]=0,TODAY()-PROVEEDORES[[#This Row],[FECHA DE FACTURACIÓN]]-PROVEEDORES[[#This Row],[PLAZO Días]],0)</f>
        <v>0</v>
      </c>
      <c r="U169" s="135">
        <f>+VLOOKUP(PROVEEDORES[[#This Row],[PROVEEDOR]],Terceros!$A:$D,4,FALSE)</f>
        <v>0</v>
      </c>
      <c r="V169" s="135">
        <f>+YEAR(PROVEEDORES[[#This Row],[FECHA DE FACTURACIÓN]])</f>
        <v>2023</v>
      </c>
      <c r="W169" s="135">
        <f>+MATCH(PROVEEDORES[[#This Row],[año facturado]],Retenciones!$1:$1,0)</f>
        <v>6</v>
      </c>
      <c r="X169" s="136">
        <f>+VLOOKUP(PROVEEDORES[[#This Row],[ID RETENCION]],Retenciones!$A$1:$O$25,PROVEEDORES[[#This Row],[indicador de columna]],FALSE)</f>
        <v>0</v>
      </c>
      <c r="Y169" s="137">
        <f>+VLOOKUP(PROVEEDORES[[#This Row],[ID RETENCION]],Retenciones!$A$1:$O$25,2,FALSE)</f>
        <v>0</v>
      </c>
      <c r="Z169" s="126" t="b">
        <f>+OR(COUNTIF(PROVEEDORES[[#This Row],[PROVEEDOR]],"*"&amp;'Palabra que no opera y Listas d'!$A$2&amp;"*"))</f>
        <v>0</v>
      </c>
    </row>
    <row r="170" spans="1:26" ht="27.75" customHeight="1" x14ac:dyDescent="0.25">
      <c r="A170" s="141" t="str">
        <f>+IF(PROVEEDORES[[#This Row],[FECHA DE PAGO]]=PROVEEDORES[[#This Row],[FECHA DE FACTURACIÓN]],"DE CONTADO","CRÉDITO")</f>
        <v>DE CONTADO</v>
      </c>
      <c r="B170" s="138" t="b">
        <f>+IF((PROVEEDORES[[#This Row],[FECHA DE PAGO]]-PROVEEDORES[[#This Row],[FECHA DE FACTURACIÓN]])&gt;PROVEEDORES[[#This Row],[PLAZO Días]],"PAGO VENCIDO")</f>
        <v>0</v>
      </c>
      <c r="C170" s="138">
        <f>+VLOOKUP(PROVEEDORES[[#This Row],[PROVEEDOR]],TERCEROS_INFO[#All],2,FALSE)</f>
        <v>60</v>
      </c>
      <c r="D170" s="139">
        <f>+SUMIFS(PROVEEDORES[Total],PROVEEDORES[PROVEEDOR],PROVEEDORES[[#This Row],[PROVEEDOR]],PROVEEDORES[FECHA DE PAGO],"")</f>
        <v>0</v>
      </c>
      <c r="E170" s="140"/>
      <c r="F170" s="138">
        <f>+VLOOKUP(PROVEEDORES[[#This Row],[PROVEEDOR]],
                       Terceros!$A:$F,
                       5,
                       FALSE)</f>
        <v>0</v>
      </c>
      <c r="G170" s="127">
        <v>45016</v>
      </c>
      <c r="H170" s="123" t="s">
        <v>445</v>
      </c>
      <c r="I170" s="127">
        <v>45016</v>
      </c>
      <c r="J170" s="124" t="s">
        <v>667</v>
      </c>
      <c r="K170" s="124" t="s">
        <v>1530</v>
      </c>
      <c r="L170" s="124"/>
      <c r="M170" s="125">
        <v>-4550000</v>
      </c>
      <c r="N170" s="148">
        <v>-864500</v>
      </c>
      <c r="O170" s="148">
        <v>0</v>
      </c>
      <c r="P170" s="149">
        <v>0</v>
      </c>
      <c r="Q170" s="148">
        <v>0</v>
      </c>
      <c r="R170" s="150">
        <v>-5414500</v>
      </c>
      <c r="S1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0" s="135">
        <f ca="1">+IF(PROVEEDORES[[#This Row],[FECHA DE PAGO]]=0,TODAY()-PROVEEDORES[[#This Row],[FECHA DE FACTURACIÓN]]-PROVEEDORES[[#This Row],[PLAZO Días]],0)</f>
        <v>0</v>
      </c>
      <c r="U170" s="135">
        <f>+VLOOKUP(PROVEEDORES[[#This Row],[PROVEEDOR]],Terceros!$A:$D,4,FALSE)</f>
        <v>0</v>
      </c>
      <c r="V170" s="135">
        <f>+YEAR(PROVEEDORES[[#This Row],[FECHA DE FACTURACIÓN]])</f>
        <v>2023</v>
      </c>
      <c r="W170" s="135">
        <f>+MATCH(PROVEEDORES[[#This Row],[año facturado]],Retenciones!$1:$1,0)</f>
        <v>6</v>
      </c>
      <c r="X170" s="136">
        <f>+VLOOKUP(PROVEEDORES[[#This Row],[ID RETENCION]],Retenciones!$A$1:$O$25,PROVEEDORES[[#This Row],[indicador de columna]],FALSE)</f>
        <v>0</v>
      </c>
      <c r="Y170" s="137">
        <f>+VLOOKUP(PROVEEDORES[[#This Row],[ID RETENCION]],Retenciones!$A$1:$O$25,2,FALSE)</f>
        <v>0</v>
      </c>
      <c r="Z170" s="126" t="b">
        <f>+OR(COUNTIF(PROVEEDORES[[#This Row],[PROVEEDOR]],"*"&amp;'Palabra que no opera y Listas d'!$A$2&amp;"*"))</f>
        <v>1</v>
      </c>
    </row>
    <row r="171" spans="1:26" ht="27.75" customHeight="1" x14ac:dyDescent="0.25">
      <c r="A171" s="141" t="str">
        <f>+IF(PROVEEDORES[[#This Row],[FECHA DE PAGO]]=PROVEEDORES[[#This Row],[FECHA DE FACTURACIÓN]],"DE CONTADO","CRÉDITO")</f>
        <v>CRÉDITO</v>
      </c>
      <c r="B171" s="138" t="str">
        <f>+IF((PROVEEDORES[[#This Row],[FECHA DE PAGO]]-PROVEEDORES[[#This Row],[FECHA DE FACTURACIÓN]])&gt;PROVEEDORES[[#This Row],[PLAZO Días]],"PAGO VENCIDO")</f>
        <v>PAGO VENCIDO</v>
      </c>
      <c r="C171" s="138">
        <f>+VLOOKUP(PROVEEDORES[[#This Row],[PROVEEDOR]],TERCEROS_INFO[#All],2,FALSE)</f>
        <v>30</v>
      </c>
      <c r="D171" s="139">
        <f>+SUMIFS(PROVEEDORES[Total],PROVEEDORES[PROVEEDOR],PROVEEDORES[[#This Row],[PROVEEDOR]],PROVEEDORES[FECHA DE PAGO],"")</f>
        <v>0</v>
      </c>
      <c r="E171" s="140"/>
      <c r="F171" s="138">
        <f>+VLOOKUP(PROVEEDORES[[#This Row],[PROVEEDOR]],
                       Terceros!$A:$F,
                       5,
                       FALSE)</f>
        <v>0</v>
      </c>
      <c r="G171" s="127">
        <v>45017</v>
      </c>
      <c r="H171" s="123" t="s">
        <v>1809</v>
      </c>
      <c r="I171" s="127">
        <v>44958</v>
      </c>
      <c r="J171" s="124">
        <v>6657</v>
      </c>
      <c r="K171" s="124" t="s">
        <v>1530</v>
      </c>
      <c r="L171" s="124"/>
      <c r="M171" s="125">
        <v>1144000</v>
      </c>
      <c r="N171" s="148">
        <v>0</v>
      </c>
      <c r="O171" s="148">
        <v>0</v>
      </c>
      <c r="P171" s="149">
        <v>0</v>
      </c>
      <c r="Q171" s="148">
        <v>0</v>
      </c>
      <c r="R171" s="150">
        <v>1144000</v>
      </c>
      <c r="S1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1" s="135">
        <f ca="1">+IF(PROVEEDORES[[#This Row],[FECHA DE PAGO]]=0,TODAY()-PROVEEDORES[[#This Row],[FECHA DE FACTURACIÓN]]-PROVEEDORES[[#This Row],[PLAZO Días]],0)</f>
        <v>0</v>
      </c>
      <c r="U171" s="135">
        <f>+VLOOKUP(PROVEEDORES[[#This Row],[PROVEEDOR]],Terceros!$A:$D,4,FALSE)</f>
        <v>0</v>
      </c>
      <c r="V171" s="135">
        <f>+YEAR(PROVEEDORES[[#This Row],[FECHA DE FACTURACIÓN]])</f>
        <v>2023</v>
      </c>
      <c r="W171" s="135">
        <f>+MATCH(PROVEEDORES[[#This Row],[año facturado]],Retenciones!$1:$1,0)</f>
        <v>6</v>
      </c>
      <c r="X171" s="136">
        <f>+VLOOKUP(PROVEEDORES[[#This Row],[ID RETENCION]],Retenciones!$A$1:$O$25,PROVEEDORES[[#This Row],[indicador de columna]],FALSE)</f>
        <v>0</v>
      </c>
      <c r="Y171" s="137">
        <f>+VLOOKUP(PROVEEDORES[[#This Row],[ID RETENCION]],Retenciones!$A$1:$O$25,2,FALSE)</f>
        <v>0</v>
      </c>
      <c r="Z171" s="126" t="b">
        <f>+OR(COUNTIF(PROVEEDORES[[#This Row],[PROVEEDOR]],"*"&amp;'Palabra que no opera y Listas d'!$A$2&amp;"*"))</f>
        <v>0</v>
      </c>
    </row>
    <row r="172" spans="1:26" ht="27.75" customHeight="1" x14ac:dyDescent="0.25">
      <c r="A172" s="141" t="str">
        <f>+IF(PROVEEDORES[[#This Row],[FECHA DE PAGO]]=PROVEEDORES[[#This Row],[FECHA DE FACTURACIÓN]],"DE CONTADO","CRÉDITO")</f>
        <v>CRÉDITO</v>
      </c>
      <c r="B172" s="138" t="b">
        <f>+IF((PROVEEDORES[[#This Row],[FECHA DE PAGO]]-PROVEEDORES[[#This Row],[FECHA DE FACTURACIÓN]])&gt;PROVEEDORES[[#This Row],[PLAZO Días]],"PAGO VENCIDO")</f>
        <v>0</v>
      </c>
      <c r="C172" s="138">
        <f>+VLOOKUP(PROVEEDORES[[#This Row],[PROVEEDOR]],TERCEROS_INFO[#All],2,FALSE)</f>
        <v>30</v>
      </c>
      <c r="D172" s="139">
        <f>+SUMIFS(PROVEEDORES[Total],PROVEEDORES[PROVEEDOR],PROVEEDORES[[#This Row],[PROVEEDOR]],PROVEEDORES[FECHA DE PAGO],"")</f>
        <v>8456975.129999999</v>
      </c>
      <c r="E172" s="140"/>
      <c r="F172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72" s="127">
        <v>45018</v>
      </c>
      <c r="H172" s="123" t="s">
        <v>1464</v>
      </c>
      <c r="I172" s="127">
        <v>44999</v>
      </c>
      <c r="J172" s="124" t="s">
        <v>695</v>
      </c>
      <c r="K172" s="124" t="s">
        <v>1530</v>
      </c>
      <c r="L172" s="124"/>
      <c r="M172" s="125">
        <v>55353</v>
      </c>
      <c r="N172" s="148">
        <v>10517.07</v>
      </c>
      <c r="O172" s="148">
        <v>0</v>
      </c>
      <c r="P172" s="149">
        <v>0</v>
      </c>
      <c r="Q172" s="148">
        <v>0</v>
      </c>
      <c r="R172" s="150">
        <v>65870.070000000007</v>
      </c>
      <c r="S1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2" s="135">
        <f ca="1">+IF(PROVEEDORES[[#This Row],[FECHA DE PAGO]]=0,TODAY()-PROVEEDORES[[#This Row],[FECHA DE FACTURACIÓN]]-PROVEEDORES[[#This Row],[PLAZO Días]],0)</f>
        <v>0</v>
      </c>
      <c r="U172" s="135" t="str">
        <f>+VLOOKUP(PROVEEDORES[[#This Row],[PROVEEDOR]],Terceros!$A:$D,4,FALSE)</f>
        <v>2,5% con base</v>
      </c>
      <c r="V172" s="135">
        <f>+YEAR(PROVEEDORES[[#This Row],[FECHA DE FACTURACIÓN]])</f>
        <v>2023</v>
      </c>
      <c r="W172" s="135">
        <f>+MATCH(PROVEEDORES[[#This Row],[año facturado]],Retenciones!$1:$1,0)</f>
        <v>6</v>
      </c>
      <c r="X172" s="136">
        <f>+VLOOKUP(PROVEEDORES[[#This Row],[ID RETENCION]],Retenciones!$A$1:$O$25,PROVEEDORES[[#This Row],[indicador de columna]],FALSE)</f>
        <v>1145000</v>
      </c>
      <c r="Y172" s="137">
        <f>+VLOOKUP(PROVEEDORES[[#This Row],[ID RETENCION]],Retenciones!$A$1:$O$25,2,FALSE)</f>
        <v>2.5000000000000001E-2</v>
      </c>
      <c r="Z172" s="126" t="b">
        <f>+OR(COUNTIF(PROVEEDORES[[#This Row],[PROVEEDOR]],"*"&amp;'Palabra que no opera y Listas d'!$A$2&amp;"*"))</f>
        <v>0</v>
      </c>
    </row>
    <row r="173" spans="1:26" ht="27.75" customHeight="1" x14ac:dyDescent="0.25">
      <c r="A173" s="141" t="str">
        <f>+IF(PROVEEDORES[[#This Row],[FECHA DE PAGO]]=PROVEEDORES[[#This Row],[FECHA DE FACTURACIÓN]],"DE CONTADO","CRÉDITO")</f>
        <v>CRÉDITO</v>
      </c>
      <c r="B173" s="138" t="b">
        <f>+IF((PROVEEDORES[[#This Row],[FECHA DE PAGO]]-PROVEEDORES[[#This Row],[FECHA DE FACTURACIÓN]])&gt;PROVEEDORES[[#This Row],[PLAZO Días]],"PAGO VENCIDO")</f>
        <v>0</v>
      </c>
      <c r="C173" s="138">
        <f>+VLOOKUP(PROVEEDORES[[#This Row],[PROVEEDOR]],TERCEROS_INFO[#All],2,FALSE)</f>
        <v>30</v>
      </c>
      <c r="D173" s="139">
        <f>+SUMIFS(PROVEEDORES[Total],PROVEEDORES[PROVEEDOR],PROVEEDORES[[#This Row],[PROVEEDOR]],PROVEEDORES[FECHA DE PAGO],"")</f>
        <v>0</v>
      </c>
      <c r="E173" s="140"/>
      <c r="F173" s="138" t="str">
        <f>+VLOOKUP(PROVEEDORES[[#This Row],[PROVEEDOR]],
                       Terceros!$A:$F,
                       5,
                       FALSE)</f>
        <v/>
      </c>
      <c r="G173" s="127">
        <v>45018</v>
      </c>
      <c r="H173" s="123" t="s">
        <v>481</v>
      </c>
      <c r="I173" s="127">
        <v>45017</v>
      </c>
      <c r="J173" s="124" t="s">
        <v>720</v>
      </c>
      <c r="K173" s="124" t="s">
        <v>1530</v>
      </c>
      <c r="L173" s="124"/>
      <c r="M173" s="125">
        <v>2200000</v>
      </c>
      <c r="N173" s="148">
        <v>0</v>
      </c>
      <c r="O173" s="148">
        <v>0</v>
      </c>
      <c r="P173" s="149">
        <v>0</v>
      </c>
      <c r="Q173" s="148">
        <v>0</v>
      </c>
      <c r="R173" s="150">
        <v>2200000</v>
      </c>
      <c r="S1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3" s="135">
        <f ca="1">+IF(PROVEEDORES[[#This Row],[FECHA DE PAGO]]=0,TODAY()-PROVEEDORES[[#This Row],[FECHA DE FACTURACIÓN]]-PROVEEDORES[[#This Row],[PLAZO Días]],0)</f>
        <v>0</v>
      </c>
      <c r="U173" s="135">
        <f>+VLOOKUP(PROVEEDORES[[#This Row],[PROVEEDOR]],Terceros!$A:$D,4,FALSE)</f>
        <v>0</v>
      </c>
      <c r="V173" s="135">
        <f>+YEAR(PROVEEDORES[[#This Row],[FECHA DE FACTURACIÓN]])</f>
        <v>2023</v>
      </c>
      <c r="W173" s="135">
        <f>+MATCH(PROVEEDORES[[#This Row],[año facturado]],Retenciones!$1:$1,0)</f>
        <v>6</v>
      </c>
      <c r="X173" s="136">
        <f>+VLOOKUP(PROVEEDORES[[#This Row],[ID RETENCION]],Retenciones!$A$1:$O$25,PROVEEDORES[[#This Row],[indicador de columna]],FALSE)</f>
        <v>0</v>
      </c>
      <c r="Y173" s="137">
        <f>+VLOOKUP(PROVEEDORES[[#This Row],[ID RETENCION]],Retenciones!$A$1:$O$25,2,FALSE)</f>
        <v>0</v>
      </c>
      <c r="Z173" s="126" t="b">
        <f>+OR(COUNTIF(PROVEEDORES[[#This Row],[PROVEEDOR]],"*"&amp;'Palabra que no opera y Listas d'!$A$2&amp;"*"))</f>
        <v>0</v>
      </c>
    </row>
    <row r="174" spans="1:26" ht="27.75" customHeight="1" x14ac:dyDescent="0.25">
      <c r="A174" s="141" t="str">
        <f>+IF(PROVEEDORES[[#This Row],[FECHA DE PAGO]]=PROVEEDORES[[#This Row],[FECHA DE FACTURACIÓN]],"DE CONTADO","CRÉDITO")</f>
        <v>CRÉDITO</v>
      </c>
      <c r="B174" s="138" t="str">
        <f>+IF((PROVEEDORES[[#This Row],[FECHA DE PAGO]]-PROVEEDORES[[#This Row],[FECHA DE FACTURACIÓN]])&gt;PROVEEDORES[[#This Row],[PLAZO Días]],"PAGO VENCIDO")</f>
        <v>PAGO VENCIDO</v>
      </c>
      <c r="C174" s="138">
        <f>+VLOOKUP(PROVEEDORES[[#This Row],[PROVEEDOR]],TERCEROS_INFO[#All],2,FALSE)</f>
        <v>30</v>
      </c>
      <c r="D174" s="139">
        <f>+SUMIFS(PROVEEDORES[Total],PROVEEDORES[PROVEEDOR],PROVEEDORES[[#This Row],[PROVEEDOR]],PROVEEDORES[FECHA DE PAGO],"")</f>
        <v>1695707.16</v>
      </c>
      <c r="E174" s="140"/>
      <c r="F174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4" s="127">
        <v>45019</v>
      </c>
      <c r="H174" s="123" t="s">
        <v>194</v>
      </c>
      <c r="I174" s="127">
        <v>44950</v>
      </c>
      <c r="J174" s="124" t="s">
        <v>546</v>
      </c>
      <c r="K174" s="124" t="s">
        <v>1530</v>
      </c>
      <c r="L174" s="124"/>
      <c r="M174" s="125">
        <v>-396847</v>
      </c>
      <c r="N174" s="148">
        <v>-75400.930000000008</v>
      </c>
      <c r="O174" s="148">
        <v>0</v>
      </c>
      <c r="P174" s="149">
        <v>0</v>
      </c>
      <c r="Q174" s="148">
        <v>0</v>
      </c>
      <c r="R174" s="150">
        <v>-472247.93</v>
      </c>
      <c r="S1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4" s="135">
        <f ca="1">+IF(PROVEEDORES[[#This Row],[FECHA DE PAGO]]=0,TODAY()-PROVEEDORES[[#This Row],[FECHA DE FACTURACIÓN]]-PROVEEDORES[[#This Row],[PLAZO Días]],0)</f>
        <v>0</v>
      </c>
      <c r="U174" s="135">
        <f>+VLOOKUP(PROVEEDORES[[#This Row],[PROVEEDOR]],Terceros!$A:$D,4,FALSE)</f>
        <v>0</v>
      </c>
      <c r="V174" s="135">
        <f>+YEAR(PROVEEDORES[[#This Row],[FECHA DE FACTURACIÓN]])</f>
        <v>2023</v>
      </c>
      <c r="W174" s="135">
        <f>+MATCH(PROVEEDORES[[#This Row],[año facturado]],Retenciones!$1:$1,0)</f>
        <v>6</v>
      </c>
      <c r="X174" s="136">
        <f>+VLOOKUP(PROVEEDORES[[#This Row],[ID RETENCION]],Retenciones!$A$1:$O$25,PROVEEDORES[[#This Row],[indicador de columna]],FALSE)</f>
        <v>0</v>
      </c>
      <c r="Y174" s="137">
        <f>+VLOOKUP(PROVEEDORES[[#This Row],[ID RETENCION]],Retenciones!$A$1:$O$25,2,FALSE)</f>
        <v>0</v>
      </c>
      <c r="Z174" s="126" t="b">
        <f>+OR(COUNTIF(PROVEEDORES[[#This Row],[PROVEEDOR]],"*"&amp;'Palabra que no opera y Listas d'!$A$2&amp;"*"))</f>
        <v>0</v>
      </c>
    </row>
    <row r="175" spans="1:26" ht="27.75" customHeight="1" x14ac:dyDescent="0.25">
      <c r="A175" s="141" t="str">
        <f>+IF(PROVEEDORES[[#This Row],[FECHA DE PAGO]]=PROVEEDORES[[#This Row],[FECHA DE FACTURACIÓN]],"DE CONTADO","CRÉDITO")</f>
        <v>CRÉDITO</v>
      </c>
      <c r="B175" s="138" t="str">
        <f>+IF((PROVEEDORES[[#This Row],[FECHA DE PAGO]]-PROVEEDORES[[#This Row],[FECHA DE FACTURACIÓN]])&gt;PROVEEDORES[[#This Row],[PLAZO Días]],"PAGO VENCIDO")</f>
        <v>PAGO VENCIDO</v>
      </c>
      <c r="C175" s="138">
        <f>+VLOOKUP(PROVEEDORES[[#This Row],[PROVEEDOR]],TERCEROS_INFO[#All],2,FALSE)</f>
        <v>30</v>
      </c>
      <c r="D175" s="139">
        <f>+SUMIFS(PROVEEDORES[Total],PROVEEDORES[PROVEEDOR],PROVEEDORES[[#This Row],[PROVEEDOR]],PROVEEDORES[FECHA DE PAGO],"")</f>
        <v>1695707.16</v>
      </c>
      <c r="E175" s="140"/>
      <c r="F175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5" s="127">
        <v>45019</v>
      </c>
      <c r="H175" s="123" t="s">
        <v>194</v>
      </c>
      <c r="I175" s="127">
        <v>44950</v>
      </c>
      <c r="J175" s="124" t="s">
        <v>648</v>
      </c>
      <c r="K175" s="124" t="s">
        <v>1530</v>
      </c>
      <c r="L175" s="124"/>
      <c r="M175" s="125">
        <v>-254663</v>
      </c>
      <c r="N175" s="148">
        <v>-48385.97</v>
      </c>
      <c r="O175" s="148">
        <v>0</v>
      </c>
      <c r="P175" s="149">
        <v>0</v>
      </c>
      <c r="Q175" s="148">
        <v>0</v>
      </c>
      <c r="R175" s="150">
        <v>-303048.96999999997</v>
      </c>
      <c r="S1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5" s="135">
        <f ca="1">+IF(PROVEEDORES[[#This Row],[FECHA DE PAGO]]=0,TODAY()-PROVEEDORES[[#This Row],[FECHA DE FACTURACIÓN]]-PROVEEDORES[[#This Row],[PLAZO Días]],0)</f>
        <v>0</v>
      </c>
      <c r="U175" s="135">
        <f>+VLOOKUP(PROVEEDORES[[#This Row],[PROVEEDOR]],Terceros!$A:$D,4,FALSE)</f>
        <v>0</v>
      </c>
      <c r="V175" s="135">
        <f>+YEAR(PROVEEDORES[[#This Row],[FECHA DE FACTURACIÓN]])</f>
        <v>2023</v>
      </c>
      <c r="W175" s="135">
        <f>+MATCH(PROVEEDORES[[#This Row],[año facturado]],Retenciones!$1:$1,0)</f>
        <v>6</v>
      </c>
      <c r="X175" s="136">
        <f>+VLOOKUP(PROVEEDORES[[#This Row],[ID RETENCION]],Retenciones!$A$1:$O$25,PROVEEDORES[[#This Row],[indicador de columna]],FALSE)</f>
        <v>0</v>
      </c>
      <c r="Y175" s="137">
        <f>+VLOOKUP(PROVEEDORES[[#This Row],[ID RETENCION]],Retenciones!$A$1:$O$25,2,FALSE)</f>
        <v>0</v>
      </c>
      <c r="Z175" s="126" t="b">
        <f>+OR(COUNTIF(PROVEEDORES[[#This Row],[PROVEEDOR]],"*"&amp;'Palabra que no opera y Listas d'!$A$2&amp;"*"))</f>
        <v>0</v>
      </c>
    </row>
    <row r="176" spans="1:26" ht="27.75" customHeight="1" x14ac:dyDescent="0.25">
      <c r="A176" s="141" t="str">
        <f>+IF(PROVEEDORES[[#This Row],[FECHA DE PAGO]]=PROVEEDORES[[#This Row],[FECHA DE FACTURACIÓN]],"DE CONTADO","CRÉDITO")</f>
        <v>CRÉDITO</v>
      </c>
      <c r="B176" s="138" t="str">
        <f>+IF((PROVEEDORES[[#This Row],[FECHA DE PAGO]]-PROVEEDORES[[#This Row],[FECHA DE FACTURACIÓN]])&gt;PROVEEDORES[[#This Row],[PLAZO Días]],"PAGO VENCIDO")</f>
        <v>PAGO VENCIDO</v>
      </c>
      <c r="C176" s="138">
        <f>+VLOOKUP(PROVEEDORES[[#This Row],[PROVEEDOR]],TERCEROS_INFO[#All],2,FALSE)</f>
        <v>45</v>
      </c>
      <c r="D176" s="139">
        <f>+SUMIFS(PROVEEDORES[Total],PROVEEDORES[PROVEEDOR],PROVEEDORES[[#This Row],[PROVEEDOR]],PROVEEDORES[FECHA DE PAGO],"")</f>
        <v>2446500</v>
      </c>
      <c r="E176" s="140"/>
      <c r="F176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76" s="127">
        <v>45019</v>
      </c>
      <c r="H176" s="123" t="s">
        <v>10</v>
      </c>
      <c r="I176" s="127">
        <v>44965</v>
      </c>
      <c r="J176" s="124" t="s">
        <v>569</v>
      </c>
      <c r="K176" s="124" t="s">
        <v>1530</v>
      </c>
      <c r="L176" s="124"/>
      <c r="M176" s="125">
        <v>768000</v>
      </c>
      <c r="N176" s="148">
        <v>145920</v>
      </c>
      <c r="O176" s="148">
        <v>0</v>
      </c>
      <c r="P176" s="149">
        <v>0</v>
      </c>
      <c r="Q176" s="148">
        <v>0</v>
      </c>
      <c r="R176" s="150">
        <v>913920</v>
      </c>
      <c r="S1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6" s="135">
        <f ca="1">+IF(PROVEEDORES[[#This Row],[FECHA DE PAGO]]=0,TODAY()-PROVEEDORES[[#This Row],[FECHA DE FACTURACIÓN]]-PROVEEDORES[[#This Row],[PLAZO Días]],0)</f>
        <v>0</v>
      </c>
      <c r="U176" s="135" t="str">
        <f>+VLOOKUP(PROVEEDORES[[#This Row],[PROVEEDOR]],Terceros!$A:$D,4,FALSE)</f>
        <v>2,5% con base</v>
      </c>
      <c r="V176" s="135">
        <f>+YEAR(PROVEEDORES[[#This Row],[FECHA DE FACTURACIÓN]])</f>
        <v>2023</v>
      </c>
      <c r="W176" s="135">
        <f>+MATCH(PROVEEDORES[[#This Row],[año facturado]],Retenciones!$1:$1,0)</f>
        <v>6</v>
      </c>
      <c r="X176" s="136">
        <f>+VLOOKUP(PROVEEDORES[[#This Row],[ID RETENCION]],Retenciones!$A$1:$O$25,PROVEEDORES[[#This Row],[indicador de columna]],FALSE)</f>
        <v>1145000</v>
      </c>
      <c r="Y176" s="137">
        <f>+VLOOKUP(PROVEEDORES[[#This Row],[ID RETENCION]],Retenciones!$A$1:$O$25,2,FALSE)</f>
        <v>2.5000000000000001E-2</v>
      </c>
      <c r="Z176" s="126" t="b">
        <f>+OR(COUNTIF(PROVEEDORES[[#This Row],[PROVEEDOR]],"*"&amp;'Palabra que no opera y Listas d'!$A$2&amp;"*"))</f>
        <v>0</v>
      </c>
    </row>
    <row r="177" spans="1:26" ht="27.75" customHeight="1" x14ac:dyDescent="0.25">
      <c r="A177" s="141" t="str">
        <f>+IF(PROVEEDORES[[#This Row],[FECHA DE PAGO]]=PROVEEDORES[[#This Row],[FECHA DE FACTURACIÓN]],"DE CONTADO","CRÉDITO")</f>
        <v>CRÉDITO</v>
      </c>
      <c r="B177" s="138" t="str">
        <f>+IF((PROVEEDORES[[#This Row],[FECHA DE PAGO]]-PROVEEDORES[[#This Row],[FECHA DE FACTURACIÓN]])&gt;PROVEEDORES[[#This Row],[PLAZO Días]],"PAGO VENCIDO")</f>
        <v>PAGO VENCIDO</v>
      </c>
      <c r="C177" s="138">
        <f>+VLOOKUP(PROVEEDORES[[#This Row],[PROVEEDOR]],TERCEROS_INFO[#All],2,FALSE)</f>
        <v>30</v>
      </c>
      <c r="D177" s="139">
        <f>+SUMIFS(PROVEEDORES[Total],PROVEEDORES[PROVEEDOR],PROVEEDORES[[#This Row],[PROVEEDOR]],PROVEEDORES[FECHA DE PAGO],"")</f>
        <v>1695707.16</v>
      </c>
      <c r="E177" s="140"/>
      <c r="F177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77" s="127">
        <v>45019</v>
      </c>
      <c r="H177" s="123" t="s">
        <v>194</v>
      </c>
      <c r="I177" s="127">
        <v>44984</v>
      </c>
      <c r="J177" s="124" t="s">
        <v>599</v>
      </c>
      <c r="K177" s="124" t="s">
        <v>1530</v>
      </c>
      <c r="L177" s="124"/>
      <c r="M177" s="125">
        <v>940839</v>
      </c>
      <c r="N177" s="148">
        <v>178759.41</v>
      </c>
      <c r="O177" s="148">
        <v>0</v>
      </c>
      <c r="P177" s="149">
        <v>0</v>
      </c>
      <c r="Q177" s="148">
        <v>0</v>
      </c>
      <c r="R177" s="150">
        <v>1119598.4099999999</v>
      </c>
      <c r="S1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7" s="135">
        <f ca="1">+IF(PROVEEDORES[[#This Row],[FECHA DE PAGO]]=0,TODAY()-PROVEEDORES[[#This Row],[FECHA DE FACTURACIÓN]]-PROVEEDORES[[#This Row],[PLAZO Días]],0)</f>
        <v>0</v>
      </c>
      <c r="U177" s="135">
        <f>+VLOOKUP(PROVEEDORES[[#This Row],[PROVEEDOR]],Terceros!$A:$D,4,FALSE)</f>
        <v>0</v>
      </c>
      <c r="V177" s="135">
        <f>+YEAR(PROVEEDORES[[#This Row],[FECHA DE FACTURACIÓN]])</f>
        <v>2023</v>
      </c>
      <c r="W177" s="135">
        <f>+MATCH(PROVEEDORES[[#This Row],[año facturado]],Retenciones!$1:$1,0)</f>
        <v>6</v>
      </c>
      <c r="X177" s="136">
        <f>+VLOOKUP(PROVEEDORES[[#This Row],[ID RETENCION]],Retenciones!$A$1:$O$25,PROVEEDORES[[#This Row],[indicador de columna]],FALSE)</f>
        <v>0</v>
      </c>
      <c r="Y177" s="137">
        <f>+VLOOKUP(PROVEEDORES[[#This Row],[ID RETENCION]],Retenciones!$A$1:$O$25,2,FALSE)</f>
        <v>0</v>
      </c>
      <c r="Z177" s="126" t="b">
        <f>+OR(COUNTIF(PROVEEDORES[[#This Row],[PROVEEDOR]],"*"&amp;'Palabra que no opera y Listas d'!$A$2&amp;"*"))</f>
        <v>0</v>
      </c>
    </row>
    <row r="178" spans="1:26" ht="27.75" customHeight="1" x14ac:dyDescent="0.25">
      <c r="A178" s="141" t="str">
        <f>+IF(PROVEEDORES[[#This Row],[FECHA DE PAGO]]=PROVEEDORES[[#This Row],[FECHA DE FACTURACIÓN]],"DE CONTADO","CRÉDITO")</f>
        <v>CRÉDITO</v>
      </c>
      <c r="B178" s="138" t="str">
        <f>+IF((PROVEEDORES[[#This Row],[FECHA DE PAGO]]-PROVEEDORES[[#This Row],[FECHA DE FACTURACIÓN]])&gt;PROVEEDORES[[#This Row],[PLAZO Días]],"PAGO VENCIDO")</f>
        <v>PAGO VENCIDO</v>
      </c>
      <c r="C178" s="138">
        <f>+VLOOKUP(PROVEEDORES[[#This Row],[PROVEEDOR]],TERCEROS_INFO[#All],2,FALSE)</f>
        <v>30</v>
      </c>
      <c r="D178" s="139">
        <f>+SUMIFS(PROVEEDORES[Total],PROVEEDORES[PROVEEDOR],PROVEEDORES[[#This Row],[PROVEEDOR]],PROVEEDORES[FECHA DE PAGO],"")</f>
        <v>1776037.21</v>
      </c>
      <c r="E178" s="140"/>
      <c r="F178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78" s="127">
        <v>45019</v>
      </c>
      <c r="H178" s="123" t="s">
        <v>17</v>
      </c>
      <c r="I178" s="127">
        <v>44985</v>
      </c>
      <c r="J178" s="124" t="s">
        <v>600</v>
      </c>
      <c r="K178" s="124" t="s">
        <v>1530</v>
      </c>
      <c r="L178" s="124"/>
      <c r="M178" s="125">
        <v>1457850</v>
      </c>
      <c r="N178" s="148">
        <v>276991.5</v>
      </c>
      <c r="O178" s="148">
        <v>0</v>
      </c>
      <c r="P178" s="149">
        <v>0</v>
      </c>
      <c r="Q178" s="148">
        <v>0</v>
      </c>
      <c r="R178" s="150">
        <v>1734841.5</v>
      </c>
      <c r="S1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8" s="135">
        <f ca="1">+IF(PROVEEDORES[[#This Row],[FECHA DE PAGO]]=0,TODAY()-PROVEEDORES[[#This Row],[FECHA DE FACTURACIÓN]]-PROVEEDORES[[#This Row],[PLAZO Días]],0)</f>
        <v>0</v>
      </c>
      <c r="U178" s="135">
        <f>+VLOOKUP(PROVEEDORES[[#This Row],[PROVEEDOR]],Terceros!$A:$D,4,FALSE)</f>
        <v>0</v>
      </c>
      <c r="V178" s="135">
        <f>+YEAR(PROVEEDORES[[#This Row],[FECHA DE FACTURACIÓN]])</f>
        <v>2023</v>
      </c>
      <c r="W178" s="135">
        <f>+MATCH(PROVEEDORES[[#This Row],[año facturado]],Retenciones!$1:$1,0)</f>
        <v>6</v>
      </c>
      <c r="X178" s="136">
        <f>+VLOOKUP(PROVEEDORES[[#This Row],[ID RETENCION]],Retenciones!$A$1:$O$25,PROVEEDORES[[#This Row],[indicador de columna]],FALSE)</f>
        <v>0</v>
      </c>
      <c r="Y178" s="137">
        <f>+VLOOKUP(PROVEEDORES[[#This Row],[ID RETENCION]],Retenciones!$A$1:$O$25,2,FALSE)</f>
        <v>0</v>
      </c>
      <c r="Z178" s="126" t="b">
        <f>+OR(COUNTIF(PROVEEDORES[[#This Row],[PROVEEDOR]],"*"&amp;'Palabra que no opera y Listas d'!$A$2&amp;"*"))</f>
        <v>0</v>
      </c>
    </row>
    <row r="179" spans="1:26" ht="27.75" customHeight="1" x14ac:dyDescent="0.25">
      <c r="A179" s="141" t="str">
        <f>+IF(PROVEEDORES[[#This Row],[FECHA DE PAGO]]=PROVEEDORES[[#This Row],[FECHA DE FACTURACIÓN]],"DE CONTADO","CRÉDITO")</f>
        <v>DE CONTADO</v>
      </c>
      <c r="B179" s="138" t="b">
        <f>+IF((PROVEEDORES[[#This Row],[FECHA DE PAGO]]-PROVEEDORES[[#This Row],[FECHA DE FACTURACIÓN]])&gt;PROVEEDORES[[#This Row],[PLAZO Días]],"PAGO VENCIDO")</f>
        <v>0</v>
      </c>
      <c r="C179" s="138">
        <f>+VLOOKUP(PROVEEDORES[[#This Row],[PROVEEDOR]],TERCEROS_INFO[#All],2,FALSE)</f>
        <v>30</v>
      </c>
      <c r="D179" s="139">
        <f>+SUMIFS(PROVEEDORES[Total],PROVEEDORES[PROVEEDOR],PROVEEDORES[[#This Row],[PROVEEDOR]],PROVEEDORES[FECHA DE PAGO],"")</f>
        <v>0</v>
      </c>
      <c r="E179" s="140"/>
      <c r="F179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179" s="127">
        <v>45020</v>
      </c>
      <c r="H179" s="123" t="s">
        <v>1865</v>
      </c>
      <c r="I179" s="127">
        <v>45020</v>
      </c>
      <c r="J179" s="124" t="s">
        <v>682</v>
      </c>
      <c r="K179" s="124" t="s">
        <v>1530</v>
      </c>
      <c r="L179" s="124"/>
      <c r="M179" s="125">
        <v>1800000</v>
      </c>
      <c r="N179" s="148">
        <v>0</v>
      </c>
      <c r="O179" s="148">
        <v>0</v>
      </c>
      <c r="P179" s="149">
        <v>0</v>
      </c>
      <c r="Q179" s="148">
        <v>0</v>
      </c>
      <c r="R179" s="150">
        <v>1800000</v>
      </c>
      <c r="S1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79" s="135">
        <f ca="1">+IF(PROVEEDORES[[#This Row],[FECHA DE PAGO]]=0,TODAY()-PROVEEDORES[[#This Row],[FECHA DE FACTURACIÓN]]-PROVEEDORES[[#This Row],[PLAZO Días]],0)</f>
        <v>0</v>
      </c>
      <c r="U179" s="135">
        <f>+VLOOKUP(PROVEEDORES[[#This Row],[PROVEEDOR]],Terceros!$A:$D,4,FALSE)</f>
        <v>0</v>
      </c>
      <c r="V179" s="135">
        <f>+YEAR(PROVEEDORES[[#This Row],[FECHA DE FACTURACIÓN]])</f>
        <v>2023</v>
      </c>
      <c r="W179" s="135">
        <f>+MATCH(PROVEEDORES[[#This Row],[año facturado]],Retenciones!$1:$1,0)</f>
        <v>6</v>
      </c>
      <c r="X179" s="136">
        <f>+VLOOKUP(PROVEEDORES[[#This Row],[ID RETENCION]],Retenciones!$A$1:$O$25,PROVEEDORES[[#This Row],[indicador de columna]],FALSE)</f>
        <v>0</v>
      </c>
      <c r="Y179" s="137">
        <f>+VLOOKUP(PROVEEDORES[[#This Row],[ID RETENCION]],Retenciones!$A$1:$O$25,2,FALSE)</f>
        <v>0</v>
      </c>
      <c r="Z179" s="126" t="b">
        <f>+OR(COUNTIF(PROVEEDORES[[#This Row],[PROVEEDOR]],"*"&amp;'Palabra que no opera y Listas d'!$A$2&amp;"*"))</f>
        <v>0</v>
      </c>
    </row>
    <row r="180" spans="1:26" ht="27.75" customHeight="1" x14ac:dyDescent="0.25">
      <c r="A180" s="141" t="str">
        <f>+IF(PROVEEDORES[[#This Row],[FECHA DE PAGO]]=PROVEEDORES[[#This Row],[FECHA DE FACTURACIÓN]],"DE CONTADO","CRÉDITO")</f>
        <v>DE CONTADO</v>
      </c>
      <c r="B180" s="138" t="b">
        <f>+IF((PROVEEDORES[[#This Row],[FECHA DE PAGO]]-PROVEEDORES[[#This Row],[FECHA DE FACTURACIÓN]])&gt;PROVEEDORES[[#This Row],[PLAZO Días]],"PAGO VENCIDO")</f>
        <v>0</v>
      </c>
      <c r="C180" s="138">
        <f>+VLOOKUP(PROVEEDORES[[#This Row],[PROVEEDOR]],TERCEROS_INFO[#All],2,FALSE)</f>
        <v>30</v>
      </c>
      <c r="D180" s="139">
        <f>+SUMIFS(PROVEEDORES[Total],PROVEEDORES[PROVEEDOR],PROVEEDORES[[#This Row],[PROVEEDOR]],PROVEEDORES[FECHA DE PAGO],"")</f>
        <v>1350000</v>
      </c>
      <c r="E180" s="140"/>
      <c r="F180" s="138" t="str">
        <f>+VLOOKUP(PROVEEDORES[[#This Row],[PROVEEDOR]],
                       Terceros!$A:$F,
                       5,
                       FALSE)</f>
        <v/>
      </c>
      <c r="G180" s="127">
        <v>45021</v>
      </c>
      <c r="H180" s="123" t="s">
        <v>1807</v>
      </c>
      <c r="I180" s="127">
        <v>45021</v>
      </c>
      <c r="J180" s="124" t="s">
        <v>721</v>
      </c>
      <c r="K180" s="124" t="s">
        <v>1530</v>
      </c>
      <c r="L180" s="124"/>
      <c r="M180" s="125">
        <v>360000</v>
      </c>
      <c r="N180" s="148">
        <v>0</v>
      </c>
      <c r="O180" s="148">
        <v>0</v>
      </c>
      <c r="P180" s="149">
        <v>0</v>
      </c>
      <c r="Q180" s="148">
        <v>0</v>
      </c>
      <c r="R180" s="150">
        <v>360000</v>
      </c>
      <c r="S1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0" s="135">
        <f ca="1">+IF(PROVEEDORES[[#This Row],[FECHA DE PAGO]]=0,TODAY()-PROVEEDORES[[#This Row],[FECHA DE FACTURACIÓN]]-PROVEEDORES[[#This Row],[PLAZO Días]],0)</f>
        <v>0</v>
      </c>
      <c r="U180" s="135">
        <f>+VLOOKUP(PROVEEDORES[[#This Row],[PROVEEDOR]],Terceros!$A:$D,4,FALSE)</f>
        <v>0</v>
      </c>
      <c r="V180" s="135">
        <f>+YEAR(PROVEEDORES[[#This Row],[FECHA DE FACTURACIÓN]])</f>
        <v>2023</v>
      </c>
      <c r="W180" s="135">
        <f>+MATCH(PROVEEDORES[[#This Row],[año facturado]],Retenciones!$1:$1,0)</f>
        <v>6</v>
      </c>
      <c r="X180" s="136">
        <f>+VLOOKUP(PROVEEDORES[[#This Row],[ID RETENCION]],Retenciones!$A$1:$O$25,PROVEEDORES[[#This Row],[indicador de columna]],FALSE)</f>
        <v>0</v>
      </c>
      <c r="Y180" s="137">
        <f>+VLOOKUP(PROVEEDORES[[#This Row],[ID RETENCION]],Retenciones!$A$1:$O$25,2,FALSE)</f>
        <v>0</v>
      </c>
      <c r="Z180" s="126" t="b">
        <f>+OR(COUNTIF(PROVEEDORES[[#This Row],[PROVEEDOR]],"*"&amp;'Palabra que no opera y Listas d'!$A$2&amp;"*"))</f>
        <v>0</v>
      </c>
    </row>
    <row r="181" spans="1:26" ht="27.75" customHeight="1" x14ac:dyDescent="0.25">
      <c r="A181" s="141" t="str">
        <f>+IF(PROVEEDORES[[#This Row],[FECHA DE PAGO]]=PROVEEDORES[[#This Row],[FECHA DE FACTURACIÓN]],"DE CONTADO","CRÉDITO")</f>
        <v>CRÉDITO</v>
      </c>
      <c r="B181" s="138" t="b">
        <f>+IF((PROVEEDORES[[#This Row],[FECHA DE PAGO]]-PROVEEDORES[[#This Row],[FECHA DE FACTURACIÓN]])&gt;PROVEEDORES[[#This Row],[PLAZO Días]],"PAGO VENCIDO")</f>
        <v>0</v>
      </c>
      <c r="C181" s="138">
        <f>+VLOOKUP(PROVEEDORES[[#This Row],[PROVEEDOR]],TERCEROS_INFO[#All],2,FALSE)</f>
        <v>60</v>
      </c>
      <c r="D181" s="139">
        <f>+SUMIFS(PROVEEDORES[Total],PROVEEDORES[PROVEEDOR],PROVEEDORES[[#This Row],[PROVEEDOR]],PROVEEDORES[FECHA DE PAGO],"")</f>
        <v>1730482</v>
      </c>
      <c r="E181" s="140"/>
      <c r="F181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81" s="127">
        <v>45026</v>
      </c>
      <c r="H181" s="123" t="s">
        <v>222</v>
      </c>
      <c r="I181" s="127">
        <v>44999</v>
      </c>
      <c r="J181" s="124">
        <v>1627</v>
      </c>
      <c r="K181" s="124" t="s">
        <v>1530</v>
      </c>
      <c r="L181" s="124"/>
      <c r="M181" s="125">
        <v>312320</v>
      </c>
      <c r="N181" s="148">
        <v>0</v>
      </c>
      <c r="O181" s="148">
        <v>0</v>
      </c>
      <c r="P181" s="149">
        <v>0</v>
      </c>
      <c r="Q181" s="148">
        <v>0</v>
      </c>
      <c r="R181" s="150">
        <v>312320</v>
      </c>
      <c r="S1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1" s="135">
        <f ca="1">+IF(PROVEEDORES[[#This Row],[FECHA DE PAGO]]=0,TODAY()-PROVEEDORES[[#This Row],[FECHA DE FACTURACIÓN]]-PROVEEDORES[[#This Row],[PLAZO Días]],0)</f>
        <v>0</v>
      </c>
      <c r="U181" s="135">
        <f>+VLOOKUP(PROVEEDORES[[#This Row],[PROVEEDOR]],Terceros!$A:$D,4,FALSE)</f>
        <v>0</v>
      </c>
      <c r="V181" s="135">
        <f>+YEAR(PROVEEDORES[[#This Row],[FECHA DE FACTURACIÓN]])</f>
        <v>2023</v>
      </c>
      <c r="W181" s="135">
        <f>+MATCH(PROVEEDORES[[#This Row],[año facturado]],Retenciones!$1:$1,0)</f>
        <v>6</v>
      </c>
      <c r="X181" s="136">
        <f>+VLOOKUP(PROVEEDORES[[#This Row],[ID RETENCION]],Retenciones!$A$1:$O$25,PROVEEDORES[[#This Row],[indicador de columna]],FALSE)</f>
        <v>0</v>
      </c>
      <c r="Y181" s="137">
        <f>+VLOOKUP(PROVEEDORES[[#This Row],[ID RETENCION]],Retenciones!$A$1:$O$25,2,FALSE)</f>
        <v>0</v>
      </c>
      <c r="Z181" s="126" t="b">
        <f>+OR(COUNTIF(PROVEEDORES[[#This Row],[PROVEEDOR]],"*"&amp;'Palabra que no opera y Listas d'!$A$2&amp;"*"))</f>
        <v>0</v>
      </c>
    </row>
    <row r="182" spans="1:26" ht="27.75" customHeight="1" x14ac:dyDescent="0.25">
      <c r="A182" s="141" t="str">
        <f>+IF(PROVEEDORES[[#This Row],[FECHA DE PAGO]]=PROVEEDORES[[#This Row],[FECHA DE FACTURACIÓN]],"DE CONTADO","CRÉDITO")</f>
        <v>CRÉDITO</v>
      </c>
      <c r="B182" s="138" t="b">
        <f>+IF((PROVEEDORES[[#This Row],[FECHA DE PAGO]]-PROVEEDORES[[#This Row],[FECHA DE FACTURACIÓN]])&gt;PROVEEDORES[[#This Row],[PLAZO Días]],"PAGO VENCIDO")</f>
        <v>0</v>
      </c>
      <c r="C182" s="138">
        <f>+VLOOKUP(PROVEEDORES[[#This Row],[PROVEEDOR]],TERCEROS_INFO[#All],2,FALSE)</f>
        <v>60</v>
      </c>
      <c r="D182" s="139">
        <f>+SUMIFS(PROVEEDORES[Total],PROVEEDORES[PROVEEDOR],PROVEEDORES[[#This Row],[PROVEEDOR]],PROVEEDORES[FECHA DE PAGO],"")</f>
        <v>1730482</v>
      </c>
      <c r="E182" s="140"/>
      <c r="F182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82" s="127">
        <v>45026</v>
      </c>
      <c r="H182" s="123" t="s">
        <v>222</v>
      </c>
      <c r="I182" s="127">
        <v>44999</v>
      </c>
      <c r="J182" s="124">
        <v>1628</v>
      </c>
      <c r="K182" s="124" t="s">
        <v>1530</v>
      </c>
      <c r="L182" s="124"/>
      <c r="M182" s="125">
        <v>214720</v>
      </c>
      <c r="N182" s="148">
        <v>0</v>
      </c>
      <c r="O182" s="148">
        <v>0</v>
      </c>
      <c r="P182" s="149">
        <v>0</v>
      </c>
      <c r="Q182" s="148">
        <v>0</v>
      </c>
      <c r="R182" s="150">
        <v>214720</v>
      </c>
      <c r="S1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2" s="135">
        <f ca="1">+IF(PROVEEDORES[[#This Row],[FECHA DE PAGO]]=0,TODAY()-PROVEEDORES[[#This Row],[FECHA DE FACTURACIÓN]]-PROVEEDORES[[#This Row],[PLAZO Días]],0)</f>
        <v>0</v>
      </c>
      <c r="U182" s="135">
        <f>+VLOOKUP(PROVEEDORES[[#This Row],[PROVEEDOR]],Terceros!$A:$D,4,FALSE)</f>
        <v>0</v>
      </c>
      <c r="V182" s="135">
        <f>+YEAR(PROVEEDORES[[#This Row],[FECHA DE FACTURACIÓN]])</f>
        <v>2023</v>
      </c>
      <c r="W182" s="135">
        <f>+MATCH(PROVEEDORES[[#This Row],[año facturado]],Retenciones!$1:$1,0)</f>
        <v>6</v>
      </c>
      <c r="X182" s="136">
        <f>+VLOOKUP(PROVEEDORES[[#This Row],[ID RETENCION]],Retenciones!$A$1:$O$25,PROVEEDORES[[#This Row],[indicador de columna]],FALSE)</f>
        <v>0</v>
      </c>
      <c r="Y182" s="137">
        <f>+VLOOKUP(PROVEEDORES[[#This Row],[ID RETENCION]],Retenciones!$A$1:$O$25,2,FALSE)</f>
        <v>0</v>
      </c>
      <c r="Z182" s="126" t="b">
        <f>+OR(COUNTIF(PROVEEDORES[[#This Row],[PROVEEDOR]],"*"&amp;'Palabra que no opera y Listas d'!$A$2&amp;"*"))</f>
        <v>0</v>
      </c>
    </row>
    <row r="183" spans="1:26" ht="27.75" customHeight="1" x14ac:dyDescent="0.25">
      <c r="A183" s="141" t="str">
        <f>+IF(PROVEEDORES[[#This Row],[FECHA DE PAGO]]=PROVEEDORES[[#This Row],[FECHA DE FACTURACIÓN]],"DE CONTADO","CRÉDITO")</f>
        <v>CRÉDITO</v>
      </c>
      <c r="B183" s="138" t="b">
        <f>+IF((PROVEEDORES[[#This Row],[FECHA DE PAGO]]-PROVEEDORES[[#This Row],[FECHA DE FACTURACIÓN]])&gt;PROVEEDORES[[#This Row],[PLAZO Días]],"PAGO VENCIDO")</f>
        <v>0</v>
      </c>
      <c r="C183" s="138">
        <f>+VLOOKUP(PROVEEDORES[[#This Row],[PROVEEDOR]],TERCEROS_INFO[#All],2,FALSE)</f>
        <v>60</v>
      </c>
      <c r="D183" s="139">
        <f>+SUMIFS(PROVEEDORES[Total],PROVEEDORES[PROVEEDOR],PROVEEDORES[[#This Row],[PROVEEDOR]],PROVEEDORES[FECHA DE PAGO],"")</f>
        <v>1730482</v>
      </c>
      <c r="E183" s="140"/>
      <c r="F183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83" s="127">
        <v>45026</v>
      </c>
      <c r="H183" s="123" t="s">
        <v>222</v>
      </c>
      <c r="I183" s="127">
        <v>44999</v>
      </c>
      <c r="J183" s="124">
        <v>1635</v>
      </c>
      <c r="K183" s="124" t="s">
        <v>1530</v>
      </c>
      <c r="L183" s="124"/>
      <c r="M183" s="125">
        <v>191200</v>
      </c>
      <c r="N183" s="148">
        <v>0</v>
      </c>
      <c r="O183" s="148">
        <v>0</v>
      </c>
      <c r="P183" s="149">
        <v>0</v>
      </c>
      <c r="Q183" s="148">
        <v>0</v>
      </c>
      <c r="R183" s="150">
        <v>191200</v>
      </c>
      <c r="S1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3" s="135">
        <f ca="1">+IF(PROVEEDORES[[#This Row],[FECHA DE PAGO]]=0,TODAY()-PROVEEDORES[[#This Row],[FECHA DE FACTURACIÓN]]-PROVEEDORES[[#This Row],[PLAZO Días]],0)</f>
        <v>0</v>
      </c>
      <c r="U183" s="135">
        <f>+VLOOKUP(PROVEEDORES[[#This Row],[PROVEEDOR]],Terceros!$A:$D,4,FALSE)</f>
        <v>0</v>
      </c>
      <c r="V183" s="135">
        <f>+YEAR(PROVEEDORES[[#This Row],[FECHA DE FACTURACIÓN]])</f>
        <v>2023</v>
      </c>
      <c r="W183" s="135">
        <f>+MATCH(PROVEEDORES[[#This Row],[año facturado]],Retenciones!$1:$1,0)</f>
        <v>6</v>
      </c>
      <c r="X183" s="136">
        <f>+VLOOKUP(PROVEEDORES[[#This Row],[ID RETENCION]],Retenciones!$A$1:$O$25,PROVEEDORES[[#This Row],[indicador de columna]],FALSE)</f>
        <v>0</v>
      </c>
      <c r="Y183" s="137">
        <f>+VLOOKUP(PROVEEDORES[[#This Row],[ID RETENCION]],Retenciones!$A$1:$O$25,2,FALSE)</f>
        <v>0</v>
      </c>
      <c r="Z183" s="126" t="b">
        <f>+OR(COUNTIF(PROVEEDORES[[#This Row],[PROVEEDOR]],"*"&amp;'Palabra que no opera y Listas d'!$A$2&amp;"*"))</f>
        <v>0</v>
      </c>
    </row>
    <row r="184" spans="1:26" ht="27.75" customHeight="1" x14ac:dyDescent="0.25">
      <c r="A184" s="141" t="str">
        <f>+IF(PROVEEDORES[[#This Row],[FECHA DE PAGO]]=PROVEEDORES[[#This Row],[FECHA DE FACTURACIÓN]],"DE CONTADO","CRÉDITO")</f>
        <v>CRÉDITO</v>
      </c>
      <c r="B184" s="138" t="b">
        <f>+IF((PROVEEDORES[[#This Row],[FECHA DE PAGO]]-PROVEEDORES[[#This Row],[FECHA DE FACTURACIÓN]])&gt;PROVEEDORES[[#This Row],[PLAZO Días]],"PAGO VENCIDO")</f>
        <v>0</v>
      </c>
      <c r="C184" s="138">
        <f>+VLOOKUP(PROVEEDORES[[#This Row],[PROVEEDOR]],TERCEROS_INFO[#All],2,FALSE)</f>
        <v>45</v>
      </c>
      <c r="D184" s="139">
        <f>+SUMIFS(PROVEEDORES[Total],PROVEEDORES[PROVEEDOR],PROVEEDORES[[#This Row],[PROVEEDOR]],PROVEEDORES[FECHA DE PAGO],"")</f>
        <v>0</v>
      </c>
      <c r="E184" s="140"/>
      <c r="F184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84" s="127">
        <v>45026</v>
      </c>
      <c r="H184" s="123" t="s">
        <v>224</v>
      </c>
      <c r="I184" s="127">
        <v>44999</v>
      </c>
      <c r="J184" s="124">
        <v>1629</v>
      </c>
      <c r="K184" s="124" t="s">
        <v>1530</v>
      </c>
      <c r="L184" s="124"/>
      <c r="M184" s="125">
        <v>3635600</v>
      </c>
      <c r="N184" s="148">
        <v>0</v>
      </c>
      <c r="O184" s="148">
        <v>0</v>
      </c>
      <c r="P184" s="149">
        <v>0</v>
      </c>
      <c r="Q184" s="148">
        <v>0</v>
      </c>
      <c r="R184" s="150">
        <v>3635600</v>
      </c>
      <c r="S1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4" s="135">
        <f ca="1">+IF(PROVEEDORES[[#This Row],[FECHA DE PAGO]]=0,TODAY()-PROVEEDORES[[#This Row],[FECHA DE FACTURACIÓN]]-PROVEEDORES[[#This Row],[PLAZO Días]],0)</f>
        <v>0</v>
      </c>
      <c r="U184" s="135">
        <f>+VLOOKUP(PROVEEDORES[[#This Row],[PROVEEDOR]],Terceros!$A:$D,4,FALSE)</f>
        <v>0</v>
      </c>
      <c r="V184" s="135">
        <f>+YEAR(PROVEEDORES[[#This Row],[FECHA DE FACTURACIÓN]])</f>
        <v>2023</v>
      </c>
      <c r="W184" s="135">
        <f>+MATCH(PROVEEDORES[[#This Row],[año facturado]],Retenciones!$1:$1,0)</f>
        <v>6</v>
      </c>
      <c r="X184" s="136">
        <f>+VLOOKUP(PROVEEDORES[[#This Row],[ID RETENCION]],Retenciones!$A$1:$O$25,PROVEEDORES[[#This Row],[indicador de columna]],FALSE)</f>
        <v>0</v>
      </c>
      <c r="Y184" s="137">
        <f>+VLOOKUP(PROVEEDORES[[#This Row],[ID RETENCION]],Retenciones!$A$1:$O$25,2,FALSE)</f>
        <v>0</v>
      </c>
      <c r="Z184" s="126" t="b">
        <f>+OR(COUNTIF(PROVEEDORES[[#This Row],[PROVEEDOR]],"*"&amp;'Palabra que no opera y Listas d'!$A$2&amp;"*"))</f>
        <v>0</v>
      </c>
    </row>
    <row r="185" spans="1:26" ht="27.75" customHeight="1" x14ac:dyDescent="0.25">
      <c r="A185" s="141" t="str">
        <f>+IF(PROVEEDORES[[#This Row],[FECHA DE PAGO]]=PROVEEDORES[[#This Row],[FECHA DE FACTURACIÓN]],"DE CONTADO","CRÉDITO")</f>
        <v>CRÉDITO</v>
      </c>
      <c r="B185" s="138" t="b">
        <f>+IF((PROVEEDORES[[#This Row],[FECHA DE PAGO]]-PROVEEDORES[[#This Row],[FECHA DE FACTURACIÓN]])&gt;PROVEEDORES[[#This Row],[PLAZO Días]],"PAGO VENCIDO")</f>
        <v>0</v>
      </c>
      <c r="C185" s="138">
        <f>+VLOOKUP(PROVEEDORES[[#This Row],[PROVEEDOR]],TERCEROS_INFO[#All],2,FALSE)</f>
        <v>60</v>
      </c>
      <c r="D185" s="139">
        <f>+SUMIFS(PROVEEDORES[Total],PROVEEDORES[PROVEEDOR],PROVEEDORES[[#This Row],[PROVEEDOR]],PROVEEDORES[FECHA DE PAGO],"")</f>
        <v>1730482</v>
      </c>
      <c r="E185" s="140"/>
      <c r="F185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85" s="127">
        <v>45026</v>
      </c>
      <c r="H185" s="123" t="s">
        <v>222</v>
      </c>
      <c r="I185" s="127">
        <v>45002</v>
      </c>
      <c r="J185" s="124">
        <v>1634</v>
      </c>
      <c r="K185" s="124" t="s">
        <v>1530</v>
      </c>
      <c r="L185" s="124"/>
      <c r="M185" s="125">
        <v>191200</v>
      </c>
      <c r="N185" s="148">
        <v>0</v>
      </c>
      <c r="O185" s="148">
        <v>0</v>
      </c>
      <c r="P185" s="149">
        <v>0</v>
      </c>
      <c r="Q185" s="148">
        <v>0</v>
      </c>
      <c r="R185" s="150">
        <v>191200</v>
      </c>
      <c r="S1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5" s="135">
        <f ca="1">+IF(PROVEEDORES[[#This Row],[FECHA DE PAGO]]=0,TODAY()-PROVEEDORES[[#This Row],[FECHA DE FACTURACIÓN]]-PROVEEDORES[[#This Row],[PLAZO Días]],0)</f>
        <v>0</v>
      </c>
      <c r="U185" s="135">
        <f>+VLOOKUP(PROVEEDORES[[#This Row],[PROVEEDOR]],Terceros!$A:$D,4,FALSE)</f>
        <v>0</v>
      </c>
      <c r="V185" s="135">
        <f>+YEAR(PROVEEDORES[[#This Row],[FECHA DE FACTURACIÓN]])</f>
        <v>2023</v>
      </c>
      <c r="W185" s="135">
        <f>+MATCH(PROVEEDORES[[#This Row],[año facturado]],Retenciones!$1:$1,0)</f>
        <v>6</v>
      </c>
      <c r="X185" s="136">
        <f>+VLOOKUP(PROVEEDORES[[#This Row],[ID RETENCION]],Retenciones!$A$1:$O$25,PROVEEDORES[[#This Row],[indicador de columna]],FALSE)</f>
        <v>0</v>
      </c>
      <c r="Y185" s="137">
        <f>+VLOOKUP(PROVEEDORES[[#This Row],[ID RETENCION]],Retenciones!$A$1:$O$25,2,FALSE)</f>
        <v>0</v>
      </c>
      <c r="Z185" s="126" t="b">
        <f>+OR(COUNTIF(PROVEEDORES[[#This Row],[PROVEEDOR]],"*"&amp;'Palabra que no opera y Listas d'!$A$2&amp;"*"))</f>
        <v>0</v>
      </c>
    </row>
    <row r="186" spans="1:26" ht="27.75" customHeight="1" x14ac:dyDescent="0.25">
      <c r="A186" s="141" t="str">
        <f>+IF(PROVEEDORES[[#This Row],[FECHA DE PAGO]]=PROVEEDORES[[#This Row],[FECHA DE FACTURACIÓN]],"DE CONTADO","CRÉDITO")</f>
        <v>CRÉDITO</v>
      </c>
      <c r="B186" s="138" t="b">
        <f>+IF((PROVEEDORES[[#This Row],[FECHA DE PAGO]]-PROVEEDORES[[#This Row],[FECHA DE FACTURACIÓN]])&gt;PROVEEDORES[[#This Row],[PLAZO Días]],"PAGO VENCIDO")</f>
        <v>0</v>
      </c>
      <c r="C186" s="138">
        <f>+VLOOKUP(PROVEEDORES[[#This Row],[PROVEEDOR]],TERCEROS_INFO[#All],2,FALSE)</f>
        <v>60</v>
      </c>
      <c r="D186" s="139">
        <f>+SUMIFS(PROVEEDORES[Total],PROVEEDORES[PROVEEDOR],PROVEEDORES[[#This Row],[PROVEEDOR]],PROVEEDORES[FECHA DE PAGO],"")</f>
        <v>1730482</v>
      </c>
      <c r="E186" s="140"/>
      <c r="F186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86" s="127">
        <v>45026</v>
      </c>
      <c r="H186" s="123" t="s">
        <v>222</v>
      </c>
      <c r="I186" s="127">
        <v>45009</v>
      </c>
      <c r="J186" s="124">
        <v>1640</v>
      </c>
      <c r="K186" s="124" t="s">
        <v>1530</v>
      </c>
      <c r="L186" s="124"/>
      <c r="M186" s="125">
        <v>206800</v>
      </c>
      <c r="N186" s="148">
        <v>0</v>
      </c>
      <c r="O186" s="148">
        <v>0</v>
      </c>
      <c r="P186" s="149">
        <v>0</v>
      </c>
      <c r="Q186" s="148">
        <v>0</v>
      </c>
      <c r="R186" s="150">
        <v>206800</v>
      </c>
      <c r="S1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6" s="135">
        <f ca="1">+IF(PROVEEDORES[[#This Row],[FECHA DE PAGO]]=0,TODAY()-PROVEEDORES[[#This Row],[FECHA DE FACTURACIÓN]]-PROVEEDORES[[#This Row],[PLAZO Días]],0)</f>
        <v>0</v>
      </c>
      <c r="U186" s="135">
        <f>+VLOOKUP(PROVEEDORES[[#This Row],[PROVEEDOR]],Terceros!$A:$D,4,FALSE)</f>
        <v>0</v>
      </c>
      <c r="V186" s="135">
        <f>+YEAR(PROVEEDORES[[#This Row],[FECHA DE FACTURACIÓN]])</f>
        <v>2023</v>
      </c>
      <c r="W186" s="135">
        <f>+MATCH(PROVEEDORES[[#This Row],[año facturado]],Retenciones!$1:$1,0)</f>
        <v>6</v>
      </c>
      <c r="X186" s="136">
        <f>+VLOOKUP(PROVEEDORES[[#This Row],[ID RETENCION]],Retenciones!$A$1:$O$25,PROVEEDORES[[#This Row],[indicador de columna]],FALSE)</f>
        <v>0</v>
      </c>
      <c r="Y186" s="137">
        <f>+VLOOKUP(PROVEEDORES[[#This Row],[ID RETENCION]],Retenciones!$A$1:$O$25,2,FALSE)</f>
        <v>0</v>
      </c>
      <c r="Z186" s="126" t="b">
        <f>+OR(COUNTIF(PROVEEDORES[[#This Row],[PROVEEDOR]],"*"&amp;'Palabra que no opera y Listas d'!$A$2&amp;"*"))</f>
        <v>0</v>
      </c>
    </row>
    <row r="187" spans="1:26" ht="27.75" customHeight="1" x14ac:dyDescent="0.25">
      <c r="A187" s="141" t="str">
        <f>+IF(PROVEEDORES[[#This Row],[FECHA DE PAGO]]=PROVEEDORES[[#This Row],[FECHA DE FACTURACIÓN]],"DE CONTADO","CRÉDITO")</f>
        <v>CRÉDITO</v>
      </c>
      <c r="B187" s="138" t="b">
        <f>+IF((PROVEEDORES[[#This Row],[FECHA DE PAGO]]-PROVEEDORES[[#This Row],[FECHA DE FACTURACIÓN]])&gt;PROVEEDORES[[#This Row],[PLAZO Días]],"PAGO VENCIDO")</f>
        <v>0</v>
      </c>
      <c r="C187" s="138">
        <f>+VLOOKUP(PROVEEDORES[[#This Row],[PROVEEDOR]],TERCEROS_INFO[#All],2,FALSE)</f>
        <v>30</v>
      </c>
      <c r="D187" s="139">
        <f>+SUMIFS(PROVEEDORES[Total],PROVEEDORES[PROVEEDOR],PROVEEDORES[[#This Row],[PROVEEDOR]],PROVEEDORES[FECHA DE PAGO],"")</f>
        <v>0</v>
      </c>
      <c r="E187" s="140"/>
      <c r="F187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7" s="127">
        <v>45026</v>
      </c>
      <c r="H187" s="123" t="s">
        <v>368</v>
      </c>
      <c r="I187" s="127">
        <v>45017</v>
      </c>
      <c r="J187" s="124" t="s">
        <v>678</v>
      </c>
      <c r="K187" s="124" t="s">
        <v>1530</v>
      </c>
      <c r="L187" s="124"/>
      <c r="M187" s="125">
        <v>10576</v>
      </c>
      <c r="N187" s="148">
        <v>2009.44</v>
      </c>
      <c r="O187" s="148">
        <v>0</v>
      </c>
      <c r="P187" s="149">
        <v>0</v>
      </c>
      <c r="Q187" s="148">
        <v>0</v>
      </c>
      <c r="R187" s="150">
        <v>12585.44</v>
      </c>
      <c r="S1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7" s="135">
        <f ca="1">+IF(PROVEEDORES[[#This Row],[FECHA DE PAGO]]=0,TODAY()-PROVEEDORES[[#This Row],[FECHA DE FACTURACIÓN]]-PROVEEDORES[[#This Row],[PLAZO Días]],0)</f>
        <v>0</v>
      </c>
      <c r="U187" s="135">
        <f>+VLOOKUP(PROVEEDORES[[#This Row],[PROVEEDOR]],Terceros!$A:$D,4,FALSE)</f>
        <v>0</v>
      </c>
      <c r="V187" s="135">
        <f>+YEAR(PROVEEDORES[[#This Row],[FECHA DE FACTURACIÓN]])</f>
        <v>2023</v>
      </c>
      <c r="W187" s="135">
        <f>+MATCH(PROVEEDORES[[#This Row],[año facturado]],Retenciones!$1:$1,0)</f>
        <v>6</v>
      </c>
      <c r="X187" s="136">
        <f>+VLOOKUP(PROVEEDORES[[#This Row],[ID RETENCION]],Retenciones!$A$1:$O$25,PROVEEDORES[[#This Row],[indicador de columna]],FALSE)</f>
        <v>0</v>
      </c>
      <c r="Y187" s="137">
        <f>+VLOOKUP(PROVEEDORES[[#This Row],[ID RETENCION]],Retenciones!$A$1:$O$25,2,FALSE)</f>
        <v>0</v>
      </c>
      <c r="Z187" s="126" t="b">
        <f>+OR(COUNTIF(PROVEEDORES[[#This Row],[PROVEEDOR]],"*"&amp;'Palabra que no opera y Listas d'!$A$2&amp;"*"))</f>
        <v>1</v>
      </c>
    </row>
    <row r="188" spans="1:26" ht="27.75" customHeight="1" x14ac:dyDescent="0.25">
      <c r="A188" s="141" t="str">
        <f>+IF(PROVEEDORES[[#This Row],[FECHA DE PAGO]]=PROVEEDORES[[#This Row],[FECHA DE FACTURACIÓN]],"DE CONTADO","CRÉDITO")</f>
        <v>CRÉDITO</v>
      </c>
      <c r="B188" s="138" t="b">
        <f>+IF((PROVEEDORES[[#This Row],[FECHA DE PAGO]]-PROVEEDORES[[#This Row],[FECHA DE FACTURACIÓN]])&gt;PROVEEDORES[[#This Row],[PLAZO Días]],"PAGO VENCIDO")</f>
        <v>0</v>
      </c>
      <c r="C188" s="138">
        <f>+VLOOKUP(PROVEEDORES[[#This Row],[PROVEEDOR]],TERCEROS_INFO[#All],2,FALSE)</f>
        <v>30</v>
      </c>
      <c r="D188" s="139">
        <f>+SUMIFS(PROVEEDORES[Total],PROVEEDORES[PROVEEDOR],PROVEEDORES[[#This Row],[PROVEEDOR]],PROVEEDORES[FECHA DE PAGO],"")</f>
        <v>0</v>
      </c>
      <c r="E188" s="140"/>
      <c r="F188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8" s="127">
        <v>45026</v>
      </c>
      <c r="H188" s="123" t="s">
        <v>368</v>
      </c>
      <c r="I188" s="127">
        <v>45017</v>
      </c>
      <c r="J188" s="124" t="s">
        <v>676</v>
      </c>
      <c r="K188" s="124" t="s">
        <v>1530</v>
      </c>
      <c r="L188" s="124"/>
      <c r="M188" s="125">
        <v>21962</v>
      </c>
      <c r="N188" s="148">
        <v>4172.78</v>
      </c>
      <c r="O188" s="148">
        <v>0</v>
      </c>
      <c r="P188" s="149">
        <v>0</v>
      </c>
      <c r="Q188" s="148">
        <v>0</v>
      </c>
      <c r="R188" s="150">
        <v>26134.78</v>
      </c>
      <c r="S1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8" s="135">
        <f ca="1">+IF(PROVEEDORES[[#This Row],[FECHA DE PAGO]]=0,TODAY()-PROVEEDORES[[#This Row],[FECHA DE FACTURACIÓN]]-PROVEEDORES[[#This Row],[PLAZO Días]],0)</f>
        <v>0</v>
      </c>
      <c r="U188" s="135">
        <f>+VLOOKUP(PROVEEDORES[[#This Row],[PROVEEDOR]],Terceros!$A:$D,4,FALSE)</f>
        <v>0</v>
      </c>
      <c r="V188" s="135">
        <f>+YEAR(PROVEEDORES[[#This Row],[FECHA DE FACTURACIÓN]])</f>
        <v>2023</v>
      </c>
      <c r="W188" s="135">
        <f>+MATCH(PROVEEDORES[[#This Row],[año facturado]],Retenciones!$1:$1,0)</f>
        <v>6</v>
      </c>
      <c r="X188" s="136">
        <f>+VLOOKUP(PROVEEDORES[[#This Row],[ID RETENCION]],Retenciones!$A$1:$O$25,PROVEEDORES[[#This Row],[indicador de columna]],FALSE)</f>
        <v>0</v>
      </c>
      <c r="Y188" s="137">
        <f>+VLOOKUP(PROVEEDORES[[#This Row],[ID RETENCION]],Retenciones!$A$1:$O$25,2,FALSE)</f>
        <v>0</v>
      </c>
      <c r="Z188" s="126" t="b">
        <f>+OR(COUNTIF(PROVEEDORES[[#This Row],[PROVEEDOR]],"*"&amp;'Palabra que no opera y Listas d'!$A$2&amp;"*"))</f>
        <v>1</v>
      </c>
    </row>
    <row r="189" spans="1:26" ht="27.75" customHeight="1" x14ac:dyDescent="0.25">
      <c r="A189" s="141" t="str">
        <f>+IF(PROVEEDORES[[#This Row],[FECHA DE PAGO]]=PROVEEDORES[[#This Row],[FECHA DE FACTURACIÓN]],"DE CONTADO","CRÉDITO")</f>
        <v>CRÉDITO</v>
      </c>
      <c r="B189" s="138" t="b">
        <f>+IF((PROVEEDORES[[#This Row],[FECHA DE PAGO]]-PROVEEDORES[[#This Row],[FECHA DE FACTURACIÓN]])&gt;PROVEEDORES[[#This Row],[PLAZO Días]],"PAGO VENCIDO")</f>
        <v>0</v>
      </c>
      <c r="C189" s="138">
        <f>+VLOOKUP(PROVEEDORES[[#This Row],[PROVEEDOR]],TERCEROS_INFO[#All],2,FALSE)</f>
        <v>30</v>
      </c>
      <c r="D189" s="139">
        <f>+SUMIFS(PROVEEDORES[Total],PROVEEDORES[PROVEEDOR],PROVEEDORES[[#This Row],[PROVEEDOR]],PROVEEDORES[FECHA DE PAGO],"")</f>
        <v>0</v>
      </c>
      <c r="E189" s="140"/>
      <c r="F189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89" s="127">
        <v>45026</v>
      </c>
      <c r="H189" s="123" t="s">
        <v>368</v>
      </c>
      <c r="I189" s="127">
        <v>45017</v>
      </c>
      <c r="J189" s="124" t="s">
        <v>677</v>
      </c>
      <c r="K189" s="124" t="s">
        <v>1530</v>
      </c>
      <c r="L189" s="124"/>
      <c r="M189" s="125">
        <v>41729</v>
      </c>
      <c r="N189" s="148">
        <v>7928.51</v>
      </c>
      <c r="O189" s="148">
        <v>0</v>
      </c>
      <c r="P189" s="149">
        <v>0</v>
      </c>
      <c r="Q189" s="148">
        <v>0</v>
      </c>
      <c r="R189" s="150">
        <v>49657.51</v>
      </c>
      <c r="S1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89" s="135">
        <f ca="1">+IF(PROVEEDORES[[#This Row],[FECHA DE PAGO]]=0,TODAY()-PROVEEDORES[[#This Row],[FECHA DE FACTURACIÓN]]-PROVEEDORES[[#This Row],[PLAZO Días]],0)</f>
        <v>0</v>
      </c>
      <c r="U189" s="135">
        <f>+VLOOKUP(PROVEEDORES[[#This Row],[PROVEEDOR]],Terceros!$A:$D,4,FALSE)</f>
        <v>0</v>
      </c>
      <c r="V189" s="135">
        <f>+YEAR(PROVEEDORES[[#This Row],[FECHA DE FACTURACIÓN]])</f>
        <v>2023</v>
      </c>
      <c r="W189" s="135">
        <f>+MATCH(PROVEEDORES[[#This Row],[año facturado]],Retenciones!$1:$1,0)</f>
        <v>6</v>
      </c>
      <c r="X189" s="136">
        <f>+VLOOKUP(PROVEEDORES[[#This Row],[ID RETENCION]],Retenciones!$A$1:$O$25,PROVEEDORES[[#This Row],[indicador de columna]],FALSE)</f>
        <v>0</v>
      </c>
      <c r="Y189" s="137">
        <f>+VLOOKUP(PROVEEDORES[[#This Row],[ID RETENCION]],Retenciones!$A$1:$O$25,2,FALSE)</f>
        <v>0</v>
      </c>
      <c r="Z189" s="126" t="b">
        <f>+OR(COUNTIF(PROVEEDORES[[#This Row],[PROVEEDOR]],"*"&amp;'Palabra que no opera y Listas d'!$A$2&amp;"*"))</f>
        <v>1</v>
      </c>
    </row>
    <row r="190" spans="1:26" ht="27.75" customHeight="1" x14ac:dyDescent="0.25">
      <c r="A190" s="141" t="str">
        <f>+IF(PROVEEDORES[[#This Row],[FECHA DE PAGO]]=PROVEEDORES[[#This Row],[FECHA DE FACTURACIÓN]],"DE CONTADO","CRÉDITO")</f>
        <v>CRÉDITO</v>
      </c>
      <c r="B190" s="138" t="b">
        <f>+IF((PROVEEDORES[[#This Row],[FECHA DE PAGO]]-PROVEEDORES[[#This Row],[FECHA DE FACTURACIÓN]])&gt;PROVEEDORES[[#This Row],[PLAZO Días]],"PAGO VENCIDO")</f>
        <v>0</v>
      </c>
      <c r="C190" s="138">
        <f>+VLOOKUP(PROVEEDORES[[#This Row],[PROVEEDOR]],TERCEROS_INFO[#All],2,FALSE)</f>
        <v>30</v>
      </c>
      <c r="D190" s="139">
        <f>+SUMIFS(PROVEEDORES[Total],PROVEEDORES[PROVEEDOR],PROVEEDORES[[#This Row],[PROVEEDOR]],PROVEEDORES[FECHA DE PAGO],"")</f>
        <v>0</v>
      </c>
      <c r="E190" s="140"/>
      <c r="F190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90" s="127">
        <v>45026</v>
      </c>
      <c r="H190" s="123" t="s">
        <v>368</v>
      </c>
      <c r="I190" s="127">
        <v>45017</v>
      </c>
      <c r="J190" s="124" t="s">
        <v>675</v>
      </c>
      <c r="K190" s="124" t="s">
        <v>1530</v>
      </c>
      <c r="L190" s="124"/>
      <c r="M190" s="125">
        <v>908172</v>
      </c>
      <c r="N190" s="148">
        <v>172552.68</v>
      </c>
      <c r="O190" s="148">
        <v>0</v>
      </c>
      <c r="P190" s="149">
        <v>0</v>
      </c>
      <c r="Q190" s="148">
        <v>0</v>
      </c>
      <c r="R190" s="150">
        <v>1080724.68</v>
      </c>
      <c r="S1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0" s="135">
        <f ca="1">+IF(PROVEEDORES[[#This Row],[FECHA DE PAGO]]=0,TODAY()-PROVEEDORES[[#This Row],[FECHA DE FACTURACIÓN]]-PROVEEDORES[[#This Row],[PLAZO Días]],0)</f>
        <v>0</v>
      </c>
      <c r="U190" s="135">
        <f>+VLOOKUP(PROVEEDORES[[#This Row],[PROVEEDOR]],Terceros!$A:$D,4,FALSE)</f>
        <v>0</v>
      </c>
      <c r="V190" s="135">
        <f>+YEAR(PROVEEDORES[[#This Row],[FECHA DE FACTURACIÓN]])</f>
        <v>2023</v>
      </c>
      <c r="W190" s="135">
        <f>+MATCH(PROVEEDORES[[#This Row],[año facturado]],Retenciones!$1:$1,0)</f>
        <v>6</v>
      </c>
      <c r="X190" s="136">
        <f>+VLOOKUP(PROVEEDORES[[#This Row],[ID RETENCION]],Retenciones!$A$1:$O$25,PROVEEDORES[[#This Row],[indicador de columna]],FALSE)</f>
        <v>0</v>
      </c>
      <c r="Y190" s="137">
        <f>+VLOOKUP(PROVEEDORES[[#This Row],[ID RETENCION]],Retenciones!$A$1:$O$25,2,FALSE)</f>
        <v>0</v>
      </c>
      <c r="Z190" s="126" t="b">
        <f>+OR(COUNTIF(PROVEEDORES[[#This Row],[PROVEEDOR]],"*"&amp;'Palabra que no opera y Listas d'!$A$2&amp;"*"))</f>
        <v>1</v>
      </c>
    </row>
    <row r="191" spans="1:26" ht="27.75" customHeight="1" x14ac:dyDescent="0.25">
      <c r="A191" s="141" t="str">
        <f>+IF(PROVEEDORES[[#This Row],[FECHA DE PAGO]]=PROVEEDORES[[#This Row],[FECHA DE FACTURACIÓN]],"DE CONTADO","CRÉDITO")</f>
        <v>CRÉDITO</v>
      </c>
      <c r="B191" s="138" t="b">
        <f>+IF((PROVEEDORES[[#This Row],[FECHA DE PAGO]]-PROVEEDORES[[#This Row],[FECHA DE FACTURACIÓN]])&gt;PROVEEDORES[[#This Row],[PLAZO Días]],"PAGO VENCIDO")</f>
        <v>0</v>
      </c>
      <c r="C191" s="138">
        <f>+VLOOKUP(PROVEEDORES[[#This Row],[PROVEEDOR]],TERCEROS_INFO[#All],2,FALSE)</f>
        <v>30</v>
      </c>
      <c r="D191" s="139">
        <f>+SUMIFS(PROVEEDORES[Total],PROVEEDORES[PROVEEDOR],PROVEEDORES[[#This Row],[PROVEEDOR]],PROVEEDORES[FECHA DE PAGO],"")</f>
        <v>0</v>
      </c>
      <c r="E191" s="140"/>
      <c r="F191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91" s="127">
        <v>45026</v>
      </c>
      <c r="H191" s="123" t="s">
        <v>368</v>
      </c>
      <c r="I191" s="127">
        <v>45017</v>
      </c>
      <c r="J191" s="124" t="s">
        <v>674</v>
      </c>
      <c r="K191" s="124" t="s">
        <v>1530</v>
      </c>
      <c r="L191" s="124"/>
      <c r="M191" s="125">
        <v>3792544</v>
      </c>
      <c r="N191" s="148">
        <v>720583.36</v>
      </c>
      <c r="O191" s="148">
        <v>0</v>
      </c>
      <c r="P191" s="149">
        <v>0</v>
      </c>
      <c r="Q191" s="148">
        <v>0</v>
      </c>
      <c r="R191" s="150">
        <v>4513127.3600000003</v>
      </c>
      <c r="S1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1" s="135">
        <f ca="1">+IF(PROVEEDORES[[#This Row],[FECHA DE PAGO]]=0,TODAY()-PROVEEDORES[[#This Row],[FECHA DE FACTURACIÓN]]-PROVEEDORES[[#This Row],[PLAZO Días]],0)</f>
        <v>0</v>
      </c>
      <c r="U191" s="135">
        <f>+VLOOKUP(PROVEEDORES[[#This Row],[PROVEEDOR]],Terceros!$A:$D,4,FALSE)</f>
        <v>0</v>
      </c>
      <c r="V191" s="135">
        <f>+YEAR(PROVEEDORES[[#This Row],[FECHA DE FACTURACIÓN]])</f>
        <v>2023</v>
      </c>
      <c r="W191" s="135">
        <f>+MATCH(PROVEEDORES[[#This Row],[año facturado]],Retenciones!$1:$1,0)</f>
        <v>6</v>
      </c>
      <c r="X191" s="136">
        <f>+VLOOKUP(PROVEEDORES[[#This Row],[ID RETENCION]],Retenciones!$A$1:$O$25,PROVEEDORES[[#This Row],[indicador de columna]],FALSE)</f>
        <v>0</v>
      </c>
      <c r="Y191" s="137">
        <f>+VLOOKUP(PROVEEDORES[[#This Row],[ID RETENCION]],Retenciones!$A$1:$O$25,2,FALSE)</f>
        <v>0</v>
      </c>
      <c r="Z191" s="126" t="b">
        <f>+OR(COUNTIF(PROVEEDORES[[#This Row],[PROVEEDOR]],"*"&amp;'Palabra que no opera y Listas d'!$A$2&amp;"*"))</f>
        <v>1</v>
      </c>
    </row>
    <row r="192" spans="1:26" ht="27.75" customHeight="1" x14ac:dyDescent="0.25">
      <c r="A192" s="141" t="str">
        <f>+IF(PROVEEDORES[[#This Row],[FECHA DE PAGO]]=PROVEEDORES[[#This Row],[FECHA DE FACTURACIÓN]],"DE CONTADO","CRÉDITO")</f>
        <v>CRÉDITO</v>
      </c>
      <c r="B192" s="138" t="b">
        <f>+IF((PROVEEDORES[[#This Row],[FECHA DE PAGO]]-PROVEEDORES[[#This Row],[FECHA DE FACTURACIÓN]])&gt;PROVEEDORES[[#This Row],[PLAZO Días]],"PAGO VENCIDO")</f>
        <v>0</v>
      </c>
      <c r="C192" s="138">
        <f>+VLOOKUP(PROVEEDORES[[#This Row],[PROVEEDOR]],TERCEROS_INFO[#All],2,FALSE)</f>
        <v>30</v>
      </c>
      <c r="D192" s="139">
        <f>+SUMIFS(PROVEEDORES[Total],PROVEEDORES[PROVEEDOR],PROVEEDORES[[#This Row],[PROVEEDOR]],PROVEEDORES[FECHA DE PAGO],"")</f>
        <v>0</v>
      </c>
      <c r="E192" s="140"/>
      <c r="F192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92" s="127">
        <v>45026</v>
      </c>
      <c r="H192" s="123" t="s">
        <v>382</v>
      </c>
      <c r="I192" s="127">
        <v>45017</v>
      </c>
      <c r="J192" s="124" t="s">
        <v>670</v>
      </c>
      <c r="K192" s="124" t="s">
        <v>1530</v>
      </c>
      <c r="L192" s="124"/>
      <c r="M192" s="125">
        <v>934499</v>
      </c>
      <c r="N192" s="148">
        <v>0</v>
      </c>
      <c r="O192" s="148">
        <v>0</v>
      </c>
      <c r="P192" s="149">
        <v>0</v>
      </c>
      <c r="Q192" s="148">
        <v>0</v>
      </c>
      <c r="R192" s="150">
        <v>934499</v>
      </c>
      <c r="S1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2" s="135">
        <f ca="1">+IF(PROVEEDORES[[#This Row],[FECHA DE PAGO]]=0,TODAY()-PROVEEDORES[[#This Row],[FECHA DE FACTURACIÓN]]-PROVEEDORES[[#This Row],[PLAZO Días]],0)</f>
        <v>0</v>
      </c>
      <c r="U192" s="135">
        <f>+VLOOKUP(PROVEEDORES[[#This Row],[PROVEEDOR]],Terceros!$A:$D,4,FALSE)</f>
        <v>0</v>
      </c>
      <c r="V192" s="135">
        <f>+YEAR(PROVEEDORES[[#This Row],[FECHA DE FACTURACIÓN]])</f>
        <v>2023</v>
      </c>
      <c r="W192" s="135">
        <f>+MATCH(PROVEEDORES[[#This Row],[año facturado]],Retenciones!$1:$1,0)</f>
        <v>6</v>
      </c>
      <c r="X192" s="136">
        <f>+VLOOKUP(PROVEEDORES[[#This Row],[ID RETENCION]],Retenciones!$A$1:$O$25,PROVEEDORES[[#This Row],[indicador de columna]],FALSE)</f>
        <v>0</v>
      </c>
      <c r="Y192" s="137">
        <f>+VLOOKUP(PROVEEDORES[[#This Row],[ID RETENCION]],Retenciones!$A$1:$O$25,2,FALSE)</f>
        <v>0</v>
      </c>
      <c r="Z192" s="126" t="b">
        <f>+OR(COUNTIF(PROVEEDORES[[#This Row],[PROVEEDOR]],"*"&amp;'Palabra que no opera y Listas d'!$A$2&amp;"*"))</f>
        <v>1</v>
      </c>
    </row>
    <row r="193" spans="1:26" ht="27.75" customHeight="1" x14ac:dyDescent="0.25">
      <c r="A193" s="141" t="str">
        <f>+IF(PROVEEDORES[[#This Row],[FECHA DE PAGO]]=PROVEEDORES[[#This Row],[FECHA DE FACTURACIÓN]],"DE CONTADO","CRÉDITO")</f>
        <v>CRÉDITO</v>
      </c>
      <c r="B193" s="138" t="b">
        <f>+IF((PROVEEDORES[[#This Row],[FECHA DE PAGO]]-PROVEEDORES[[#This Row],[FECHA DE FACTURACIÓN]])&gt;PROVEEDORES[[#This Row],[PLAZO Días]],"PAGO VENCIDO")</f>
        <v>0</v>
      </c>
      <c r="C193" s="138">
        <f>+VLOOKUP(PROVEEDORES[[#This Row],[PROVEEDOR]],TERCEROS_INFO[#All],2,FALSE)</f>
        <v>30</v>
      </c>
      <c r="D193" s="139">
        <f>+SUMIFS(PROVEEDORES[Total],PROVEEDORES[PROVEEDOR],PROVEEDORES[[#This Row],[PROVEEDOR]],PROVEEDORES[FECHA DE PAGO],"")</f>
        <v>0</v>
      </c>
      <c r="E193" s="140"/>
      <c r="F193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93" s="127">
        <v>45026</v>
      </c>
      <c r="H193" s="123" t="s">
        <v>382</v>
      </c>
      <c r="I193" s="127">
        <v>45017</v>
      </c>
      <c r="J193" s="124" t="s">
        <v>671</v>
      </c>
      <c r="K193" s="124" t="s">
        <v>1530</v>
      </c>
      <c r="L193" s="124"/>
      <c r="M193" s="125">
        <v>913261</v>
      </c>
      <c r="N193" s="148">
        <v>0</v>
      </c>
      <c r="O193" s="148">
        <v>0</v>
      </c>
      <c r="P193" s="149">
        <v>0</v>
      </c>
      <c r="Q193" s="148">
        <v>0</v>
      </c>
      <c r="R193" s="150">
        <v>913261</v>
      </c>
      <c r="S1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3" s="135">
        <f ca="1">+IF(PROVEEDORES[[#This Row],[FECHA DE PAGO]]=0,TODAY()-PROVEEDORES[[#This Row],[FECHA DE FACTURACIÓN]]-PROVEEDORES[[#This Row],[PLAZO Días]],0)</f>
        <v>0</v>
      </c>
      <c r="U193" s="135">
        <f>+VLOOKUP(PROVEEDORES[[#This Row],[PROVEEDOR]],Terceros!$A:$D,4,FALSE)</f>
        <v>0</v>
      </c>
      <c r="V193" s="135">
        <f>+YEAR(PROVEEDORES[[#This Row],[FECHA DE FACTURACIÓN]])</f>
        <v>2023</v>
      </c>
      <c r="W193" s="135">
        <f>+MATCH(PROVEEDORES[[#This Row],[año facturado]],Retenciones!$1:$1,0)</f>
        <v>6</v>
      </c>
      <c r="X193" s="136">
        <f>+VLOOKUP(PROVEEDORES[[#This Row],[ID RETENCION]],Retenciones!$A$1:$O$25,PROVEEDORES[[#This Row],[indicador de columna]],FALSE)</f>
        <v>0</v>
      </c>
      <c r="Y193" s="137">
        <f>+VLOOKUP(PROVEEDORES[[#This Row],[ID RETENCION]],Retenciones!$A$1:$O$25,2,FALSE)</f>
        <v>0</v>
      </c>
      <c r="Z193" s="126" t="b">
        <f>+OR(COUNTIF(PROVEEDORES[[#This Row],[PROVEEDOR]],"*"&amp;'Palabra que no opera y Listas d'!$A$2&amp;"*"))</f>
        <v>1</v>
      </c>
    </row>
    <row r="194" spans="1:26" ht="27.75" customHeight="1" x14ac:dyDescent="0.25">
      <c r="A194" s="141" t="str">
        <f>+IF(PROVEEDORES[[#This Row],[FECHA DE PAGO]]=PROVEEDORES[[#This Row],[FECHA DE FACTURACIÓN]],"DE CONTADO","CRÉDITO")</f>
        <v>CRÉDITO</v>
      </c>
      <c r="B194" s="138" t="b">
        <f>+IF((PROVEEDORES[[#This Row],[FECHA DE PAGO]]-PROVEEDORES[[#This Row],[FECHA DE FACTURACIÓN]])&gt;PROVEEDORES[[#This Row],[PLAZO Días]],"PAGO VENCIDO")</f>
        <v>0</v>
      </c>
      <c r="C194" s="138">
        <f>+VLOOKUP(PROVEEDORES[[#This Row],[PROVEEDOR]],TERCEROS_INFO[#All],2,FALSE)</f>
        <v>30</v>
      </c>
      <c r="D194" s="139">
        <f>+SUMIFS(PROVEEDORES[Total],PROVEEDORES[PROVEEDOR],PROVEEDORES[[#This Row],[PROVEEDOR]],PROVEEDORES[FECHA DE PAGO],"")</f>
        <v>0</v>
      </c>
      <c r="E194" s="140"/>
      <c r="F194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94" s="127">
        <v>45026</v>
      </c>
      <c r="H194" s="123" t="s">
        <v>383</v>
      </c>
      <c r="I194" s="127">
        <v>45017</v>
      </c>
      <c r="J194" s="124" t="s">
        <v>673</v>
      </c>
      <c r="K194" s="124" t="s">
        <v>1530</v>
      </c>
      <c r="L194" s="124"/>
      <c r="M194" s="125">
        <v>3935776</v>
      </c>
      <c r="N194" s="148">
        <v>747797.44000000006</v>
      </c>
      <c r="O194" s="148">
        <v>0</v>
      </c>
      <c r="P194" s="149">
        <v>3.5000000000000003E-2</v>
      </c>
      <c r="Q194" s="148">
        <v>137752.16</v>
      </c>
      <c r="R194" s="150">
        <v>4545821.28</v>
      </c>
      <c r="S1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4" s="135">
        <f ca="1">+IF(PROVEEDORES[[#This Row],[FECHA DE PAGO]]=0,TODAY()-PROVEEDORES[[#This Row],[FECHA DE FACTURACIÓN]]-PROVEEDORES[[#This Row],[PLAZO Días]],0)</f>
        <v>0</v>
      </c>
      <c r="U194" s="135" t="str">
        <f>+VLOOKUP(PROVEEDORES[[#This Row],[PROVEEDOR]],Terceros!$A:$D,4,FALSE)</f>
        <v>3,5% sin base</v>
      </c>
      <c r="V194" s="135">
        <f>+YEAR(PROVEEDORES[[#This Row],[FECHA DE FACTURACIÓN]])</f>
        <v>2023</v>
      </c>
      <c r="W194" s="135">
        <f>+MATCH(PROVEEDORES[[#This Row],[año facturado]],Retenciones!$1:$1,0)</f>
        <v>6</v>
      </c>
      <c r="X194" s="136">
        <f>+VLOOKUP(PROVEEDORES[[#This Row],[ID RETENCION]],Retenciones!$A$1:$O$25,PROVEEDORES[[#This Row],[indicador de columna]],FALSE)</f>
        <v>0</v>
      </c>
      <c r="Y194" s="137">
        <f>+VLOOKUP(PROVEEDORES[[#This Row],[ID RETENCION]],Retenciones!$A$1:$O$25,2,FALSE)</f>
        <v>3.5000000000000003E-2</v>
      </c>
      <c r="Z194" s="126" t="b">
        <f>+OR(COUNTIF(PROVEEDORES[[#This Row],[PROVEEDOR]],"*"&amp;'Palabra que no opera y Listas d'!$A$2&amp;"*"))</f>
        <v>1</v>
      </c>
    </row>
    <row r="195" spans="1:26" ht="27.75" customHeight="1" x14ac:dyDescent="0.25">
      <c r="A195" s="141" t="str">
        <f>+IF(PROVEEDORES[[#This Row],[FECHA DE PAGO]]=PROVEEDORES[[#This Row],[FECHA DE FACTURACIÓN]],"DE CONTADO","CRÉDITO")</f>
        <v>CRÉDITO</v>
      </c>
      <c r="B195" s="138" t="b">
        <f>+IF((PROVEEDORES[[#This Row],[FECHA DE PAGO]]-PROVEEDORES[[#This Row],[FECHA DE FACTURACIÓN]])&gt;PROVEEDORES[[#This Row],[PLAZO Días]],"PAGO VENCIDO")</f>
        <v>0</v>
      </c>
      <c r="C195" s="138">
        <f>+VLOOKUP(PROVEEDORES[[#This Row],[PROVEEDOR]],TERCEROS_INFO[#All],2,FALSE)</f>
        <v>10</v>
      </c>
      <c r="D195" s="139">
        <f>+SUMIFS(PROVEEDORES[Total],PROVEEDORES[PROVEEDOR],PROVEEDORES[[#This Row],[PROVEEDOR]],PROVEEDORES[FECHA DE PAGO],"")</f>
        <v>0</v>
      </c>
      <c r="E195" s="140"/>
      <c r="F195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95" s="127">
        <v>45026</v>
      </c>
      <c r="H195" s="123" t="s">
        <v>482</v>
      </c>
      <c r="I195" s="127">
        <v>45017</v>
      </c>
      <c r="J195" s="124" t="s">
        <v>672</v>
      </c>
      <c r="K195" s="124" t="s">
        <v>1530</v>
      </c>
      <c r="L195" s="124"/>
      <c r="M195" s="125">
        <v>4730000</v>
      </c>
      <c r="N195" s="148">
        <v>898700</v>
      </c>
      <c r="O195" s="148">
        <v>0</v>
      </c>
      <c r="P195" s="149">
        <v>0</v>
      </c>
      <c r="Q195" s="148">
        <v>0</v>
      </c>
      <c r="R195" s="150">
        <v>5628700</v>
      </c>
      <c r="S1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5" s="135">
        <f ca="1">+IF(PROVEEDORES[[#This Row],[FECHA DE PAGO]]=0,TODAY()-PROVEEDORES[[#This Row],[FECHA DE FACTURACIÓN]]-PROVEEDORES[[#This Row],[PLAZO Días]],0)</f>
        <v>0</v>
      </c>
      <c r="U195" s="135">
        <f>+VLOOKUP(PROVEEDORES[[#This Row],[PROVEEDOR]],Terceros!$A:$D,4,FALSE)</f>
        <v>0</v>
      </c>
      <c r="V195" s="135">
        <f>+YEAR(PROVEEDORES[[#This Row],[FECHA DE FACTURACIÓN]])</f>
        <v>2023</v>
      </c>
      <c r="W195" s="135">
        <f>+MATCH(PROVEEDORES[[#This Row],[año facturado]],Retenciones!$1:$1,0)</f>
        <v>6</v>
      </c>
      <c r="X195" s="136">
        <f>+VLOOKUP(PROVEEDORES[[#This Row],[ID RETENCION]],Retenciones!$A$1:$O$25,PROVEEDORES[[#This Row],[indicador de columna]],FALSE)</f>
        <v>0</v>
      </c>
      <c r="Y195" s="137">
        <f>+VLOOKUP(PROVEEDORES[[#This Row],[ID RETENCION]],Retenciones!$A$1:$O$25,2,FALSE)</f>
        <v>0</v>
      </c>
      <c r="Z195" s="126" t="b">
        <f>+OR(COUNTIF(PROVEEDORES[[#This Row],[PROVEEDOR]],"*"&amp;'Palabra que no opera y Listas d'!$A$2&amp;"*"))</f>
        <v>1</v>
      </c>
    </row>
    <row r="196" spans="1:26" ht="27.75" customHeight="1" x14ac:dyDescent="0.25">
      <c r="A196" s="141" t="str">
        <f>+IF(PROVEEDORES[[#This Row],[FECHA DE PAGO]]=PROVEEDORES[[#This Row],[FECHA DE FACTURACIÓN]],"DE CONTADO","CRÉDITO")</f>
        <v>CRÉDITO</v>
      </c>
      <c r="B196" s="138" t="str">
        <f>+IF((PROVEEDORES[[#This Row],[FECHA DE PAGO]]-PROVEEDORES[[#This Row],[FECHA DE FACTURACIÓN]])&gt;PROVEEDORES[[#This Row],[PLAZO Días]],"PAGO VENCIDO")</f>
        <v>PAGO VENCIDO</v>
      </c>
      <c r="C196" s="138">
        <f>+VLOOKUP(PROVEEDORES[[#This Row],[PROVEEDOR]],TERCEROS_INFO[#All],2,FALSE)</f>
        <v>30</v>
      </c>
      <c r="D196" s="139">
        <f>+SUMIFS(PROVEEDORES[Total],PROVEEDORES[PROVEEDOR],PROVEEDORES[[#This Row],[PROVEEDOR]],PROVEEDORES[FECHA DE PAGO],"")</f>
        <v>0</v>
      </c>
      <c r="E196" s="140"/>
      <c r="F196" s="13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196" s="127">
        <v>45027</v>
      </c>
      <c r="H196" s="123" t="s">
        <v>1802</v>
      </c>
      <c r="I196" s="127">
        <v>44928</v>
      </c>
      <c r="J196" s="124">
        <v>2739</v>
      </c>
      <c r="K196" s="124" t="s">
        <v>1530</v>
      </c>
      <c r="L196" s="124"/>
      <c r="M196" s="125">
        <v>2244350</v>
      </c>
      <c r="N196" s="148">
        <v>0</v>
      </c>
      <c r="O196" s="148">
        <v>0</v>
      </c>
      <c r="P196" s="149">
        <v>0</v>
      </c>
      <c r="Q196" s="148">
        <v>0</v>
      </c>
      <c r="R196" s="150">
        <v>2244350</v>
      </c>
      <c r="S1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6" s="135">
        <f ca="1">+IF(PROVEEDORES[[#This Row],[FECHA DE PAGO]]=0,TODAY()-PROVEEDORES[[#This Row],[FECHA DE FACTURACIÓN]]-PROVEEDORES[[#This Row],[PLAZO Días]],0)</f>
        <v>0</v>
      </c>
      <c r="U196" s="135">
        <f>+VLOOKUP(PROVEEDORES[[#This Row],[PROVEEDOR]],Terceros!$A:$D,4,FALSE)</f>
        <v>0</v>
      </c>
      <c r="V196" s="135">
        <f>+YEAR(PROVEEDORES[[#This Row],[FECHA DE FACTURACIÓN]])</f>
        <v>2023</v>
      </c>
      <c r="W196" s="135">
        <f>+MATCH(PROVEEDORES[[#This Row],[año facturado]],Retenciones!$1:$1,0)</f>
        <v>6</v>
      </c>
      <c r="X196" s="136">
        <f>+VLOOKUP(PROVEEDORES[[#This Row],[ID RETENCION]],Retenciones!$A$1:$O$25,PROVEEDORES[[#This Row],[indicador de columna]],FALSE)</f>
        <v>0</v>
      </c>
      <c r="Y196" s="137">
        <f>+VLOOKUP(PROVEEDORES[[#This Row],[ID RETENCION]],Retenciones!$A$1:$O$25,2,FALSE)</f>
        <v>0</v>
      </c>
      <c r="Z196" s="126" t="b">
        <f>+OR(COUNTIF(PROVEEDORES[[#This Row],[PROVEEDOR]],"*"&amp;'Palabra que no opera y Listas d'!$A$2&amp;"*"))</f>
        <v>0</v>
      </c>
    </row>
    <row r="197" spans="1:26" ht="27.75" customHeight="1" x14ac:dyDescent="0.25">
      <c r="A197" s="141" t="str">
        <f>+IF(PROVEEDORES[[#This Row],[FECHA DE PAGO]]=PROVEEDORES[[#This Row],[FECHA DE FACTURACIÓN]],"DE CONTADO","CRÉDITO")</f>
        <v>CRÉDITO</v>
      </c>
      <c r="B197" s="138" t="str">
        <f>+IF((PROVEEDORES[[#This Row],[FECHA DE PAGO]]-PROVEEDORES[[#This Row],[FECHA DE FACTURACIÓN]])&gt;PROVEEDORES[[#This Row],[PLAZO Días]],"PAGO VENCIDO")</f>
        <v>PAGO VENCIDO</v>
      </c>
      <c r="C197" s="138">
        <f>+VLOOKUP(PROVEEDORES[[#This Row],[PROVEEDOR]],TERCEROS_INFO[#All],2,FALSE)</f>
        <v>30</v>
      </c>
      <c r="D197" s="139">
        <f>+SUMIFS(PROVEEDORES[Total],PROVEEDORES[PROVEEDOR],PROVEEDORES[[#This Row],[PROVEEDOR]],PROVEEDORES[FECHA DE PAGO],"")</f>
        <v>3130000</v>
      </c>
      <c r="E197" s="140"/>
      <c r="F197" s="138">
        <f>+VLOOKUP(PROVEEDORES[[#This Row],[PROVEEDOR]],
                       Terceros!$A:$F,
                       5,
                       FALSE)</f>
        <v>0</v>
      </c>
      <c r="G197" s="127">
        <v>45027</v>
      </c>
      <c r="H197" s="123" t="s">
        <v>472</v>
      </c>
      <c r="I197" s="127">
        <v>44992</v>
      </c>
      <c r="J197" s="124">
        <v>9740</v>
      </c>
      <c r="K197" s="124" t="s">
        <v>1530</v>
      </c>
      <c r="L197" s="124"/>
      <c r="M197" s="125">
        <v>1237000</v>
      </c>
      <c r="N197" s="148">
        <v>0</v>
      </c>
      <c r="O197" s="148">
        <v>0</v>
      </c>
      <c r="P197" s="149">
        <v>0</v>
      </c>
      <c r="Q197" s="148">
        <v>0</v>
      </c>
      <c r="R197" s="150">
        <v>1237000</v>
      </c>
      <c r="S1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7" s="135">
        <f ca="1">+IF(PROVEEDORES[[#This Row],[FECHA DE PAGO]]=0,TODAY()-PROVEEDORES[[#This Row],[FECHA DE FACTURACIÓN]]-PROVEEDORES[[#This Row],[PLAZO Días]],0)</f>
        <v>0</v>
      </c>
      <c r="U197" s="135">
        <f>+VLOOKUP(PROVEEDORES[[#This Row],[PROVEEDOR]],Terceros!$A:$D,4,FALSE)</f>
        <v>0</v>
      </c>
      <c r="V197" s="135">
        <f>+YEAR(PROVEEDORES[[#This Row],[FECHA DE FACTURACIÓN]])</f>
        <v>2023</v>
      </c>
      <c r="W197" s="135">
        <f>+MATCH(PROVEEDORES[[#This Row],[año facturado]],Retenciones!$1:$1,0)</f>
        <v>6</v>
      </c>
      <c r="X197" s="136">
        <f>+VLOOKUP(PROVEEDORES[[#This Row],[ID RETENCION]],Retenciones!$A$1:$O$25,PROVEEDORES[[#This Row],[indicador de columna]],FALSE)</f>
        <v>0</v>
      </c>
      <c r="Y197" s="137">
        <f>+VLOOKUP(PROVEEDORES[[#This Row],[ID RETENCION]],Retenciones!$A$1:$O$25,2,FALSE)</f>
        <v>0</v>
      </c>
      <c r="Z197" s="126" t="b">
        <f>+OR(COUNTIF(PROVEEDORES[[#This Row],[PROVEEDOR]],"*"&amp;'Palabra que no opera y Listas d'!$A$2&amp;"*"))</f>
        <v>0</v>
      </c>
    </row>
    <row r="198" spans="1:26" ht="27.75" customHeight="1" x14ac:dyDescent="0.25">
      <c r="A198" s="141" t="str">
        <f>+IF(PROVEEDORES[[#This Row],[FECHA DE PAGO]]=PROVEEDORES[[#This Row],[FECHA DE FACTURACIÓN]],"DE CONTADO","CRÉDITO")</f>
        <v>CRÉDITO</v>
      </c>
      <c r="B198" s="138" t="b">
        <f>+IF((PROVEEDORES[[#This Row],[FECHA DE PAGO]]-PROVEEDORES[[#This Row],[FECHA DE FACTURACIÓN]])&gt;PROVEEDORES[[#This Row],[PLAZO Días]],"PAGO VENCIDO")</f>
        <v>0</v>
      </c>
      <c r="C198" s="138">
        <f>+VLOOKUP(PROVEEDORES[[#This Row],[PROVEEDOR]],TERCEROS_INFO[#All],2,FALSE)</f>
        <v>30</v>
      </c>
      <c r="D198" s="139">
        <f>+SUMIFS(PROVEEDORES[Total],PROVEEDORES[PROVEEDOR],PROVEEDORES[[#This Row],[PROVEEDOR]],PROVEEDORES[FECHA DE PAGO],"")</f>
        <v>0</v>
      </c>
      <c r="E198" s="140"/>
      <c r="F198" s="138">
        <f>+VLOOKUP(PROVEEDORES[[#This Row],[PROVEEDOR]],
                       Terceros!$A:$F,
                       5,
                       FALSE)</f>
        <v>0</v>
      </c>
      <c r="G198" s="127">
        <v>45027</v>
      </c>
      <c r="H198" s="123" t="s">
        <v>492</v>
      </c>
      <c r="I198" s="127">
        <v>45002</v>
      </c>
      <c r="J198" s="124">
        <v>420</v>
      </c>
      <c r="K198" s="124" t="s">
        <v>1530</v>
      </c>
      <c r="L198" s="124"/>
      <c r="M198" s="125">
        <v>468000</v>
      </c>
      <c r="N198" s="148">
        <v>0</v>
      </c>
      <c r="O198" s="148">
        <v>0</v>
      </c>
      <c r="P198" s="149">
        <v>0</v>
      </c>
      <c r="Q198" s="148">
        <v>0</v>
      </c>
      <c r="R198" s="150">
        <v>468000</v>
      </c>
      <c r="S1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8" s="135">
        <f ca="1">+IF(PROVEEDORES[[#This Row],[FECHA DE PAGO]]=0,TODAY()-PROVEEDORES[[#This Row],[FECHA DE FACTURACIÓN]]-PROVEEDORES[[#This Row],[PLAZO Días]],0)</f>
        <v>0</v>
      </c>
      <c r="U198" s="135">
        <f>+VLOOKUP(PROVEEDORES[[#This Row],[PROVEEDOR]],Terceros!$A:$D,4,FALSE)</f>
        <v>0</v>
      </c>
      <c r="V198" s="135">
        <f>+YEAR(PROVEEDORES[[#This Row],[FECHA DE FACTURACIÓN]])</f>
        <v>2023</v>
      </c>
      <c r="W198" s="135">
        <f>+MATCH(PROVEEDORES[[#This Row],[año facturado]],Retenciones!$1:$1,0)</f>
        <v>6</v>
      </c>
      <c r="X198" s="136">
        <f>+VLOOKUP(PROVEEDORES[[#This Row],[ID RETENCION]],Retenciones!$A$1:$O$25,PROVEEDORES[[#This Row],[indicador de columna]],FALSE)</f>
        <v>0</v>
      </c>
      <c r="Y198" s="137">
        <f>+VLOOKUP(PROVEEDORES[[#This Row],[ID RETENCION]],Retenciones!$A$1:$O$25,2,FALSE)</f>
        <v>0</v>
      </c>
      <c r="Z198" s="126" t="b">
        <f>+OR(COUNTIF(PROVEEDORES[[#This Row],[PROVEEDOR]],"*"&amp;'Palabra que no opera y Listas d'!$A$2&amp;"*"))</f>
        <v>0</v>
      </c>
    </row>
    <row r="199" spans="1:26" ht="27.75" customHeight="1" x14ac:dyDescent="0.25">
      <c r="A199" s="141" t="str">
        <f>+IF(PROVEEDORES[[#This Row],[FECHA DE PAGO]]=PROVEEDORES[[#This Row],[FECHA DE FACTURACIÓN]],"DE CONTADO","CRÉDITO")</f>
        <v>CRÉDITO</v>
      </c>
      <c r="B199" s="138" t="b">
        <f>+IF((PROVEEDORES[[#This Row],[FECHA DE PAGO]]-PROVEEDORES[[#This Row],[FECHA DE FACTURACIÓN]])&gt;PROVEEDORES[[#This Row],[PLAZO Días]],"PAGO VENCIDO")</f>
        <v>0</v>
      </c>
      <c r="C199" s="138">
        <f>+VLOOKUP(PROVEEDORES[[#This Row],[PROVEEDOR]],TERCEROS_INFO[#All],2,FALSE)</f>
        <v>30</v>
      </c>
      <c r="D199" s="139">
        <f>+SUMIFS(PROVEEDORES[Total],PROVEEDORES[PROVEEDOR],PROVEEDORES[[#This Row],[PROVEEDOR]],PROVEEDORES[FECHA DE PAGO],"")</f>
        <v>0</v>
      </c>
      <c r="E199" s="140"/>
      <c r="F199" s="138">
        <f>+VLOOKUP(PROVEEDORES[[#This Row],[PROVEEDOR]],
                       Terceros!$A:$F,
                       5,
                       FALSE)</f>
        <v>0</v>
      </c>
      <c r="G199" s="127">
        <v>45027</v>
      </c>
      <c r="H199" s="123" t="s">
        <v>492</v>
      </c>
      <c r="I199" s="127">
        <v>45014</v>
      </c>
      <c r="J199" s="124">
        <v>423</v>
      </c>
      <c r="K199" s="124" t="s">
        <v>1530</v>
      </c>
      <c r="L199" s="124"/>
      <c r="M199" s="125">
        <v>468000</v>
      </c>
      <c r="N199" s="148">
        <v>0</v>
      </c>
      <c r="O199" s="148">
        <v>0</v>
      </c>
      <c r="P199" s="149">
        <v>0</v>
      </c>
      <c r="Q199" s="148">
        <v>0</v>
      </c>
      <c r="R199" s="150">
        <v>468000</v>
      </c>
      <c r="S1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99" s="135">
        <f ca="1">+IF(PROVEEDORES[[#This Row],[FECHA DE PAGO]]=0,TODAY()-PROVEEDORES[[#This Row],[FECHA DE FACTURACIÓN]]-PROVEEDORES[[#This Row],[PLAZO Días]],0)</f>
        <v>0</v>
      </c>
      <c r="U199" s="135">
        <f>+VLOOKUP(PROVEEDORES[[#This Row],[PROVEEDOR]],Terceros!$A:$D,4,FALSE)</f>
        <v>0</v>
      </c>
      <c r="V199" s="135">
        <f>+YEAR(PROVEEDORES[[#This Row],[FECHA DE FACTURACIÓN]])</f>
        <v>2023</v>
      </c>
      <c r="W199" s="135">
        <f>+MATCH(PROVEEDORES[[#This Row],[año facturado]],Retenciones!$1:$1,0)</f>
        <v>6</v>
      </c>
      <c r="X199" s="136">
        <f>+VLOOKUP(PROVEEDORES[[#This Row],[ID RETENCION]],Retenciones!$A$1:$O$25,PROVEEDORES[[#This Row],[indicador de columna]],FALSE)</f>
        <v>0</v>
      </c>
      <c r="Y199" s="137">
        <f>+VLOOKUP(PROVEEDORES[[#This Row],[ID RETENCION]],Retenciones!$A$1:$O$25,2,FALSE)</f>
        <v>0</v>
      </c>
      <c r="Z199" s="126" t="b">
        <f>+OR(COUNTIF(PROVEEDORES[[#This Row],[PROVEEDOR]],"*"&amp;'Palabra que no opera y Listas d'!$A$2&amp;"*"))</f>
        <v>0</v>
      </c>
    </row>
    <row r="200" spans="1:26" ht="27.75" customHeight="1" x14ac:dyDescent="0.25">
      <c r="A200" s="141" t="str">
        <f>+IF(PROVEEDORES[[#This Row],[FECHA DE PAGO]]=PROVEEDORES[[#This Row],[FECHA DE FACTURACIÓN]],"DE CONTADO","CRÉDITO")</f>
        <v>CRÉDITO</v>
      </c>
      <c r="B200" s="138" t="b">
        <f>+IF((PROVEEDORES[[#This Row],[FECHA DE PAGO]]-PROVEEDORES[[#This Row],[FECHA DE FACTURACIÓN]])&gt;PROVEEDORES[[#This Row],[PLAZO Días]],"PAGO VENCIDO")</f>
        <v>0</v>
      </c>
      <c r="C200" s="138">
        <f>+VLOOKUP(PROVEEDORES[[#This Row],[PROVEEDOR]],TERCEROS_INFO[#All],2,FALSE)</f>
        <v>30</v>
      </c>
      <c r="D200" s="139">
        <f>+SUMIFS(PROVEEDORES[Total],PROVEEDORES[PROVEEDOR],PROVEEDORES[[#This Row],[PROVEEDOR]],PROVEEDORES[FECHA DE PAGO],"")</f>
        <v>0</v>
      </c>
      <c r="E200" s="140"/>
      <c r="F200" s="138">
        <f>+VLOOKUP(PROVEEDORES[[#This Row],[PROVEEDOR]],
                       Terceros!$A:$F,
                       5,
                       FALSE)</f>
        <v>0</v>
      </c>
      <c r="G200" s="127">
        <v>45027</v>
      </c>
      <c r="H200" s="123" t="s">
        <v>475</v>
      </c>
      <c r="I200" s="127">
        <v>45017</v>
      </c>
      <c r="J200" s="124">
        <v>6724</v>
      </c>
      <c r="K200" s="124" t="s">
        <v>1530</v>
      </c>
      <c r="L200" s="124"/>
      <c r="M200" s="125">
        <v>300000</v>
      </c>
      <c r="N200" s="148">
        <v>0</v>
      </c>
      <c r="O200" s="148">
        <v>0</v>
      </c>
      <c r="P200" s="149">
        <v>0</v>
      </c>
      <c r="Q200" s="148">
        <v>0</v>
      </c>
      <c r="R200" s="150">
        <v>300000</v>
      </c>
      <c r="S2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0" s="135">
        <f ca="1">+IF(PROVEEDORES[[#This Row],[FECHA DE PAGO]]=0,TODAY()-PROVEEDORES[[#This Row],[FECHA DE FACTURACIÓN]]-PROVEEDORES[[#This Row],[PLAZO Días]],0)</f>
        <v>0</v>
      </c>
      <c r="U200" s="135">
        <f>+VLOOKUP(PROVEEDORES[[#This Row],[PROVEEDOR]],Terceros!$A:$D,4,FALSE)</f>
        <v>0</v>
      </c>
      <c r="V200" s="135">
        <f>+YEAR(PROVEEDORES[[#This Row],[FECHA DE FACTURACIÓN]])</f>
        <v>2023</v>
      </c>
      <c r="W200" s="135">
        <f>+MATCH(PROVEEDORES[[#This Row],[año facturado]],Retenciones!$1:$1,0)</f>
        <v>6</v>
      </c>
      <c r="X200" s="136">
        <f>+VLOOKUP(PROVEEDORES[[#This Row],[ID RETENCION]],Retenciones!$A$1:$O$25,PROVEEDORES[[#This Row],[indicador de columna]],FALSE)</f>
        <v>0</v>
      </c>
      <c r="Y200" s="137">
        <f>+VLOOKUP(PROVEEDORES[[#This Row],[ID RETENCION]],Retenciones!$A$1:$O$25,2,FALSE)</f>
        <v>0</v>
      </c>
      <c r="Z200" s="126" t="b">
        <f>+OR(COUNTIF(PROVEEDORES[[#This Row],[PROVEEDOR]],"*"&amp;'Palabra que no opera y Listas d'!$A$2&amp;"*"))</f>
        <v>0</v>
      </c>
    </row>
    <row r="201" spans="1:26" ht="27.75" customHeight="1" x14ac:dyDescent="0.25">
      <c r="A201" s="141" t="str">
        <f>+IF(PROVEEDORES[[#This Row],[FECHA DE PAGO]]=PROVEEDORES[[#This Row],[FECHA DE FACTURACIÓN]],"DE CONTADO","CRÉDITO")</f>
        <v>CRÉDITO</v>
      </c>
      <c r="B201" s="138" t="b">
        <f>+IF((PROVEEDORES[[#This Row],[FECHA DE PAGO]]-PROVEEDORES[[#This Row],[FECHA DE FACTURACIÓN]])&gt;PROVEEDORES[[#This Row],[PLAZO Días]],"PAGO VENCIDO")</f>
        <v>0</v>
      </c>
      <c r="C201" s="138">
        <f>+VLOOKUP(PROVEEDORES[[#This Row],[PROVEEDOR]],TERCEROS_INFO[#All],2,FALSE)</f>
        <v>30</v>
      </c>
      <c r="D201" s="139">
        <f>+SUMIFS(PROVEEDORES[Total],PROVEEDORES[PROVEEDOR],PROVEEDORES[[#This Row],[PROVEEDOR]],PROVEEDORES[FECHA DE PAGO],"")</f>
        <v>0</v>
      </c>
      <c r="E201" s="140"/>
      <c r="F201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01" s="127">
        <v>45027</v>
      </c>
      <c r="H201" s="123" t="s">
        <v>394</v>
      </c>
      <c r="I201" s="127">
        <v>45017</v>
      </c>
      <c r="J201" s="124" t="s">
        <v>691</v>
      </c>
      <c r="K201" s="124" t="s">
        <v>1530</v>
      </c>
      <c r="L201" s="124"/>
      <c r="M201" s="125">
        <v>243611</v>
      </c>
      <c r="N201" s="148">
        <v>46286.090000000004</v>
      </c>
      <c r="O201" s="148">
        <v>0</v>
      </c>
      <c r="P201" s="149">
        <v>3.5000000000000003E-2</v>
      </c>
      <c r="Q201" s="148">
        <v>8526.3850000000002</v>
      </c>
      <c r="R201" s="150">
        <v>281370.70500000002</v>
      </c>
      <c r="S2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1" s="135">
        <f ca="1">+IF(PROVEEDORES[[#This Row],[FECHA DE PAGO]]=0,TODAY()-PROVEEDORES[[#This Row],[FECHA DE FACTURACIÓN]]-PROVEEDORES[[#This Row],[PLAZO Días]],0)</f>
        <v>0</v>
      </c>
      <c r="U201" s="135" t="str">
        <f>+VLOOKUP(PROVEEDORES[[#This Row],[PROVEEDOR]],Terceros!$A:$D,4,FALSE)</f>
        <v>3,5% sin base</v>
      </c>
      <c r="V201" s="135">
        <f>+YEAR(PROVEEDORES[[#This Row],[FECHA DE FACTURACIÓN]])</f>
        <v>2023</v>
      </c>
      <c r="W201" s="135">
        <f>+MATCH(PROVEEDORES[[#This Row],[año facturado]],Retenciones!$1:$1,0)</f>
        <v>6</v>
      </c>
      <c r="X201" s="136">
        <f>+VLOOKUP(PROVEEDORES[[#This Row],[ID RETENCION]],Retenciones!$A$1:$O$25,PROVEEDORES[[#This Row],[indicador de columna]],FALSE)</f>
        <v>0</v>
      </c>
      <c r="Y201" s="137">
        <f>+VLOOKUP(PROVEEDORES[[#This Row],[ID RETENCION]],Retenciones!$A$1:$O$25,2,FALSE)</f>
        <v>3.5000000000000003E-2</v>
      </c>
      <c r="Z201" s="126" t="b">
        <f>+OR(COUNTIF(PROVEEDORES[[#This Row],[PROVEEDOR]],"*"&amp;'Palabra que no opera y Listas d'!$A$2&amp;"*"))</f>
        <v>1</v>
      </c>
    </row>
    <row r="202" spans="1:26" ht="27.75" customHeight="1" x14ac:dyDescent="0.25">
      <c r="A202" s="141" t="str">
        <f>+IF(PROVEEDORES[[#This Row],[FECHA DE PAGO]]=PROVEEDORES[[#This Row],[FECHA DE FACTURACIÓN]],"DE CONTADO","CRÉDITO")</f>
        <v>CRÉDITO</v>
      </c>
      <c r="B202" s="138" t="b">
        <f>+IF((PROVEEDORES[[#This Row],[FECHA DE PAGO]]-PROVEEDORES[[#This Row],[FECHA DE FACTURACIÓN]])&gt;PROVEEDORES[[#This Row],[PLAZO Días]],"PAGO VENCIDO")</f>
        <v>0</v>
      </c>
      <c r="C202" s="138">
        <f>+VLOOKUP(PROVEEDORES[[#This Row],[PROVEEDOR]],TERCEROS_INFO[#All],2,FALSE)</f>
        <v>30</v>
      </c>
      <c r="D202" s="139">
        <f>+SUMIFS(PROVEEDORES[Total],PROVEEDORES[PROVEEDOR],PROVEEDORES[[#This Row],[PROVEEDOR]],PROVEEDORES[FECHA DE PAGO],"")</f>
        <v>0</v>
      </c>
      <c r="E202" s="140"/>
      <c r="F202" s="138" t="str">
        <f>+VLOOKUP(PROVEEDORES[[#This Row],[PROVEEDOR]],
                       Terceros!$A:$F,
                       5,
                       FALSE)</f>
        <v/>
      </c>
      <c r="G202" s="127">
        <v>45027</v>
      </c>
      <c r="H202" s="123" t="s">
        <v>481</v>
      </c>
      <c r="I202" s="127">
        <v>45026</v>
      </c>
      <c r="J202" s="124" t="s">
        <v>719</v>
      </c>
      <c r="K202" s="124" t="s">
        <v>1530</v>
      </c>
      <c r="L202" s="124"/>
      <c r="M202" s="125">
        <v>5304000</v>
      </c>
      <c r="N202" s="148">
        <v>0</v>
      </c>
      <c r="O202" s="148">
        <v>0</v>
      </c>
      <c r="P202" s="149">
        <v>0</v>
      </c>
      <c r="Q202" s="148">
        <v>0</v>
      </c>
      <c r="R202" s="150">
        <v>5304000</v>
      </c>
      <c r="S2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2" s="135">
        <f ca="1">+IF(PROVEEDORES[[#This Row],[FECHA DE PAGO]]=0,TODAY()-PROVEEDORES[[#This Row],[FECHA DE FACTURACIÓN]]-PROVEEDORES[[#This Row],[PLAZO Días]],0)</f>
        <v>0</v>
      </c>
      <c r="U202" s="135">
        <f>+VLOOKUP(PROVEEDORES[[#This Row],[PROVEEDOR]],Terceros!$A:$D,4,FALSE)</f>
        <v>0</v>
      </c>
      <c r="V202" s="135">
        <f>+YEAR(PROVEEDORES[[#This Row],[FECHA DE FACTURACIÓN]])</f>
        <v>2023</v>
      </c>
      <c r="W202" s="135">
        <f>+MATCH(PROVEEDORES[[#This Row],[año facturado]],Retenciones!$1:$1,0)</f>
        <v>6</v>
      </c>
      <c r="X202" s="136">
        <f>+VLOOKUP(PROVEEDORES[[#This Row],[ID RETENCION]],Retenciones!$A$1:$O$25,PROVEEDORES[[#This Row],[indicador de columna]],FALSE)</f>
        <v>0</v>
      </c>
      <c r="Y202" s="137">
        <f>+VLOOKUP(PROVEEDORES[[#This Row],[ID RETENCION]],Retenciones!$A$1:$O$25,2,FALSE)</f>
        <v>0</v>
      </c>
      <c r="Z202" s="126" t="b">
        <f>+OR(COUNTIF(PROVEEDORES[[#This Row],[PROVEEDOR]],"*"&amp;'Palabra que no opera y Listas d'!$A$2&amp;"*"))</f>
        <v>0</v>
      </c>
    </row>
    <row r="203" spans="1:26" ht="27.75" customHeight="1" x14ac:dyDescent="0.25">
      <c r="A203" s="141" t="str">
        <f>+IF(PROVEEDORES[[#This Row],[FECHA DE PAGO]]=PROVEEDORES[[#This Row],[FECHA DE FACTURACIÓN]],"DE CONTADO","CRÉDITO")</f>
        <v>CRÉDITO</v>
      </c>
      <c r="B203" s="138" t="b">
        <f>+IF((PROVEEDORES[[#This Row],[FECHA DE PAGO]]-PROVEEDORES[[#This Row],[FECHA DE FACTURACIÓN]])&gt;PROVEEDORES[[#This Row],[PLAZO Días]],"PAGO VENCIDO")</f>
        <v>0</v>
      </c>
      <c r="C203" s="138">
        <f>+VLOOKUP(PROVEEDORES[[#This Row],[PROVEEDOR]],TERCEROS_INFO[#All],2,FALSE)</f>
        <v>30</v>
      </c>
      <c r="D203" s="139">
        <f>+SUMIFS(PROVEEDORES[Total],PROVEEDORES[PROVEEDOR],PROVEEDORES[[#This Row],[PROVEEDOR]],PROVEEDORES[FECHA DE PAGO],"")</f>
        <v>0</v>
      </c>
      <c r="E203" s="140"/>
      <c r="F203" s="13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03" s="127">
        <v>45027</v>
      </c>
      <c r="H203" s="123" t="s">
        <v>1806</v>
      </c>
      <c r="I203" s="127">
        <v>45026</v>
      </c>
      <c r="J203" s="124">
        <v>408</v>
      </c>
      <c r="K203" s="124" t="s">
        <v>1530</v>
      </c>
      <c r="L203" s="124"/>
      <c r="M203" s="125">
        <v>470000</v>
      </c>
      <c r="N203" s="148">
        <v>0</v>
      </c>
      <c r="O203" s="148">
        <v>0</v>
      </c>
      <c r="P203" s="149">
        <v>0</v>
      </c>
      <c r="Q203" s="148">
        <v>0</v>
      </c>
      <c r="R203" s="150">
        <v>470000</v>
      </c>
      <c r="S2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3" s="135">
        <f ca="1">+IF(PROVEEDORES[[#This Row],[FECHA DE PAGO]]=0,TODAY()-PROVEEDORES[[#This Row],[FECHA DE FACTURACIÓN]]-PROVEEDORES[[#This Row],[PLAZO Días]],0)</f>
        <v>0</v>
      </c>
      <c r="U203" s="135">
        <f>+VLOOKUP(PROVEEDORES[[#This Row],[PROVEEDOR]],Terceros!$A:$D,4,FALSE)</f>
        <v>0</v>
      </c>
      <c r="V203" s="135">
        <f>+YEAR(PROVEEDORES[[#This Row],[FECHA DE FACTURACIÓN]])</f>
        <v>2023</v>
      </c>
      <c r="W203" s="135">
        <f>+MATCH(PROVEEDORES[[#This Row],[año facturado]],Retenciones!$1:$1,0)</f>
        <v>6</v>
      </c>
      <c r="X203" s="136">
        <f>+VLOOKUP(PROVEEDORES[[#This Row],[ID RETENCION]],Retenciones!$A$1:$O$25,PROVEEDORES[[#This Row],[indicador de columna]],FALSE)</f>
        <v>0</v>
      </c>
      <c r="Y203" s="137">
        <f>+VLOOKUP(PROVEEDORES[[#This Row],[ID RETENCION]],Retenciones!$A$1:$O$25,2,FALSE)</f>
        <v>0</v>
      </c>
      <c r="Z203" s="126" t="b">
        <f>+OR(COUNTIF(PROVEEDORES[[#This Row],[PROVEEDOR]],"*"&amp;'Palabra que no opera y Listas d'!$A$2&amp;"*"))</f>
        <v>0</v>
      </c>
    </row>
    <row r="204" spans="1:26" ht="27.75" customHeight="1" x14ac:dyDescent="0.25">
      <c r="A204" s="141" t="str">
        <f>+IF(PROVEEDORES[[#This Row],[FECHA DE PAGO]]=PROVEEDORES[[#This Row],[FECHA DE FACTURACIÓN]],"DE CONTADO","CRÉDITO")</f>
        <v>CRÉDITO</v>
      </c>
      <c r="B204" s="138" t="b">
        <f>+IF((PROVEEDORES[[#This Row],[FECHA DE PAGO]]-PROVEEDORES[[#This Row],[FECHA DE FACTURACIÓN]])&gt;PROVEEDORES[[#This Row],[PLAZO Días]],"PAGO VENCIDO")</f>
        <v>0</v>
      </c>
      <c r="C204" s="138">
        <f>+VLOOKUP(PROVEEDORES[[#This Row],[PROVEEDOR]],TERCEROS_INFO[#All],2,FALSE)</f>
        <v>30</v>
      </c>
      <c r="D204" s="139">
        <f>+SUMIFS(PROVEEDORES[Total],PROVEEDORES[PROVEEDOR],PROVEEDORES[[#This Row],[PROVEEDOR]],PROVEEDORES[FECHA DE PAGO],"")</f>
        <v>0</v>
      </c>
      <c r="E204" s="140"/>
      <c r="F204" s="13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04" s="127">
        <v>45027</v>
      </c>
      <c r="H204" s="123" t="s">
        <v>448</v>
      </c>
      <c r="I204" s="127">
        <v>45026</v>
      </c>
      <c r="J204" s="124" t="s">
        <v>692</v>
      </c>
      <c r="K204" s="124" t="s">
        <v>1530</v>
      </c>
      <c r="L204" s="124"/>
      <c r="M204" s="125">
        <v>300000</v>
      </c>
      <c r="N204" s="148">
        <v>0</v>
      </c>
      <c r="O204" s="148">
        <v>0</v>
      </c>
      <c r="P204" s="149">
        <v>0.01</v>
      </c>
      <c r="Q204" s="148">
        <v>3000</v>
      </c>
      <c r="R204" s="150">
        <v>297000</v>
      </c>
      <c r="S2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4" s="135">
        <f ca="1">+IF(PROVEEDORES[[#This Row],[FECHA DE PAGO]]=0,TODAY()-PROVEEDORES[[#This Row],[FECHA DE FACTURACIÓN]]-PROVEEDORES[[#This Row],[PLAZO Días]],0)</f>
        <v>0</v>
      </c>
      <c r="U204" s="135" t="str">
        <f>+VLOOKUP(PROVEEDORES[[#This Row],[PROVEEDOR]],Terceros!$A:$D,4,FALSE)</f>
        <v>1% con base</v>
      </c>
      <c r="V204" s="135">
        <f>+YEAR(PROVEEDORES[[#This Row],[FECHA DE FACTURACIÓN]])</f>
        <v>2023</v>
      </c>
      <c r="W204" s="135">
        <f>+MATCH(PROVEEDORES[[#This Row],[año facturado]],Retenciones!$1:$1,0)</f>
        <v>6</v>
      </c>
      <c r="X204" s="136">
        <f>+VLOOKUP(PROVEEDORES[[#This Row],[ID RETENCION]],Retenciones!$A$1:$O$25,PROVEEDORES[[#This Row],[indicador de columna]],FALSE)</f>
        <v>170000</v>
      </c>
      <c r="Y204" s="137">
        <f>+VLOOKUP(PROVEEDORES[[#This Row],[ID RETENCION]],Retenciones!$A$1:$O$25,2,FALSE)</f>
        <v>0.01</v>
      </c>
      <c r="Z204" s="126" t="b">
        <f>+OR(COUNTIF(PROVEEDORES[[#This Row],[PROVEEDOR]],"*"&amp;'Palabra que no opera y Listas d'!$A$2&amp;"*"))</f>
        <v>0</v>
      </c>
    </row>
    <row r="205" spans="1:26" ht="27.75" customHeight="1" x14ac:dyDescent="0.25">
      <c r="A205" s="141" t="str">
        <f>+IF(PROVEEDORES[[#This Row],[FECHA DE PAGO]]=PROVEEDORES[[#This Row],[FECHA DE FACTURACIÓN]],"DE CONTADO","CRÉDITO")</f>
        <v>DE CONTADO</v>
      </c>
      <c r="B205" s="138" t="b">
        <f>+IF((PROVEEDORES[[#This Row],[FECHA DE PAGO]]-PROVEEDORES[[#This Row],[FECHA DE FACTURACIÓN]])&gt;PROVEEDORES[[#This Row],[PLAZO Días]],"PAGO VENCIDO")</f>
        <v>0</v>
      </c>
      <c r="C205" s="138">
        <f>+VLOOKUP(PROVEEDORES[[#This Row],[PROVEEDOR]],TERCEROS_INFO[#All],2,FALSE)</f>
        <v>30</v>
      </c>
      <c r="D205" s="139">
        <f>+SUMIFS(PROVEEDORES[Total],PROVEEDORES[PROVEEDOR],PROVEEDORES[[#This Row],[PROVEEDOR]],PROVEEDORES[FECHA DE PAGO],"")</f>
        <v>0</v>
      </c>
      <c r="E205" s="140"/>
      <c r="F205" s="138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205" s="127">
        <v>45027</v>
      </c>
      <c r="H205" s="123" t="s">
        <v>424</v>
      </c>
      <c r="I205" s="127">
        <v>45027</v>
      </c>
      <c r="J205" s="124">
        <v>20549</v>
      </c>
      <c r="K205" s="124" t="s">
        <v>1530</v>
      </c>
      <c r="L205" s="124"/>
      <c r="M205" s="125">
        <v>240000</v>
      </c>
      <c r="N205" s="148">
        <v>45600</v>
      </c>
      <c r="O205" s="148">
        <v>0</v>
      </c>
      <c r="P205" s="149">
        <v>0</v>
      </c>
      <c r="Q205" s="148">
        <v>0</v>
      </c>
      <c r="R205" s="150">
        <v>285600</v>
      </c>
      <c r="S2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5" s="135">
        <f ca="1">+IF(PROVEEDORES[[#This Row],[FECHA DE PAGO]]=0,TODAY()-PROVEEDORES[[#This Row],[FECHA DE FACTURACIÓN]]-PROVEEDORES[[#This Row],[PLAZO Días]],0)</f>
        <v>0</v>
      </c>
      <c r="U205" s="135">
        <f>+VLOOKUP(PROVEEDORES[[#This Row],[PROVEEDOR]],Terceros!$A:$D,4,FALSE)</f>
        <v>0</v>
      </c>
      <c r="V205" s="135">
        <f>+YEAR(PROVEEDORES[[#This Row],[FECHA DE FACTURACIÓN]])</f>
        <v>2023</v>
      </c>
      <c r="W205" s="135">
        <f>+MATCH(PROVEEDORES[[#This Row],[año facturado]],Retenciones!$1:$1,0)</f>
        <v>6</v>
      </c>
      <c r="X205" s="136">
        <f>+VLOOKUP(PROVEEDORES[[#This Row],[ID RETENCION]],Retenciones!$A$1:$O$25,PROVEEDORES[[#This Row],[indicador de columna]],FALSE)</f>
        <v>0</v>
      </c>
      <c r="Y205" s="137">
        <f>+VLOOKUP(PROVEEDORES[[#This Row],[ID RETENCION]],Retenciones!$A$1:$O$25,2,FALSE)</f>
        <v>0</v>
      </c>
      <c r="Z205" s="126" t="b">
        <f>+OR(COUNTIF(PROVEEDORES[[#This Row],[PROVEEDOR]],"*"&amp;'Palabra que no opera y Listas d'!$A$2&amp;"*"))</f>
        <v>1</v>
      </c>
    </row>
    <row r="206" spans="1:26" ht="27.75" customHeight="1" x14ac:dyDescent="0.25">
      <c r="A206" s="141" t="str">
        <f>+IF(PROVEEDORES[[#This Row],[FECHA DE PAGO]]=PROVEEDORES[[#This Row],[FECHA DE FACTURACIÓN]],"DE CONTADO","CRÉDITO")</f>
        <v>CRÉDITO</v>
      </c>
      <c r="B206" s="138" t="str">
        <f>+IF((PROVEEDORES[[#This Row],[FECHA DE PAGO]]-PROVEEDORES[[#This Row],[FECHA DE FACTURACIÓN]])&gt;PROVEEDORES[[#This Row],[PLAZO Días]],"PAGO VENCIDO")</f>
        <v>PAGO VENCIDO</v>
      </c>
      <c r="C206" s="138">
        <f>+VLOOKUP(PROVEEDORES[[#This Row],[PROVEEDOR]],TERCEROS_INFO[#All],2,FALSE)</f>
        <v>30</v>
      </c>
      <c r="D206" s="139">
        <f>+SUMIFS(PROVEEDORES[Total],PROVEEDORES[PROVEEDOR],PROVEEDORES[[#This Row],[PROVEEDOR]],PROVEEDORES[FECHA DE PAGO],"")</f>
        <v>2080356.81</v>
      </c>
      <c r="E206" s="140"/>
      <c r="F206" s="13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206" s="127">
        <v>45028</v>
      </c>
      <c r="H206" s="123" t="s">
        <v>31</v>
      </c>
      <c r="I206" s="127">
        <v>44967</v>
      </c>
      <c r="J206" s="124" t="s">
        <v>568</v>
      </c>
      <c r="K206" s="124" t="s">
        <v>1530</v>
      </c>
      <c r="L206" s="124"/>
      <c r="M206" s="125">
        <v>4044034</v>
      </c>
      <c r="N206" s="148">
        <v>768366.46</v>
      </c>
      <c r="O206" s="148">
        <v>0</v>
      </c>
      <c r="P206" s="149">
        <v>2.5000000000000001E-2</v>
      </c>
      <c r="Q206" s="148">
        <v>101100.85</v>
      </c>
      <c r="R206" s="150">
        <v>4711299.6100000003</v>
      </c>
      <c r="S2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6" s="135">
        <f ca="1">+IF(PROVEEDORES[[#This Row],[FECHA DE PAGO]]=0,TODAY()-PROVEEDORES[[#This Row],[FECHA DE FACTURACIÓN]]-PROVEEDORES[[#This Row],[PLAZO Días]],0)</f>
        <v>0</v>
      </c>
      <c r="U206" s="135" t="str">
        <f>+VLOOKUP(PROVEEDORES[[#This Row],[PROVEEDOR]],Terceros!$A:$D,4,FALSE)</f>
        <v>2,5% con base</v>
      </c>
      <c r="V206" s="135">
        <f>+YEAR(PROVEEDORES[[#This Row],[FECHA DE FACTURACIÓN]])</f>
        <v>2023</v>
      </c>
      <c r="W206" s="135">
        <f>+MATCH(PROVEEDORES[[#This Row],[año facturado]],Retenciones!$1:$1,0)</f>
        <v>6</v>
      </c>
      <c r="X206" s="136">
        <f>+VLOOKUP(PROVEEDORES[[#This Row],[ID RETENCION]],Retenciones!$A$1:$O$25,PROVEEDORES[[#This Row],[indicador de columna]],FALSE)</f>
        <v>1145000</v>
      </c>
      <c r="Y206" s="137">
        <f>+VLOOKUP(PROVEEDORES[[#This Row],[ID RETENCION]],Retenciones!$A$1:$O$25,2,FALSE)</f>
        <v>2.5000000000000001E-2</v>
      </c>
      <c r="Z206" s="126" t="b">
        <f>+OR(COUNTIF(PROVEEDORES[[#This Row],[PROVEEDOR]],"*"&amp;'Palabra que no opera y Listas d'!$A$2&amp;"*"))</f>
        <v>0</v>
      </c>
    </row>
    <row r="207" spans="1:26" ht="27.75" customHeight="1" x14ac:dyDescent="0.25">
      <c r="A207" s="141" t="str">
        <f>+IF(PROVEEDORES[[#This Row],[FECHA DE PAGO]]=PROVEEDORES[[#This Row],[FECHA DE FACTURACIÓN]],"DE CONTADO","CRÉDITO")</f>
        <v>CRÉDITO</v>
      </c>
      <c r="B207" s="138" t="str">
        <f>+IF((PROVEEDORES[[#This Row],[FECHA DE PAGO]]-PROVEEDORES[[#This Row],[FECHA DE FACTURACIÓN]])&gt;PROVEEDORES[[#This Row],[PLAZO Días]],"PAGO VENCIDO")</f>
        <v>PAGO VENCIDO</v>
      </c>
      <c r="C207" s="138">
        <f>+VLOOKUP(PROVEEDORES[[#This Row],[PROVEEDOR]],TERCEROS_INFO[#All],2,FALSE)</f>
        <v>30</v>
      </c>
      <c r="D207" s="139">
        <f>+SUMIFS(PROVEEDORES[Total],PROVEEDORES[PROVEEDOR],PROVEEDORES[[#This Row],[PROVEEDOR]],PROVEEDORES[FECHA DE PAGO],"")</f>
        <v>2095000</v>
      </c>
      <c r="E207" s="140"/>
      <c r="F207" s="13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207" s="127">
        <v>45028</v>
      </c>
      <c r="H207" s="123" t="s">
        <v>1804</v>
      </c>
      <c r="I207" s="127">
        <v>44983</v>
      </c>
      <c r="J207" s="124" t="s">
        <v>593</v>
      </c>
      <c r="K207" s="124" t="s">
        <v>1530</v>
      </c>
      <c r="L207" s="124"/>
      <c r="M207" s="125">
        <v>2550000</v>
      </c>
      <c r="N207" s="148">
        <v>0</v>
      </c>
      <c r="O207" s="148">
        <v>0</v>
      </c>
      <c r="P207" s="149">
        <v>0</v>
      </c>
      <c r="Q207" s="148">
        <v>0</v>
      </c>
      <c r="R207" s="150">
        <v>2550000</v>
      </c>
      <c r="S2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7" s="135">
        <f ca="1">+IF(PROVEEDORES[[#This Row],[FECHA DE PAGO]]=0,TODAY()-PROVEEDORES[[#This Row],[FECHA DE FACTURACIÓN]]-PROVEEDORES[[#This Row],[PLAZO Días]],0)</f>
        <v>0</v>
      </c>
      <c r="U207" s="135">
        <f>+VLOOKUP(PROVEEDORES[[#This Row],[PROVEEDOR]],Terceros!$A:$D,4,FALSE)</f>
        <v>0</v>
      </c>
      <c r="V207" s="135">
        <f>+YEAR(PROVEEDORES[[#This Row],[FECHA DE FACTURACIÓN]])</f>
        <v>2023</v>
      </c>
      <c r="W207" s="135">
        <f>+MATCH(PROVEEDORES[[#This Row],[año facturado]],Retenciones!$1:$1,0)</f>
        <v>6</v>
      </c>
      <c r="X207" s="136">
        <f>+VLOOKUP(PROVEEDORES[[#This Row],[ID RETENCION]],Retenciones!$A$1:$O$25,PROVEEDORES[[#This Row],[indicador de columna]],FALSE)</f>
        <v>0</v>
      </c>
      <c r="Y207" s="137">
        <f>+VLOOKUP(PROVEEDORES[[#This Row],[ID RETENCION]],Retenciones!$A$1:$O$25,2,FALSE)</f>
        <v>0</v>
      </c>
      <c r="Z207" s="126" t="b">
        <f>+OR(COUNTIF(PROVEEDORES[[#This Row],[PROVEEDOR]],"*"&amp;'Palabra que no opera y Listas d'!$A$2&amp;"*"))</f>
        <v>0</v>
      </c>
    </row>
    <row r="208" spans="1:26" ht="27.75" customHeight="1" x14ac:dyDescent="0.25">
      <c r="A208" s="141" t="str">
        <f>+IF(PROVEEDORES[[#This Row],[FECHA DE PAGO]]=PROVEEDORES[[#This Row],[FECHA DE FACTURACIÓN]],"DE CONTADO","CRÉDITO")</f>
        <v>CRÉDITO</v>
      </c>
      <c r="B208" s="138" t="str">
        <f>+IF((PROVEEDORES[[#This Row],[FECHA DE PAGO]]-PROVEEDORES[[#This Row],[FECHA DE FACTURACIÓN]])&gt;PROVEEDORES[[#This Row],[PLAZO Días]],"PAGO VENCIDO")</f>
        <v>PAGO VENCIDO</v>
      </c>
      <c r="C208" s="138">
        <f>+VLOOKUP(PROVEEDORES[[#This Row],[PROVEEDOR]],TERCEROS_INFO[#All],2,FALSE)</f>
        <v>30</v>
      </c>
      <c r="D208" s="139">
        <f>+SUMIFS(PROVEEDORES[Total],PROVEEDORES[PROVEEDOR],PROVEEDORES[[#This Row],[PROVEEDOR]],PROVEEDORES[FECHA DE PAGO],"")</f>
        <v>0</v>
      </c>
      <c r="E208" s="140"/>
      <c r="F208" s="13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208" s="127">
        <v>45029</v>
      </c>
      <c r="H208" s="123" t="s">
        <v>499</v>
      </c>
      <c r="I208" s="127">
        <v>44929</v>
      </c>
      <c r="J208" s="124">
        <v>2740</v>
      </c>
      <c r="K208" s="124" t="s">
        <v>1530</v>
      </c>
      <c r="L208" s="124"/>
      <c r="M208" s="125">
        <v>2348000</v>
      </c>
      <c r="N208" s="148">
        <v>0</v>
      </c>
      <c r="O208" s="148">
        <v>0</v>
      </c>
      <c r="P208" s="149">
        <v>0</v>
      </c>
      <c r="Q208" s="148">
        <v>0</v>
      </c>
      <c r="R208" s="150">
        <v>2348000</v>
      </c>
      <c r="S2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8" s="135">
        <f ca="1">+IF(PROVEEDORES[[#This Row],[FECHA DE PAGO]]=0,TODAY()-PROVEEDORES[[#This Row],[FECHA DE FACTURACIÓN]]-PROVEEDORES[[#This Row],[PLAZO Días]],0)</f>
        <v>0</v>
      </c>
      <c r="U208" s="135">
        <f>+VLOOKUP(PROVEEDORES[[#This Row],[PROVEEDOR]],Terceros!$A:$D,4,FALSE)</f>
        <v>0</v>
      </c>
      <c r="V208" s="135">
        <f>+YEAR(PROVEEDORES[[#This Row],[FECHA DE FACTURACIÓN]])</f>
        <v>2023</v>
      </c>
      <c r="W208" s="135">
        <f>+MATCH(PROVEEDORES[[#This Row],[año facturado]],Retenciones!$1:$1,0)</f>
        <v>6</v>
      </c>
      <c r="X208" s="136">
        <f>+VLOOKUP(PROVEEDORES[[#This Row],[ID RETENCION]],Retenciones!$A$1:$O$25,PROVEEDORES[[#This Row],[indicador de columna]],FALSE)</f>
        <v>0</v>
      </c>
      <c r="Y208" s="137">
        <f>+VLOOKUP(PROVEEDORES[[#This Row],[ID RETENCION]],Retenciones!$A$1:$O$25,2,FALSE)</f>
        <v>0</v>
      </c>
      <c r="Z208" s="126" t="b">
        <f>+OR(COUNTIF(PROVEEDORES[[#This Row],[PROVEEDOR]],"*"&amp;'Palabra que no opera y Listas d'!$A$2&amp;"*"))</f>
        <v>0</v>
      </c>
    </row>
    <row r="209" spans="1:26" ht="27.75" customHeight="1" x14ac:dyDescent="0.25">
      <c r="A209" s="141" t="str">
        <f>+IF(PROVEEDORES[[#This Row],[FECHA DE PAGO]]=PROVEEDORES[[#This Row],[FECHA DE FACTURACIÓN]],"DE CONTADO","CRÉDITO")</f>
        <v>CRÉDITO</v>
      </c>
      <c r="B209" s="138" t="str">
        <f>+IF((PROVEEDORES[[#This Row],[FECHA DE PAGO]]-PROVEEDORES[[#This Row],[FECHA DE FACTURACIÓN]])&gt;PROVEEDORES[[#This Row],[PLAZO Días]],"PAGO VENCIDO")</f>
        <v>PAGO VENCIDO</v>
      </c>
      <c r="C209" s="138">
        <f>+VLOOKUP(PROVEEDORES[[#This Row],[PROVEEDOR]],TERCEROS_INFO[#All],2,FALSE)</f>
        <v>30</v>
      </c>
      <c r="D209" s="139">
        <f>+SUMIFS(PROVEEDORES[Total],PROVEEDORES[PROVEEDOR],PROVEEDORES[[#This Row],[PROVEEDOR]],PROVEEDORES[FECHA DE PAGO],"")</f>
        <v>0</v>
      </c>
      <c r="E209" s="140"/>
      <c r="F209" s="138" t="str">
        <f>+VLOOKUP(PROVEEDORES[[#This Row],[PROVEEDOR]],
                       Terceros!$A:$F,
                       5,
                       FALSE)</f>
        <v/>
      </c>
      <c r="G209" s="127">
        <v>45029</v>
      </c>
      <c r="H209" s="123" t="s">
        <v>525</v>
      </c>
      <c r="I209" s="127">
        <v>44942</v>
      </c>
      <c r="J209" s="124" t="s">
        <v>521</v>
      </c>
      <c r="K209" s="124" t="s">
        <v>1530</v>
      </c>
      <c r="L209" s="124"/>
      <c r="M209" s="125">
        <v>258684</v>
      </c>
      <c r="N209" s="148">
        <v>0</v>
      </c>
      <c r="O209" s="148">
        <v>0</v>
      </c>
      <c r="P209" s="149">
        <v>0</v>
      </c>
      <c r="Q209" s="148">
        <v>0</v>
      </c>
      <c r="R209" s="150">
        <v>258684</v>
      </c>
      <c r="S2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09" s="135">
        <f ca="1">+IF(PROVEEDORES[[#This Row],[FECHA DE PAGO]]=0,TODAY()-PROVEEDORES[[#This Row],[FECHA DE FACTURACIÓN]]-PROVEEDORES[[#This Row],[PLAZO Días]],0)</f>
        <v>0</v>
      </c>
      <c r="U209" s="135">
        <f>+VLOOKUP(PROVEEDORES[[#This Row],[PROVEEDOR]],Terceros!$A:$D,4,FALSE)</f>
        <v>0</v>
      </c>
      <c r="V209" s="135">
        <f>+YEAR(PROVEEDORES[[#This Row],[FECHA DE FACTURACIÓN]])</f>
        <v>2023</v>
      </c>
      <c r="W209" s="135">
        <f>+MATCH(PROVEEDORES[[#This Row],[año facturado]],Retenciones!$1:$1,0)</f>
        <v>6</v>
      </c>
      <c r="X209" s="136">
        <f>+VLOOKUP(PROVEEDORES[[#This Row],[ID RETENCION]],Retenciones!$A$1:$O$25,PROVEEDORES[[#This Row],[indicador de columna]],FALSE)</f>
        <v>0</v>
      </c>
      <c r="Y209" s="137">
        <f>+VLOOKUP(PROVEEDORES[[#This Row],[ID RETENCION]],Retenciones!$A$1:$O$25,2,FALSE)</f>
        <v>0</v>
      </c>
      <c r="Z209" s="126" t="b">
        <f>+OR(COUNTIF(PROVEEDORES[[#This Row],[PROVEEDOR]],"*"&amp;'Palabra que no opera y Listas d'!$A$2&amp;"*"))</f>
        <v>0</v>
      </c>
    </row>
    <row r="210" spans="1:26" ht="27.75" customHeight="1" x14ac:dyDescent="0.25">
      <c r="A210" s="141" t="str">
        <f>+IF(PROVEEDORES[[#This Row],[FECHA DE PAGO]]=PROVEEDORES[[#This Row],[FECHA DE FACTURACIÓN]],"DE CONTADO","CRÉDITO")</f>
        <v>CRÉDITO</v>
      </c>
      <c r="B210" s="138" t="str">
        <f>+IF((PROVEEDORES[[#This Row],[FECHA DE PAGO]]-PROVEEDORES[[#This Row],[FECHA DE FACTURACIÓN]])&gt;PROVEEDORES[[#This Row],[PLAZO Días]],"PAGO VENCIDO")</f>
        <v>PAGO VENCIDO</v>
      </c>
      <c r="C210" s="138">
        <f>+VLOOKUP(PROVEEDORES[[#This Row],[PROVEEDOR]],TERCEROS_INFO[#All],2,FALSE)</f>
        <v>30</v>
      </c>
      <c r="D210" s="139">
        <f>+SUMIFS(PROVEEDORES[Total],PROVEEDORES[PROVEEDOR],PROVEEDORES[[#This Row],[PROVEEDOR]],PROVEEDORES[FECHA DE PAGO],"")</f>
        <v>134000</v>
      </c>
      <c r="E210" s="140"/>
      <c r="F210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10" s="127">
        <v>45029</v>
      </c>
      <c r="H210" s="123" t="s">
        <v>1808</v>
      </c>
      <c r="I210" s="127">
        <v>44953</v>
      </c>
      <c r="J210" s="124" t="s">
        <v>532</v>
      </c>
      <c r="K210" s="124" t="s">
        <v>1530</v>
      </c>
      <c r="L210" s="124"/>
      <c r="M210" s="125">
        <v>1808800</v>
      </c>
      <c r="N210" s="148">
        <v>0</v>
      </c>
      <c r="O210" s="148">
        <v>0</v>
      </c>
      <c r="P210" s="149">
        <v>0</v>
      </c>
      <c r="Q210" s="148">
        <v>0</v>
      </c>
      <c r="R210" s="150">
        <v>1808800</v>
      </c>
      <c r="S2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0" s="135">
        <f ca="1">+IF(PROVEEDORES[[#This Row],[FECHA DE PAGO]]=0,TODAY()-PROVEEDORES[[#This Row],[FECHA DE FACTURACIÓN]]-PROVEEDORES[[#This Row],[PLAZO Días]],0)</f>
        <v>0</v>
      </c>
      <c r="U210" s="135">
        <f>+VLOOKUP(PROVEEDORES[[#This Row],[PROVEEDOR]],Terceros!$A:$D,4,FALSE)</f>
        <v>0</v>
      </c>
      <c r="V210" s="135">
        <f>+YEAR(PROVEEDORES[[#This Row],[FECHA DE FACTURACIÓN]])</f>
        <v>2023</v>
      </c>
      <c r="W210" s="135">
        <f>+MATCH(PROVEEDORES[[#This Row],[año facturado]],Retenciones!$1:$1,0)</f>
        <v>6</v>
      </c>
      <c r="X210" s="136">
        <f>+VLOOKUP(PROVEEDORES[[#This Row],[ID RETENCION]],Retenciones!$A$1:$O$25,PROVEEDORES[[#This Row],[indicador de columna]],FALSE)</f>
        <v>0</v>
      </c>
      <c r="Y210" s="137">
        <f>+VLOOKUP(PROVEEDORES[[#This Row],[ID RETENCION]],Retenciones!$A$1:$O$25,2,FALSE)</f>
        <v>0</v>
      </c>
      <c r="Z210" s="126" t="b">
        <f>+OR(COUNTIF(PROVEEDORES[[#This Row],[PROVEEDOR]],"*"&amp;'Palabra que no opera y Listas d'!$A$2&amp;"*"))</f>
        <v>0</v>
      </c>
    </row>
    <row r="211" spans="1:26" ht="27.75" customHeight="1" x14ac:dyDescent="0.25">
      <c r="A211" s="141" t="str">
        <f>+IF(PROVEEDORES[[#This Row],[FECHA DE PAGO]]=PROVEEDORES[[#This Row],[FECHA DE FACTURACIÓN]],"DE CONTADO","CRÉDITO")</f>
        <v>CRÉDITO</v>
      </c>
      <c r="B211" s="138" t="str">
        <f>+IF((PROVEEDORES[[#This Row],[FECHA DE PAGO]]-PROVEEDORES[[#This Row],[FECHA DE FACTURACIÓN]])&gt;PROVEEDORES[[#This Row],[PLAZO Días]],"PAGO VENCIDO")</f>
        <v>PAGO VENCIDO</v>
      </c>
      <c r="C211" s="138">
        <f>+VLOOKUP(PROVEEDORES[[#This Row],[PROVEEDOR]],TERCEROS_INFO[#All],2,FALSE)</f>
        <v>30</v>
      </c>
      <c r="D211" s="139">
        <f>+SUMIFS(PROVEEDORES[Total],PROVEEDORES[PROVEEDOR],PROVEEDORES[[#This Row],[PROVEEDOR]],PROVEEDORES[FECHA DE PAGO],"")</f>
        <v>4316000</v>
      </c>
      <c r="E211" s="140"/>
      <c r="F211" s="138" t="str">
        <f>+VLOOKUP(PROVEEDORES[[#This Row],[PROVEEDOR]],
                       Terceros!$A:$F,
                       5,
                       FALSE)</f>
        <v/>
      </c>
      <c r="G211" s="127">
        <v>45029</v>
      </c>
      <c r="H211" s="123" t="s">
        <v>1812</v>
      </c>
      <c r="I211" s="127">
        <v>44986</v>
      </c>
      <c r="J211" s="124" t="s">
        <v>656</v>
      </c>
      <c r="K211" s="124" t="s">
        <v>1530</v>
      </c>
      <c r="L211" s="124"/>
      <c r="M211" s="125">
        <v>764000</v>
      </c>
      <c r="N211" s="148">
        <v>0</v>
      </c>
      <c r="O211" s="148">
        <v>0</v>
      </c>
      <c r="P211" s="149">
        <v>0</v>
      </c>
      <c r="Q211" s="148">
        <v>0</v>
      </c>
      <c r="R211" s="150">
        <v>764000</v>
      </c>
      <c r="S2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1" s="135">
        <f ca="1">+IF(PROVEEDORES[[#This Row],[FECHA DE PAGO]]=0,TODAY()-PROVEEDORES[[#This Row],[FECHA DE FACTURACIÓN]]-PROVEEDORES[[#This Row],[PLAZO Días]],0)</f>
        <v>0</v>
      </c>
      <c r="U211" s="135">
        <f>+VLOOKUP(PROVEEDORES[[#This Row],[PROVEEDOR]],Terceros!$A:$D,4,FALSE)</f>
        <v>0</v>
      </c>
      <c r="V211" s="135">
        <f>+YEAR(PROVEEDORES[[#This Row],[FECHA DE FACTURACIÓN]])</f>
        <v>2023</v>
      </c>
      <c r="W211" s="135">
        <f>+MATCH(PROVEEDORES[[#This Row],[año facturado]],Retenciones!$1:$1,0)</f>
        <v>6</v>
      </c>
      <c r="X211" s="136">
        <f>+VLOOKUP(PROVEEDORES[[#This Row],[ID RETENCION]],Retenciones!$A$1:$O$25,PROVEEDORES[[#This Row],[indicador de columna]],FALSE)</f>
        <v>0</v>
      </c>
      <c r="Y211" s="137">
        <f>+VLOOKUP(PROVEEDORES[[#This Row],[ID RETENCION]],Retenciones!$A$1:$O$25,2,FALSE)</f>
        <v>0</v>
      </c>
      <c r="Z211" s="126" t="b">
        <f>+OR(COUNTIF(PROVEEDORES[[#This Row],[PROVEEDOR]],"*"&amp;'Palabra que no opera y Listas d'!$A$2&amp;"*"))</f>
        <v>0</v>
      </c>
    </row>
    <row r="212" spans="1:26" ht="27.75" customHeight="1" x14ac:dyDescent="0.25">
      <c r="A212" s="141" t="str">
        <f>+IF(PROVEEDORES[[#This Row],[FECHA DE PAGO]]=PROVEEDORES[[#This Row],[FECHA DE FACTURACIÓN]],"DE CONTADO","CRÉDITO")</f>
        <v>DE CONTADO</v>
      </c>
      <c r="B212" s="138" t="b">
        <f>+IF((PROVEEDORES[[#This Row],[FECHA DE PAGO]]-PROVEEDORES[[#This Row],[FECHA DE FACTURACIÓN]])&gt;PROVEEDORES[[#This Row],[PLAZO Días]],"PAGO VENCIDO")</f>
        <v>0</v>
      </c>
      <c r="C212" s="138">
        <f>+VLOOKUP(PROVEEDORES[[#This Row],[PROVEEDOR]],TERCEROS_INFO[#All],2,FALSE)</f>
        <v>30</v>
      </c>
      <c r="D212" s="139">
        <f>+SUMIFS(PROVEEDORES[Total],PROVEEDORES[PROVEEDOR],PROVEEDORES[[#This Row],[PROVEEDOR]],PROVEEDORES[FECHA DE PAGO],"")</f>
        <v>0</v>
      </c>
      <c r="E212" s="140"/>
      <c r="F212" s="138">
        <f>+VLOOKUP(PROVEEDORES[[#This Row],[PROVEEDOR]],
                       Terceros!$A:$F,
                       5,
                       FALSE)</f>
        <v>0</v>
      </c>
      <c r="G212" s="127">
        <v>45029</v>
      </c>
      <c r="H212" s="123" t="s">
        <v>164</v>
      </c>
      <c r="I212" s="127">
        <v>45029</v>
      </c>
      <c r="J212" s="124" t="s">
        <v>733</v>
      </c>
      <c r="K212" s="124" t="s">
        <v>1530</v>
      </c>
      <c r="L212" s="124"/>
      <c r="M212" s="125">
        <v>175456</v>
      </c>
      <c r="N212" s="148">
        <v>33336.639999999999</v>
      </c>
      <c r="O212" s="148">
        <v>0</v>
      </c>
      <c r="P212" s="149">
        <v>0</v>
      </c>
      <c r="Q212" s="148">
        <v>0</v>
      </c>
      <c r="R212" s="150">
        <v>208792.64</v>
      </c>
      <c r="S2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2" s="135">
        <f ca="1">+IF(PROVEEDORES[[#This Row],[FECHA DE PAGO]]=0,TODAY()-PROVEEDORES[[#This Row],[FECHA DE FACTURACIÓN]]-PROVEEDORES[[#This Row],[PLAZO Días]],0)</f>
        <v>0</v>
      </c>
      <c r="U212" s="135" t="str">
        <f>+VLOOKUP(PROVEEDORES[[#This Row],[PROVEEDOR]],Terceros!$A:$D,4,FALSE)</f>
        <v>2,5% con base</v>
      </c>
      <c r="V212" s="135">
        <f>+YEAR(PROVEEDORES[[#This Row],[FECHA DE FACTURACIÓN]])</f>
        <v>2023</v>
      </c>
      <c r="W212" s="135">
        <f>+MATCH(PROVEEDORES[[#This Row],[año facturado]],Retenciones!$1:$1,0)</f>
        <v>6</v>
      </c>
      <c r="X212" s="136">
        <f>+VLOOKUP(PROVEEDORES[[#This Row],[ID RETENCION]],Retenciones!$A$1:$O$25,PROVEEDORES[[#This Row],[indicador de columna]],FALSE)</f>
        <v>1145000</v>
      </c>
      <c r="Y212" s="137">
        <f>+VLOOKUP(PROVEEDORES[[#This Row],[ID RETENCION]],Retenciones!$A$1:$O$25,2,FALSE)</f>
        <v>2.5000000000000001E-2</v>
      </c>
      <c r="Z212" s="126" t="b">
        <f>+OR(COUNTIF(PROVEEDORES[[#This Row],[PROVEEDOR]],"*"&amp;'Palabra que no opera y Listas d'!$A$2&amp;"*"))</f>
        <v>0</v>
      </c>
    </row>
    <row r="213" spans="1:26" ht="27.75" customHeight="1" x14ac:dyDescent="0.25">
      <c r="A213" s="141" t="str">
        <f>+IF(PROVEEDORES[[#This Row],[FECHA DE PAGO]]=PROVEEDORES[[#This Row],[FECHA DE FACTURACIÓN]],"DE CONTADO","CRÉDITO")</f>
        <v>CRÉDITO</v>
      </c>
      <c r="B213" s="138" t="b">
        <f>+IF((PROVEEDORES[[#This Row],[FECHA DE PAGO]]-PROVEEDORES[[#This Row],[FECHA DE FACTURACIÓN]])&gt;PROVEEDORES[[#This Row],[PLAZO Días]],"PAGO VENCIDO")</f>
        <v>0</v>
      </c>
      <c r="C213" s="138">
        <f>+VLOOKUP(PROVEEDORES[[#This Row],[PROVEEDOR]],TERCEROS_INFO[#All],2,FALSE)</f>
        <v>90</v>
      </c>
      <c r="D213" s="139">
        <f>+SUMIFS(PROVEEDORES[Total],PROVEEDORES[PROVEEDOR],PROVEEDORES[[#This Row],[PROVEEDOR]],PROVEEDORES[FECHA DE PAGO],"")</f>
        <v>0</v>
      </c>
      <c r="E213" s="140"/>
      <c r="F213" s="13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213" s="127">
        <v>45030</v>
      </c>
      <c r="H213" s="123" t="s">
        <v>32</v>
      </c>
      <c r="I213" s="127">
        <v>44964</v>
      </c>
      <c r="J213" s="124" t="s">
        <v>565</v>
      </c>
      <c r="K213" s="124" t="s">
        <v>1530</v>
      </c>
      <c r="L213" s="124"/>
      <c r="M213" s="125">
        <v>8898000</v>
      </c>
      <c r="N213" s="148">
        <v>1690620</v>
      </c>
      <c r="O213" s="148">
        <v>0</v>
      </c>
      <c r="P213" s="149">
        <v>2.5000000000000001E-2</v>
      </c>
      <c r="Q213" s="148">
        <v>222450</v>
      </c>
      <c r="R213" s="150">
        <v>10366170</v>
      </c>
      <c r="S2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3" s="135">
        <f ca="1">+IF(PROVEEDORES[[#This Row],[FECHA DE PAGO]]=0,TODAY()-PROVEEDORES[[#This Row],[FECHA DE FACTURACIÓN]]-PROVEEDORES[[#This Row],[PLAZO Días]],0)</f>
        <v>0</v>
      </c>
      <c r="U213" s="135" t="str">
        <f>+VLOOKUP(PROVEEDORES[[#This Row],[PROVEEDOR]],Terceros!$A:$D,4,FALSE)</f>
        <v>2,5% con base</v>
      </c>
      <c r="V213" s="135">
        <f>+YEAR(PROVEEDORES[[#This Row],[FECHA DE FACTURACIÓN]])</f>
        <v>2023</v>
      </c>
      <c r="W213" s="135">
        <f>+MATCH(PROVEEDORES[[#This Row],[año facturado]],Retenciones!$1:$1,0)</f>
        <v>6</v>
      </c>
      <c r="X213" s="136">
        <f>+VLOOKUP(PROVEEDORES[[#This Row],[ID RETENCION]],Retenciones!$A$1:$O$25,PROVEEDORES[[#This Row],[indicador de columna]],FALSE)</f>
        <v>1145000</v>
      </c>
      <c r="Y213" s="137">
        <f>+VLOOKUP(PROVEEDORES[[#This Row],[ID RETENCION]],Retenciones!$A$1:$O$25,2,FALSE)</f>
        <v>2.5000000000000001E-2</v>
      </c>
      <c r="Z213" s="126" t="b">
        <f>+OR(COUNTIF(PROVEEDORES[[#This Row],[PROVEEDOR]],"*"&amp;'Palabra que no opera y Listas d'!$A$2&amp;"*"))</f>
        <v>0</v>
      </c>
    </row>
    <row r="214" spans="1:26" ht="27.75" customHeight="1" x14ac:dyDescent="0.25">
      <c r="A214" s="141" t="str">
        <f>+IF(PROVEEDORES[[#This Row],[FECHA DE PAGO]]=PROVEEDORES[[#This Row],[FECHA DE FACTURACIÓN]],"DE CONTADO","CRÉDITO")</f>
        <v>CRÉDITO</v>
      </c>
      <c r="B214" s="138" t="str">
        <f>+IF((PROVEEDORES[[#This Row],[FECHA DE PAGO]]-PROVEEDORES[[#This Row],[FECHA DE FACTURACIÓN]])&gt;PROVEEDORES[[#This Row],[PLAZO Días]],"PAGO VENCIDO")</f>
        <v>PAGO VENCIDO</v>
      </c>
      <c r="C214" s="138">
        <f>+VLOOKUP(PROVEEDORES[[#This Row],[PROVEEDOR]],TERCEROS_INFO[#All],2,FALSE)</f>
        <v>30</v>
      </c>
      <c r="D214" s="139">
        <f>+SUMIFS(PROVEEDORES[Total],PROVEEDORES[PROVEEDOR],PROVEEDORES[[#This Row],[PROVEEDOR]],PROVEEDORES[FECHA DE PAGO],"")</f>
        <v>0</v>
      </c>
      <c r="E214" s="140"/>
      <c r="F214" s="138" t="str">
        <f>+VLOOKUP(PROVEEDORES[[#This Row],[PROVEEDOR]],
                       Terceros!$A:$F,
                       5,
                       FALSE)</f>
        <v/>
      </c>
      <c r="G214" s="127">
        <v>45030</v>
      </c>
      <c r="H214" s="123" t="s">
        <v>1811</v>
      </c>
      <c r="I214" s="127">
        <v>44978</v>
      </c>
      <c r="J214" s="124" t="s">
        <v>597</v>
      </c>
      <c r="K214" s="124" t="s">
        <v>1530</v>
      </c>
      <c r="L214" s="124"/>
      <c r="M214" s="125">
        <v>1395000</v>
      </c>
      <c r="N214" s="148">
        <v>0</v>
      </c>
      <c r="O214" s="148">
        <v>0</v>
      </c>
      <c r="P214" s="149">
        <v>0</v>
      </c>
      <c r="Q214" s="148">
        <v>0</v>
      </c>
      <c r="R214" s="150">
        <v>1395000</v>
      </c>
      <c r="S2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4" s="135">
        <f ca="1">+IF(PROVEEDORES[[#This Row],[FECHA DE PAGO]]=0,TODAY()-PROVEEDORES[[#This Row],[FECHA DE FACTURACIÓN]]-PROVEEDORES[[#This Row],[PLAZO Días]],0)</f>
        <v>0</v>
      </c>
      <c r="U214" s="135">
        <f>+VLOOKUP(PROVEEDORES[[#This Row],[PROVEEDOR]],Terceros!$A:$D,4,FALSE)</f>
        <v>0</v>
      </c>
      <c r="V214" s="135">
        <f>+YEAR(PROVEEDORES[[#This Row],[FECHA DE FACTURACIÓN]])</f>
        <v>2023</v>
      </c>
      <c r="W214" s="135">
        <f>+MATCH(PROVEEDORES[[#This Row],[año facturado]],Retenciones!$1:$1,0)</f>
        <v>6</v>
      </c>
      <c r="X214" s="136">
        <f>+VLOOKUP(PROVEEDORES[[#This Row],[ID RETENCION]],Retenciones!$A$1:$O$25,PROVEEDORES[[#This Row],[indicador de columna]],FALSE)</f>
        <v>0</v>
      </c>
      <c r="Y214" s="137">
        <f>+VLOOKUP(PROVEEDORES[[#This Row],[ID RETENCION]],Retenciones!$A$1:$O$25,2,FALSE)</f>
        <v>0</v>
      </c>
      <c r="Z214" s="126" t="b">
        <f>+OR(COUNTIF(PROVEEDORES[[#This Row],[PROVEEDOR]],"*"&amp;'Palabra que no opera y Listas d'!$A$2&amp;"*"))</f>
        <v>0</v>
      </c>
    </row>
    <row r="215" spans="1:26" ht="27.75" customHeight="1" x14ac:dyDescent="0.25">
      <c r="A215" s="141" t="str">
        <f>+IF(PROVEEDORES[[#This Row],[FECHA DE PAGO]]=PROVEEDORES[[#This Row],[FECHA DE FACTURACIÓN]],"DE CONTADO","CRÉDITO")</f>
        <v>CRÉDITO</v>
      </c>
      <c r="B215" s="138" t="b">
        <f>+IF((PROVEEDORES[[#This Row],[FECHA DE PAGO]]-PROVEEDORES[[#This Row],[FECHA DE FACTURACIÓN]])&gt;PROVEEDORES[[#This Row],[PLAZO Días]],"PAGO VENCIDO")</f>
        <v>0</v>
      </c>
      <c r="C215" s="138">
        <f>+VLOOKUP(PROVEEDORES[[#This Row],[PROVEEDOR]],TERCEROS_INFO[#All],2,FALSE)</f>
        <v>30</v>
      </c>
      <c r="D215" s="139">
        <f>+SUMIFS(PROVEEDORES[Total],PROVEEDORES[PROVEEDOR],PROVEEDORES[[#This Row],[PROVEEDOR]],PROVEEDORES[FECHA DE PAGO],"")</f>
        <v>0</v>
      </c>
      <c r="E215" s="140"/>
      <c r="F215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215" s="127">
        <v>45030</v>
      </c>
      <c r="H215" s="123" t="s">
        <v>373</v>
      </c>
      <c r="I215" s="127">
        <v>45019</v>
      </c>
      <c r="J215" s="124" t="s">
        <v>687</v>
      </c>
      <c r="K215" s="124" t="s">
        <v>1530</v>
      </c>
      <c r="L215" s="124"/>
      <c r="M215" s="125">
        <v>1840056</v>
      </c>
      <c r="N215" s="148">
        <v>0</v>
      </c>
      <c r="O215" s="148">
        <v>0</v>
      </c>
      <c r="P215" s="149">
        <v>0</v>
      </c>
      <c r="Q215" s="148">
        <v>0</v>
      </c>
      <c r="R215" s="150">
        <v>1840056</v>
      </c>
      <c r="S2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5" s="135">
        <f ca="1">+IF(PROVEEDORES[[#This Row],[FECHA DE PAGO]]=0,TODAY()-PROVEEDORES[[#This Row],[FECHA DE FACTURACIÓN]]-PROVEEDORES[[#This Row],[PLAZO Días]],0)</f>
        <v>0</v>
      </c>
      <c r="U215" s="135">
        <f>+VLOOKUP(PROVEEDORES[[#This Row],[PROVEEDOR]],Terceros!$A:$D,4,FALSE)</f>
        <v>0</v>
      </c>
      <c r="V215" s="135">
        <f>+YEAR(PROVEEDORES[[#This Row],[FECHA DE FACTURACIÓN]])</f>
        <v>2023</v>
      </c>
      <c r="W215" s="135">
        <f>+MATCH(PROVEEDORES[[#This Row],[año facturado]],Retenciones!$1:$1,0)</f>
        <v>6</v>
      </c>
      <c r="X215" s="136">
        <f>+VLOOKUP(PROVEEDORES[[#This Row],[ID RETENCION]],Retenciones!$A$1:$O$25,PROVEEDORES[[#This Row],[indicador de columna]],FALSE)</f>
        <v>0</v>
      </c>
      <c r="Y215" s="137">
        <f>+VLOOKUP(PROVEEDORES[[#This Row],[ID RETENCION]],Retenciones!$A$1:$O$25,2,FALSE)</f>
        <v>0</v>
      </c>
      <c r="Z215" s="126" t="b">
        <f>+OR(COUNTIF(PROVEEDORES[[#This Row],[PROVEEDOR]],"*"&amp;'Palabra que no opera y Listas d'!$A$2&amp;"*"))</f>
        <v>1</v>
      </c>
    </row>
    <row r="216" spans="1:26" ht="27.75" customHeight="1" x14ac:dyDescent="0.25">
      <c r="A216" s="141" t="str">
        <f>+IF(PROVEEDORES[[#This Row],[FECHA DE PAGO]]=PROVEEDORES[[#This Row],[FECHA DE FACTURACIÓN]],"DE CONTADO","CRÉDITO")</f>
        <v>CRÉDITO</v>
      </c>
      <c r="B216" s="138" t="b">
        <f>+IF((PROVEEDORES[[#This Row],[FECHA DE PAGO]]-PROVEEDORES[[#This Row],[FECHA DE FACTURACIÓN]])&gt;PROVEEDORES[[#This Row],[PLAZO Días]],"PAGO VENCIDO")</f>
        <v>0</v>
      </c>
      <c r="C216" s="138">
        <f>+VLOOKUP(PROVEEDORES[[#This Row],[PROVEEDOR]],TERCEROS_INFO[#All],2,FALSE)</f>
        <v>30</v>
      </c>
      <c r="D216" s="139">
        <f>+SUMIFS(PROVEEDORES[Total],PROVEEDORES[PROVEEDOR],PROVEEDORES[[#This Row],[PROVEEDOR]],PROVEEDORES[FECHA DE PAGO],"")</f>
        <v>0</v>
      </c>
      <c r="E216" s="140"/>
      <c r="F216" s="138" t="str">
        <f>+VLOOKUP(PROVEEDORES[[#This Row],[PROVEEDOR]],
                       Terceros!$A:$F,
                       5,
                       FALSE)</f>
        <v/>
      </c>
      <c r="G216" s="127">
        <v>45030</v>
      </c>
      <c r="H216" s="123" t="s">
        <v>481</v>
      </c>
      <c r="I216" s="127">
        <v>45029</v>
      </c>
      <c r="J216" s="124" t="s">
        <v>728</v>
      </c>
      <c r="K216" s="124" t="s">
        <v>1530</v>
      </c>
      <c r="L216" s="124"/>
      <c r="M216" s="125">
        <v>2877000</v>
      </c>
      <c r="N216" s="148">
        <v>0</v>
      </c>
      <c r="O216" s="148">
        <v>0</v>
      </c>
      <c r="P216" s="149">
        <v>0</v>
      </c>
      <c r="Q216" s="148">
        <v>0</v>
      </c>
      <c r="R216" s="150">
        <v>2877000</v>
      </c>
      <c r="S2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6" s="135">
        <f ca="1">+IF(PROVEEDORES[[#This Row],[FECHA DE PAGO]]=0,TODAY()-PROVEEDORES[[#This Row],[FECHA DE FACTURACIÓN]]-PROVEEDORES[[#This Row],[PLAZO Días]],0)</f>
        <v>0</v>
      </c>
      <c r="U216" s="135">
        <f>+VLOOKUP(PROVEEDORES[[#This Row],[PROVEEDOR]],Terceros!$A:$D,4,FALSE)</f>
        <v>0</v>
      </c>
      <c r="V216" s="135">
        <f>+YEAR(PROVEEDORES[[#This Row],[FECHA DE FACTURACIÓN]])</f>
        <v>2023</v>
      </c>
      <c r="W216" s="135">
        <f>+MATCH(PROVEEDORES[[#This Row],[año facturado]],Retenciones!$1:$1,0)</f>
        <v>6</v>
      </c>
      <c r="X216" s="136">
        <f>+VLOOKUP(PROVEEDORES[[#This Row],[ID RETENCION]],Retenciones!$A$1:$O$25,PROVEEDORES[[#This Row],[indicador de columna]],FALSE)</f>
        <v>0</v>
      </c>
      <c r="Y216" s="137">
        <f>+VLOOKUP(PROVEEDORES[[#This Row],[ID RETENCION]],Retenciones!$A$1:$O$25,2,FALSE)</f>
        <v>0</v>
      </c>
      <c r="Z216" s="126" t="b">
        <f>+OR(COUNTIF(PROVEEDORES[[#This Row],[PROVEEDOR]],"*"&amp;'Palabra que no opera y Listas d'!$A$2&amp;"*"))</f>
        <v>0</v>
      </c>
    </row>
    <row r="217" spans="1:26" ht="27.75" customHeight="1" x14ac:dyDescent="0.25">
      <c r="A217" s="141" t="str">
        <f>+IF(PROVEEDORES[[#This Row],[FECHA DE PAGO]]=PROVEEDORES[[#This Row],[FECHA DE FACTURACIÓN]],"DE CONTADO","CRÉDITO")</f>
        <v>DE CONTADO</v>
      </c>
      <c r="B217" s="138" t="b">
        <f>+IF((PROVEEDORES[[#This Row],[FECHA DE PAGO]]-PROVEEDORES[[#This Row],[FECHA DE FACTURACIÓN]])&gt;PROVEEDORES[[#This Row],[PLAZO Días]],"PAGO VENCIDO")</f>
        <v>0</v>
      </c>
      <c r="C217" s="138">
        <f>+VLOOKUP(PROVEEDORES[[#This Row],[PROVEEDOR]],TERCEROS_INFO[#All],2,FALSE)</f>
        <v>30</v>
      </c>
      <c r="D217" s="139">
        <f>+SUMIFS(PROVEEDORES[Total],PROVEEDORES[PROVEEDOR],PROVEEDORES[[#This Row],[PROVEEDOR]],PROVEEDORES[FECHA DE PAGO],"")</f>
        <v>134000</v>
      </c>
      <c r="E217" s="140"/>
      <c r="F217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217" s="127">
        <v>45030</v>
      </c>
      <c r="H217" s="123" t="s">
        <v>1808</v>
      </c>
      <c r="I217" s="127">
        <v>45030</v>
      </c>
      <c r="J217" s="124" t="s">
        <v>1047</v>
      </c>
      <c r="K217" s="124" t="s">
        <v>1530</v>
      </c>
      <c r="L217" s="124"/>
      <c r="M217" s="125">
        <v>89000</v>
      </c>
      <c r="N217" s="148">
        <v>0</v>
      </c>
      <c r="O217" s="148">
        <v>0</v>
      </c>
      <c r="P217" s="149">
        <v>0</v>
      </c>
      <c r="Q217" s="148">
        <v>0</v>
      </c>
      <c r="R217" s="150">
        <v>89000</v>
      </c>
      <c r="S2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7" s="135">
        <f ca="1">+IF(PROVEEDORES[[#This Row],[FECHA DE PAGO]]=0,TODAY()-PROVEEDORES[[#This Row],[FECHA DE FACTURACIÓN]]-PROVEEDORES[[#This Row],[PLAZO Días]],0)</f>
        <v>0</v>
      </c>
      <c r="U217" s="135">
        <f>+VLOOKUP(PROVEEDORES[[#This Row],[PROVEEDOR]],Terceros!$A:$D,4,FALSE)</f>
        <v>0</v>
      </c>
      <c r="V217" s="135">
        <f>+YEAR(PROVEEDORES[[#This Row],[FECHA DE FACTURACIÓN]])</f>
        <v>2023</v>
      </c>
      <c r="W217" s="135">
        <f>+MATCH(PROVEEDORES[[#This Row],[año facturado]],Retenciones!$1:$1,0)</f>
        <v>6</v>
      </c>
      <c r="X217" s="136">
        <f>+VLOOKUP(PROVEEDORES[[#This Row],[ID RETENCION]],Retenciones!$A$1:$O$25,PROVEEDORES[[#This Row],[indicador de columna]],FALSE)</f>
        <v>0</v>
      </c>
      <c r="Y217" s="137">
        <f>+VLOOKUP(PROVEEDORES[[#This Row],[ID RETENCION]],Retenciones!$A$1:$O$25,2,FALSE)</f>
        <v>0</v>
      </c>
      <c r="Z217" s="126" t="b">
        <f>+OR(COUNTIF(PROVEEDORES[[#This Row],[PROVEEDOR]],"*"&amp;'Palabra que no opera y Listas d'!$A$2&amp;"*"))</f>
        <v>0</v>
      </c>
    </row>
    <row r="218" spans="1:26" ht="27.75" customHeight="1" x14ac:dyDescent="0.25">
      <c r="A218" s="141" t="str">
        <f>+IF(PROVEEDORES[[#This Row],[FECHA DE PAGO]]=PROVEEDORES[[#This Row],[FECHA DE FACTURACIÓN]],"DE CONTADO","CRÉDITO")</f>
        <v>DE CONTADO</v>
      </c>
      <c r="B218" s="138" t="b">
        <f>+IF((PROVEEDORES[[#This Row],[FECHA DE PAGO]]-PROVEEDORES[[#This Row],[FECHA DE FACTURACIÓN]])&gt;PROVEEDORES[[#This Row],[PLAZO Días]],"PAGO VENCIDO")</f>
        <v>0</v>
      </c>
      <c r="C218" s="138">
        <f>+VLOOKUP(PROVEEDORES[[#This Row],[PROVEEDOR]],TERCEROS_INFO[#All],2,FALSE)</f>
        <v>30</v>
      </c>
      <c r="D218" s="139">
        <f>+SUMIFS(PROVEEDORES[Total],PROVEEDORES[PROVEEDOR],PROVEEDORES[[#This Row],[PROVEEDOR]],PROVEEDORES[FECHA DE PAGO],"")</f>
        <v>0</v>
      </c>
      <c r="E218" s="140"/>
      <c r="F218" s="138" t="str">
        <f>+VLOOKUP(PROVEEDORES[[#This Row],[PROVEEDOR]],
                       Terceros!$A:$F,
                       5,
                       FALSE)</f>
        <v/>
      </c>
      <c r="G218" s="127">
        <v>45030</v>
      </c>
      <c r="H218" s="123" t="s">
        <v>525</v>
      </c>
      <c r="I218" s="127">
        <v>45030</v>
      </c>
      <c r="J218" s="124" t="s">
        <v>722</v>
      </c>
      <c r="K218" s="124" t="s">
        <v>1530</v>
      </c>
      <c r="L218" s="124"/>
      <c r="M218" s="125">
        <v>90000</v>
      </c>
      <c r="N218" s="148">
        <v>0</v>
      </c>
      <c r="O218" s="148">
        <v>0</v>
      </c>
      <c r="P218" s="149">
        <v>0</v>
      </c>
      <c r="Q218" s="148">
        <v>0</v>
      </c>
      <c r="R218" s="150">
        <v>90000</v>
      </c>
      <c r="S2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8" s="135">
        <f ca="1">+IF(PROVEEDORES[[#This Row],[FECHA DE PAGO]]=0,TODAY()-PROVEEDORES[[#This Row],[FECHA DE FACTURACIÓN]]-PROVEEDORES[[#This Row],[PLAZO Días]],0)</f>
        <v>0</v>
      </c>
      <c r="U218" s="135">
        <f>+VLOOKUP(PROVEEDORES[[#This Row],[PROVEEDOR]],Terceros!$A:$D,4,FALSE)</f>
        <v>0</v>
      </c>
      <c r="V218" s="135">
        <f>+YEAR(PROVEEDORES[[#This Row],[FECHA DE FACTURACIÓN]])</f>
        <v>2023</v>
      </c>
      <c r="W218" s="135">
        <f>+MATCH(PROVEEDORES[[#This Row],[año facturado]],Retenciones!$1:$1,0)</f>
        <v>6</v>
      </c>
      <c r="X218" s="136">
        <f>+VLOOKUP(PROVEEDORES[[#This Row],[ID RETENCION]],Retenciones!$A$1:$O$25,PROVEEDORES[[#This Row],[indicador de columna]],FALSE)</f>
        <v>0</v>
      </c>
      <c r="Y218" s="137">
        <f>+VLOOKUP(PROVEEDORES[[#This Row],[ID RETENCION]],Retenciones!$A$1:$O$25,2,FALSE)</f>
        <v>0</v>
      </c>
      <c r="Z218" s="126" t="b">
        <f>+OR(COUNTIF(PROVEEDORES[[#This Row],[PROVEEDOR]],"*"&amp;'Palabra que no opera y Listas d'!$A$2&amp;"*"))</f>
        <v>0</v>
      </c>
    </row>
    <row r="219" spans="1:26" ht="27.75" customHeight="1" x14ac:dyDescent="0.25">
      <c r="A219" s="141" t="str">
        <f>+IF(PROVEEDORES[[#This Row],[FECHA DE PAGO]]=PROVEEDORES[[#This Row],[FECHA DE FACTURACIÓN]],"DE CONTADO","CRÉDITO")</f>
        <v>CRÉDITO</v>
      </c>
      <c r="B219" s="138" t="str">
        <f>+IF((PROVEEDORES[[#This Row],[FECHA DE PAGO]]-PROVEEDORES[[#This Row],[FECHA DE FACTURACIÓN]])&gt;PROVEEDORES[[#This Row],[PLAZO Días]],"PAGO VENCIDO")</f>
        <v>PAGO VENCIDO</v>
      </c>
      <c r="C219" s="138">
        <f>+VLOOKUP(PROVEEDORES[[#This Row],[PROVEEDOR]],TERCEROS_INFO[#All],2,FALSE)</f>
        <v>30</v>
      </c>
      <c r="D219" s="139">
        <f>+SUMIFS(PROVEEDORES[Total],PROVEEDORES[PROVEEDOR],PROVEEDORES[[#This Row],[PROVEEDOR]],PROVEEDORES[FECHA DE PAGO],"")</f>
        <v>0</v>
      </c>
      <c r="E219" s="140"/>
      <c r="F219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219" s="127">
        <v>45031</v>
      </c>
      <c r="H219" s="123" t="s">
        <v>1865</v>
      </c>
      <c r="I219" s="127">
        <v>44957</v>
      </c>
      <c r="J219" s="124">
        <v>532</v>
      </c>
      <c r="K219" s="124" t="s">
        <v>1530</v>
      </c>
      <c r="L219" s="124"/>
      <c r="M219" s="125">
        <v>67538</v>
      </c>
      <c r="N219" s="148">
        <v>0</v>
      </c>
      <c r="O219" s="148">
        <v>0</v>
      </c>
      <c r="P219" s="149">
        <v>0</v>
      </c>
      <c r="Q219" s="148">
        <v>0</v>
      </c>
      <c r="R219" s="150">
        <v>67538</v>
      </c>
      <c r="S2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19" s="135">
        <f ca="1">+IF(PROVEEDORES[[#This Row],[FECHA DE PAGO]]=0,TODAY()-PROVEEDORES[[#This Row],[FECHA DE FACTURACIÓN]]-PROVEEDORES[[#This Row],[PLAZO Días]],0)</f>
        <v>0</v>
      </c>
      <c r="U219" s="135">
        <f>+VLOOKUP(PROVEEDORES[[#This Row],[PROVEEDOR]],Terceros!$A:$D,4,FALSE)</f>
        <v>0</v>
      </c>
      <c r="V219" s="135">
        <f>+YEAR(PROVEEDORES[[#This Row],[FECHA DE FACTURACIÓN]])</f>
        <v>2023</v>
      </c>
      <c r="W219" s="135">
        <f>+MATCH(PROVEEDORES[[#This Row],[año facturado]],Retenciones!$1:$1,0)</f>
        <v>6</v>
      </c>
      <c r="X219" s="136">
        <f>+VLOOKUP(PROVEEDORES[[#This Row],[ID RETENCION]],Retenciones!$A$1:$O$25,PROVEEDORES[[#This Row],[indicador de columna]],FALSE)</f>
        <v>0</v>
      </c>
      <c r="Y219" s="137">
        <f>+VLOOKUP(PROVEEDORES[[#This Row],[ID RETENCION]],Retenciones!$A$1:$O$25,2,FALSE)</f>
        <v>0</v>
      </c>
      <c r="Z219" s="126" t="b">
        <f>+OR(COUNTIF(PROVEEDORES[[#This Row],[PROVEEDOR]],"*"&amp;'Palabra que no opera y Listas d'!$A$2&amp;"*"))</f>
        <v>0</v>
      </c>
    </row>
    <row r="220" spans="1:26" ht="27.75" customHeight="1" x14ac:dyDescent="0.25">
      <c r="A220" s="141" t="str">
        <f>+IF(PROVEEDORES[[#This Row],[FECHA DE PAGO]]=PROVEEDORES[[#This Row],[FECHA DE FACTURACIÓN]],"DE CONTADO","CRÉDITO")</f>
        <v>CRÉDITO</v>
      </c>
      <c r="B220" s="138" t="b">
        <f>+IF((PROVEEDORES[[#This Row],[FECHA DE PAGO]]-PROVEEDORES[[#This Row],[FECHA DE FACTURACIÓN]])&gt;PROVEEDORES[[#This Row],[PLAZO Días]],"PAGO VENCIDO")</f>
        <v>0</v>
      </c>
      <c r="C220" s="138">
        <f>+VLOOKUP(PROVEEDORES[[#This Row],[PROVEEDOR]],TERCEROS_INFO[#All],2,FALSE)</f>
        <v>30</v>
      </c>
      <c r="D220" s="139">
        <f>+SUMIFS(PROVEEDORES[Total],PROVEEDORES[PROVEEDOR],PROVEEDORES[[#This Row],[PROVEEDOR]],PROVEEDORES[FECHA DE PAGO],"")</f>
        <v>0</v>
      </c>
      <c r="E220" s="140"/>
      <c r="F220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220" s="127">
        <v>45031</v>
      </c>
      <c r="H220" s="123" t="s">
        <v>1865</v>
      </c>
      <c r="I220" s="127">
        <v>45008</v>
      </c>
      <c r="J220" s="124">
        <v>559</v>
      </c>
      <c r="K220" s="124" t="s">
        <v>1530</v>
      </c>
      <c r="L220" s="124"/>
      <c r="M220" s="125">
        <v>0</v>
      </c>
      <c r="N220" s="148">
        <v>0</v>
      </c>
      <c r="O220" s="148">
        <v>0</v>
      </c>
      <c r="P220" s="149">
        <v>0</v>
      </c>
      <c r="Q220" s="148">
        <v>0</v>
      </c>
      <c r="R220" s="150">
        <v>0</v>
      </c>
      <c r="S2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0" s="135">
        <f ca="1">+IF(PROVEEDORES[[#This Row],[FECHA DE PAGO]]=0,TODAY()-PROVEEDORES[[#This Row],[FECHA DE FACTURACIÓN]]-PROVEEDORES[[#This Row],[PLAZO Días]],0)</f>
        <v>0</v>
      </c>
      <c r="U220" s="135">
        <f>+VLOOKUP(PROVEEDORES[[#This Row],[PROVEEDOR]],Terceros!$A:$D,4,FALSE)</f>
        <v>0</v>
      </c>
      <c r="V220" s="135">
        <f>+YEAR(PROVEEDORES[[#This Row],[FECHA DE FACTURACIÓN]])</f>
        <v>2023</v>
      </c>
      <c r="W220" s="135">
        <f>+MATCH(PROVEEDORES[[#This Row],[año facturado]],Retenciones!$1:$1,0)</f>
        <v>6</v>
      </c>
      <c r="X220" s="136">
        <f>+VLOOKUP(PROVEEDORES[[#This Row],[ID RETENCION]],Retenciones!$A$1:$O$25,PROVEEDORES[[#This Row],[indicador de columna]],FALSE)</f>
        <v>0</v>
      </c>
      <c r="Y220" s="137">
        <f>+VLOOKUP(PROVEEDORES[[#This Row],[ID RETENCION]],Retenciones!$A$1:$O$25,2,FALSE)</f>
        <v>0</v>
      </c>
      <c r="Z220" s="126" t="b">
        <f>+OR(COUNTIF(PROVEEDORES[[#This Row],[PROVEEDOR]],"*"&amp;'Palabra que no opera y Listas d'!$A$2&amp;"*"))</f>
        <v>0</v>
      </c>
    </row>
    <row r="221" spans="1:26" ht="27.75" customHeight="1" x14ac:dyDescent="0.25">
      <c r="A221" s="141" t="str">
        <f>+IF(PROVEEDORES[[#This Row],[FECHA DE PAGO]]=PROVEEDORES[[#This Row],[FECHA DE FACTURACIÓN]],"DE CONTADO","CRÉDITO")</f>
        <v>CRÉDITO</v>
      </c>
      <c r="B221" s="138" t="b">
        <f>+IF((PROVEEDORES[[#This Row],[FECHA DE PAGO]]-PROVEEDORES[[#This Row],[FECHA DE FACTURACIÓN]])&gt;PROVEEDORES[[#This Row],[PLAZO Días]],"PAGO VENCIDO")</f>
        <v>0</v>
      </c>
      <c r="C221" s="138">
        <f>+VLOOKUP(PROVEEDORES[[#This Row],[PROVEEDOR]],TERCEROS_INFO[#All],2,FALSE)</f>
        <v>30</v>
      </c>
      <c r="D221" s="139">
        <f>+SUMIFS(PROVEEDORES[Total],PROVEEDORES[PROVEEDOR],PROVEEDORES[[#This Row],[PROVEEDOR]],PROVEEDORES[FECHA DE PAGO],"")</f>
        <v>0</v>
      </c>
      <c r="E221" s="140"/>
      <c r="F221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221" s="127">
        <v>45031</v>
      </c>
      <c r="H221" s="123" t="s">
        <v>1865</v>
      </c>
      <c r="I221" s="127">
        <v>45009</v>
      </c>
      <c r="J221" s="124">
        <v>560</v>
      </c>
      <c r="K221" s="124" t="s">
        <v>1530</v>
      </c>
      <c r="L221" s="124"/>
      <c r="M221" s="125">
        <v>32039</v>
      </c>
      <c r="N221" s="148">
        <v>0</v>
      </c>
      <c r="O221" s="148">
        <v>0</v>
      </c>
      <c r="P221" s="149">
        <v>0</v>
      </c>
      <c r="Q221" s="148">
        <v>0</v>
      </c>
      <c r="R221" s="150">
        <v>32039</v>
      </c>
      <c r="S2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1" s="135">
        <f ca="1">+IF(PROVEEDORES[[#This Row],[FECHA DE PAGO]]=0,TODAY()-PROVEEDORES[[#This Row],[FECHA DE FACTURACIÓN]]-PROVEEDORES[[#This Row],[PLAZO Días]],0)</f>
        <v>0</v>
      </c>
      <c r="U221" s="135">
        <f>+VLOOKUP(PROVEEDORES[[#This Row],[PROVEEDOR]],Terceros!$A:$D,4,FALSE)</f>
        <v>0</v>
      </c>
      <c r="V221" s="135">
        <f>+YEAR(PROVEEDORES[[#This Row],[FECHA DE FACTURACIÓN]])</f>
        <v>2023</v>
      </c>
      <c r="W221" s="135">
        <f>+MATCH(PROVEEDORES[[#This Row],[año facturado]],Retenciones!$1:$1,0)</f>
        <v>6</v>
      </c>
      <c r="X221" s="136">
        <f>+VLOOKUP(PROVEEDORES[[#This Row],[ID RETENCION]],Retenciones!$A$1:$O$25,PROVEEDORES[[#This Row],[indicador de columna]],FALSE)</f>
        <v>0</v>
      </c>
      <c r="Y221" s="137">
        <f>+VLOOKUP(PROVEEDORES[[#This Row],[ID RETENCION]],Retenciones!$A$1:$O$25,2,FALSE)</f>
        <v>0</v>
      </c>
      <c r="Z221" s="126" t="b">
        <f>+OR(COUNTIF(PROVEEDORES[[#This Row],[PROVEEDOR]],"*"&amp;'Palabra que no opera y Listas d'!$A$2&amp;"*"))</f>
        <v>0</v>
      </c>
    </row>
    <row r="222" spans="1:26" ht="27.75" customHeight="1" x14ac:dyDescent="0.25">
      <c r="A222" s="141" t="str">
        <f>+IF(PROVEEDORES[[#This Row],[FECHA DE PAGO]]=PROVEEDORES[[#This Row],[FECHA DE FACTURACIÓN]],"DE CONTADO","CRÉDITO")</f>
        <v>CRÉDITO</v>
      </c>
      <c r="B222" s="138" t="b">
        <f>+IF((PROVEEDORES[[#This Row],[FECHA DE PAGO]]-PROVEEDORES[[#This Row],[FECHA DE FACTURACIÓN]])&gt;PROVEEDORES[[#This Row],[PLAZO Días]],"PAGO VENCIDO")</f>
        <v>0</v>
      </c>
      <c r="C222" s="138">
        <f>+VLOOKUP(PROVEEDORES[[#This Row],[PROVEEDOR]],TERCEROS_INFO[#All],2,FALSE)</f>
        <v>30</v>
      </c>
      <c r="D222" s="139">
        <f>+SUMIFS(PROVEEDORES[Total],PROVEEDORES[PROVEEDOR],PROVEEDORES[[#This Row],[PROVEEDOR]],PROVEEDORES[FECHA DE PAGO],"")</f>
        <v>0</v>
      </c>
      <c r="E222" s="140"/>
      <c r="F222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222" s="127">
        <v>45031</v>
      </c>
      <c r="H222" s="123" t="s">
        <v>1865</v>
      </c>
      <c r="I222" s="127">
        <v>45022</v>
      </c>
      <c r="J222" s="124" t="s">
        <v>491</v>
      </c>
      <c r="K222" s="124" t="s">
        <v>1530</v>
      </c>
      <c r="L222" s="124"/>
      <c r="M222" s="125">
        <v>-1008779</v>
      </c>
      <c r="N222" s="148">
        <v>0</v>
      </c>
      <c r="O222" s="148">
        <v>0</v>
      </c>
      <c r="P222" s="149">
        <v>0</v>
      </c>
      <c r="Q222" s="148">
        <v>0</v>
      </c>
      <c r="R222" s="150">
        <v>-1008779</v>
      </c>
      <c r="S2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2" s="135">
        <f ca="1">+IF(PROVEEDORES[[#This Row],[FECHA DE PAGO]]=0,TODAY()-PROVEEDORES[[#This Row],[FECHA DE FACTURACIÓN]]-PROVEEDORES[[#This Row],[PLAZO Días]],0)</f>
        <v>0</v>
      </c>
      <c r="U222" s="135">
        <f>+VLOOKUP(PROVEEDORES[[#This Row],[PROVEEDOR]],Terceros!$A:$D,4,FALSE)</f>
        <v>0</v>
      </c>
      <c r="V222" s="135">
        <f>+YEAR(PROVEEDORES[[#This Row],[FECHA DE FACTURACIÓN]])</f>
        <v>2023</v>
      </c>
      <c r="W222" s="135">
        <f>+MATCH(PROVEEDORES[[#This Row],[año facturado]],Retenciones!$1:$1,0)</f>
        <v>6</v>
      </c>
      <c r="X222" s="136">
        <f>+VLOOKUP(PROVEEDORES[[#This Row],[ID RETENCION]],Retenciones!$A$1:$O$25,PROVEEDORES[[#This Row],[indicador de columna]],FALSE)</f>
        <v>0</v>
      </c>
      <c r="Y222" s="137">
        <f>+VLOOKUP(PROVEEDORES[[#This Row],[ID RETENCION]],Retenciones!$A$1:$O$25,2,FALSE)</f>
        <v>0</v>
      </c>
      <c r="Z222" s="126" t="b">
        <f>+OR(COUNTIF(PROVEEDORES[[#This Row],[PROVEEDOR]],"*"&amp;'Palabra que no opera y Listas d'!$A$2&amp;"*"))</f>
        <v>0</v>
      </c>
    </row>
    <row r="223" spans="1:26" ht="27.75" customHeight="1" x14ac:dyDescent="0.25">
      <c r="A223" s="141" t="str">
        <f>+IF(PROVEEDORES[[#This Row],[FECHA DE PAGO]]=PROVEEDORES[[#This Row],[FECHA DE FACTURACIÓN]],"DE CONTADO","CRÉDITO")</f>
        <v>CRÉDITO</v>
      </c>
      <c r="B223" s="138" t="b">
        <f>+IF((PROVEEDORES[[#This Row],[FECHA DE PAGO]]-PROVEEDORES[[#This Row],[FECHA DE FACTURACIÓN]])&gt;PROVEEDORES[[#This Row],[PLAZO Días]],"PAGO VENCIDO")</f>
        <v>0</v>
      </c>
      <c r="C223" s="138">
        <f>+VLOOKUP(PROVEEDORES[[#This Row],[PROVEEDOR]],TERCEROS_INFO[#All],2,FALSE)</f>
        <v>30</v>
      </c>
      <c r="D223" s="139">
        <f>+SUMIFS(PROVEEDORES[Total],PROVEEDORES[PROVEEDOR],PROVEEDORES[[#This Row],[PROVEEDOR]],PROVEEDORES[FECHA DE PAGO],"")</f>
        <v>0</v>
      </c>
      <c r="E223" s="140"/>
      <c r="F223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223" s="127">
        <v>45031</v>
      </c>
      <c r="H223" s="123" t="s">
        <v>1863</v>
      </c>
      <c r="I223" s="127">
        <v>45026</v>
      </c>
      <c r="J223" s="124" t="s">
        <v>689</v>
      </c>
      <c r="K223" s="124" t="s">
        <v>1530</v>
      </c>
      <c r="L223" s="124"/>
      <c r="M223" s="125">
        <v>0</v>
      </c>
      <c r="N223" s="148">
        <v>0</v>
      </c>
      <c r="O223" s="148">
        <v>0</v>
      </c>
      <c r="P223" s="149">
        <v>0</v>
      </c>
      <c r="Q223" s="148">
        <v>0</v>
      </c>
      <c r="R223" s="150">
        <v>0</v>
      </c>
      <c r="S2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3" s="135">
        <f ca="1">+IF(PROVEEDORES[[#This Row],[FECHA DE PAGO]]=0,TODAY()-PROVEEDORES[[#This Row],[FECHA DE FACTURACIÓN]]-PROVEEDORES[[#This Row],[PLAZO Días]],0)</f>
        <v>0</v>
      </c>
      <c r="U223" s="135">
        <f>+VLOOKUP(PROVEEDORES[[#This Row],[PROVEEDOR]],Terceros!$A:$D,4,FALSE)</f>
        <v>0</v>
      </c>
      <c r="V223" s="135">
        <f>+YEAR(PROVEEDORES[[#This Row],[FECHA DE FACTURACIÓN]])</f>
        <v>2023</v>
      </c>
      <c r="W223" s="135">
        <f>+MATCH(PROVEEDORES[[#This Row],[año facturado]],Retenciones!$1:$1,0)</f>
        <v>6</v>
      </c>
      <c r="X223" s="136">
        <f>+VLOOKUP(PROVEEDORES[[#This Row],[ID RETENCION]],Retenciones!$A$1:$O$25,PROVEEDORES[[#This Row],[indicador de columna]],FALSE)</f>
        <v>0</v>
      </c>
      <c r="Y223" s="137">
        <f>+VLOOKUP(PROVEEDORES[[#This Row],[ID RETENCION]],Retenciones!$A$1:$O$25,2,FALSE)</f>
        <v>0</v>
      </c>
      <c r="Z223" s="126" t="b">
        <f>+OR(COUNTIF(PROVEEDORES[[#This Row],[PROVEEDOR]],"*"&amp;'Palabra que no opera y Listas d'!$A$2&amp;"*"))</f>
        <v>0</v>
      </c>
    </row>
    <row r="224" spans="1:26" ht="27.75" customHeight="1" x14ac:dyDescent="0.25">
      <c r="A224" s="141" t="str">
        <f>+IF(PROVEEDORES[[#This Row],[FECHA DE PAGO]]=PROVEEDORES[[#This Row],[FECHA DE FACTURACIÓN]],"DE CONTADO","CRÉDITO")</f>
        <v>CRÉDITO</v>
      </c>
      <c r="B224" s="138" t="b">
        <f>+IF((PROVEEDORES[[#This Row],[FECHA DE PAGO]]-PROVEEDORES[[#This Row],[FECHA DE FACTURACIÓN]])&gt;PROVEEDORES[[#This Row],[PLAZO Días]],"PAGO VENCIDO")</f>
        <v>0</v>
      </c>
      <c r="C224" s="138">
        <f>+VLOOKUP(PROVEEDORES[[#This Row],[PROVEEDOR]],TERCEROS_INFO[#All],2,FALSE)</f>
        <v>30</v>
      </c>
      <c r="D224" s="139">
        <f>+SUMIFS(PROVEEDORES[Total],PROVEEDORES[PROVEEDOR],PROVEEDORES[[#This Row],[PROVEEDOR]],PROVEEDORES[FECHA DE PAGO],"")</f>
        <v>0</v>
      </c>
      <c r="E224" s="140"/>
      <c r="F224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224" s="127">
        <v>45031</v>
      </c>
      <c r="H224" s="123" t="s">
        <v>1863</v>
      </c>
      <c r="I224" s="127">
        <v>45026</v>
      </c>
      <c r="J224" s="124" t="s">
        <v>690</v>
      </c>
      <c r="K224" s="124" t="s">
        <v>1530</v>
      </c>
      <c r="L224" s="124"/>
      <c r="M224" s="125">
        <v>16984</v>
      </c>
      <c r="N224" s="148">
        <v>0</v>
      </c>
      <c r="O224" s="148">
        <v>0</v>
      </c>
      <c r="P224" s="149">
        <v>0</v>
      </c>
      <c r="Q224" s="148">
        <v>0</v>
      </c>
      <c r="R224" s="150">
        <v>16984</v>
      </c>
      <c r="S2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4" s="135">
        <f ca="1">+IF(PROVEEDORES[[#This Row],[FECHA DE PAGO]]=0,TODAY()-PROVEEDORES[[#This Row],[FECHA DE FACTURACIÓN]]-PROVEEDORES[[#This Row],[PLAZO Días]],0)</f>
        <v>0</v>
      </c>
      <c r="U224" s="135">
        <f>+VLOOKUP(PROVEEDORES[[#This Row],[PROVEEDOR]],Terceros!$A:$D,4,FALSE)</f>
        <v>0</v>
      </c>
      <c r="V224" s="135">
        <f>+YEAR(PROVEEDORES[[#This Row],[FECHA DE FACTURACIÓN]])</f>
        <v>2023</v>
      </c>
      <c r="W224" s="135">
        <f>+MATCH(PROVEEDORES[[#This Row],[año facturado]],Retenciones!$1:$1,0)</f>
        <v>6</v>
      </c>
      <c r="X224" s="136">
        <f>+VLOOKUP(PROVEEDORES[[#This Row],[ID RETENCION]],Retenciones!$A$1:$O$25,PROVEEDORES[[#This Row],[indicador de columna]],FALSE)</f>
        <v>0</v>
      </c>
      <c r="Y224" s="137">
        <f>+VLOOKUP(PROVEEDORES[[#This Row],[ID RETENCION]],Retenciones!$A$1:$O$25,2,FALSE)</f>
        <v>0</v>
      </c>
      <c r="Z224" s="126" t="b">
        <f>+OR(COUNTIF(PROVEEDORES[[#This Row],[PROVEEDOR]],"*"&amp;'Palabra que no opera y Listas d'!$A$2&amp;"*"))</f>
        <v>0</v>
      </c>
    </row>
    <row r="225" spans="1:26" ht="27.75" customHeight="1" x14ac:dyDescent="0.25">
      <c r="A225" s="141" t="str">
        <f>+IF(PROVEEDORES[[#This Row],[FECHA DE PAGO]]=PROVEEDORES[[#This Row],[FECHA DE FACTURACIÓN]],"DE CONTADO","CRÉDITO")</f>
        <v>CRÉDITO</v>
      </c>
      <c r="B225" s="138" t="b">
        <f>+IF((PROVEEDORES[[#This Row],[FECHA DE PAGO]]-PROVEEDORES[[#This Row],[FECHA DE FACTURACIÓN]])&gt;PROVEEDORES[[#This Row],[PLAZO Días]],"PAGO VENCIDO")</f>
        <v>0</v>
      </c>
      <c r="C225" s="138">
        <f>+VLOOKUP(PROVEEDORES[[#This Row],[PROVEEDOR]],TERCEROS_INFO[#All],2,FALSE)</f>
        <v>30</v>
      </c>
      <c r="D225" s="139">
        <f>+SUMIFS(PROVEEDORES[Total],PROVEEDORES[PROVEEDOR],PROVEEDORES[[#This Row],[PROVEEDOR]],PROVEEDORES[FECHA DE PAGO],"")</f>
        <v>0</v>
      </c>
      <c r="E225" s="140"/>
      <c r="F225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225" s="127">
        <v>45031</v>
      </c>
      <c r="H225" s="123" t="s">
        <v>1865</v>
      </c>
      <c r="I225" s="127">
        <v>45027</v>
      </c>
      <c r="J225" s="124" t="s">
        <v>680</v>
      </c>
      <c r="K225" s="124" t="s">
        <v>1530</v>
      </c>
      <c r="L225" s="124"/>
      <c r="M225" s="125">
        <v>0</v>
      </c>
      <c r="N225" s="148">
        <v>0</v>
      </c>
      <c r="O225" s="148">
        <v>0</v>
      </c>
      <c r="P225" s="149">
        <v>0</v>
      </c>
      <c r="Q225" s="148">
        <v>0</v>
      </c>
      <c r="R225" s="150">
        <v>0</v>
      </c>
      <c r="S2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5" s="135">
        <f ca="1">+IF(PROVEEDORES[[#This Row],[FECHA DE PAGO]]=0,TODAY()-PROVEEDORES[[#This Row],[FECHA DE FACTURACIÓN]]-PROVEEDORES[[#This Row],[PLAZO Días]],0)</f>
        <v>0</v>
      </c>
      <c r="U225" s="135">
        <f>+VLOOKUP(PROVEEDORES[[#This Row],[PROVEEDOR]],Terceros!$A:$D,4,FALSE)</f>
        <v>0</v>
      </c>
      <c r="V225" s="135">
        <f>+YEAR(PROVEEDORES[[#This Row],[FECHA DE FACTURACIÓN]])</f>
        <v>2023</v>
      </c>
      <c r="W225" s="135">
        <f>+MATCH(PROVEEDORES[[#This Row],[año facturado]],Retenciones!$1:$1,0)</f>
        <v>6</v>
      </c>
      <c r="X225" s="136">
        <f>+VLOOKUP(PROVEEDORES[[#This Row],[ID RETENCION]],Retenciones!$A$1:$O$25,PROVEEDORES[[#This Row],[indicador de columna]],FALSE)</f>
        <v>0</v>
      </c>
      <c r="Y225" s="137">
        <f>+VLOOKUP(PROVEEDORES[[#This Row],[ID RETENCION]],Retenciones!$A$1:$O$25,2,FALSE)</f>
        <v>0</v>
      </c>
      <c r="Z225" s="126" t="b">
        <f>+OR(COUNTIF(PROVEEDORES[[#This Row],[PROVEEDOR]],"*"&amp;'Palabra que no opera y Listas d'!$A$2&amp;"*"))</f>
        <v>0</v>
      </c>
    </row>
    <row r="226" spans="1:26" ht="27.75" customHeight="1" x14ac:dyDescent="0.25">
      <c r="A226" s="141" t="str">
        <f>+IF(PROVEEDORES[[#This Row],[FECHA DE PAGO]]=PROVEEDORES[[#This Row],[FECHA DE FACTURACIÓN]],"DE CONTADO","CRÉDITO")</f>
        <v>CRÉDITO</v>
      </c>
      <c r="B226" s="138" t="b">
        <f>+IF((PROVEEDORES[[#This Row],[FECHA DE PAGO]]-PROVEEDORES[[#This Row],[FECHA DE FACTURACIÓN]])&gt;PROVEEDORES[[#This Row],[PLAZO Días]],"PAGO VENCIDO")</f>
        <v>0</v>
      </c>
      <c r="C226" s="138">
        <f>+VLOOKUP(PROVEEDORES[[#This Row],[PROVEEDOR]],TERCEROS_INFO[#All],2,FALSE)</f>
        <v>30</v>
      </c>
      <c r="D226" s="139">
        <f>+SUMIFS(PROVEEDORES[Total],PROVEEDORES[PROVEEDOR],PROVEEDORES[[#This Row],[PROVEEDOR]],PROVEEDORES[FECHA DE PAGO],"")</f>
        <v>0</v>
      </c>
      <c r="E226" s="140"/>
      <c r="F226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226" s="127">
        <v>45031</v>
      </c>
      <c r="H226" s="123" t="s">
        <v>1865</v>
      </c>
      <c r="I226" s="127">
        <v>45027</v>
      </c>
      <c r="J226" s="124" t="s">
        <v>681</v>
      </c>
      <c r="K226" s="124" t="s">
        <v>1530</v>
      </c>
      <c r="L226" s="124"/>
      <c r="M226" s="125">
        <v>146984</v>
      </c>
      <c r="N226" s="148">
        <v>0</v>
      </c>
      <c r="O226" s="148">
        <v>0</v>
      </c>
      <c r="P226" s="149">
        <v>0</v>
      </c>
      <c r="Q226" s="148">
        <v>0</v>
      </c>
      <c r="R226" s="150">
        <v>146984</v>
      </c>
      <c r="S2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6" s="135">
        <f ca="1">+IF(PROVEEDORES[[#This Row],[FECHA DE PAGO]]=0,TODAY()-PROVEEDORES[[#This Row],[FECHA DE FACTURACIÓN]]-PROVEEDORES[[#This Row],[PLAZO Días]],0)</f>
        <v>0</v>
      </c>
      <c r="U226" s="135">
        <f>+VLOOKUP(PROVEEDORES[[#This Row],[PROVEEDOR]],Terceros!$A:$D,4,FALSE)</f>
        <v>0</v>
      </c>
      <c r="V226" s="135">
        <f>+YEAR(PROVEEDORES[[#This Row],[FECHA DE FACTURACIÓN]])</f>
        <v>2023</v>
      </c>
      <c r="W226" s="135">
        <f>+MATCH(PROVEEDORES[[#This Row],[año facturado]],Retenciones!$1:$1,0)</f>
        <v>6</v>
      </c>
      <c r="X226" s="136">
        <f>+VLOOKUP(PROVEEDORES[[#This Row],[ID RETENCION]],Retenciones!$A$1:$O$25,PROVEEDORES[[#This Row],[indicador de columna]],FALSE)</f>
        <v>0</v>
      </c>
      <c r="Y226" s="137">
        <f>+VLOOKUP(PROVEEDORES[[#This Row],[ID RETENCION]],Retenciones!$A$1:$O$25,2,FALSE)</f>
        <v>0</v>
      </c>
      <c r="Z226" s="126" t="b">
        <f>+OR(COUNTIF(PROVEEDORES[[#This Row],[PROVEEDOR]],"*"&amp;'Palabra que no opera y Listas d'!$A$2&amp;"*"))</f>
        <v>0</v>
      </c>
    </row>
    <row r="227" spans="1:26" ht="27.75" customHeight="1" x14ac:dyDescent="0.25">
      <c r="A227" s="141" t="str">
        <f>+IF(PROVEEDORES[[#This Row],[FECHA DE PAGO]]=PROVEEDORES[[#This Row],[FECHA DE FACTURACIÓN]],"DE CONTADO","CRÉDITO")</f>
        <v>CRÉDITO</v>
      </c>
      <c r="B227" s="138" t="b">
        <f>+IF((PROVEEDORES[[#This Row],[FECHA DE PAGO]]-PROVEEDORES[[#This Row],[FECHA DE FACTURACIÓN]])&gt;PROVEEDORES[[#This Row],[PLAZO Días]],"PAGO VENCIDO")</f>
        <v>0</v>
      </c>
      <c r="C227" s="138">
        <f>+VLOOKUP(PROVEEDORES[[#This Row],[PROVEEDOR]],TERCEROS_INFO[#All],2,FALSE)</f>
        <v>30</v>
      </c>
      <c r="D227" s="139">
        <f>+SUMIFS(PROVEEDORES[Total],PROVEEDORES[PROVEEDOR],PROVEEDORES[[#This Row],[PROVEEDOR]],PROVEEDORES[FECHA DE PAGO],"")</f>
        <v>0</v>
      </c>
      <c r="E227" s="140"/>
      <c r="F227" s="138" t="str">
        <f>+VLOOKUP(PROVEEDORES[[#This Row],[PROVEEDOR]],
                       Terceros!$A:$F,
                       5,
                       FALSE)</f>
        <v/>
      </c>
      <c r="G227" s="127">
        <v>45031</v>
      </c>
      <c r="H227" s="123" t="s">
        <v>1803</v>
      </c>
      <c r="I227" s="127">
        <v>45030</v>
      </c>
      <c r="J227" s="124">
        <v>681860</v>
      </c>
      <c r="K227" s="124" t="s">
        <v>1530</v>
      </c>
      <c r="L227" s="124"/>
      <c r="M227" s="125">
        <v>3556280</v>
      </c>
      <c r="N227" s="148">
        <v>0</v>
      </c>
      <c r="O227" s="148">
        <v>0</v>
      </c>
      <c r="P227" s="149">
        <v>0</v>
      </c>
      <c r="Q227" s="148">
        <v>0</v>
      </c>
      <c r="R227" s="150">
        <v>3556280</v>
      </c>
      <c r="S2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7" s="135">
        <f ca="1">+IF(PROVEEDORES[[#This Row],[FECHA DE PAGO]]=0,TODAY()-PROVEEDORES[[#This Row],[FECHA DE FACTURACIÓN]]-PROVEEDORES[[#This Row],[PLAZO Días]],0)</f>
        <v>0</v>
      </c>
      <c r="U227" s="135">
        <f>+VLOOKUP(PROVEEDORES[[#This Row],[PROVEEDOR]],Terceros!$A:$D,4,FALSE)</f>
        <v>0</v>
      </c>
      <c r="V227" s="135">
        <f>+YEAR(PROVEEDORES[[#This Row],[FECHA DE FACTURACIÓN]])</f>
        <v>2023</v>
      </c>
      <c r="W227" s="135">
        <f>+MATCH(PROVEEDORES[[#This Row],[año facturado]],Retenciones!$1:$1,0)</f>
        <v>6</v>
      </c>
      <c r="X227" s="136">
        <f>+VLOOKUP(PROVEEDORES[[#This Row],[ID RETENCION]],Retenciones!$A$1:$O$25,PROVEEDORES[[#This Row],[indicador de columna]],FALSE)</f>
        <v>0</v>
      </c>
      <c r="Y227" s="137">
        <f>+VLOOKUP(PROVEEDORES[[#This Row],[ID RETENCION]],Retenciones!$A$1:$O$25,2,FALSE)</f>
        <v>0</v>
      </c>
      <c r="Z227" s="126" t="b">
        <f>+OR(COUNTIF(PROVEEDORES[[#This Row],[PROVEEDOR]],"*"&amp;'Palabra que no opera y Listas d'!$A$2&amp;"*"))</f>
        <v>0</v>
      </c>
    </row>
    <row r="228" spans="1:26" ht="27.75" customHeight="1" x14ac:dyDescent="0.25">
      <c r="A228" s="141" t="str">
        <f>+IF(PROVEEDORES[[#This Row],[FECHA DE PAGO]]=PROVEEDORES[[#This Row],[FECHA DE FACTURACIÓN]],"DE CONTADO","CRÉDITO")</f>
        <v>DE CONTADO</v>
      </c>
      <c r="B228" s="138" t="b">
        <f>+IF((PROVEEDORES[[#This Row],[FECHA DE PAGO]]-PROVEEDORES[[#This Row],[FECHA DE FACTURACIÓN]])&gt;PROVEEDORES[[#This Row],[PLAZO Días]],"PAGO VENCIDO")</f>
        <v>0</v>
      </c>
      <c r="C228" s="138">
        <f>+VLOOKUP(PROVEEDORES[[#This Row],[PROVEEDOR]],TERCEROS_INFO[#All],2,FALSE)</f>
        <v>30</v>
      </c>
      <c r="D228" s="139">
        <f>+SUMIFS(PROVEEDORES[Total],PROVEEDORES[PROVEEDOR],PROVEEDORES[[#This Row],[PROVEEDOR]],PROVEEDORES[FECHA DE PAGO],"")</f>
        <v>1350000</v>
      </c>
      <c r="E228" s="140"/>
      <c r="F228" s="138" t="str">
        <f>+VLOOKUP(PROVEEDORES[[#This Row],[PROVEEDOR]],
                       Terceros!$A:$F,
                       5,
                       FALSE)</f>
        <v/>
      </c>
      <c r="G228" s="127">
        <v>45031</v>
      </c>
      <c r="H228" s="123" t="s">
        <v>1807</v>
      </c>
      <c r="I228" s="127">
        <v>45031</v>
      </c>
      <c r="J228" s="124" t="s">
        <v>731</v>
      </c>
      <c r="K228" s="124" t="s">
        <v>1530</v>
      </c>
      <c r="L228" s="124"/>
      <c r="M228" s="125">
        <v>590000</v>
      </c>
      <c r="N228" s="148">
        <v>0</v>
      </c>
      <c r="O228" s="148">
        <v>0</v>
      </c>
      <c r="P228" s="149">
        <v>0</v>
      </c>
      <c r="Q228" s="148">
        <v>0</v>
      </c>
      <c r="R228" s="150">
        <v>590000</v>
      </c>
      <c r="S2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8" s="135">
        <f ca="1">+IF(PROVEEDORES[[#This Row],[FECHA DE PAGO]]=0,TODAY()-PROVEEDORES[[#This Row],[FECHA DE FACTURACIÓN]]-PROVEEDORES[[#This Row],[PLAZO Días]],0)</f>
        <v>0</v>
      </c>
      <c r="U228" s="135">
        <f>+VLOOKUP(PROVEEDORES[[#This Row],[PROVEEDOR]],Terceros!$A:$D,4,FALSE)</f>
        <v>0</v>
      </c>
      <c r="V228" s="135">
        <f>+YEAR(PROVEEDORES[[#This Row],[FECHA DE FACTURACIÓN]])</f>
        <v>2023</v>
      </c>
      <c r="W228" s="135">
        <f>+MATCH(PROVEEDORES[[#This Row],[año facturado]],Retenciones!$1:$1,0)</f>
        <v>6</v>
      </c>
      <c r="X228" s="136">
        <f>+VLOOKUP(PROVEEDORES[[#This Row],[ID RETENCION]],Retenciones!$A$1:$O$25,PROVEEDORES[[#This Row],[indicador de columna]],FALSE)</f>
        <v>0</v>
      </c>
      <c r="Y228" s="137">
        <f>+VLOOKUP(PROVEEDORES[[#This Row],[ID RETENCION]],Retenciones!$A$1:$O$25,2,FALSE)</f>
        <v>0</v>
      </c>
      <c r="Z228" s="126" t="b">
        <f>+OR(COUNTIF(PROVEEDORES[[#This Row],[PROVEEDOR]],"*"&amp;'Palabra que no opera y Listas d'!$A$2&amp;"*"))</f>
        <v>0</v>
      </c>
    </row>
    <row r="229" spans="1:26" ht="27.75" customHeight="1" x14ac:dyDescent="0.25">
      <c r="A229" s="141" t="str">
        <f>+IF(PROVEEDORES[[#This Row],[FECHA DE PAGO]]=PROVEEDORES[[#This Row],[FECHA DE FACTURACIÓN]],"DE CONTADO","CRÉDITO")</f>
        <v>CRÉDITO</v>
      </c>
      <c r="B229" s="138" t="str">
        <f>+IF((PROVEEDORES[[#This Row],[FECHA DE PAGO]]-PROVEEDORES[[#This Row],[FECHA DE FACTURACIÓN]])&gt;PROVEEDORES[[#This Row],[PLAZO Días]],"PAGO VENCIDO")</f>
        <v>PAGO VENCIDO</v>
      </c>
      <c r="C229" s="138">
        <f>+VLOOKUP(PROVEEDORES[[#This Row],[PROVEEDOR]],TERCEROS_INFO[#All],2,FALSE)</f>
        <v>30</v>
      </c>
      <c r="D229" s="139">
        <f>+SUMIFS(PROVEEDORES[Total],PROVEEDORES[PROVEEDOR],PROVEEDORES[[#This Row],[PROVEEDOR]],PROVEEDORES[FECHA DE PAGO],"")</f>
        <v>0</v>
      </c>
      <c r="E229" s="140"/>
      <c r="F229" s="138" t="str">
        <f>+VLOOKUP(PROVEEDORES[[#This Row],[PROVEEDOR]],
                       Terceros!$A:$F,
                       5,
                       FALSE)</f>
        <v>contabilidad@comsistel.com.co;girlesa.ruiz@servipilas.com;joriescobar64@gmail.com</v>
      </c>
      <c r="G229" s="127">
        <v>45033</v>
      </c>
      <c r="H229" s="123" t="s">
        <v>207</v>
      </c>
      <c r="I229" s="127">
        <v>44988</v>
      </c>
      <c r="J229" s="124" t="s">
        <v>991</v>
      </c>
      <c r="K229" s="124" t="s">
        <v>1530</v>
      </c>
      <c r="L229" s="124"/>
      <c r="M229" s="125">
        <v>-1747500</v>
      </c>
      <c r="N229" s="148">
        <v>-332025</v>
      </c>
      <c r="O229" s="148">
        <v>0</v>
      </c>
      <c r="P229" s="149">
        <v>0</v>
      </c>
      <c r="Q229" s="148">
        <v>0</v>
      </c>
      <c r="R229" s="150">
        <v>-2079525</v>
      </c>
      <c r="S2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29" s="135">
        <f ca="1">+IF(PROVEEDORES[[#This Row],[FECHA DE PAGO]]=0,TODAY()-PROVEEDORES[[#This Row],[FECHA DE FACTURACIÓN]]-PROVEEDORES[[#This Row],[PLAZO Días]],0)</f>
        <v>0</v>
      </c>
      <c r="U229" s="135" t="str">
        <f>+VLOOKUP(PROVEEDORES[[#This Row],[PROVEEDOR]],Terceros!$A:$D,4,FALSE)</f>
        <v>2,5% con base</v>
      </c>
      <c r="V229" s="135">
        <f>+YEAR(PROVEEDORES[[#This Row],[FECHA DE FACTURACIÓN]])</f>
        <v>2023</v>
      </c>
      <c r="W229" s="135">
        <f>+MATCH(PROVEEDORES[[#This Row],[año facturado]],Retenciones!$1:$1,0)</f>
        <v>6</v>
      </c>
      <c r="X229" s="136">
        <f>+VLOOKUP(PROVEEDORES[[#This Row],[ID RETENCION]],Retenciones!$A$1:$O$25,PROVEEDORES[[#This Row],[indicador de columna]],FALSE)</f>
        <v>1145000</v>
      </c>
      <c r="Y229" s="137">
        <f>+VLOOKUP(PROVEEDORES[[#This Row],[ID RETENCION]],Retenciones!$A$1:$O$25,2,FALSE)</f>
        <v>2.5000000000000001E-2</v>
      </c>
      <c r="Z229" s="126" t="b">
        <f>+OR(COUNTIF(PROVEEDORES[[#This Row],[PROVEEDOR]],"*"&amp;'Palabra que no opera y Listas d'!$A$2&amp;"*"))</f>
        <v>0</v>
      </c>
    </row>
    <row r="230" spans="1:26" ht="27.75" customHeight="1" x14ac:dyDescent="0.25">
      <c r="A230" s="141" t="str">
        <f>+IF(PROVEEDORES[[#This Row],[FECHA DE PAGO]]=PROVEEDORES[[#This Row],[FECHA DE FACTURACIÓN]],"DE CONTADO","CRÉDITO")</f>
        <v>CRÉDITO</v>
      </c>
      <c r="B230" s="138" t="str">
        <f>+IF((PROVEEDORES[[#This Row],[FECHA DE PAGO]]-PROVEEDORES[[#This Row],[FECHA DE FACTURACIÓN]])&gt;PROVEEDORES[[#This Row],[PLAZO Días]],"PAGO VENCIDO")</f>
        <v>PAGO VENCIDO</v>
      </c>
      <c r="C230" s="138">
        <f>+VLOOKUP(PROVEEDORES[[#This Row],[PROVEEDOR]],TERCEROS_INFO[#All],2,FALSE)</f>
        <v>30</v>
      </c>
      <c r="D230" s="139">
        <f>+SUMIFS(PROVEEDORES[Total],PROVEEDORES[PROVEEDOR],PROVEEDORES[[#This Row],[PROVEEDOR]],PROVEEDORES[FECHA DE PAGO],"")</f>
        <v>4466504.835</v>
      </c>
      <c r="E230" s="140"/>
      <c r="F230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230" s="127">
        <v>45035</v>
      </c>
      <c r="H230" s="123" t="s">
        <v>18</v>
      </c>
      <c r="I230" s="127">
        <v>44968</v>
      </c>
      <c r="J230" s="124" t="s">
        <v>649</v>
      </c>
      <c r="K230" s="124" t="s">
        <v>1530</v>
      </c>
      <c r="L230" s="124"/>
      <c r="M230" s="125">
        <v>-327731</v>
      </c>
      <c r="N230" s="148">
        <v>-62268.89</v>
      </c>
      <c r="O230" s="148">
        <v>0</v>
      </c>
      <c r="P230" s="149">
        <v>0</v>
      </c>
      <c r="Q230" s="148">
        <v>0</v>
      </c>
      <c r="R230" s="150">
        <v>-389999.89</v>
      </c>
      <c r="S2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0" s="135">
        <f ca="1">+IF(PROVEEDORES[[#This Row],[FECHA DE PAGO]]=0,TODAY()-PROVEEDORES[[#This Row],[FECHA DE FACTURACIÓN]]-PROVEEDORES[[#This Row],[PLAZO Días]],0)</f>
        <v>0</v>
      </c>
      <c r="U230" s="135" t="str">
        <f>+VLOOKUP(PROVEEDORES[[#This Row],[PROVEEDOR]],Terceros!$A:$D,4,FALSE)</f>
        <v>2,5% con base</v>
      </c>
      <c r="V230" s="135">
        <f>+YEAR(PROVEEDORES[[#This Row],[FECHA DE FACTURACIÓN]])</f>
        <v>2023</v>
      </c>
      <c r="W230" s="135">
        <f>+MATCH(PROVEEDORES[[#This Row],[año facturado]],Retenciones!$1:$1,0)</f>
        <v>6</v>
      </c>
      <c r="X230" s="136">
        <f>+VLOOKUP(PROVEEDORES[[#This Row],[ID RETENCION]],Retenciones!$A$1:$O$25,PROVEEDORES[[#This Row],[indicador de columna]],FALSE)</f>
        <v>1145000</v>
      </c>
      <c r="Y230" s="137">
        <f>+VLOOKUP(PROVEEDORES[[#This Row],[ID RETENCION]],Retenciones!$A$1:$O$25,2,FALSE)</f>
        <v>2.5000000000000001E-2</v>
      </c>
      <c r="Z230" s="126" t="b">
        <f>+OR(COUNTIF(PROVEEDORES[[#This Row],[PROVEEDOR]],"*"&amp;'Palabra que no opera y Listas d'!$A$2&amp;"*"))</f>
        <v>0</v>
      </c>
    </row>
    <row r="231" spans="1:26" ht="27.75" customHeight="1" x14ac:dyDescent="0.25">
      <c r="A231" s="141" t="str">
        <f>+IF(PROVEEDORES[[#This Row],[FECHA DE PAGO]]=PROVEEDORES[[#This Row],[FECHA DE FACTURACIÓN]],"DE CONTADO","CRÉDITO")</f>
        <v>CRÉDITO</v>
      </c>
      <c r="B231" s="138" t="str">
        <f>+IF((PROVEEDORES[[#This Row],[FECHA DE PAGO]]-PROVEEDORES[[#This Row],[FECHA DE FACTURACIÓN]])&gt;PROVEEDORES[[#This Row],[PLAZO Días]],"PAGO VENCIDO")</f>
        <v>PAGO VENCIDO</v>
      </c>
      <c r="C231" s="138">
        <f>+VLOOKUP(PROVEEDORES[[#This Row],[PROVEEDOR]],TERCEROS_INFO[#All],2,FALSE)</f>
        <v>30</v>
      </c>
      <c r="D231" s="139">
        <f>+SUMIFS(PROVEEDORES[Total],PROVEEDORES[PROVEEDOR],PROVEEDORES[[#This Row],[PROVEEDOR]],PROVEEDORES[FECHA DE PAGO],"")</f>
        <v>4466504.835</v>
      </c>
      <c r="E231" s="140"/>
      <c r="F231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231" s="127">
        <v>45035</v>
      </c>
      <c r="H231" s="123" t="s">
        <v>18</v>
      </c>
      <c r="I231" s="127">
        <v>44993</v>
      </c>
      <c r="J231" s="124" t="s">
        <v>623</v>
      </c>
      <c r="K231" s="124" t="s">
        <v>1530</v>
      </c>
      <c r="L231" s="124"/>
      <c r="M231" s="125">
        <v>1263526</v>
      </c>
      <c r="N231" s="148">
        <v>240069.94</v>
      </c>
      <c r="O231" s="148">
        <v>0</v>
      </c>
      <c r="P231" s="149">
        <v>2.5000000000000001E-2</v>
      </c>
      <c r="Q231" s="148">
        <v>31588.15</v>
      </c>
      <c r="R231" s="150">
        <v>1472007.79</v>
      </c>
      <c r="S2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1" s="135">
        <f ca="1">+IF(PROVEEDORES[[#This Row],[FECHA DE PAGO]]=0,TODAY()-PROVEEDORES[[#This Row],[FECHA DE FACTURACIÓN]]-PROVEEDORES[[#This Row],[PLAZO Días]],0)</f>
        <v>0</v>
      </c>
      <c r="U231" s="135" t="str">
        <f>+VLOOKUP(PROVEEDORES[[#This Row],[PROVEEDOR]],Terceros!$A:$D,4,FALSE)</f>
        <v>2,5% con base</v>
      </c>
      <c r="V231" s="135">
        <f>+YEAR(PROVEEDORES[[#This Row],[FECHA DE FACTURACIÓN]])</f>
        <v>2023</v>
      </c>
      <c r="W231" s="135">
        <f>+MATCH(PROVEEDORES[[#This Row],[año facturado]],Retenciones!$1:$1,0)</f>
        <v>6</v>
      </c>
      <c r="X231" s="136">
        <f>+VLOOKUP(PROVEEDORES[[#This Row],[ID RETENCION]],Retenciones!$A$1:$O$25,PROVEEDORES[[#This Row],[indicador de columna]],FALSE)</f>
        <v>1145000</v>
      </c>
      <c r="Y231" s="137">
        <f>+VLOOKUP(PROVEEDORES[[#This Row],[ID RETENCION]],Retenciones!$A$1:$O$25,2,FALSE)</f>
        <v>2.5000000000000001E-2</v>
      </c>
      <c r="Z231" s="126" t="b">
        <f>+OR(COUNTIF(PROVEEDORES[[#This Row],[PROVEEDOR]],"*"&amp;'Palabra que no opera y Listas d'!$A$2&amp;"*"))</f>
        <v>0</v>
      </c>
    </row>
    <row r="232" spans="1:26" ht="27.75" customHeight="1" x14ac:dyDescent="0.25">
      <c r="A232" s="141" t="str">
        <f>+IF(PROVEEDORES[[#This Row],[FECHA DE PAGO]]=PROVEEDORES[[#This Row],[FECHA DE FACTURACIÓN]],"DE CONTADO","CRÉDITO")</f>
        <v>CRÉDITO</v>
      </c>
      <c r="B232" s="138" t="str">
        <f>+IF((PROVEEDORES[[#This Row],[FECHA DE PAGO]]-PROVEEDORES[[#This Row],[FECHA DE FACTURACIÓN]])&gt;PROVEEDORES[[#This Row],[PLAZO Días]],"PAGO VENCIDO")</f>
        <v>PAGO VENCIDO</v>
      </c>
      <c r="C232" s="138">
        <f>+VLOOKUP(PROVEEDORES[[#This Row],[PROVEEDOR]],TERCEROS_INFO[#All],2,FALSE)</f>
        <v>30</v>
      </c>
      <c r="D232" s="139">
        <f>+SUMIFS(PROVEEDORES[Total],PROVEEDORES[PROVEEDOR],PROVEEDORES[[#This Row],[PROVEEDOR]],PROVEEDORES[FECHA DE PAGO],"")</f>
        <v>5581100</v>
      </c>
      <c r="E232" s="140"/>
      <c r="F232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232" s="127">
        <v>45035</v>
      </c>
      <c r="H232" s="123" t="s">
        <v>446</v>
      </c>
      <c r="I232" s="127">
        <v>44994</v>
      </c>
      <c r="J232" s="124" t="s">
        <v>617</v>
      </c>
      <c r="K232" s="124" t="s">
        <v>1530</v>
      </c>
      <c r="L232" s="124"/>
      <c r="M232" s="125">
        <v>6944000</v>
      </c>
      <c r="N232" s="148">
        <v>1319360</v>
      </c>
      <c r="O232" s="148">
        <v>0</v>
      </c>
      <c r="P232" s="149">
        <v>0</v>
      </c>
      <c r="Q232" s="148">
        <v>0</v>
      </c>
      <c r="R232" s="150">
        <v>8263360</v>
      </c>
      <c r="S2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2" s="135">
        <f ca="1">+IF(PROVEEDORES[[#This Row],[FECHA DE PAGO]]=0,TODAY()-PROVEEDORES[[#This Row],[FECHA DE FACTURACIÓN]]-PROVEEDORES[[#This Row],[PLAZO Días]],0)</f>
        <v>0</v>
      </c>
      <c r="U232" s="135">
        <f>+VLOOKUP(PROVEEDORES[[#This Row],[PROVEEDOR]],Terceros!$A:$D,4,FALSE)</f>
        <v>0</v>
      </c>
      <c r="V232" s="135">
        <f>+YEAR(PROVEEDORES[[#This Row],[FECHA DE FACTURACIÓN]])</f>
        <v>2023</v>
      </c>
      <c r="W232" s="135">
        <f>+MATCH(PROVEEDORES[[#This Row],[año facturado]],Retenciones!$1:$1,0)</f>
        <v>6</v>
      </c>
      <c r="X232" s="136">
        <f>+VLOOKUP(PROVEEDORES[[#This Row],[ID RETENCION]],Retenciones!$A$1:$O$25,PROVEEDORES[[#This Row],[indicador de columna]],FALSE)</f>
        <v>0</v>
      </c>
      <c r="Y232" s="137">
        <f>+VLOOKUP(PROVEEDORES[[#This Row],[ID RETENCION]],Retenciones!$A$1:$O$25,2,FALSE)</f>
        <v>0</v>
      </c>
      <c r="Z232" s="126" t="b">
        <f>+OR(COUNTIF(PROVEEDORES[[#This Row],[PROVEEDOR]],"*"&amp;'Palabra que no opera y Listas d'!$A$2&amp;"*"))</f>
        <v>0</v>
      </c>
    </row>
    <row r="233" spans="1:26" ht="27.75" customHeight="1" x14ac:dyDescent="0.25">
      <c r="A233" s="141" t="str">
        <f>+IF(PROVEEDORES[[#This Row],[FECHA DE PAGO]]=PROVEEDORES[[#This Row],[FECHA DE FACTURACIÓN]],"DE CONTADO","CRÉDITO")</f>
        <v>CRÉDITO</v>
      </c>
      <c r="B233" s="138" t="str">
        <f>+IF((PROVEEDORES[[#This Row],[FECHA DE PAGO]]-PROVEEDORES[[#This Row],[FECHA DE FACTURACIÓN]])&gt;PROVEEDORES[[#This Row],[PLAZO Días]],"PAGO VENCIDO")</f>
        <v>PAGO VENCIDO</v>
      </c>
      <c r="C233" s="138">
        <f>+VLOOKUP(PROVEEDORES[[#This Row],[PROVEEDOR]],TERCEROS_INFO[#All],2,FALSE)</f>
        <v>30</v>
      </c>
      <c r="D233" s="139">
        <f>+SUMIFS(PROVEEDORES[Total],PROVEEDORES[PROVEEDOR],PROVEEDORES[[#This Row],[PROVEEDOR]],PROVEEDORES[FECHA DE PAGO],"")</f>
        <v>4466504.835</v>
      </c>
      <c r="E233" s="140"/>
      <c r="F233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233" s="127">
        <v>45035</v>
      </c>
      <c r="H233" s="123" t="s">
        <v>18</v>
      </c>
      <c r="I233" s="127">
        <v>44998</v>
      </c>
      <c r="J233" s="124" t="s">
        <v>621</v>
      </c>
      <c r="K233" s="124" t="s">
        <v>1530</v>
      </c>
      <c r="L233" s="124"/>
      <c r="M233" s="125">
        <v>1306660</v>
      </c>
      <c r="N233" s="148">
        <v>248265.4</v>
      </c>
      <c r="O233" s="148">
        <v>0</v>
      </c>
      <c r="P233" s="149">
        <v>2.5000000000000001E-2</v>
      </c>
      <c r="Q233" s="148">
        <v>32666.5</v>
      </c>
      <c r="R233" s="150">
        <v>1522258.9</v>
      </c>
      <c r="S2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3" s="135">
        <f ca="1">+IF(PROVEEDORES[[#This Row],[FECHA DE PAGO]]=0,TODAY()-PROVEEDORES[[#This Row],[FECHA DE FACTURACIÓN]]-PROVEEDORES[[#This Row],[PLAZO Días]],0)</f>
        <v>0</v>
      </c>
      <c r="U233" s="135" t="str">
        <f>+VLOOKUP(PROVEEDORES[[#This Row],[PROVEEDOR]],Terceros!$A:$D,4,FALSE)</f>
        <v>2,5% con base</v>
      </c>
      <c r="V233" s="135">
        <f>+YEAR(PROVEEDORES[[#This Row],[FECHA DE FACTURACIÓN]])</f>
        <v>2023</v>
      </c>
      <c r="W233" s="135">
        <f>+MATCH(PROVEEDORES[[#This Row],[año facturado]],Retenciones!$1:$1,0)</f>
        <v>6</v>
      </c>
      <c r="X233" s="136">
        <f>+VLOOKUP(PROVEEDORES[[#This Row],[ID RETENCION]],Retenciones!$A$1:$O$25,PROVEEDORES[[#This Row],[indicador de columna]],FALSE)</f>
        <v>1145000</v>
      </c>
      <c r="Y233" s="137">
        <f>+VLOOKUP(PROVEEDORES[[#This Row],[ID RETENCION]],Retenciones!$A$1:$O$25,2,FALSE)</f>
        <v>2.5000000000000001E-2</v>
      </c>
      <c r="Z233" s="126" t="b">
        <f>+OR(COUNTIF(PROVEEDORES[[#This Row],[PROVEEDOR]],"*"&amp;'Palabra que no opera y Listas d'!$A$2&amp;"*"))</f>
        <v>0</v>
      </c>
    </row>
    <row r="234" spans="1:26" ht="27.75" customHeight="1" x14ac:dyDescent="0.25">
      <c r="A234" s="141" t="str">
        <f>+IF(PROVEEDORES[[#This Row],[FECHA DE PAGO]]=PROVEEDORES[[#This Row],[FECHA DE FACTURACIÓN]],"DE CONTADO","CRÉDITO")</f>
        <v>CRÉDITO</v>
      </c>
      <c r="B234" s="138" t="str">
        <f>+IF((PROVEEDORES[[#This Row],[FECHA DE PAGO]]-PROVEEDORES[[#This Row],[FECHA DE FACTURACIÓN]])&gt;PROVEEDORES[[#This Row],[PLAZO Días]],"PAGO VENCIDO")</f>
        <v>PAGO VENCIDO</v>
      </c>
      <c r="C234" s="138">
        <f>+VLOOKUP(PROVEEDORES[[#This Row],[PROVEEDOR]],TERCEROS_INFO[#All],2,FALSE)</f>
        <v>30</v>
      </c>
      <c r="D234" s="139">
        <f>+SUMIFS(PROVEEDORES[Total],PROVEEDORES[PROVEEDOR],PROVEEDORES[[#This Row],[PROVEEDOR]],PROVEEDORES[FECHA DE PAGO],"")</f>
        <v>4466504.835</v>
      </c>
      <c r="E234" s="140"/>
      <c r="F234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234" s="127">
        <v>45035</v>
      </c>
      <c r="H234" s="123" t="s">
        <v>18</v>
      </c>
      <c r="I234" s="127">
        <v>44998</v>
      </c>
      <c r="J234" s="124" t="s">
        <v>622</v>
      </c>
      <c r="K234" s="124" t="s">
        <v>1530</v>
      </c>
      <c r="L234" s="124"/>
      <c r="M234" s="125">
        <v>922647</v>
      </c>
      <c r="N234" s="148">
        <v>175302.93</v>
      </c>
      <c r="O234" s="148">
        <v>0</v>
      </c>
      <c r="P234" s="149">
        <v>0</v>
      </c>
      <c r="Q234" s="148">
        <v>0</v>
      </c>
      <c r="R234" s="150">
        <v>1097949.93</v>
      </c>
      <c r="S2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4" s="135">
        <f ca="1">+IF(PROVEEDORES[[#This Row],[FECHA DE PAGO]]=0,TODAY()-PROVEEDORES[[#This Row],[FECHA DE FACTURACIÓN]]-PROVEEDORES[[#This Row],[PLAZO Días]],0)</f>
        <v>0</v>
      </c>
      <c r="U234" s="135" t="str">
        <f>+VLOOKUP(PROVEEDORES[[#This Row],[PROVEEDOR]],Terceros!$A:$D,4,FALSE)</f>
        <v>2,5% con base</v>
      </c>
      <c r="V234" s="135">
        <f>+YEAR(PROVEEDORES[[#This Row],[FECHA DE FACTURACIÓN]])</f>
        <v>2023</v>
      </c>
      <c r="W234" s="135">
        <f>+MATCH(PROVEEDORES[[#This Row],[año facturado]],Retenciones!$1:$1,0)</f>
        <v>6</v>
      </c>
      <c r="X234" s="136">
        <f>+VLOOKUP(PROVEEDORES[[#This Row],[ID RETENCION]],Retenciones!$A$1:$O$25,PROVEEDORES[[#This Row],[indicador de columna]],FALSE)</f>
        <v>1145000</v>
      </c>
      <c r="Y234" s="137">
        <f>+VLOOKUP(PROVEEDORES[[#This Row],[ID RETENCION]],Retenciones!$A$1:$O$25,2,FALSE)</f>
        <v>2.5000000000000001E-2</v>
      </c>
      <c r="Z234" s="126" t="b">
        <f>+OR(COUNTIF(PROVEEDORES[[#This Row],[PROVEEDOR]],"*"&amp;'Palabra que no opera y Listas d'!$A$2&amp;"*"))</f>
        <v>0</v>
      </c>
    </row>
    <row r="235" spans="1:26" ht="27.75" customHeight="1" x14ac:dyDescent="0.25">
      <c r="A235" s="141" t="str">
        <f>+IF(PROVEEDORES[[#This Row],[FECHA DE PAGO]]=PROVEEDORES[[#This Row],[FECHA DE FACTURACIÓN]],"DE CONTADO","CRÉDITO")</f>
        <v>CRÉDITO</v>
      </c>
      <c r="B235" s="138" t="b">
        <f>+IF((PROVEEDORES[[#This Row],[FECHA DE PAGO]]-PROVEEDORES[[#This Row],[FECHA DE FACTURACIÓN]])&gt;PROVEEDORES[[#This Row],[PLAZO Días]],"PAGO VENCIDO")</f>
        <v>0</v>
      </c>
      <c r="C235" s="138">
        <f>+VLOOKUP(PROVEEDORES[[#This Row],[PROVEEDOR]],TERCEROS_INFO[#All],2,FALSE)</f>
        <v>30</v>
      </c>
      <c r="D235" s="139">
        <f>+SUMIFS(PROVEEDORES[Total],PROVEEDORES[PROVEEDOR],PROVEEDORES[[#This Row],[PROVEEDOR]],PROVEEDORES[FECHA DE PAGO],"")</f>
        <v>0</v>
      </c>
      <c r="E235" s="140"/>
      <c r="F235" s="138" t="str">
        <f>+VLOOKUP(PROVEEDORES[[#This Row],[PROVEEDOR]],
                       Terceros!$A:$F,
                       5,
                       FALSE)</f>
        <v>facturacion@losmolinos.com.co</v>
      </c>
      <c r="G235" s="127">
        <v>45035</v>
      </c>
      <c r="H235" s="123" t="s">
        <v>376</v>
      </c>
      <c r="I235" s="127">
        <v>45017</v>
      </c>
      <c r="J235" s="124" t="s">
        <v>693</v>
      </c>
      <c r="K235" s="124" t="s">
        <v>1530</v>
      </c>
      <c r="L235" s="124"/>
      <c r="M235" s="125">
        <v>277194</v>
      </c>
      <c r="N235" s="148">
        <v>0</v>
      </c>
      <c r="O235" s="148">
        <v>0</v>
      </c>
      <c r="P235" s="149">
        <v>0</v>
      </c>
      <c r="Q235" s="148">
        <v>0</v>
      </c>
      <c r="R235" s="150">
        <v>277194</v>
      </c>
      <c r="S2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5" s="135">
        <f ca="1">+IF(PROVEEDORES[[#This Row],[FECHA DE PAGO]]=0,TODAY()-PROVEEDORES[[#This Row],[FECHA DE FACTURACIÓN]]-PROVEEDORES[[#This Row],[PLAZO Días]],0)</f>
        <v>0</v>
      </c>
      <c r="U235" s="135">
        <f>+VLOOKUP(PROVEEDORES[[#This Row],[PROVEEDOR]],Terceros!$A:$D,4,FALSE)</f>
        <v>0</v>
      </c>
      <c r="V235" s="135">
        <f>+YEAR(PROVEEDORES[[#This Row],[FECHA DE FACTURACIÓN]])</f>
        <v>2023</v>
      </c>
      <c r="W235" s="135">
        <f>+MATCH(PROVEEDORES[[#This Row],[año facturado]],Retenciones!$1:$1,0)</f>
        <v>6</v>
      </c>
      <c r="X235" s="136">
        <f>+VLOOKUP(PROVEEDORES[[#This Row],[ID RETENCION]],Retenciones!$A$1:$O$25,PROVEEDORES[[#This Row],[indicador de columna]],FALSE)</f>
        <v>0</v>
      </c>
      <c r="Y235" s="137">
        <f>+VLOOKUP(PROVEEDORES[[#This Row],[ID RETENCION]],Retenciones!$A$1:$O$25,2,FALSE)</f>
        <v>0</v>
      </c>
      <c r="Z235" s="126" t="b">
        <f>+OR(COUNTIF(PROVEEDORES[[#This Row],[PROVEEDOR]],"*"&amp;'Palabra que no opera y Listas d'!$A$2&amp;"*"))</f>
        <v>1</v>
      </c>
    </row>
    <row r="236" spans="1:26" ht="27.75" customHeight="1" x14ac:dyDescent="0.25">
      <c r="A236" s="141" t="str">
        <f>+IF(PROVEEDORES[[#This Row],[FECHA DE PAGO]]=PROVEEDORES[[#This Row],[FECHA DE FACTURACIÓN]],"DE CONTADO","CRÉDITO")</f>
        <v>CRÉDITO</v>
      </c>
      <c r="B236" s="138" t="str">
        <f>+IF((PROVEEDORES[[#This Row],[FECHA DE PAGO]]-PROVEEDORES[[#This Row],[FECHA DE FACTURACIÓN]])&gt;PROVEEDORES[[#This Row],[PLAZO Días]],"PAGO VENCIDO")</f>
        <v>PAGO VENCIDO</v>
      </c>
      <c r="C236" s="138">
        <f>+VLOOKUP(PROVEEDORES[[#This Row],[PROVEEDOR]],TERCEROS_INFO[#All],2,FALSE)</f>
        <v>60</v>
      </c>
      <c r="D236" s="139">
        <f>+SUMIFS(PROVEEDORES[Total],PROVEEDORES[PROVEEDOR],PROVEEDORES[[#This Row],[PROVEEDOR]],PROVEEDORES[FECHA DE PAGO],"")</f>
        <v>0</v>
      </c>
      <c r="E236" s="140"/>
      <c r="F236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236" s="127">
        <v>45036</v>
      </c>
      <c r="H236" s="123" t="s">
        <v>65</v>
      </c>
      <c r="I236" s="127">
        <v>44974</v>
      </c>
      <c r="J236" s="124" t="s">
        <v>588</v>
      </c>
      <c r="K236" s="124" t="s">
        <v>1530</v>
      </c>
      <c r="L236" s="124"/>
      <c r="M236" s="125">
        <v>4204800</v>
      </c>
      <c r="N236" s="148">
        <v>798912</v>
      </c>
      <c r="O236" s="148">
        <v>0</v>
      </c>
      <c r="P236" s="149">
        <v>2.5000000000000001E-2</v>
      </c>
      <c r="Q236" s="148">
        <v>105120</v>
      </c>
      <c r="R236" s="150">
        <v>4898592</v>
      </c>
      <c r="S2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6" s="135">
        <f ca="1">+IF(PROVEEDORES[[#This Row],[FECHA DE PAGO]]=0,TODAY()-PROVEEDORES[[#This Row],[FECHA DE FACTURACIÓN]]-PROVEEDORES[[#This Row],[PLAZO Días]],0)</f>
        <v>0</v>
      </c>
      <c r="U236" s="135" t="str">
        <f>+VLOOKUP(PROVEEDORES[[#This Row],[PROVEEDOR]],Terceros!$A:$D,4,FALSE)</f>
        <v>2,5% con base</v>
      </c>
      <c r="V236" s="135">
        <f>+YEAR(PROVEEDORES[[#This Row],[FECHA DE FACTURACIÓN]])</f>
        <v>2023</v>
      </c>
      <c r="W236" s="135">
        <f>+MATCH(PROVEEDORES[[#This Row],[año facturado]],Retenciones!$1:$1,0)</f>
        <v>6</v>
      </c>
      <c r="X236" s="136">
        <f>+VLOOKUP(PROVEEDORES[[#This Row],[ID RETENCION]],Retenciones!$A$1:$O$25,PROVEEDORES[[#This Row],[indicador de columna]],FALSE)</f>
        <v>1145000</v>
      </c>
      <c r="Y236" s="137">
        <f>+VLOOKUP(PROVEEDORES[[#This Row],[ID RETENCION]],Retenciones!$A$1:$O$25,2,FALSE)</f>
        <v>2.5000000000000001E-2</v>
      </c>
      <c r="Z236" s="126" t="b">
        <f>+OR(COUNTIF(PROVEEDORES[[#This Row],[PROVEEDOR]],"*"&amp;'Palabra que no opera y Listas d'!$A$2&amp;"*"))</f>
        <v>0</v>
      </c>
    </row>
    <row r="237" spans="1:26" ht="27.75" customHeight="1" x14ac:dyDescent="0.25">
      <c r="A237" s="141" t="str">
        <f>+IF(PROVEEDORES[[#This Row],[FECHA DE PAGO]]=PROVEEDORES[[#This Row],[FECHA DE FACTURACIÓN]],"DE CONTADO","CRÉDITO")</f>
        <v>CRÉDITO</v>
      </c>
      <c r="B237" s="138" t="b">
        <f>+IF((PROVEEDORES[[#This Row],[FECHA DE PAGO]]-PROVEEDORES[[#This Row],[FECHA DE FACTURACIÓN]])&gt;PROVEEDORES[[#This Row],[PLAZO Días]],"PAGO VENCIDO")</f>
        <v>0</v>
      </c>
      <c r="C237" s="138">
        <f>+VLOOKUP(PROVEEDORES[[#This Row],[PROVEEDOR]],TERCEROS_INFO[#All],2,FALSE)</f>
        <v>60</v>
      </c>
      <c r="D237" s="139">
        <f>+SUMIFS(PROVEEDORES[Total],PROVEEDORES[PROVEEDOR],PROVEEDORES[[#This Row],[PROVEEDOR]],PROVEEDORES[FECHA DE PAGO],"")</f>
        <v>0</v>
      </c>
      <c r="E237" s="140"/>
      <c r="F237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237" s="127">
        <v>45036</v>
      </c>
      <c r="H237" s="123" t="s">
        <v>65</v>
      </c>
      <c r="I237" s="127">
        <v>44978</v>
      </c>
      <c r="J237" s="124" t="s">
        <v>589</v>
      </c>
      <c r="K237" s="124" t="s">
        <v>1530</v>
      </c>
      <c r="L237" s="124"/>
      <c r="M237" s="125">
        <v>1536000</v>
      </c>
      <c r="N237" s="148">
        <v>291840</v>
      </c>
      <c r="O237" s="148">
        <v>0</v>
      </c>
      <c r="P237" s="149">
        <v>2.5000000000000001E-2</v>
      </c>
      <c r="Q237" s="148">
        <v>38400</v>
      </c>
      <c r="R237" s="150">
        <v>1789440</v>
      </c>
      <c r="S2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7" s="135">
        <f ca="1">+IF(PROVEEDORES[[#This Row],[FECHA DE PAGO]]=0,TODAY()-PROVEEDORES[[#This Row],[FECHA DE FACTURACIÓN]]-PROVEEDORES[[#This Row],[PLAZO Días]],0)</f>
        <v>0</v>
      </c>
      <c r="U237" s="135" t="str">
        <f>+VLOOKUP(PROVEEDORES[[#This Row],[PROVEEDOR]],Terceros!$A:$D,4,FALSE)</f>
        <v>2,5% con base</v>
      </c>
      <c r="V237" s="135">
        <f>+YEAR(PROVEEDORES[[#This Row],[FECHA DE FACTURACIÓN]])</f>
        <v>2023</v>
      </c>
      <c r="W237" s="135">
        <f>+MATCH(PROVEEDORES[[#This Row],[año facturado]],Retenciones!$1:$1,0)</f>
        <v>6</v>
      </c>
      <c r="X237" s="136">
        <f>+VLOOKUP(PROVEEDORES[[#This Row],[ID RETENCION]],Retenciones!$A$1:$O$25,PROVEEDORES[[#This Row],[indicador de columna]],FALSE)</f>
        <v>1145000</v>
      </c>
      <c r="Y237" s="137">
        <f>+VLOOKUP(PROVEEDORES[[#This Row],[ID RETENCION]],Retenciones!$A$1:$O$25,2,FALSE)</f>
        <v>2.5000000000000001E-2</v>
      </c>
      <c r="Z237" s="126" t="b">
        <f>+OR(COUNTIF(PROVEEDORES[[#This Row],[PROVEEDOR]],"*"&amp;'Palabra que no opera y Listas d'!$A$2&amp;"*"))</f>
        <v>0</v>
      </c>
    </row>
    <row r="238" spans="1:26" ht="27.75" customHeight="1" x14ac:dyDescent="0.25">
      <c r="A238" s="141" t="str">
        <f>+IF(PROVEEDORES[[#This Row],[FECHA DE PAGO]]=PROVEEDORES[[#This Row],[FECHA DE FACTURACIÓN]],"DE CONTADO","CRÉDITO")</f>
        <v>CRÉDITO</v>
      </c>
      <c r="B238" s="138" t="str">
        <f>+IF((PROVEEDORES[[#This Row],[FECHA DE PAGO]]-PROVEEDORES[[#This Row],[FECHA DE FACTURACIÓN]])&gt;PROVEEDORES[[#This Row],[PLAZO Días]],"PAGO VENCIDO")</f>
        <v>PAGO VENCIDO</v>
      </c>
      <c r="C238" s="138">
        <f>+VLOOKUP(PROVEEDORES[[#This Row],[PROVEEDOR]],TERCEROS_INFO[#All],2,FALSE)</f>
        <v>30</v>
      </c>
      <c r="D238" s="139">
        <f>+SUMIFS(PROVEEDORES[Total],PROVEEDORES[PROVEEDOR],PROVEEDORES[[#This Row],[PROVEEDOR]],PROVEEDORES[FECHA DE PAGO],"")</f>
        <v>0</v>
      </c>
      <c r="E238" s="140"/>
      <c r="F238" s="13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238" s="127">
        <v>45036</v>
      </c>
      <c r="H238" s="123" t="s">
        <v>452</v>
      </c>
      <c r="I238" s="127">
        <v>44994</v>
      </c>
      <c r="J238" s="124" t="s">
        <v>613</v>
      </c>
      <c r="K238" s="124" t="s">
        <v>1530</v>
      </c>
      <c r="L238" s="124"/>
      <c r="M238" s="125">
        <v>1487397</v>
      </c>
      <c r="N238" s="148">
        <v>282605.43</v>
      </c>
      <c r="O238" s="148">
        <v>0</v>
      </c>
      <c r="P238" s="149">
        <v>2.5000000000000001E-2</v>
      </c>
      <c r="Q238" s="148">
        <v>37184.925000000003</v>
      </c>
      <c r="R238" s="150">
        <v>1732817.5049999999</v>
      </c>
      <c r="S2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8" s="135">
        <f ca="1">+IF(PROVEEDORES[[#This Row],[FECHA DE PAGO]]=0,TODAY()-PROVEEDORES[[#This Row],[FECHA DE FACTURACIÓN]]-PROVEEDORES[[#This Row],[PLAZO Días]],0)</f>
        <v>0</v>
      </c>
      <c r="U238" s="135" t="str">
        <f>+VLOOKUP(PROVEEDORES[[#This Row],[PROVEEDOR]],Terceros!$A:$D,4,FALSE)</f>
        <v>2,5% con base</v>
      </c>
      <c r="V238" s="135">
        <f>+YEAR(PROVEEDORES[[#This Row],[FECHA DE FACTURACIÓN]])</f>
        <v>2023</v>
      </c>
      <c r="W238" s="135">
        <f>+MATCH(PROVEEDORES[[#This Row],[año facturado]],Retenciones!$1:$1,0)</f>
        <v>6</v>
      </c>
      <c r="X238" s="136">
        <f>+VLOOKUP(PROVEEDORES[[#This Row],[ID RETENCION]],Retenciones!$A$1:$O$25,PROVEEDORES[[#This Row],[indicador de columna]],FALSE)</f>
        <v>1145000</v>
      </c>
      <c r="Y238" s="137">
        <f>+VLOOKUP(PROVEEDORES[[#This Row],[ID RETENCION]],Retenciones!$A$1:$O$25,2,FALSE)</f>
        <v>2.5000000000000001E-2</v>
      </c>
      <c r="Z238" s="126" t="b">
        <f>+OR(COUNTIF(PROVEEDORES[[#This Row],[PROVEEDOR]],"*"&amp;'Palabra que no opera y Listas d'!$A$2&amp;"*"))</f>
        <v>0</v>
      </c>
    </row>
    <row r="239" spans="1:26" ht="27.75" customHeight="1" x14ac:dyDescent="0.25">
      <c r="A239" s="141" t="str">
        <f>+IF(PROVEEDORES[[#This Row],[FECHA DE PAGO]]=PROVEEDORES[[#This Row],[FECHA DE FACTURACIÓN]],"DE CONTADO","CRÉDITO")</f>
        <v>DE CONTADO</v>
      </c>
      <c r="B239" s="138" t="b">
        <f>+IF((PROVEEDORES[[#This Row],[FECHA DE PAGO]]-PROVEEDORES[[#This Row],[FECHA DE FACTURACIÓN]])&gt;PROVEEDORES[[#This Row],[PLAZO Días]],"PAGO VENCIDO")</f>
        <v>0</v>
      </c>
      <c r="C239" s="138">
        <f>+VLOOKUP(PROVEEDORES[[#This Row],[PROVEEDOR]],TERCEROS_INFO[#All],2,FALSE)</f>
        <v>30</v>
      </c>
      <c r="D239" s="139">
        <f>+SUMIFS(PROVEEDORES[Total],PROVEEDORES[PROVEEDOR],PROVEEDORES[[#This Row],[PROVEEDOR]],PROVEEDORES[FECHA DE PAGO],"")</f>
        <v>1350000</v>
      </c>
      <c r="E239" s="140"/>
      <c r="F239" s="138" t="str">
        <f>+VLOOKUP(PROVEEDORES[[#This Row],[PROVEEDOR]],
                       Terceros!$A:$F,
                       5,
                       FALSE)</f>
        <v/>
      </c>
      <c r="G239" s="127">
        <v>45038</v>
      </c>
      <c r="H239" s="123" t="s">
        <v>1807</v>
      </c>
      <c r="I239" s="127">
        <v>45038</v>
      </c>
      <c r="J239" s="124" t="s">
        <v>732</v>
      </c>
      <c r="K239" s="124" t="s">
        <v>1530</v>
      </c>
      <c r="L239" s="124"/>
      <c r="M239" s="125">
        <v>1070000</v>
      </c>
      <c r="N239" s="148">
        <v>0</v>
      </c>
      <c r="O239" s="148">
        <v>0</v>
      </c>
      <c r="P239" s="149">
        <v>0</v>
      </c>
      <c r="Q239" s="148">
        <v>0</v>
      </c>
      <c r="R239" s="150">
        <v>1070000</v>
      </c>
      <c r="S2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39" s="135">
        <f ca="1">+IF(PROVEEDORES[[#This Row],[FECHA DE PAGO]]=0,TODAY()-PROVEEDORES[[#This Row],[FECHA DE FACTURACIÓN]]-PROVEEDORES[[#This Row],[PLAZO Días]],0)</f>
        <v>0</v>
      </c>
      <c r="U239" s="135">
        <f>+VLOOKUP(PROVEEDORES[[#This Row],[PROVEEDOR]],Terceros!$A:$D,4,FALSE)</f>
        <v>0</v>
      </c>
      <c r="V239" s="135">
        <f>+YEAR(PROVEEDORES[[#This Row],[FECHA DE FACTURACIÓN]])</f>
        <v>2023</v>
      </c>
      <c r="W239" s="135">
        <f>+MATCH(PROVEEDORES[[#This Row],[año facturado]],Retenciones!$1:$1,0)</f>
        <v>6</v>
      </c>
      <c r="X239" s="136">
        <f>+VLOOKUP(PROVEEDORES[[#This Row],[ID RETENCION]],Retenciones!$A$1:$O$25,PROVEEDORES[[#This Row],[indicador de columna]],FALSE)</f>
        <v>0</v>
      </c>
      <c r="Y239" s="137">
        <f>+VLOOKUP(PROVEEDORES[[#This Row],[ID RETENCION]],Retenciones!$A$1:$O$25,2,FALSE)</f>
        <v>0</v>
      </c>
      <c r="Z239" s="126" t="b">
        <f>+OR(COUNTIF(PROVEEDORES[[#This Row],[PROVEEDOR]],"*"&amp;'Palabra que no opera y Listas d'!$A$2&amp;"*"))</f>
        <v>0</v>
      </c>
    </row>
    <row r="240" spans="1:26" ht="27.75" customHeight="1" x14ac:dyDescent="0.25">
      <c r="A240" s="141" t="str">
        <f>+IF(PROVEEDORES[[#This Row],[FECHA DE PAGO]]=PROVEEDORES[[#This Row],[FECHA DE FACTURACIÓN]],"DE CONTADO","CRÉDITO")</f>
        <v>CRÉDITO</v>
      </c>
      <c r="B240" s="138" t="str">
        <f>+IF((PROVEEDORES[[#This Row],[FECHA DE PAGO]]-PROVEEDORES[[#This Row],[FECHA DE FACTURACIÓN]])&gt;PROVEEDORES[[#This Row],[PLAZO Días]],"PAGO VENCIDO")</f>
        <v>PAGO VENCIDO</v>
      </c>
      <c r="C240" s="138">
        <f>+VLOOKUP(PROVEEDORES[[#This Row],[PROVEEDOR]],TERCEROS_INFO[#All],2,FALSE)</f>
        <v>30</v>
      </c>
      <c r="D240" s="139">
        <f>+SUMIFS(PROVEEDORES[Total],PROVEEDORES[PROVEEDOR],PROVEEDORES[[#This Row],[PROVEEDOR]],PROVEEDORES[FECHA DE PAGO],"")</f>
        <v>8456975.129999999</v>
      </c>
      <c r="E240" s="140"/>
      <c r="F240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240" s="127">
        <v>45040</v>
      </c>
      <c r="H240" s="123" t="s">
        <v>1464</v>
      </c>
      <c r="I240" s="127">
        <v>44988</v>
      </c>
      <c r="J240" s="124" t="s">
        <v>697</v>
      </c>
      <c r="K240" s="124" t="s">
        <v>1530</v>
      </c>
      <c r="L240" s="124"/>
      <c r="M240" s="125">
        <v>93570</v>
      </c>
      <c r="N240" s="148">
        <v>17778.3</v>
      </c>
      <c r="O240" s="148">
        <v>0</v>
      </c>
      <c r="P240" s="149">
        <v>0</v>
      </c>
      <c r="Q240" s="148">
        <v>0</v>
      </c>
      <c r="R240" s="150">
        <v>111348.3</v>
      </c>
      <c r="S2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0" s="135">
        <f ca="1">+IF(PROVEEDORES[[#This Row],[FECHA DE PAGO]]=0,TODAY()-PROVEEDORES[[#This Row],[FECHA DE FACTURACIÓN]]-PROVEEDORES[[#This Row],[PLAZO Días]],0)</f>
        <v>0</v>
      </c>
      <c r="U240" s="135" t="str">
        <f>+VLOOKUP(PROVEEDORES[[#This Row],[PROVEEDOR]],Terceros!$A:$D,4,FALSE)</f>
        <v>2,5% con base</v>
      </c>
      <c r="V240" s="135">
        <f>+YEAR(PROVEEDORES[[#This Row],[FECHA DE FACTURACIÓN]])</f>
        <v>2023</v>
      </c>
      <c r="W240" s="135">
        <f>+MATCH(PROVEEDORES[[#This Row],[año facturado]],Retenciones!$1:$1,0)</f>
        <v>6</v>
      </c>
      <c r="X240" s="136">
        <f>+VLOOKUP(PROVEEDORES[[#This Row],[ID RETENCION]],Retenciones!$A$1:$O$25,PROVEEDORES[[#This Row],[indicador de columna]],FALSE)</f>
        <v>1145000</v>
      </c>
      <c r="Y240" s="137">
        <f>+VLOOKUP(PROVEEDORES[[#This Row],[ID RETENCION]],Retenciones!$A$1:$O$25,2,FALSE)</f>
        <v>2.5000000000000001E-2</v>
      </c>
      <c r="Z240" s="126" t="b">
        <f>+OR(COUNTIF(PROVEEDORES[[#This Row],[PROVEEDOR]],"*"&amp;'Palabra que no opera y Listas d'!$A$2&amp;"*"))</f>
        <v>0</v>
      </c>
    </row>
    <row r="241" spans="1:26" ht="27.75" customHeight="1" x14ac:dyDescent="0.25">
      <c r="A241" s="141" t="str">
        <f>+IF(PROVEEDORES[[#This Row],[FECHA DE PAGO]]=PROVEEDORES[[#This Row],[FECHA DE FACTURACIÓN]],"DE CONTADO","CRÉDITO")</f>
        <v>CRÉDITO</v>
      </c>
      <c r="B241" s="138" t="str">
        <f>+IF((PROVEEDORES[[#This Row],[FECHA DE PAGO]]-PROVEEDORES[[#This Row],[FECHA DE FACTURACIÓN]])&gt;PROVEEDORES[[#This Row],[PLAZO Días]],"PAGO VENCIDO")</f>
        <v>PAGO VENCIDO</v>
      </c>
      <c r="C241" s="138">
        <f>+VLOOKUP(PROVEEDORES[[#This Row],[PROVEEDOR]],TERCEROS_INFO[#All],2,FALSE)</f>
        <v>30</v>
      </c>
      <c r="D241" s="139">
        <f>+SUMIFS(PROVEEDORES[Total],PROVEEDORES[PROVEEDOR],PROVEEDORES[[#This Row],[PROVEEDOR]],PROVEEDORES[FECHA DE PAGO],"")</f>
        <v>8456975.129999999</v>
      </c>
      <c r="E241" s="140"/>
      <c r="F241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241" s="127">
        <v>45040</v>
      </c>
      <c r="H241" s="123" t="s">
        <v>1464</v>
      </c>
      <c r="I241" s="127">
        <v>45006</v>
      </c>
      <c r="J241" s="124" t="s">
        <v>701</v>
      </c>
      <c r="K241" s="124" t="s">
        <v>1530</v>
      </c>
      <c r="L241" s="124"/>
      <c r="M241" s="125">
        <v>2780070</v>
      </c>
      <c r="N241" s="148">
        <v>528213.30000000005</v>
      </c>
      <c r="O241" s="148">
        <v>0</v>
      </c>
      <c r="P241" s="149">
        <v>2.5000000000000001E-2</v>
      </c>
      <c r="Q241" s="148">
        <v>69501.75</v>
      </c>
      <c r="R241" s="150">
        <v>3238781.55</v>
      </c>
      <c r="S2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1" s="135">
        <f ca="1">+IF(PROVEEDORES[[#This Row],[FECHA DE PAGO]]=0,TODAY()-PROVEEDORES[[#This Row],[FECHA DE FACTURACIÓN]]-PROVEEDORES[[#This Row],[PLAZO Días]],0)</f>
        <v>0</v>
      </c>
      <c r="U241" s="135" t="str">
        <f>+VLOOKUP(PROVEEDORES[[#This Row],[PROVEEDOR]],Terceros!$A:$D,4,FALSE)</f>
        <v>2,5% con base</v>
      </c>
      <c r="V241" s="135">
        <f>+YEAR(PROVEEDORES[[#This Row],[FECHA DE FACTURACIÓN]])</f>
        <v>2023</v>
      </c>
      <c r="W241" s="135">
        <f>+MATCH(PROVEEDORES[[#This Row],[año facturado]],Retenciones!$1:$1,0)</f>
        <v>6</v>
      </c>
      <c r="X241" s="136">
        <f>+VLOOKUP(PROVEEDORES[[#This Row],[ID RETENCION]],Retenciones!$A$1:$O$25,PROVEEDORES[[#This Row],[indicador de columna]],FALSE)</f>
        <v>1145000</v>
      </c>
      <c r="Y241" s="137">
        <f>+VLOOKUP(PROVEEDORES[[#This Row],[ID RETENCION]],Retenciones!$A$1:$O$25,2,FALSE)</f>
        <v>2.5000000000000001E-2</v>
      </c>
      <c r="Z241" s="126" t="b">
        <f>+OR(COUNTIF(PROVEEDORES[[#This Row],[PROVEEDOR]],"*"&amp;'Palabra que no opera y Listas d'!$A$2&amp;"*"))</f>
        <v>0</v>
      </c>
    </row>
    <row r="242" spans="1:26" ht="27.75" customHeight="1" x14ac:dyDescent="0.25">
      <c r="A242" s="141" t="str">
        <f>+IF(PROVEEDORES[[#This Row],[FECHA DE PAGO]]=PROVEEDORES[[#This Row],[FECHA DE FACTURACIÓN]],"DE CONTADO","CRÉDITO")</f>
        <v>CRÉDITO</v>
      </c>
      <c r="B242" s="138" t="b">
        <f>+IF((PROVEEDORES[[#This Row],[FECHA DE PAGO]]-PROVEEDORES[[#This Row],[FECHA DE FACTURACIÓN]])&gt;PROVEEDORES[[#This Row],[PLAZO Días]],"PAGO VENCIDO")</f>
        <v>0</v>
      </c>
      <c r="C242" s="138">
        <f>+VLOOKUP(PROVEEDORES[[#This Row],[PROVEEDOR]],TERCEROS_INFO[#All],2,FALSE)</f>
        <v>30</v>
      </c>
      <c r="D242" s="139">
        <f>+SUMIFS(PROVEEDORES[Total],PROVEEDORES[PROVEEDOR],PROVEEDORES[[#This Row],[PROVEEDOR]],PROVEEDORES[FECHA DE PAGO],"")</f>
        <v>0</v>
      </c>
      <c r="E242" s="140"/>
      <c r="F242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242" s="127">
        <v>45041</v>
      </c>
      <c r="H242" s="123" t="s">
        <v>380</v>
      </c>
      <c r="I242" s="127">
        <v>45034</v>
      </c>
      <c r="J242" s="124" t="s">
        <v>724</v>
      </c>
      <c r="K242" s="124" t="s">
        <v>1530</v>
      </c>
      <c r="L242" s="124"/>
      <c r="M242" s="125">
        <v>3456200</v>
      </c>
      <c r="N242" s="148">
        <v>0</v>
      </c>
      <c r="O242" s="148">
        <v>0</v>
      </c>
      <c r="P242" s="149">
        <v>3.5000000000000003E-2</v>
      </c>
      <c r="Q242" s="148">
        <v>120967.00000000001</v>
      </c>
      <c r="R242" s="150">
        <v>3335233</v>
      </c>
      <c r="S2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2" s="135">
        <f ca="1">+IF(PROVEEDORES[[#This Row],[FECHA DE PAGO]]=0,TODAY()-PROVEEDORES[[#This Row],[FECHA DE FACTURACIÓN]]-PROVEEDORES[[#This Row],[PLAZO Días]],0)</f>
        <v>0</v>
      </c>
      <c r="U242" s="135" t="str">
        <f>+VLOOKUP(PROVEEDORES[[#This Row],[PROVEEDOR]],Terceros!$A:$D,4,FALSE)</f>
        <v>3,5% sin base</v>
      </c>
      <c r="V242" s="135">
        <f>+YEAR(PROVEEDORES[[#This Row],[FECHA DE FACTURACIÓN]])</f>
        <v>2023</v>
      </c>
      <c r="W242" s="135">
        <f>+MATCH(PROVEEDORES[[#This Row],[año facturado]],Retenciones!$1:$1,0)</f>
        <v>6</v>
      </c>
      <c r="X242" s="136">
        <f>+VLOOKUP(PROVEEDORES[[#This Row],[ID RETENCION]],Retenciones!$A$1:$O$25,PROVEEDORES[[#This Row],[indicador de columna]],FALSE)</f>
        <v>0</v>
      </c>
      <c r="Y242" s="137">
        <f>+VLOOKUP(PROVEEDORES[[#This Row],[ID RETENCION]],Retenciones!$A$1:$O$25,2,FALSE)</f>
        <v>3.5000000000000003E-2</v>
      </c>
      <c r="Z242" s="126" t="b">
        <f>+OR(COUNTIF(PROVEEDORES[[#This Row],[PROVEEDOR]],"*"&amp;'Palabra que no opera y Listas d'!$A$2&amp;"*"))</f>
        <v>1</v>
      </c>
    </row>
    <row r="243" spans="1:26" ht="27.75" customHeight="1" x14ac:dyDescent="0.25">
      <c r="A243" s="141" t="str">
        <f>+IF(PROVEEDORES[[#This Row],[FECHA DE PAGO]]=PROVEEDORES[[#This Row],[FECHA DE FACTURACIÓN]],"DE CONTADO","CRÉDITO")</f>
        <v>CRÉDITO</v>
      </c>
      <c r="B243" s="138" t="b">
        <f>+IF((PROVEEDORES[[#This Row],[FECHA DE PAGO]]-PROVEEDORES[[#This Row],[FECHA DE FACTURACIÓN]])&gt;PROVEEDORES[[#This Row],[PLAZO Días]],"PAGO VENCIDO")</f>
        <v>0</v>
      </c>
      <c r="C243" s="138">
        <f>+VLOOKUP(PROVEEDORES[[#This Row],[PROVEEDOR]],TERCEROS_INFO[#All],2,FALSE)</f>
        <v>30</v>
      </c>
      <c r="D243" s="139">
        <f>+SUMIFS(PROVEEDORES[Total],PROVEEDORES[PROVEEDOR],PROVEEDORES[[#This Row],[PROVEEDOR]],PROVEEDORES[FECHA DE PAGO],"")</f>
        <v>0</v>
      </c>
      <c r="E243" s="140"/>
      <c r="F243" s="138" t="str">
        <f>+VLOOKUP(PROVEEDORES[[#This Row],[PROVEEDOR]],
                       Terceros!$A:$F,
                       5,
                       FALSE)</f>
        <v/>
      </c>
      <c r="G243" s="127">
        <v>45043</v>
      </c>
      <c r="H243" s="123" t="s">
        <v>481</v>
      </c>
      <c r="I243" s="127">
        <v>45042</v>
      </c>
      <c r="J243" s="124" t="s">
        <v>727</v>
      </c>
      <c r="K243" s="124" t="s">
        <v>1530</v>
      </c>
      <c r="L243" s="124"/>
      <c r="M243" s="125">
        <v>3656000</v>
      </c>
      <c r="N243" s="148">
        <v>0</v>
      </c>
      <c r="O243" s="148">
        <v>0</v>
      </c>
      <c r="P243" s="149">
        <v>0</v>
      </c>
      <c r="Q243" s="148">
        <v>0</v>
      </c>
      <c r="R243" s="150">
        <v>3656000</v>
      </c>
      <c r="S2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3" s="135">
        <f ca="1">+IF(PROVEEDORES[[#This Row],[FECHA DE PAGO]]=0,TODAY()-PROVEEDORES[[#This Row],[FECHA DE FACTURACIÓN]]-PROVEEDORES[[#This Row],[PLAZO Días]],0)</f>
        <v>0</v>
      </c>
      <c r="U243" s="135">
        <f>+VLOOKUP(PROVEEDORES[[#This Row],[PROVEEDOR]],Terceros!$A:$D,4,FALSE)</f>
        <v>0</v>
      </c>
      <c r="V243" s="135">
        <f>+YEAR(PROVEEDORES[[#This Row],[FECHA DE FACTURACIÓN]])</f>
        <v>2023</v>
      </c>
      <c r="W243" s="135">
        <f>+MATCH(PROVEEDORES[[#This Row],[año facturado]],Retenciones!$1:$1,0)</f>
        <v>6</v>
      </c>
      <c r="X243" s="136">
        <f>+VLOOKUP(PROVEEDORES[[#This Row],[ID RETENCION]],Retenciones!$A$1:$O$25,PROVEEDORES[[#This Row],[indicador de columna]],FALSE)</f>
        <v>0</v>
      </c>
      <c r="Y243" s="137">
        <f>+VLOOKUP(PROVEEDORES[[#This Row],[ID RETENCION]],Retenciones!$A$1:$O$25,2,FALSE)</f>
        <v>0</v>
      </c>
      <c r="Z243" s="126" t="b">
        <f>+OR(COUNTIF(PROVEEDORES[[#This Row],[PROVEEDOR]],"*"&amp;'Palabra que no opera y Listas d'!$A$2&amp;"*"))</f>
        <v>0</v>
      </c>
    </row>
    <row r="244" spans="1:26" ht="27.75" customHeight="1" x14ac:dyDescent="0.25">
      <c r="A244" s="141" t="str">
        <f>+IF(PROVEEDORES[[#This Row],[FECHA DE PAGO]]=PROVEEDORES[[#This Row],[FECHA DE FACTURACIÓN]],"DE CONTADO","CRÉDITO")</f>
        <v>CRÉDITO</v>
      </c>
      <c r="B244" s="138" t="str">
        <f>+IF((PROVEEDORES[[#This Row],[FECHA DE PAGO]]-PROVEEDORES[[#This Row],[FECHA DE FACTURACIÓN]])&gt;PROVEEDORES[[#This Row],[PLAZO Días]],"PAGO VENCIDO")</f>
        <v>PAGO VENCIDO</v>
      </c>
      <c r="C244" s="138">
        <f>+VLOOKUP(PROVEEDORES[[#This Row],[PROVEEDOR]],TERCEROS_INFO[#All],2,FALSE)</f>
        <v>30</v>
      </c>
      <c r="D244" s="139">
        <f>+SUMIFS(PROVEEDORES[Total],PROVEEDORES[PROVEEDOR],PROVEEDORES[[#This Row],[PROVEEDOR]],PROVEEDORES[FECHA DE PAGO],"")</f>
        <v>818443.92</v>
      </c>
      <c r="E244" s="140"/>
      <c r="F244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44" s="127">
        <v>45044</v>
      </c>
      <c r="H244" s="123" t="s">
        <v>20</v>
      </c>
      <c r="I244" s="127">
        <v>44999</v>
      </c>
      <c r="J244" s="124" t="s">
        <v>628</v>
      </c>
      <c r="K244" s="124" t="s">
        <v>1530</v>
      </c>
      <c r="L244" s="124"/>
      <c r="M244" s="125">
        <v>1312210</v>
      </c>
      <c r="N244" s="148">
        <v>249319.9</v>
      </c>
      <c r="O244" s="148">
        <v>0</v>
      </c>
      <c r="P244" s="149">
        <v>2.5000000000000001E-2</v>
      </c>
      <c r="Q244" s="148">
        <v>32805.25</v>
      </c>
      <c r="R244" s="150">
        <v>1528724.65</v>
      </c>
      <c r="S2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4" s="135">
        <f ca="1">+IF(PROVEEDORES[[#This Row],[FECHA DE PAGO]]=0,TODAY()-PROVEEDORES[[#This Row],[FECHA DE FACTURACIÓN]]-PROVEEDORES[[#This Row],[PLAZO Días]],0)</f>
        <v>0</v>
      </c>
      <c r="U244" s="135" t="str">
        <f>+VLOOKUP(PROVEEDORES[[#This Row],[PROVEEDOR]],Terceros!$A:$D,4,FALSE)</f>
        <v>2,5% con base</v>
      </c>
      <c r="V244" s="135">
        <f>+YEAR(PROVEEDORES[[#This Row],[FECHA DE FACTURACIÓN]])</f>
        <v>2023</v>
      </c>
      <c r="W244" s="135">
        <f>+MATCH(PROVEEDORES[[#This Row],[año facturado]],Retenciones!$1:$1,0)</f>
        <v>6</v>
      </c>
      <c r="X244" s="136">
        <f>+VLOOKUP(PROVEEDORES[[#This Row],[ID RETENCION]],Retenciones!$A$1:$O$25,PROVEEDORES[[#This Row],[indicador de columna]],FALSE)</f>
        <v>1145000</v>
      </c>
      <c r="Y244" s="137">
        <f>+VLOOKUP(PROVEEDORES[[#This Row],[ID RETENCION]],Retenciones!$A$1:$O$25,2,FALSE)</f>
        <v>2.5000000000000001E-2</v>
      </c>
      <c r="Z244" s="126" t="b">
        <f>+OR(COUNTIF(PROVEEDORES[[#This Row],[PROVEEDOR]],"*"&amp;'Palabra que no opera y Listas d'!$A$2&amp;"*"))</f>
        <v>0</v>
      </c>
    </row>
    <row r="245" spans="1:26" ht="27.75" customHeight="1" x14ac:dyDescent="0.25">
      <c r="A245" s="141" t="str">
        <f>+IF(PROVEEDORES[[#This Row],[FECHA DE PAGO]]=PROVEEDORES[[#This Row],[FECHA DE FACTURACIÓN]],"DE CONTADO","CRÉDITO")</f>
        <v>CRÉDITO</v>
      </c>
      <c r="B245" s="138" t="str">
        <f>+IF((PROVEEDORES[[#This Row],[FECHA DE PAGO]]-PROVEEDORES[[#This Row],[FECHA DE FACTURACIÓN]])&gt;PROVEEDORES[[#This Row],[PLAZO Días]],"PAGO VENCIDO")</f>
        <v>PAGO VENCIDO</v>
      </c>
      <c r="C245" s="138">
        <f>+VLOOKUP(PROVEEDORES[[#This Row],[PROVEEDOR]],TERCEROS_INFO[#All],2,FALSE)</f>
        <v>30</v>
      </c>
      <c r="D245" s="139">
        <f>+SUMIFS(PROVEEDORES[Total],PROVEEDORES[PROVEEDOR],PROVEEDORES[[#This Row],[PROVEEDOR]],PROVEEDORES[FECHA DE PAGO],"")</f>
        <v>0</v>
      </c>
      <c r="E245" s="140"/>
      <c r="F245" s="138" t="str">
        <f>+VLOOKUP(PROVEEDORES[[#This Row],[PROVEEDOR]],
                       Terceros!$A:$F,
                       5,
                       FALSE)</f>
        <v>juan.suarez@cosostenible.com;girlesa.ruiz@servipilas.com;joriescobar64@gmail.com</v>
      </c>
      <c r="G245" s="127">
        <v>45044</v>
      </c>
      <c r="H245" s="123" t="s">
        <v>45</v>
      </c>
      <c r="I245" s="127">
        <v>44999</v>
      </c>
      <c r="J245" s="124" t="s">
        <v>698</v>
      </c>
      <c r="K245" s="124" t="s">
        <v>1530</v>
      </c>
      <c r="L245" s="124"/>
      <c r="M245" s="125">
        <v>563025</v>
      </c>
      <c r="N245" s="148">
        <v>106974.75</v>
      </c>
      <c r="O245" s="148">
        <v>0</v>
      </c>
      <c r="P245" s="149">
        <v>0</v>
      </c>
      <c r="Q245" s="148">
        <v>0</v>
      </c>
      <c r="R245" s="150">
        <v>669999.75</v>
      </c>
      <c r="S2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5" s="135">
        <f ca="1">+IF(PROVEEDORES[[#This Row],[FECHA DE PAGO]]=0,TODAY()-PROVEEDORES[[#This Row],[FECHA DE FACTURACIÓN]]-PROVEEDORES[[#This Row],[PLAZO Días]],0)</f>
        <v>0</v>
      </c>
      <c r="U245" s="135" t="str">
        <f>+VLOOKUP(PROVEEDORES[[#This Row],[PROVEEDOR]],Terceros!$A:$D,4,FALSE)</f>
        <v>2,5% con base</v>
      </c>
      <c r="V245" s="135">
        <f>+YEAR(PROVEEDORES[[#This Row],[FECHA DE FACTURACIÓN]])</f>
        <v>2023</v>
      </c>
      <c r="W245" s="135">
        <f>+MATCH(PROVEEDORES[[#This Row],[año facturado]],Retenciones!$1:$1,0)</f>
        <v>6</v>
      </c>
      <c r="X245" s="136">
        <f>+VLOOKUP(PROVEEDORES[[#This Row],[ID RETENCION]],Retenciones!$A$1:$O$25,PROVEEDORES[[#This Row],[indicador de columna]],FALSE)</f>
        <v>1145000</v>
      </c>
      <c r="Y245" s="137">
        <f>+VLOOKUP(PROVEEDORES[[#This Row],[ID RETENCION]],Retenciones!$A$1:$O$25,2,FALSE)</f>
        <v>2.5000000000000001E-2</v>
      </c>
      <c r="Z245" s="126" t="b">
        <f>+OR(COUNTIF(PROVEEDORES[[#This Row],[PROVEEDOR]],"*"&amp;'Palabra que no opera y Listas d'!$A$2&amp;"*"))</f>
        <v>0</v>
      </c>
    </row>
    <row r="246" spans="1:26" ht="27.75" customHeight="1" x14ac:dyDescent="0.25">
      <c r="A246" s="141" t="str">
        <f>+IF(PROVEEDORES[[#This Row],[FECHA DE PAGO]]=PROVEEDORES[[#This Row],[FECHA DE FACTURACIÓN]],"DE CONTADO","CRÉDITO")</f>
        <v>DE CONTADO</v>
      </c>
      <c r="B246" s="138" t="b">
        <f>+IF((PROVEEDORES[[#This Row],[FECHA DE PAGO]]-PROVEEDORES[[#This Row],[FECHA DE FACTURACIÓN]])&gt;PROVEEDORES[[#This Row],[PLAZO Días]],"PAGO VENCIDO")</f>
        <v>0</v>
      </c>
      <c r="C246" s="138">
        <f>+VLOOKUP(PROVEEDORES[[#This Row],[PROVEEDOR]],TERCEROS_INFO[#All],2,FALSE)</f>
        <v>30</v>
      </c>
      <c r="D246" s="139">
        <f>+SUMIFS(PROVEEDORES[Total],PROVEEDORES[PROVEEDOR],PROVEEDORES[[#This Row],[PROVEEDOR]],PROVEEDORES[FECHA DE PAGO],"")</f>
        <v>0</v>
      </c>
      <c r="E246" s="140"/>
      <c r="F246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246" s="127">
        <v>45044</v>
      </c>
      <c r="H246" s="123" t="s">
        <v>1865</v>
      </c>
      <c r="I246" s="127">
        <v>45044</v>
      </c>
      <c r="J246" s="124" t="s">
        <v>775</v>
      </c>
      <c r="K246" s="124" t="s">
        <v>1530</v>
      </c>
      <c r="L246" s="124"/>
      <c r="M246" s="125">
        <v>1615000</v>
      </c>
      <c r="N246" s="148">
        <v>0</v>
      </c>
      <c r="O246" s="148">
        <v>0</v>
      </c>
      <c r="P246" s="149">
        <v>0</v>
      </c>
      <c r="Q246" s="148">
        <v>0</v>
      </c>
      <c r="R246" s="150">
        <v>1615000</v>
      </c>
      <c r="S2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6" s="135">
        <f ca="1">+IF(PROVEEDORES[[#This Row],[FECHA DE PAGO]]=0,TODAY()-PROVEEDORES[[#This Row],[FECHA DE FACTURACIÓN]]-PROVEEDORES[[#This Row],[PLAZO Días]],0)</f>
        <v>0</v>
      </c>
      <c r="U246" s="135">
        <f>+VLOOKUP(PROVEEDORES[[#This Row],[PROVEEDOR]],Terceros!$A:$D,4,FALSE)</f>
        <v>0</v>
      </c>
      <c r="V246" s="135">
        <f>+YEAR(PROVEEDORES[[#This Row],[FECHA DE FACTURACIÓN]])</f>
        <v>2023</v>
      </c>
      <c r="W246" s="135">
        <f>+MATCH(PROVEEDORES[[#This Row],[año facturado]],Retenciones!$1:$1,0)</f>
        <v>6</v>
      </c>
      <c r="X246" s="136">
        <f>+VLOOKUP(PROVEEDORES[[#This Row],[ID RETENCION]],Retenciones!$A$1:$O$25,PROVEEDORES[[#This Row],[indicador de columna]],FALSE)</f>
        <v>0</v>
      </c>
      <c r="Y246" s="137">
        <f>+VLOOKUP(PROVEEDORES[[#This Row],[ID RETENCION]],Retenciones!$A$1:$O$25,2,FALSE)</f>
        <v>0</v>
      </c>
      <c r="Z246" s="126" t="b">
        <f>+OR(COUNTIF(PROVEEDORES[[#This Row],[PROVEEDOR]],"*"&amp;'Palabra que no opera y Listas d'!$A$2&amp;"*"))</f>
        <v>0</v>
      </c>
    </row>
    <row r="247" spans="1:26" ht="27.75" customHeight="1" x14ac:dyDescent="0.25">
      <c r="A247" s="141" t="str">
        <f>+IF(PROVEEDORES[[#This Row],[FECHA DE PAGO]]=PROVEEDORES[[#This Row],[FECHA DE FACTURACIÓN]],"DE CONTADO","CRÉDITO")</f>
        <v>DE CONTADO</v>
      </c>
      <c r="B247" s="138" t="b">
        <f>+IF((PROVEEDORES[[#This Row],[FECHA DE PAGO]]-PROVEEDORES[[#This Row],[FECHA DE FACTURACIÓN]])&gt;PROVEEDORES[[#This Row],[PLAZO Días]],"PAGO VENCIDO")</f>
        <v>0</v>
      </c>
      <c r="C247" s="138">
        <f>+VLOOKUP(PROVEEDORES[[#This Row],[PROVEEDOR]],TERCEROS_INFO[#All],2,FALSE)</f>
        <v>30</v>
      </c>
      <c r="D247" s="139">
        <f>+SUMIFS(PROVEEDORES[Total],PROVEEDORES[PROVEEDOR],PROVEEDORES[[#This Row],[PROVEEDOR]],PROVEEDORES[FECHA DE PAGO],"")</f>
        <v>0</v>
      </c>
      <c r="E247" s="140"/>
      <c r="F247" s="138" t="str">
        <f>+VLOOKUP(PROVEEDORES[[#This Row],[PROVEEDOR]],
                       Terceros!$A:$F,
                       5,
                       FALSE)</f>
        <v/>
      </c>
      <c r="G247" s="127">
        <v>45046</v>
      </c>
      <c r="H247" s="123" t="s">
        <v>525</v>
      </c>
      <c r="I247" s="127">
        <v>45046</v>
      </c>
      <c r="J247" s="124" t="s">
        <v>478</v>
      </c>
      <c r="K247" s="124" t="s">
        <v>1530</v>
      </c>
      <c r="L247" s="124"/>
      <c r="M247" s="125">
        <v>40000</v>
      </c>
      <c r="N247" s="148">
        <v>0</v>
      </c>
      <c r="O247" s="148">
        <v>0</v>
      </c>
      <c r="P247" s="149">
        <v>0</v>
      </c>
      <c r="Q247" s="148">
        <v>0</v>
      </c>
      <c r="R247" s="150">
        <v>40000</v>
      </c>
      <c r="S2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7" s="135">
        <f ca="1">+IF(PROVEEDORES[[#This Row],[FECHA DE PAGO]]=0,TODAY()-PROVEEDORES[[#This Row],[FECHA DE FACTURACIÓN]]-PROVEEDORES[[#This Row],[PLAZO Días]],0)</f>
        <v>0</v>
      </c>
      <c r="U247" s="135">
        <f>+VLOOKUP(PROVEEDORES[[#This Row],[PROVEEDOR]],Terceros!$A:$D,4,FALSE)</f>
        <v>0</v>
      </c>
      <c r="V247" s="135">
        <f>+YEAR(PROVEEDORES[[#This Row],[FECHA DE FACTURACIÓN]])</f>
        <v>2023</v>
      </c>
      <c r="W247" s="135">
        <f>+MATCH(PROVEEDORES[[#This Row],[año facturado]],Retenciones!$1:$1,0)</f>
        <v>6</v>
      </c>
      <c r="X247" s="136">
        <f>+VLOOKUP(PROVEEDORES[[#This Row],[ID RETENCION]],Retenciones!$A$1:$O$25,PROVEEDORES[[#This Row],[indicador de columna]],FALSE)</f>
        <v>0</v>
      </c>
      <c r="Y247" s="137">
        <f>+VLOOKUP(PROVEEDORES[[#This Row],[ID RETENCION]],Retenciones!$A$1:$O$25,2,FALSE)</f>
        <v>0</v>
      </c>
      <c r="Z247" s="126" t="b">
        <f>+OR(COUNTIF(PROVEEDORES[[#This Row],[PROVEEDOR]],"*"&amp;'Palabra que no opera y Listas d'!$A$2&amp;"*"))</f>
        <v>0</v>
      </c>
    </row>
    <row r="248" spans="1:26" ht="27.75" customHeight="1" x14ac:dyDescent="0.25">
      <c r="A248" s="141" t="str">
        <f>+IF(PROVEEDORES[[#This Row],[FECHA DE PAGO]]=PROVEEDORES[[#This Row],[FECHA DE FACTURACIÓN]],"DE CONTADO","CRÉDITO")</f>
        <v>DE CONTADO</v>
      </c>
      <c r="B248" s="138" t="b">
        <f>+IF((PROVEEDORES[[#This Row],[FECHA DE PAGO]]-PROVEEDORES[[#This Row],[FECHA DE FACTURACIÓN]])&gt;PROVEEDORES[[#This Row],[PLAZO Días]],"PAGO VENCIDO")</f>
        <v>0</v>
      </c>
      <c r="C248" s="138">
        <f>+VLOOKUP(PROVEEDORES[[#This Row],[PROVEEDOR]],TERCEROS_INFO[#All],2,FALSE)</f>
        <v>30</v>
      </c>
      <c r="D248" s="139">
        <f>+SUMIFS(PROVEEDORES[Total],PROVEEDORES[PROVEEDOR],PROVEEDORES[[#This Row],[PROVEEDOR]],PROVEEDORES[FECHA DE PAGO],"")</f>
        <v>0</v>
      </c>
      <c r="E248" s="140"/>
      <c r="F248" s="138" t="str">
        <f>+VLOOKUP(PROVEEDORES[[#This Row],[PROVEEDOR]],
                       Terceros!$A:$F,
                       5,
                       FALSE)</f>
        <v/>
      </c>
      <c r="G248" s="127">
        <v>45046</v>
      </c>
      <c r="H248" s="123" t="s">
        <v>525</v>
      </c>
      <c r="I248" s="127">
        <v>45046</v>
      </c>
      <c r="J248" s="124" t="s">
        <v>502</v>
      </c>
      <c r="K248" s="124" t="s">
        <v>1530</v>
      </c>
      <c r="L248" s="124"/>
      <c r="M248" s="125">
        <v>69000</v>
      </c>
      <c r="N248" s="148">
        <v>0</v>
      </c>
      <c r="O248" s="148">
        <v>0</v>
      </c>
      <c r="P248" s="149">
        <v>0</v>
      </c>
      <c r="Q248" s="148">
        <v>0</v>
      </c>
      <c r="R248" s="150">
        <v>69000</v>
      </c>
      <c r="S2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8" s="135">
        <f ca="1">+IF(PROVEEDORES[[#This Row],[FECHA DE PAGO]]=0,TODAY()-PROVEEDORES[[#This Row],[FECHA DE FACTURACIÓN]]-PROVEEDORES[[#This Row],[PLAZO Días]],0)</f>
        <v>0</v>
      </c>
      <c r="U248" s="135">
        <f>+VLOOKUP(PROVEEDORES[[#This Row],[PROVEEDOR]],Terceros!$A:$D,4,FALSE)</f>
        <v>0</v>
      </c>
      <c r="V248" s="135">
        <f>+YEAR(PROVEEDORES[[#This Row],[FECHA DE FACTURACIÓN]])</f>
        <v>2023</v>
      </c>
      <c r="W248" s="135">
        <f>+MATCH(PROVEEDORES[[#This Row],[año facturado]],Retenciones!$1:$1,0)</f>
        <v>6</v>
      </c>
      <c r="X248" s="136">
        <f>+VLOOKUP(PROVEEDORES[[#This Row],[ID RETENCION]],Retenciones!$A$1:$O$25,PROVEEDORES[[#This Row],[indicador de columna]],FALSE)</f>
        <v>0</v>
      </c>
      <c r="Y248" s="137">
        <f>+VLOOKUP(PROVEEDORES[[#This Row],[ID RETENCION]],Retenciones!$A$1:$O$25,2,FALSE)</f>
        <v>0</v>
      </c>
      <c r="Z248" s="126" t="b">
        <f>+OR(COUNTIF(PROVEEDORES[[#This Row],[PROVEEDOR]],"*"&amp;'Palabra que no opera y Listas d'!$A$2&amp;"*"))</f>
        <v>0</v>
      </c>
    </row>
    <row r="249" spans="1:26" ht="27.75" customHeight="1" x14ac:dyDescent="0.25">
      <c r="A249" s="141" t="str">
        <f>+IF(PROVEEDORES[[#This Row],[FECHA DE PAGO]]=PROVEEDORES[[#This Row],[FECHA DE FACTURACIÓN]],"DE CONTADO","CRÉDITO")</f>
        <v>DE CONTADO</v>
      </c>
      <c r="B249" s="138" t="b">
        <f>+IF((PROVEEDORES[[#This Row],[FECHA DE PAGO]]-PROVEEDORES[[#This Row],[FECHA DE FACTURACIÓN]])&gt;PROVEEDORES[[#This Row],[PLAZO Días]],"PAGO VENCIDO")</f>
        <v>0</v>
      </c>
      <c r="C249" s="138">
        <f>+VLOOKUP(PROVEEDORES[[#This Row],[PROVEEDOR]],TERCEROS_INFO[#All],2,FALSE)</f>
        <v>30</v>
      </c>
      <c r="D249" s="139">
        <f>+SUMIFS(PROVEEDORES[Total],PROVEEDORES[PROVEEDOR],PROVEEDORES[[#This Row],[PROVEEDOR]],PROVEEDORES[FECHA DE PAGO],"")</f>
        <v>0</v>
      </c>
      <c r="E249" s="140"/>
      <c r="F249" s="138" t="str">
        <f>+VLOOKUP(PROVEEDORES[[#This Row],[PROVEEDOR]],
                       Terceros!$A:$F,
                       5,
                       FALSE)</f>
        <v/>
      </c>
      <c r="G249" s="127">
        <v>45046</v>
      </c>
      <c r="H249" s="123" t="s">
        <v>525</v>
      </c>
      <c r="I249" s="127">
        <v>45046</v>
      </c>
      <c r="J249" s="124" t="s">
        <v>476</v>
      </c>
      <c r="K249" s="124" t="s">
        <v>1530</v>
      </c>
      <c r="L249" s="124"/>
      <c r="M249" s="125">
        <v>200800</v>
      </c>
      <c r="N249" s="148">
        <v>0</v>
      </c>
      <c r="O249" s="148">
        <v>0</v>
      </c>
      <c r="P249" s="149">
        <v>0</v>
      </c>
      <c r="Q249" s="148">
        <v>0</v>
      </c>
      <c r="R249" s="150">
        <v>200800</v>
      </c>
      <c r="S2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49" s="135">
        <f ca="1">+IF(PROVEEDORES[[#This Row],[FECHA DE PAGO]]=0,TODAY()-PROVEEDORES[[#This Row],[FECHA DE FACTURACIÓN]]-PROVEEDORES[[#This Row],[PLAZO Días]],0)</f>
        <v>0</v>
      </c>
      <c r="U249" s="135">
        <f>+VLOOKUP(PROVEEDORES[[#This Row],[PROVEEDOR]],Terceros!$A:$D,4,FALSE)</f>
        <v>0</v>
      </c>
      <c r="V249" s="135">
        <f>+YEAR(PROVEEDORES[[#This Row],[FECHA DE FACTURACIÓN]])</f>
        <v>2023</v>
      </c>
      <c r="W249" s="135">
        <f>+MATCH(PROVEEDORES[[#This Row],[año facturado]],Retenciones!$1:$1,0)</f>
        <v>6</v>
      </c>
      <c r="X249" s="136">
        <f>+VLOOKUP(PROVEEDORES[[#This Row],[ID RETENCION]],Retenciones!$A$1:$O$25,PROVEEDORES[[#This Row],[indicador de columna]],FALSE)</f>
        <v>0</v>
      </c>
      <c r="Y249" s="137">
        <f>+VLOOKUP(PROVEEDORES[[#This Row],[ID RETENCION]],Retenciones!$A$1:$O$25,2,FALSE)</f>
        <v>0</v>
      </c>
      <c r="Z249" s="126" t="b">
        <f>+OR(COUNTIF(PROVEEDORES[[#This Row],[PROVEEDOR]],"*"&amp;'Palabra que no opera y Listas d'!$A$2&amp;"*"))</f>
        <v>0</v>
      </c>
    </row>
    <row r="250" spans="1:26" ht="27.75" customHeight="1" x14ac:dyDescent="0.25">
      <c r="A250" s="141" t="str">
        <f>+IF(PROVEEDORES[[#This Row],[FECHA DE PAGO]]=PROVEEDORES[[#This Row],[FECHA DE FACTURACIÓN]],"DE CONTADO","CRÉDITO")</f>
        <v>DE CONTADO</v>
      </c>
      <c r="B250" s="138" t="b">
        <f>+IF((PROVEEDORES[[#This Row],[FECHA DE PAGO]]-PROVEEDORES[[#This Row],[FECHA DE FACTURACIÓN]])&gt;PROVEEDORES[[#This Row],[PLAZO Días]],"PAGO VENCIDO")</f>
        <v>0</v>
      </c>
      <c r="C250" s="138">
        <f>+VLOOKUP(PROVEEDORES[[#This Row],[PROVEEDOR]],TERCEROS_INFO[#All],2,FALSE)</f>
        <v>30</v>
      </c>
      <c r="D250" s="139">
        <f>+SUMIFS(PROVEEDORES[Total],PROVEEDORES[PROVEEDOR],PROVEEDORES[[#This Row],[PROVEEDOR]],PROVEEDORES[FECHA DE PAGO],"")</f>
        <v>0</v>
      </c>
      <c r="E250" s="140"/>
      <c r="F250" s="138" t="str">
        <f>+VLOOKUP(PROVEEDORES[[#This Row],[PROVEEDOR]],
                       Terceros!$A:$F,
                       5,
                       FALSE)</f>
        <v/>
      </c>
      <c r="G250" s="127">
        <v>45046</v>
      </c>
      <c r="H250" s="123" t="s">
        <v>525</v>
      </c>
      <c r="I250" s="127">
        <v>45046</v>
      </c>
      <c r="J250" s="124" t="s">
        <v>480</v>
      </c>
      <c r="K250" s="124" t="s">
        <v>1530</v>
      </c>
      <c r="L250" s="124"/>
      <c r="M250" s="125">
        <v>450600</v>
      </c>
      <c r="N250" s="148">
        <v>0</v>
      </c>
      <c r="O250" s="148">
        <v>0</v>
      </c>
      <c r="P250" s="149">
        <v>0</v>
      </c>
      <c r="Q250" s="148">
        <v>0</v>
      </c>
      <c r="R250" s="150">
        <v>450600</v>
      </c>
      <c r="S2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0" s="135">
        <f ca="1">+IF(PROVEEDORES[[#This Row],[FECHA DE PAGO]]=0,TODAY()-PROVEEDORES[[#This Row],[FECHA DE FACTURACIÓN]]-PROVEEDORES[[#This Row],[PLAZO Días]],0)</f>
        <v>0</v>
      </c>
      <c r="U250" s="135">
        <f>+VLOOKUP(PROVEEDORES[[#This Row],[PROVEEDOR]],Terceros!$A:$D,4,FALSE)</f>
        <v>0</v>
      </c>
      <c r="V250" s="135">
        <f>+YEAR(PROVEEDORES[[#This Row],[FECHA DE FACTURACIÓN]])</f>
        <v>2023</v>
      </c>
      <c r="W250" s="135">
        <f>+MATCH(PROVEEDORES[[#This Row],[año facturado]],Retenciones!$1:$1,0)</f>
        <v>6</v>
      </c>
      <c r="X250" s="136">
        <f>+VLOOKUP(PROVEEDORES[[#This Row],[ID RETENCION]],Retenciones!$A$1:$O$25,PROVEEDORES[[#This Row],[indicador de columna]],FALSE)</f>
        <v>0</v>
      </c>
      <c r="Y250" s="137">
        <f>+VLOOKUP(PROVEEDORES[[#This Row],[ID RETENCION]],Retenciones!$A$1:$O$25,2,FALSE)</f>
        <v>0</v>
      </c>
      <c r="Z250" s="126" t="b">
        <f>+OR(COUNTIF(PROVEEDORES[[#This Row],[PROVEEDOR]],"*"&amp;'Palabra que no opera y Listas d'!$A$2&amp;"*"))</f>
        <v>0</v>
      </c>
    </row>
    <row r="251" spans="1:26" ht="27.75" customHeight="1" x14ac:dyDescent="0.25">
      <c r="A251" s="141" t="str">
        <f>+IF(PROVEEDORES[[#This Row],[FECHA DE PAGO]]=PROVEEDORES[[#This Row],[FECHA DE FACTURACIÓN]],"DE CONTADO","CRÉDITO")</f>
        <v>DE CONTADO</v>
      </c>
      <c r="B251" s="138" t="b">
        <f>+IF((PROVEEDORES[[#This Row],[FECHA DE PAGO]]-PROVEEDORES[[#This Row],[FECHA DE FACTURACIÓN]])&gt;PROVEEDORES[[#This Row],[PLAZO Días]],"PAGO VENCIDO")</f>
        <v>0</v>
      </c>
      <c r="C251" s="138">
        <f>+VLOOKUP(PROVEEDORES[[#This Row],[PROVEEDOR]],TERCEROS_INFO[#All],2,FALSE)</f>
        <v>30</v>
      </c>
      <c r="D251" s="139">
        <f>+SUMIFS(PROVEEDORES[Total],PROVEEDORES[PROVEEDOR],PROVEEDORES[[#This Row],[PROVEEDOR]],PROVEEDORES[FECHA DE PAGO],"")</f>
        <v>0</v>
      </c>
      <c r="E251" s="140"/>
      <c r="F251" s="138" t="str">
        <f>+VLOOKUP(PROVEEDORES[[#This Row],[PROVEEDOR]],
                       Terceros!$A:$F,
                       5,
                       FALSE)</f>
        <v/>
      </c>
      <c r="G251" s="127">
        <v>45046</v>
      </c>
      <c r="H251" s="123" t="s">
        <v>525</v>
      </c>
      <c r="I251" s="127">
        <v>45046</v>
      </c>
      <c r="J251" s="124" t="s">
        <v>477</v>
      </c>
      <c r="K251" s="124" t="s">
        <v>1530</v>
      </c>
      <c r="L251" s="124"/>
      <c r="M251" s="125">
        <v>954000</v>
      </c>
      <c r="N251" s="148">
        <v>0</v>
      </c>
      <c r="O251" s="148">
        <v>0</v>
      </c>
      <c r="P251" s="149">
        <v>0</v>
      </c>
      <c r="Q251" s="148">
        <v>0</v>
      </c>
      <c r="R251" s="150">
        <v>954000</v>
      </c>
      <c r="S2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1" s="135">
        <f ca="1">+IF(PROVEEDORES[[#This Row],[FECHA DE PAGO]]=0,TODAY()-PROVEEDORES[[#This Row],[FECHA DE FACTURACIÓN]]-PROVEEDORES[[#This Row],[PLAZO Días]],0)</f>
        <v>0</v>
      </c>
      <c r="U251" s="135">
        <f>+VLOOKUP(PROVEEDORES[[#This Row],[PROVEEDOR]],Terceros!$A:$D,4,FALSE)</f>
        <v>0</v>
      </c>
      <c r="V251" s="135">
        <f>+YEAR(PROVEEDORES[[#This Row],[FECHA DE FACTURACIÓN]])</f>
        <v>2023</v>
      </c>
      <c r="W251" s="135">
        <f>+MATCH(PROVEEDORES[[#This Row],[año facturado]],Retenciones!$1:$1,0)</f>
        <v>6</v>
      </c>
      <c r="X251" s="136">
        <f>+VLOOKUP(PROVEEDORES[[#This Row],[ID RETENCION]],Retenciones!$A$1:$O$25,PROVEEDORES[[#This Row],[indicador de columna]],FALSE)</f>
        <v>0</v>
      </c>
      <c r="Y251" s="137">
        <f>+VLOOKUP(PROVEEDORES[[#This Row],[ID RETENCION]],Retenciones!$A$1:$O$25,2,FALSE)</f>
        <v>0</v>
      </c>
      <c r="Z251" s="126" t="b">
        <f>+OR(COUNTIF(PROVEEDORES[[#This Row],[PROVEEDOR]],"*"&amp;'Palabra que no opera y Listas d'!$A$2&amp;"*"))</f>
        <v>0</v>
      </c>
    </row>
    <row r="252" spans="1:26" ht="27.75" customHeight="1" x14ac:dyDescent="0.25">
      <c r="A252" s="141" t="str">
        <f>+IF(PROVEEDORES[[#This Row],[FECHA DE PAGO]]=PROVEEDORES[[#This Row],[FECHA DE FACTURACIÓN]],"DE CONTADO","CRÉDITO")</f>
        <v>CRÉDITO</v>
      </c>
      <c r="B252" s="138" t="str">
        <f>+IF((PROVEEDORES[[#This Row],[FECHA DE PAGO]]-PROVEEDORES[[#This Row],[FECHA DE FACTURACIÓN]])&gt;PROVEEDORES[[#This Row],[PLAZO Días]],"PAGO VENCIDO")</f>
        <v>PAGO VENCIDO</v>
      </c>
      <c r="C252" s="138">
        <f>+VLOOKUP(PROVEEDORES[[#This Row],[PROVEEDOR]],TERCEROS_INFO[#All],2,FALSE)</f>
        <v>30</v>
      </c>
      <c r="D252" s="139">
        <f>+SUMIFS(PROVEEDORES[Total],PROVEEDORES[PROVEEDOR],PROVEEDORES[[#This Row],[PROVEEDOR]],PROVEEDORES[FECHA DE PAGO],"")</f>
        <v>5427539.2800000003</v>
      </c>
      <c r="E252" s="140"/>
      <c r="F252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252" s="127">
        <v>45048</v>
      </c>
      <c r="H252" s="123" t="s">
        <v>11</v>
      </c>
      <c r="I252" s="127">
        <v>44994</v>
      </c>
      <c r="J252" s="124" t="s">
        <v>614</v>
      </c>
      <c r="K252" s="124" t="s">
        <v>1530</v>
      </c>
      <c r="L252" s="124"/>
      <c r="M252" s="125">
        <v>3405512</v>
      </c>
      <c r="N252" s="148">
        <v>647047.28</v>
      </c>
      <c r="O252" s="148">
        <v>0</v>
      </c>
      <c r="P252" s="149">
        <v>2.5000000000000001E-2</v>
      </c>
      <c r="Q252" s="148">
        <v>85137.8</v>
      </c>
      <c r="R252" s="150">
        <v>3967421.4800000004</v>
      </c>
      <c r="S2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2" s="135">
        <f ca="1">+IF(PROVEEDORES[[#This Row],[FECHA DE PAGO]]=0,TODAY()-PROVEEDORES[[#This Row],[FECHA DE FACTURACIÓN]]-PROVEEDORES[[#This Row],[PLAZO Días]],0)</f>
        <v>0</v>
      </c>
      <c r="U252" s="135" t="str">
        <f>+VLOOKUP(PROVEEDORES[[#This Row],[PROVEEDOR]],Terceros!$A:$D,4,FALSE)</f>
        <v>2,5% con base</v>
      </c>
      <c r="V252" s="135">
        <f>+YEAR(PROVEEDORES[[#This Row],[FECHA DE FACTURACIÓN]])</f>
        <v>2023</v>
      </c>
      <c r="W252" s="135">
        <f>+MATCH(PROVEEDORES[[#This Row],[año facturado]],Retenciones!$1:$1,0)</f>
        <v>6</v>
      </c>
      <c r="X252" s="136">
        <f>+VLOOKUP(PROVEEDORES[[#This Row],[ID RETENCION]],Retenciones!$A$1:$O$25,PROVEEDORES[[#This Row],[indicador de columna]],FALSE)</f>
        <v>1145000</v>
      </c>
      <c r="Y252" s="137">
        <f>+VLOOKUP(PROVEEDORES[[#This Row],[ID RETENCION]],Retenciones!$A$1:$O$25,2,FALSE)</f>
        <v>2.5000000000000001E-2</v>
      </c>
      <c r="Z252" s="126" t="b">
        <f>+OR(COUNTIF(PROVEEDORES[[#This Row],[PROVEEDOR]],"*"&amp;'Palabra que no opera y Listas d'!$A$2&amp;"*"))</f>
        <v>0</v>
      </c>
    </row>
    <row r="253" spans="1:26" ht="27.75" customHeight="1" x14ac:dyDescent="0.25">
      <c r="A253" s="141" t="str">
        <f>+IF(PROVEEDORES[[#This Row],[FECHA DE PAGO]]=PROVEEDORES[[#This Row],[FECHA DE FACTURACIÓN]],"DE CONTADO","CRÉDITO")</f>
        <v>CRÉDITO</v>
      </c>
      <c r="B253" s="138" t="str">
        <f>+IF((PROVEEDORES[[#This Row],[FECHA DE PAGO]]-PROVEEDORES[[#This Row],[FECHA DE FACTURACIÓN]])&gt;PROVEEDORES[[#This Row],[PLAZO Días]],"PAGO VENCIDO")</f>
        <v>PAGO VENCIDO</v>
      </c>
      <c r="C253" s="138">
        <f>+VLOOKUP(PROVEEDORES[[#This Row],[PROVEEDOR]],TERCEROS_INFO[#All],2,FALSE)</f>
        <v>30</v>
      </c>
      <c r="D253" s="139">
        <f>+SUMIFS(PROVEEDORES[Total],PROVEEDORES[PROVEEDOR],PROVEEDORES[[#This Row],[PROVEEDOR]],PROVEEDORES[FECHA DE PAGO],"")</f>
        <v>5813868.5099999998</v>
      </c>
      <c r="E253" s="140"/>
      <c r="F253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253" s="127">
        <v>45048</v>
      </c>
      <c r="H253" s="123" t="s">
        <v>24</v>
      </c>
      <c r="I253" s="127">
        <v>44996</v>
      </c>
      <c r="J253" s="124" t="s">
        <v>618</v>
      </c>
      <c r="K253" s="124" t="s">
        <v>504</v>
      </c>
      <c r="L253" s="124"/>
      <c r="M253" s="125">
        <v>10188720</v>
      </c>
      <c r="N253" s="148">
        <v>1935856.8</v>
      </c>
      <c r="O253" s="148">
        <v>0</v>
      </c>
      <c r="P253" s="149">
        <v>2.5000000000000001E-2</v>
      </c>
      <c r="Q253" s="148">
        <v>254718</v>
      </c>
      <c r="R253" s="150">
        <v>11869858.800000001</v>
      </c>
      <c r="S2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3" s="135">
        <f ca="1">+IF(PROVEEDORES[[#This Row],[FECHA DE PAGO]]=0,TODAY()-PROVEEDORES[[#This Row],[FECHA DE FACTURACIÓN]]-PROVEEDORES[[#This Row],[PLAZO Días]],0)</f>
        <v>0</v>
      </c>
      <c r="U253" s="135" t="str">
        <f>+VLOOKUP(PROVEEDORES[[#This Row],[PROVEEDOR]],Terceros!$A:$D,4,FALSE)</f>
        <v>2,5% con base</v>
      </c>
      <c r="V253" s="135">
        <f>+YEAR(PROVEEDORES[[#This Row],[FECHA DE FACTURACIÓN]])</f>
        <v>2023</v>
      </c>
      <c r="W253" s="135">
        <f>+MATCH(PROVEEDORES[[#This Row],[año facturado]],Retenciones!$1:$1,0)</f>
        <v>6</v>
      </c>
      <c r="X253" s="136">
        <f>+VLOOKUP(PROVEEDORES[[#This Row],[ID RETENCION]],Retenciones!$A$1:$O$25,PROVEEDORES[[#This Row],[indicador de columna]],FALSE)</f>
        <v>1145000</v>
      </c>
      <c r="Y253" s="137">
        <f>+VLOOKUP(PROVEEDORES[[#This Row],[ID RETENCION]],Retenciones!$A$1:$O$25,2,FALSE)</f>
        <v>2.5000000000000001E-2</v>
      </c>
      <c r="Z253" s="126" t="b">
        <f>+OR(COUNTIF(PROVEEDORES[[#This Row],[PROVEEDOR]],"*"&amp;'Palabra que no opera y Listas d'!$A$2&amp;"*"))</f>
        <v>0</v>
      </c>
    </row>
    <row r="254" spans="1:26" ht="27.75" customHeight="1" x14ac:dyDescent="0.25">
      <c r="A254" s="141" t="str">
        <f>+IF(PROVEEDORES[[#This Row],[FECHA DE PAGO]]=PROVEEDORES[[#This Row],[FECHA DE FACTURACIÓN]],"DE CONTADO","CRÉDITO")</f>
        <v>CRÉDITO</v>
      </c>
      <c r="B254" s="138" t="str">
        <f>+IF((PROVEEDORES[[#This Row],[FECHA DE PAGO]]-PROVEEDORES[[#This Row],[FECHA DE FACTURACIÓN]])&gt;PROVEEDORES[[#This Row],[PLAZO Días]],"PAGO VENCIDO")</f>
        <v>PAGO VENCIDO</v>
      </c>
      <c r="C254" s="138">
        <f>+VLOOKUP(PROVEEDORES[[#This Row],[PROVEEDOR]],TERCEROS_INFO[#All],2,FALSE)</f>
        <v>30</v>
      </c>
      <c r="D254" s="139">
        <f>+SUMIFS(PROVEEDORES[Total],PROVEEDORES[PROVEEDOR],PROVEEDORES[[#This Row],[PROVEEDOR]],PROVEEDORES[FECHA DE PAGO],"")</f>
        <v>352000</v>
      </c>
      <c r="E254" s="140"/>
      <c r="F254" s="138" t="str">
        <f>+VLOOKUP(PROVEEDORES[[#This Row],[PROVEEDOR]],
                       Terceros!$A:$F,
                       5,
                       FALSE)</f>
        <v/>
      </c>
      <c r="G254" s="127">
        <v>45049</v>
      </c>
      <c r="H254" s="123" t="s">
        <v>527</v>
      </c>
      <c r="I254" s="127">
        <v>44968</v>
      </c>
      <c r="J254" s="124">
        <v>36</v>
      </c>
      <c r="K254" s="124" t="s">
        <v>1530</v>
      </c>
      <c r="L254" s="124"/>
      <c r="M254" s="125">
        <v>89000</v>
      </c>
      <c r="N254" s="148">
        <v>0</v>
      </c>
      <c r="O254" s="148">
        <v>0</v>
      </c>
      <c r="P254" s="149">
        <v>0</v>
      </c>
      <c r="Q254" s="148">
        <v>0</v>
      </c>
      <c r="R254" s="150">
        <v>89000</v>
      </c>
      <c r="S2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4" s="135">
        <f ca="1">+IF(PROVEEDORES[[#This Row],[FECHA DE PAGO]]=0,TODAY()-PROVEEDORES[[#This Row],[FECHA DE FACTURACIÓN]]-PROVEEDORES[[#This Row],[PLAZO Días]],0)</f>
        <v>0</v>
      </c>
      <c r="U254" s="135">
        <f>+VLOOKUP(PROVEEDORES[[#This Row],[PROVEEDOR]],Terceros!$A:$D,4,FALSE)</f>
        <v>0</v>
      </c>
      <c r="V254" s="135">
        <f>+YEAR(PROVEEDORES[[#This Row],[FECHA DE FACTURACIÓN]])</f>
        <v>2023</v>
      </c>
      <c r="W254" s="135">
        <f>+MATCH(PROVEEDORES[[#This Row],[año facturado]],Retenciones!$1:$1,0)</f>
        <v>6</v>
      </c>
      <c r="X254" s="136">
        <f>+VLOOKUP(PROVEEDORES[[#This Row],[ID RETENCION]],Retenciones!$A$1:$O$25,PROVEEDORES[[#This Row],[indicador de columna]],FALSE)</f>
        <v>0</v>
      </c>
      <c r="Y254" s="137">
        <f>+VLOOKUP(PROVEEDORES[[#This Row],[ID RETENCION]],Retenciones!$A$1:$O$25,2,FALSE)</f>
        <v>0</v>
      </c>
      <c r="Z254" s="126" t="b">
        <f>+OR(COUNTIF(PROVEEDORES[[#This Row],[PROVEEDOR]],"*"&amp;'Palabra que no opera y Listas d'!$A$2&amp;"*"))</f>
        <v>0</v>
      </c>
    </row>
    <row r="255" spans="1:26" ht="27.75" customHeight="1" x14ac:dyDescent="0.25">
      <c r="A255" s="141" t="str">
        <f>+IF(PROVEEDORES[[#This Row],[FECHA DE PAGO]]=PROVEEDORES[[#This Row],[FECHA DE FACTURACIÓN]],"DE CONTADO","CRÉDITO")</f>
        <v>CRÉDITO</v>
      </c>
      <c r="B255" s="138" t="str">
        <f>+IF((PROVEEDORES[[#This Row],[FECHA DE PAGO]]-PROVEEDORES[[#This Row],[FECHA DE FACTURACIÓN]])&gt;PROVEEDORES[[#This Row],[PLAZO Días]],"PAGO VENCIDO")</f>
        <v>PAGO VENCIDO</v>
      </c>
      <c r="C255" s="138">
        <f>+VLOOKUP(PROVEEDORES[[#This Row],[PROVEEDOR]],TERCEROS_INFO[#All],2,FALSE)</f>
        <v>30</v>
      </c>
      <c r="D255" s="139">
        <f>+SUMIFS(PROVEEDORES[Total],PROVEEDORES[PROVEEDOR],PROVEEDORES[[#This Row],[PROVEEDOR]],PROVEEDORES[FECHA DE PAGO],"")</f>
        <v>352000</v>
      </c>
      <c r="E255" s="140"/>
      <c r="F255" s="138" t="str">
        <f>+VLOOKUP(PROVEEDORES[[#This Row],[PROVEEDOR]],
                       Terceros!$A:$F,
                       5,
                       FALSE)</f>
        <v/>
      </c>
      <c r="G255" s="127">
        <v>45049</v>
      </c>
      <c r="H255" s="123" t="s">
        <v>527</v>
      </c>
      <c r="I255" s="127">
        <v>44975</v>
      </c>
      <c r="J255" s="124">
        <v>37</v>
      </c>
      <c r="K255" s="124" t="s">
        <v>1530</v>
      </c>
      <c r="L255" s="124"/>
      <c r="M255" s="125">
        <v>78000</v>
      </c>
      <c r="N255" s="148">
        <v>0</v>
      </c>
      <c r="O255" s="148">
        <v>0</v>
      </c>
      <c r="P255" s="149">
        <v>0</v>
      </c>
      <c r="Q255" s="148">
        <v>0</v>
      </c>
      <c r="R255" s="150">
        <v>78000</v>
      </c>
      <c r="S2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5" s="135">
        <f ca="1">+IF(PROVEEDORES[[#This Row],[FECHA DE PAGO]]=0,TODAY()-PROVEEDORES[[#This Row],[FECHA DE FACTURACIÓN]]-PROVEEDORES[[#This Row],[PLAZO Días]],0)</f>
        <v>0</v>
      </c>
      <c r="U255" s="135">
        <f>+VLOOKUP(PROVEEDORES[[#This Row],[PROVEEDOR]],Terceros!$A:$D,4,FALSE)</f>
        <v>0</v>
      </c>
      <c r="V255" s="135">
        <f>+YEAR(PROVEEDORES[[#This Row],[FECHA DE FACTURACIÓN]])</f>
        <v>2023</v>
      </c>
      <c r="W255" s="135">
        <f>+MATCH(PROVEEDORES[[#This Row],[año facturado]],Retenciones!$1:$1,0)</f>
        <v>6</v>
      </c>
      <c r="X255" s="136">
        <f>+VLOOKUP(PROVEEDORES[[#This Row],[ID RETENCION]],Retenciones!$A$1:$O$25,PROVEEDORES[[#This Row],[indicador de columna]],FALSE)</f>
        <v>0</v>
      </c>
      <c r="Y255" s="137">
        <f>+VLOOKUP(PROVEEDORES[[#This Row],[ID RETENCION]],Retenciones!$A$1:$O$25,2,FALSE)</f>
        <v>0</v>
      </c>
      <c r="Z255" s="126" t="b">
        <f>+OR(COUNTIF(PROVEEDORES[[#This Row],[PROVEEDOR]],"*"&amp;'Palabra que no opera y Listas d'!$A$2&amp;"*"))</f>
        <v>0</v>
      </c>
    </row>
    <row r="256" spans="1:26" ht="27.75" customHeight="1" x14ac:dyDescent="0.25">
      <c r="A256" s="141" t="str">
        <f>+IF(PROVEEDORES[[#This Row],[FECHA DE PAGO]]=PROVEEDORES[[#This Row],[FECHA DE FACTURACIÓN]],"DE CONTADO","CRÉDITO")</f>
        <v>CRÉDITO</v>
      </c>
      <c r="B256" s="138" t="str">
        <f>+IF((PROVEEDORES[[#This Row],[FECHA DE PAGO]]-PROVEEDORES[[#This Row],[FECHA DE FACTURACIÓN]])&gt;PROVEEDORES[[#This Row],[PLAZO Días]],"PAGO VENCIDO")</f>
        <v>PAGO VENCIDO</v>
      </c>
      <c r="C256" s="138">
        <f>+VLOOKUP(PROVEEDORES[[#This Row],[PROVEEDOR]],TERCEROS_INFO[#All],2,FALSE)</f>
        <v>30</v>
      </c>
      <c r="D256" s="139">
        <f>+SUMIFS(PROVEEDORES[Total],PROVEEDORES[PROVEEDOR],PROVEEDORES[[#This Row],[PROVEEDOR]],PROVEEDORES[FECHA DE PAGO],"")</f>
        <v>352000</v>
      </c>
      <c r="E256" s="140"/>
      <c r="F256" s="138" t="str">
        <f>+VLOOKUP(PROVEEDORES[[#This Row],[PROVEEDOR]],
                       Terceros!$A:$F,
                       5,
                       FALSE)</f>
        <v/>
      </c>
      <c r="G256" s="127">
        <v>45049</v>
      </c>
      <c r="H256" s="123" t="s">
        <v>527</v>
      </c>
      <c r="I256" s="127">
        <v>44978</v>
      </c>
      <c r="J256" s="124">
        <v>38</v>
      </c>
      <c r="K256" s="124" t="s">
        <v>1530</v>
      </c>
      <c r="L256" s="124"/>
      <c r="M256" s="125">
        <v>102000</v>
      </c>
      <c r="N256" s="148">
        <v>0</v>
      </c>
      <c r="O256" s="148">
        <v>0</v>
      </c>
      <c r="P256" s="149">
        <v>0</v>
      </c>
      <c r="Q256" s="148">
        <v>0</v>
      </c>
      <c r="R256" s="150">
        <v>102000</v>
      </c>
      <c r="S2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6" s="135">
        <f ca="1">+IF(PROVEEDORES[[#This Row],[FECHA DE PAGO]]=0,TODAY()-PROVEEDORES[[#This Row],[FECHA DE FACTURACIÓN]]-PROVEEDORES[[#This Row],[PLAZO Días]],0)</f>
        <v>0</v>
      </c>
      <c r="U256" s="135">
        <f>+VLOOKUP(PROVEEDORES[[#This Row],[PROVEEDOR]],Terceros!$A:$D,4,FALSE)</f>
        <v>0</v>
      </c>
      <c r="V256" s="135">
        <f>+YEAR(PROVEEDORES[[#This Row],[FECHA DE FACTURACIÓN]])</f>
        <v>2023</v>
      </c>
      <c r="W256" s="135">
        <f>+MATCH(PROVEEDORES[[#This Row],[año facturado]],Retenciones!$1:$1,0)</f>
        <v>6</v>
      </c>
      <c r="X256" s="136">
        <f>+VLOOKUP(PROVEEDORES[[#This Row],[ID RETENCION]],Retenciones!$A$1:$O$25,PROVEEDORES[[#This Row],[indicador de columna]],FALSE)</f>
        <v>0</v>
      </c>
      <c r="Y256" s="137">
        <f>+VLOOKUP(PROVEEDORES[[#This Row],[ID RETENCION]],Retenciones!$A$1:$O$25,2,FALSE)</f>
        <v>0</v>
      </c>
      <c r="Z256" s="126" t="b">
        <f>+OR(COUNTIF(PROVEEDORES[[#This Row],[PROVEEDOR]],"*"&amp;'Palabra que no opera y Listas d'!$A$2&amp;"*"))</f>
        <v>0</v>
      </c>
    </row>
    <row r="257" spans="1:26" ht="27.75" customHeight="1" x14ac:dyDescent="0.25">
      <c r="A257" s="141" t="str">
        <f>+IF(PROVEEDORES[[#This Row],[FECHA DE PAGO]]=PROVEEDORES[[#This Row],[FECHA DE FACTURACIÓN]],"DE CONTADO","CRÉDITO")</f>
        <v>CRÉDITO</v>
      </c>
      <c r="B257" s="138" t="str">
        <f>+IF((PROVEEDORES[[#This Row],[FECHA DE PAGO]]-PROVEEDORES[[#This Row],[FECHA DE FACTURACIÓN]])&gt;PROVEEDORES[[#This Row],[PLAZO Días]],"PAGO VENCIDO")</f>
        <v>PAGO VENCIDO</v>
      </c>
      <c r="C257" s="138">
        <f>+VLOOKUP(PROVEEDORES[[#This Row],[PROVEEDOR]],TERCEROS_INFO[#All],2,FALSE)</f>
        <v>30</v>
      </c>
      <c r="D257" s="139">
        <f>+SUMIFS(PROVEEDORES[Total],PROVEEDORES[PROVEEDOR],PROVEEDORES[[#This Row],[PROVEEDOR]],PROVEEDORES[FECHA DE PAGO],"")</f>
        <v>352000</v>
      </c>
      <c r="E257" s="140"/>
      <c r="F257" s="138" t="str">
        <f>+VLOOKUP(PROVEEDORES[[#This Row],[PROVEEDOR]],
                       Terceros!$A:$F,
                       5,
                       FALSE)</f>
        <v/>
      </c>
      <c r="G257" s="127">
        <v>45049</v>
      </c>
      <c r="H257" s="123" t="s">
        <v>527</v>
      </c>
      <c r="I257" s="127">
        <v>44982</v>
      </c>
      <c r="J257" s="124">
        <v>39</v>
      </c>
      <c r="K257" s="124" t="s">
        <v>1530</v>
      </c>
      <c r="L257" s="124"/>
      <c r="M257" s="125">
        <v>26600</v>
      </c>
      <c r="N257" s="148">
        <v>0</v>
      </c>
      <c r="O257" s="148">
        <v>0</v>
      </c>
      <c r="P257" s="149">
        <v>0</v>
      </c>
      <c r="Q257" s="148">
        <v>0</v>
      </c>
      <c r="R257" s="150">
        <v>26600</v>
      </c>
      <c r="S2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7" s="135">
        <f ca="1">+IF(PROVEEDORES[[#This Row],[FECHA DE PAGO]]=0,TODAY()-PROVEEDORES[[#This Row],[FECHA DE FACTURACIÓN]]-PROVEEDORES[[#This Row],[PLAZO Días]],0)</f>
        <v>0</v>
      </c>
      <c r="U257" s="135">
        <f>+VLOOKUP(PROVEEDORES[[#This Row],[PROVEEDOR]],Terceros!$A:$D,4,FALSE)</f>
        <v>0</v>
      </c>
      <c r="V257" s="135">
        <f>+YEAR(PROVEEDORES[[#This Row],[FECHA DE FACTURACIÓN]])</f>
        <v>2023</v>
      </c>
      <c r="W257" s="135">
        <f>+MATCH(PROVEEDORES[[#This Row],[año facturado]],Retenciones!$1:$1,0)</f>
        <v>6</v>
      </c>
      <c r="X257" s="136">
        <f>+VLOOKUP(PROVEEDORES[[#This Row],[ID RETENCION]],Retenciones!$A$1:$O$25,PROVEEDORES[[#This Row],[indicador de columna]],FALSE)</f>
        <v>0</v>
      </c>
      <c r="Y257" s="137">
        <f>+VLOOKUP(PROVEEDORES[[#This Row],[ID RETENCION]],Retenciones!$A$1:$O$25,2,FALSE)</f>
        <v>0</v>
      </c>
      <c r="Z257" s="126" t="b">
        <f>+OR(COUNTIF(PROVEEDORES[[#This Row],[PROVEEDOR]],"*"&amp;'Palabra que no opera y Listas d'!$A$2&amp;"*"))</f>
        <v>0</v>
      </c>
    </row>
    <row r="258" spans="1:26" ht="27.75" customHeight="1" x14ac:dyDescent="0.25">
      <c r="A258" s="141" t="str">
        <f>+IF(PROVEEDORES[[#This Row],[FECHA DE PAGO]]=PROVEEDORES[[#This Row],[FECHA DE FACTURACIÓN]],"DE CONTADO","CRÉDITO")</f>
        <v>CRÉDITO</v>
      </c>
      <c r="B258" s="138" t="str">
        <f>+IF((PROVEEDORES[[#This Row],[FECHA DE PAGO]]-PROVEEDORES[[#This Row],[FECHA DE FACTURACIÓN]])&gt;PROVEEDORES[[#This Row],[PLAZO Días]],"PAGO VENCIDO")</f>
        <v>PAGO VENCIDO</v>
      </c>
      <c r="C258" s="138">
        <f>+VLOOKUP(PROVEEDORES[[#This Row],[PROVEEDOR]],TERCEROS_INFO[#All],2,FALSE)</f>
        <v>30</v>
      </c>
      <c r="D258" s="139">
        <f>+SUMIFS(PROVEEDORES[Total],PROVEEDORES[PROVEEDOR],PROVEEDORES[[#This Row],[PROVEEDOR]],PROVEEDORES[FECHA DE PAGO],"")</f>
        <v>352000</v>
      </c>
      <c r="E258" s="140"/>
      <c r="F258" s="138" t="str">
        <f>+VLOOKUP(PROVEEDORES[[#This Row],[PROVEEDOR]],
                       Terceros!$A:$F,
                       5,
                       FALSE)</f>
        <v/>
      </c>
      <c r="G258" s="127">
        <v>45049</v>
      </c>
      <c r="H258" s="123" t="s">
        <v>527</v>
      </c>
      <c r="I258" s="127">
        <v>44985</v>
      </c>
      <c r="J258" s="124">
        <v>40</v>
      </c>
      <c r="K258" s="124" t="s">
        <v>1530</v>
      </c>
      <c r="L258" s="124"/>
      <c r="M258" s="125">
        <v>113000</v>
      </c>
      <c r="N258" s="148">
        <v>0</v>
      </c>
      <c r="O258" s="148">
        <v>0</v>
      </c>
      <c r="P258" s="149">
        <v>0</v>
      </c>
      <c r="Q258" s="148">
        <v>0</v>
      </c>
      <c r="R258" s="150">
        <v>113000</v>
      </c>
      <c r="S2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8" s="135">
        <f ca="1">+IF(PROVEEDORES[[#This Row],[FECHA DE PAGO]]=0,TODAY()-PROVEEDORES[[#This Row],[FECHA DE FACTURACIÓN]]-PROVEEDORES[[#This Row],[PLAZO Días]],0)</f>
        <v>0</v>
      </c>
      <c r="U258" s="135">
        <f>+VLOOKUP(PROVEEDORES[[#This Row],[PROVEEDOR]],Terceros!$A:$D,4,FALSE)</f>
        <v>0</v>
      </c>
      <c r="V258" s="135">
        <f>+YEAR(PROVEEDORES[[#This Row],[FECHA DE FACTURACIÓN]])</f>
        <v>2023</v>
      </c>
      <c r="W258" s="135">
        <f>+MATCH(PROVEEDORES[[#This Row],[año facturado]],Retenciones!$1:$1,0)</f>
        <v>6</v>
      </c>
      <c r="X258" s="136">
        <f>+VLOOKUP(PROVEEDORES[[#This Row],[ID RETENCION]],Retenciones!$A$1:$O$25,PROVEEDORES[[#This Row],[indicador de columna]],FALSE)</f>
        <v>0</v>
      </c>
      <c r="Y258" s="137">
        <f>+VLOOKUP(PROVEEDORES[[#This Row],[ID RETENCION]],Retenciones!$A$1:$O$25,2,FALSE)</f>
        <v>0</v>
      </c>
      <c r="Z258" s="126" t="b">
        <f>+OR(COUNTIF(PROVEEDORES[[#This Row],[PROVEEDOR]],"*"&amp;'Palabra que no opera y Listas d'!$A$2&amp;"*"))</f>
        <v>0</v>
      </c>
    </row>
    <row r="259" spans="1:26" ht="27.75" customHeight="1" x14ac:dyDescent="0.25">
      <c r="A259" s="141" t="str">
        <f>+IF(PROVEEDORES[[#This Row],[FECHA DE PAGO]]=PROVEEDORES[[#This Row],[FECHA DE FACTURACIÓN]],"DE CONTADO","CRÉDITO")</f>
        <v>CRÉDITO</v>
      </c>
      <c r="B259" s="138" t="str">
        <f>+IF((PROVEEDORES[[#This Row],[FECHA DE PAGO]]-PROVEEDORES[[#This Row],[FECHA DE FACTURACIÓN]])&gt;PROVEEDORES[[#This Row],[PLAZO Días]],"PAGO VENCIDO")</f>
        <v>PAGO VENCIDO</v>
      </c>
      <c r="C259" s="138">
        <f>+VLOOKUP(PROVEEDORES[[#This Row],[PROVEEDOR]],TERCEROS_INFO[#All],2,FALSE)</f>
        <v>30</v>
      </c>
      <c r="D259" s="139">
        <f>+SUMIFS(PROVEEDORES[Total],PROVEEDORES[PROVEEDOR],PROVEEDORES[[#This Row],[PROVEEDOR]],PROVEEDORES[FECHA DE PAGO],"")</f>
        <v>352000</v>
      </c>
      <c r="E259" s="140"/>
      <c r="F259" s="138" t="str">
        <f>+VLOOKUP(PROVEEDORES[[#This Row],[PROVEEDOR]],
                       Terceros!$A:$F,
                       5,
                       FALSE)</f>
        <v/>
      </c>
      <c r="G259" s="127">
        <v>45049</v>
      </c>
      <c r="H259" s="123" t="s">
        <v>527</v>
      </c>
      <c r="I259" s="127">
        <v>44993</v>
      </c>
      <c r="J259" s="124">
        <v>41</v>
      </c>
      <c r="K259" s="124" t="s">
        <v>1530</v>
      </c>
      <c r="L259" s="124"/>
      <c r="M259" s="125">
        <v>468000</v>
      </c>
      <c r="N259" s="148">
        <v>0</v>
      </c>
      <c r="O259" s="148">
        <v>0</v>
      </c>
      <c r="P259" s="149">
        <v>0</v>
      </c>
      <c r="Q259" s="148">
        <v>0</v>
      </c>
      <c r="R259" s="150">
        <v>468000</v>
      </c>
      <c r="S2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59" s="135">
        <f ca="1">+IF(PROVEEDORES[[#This Row],[FECHA DE PAGO]]=0,TODAY()-PROVEEDORES[[#This Row],[FECHA DE FACTURACIÓN]]-PROVEEDORES[[#This Row],[PLAZO Días]],0)</f>
        <v>0</v>
      </c>
      <c r="U259" s="135">
        <f>+VLOOKUP(PROVEEDORES[[#This Row],[PROVEEDOR]],Terceros!$A:$D,4,FALSE)</f>
        <v>0</v>
      </c>
      <c r="V259" s="135">
        <f>+YEAR(PROVEEDORES[[#This Row],[FECHA DE FACTURACIÓN]])</f>
        <v>2023</v>
      </c>
      <c r="W259" s="135">
        <f>+MATCH(PROVEEDORES[[#This Row],[año facturado]],Retenciones!$1:$1,0)</f>
        <v>6</v>
      </c>
      <c r="X259" s="136">
        <f>+VLOOKUP(PROVEEDORES[[#This Row],[ID RETENCION]],Retenciones!$A$1:$O$25,PROVEEDORES[[#This Row],[indicador de columna]],FALSE)</f>
        <v>0</v>
      </c>
      <c r="Y259" s="137">
        <f>+VLOOKUP(PROVEEDORES[[#This Row],[ID RETENCION]],Retenciones!$A$1:$O$25,2,FALSE)</f>
        <v>0</v>
      </c>
      <c r="Z259" s="126" t="b">
        <f>+OR(COUNTIF(PROVEEDORES[[#This Row],[PROVEEDOR]],"*"&amp;'Palabra que no opera y Listas d'!$A$2&amp;"*"))</f>
        <v>0</v>
      </c>
    </row>
    <row r="260" spans="1:26" ht="27.75" customHeight="1" x14ac:dyDescent="0.25">
      <c r="A260" s="141" t="str">
        <f>+IF(PROVEEDORES[[#This Row],[FECHA DE PAGO]]=PROVEEDORES[[#This Row],[FECHA DE FACTURACIÓN]],"DE CONTADO","CRÉDITO")</f>
        <v>CRÉDITO</v>
      </c>
      <c r="B260" s="138" t="str">
        <f>+IF((PROVEEDORES[[#This Row],[FECHA DE PAGO]]-PROVEEDORES[[#This Row],[FECHA DE FACTURACIÓN]])&gt;PROVEEDORES[[#This Row],[PLAZO Días]],"PAGO VENCIDO")</f>
        <v>PAGO VENCIDO</v>
      </c>
      <c r="C260" s="138">
        <f>+VLOOKUP(PROVEEDORES[[#This Row],[PROVEEDOR]],TERCEROS_INFO[#All],2,FALSE)</f>
        <v>30</v>
      </c>
      <c r="D260" s="139">
        <f>+SUMIFS(PROVEEDORES[Total],PROVEEDORES[PROVEEDOR],PROVEEDORES[[#This Row],[PROVEEDOR]],PROVEEDORES[FECHA DE PAGO],"")</f>
        <v>352000</v>
      </c>
      <c r="E260" s="140"/>
      <c r="F260" s="138" t="str">
        <f>+VLOOKUP(PROVEEDORES[[#This Row],[PROVEEDOR]],
                       Terceros!$A:$F,
                       5,
                       FALSE)</f>
        <v/>
      </c>
      <c r="G260" s="127">
        <v>45049</v>
      </c>
      <c r="H260" s="123" t="s">
        <v>527</v>
      </c>
      <c r="I260" s="127">
        <v>44999</v>
      </c>
      <c r="J260" s="124">
        <v>42</v>
      </c>
      <c r="K260" s="124" t="s">
        <v>1530</v>
      </c>
      <c r="L260" s="124"/>
      <c r="M260" s="125">
        <v>86000</v>
      </c>
      <c r="N260" s="148">
        <v>0</v>
      </c>
      <c r="O260" s="148">
        <v>0</v>
      </c>
      <c r="P260" s="149">
        <v>0</v>
      </c>
      <c r="Q260" s="148">
        <v>0</v>
      </c>
      <c r="R260" s="150">
        <v>86000</v>
      </c>
      <c r="S2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0" s="135">
        <f ca="1">+IF(PROVEEDORES[[#This Row],[FECHA DE PAGO]]=0,TODAY()-PROVEEDORES[[#This Row],[FECHA DE FACTURACIÓN]]-PROVEEDORES[[#This Row],[PLAZO Días]],0)</f>
        <v>0</v>
      </c>
      <c r="U260" s="135">
        <f>+VLOOKUP(PROVEEDORES[[#This Row],[PROVEEDOR]],Terceros!$A:$D,4,FALSE)</f>
        <v>0</v>
      </c>
      <c r="V260" s="135">
        <f>+YEAR(PROVEEDORES[[#This Row],[FECHA DE FACTURACIÓN]])</f>
        <v>2023</v>
      </c>
      <c r="W260" s="135">
        <f>+MATCH(PROVEEDORES[[#This Row],[año facturado]],Retenciones!$1:$1,0)</f>
        <v>6</v>
      </c>
      <c r="X260" s="136">
        <f>+VLOOKUP(PROVEEDORES[[#This Row],[ID RETENCION]],Retenciones!$A$1:$O$25,PROVEEDORES[[#This Row],[indicador de columna]],FALSE)</f>
        <v>0</v>
      </c>
      <c r="Y260" s="137">
        <f>+VLOOKUP(PROVEEDORES[[#This Row],[ID RETENCION]],Retenciones!$A$1:$O$25,2,FALSE)</f>
        <v>0</v>
      </c>
      <c r="Z260" s="126" t="b">
        <f>+OR(COUNTIF(PROVEEDORES[[#This Row],[PROVEEDOR]],"*"&amp;'Palabra que no opera y Listas d'!$A$2&amp;"*"))</f>
        <v>0</v>
      </c>
    </row>
    <row r="261" spans="1:26" ht="27.75" customHeight="1" x14ac:dyDescent="0.25">
      <c r="A261" s="141" t="str">
        <f>+IF(PROVEEDORES[[#This Row],[FECHA DE PAGO]]=PROVEEDORES[[#This Row],[FECHA DE FACTURACIÓN]],"DE CONTADO","CRÉDITO")</f>
        <v>CRÉDITO</v>
      </c>
      <c r="B261" s="138" t="str">
        <f>+IF((PROVEEDORES[[#This Row],[FECHA DE PAGO]]-PROVEEDORES[[#This Row],[FECHA DE FACTURACIÓN]])&gt;PROVEEDORES[[#This Row],[PLAZO Días]],"PAGO VENCIDO")</f>
        <v>PAGO VENCIDO</v>
      </c>
      <c r="C261" s="138">
        <f>+VLOOKUP(PROVEEDORES[[#This Row],[PROVEEDOR]],TERCEROS_INFO[#All],2,FALSE)</f>
        <v>30</v>
      </c>
      <c r="D261" s="139">
        <f>+SUMIFS(PROVEEDORES[Total],PROVEEDORES[PROVEEDOR],PROVEEDORES[[#This Row],[PROVEEDOR]],PROVEEDORES[FECHA DE PAGO],"")</f>
        <v>0</v>
      </c>
      <c r="E261" s="140"/>
      <c r="F261" s="138" t="str">
        <f>+VLOOKUP(PROVEEDORES[[#This Row],[PROVEEDOR]],
                       Terceros!$A:$F,
                       5,
                       FALSE)</f>
        <v/>
      </c>
      <c r="G261" s="127">
        <v>45049</v>
      </c>
      <c r="H261" s="123" t="s">
        <v>1811</v>
      </c>
      <c r="I261" s="127">
        <v>45008</v>
      </c>
      <c r="J261" s="124" t="s">
        <v>659</v>
      </c>
      <c r="K261" s="124" t="s">
        <v>1530</v>
      </c>
      <c r="L261" s="124"/>
      <c r="M261" s="125">
        <v>4835000</v>
      </c>
      <c r="N261" s="148">
        <v>0</v>
      </c>
      <c r="O261" s="148">
        <v>0</v>
      </c>
      <c r="P261" s="149">
        <v>0</v>
      </c>
      <c r="Q261" s="148">
        <v>0</v>
      </c>
      <c r="R261" s="150">
        <v>4835000</v>
      </c>
      <c r="S2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1" s="135">
        <f ca="1">+IF(PROVEEDORES[[#This Row],[FECHA DE PAGO]]=0,TODAY()-PROVEEDORES[[#This Row],[FECHA DE FACTURACIÓN]]-PROVEEDORES[[#This Row],[PLAZO Días]],0)</f>
        <v>0</v>
      </c>
      <c r="U261" s="135">
        <f>+VLOOKUP(PROVEEDORES[[#This Row],[PROVEEDOR]],Terceros!$A:$D,4,FALSE)</f>
        <v>0</v>
      </c>
      <c r="V261" s="135">
        <f>+YEAR(PROVEEDORES[[#This Row],[FECHA DE FACTURACIÓN]])</f>
        <v>2023</v>
      </c>
      <c r="W261" s="135">
        <f>+MATCH(PROVEEDORES[[#This Row],[año facturado]],Retenciones!$1:$1,0)</f>
        <v>6</v>
      </c>
      <c r="X261" s="136">
        <f>+VLOOKUP(PROVEEDORES[[#This Row],[ID RETENCION]],Retenciones!$A$1:$O$25,PROVEEDORES[[#This Row],[indicador de columna]],FALSE)</f>
        <v>0</v>
      </c>
      <c r="Y261" s="137">
        <f>+VLOOKUP(PROVEEDORES[[#This Row],[ID RETENCION]],Retenciones!$A$1:$O$25,2,FALSE)</f>
        <v>0</v>
      </c>
      <c r="Z261" s="126" t="b">
        <f>+OR(COUNTIF(PROVEEDORES[[#This Row],[PROVEEDOR]],"*"&amp;'Palabra que no opera y Listas d'!$A$2&amp;"*"))</f>
        <v>0</v>
      </c>
    </row>
    <row r="262" spans="1:26" ht="27.75" customHeight="1" x14ac:dyDescent="0.25">
      <c r="A262" s="141" t="str">
        <f>+IF(PROVEEDORES[[#This Row],[FECHA DE PAGO]]=PROVEEDORES[[#This Row],[FECHA DE FACTURACIÓN]],"DE CONTADO","CRÉDITO")</f>
        <v>CRÉDITO</v>
      </c>
      <c r="B262" s="138" t="str">
        <f>+IF((PROVEEDORES[[#This Row],[FECHA DE PAGO]]-PROVEEDORES[[#This Row],[FECHA DE FACTURACIÓN]])&gt;PROVEEDORES[[#This Row],[PLAZO Días]],"PAGO VENCIDO")</f>
        <v>PAGO VENCIDO</v>
      </c>
      <c r="C262" s="138">
        <f>+VLOOKUP(PROVEEDORES[[#This Row],[PROVEEDOR]],TERCEROS_INFO[#All],2,FALSE)</f>
        <v>30</v>
      </c>
      <c r="D262" s="139">
        <f>+SUMIFS(PROVEEDORES[Total],PROVEEDORES[PROVEEDOR],PROVEEDORES[[#This Row],[PROVEEDOR]],PROVEEDORES[FECHA DE PAGO],"")</f>
        <v>3130000</v>
      </c>
      <c r="E262" s="140"/>
      <c r="F262" s="138">
        <f>+VLOOKUP(PROVEEDORES[[#This Row],[PROVEEDOR]],
                       Terceros!$A:$F,
                       5,
                       FALSE)</f>
        <v>0</v>
      </c>
      <c r="G262" s="127">
        <v>45049</v>
      </c>
      <c r="H262" s="123" t="s">
        <v>472</v>
      </c>
      <c r="I262" s="127">
        <v>45013</v>
      </c>
      <c r="J262" s="124">
        <v>10379</v>
      </c>
      <c r="K262" s="124" t="s">
        <v>1530</v>
      </c>
      <c r="L262" s="124"/>
      <c r="M262" s="125">
        <v>525000</v>
      </c>
      <c r="N262" s="148">
        <v>0</v>
      </c>
      <c r="O262" s="148">
        <v>0</v>
      </c>
      <c r="P262" s="149">
        <v>0</v>
      </c>
      <c r="Q262" s="148">
        <v>0</v>
      </c>
      <c r="R262" s="150">
        <v>525000</v>
      </c>
      <c r="S2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2" s="135">
        <f ca="1">+IF(PROVEEDORES[[#This Row],[FECHA DE PAGO]]=0,TODAY()-PROVEEDORES[[#This Row],[FECHA DE FACTURACIÓN]]-PROVEEDORES[[#This Row],[PLAZO Días]],0)</f>
        <v>0</v>
      </c>
      <c r="U262" s="135">
        <f>+VLOOKUP(PROVEEDORES[[#This Row],[PROVEEDOR]],Terceros!$A:$D,4,FALSE)</f>
        <v>0</v>
      </c>
      <c r="V262" s="135">
        <f>+YEAR(PROVEEDORES[[#This Row],[FECHA DE FACTURACIÓN]])</f>
        <v>2023</v>
      </c>
      <c r="W262" s="135">
        <f>+MATCH(PROVEEDORES[[#This Row],[año facturado]],Retenciones!$1:$1,0)</f>
        <v>6</v>
      </c>
      <c r="X262" s="136">
        <f>+VLOOKUP(PROVEEDORES[[#This Row],[ID RETENCION]],Retenciones!$A$1:$O$25,PROVEEDORES[[#This Row],[indicador de columna]],FALSE)</f>
        <v>0</v>
      </c>
      <c r="Y262" s="137">
        <f>+VLOOKUP(PROVEEDORES[[#This Row],[ID RETENCION]],Retenciones!$A$1:$O$25,2,FALSE)</f>
        <v>0</v>
      </c>
      <c r="Z262" s="126" t="b">
        <f>+OR(COUNTIF(PROVEEDORES[[#This Row],[PROVEEDOR]],"*"&amp;'Palabra que no opera y Listas d'!$A$2&amp;"*"))</f>
        <v>0</v>
      </c>
    </row>
    <row r="263" spans="1:26" ht="27.75" customHeight="1" x14ac:dyDescent="0.25">
      <c r="A263" s="141" t="str">
        <f>+IF(PROVEEDORES[[#This Row],[FECHA DE PAGO]]=PROVEEDORES[[#This Row],[FECHA DE FACTURACIÓN]],"DE CONTADO","CRÉDITO")</f>
        <v>CRÉDITO</v>
      </c>
      <c r="B263" s="138" t="str">
        <f>+IF((PROVEEDORES[[#This Row],[FECHA DE PAGO]]-PROVEEDORES[[#This Row],[FECHA DE FACTURACIÓN]])&gt;PROVEEDORES[[#This Row],[PLAZO Días]],"PAGO VENCIDO")</f>
        <v>PAGO VENCIDO</v>
      </c>
      <c r="C263" s="138">
        <f>+VLOOKUP(PROVEEDORES[[#This Row],[PROVEEDOR]],TERCEROS_INFO[#All],2,FALSE)</f>
        <v>30</v>
      </c>
      <c r="D263" s="139">
        <f>+SUMIFS(PROVEEDORES[Total],PROVEEDORES[PROVEEDOR],PROVEEDORES[[#This Row],[PROVEEDOR]],PROVEEDORES[FECHA DE PAGO],"")</f>
        <v>352000</v>
      </c>
      <c r="E263" s="140"/>
      <c r="F263" s="138" t="str">
        <f>+VLOOKUP(PROVEEDORES[[#This Row],[PROVEEDOR]],
                       Terceros!$A:$F,
                       5,
                       FALSE)</f>
        <v/>
      </c>
      <c r="G263" s="127">
        <v>45049</v>
      </c>
      <c r="H263" s="123" t="s">
        <v>527</v>
      </c>
      <c r="I263" s="127">
        <v>45013</v>
      </c>
      <c r="J263" s="124">
        <v>43</v>
      </c>
      <c r="K263" s="124" t="s">
        <v>1530</v>
      </c>
      <c r="L263" s="124"/>
      <c r="M263" s="125">
        <v>226000</v>
      </c>
      <c r="N263" s="148">
        <v>0</v>
      </c>
      <c r="O263" s="148">
        <v>0</v>
      </c>
      <c r="P263" s="149">
        <v>0</v>
      </c>
      <c r="Q263" s="148">
        <v>0</v>
      </c>
      <c r="R263" s="150">
        <v>226000</v>
      </c>
      <c r="S2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3" s="135">
        <f ca="1">+IF(PROVEEDORES[[#This Row],[FECHA DE PAGO]]=0,TODAY()-PROVEEDORES[[#This Row],[FECHA DE FACTURACIÓN]]-PROVEEDORES[[#This Row],[PLAZO Días]],0)</f>
        <v>0</v>
      </c>
      <c r="U263" s="135">
        <f>+VLOOKUP(PROVEEDORES[[#This Row],[PROVEEDOR]],Terceros!$A:$D,4,FALSE)</f>
        <v>0</v>
      </c>
      <c r="V263" s="135">
        <f>+YEAR(PROVEEDORES[[#This Row],[FECHA DE FACTURACIÓN]])</f>
        <v>2023</v>
      </c>
      <c r="W263" s="135">
        <f>+MATCH(PROVEEDORES[[#This Row],[año facturado]],Retenciones!$1:$1,0)</f>
        <v>6</v>
      </c>
      <c r="X263" s="136">
        <f>+VLOOKUP(PROVEEDORES[[#This Row],[ID RETENCION]],Retenciones!$A$1:$O$25,PROVEEDORES[[#This Row],[indicador de columna]],FALSE)</f>
        <v>0</v>
      </c>
      <c r="Y263" s="137">
        <f>+VLOOKUP(PROVEEDORES[[#This Row],[ID RETENCION]],Retenciones!$A$1:$O$25,2,FALSE)</f>
        <v>0</v>
      </c>
      <c r="Z263" s="126" t="b">
        <f>+OR(COUNTIF(PROVEEDORES[[#This Row],[PROVEEDOR]],"*"&amp;'Palabra que no opera y Listas d'!$A$2&amp;"*"))</f>
        <v>0</v>
      </c>
    </row>
    <row r="264" spans="1:26" ht="27.75" customHeight="1" x14ac:dyDescent="0.25">
      <c r="A264" s="141" t="str">
        <f>+IF(PROVEEDORES[[#This Row],[FECHA DE PAGO]]=PROVEEDORES[[#This Row],[FECHA DE FACTURACIÓN]],"DE CONTADO","CRÉDITO")</f>
        <v>DE CONTADO</v>
      </c>
      <c r="B264" s="138" t="b">
        <f>+IF((PROVEEDORES[[#This Row],[FECHA DE PAGO]]-PROVEEDORES[[#This Row],[FECHA DE FACTURACIÓN]])&gt;PROVEEDORES[[#This Row],[PLAZO Días]],"PAGO VENCIDO")</f>
        <v>0</v>
      </c>
      <c r="C264" s="138">
        <f>+VLOOKUP(PROVEEDORES[[#This Row],[PROVEEDOR]],TERCEROS_INFO[#All],2,FALSE)</f>
        <v>30</v>
      </c>
      <c r="D264" s="139">
        <f>+SUMIFS(PROVEEDORES[Total],PROVEEDORES[PROVEEDOR],PROVEEDORES[[#This Row],[PROVEEDOR]],PROVEEDORES[FECHA DE PAGO],"")</f>
        <v>0</v>
      </c>
      <c r="E264" s="140"/>
      <c r="F264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264" s="127">
        <v>45049</v>
      </c>
      <c r="H264" s="123" t="s">
        <v>1865</v>
      </c>
      <c r="I264" s="127">
        <v>45049</v>
      </c>
      <c r="J264" s="124" t="s">
        <v>790</v>
      </c>
      <c r="K264" s="124" t="s">
        <v>1530</v>
      </c>
      <c r="L264" s="124"/>
      <c r="M264" s="125">
        <v>1740000</v>
      </c>
      <c r="N264" s="148">
        <v>0</v>
      </c>
      <c r="O264" s="148">
        <v>0</v>
      </c>
      <c r="P264" s="149">
        <v>0</v>
      </c>
      <c r="Q264" s="148">
        <v>0</v>
      </c>
      <c r="R264" s="150">
        <v>1740000</v>
      </c>
      <c r="S2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4" s="135">
        <f ca="1">+IF(PROVEEDORES[[#This Row],[FECHA DE PAGO]]=0,TODAY()-PROVEEDORES[[#This Row],[FECHA DE FACTURACIÓN]]-PROVEEDORES[[#This Row],[PLAZO Días]],0)</f>
        <v>0</v>
      </c>
      <c r="U264" s="135">
        <f>+VLOOKUP(PROVEEDORES[[#This Row],[PROVEEDOR]],Terceros!$A:$D,4,FALSE)</f>
        <v>0</v>
      </c>
      <c r="V264" s="135">
        <f>+YEAR(PROVEEDORES[[#This Row],[FECHA DE FACTURACIÓN]])</f>
        <v>2023</v>
      </c>
      <c r="W264" s="135">
        <f>+MATCH(PROVEEDORES[[#This Row],[año facturado]],Retenciones!$1:$1,0)</f>
        <v>6</v>
      </c>
      <c r="X264" s="136">
        <f>+VLOOKUP(PROVEEDORES[[#This Row],[ID RETENCION]],Retenciones!$A$1:$O$25,PROVEEDORES[[#This Row],[indicador de columna]],FALSE)</f>
        <v>0</v>
      </c>
      <c r="Y264" s="137">
        <f>+VLOOKUP(PROVEEDORES[[#This Row],[ID RETENCION]],Retenciones!$A$1:$O$25,2,FALSE)</f>
        <v>0</v>
      </c>
      <c r="Z264" s="126" t="b">
        <f>+OR(COUNTIF(PROVEEDORES[[#This Row],[PROVEEDOR]],"*"&amp;'Palabra que no opera y Listas d'!$A$2&amp;"*"))</f>
        <v>0</v>
      </c>
    </row>
    <row r="265" spans="1:26" ht="27.75" customHeight="1" x14ac:dyDescent="0.25">
      <c r="A265" s="141" t="str">
        <f>+IF(PROVEEDORES[[#This Row],[FECHA DE PAGO]]=PROVEEDORES[[#This Row],[FECHA DE FACTURACIÓN]],"DE CONTADO","CRÉDITO")</f>
        <v>CRÉDITO</v>
      </c>
      <c r="B265" s="138" t="b">
        <f>+IF((PROVEEDORES[[#This Row],[FECHA DE PAGO]]-PROVEEDORES[[#This Row],[FECHA DE FACTURACIÓN]])&gt;PROVEEDORES[[#This Row],[PLAZO Días]],"PAGO VENCIDO")</f>
        <v>0</v>
      </c>
      <c r="C265" s="138">
        <f>+VLOOKUP(PROVEEDORES[[#This Row],[PROVEEDOR]],TERCEROS_INFO[#All],2,FALSE)</f>
        <v>60</v>
      </c>
      <c r="D265" s="139">
        <f>+SUMIFS(PROVEEDORES[Total],PROVEEDORES[PROVEEDOR],PROVEEDORES[[#This Row],[PROVEEDOR]],PROVEEDORES[FECHA DE PAGO],"")</f>
        <v>1730482</v>
      </c>
      <c r="E265" s="140"/>
      <c r="F265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65" s="127">
        <v>45051</v>
      </c>
      <c r="H265" s="123" t="s">
        <v>222</v>
      </c>
      <c r="I265" s="127">
        <v>45017</v>
      </c>
      <c r="J265" s="124" t="s">
        <v>679</v>
      </c>
      <c r="K265" s="124" t="s">
        <v>1530</v>
      </c>
      <c r="L265" s="124"/>
      <c r="M265" s="125">
        <v>169670</v>
      </c>
      <c r="N265" s="148">
        <v>0</v>
      </c>
      <c r="O265" s="148">
        <v>0</v>
      </c>
      <c r="P265" s="149">
        <v>0</v>
      </c>
      <c r="Q265" s="148">
        <v>0</v>
      </c>
      <c r="R265" s="150">
        <v>169670</v>
      </c>
      <c r="S2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5" s="135">
        <f ca="1">+IF(PROVEEDORES[[#This Row],[FECHA DE PAGO]]=0,TODAY()-PROVEEDORES[[#This Row],[FECHA DE FACTURACIÓN]]-PROVEEDORES[[#This Row],[PLAZO Días]],0)</f>
        <v>0</v>
      </c>
      <c r="U265" s="135">
        <f>+VLOOKUP(PROVEEDORES[[#This Row],[PROVEEDOR]],Terceros!$A:$D,4,FALSE)</f>
        <v>0</v>
      </c>
      <c r="V265" s="135">
        <f>+YEAR(PROVEEDORES[[#This Row],[FECHA DE FACTURACIÓN]])</f>
        <v>2023</v>
      </c>
      <c r="W265" s="135">
        <f>+MATCH(PROVEEDORES[[#This Row],[año facturado]],Retenciones!$1:$1,0)</f>
        <v>6</v>
      </c>
      <c r="X265" s="136">
        <f>+VLOOKUP(PROVEEDORES[[#This Row],[ID RETENCION]],Retenciones!$A$1:$O$25,PROVEEDORES[[#This Row],[indicador de columna]],FALSE)</f>
        <v>0</v>
      </c>
      <c r="Y265" s="137">
        <f>+VLOOKUP(PROVEEDORES[[#This Row],[ID RETENCION]],Retenciones!$A$1:$O$25,2,FALSE)</f>
        <v>0</v>
      </c>
      <c r="Z265" s="126" t="b">
        <f>+OR(COUNTIF(PROVEEDORES[[#This Row],[PROVEEDOR]],"*"&amp;'Palabra que no opera y Listas d'!$A$2&amp;"*"))</f>
        <v>0</v>
      </c>
    </row>
    <row r="266" spans="1:26" ht="27.75" customHeight="1" x14ac:dyDescent="0.25">
      <c r="A266" s="141" t="str">
        <f>+IF(PROVEEDORES[[#This Row],[FECHA DE PAGO]]=PROVEEDORES[[#This Row],[FECHA DE FACTURACIÓN]],"DE CONTADO","CRÉDITO")</f>
        <v>CRÉDITO</v>
      </c>
      <c r="B266" s="138" t="b">
        <f>+IF((PROVEEDORES[[#This Row],[FECHA DE PAGO]]-PROVEEDORES[[#This Row],[FECHA DE FACTURACIÓN]])&gt;PROVEEDORES[[#This Row],[PLAZO Días]],"PAGO VENCIDO")</f>
        <v>0</v>
      </c>
      <c r="C266" s="138">
        <f>+VLOOKUP(PROVEEDORES[[#This Row],[PROVEEDOR]],TERCEROS_INFO[#All],2,FALSE)</f>
        <v>45</v>
      </c>
      <c r="D266" s="139">
        <f>+SUMIFS(PROVEEDORES[Total],PROVEEDORES[PROVEEDOR],PROVEEDORES[[#This Row],[PROVEEDOR]],PROVEEDORES[FECHA DE PAGO],"")</f>
        <v>0</v>
      </c>
      <c r="E266" s="140"/>
      <c r="F266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66" s="127">
        <v>45051</v>
      </c>
      <c r="H266" s="123" t="s">
        <v>224</v>
      </c>
      <c r="I266" s="127">
        <v>45017</v>
      </c>
      <c r="J266" s="124">
        <v>1647</v>
      </c>
      <c r="K266" s="124" t="s">
        <v>1530</v>
      </c>
      <c r="L266" s="124"/>
      <c r="M266" s="125">
        <v>1853680</v>
      </c>
      <c r="N266" s="148">
        <v>0</v>
      </c>
      <c r="O266" s="148">
        <v>0</v>
      </c>
      <c r="P266" s="149">
        <v>0</v>
      </c>
      <c r="Q266" s="148">
        <v>0</v>
      </c>
      <c r="R266" s="150">
        <v>1853680</v>
      </c>
      <c r="S2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6" s="135">
        <f ca="1">+IF(PROVEEDORES[[#This Row],[FECHA DE PAGO]]=0,TODAY()-PROVEEDORES[[#This Row],[FECHA DE FACTURACIÓN]]-PROVEEDORES[[#This Row],[PLAZO Días]],0)</f>
        <v>0</v>
      </c>
      <c r="U266" s="135">
        <f>+VLOOKUP(PROVEEDORES[[#This Row],[PROVEEDOR]],Terceros!$A:$D,4,FALSE)</f>
        <v>0</v>
      </c>
      <c r="V266" s="135">
        <f>+YEAR(PROVEEDORES[[#This Row],[FECHA DE FACTURACIÓN]])</f>
        <v>2023</v>
      </c>
      <c r="W266" s="135">
        <f>+MATCH(PROVEEDORES[[#This Row],[año facturado]],Retenciones!$1:$1,0)</f>
        <v>6</v>
      </c>
      <c r="X266" s="136">
        <f>+VLOOKUP(PROVEEDORES[[#This Row],[ID RETENCION]],Retenciones!$A$1:$O$25,PROVEEDORES[[#This Row],[indicador de columna]],FALSE)</f>
        <v>0</v>
      </c>
      <c r="Y266" s="137">
        <f>+VLOOKUP(PROVEEDORES[[#This Row],[ID RETENCION]],Retenciones!$A$1:$O$25,2,FALSE)</f>
        <v>0</v>
      </c>
      <c r="Z266" s="126" t="b">
        <f>+OR(COUNTIF(PROVEEDORES[[#This Row],[PROVEEDOR]],"*"&amp;'Palabra que no opera y Listas d'!$A$2&amp;"*"))</f>
        <v>0</v>
      </c>
    </row>
    <row r="267" spans="1:26" ht="27.75" customHeight="1" x14ac:dyDescent="0.25">
      <c r="A267" s="141" t="str">
        <f>+IF(PROVEEDORES[[#This Row],[FECHA DE PAGO]]=PROVEEDORES[[#This Row],[FECHA DE FACTURACIÓN]],"DE CONTADO","CRÉDITO")</f>
        <v>CRÉDITO</v>
      </c>
      <c r="B267" s="138" t="b">
        <f>+IF((PROVEEDORES[[#This Row],[FECHA DE PAGO]]-PROVEEDORES[[#This Row],[FECHA DE FACTURACIÓN]])&gt;PROVEEDORES[[#This Row],[PLAZO Días]],"PAGO VENCIDO")</f>
        <v>0</v>
      </c>
      <c r="C267" s="138">
        <f>+VLOOKUP(PROVEEDORES[[#This Row],[PROVEEDOR]],TERCEROS_INFO[#All],2,FALSE)</f>
        <v>60</v>
      </c>
      <c r="D267" s="139">
        <f>+SUMIFS(PROVEEDORES[Total],PROVEEDORES[PROVEEDOR],PROVEEDORES[[#This Row],[PROVEEDOR]],PROVEEDORES[FECHA DE PAGO],"")</f>
        <v>1730482</v>
      </c>
      <c r="E267" s="140"/>
      <c r="F267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67" s="127">
        <v>45051</v>
      </c>
      <c r="H267" s="123" t="s">
        <v>222</v>
      </c>
      <c r="I267" s="127">
        <v>45022</v>
      </c>
      <c r="J267" s="124">
        <v>1649</v>
      </c>
      <c r="K267" s="124" t="s">
        <v>1530</v>
      </c>
      <c r="L267" s="124"/>
      <c r="M267" s="125">
        <v>319600</v>
      </c>
      <c r="N267" s="148">
        <v>0</v>
      </c>
      <c r="O267" s="148">
        <v>0</v>
      </c>
      <c r="P267" s="149">
        <v>0</v>
      </c>
      <c r="Q267" s="148">
        <v>0</v>
      </c>
      <c r="R267" s="150">
        <v>319600</v>
      </c>
      <c r="S2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7" s="135">
        <f ca="1">+IF(PROVEEDORES[[#This Row],[FECHA DE PAGO]]=0,TODAY()-PROVEEDORES[[#This Row],[FECHA DE FACTURACIÓN]]-PROVEEDORES[[#This Row],[PLAZO Días]],0)</f>
        <v>0</v>
      </c>
      <c r="U267" s="135">
        <f>+VLOOKUP(PROVEEDORES[[#This Row],[PROVEEDOR]],Terceros!$A:$D,4,FALSE)</f>
        <v>0</v>
      </c>
      <c r="V267" s="135">
        <f>+YEAR(PROVEEDORES[[#This Row],[FECHA DE FACTURACIÓN]])</f>
        <v>2023</v>
      </c>
      <c r="W267" s="135">
        <f>+MATCH(PROVEEDORES[[#This Row],[año facturado]],Retenciones!$1:$1,0)</f>
        <v>6</v>
      </c>
      <c r="X267" s="136">
        <f>+VLOOKUP(PROVEEDORES[[#This Row],[ID RETENCION]],Retenciones!$A$1:$O$25,PROVEEDORES[[#This Row],[indicador de columna]],FALSE)</f>
        <v>0</v>
      </c>
      <c r="Y267" s="137">
        <f>+VLOOKUP(PROVEEDORES[[#This Row],[ID RETENCION]],Retenciones!$A$1:$O$25,2,FALSE)</f>
        <v>0</v>
      </c>
      <c r="Z267" s="126" t="b">
        <f>+OR(COUNTIF(PROVEEDORES[[#This Row],[PROVEEDOR]],"*"&amp;'Palabra que no opera y Listas d'!$A$2&amp;"*"))</f>
        <v>0</v>
      </c>
    </row>
    <row r="268" spans="1:26" ht="27.75" customHeight="1" x14ac:dyDescent="0.25">
      <c r="A268" s="141" t="str">
        <f>+IF(PROVEEDORES[[#This Row],[FECHA DE PAGO]]=PROVEEDORES[[#This Row],[FECHA DE FACTURACIÓN]],"DE CONTADO","CRÉDITO")</f>
        <v>CRÉDITO</v>
      </c>
      <c r="B268" s="138" t="b">
        <f>+IF((PROVEEDORES[[#This Row],[FECHA DE PAGO]]-PROVEEDORES[[#This Row],[FECHA DE FACTURACIÓN]])&gt;PROVEEDORES[[#This Row],[PLAZO Días]],"PAGO VENCIDO")</f>
        <v>0</v>
      </c>
      <c r="C268" s="138">
        <f>+VLOOKUP(PROVEEDORES[[#This Row],[PROVEEDOR]],TERCEROS_INFO[#All],2,FALSE)</f>
        <v>60</v>
      </c>
      <c r="D268" s="139">
        <f>+SUMIFS(PROVEEDORES[Total],PROVEEDORES[PROVEEDOR],PROVEEDORES[[#This Row],[PROVEEDOR]],PROVEEDORES[FECHA DE PAGO],"")</f>
        <v>1730482</v>
      </c>
      <c r="E268" s="140"/>
      <c r="F268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68" s="127">
        <v>45051</v>
      </c>
      <c r="H268" s="123" t="s">
        <v>222</v>
      </c>
      <c r="I268" s="127">
        <v>45022</v>
      </c>
      <c r="J268" s="124">
        <v>1650</v>
      </c>
      <c r="K268" s="124" t="s">
        <v>1530</v>
      </c>
      <c r="L268" s="124"/>
      <c r="M268" s="125">
        <v>338400</v>
      </c>
      <c r="N268" s="148">
        <v>0</v>
      </c>
      <c r="O268" s="148">
        <v>0</v>
      </c>
      <c r="P268" s="149">
        <v>0</v>
      </c>
      <c r="Q268" s="148">
        <v>0</v>
      </c>
      <c r="R268" s="150">
        <v>338400</v>
      </c>
      <c r="S2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8" s="135">
        <f ca="1">+IF(PROVEEDORES[[#This Row],[FECHA DE PAGO]]=0,TODAY()-PROVEEDORES[[#This Row],[FECHA DE FACTURACIÓN]]-PROVEEDORES[[#This Row],[PLAZO Días]],0)</f>
        <v>0</v>
      </c>
      <c r="U268" s="135">
        <f>+VLOOKUP(PROVEEDORES[[#This Row],[PROVEEDOR]],Terceros!$A:$D,4,FALSE)</f>
        <v>0</v>
      </c>
      <c r="V268" s="135">
        <f>+YEAR(PROVEEDORES[[#This Row],[FECHA DE FACTURACIÓN]])</f>
        <v>2023</v>
      </c>
      <c r="W268" s="135">
        <f>+MATCH(PROVEEDORES[[#This Row],[año facturado]],Retenciones!$1:$1,0)</f>
        <v>6</v>
      </c>
      <c r="X268" s="136">
        <f>+VLOOKUP(PROVEEDORES[[#This Row],[ID RETENCION]],Retenciones!$A$1:$O$25,PROVEEDORES[[#This Row],[indicador de columna]],FALSE)</f>
        <v>0</v>
      </c>
      <c r="Y268" s="137">
        <f>+VLOOKUP(PROVEEDORES[[#This Row],[ID RETENCION]],Retenciones!$A$1:$O$25,2,FALSE)</f>
        <v>0</v>
      </c>
      <c r="Z268" s="126" t="b">
        <f>+OR(COUNTIF(PROVEEDORES[[#This Row],[PROVEEDOR]],"*"&amp;'Palabra que no opera y Listas d'!$A$2&amp;"*"))</f>
        <v>0</v>
      </c>
    </row>
    <row r="269" spans="1:26" ht="27.75" customHeight="1" x14ac:dyDescent="0.25">
      <c r="A269" s="141" t="str">
        <f>+IF(PROVEEDORES[[#This Row],[FECHA DE PAGO]]=PROVEEDORES[[#This Row],[FECHA DE FACTURACIÓN]],"DE CONTADO","CRÉDITO")</f>
        <v>CRÉDITO</v>
      </c>
      <c r="B269" s="138" t="b">
        <f>+IF((PROVEEDORES[[#This Row],[FECHA DE PAGO]]-PROVEEDORES[[#This Row],[FECHA DE FACTURACIÓN]])&gt;PROVEEDORES[[#This Row],[PLAZO Días]],"PAGO VENCIDO")</f>
        <v>0</v>
      </c>
      <c r="C269" s="138">
        <f>+VLOOKUP(PROVEEDORES[[#This Row],[PROVEEDOR]],TERCEROS_INFO[#All],2,FALSE)</f>
        <v>60</v>
      </c>
      <c r="D269" s="139">
        <f>+SUMIFS(PROVEEDORES[Total],PROVEEDORES[PROVEEDOR],PROVEEDORES[[#This Row],[PROVEEDOR]],PROVEEDORES[FECHA DE PAGO],"")</f>
        <v>1730482</v>
      </c>
      <c r="E269" s="140"/>
      <c r="F269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69" s="127">
        <v>45051</v>
      </c>
      <c r="H269" s="123" t="s">
        <v>222</v>
      </c>
      <c r="I269" s="127">
        <v>45022</v>
      </c>
      <c r="J269" s="124">
        <v>1651</v>
      </c>
      <c r="K269" s="124" t="s">
        <v>1530</v>
      </c>
      <c r="L269" s="124"/>
      <c r="M269" s="125">
        <v>755290</v>
      </c>
      <c r="N269" s="148">
        <v>0</v>
      </c>
      <c r="O269" s="148">
        <v>0</v>
      </c>
      <c r="P269" s="149">
        <v>0</v>
      </c>
      <c r="Q269" s="148">
        <v>0</v>
      </c>
      <c r="R269" s="150">
        <v>755290</v>
      </c>
      <c r="S2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69" s="135">
        <f ca="1">+IF(PROVEEDORES[[#This Row],[FECHA DE PAGO]]=0,TODAY()-PROVEEDORES[[#This Row],[FECHA DE FACTURACIÓN]]-PROVEEDORES[[#This Row],[PLAZO Días]],0)</f>
        <v>0</v>
      </c>
      <c r="U269" s="135">
        <f>+VLOOKUP(PROVEEDORES[[#This Row],[PROVEEDOR]],Terceros!$A:$D,4,FALSE)</f>
        <v>0</v>
      </c>
      <c r="V269" s="135">
        <f>+YEAR(PROVEEDORES[[#This Row],[FECHA DE FACTURACIÓN]])</f>
        <v>2023</v>
      </c>
      <c r="W269" s="135">
        <f>+MATCH(PROVEEDORES[[#This Row],[año facturado]],Retenciones!$1:$1,0)</f>
        <v>6</v>
      </c>
      <c r="X269" s="136">
        <f>+VLOOKUP(PROVEEDORES[[#This Row],[ID RETENCION]],Retenciones!$A$1:$O$25,PROVEEDORES[[#This Row],[indicador de columna]],FALSE)</f>
        <v>0</v>
      </c>
      <c r="Y269" s="137">
        <f>+VLOOKUP(PROVEEDORES[[#This Row],[ID RETENCION]],Retenciones!$A$1:$O$25,2,FALSE)</f>
        <v>0</v>
      </c>
      <c r="Z269" s="126" t="b">
        <f>+OR(COUNTIF(PROVEEDORES[[#This Row],[PROVEEDOR]],"*"&amp;'Palabra que no opera y Listas d'!$A$2&amp;"*"))</f>
        <v>0</v>
      </c>
    </row>
    <row r="270" spans="1:26" ht="27.75" customHeight="1" x14ac:dyDescent="0.25">
      <c r="A270" s="141" t="str">
        <f>+IF(PROVEEDORES[[#This Row],[FECHA DE PAGO]]=PROVEEDORES[[#This Row],[FECHA DE FACTURACIÓN]],"DE CONTADO","CRÉDITO")</f>
        <v>CRÉDITO</v>
      </c>
      <c r="B270" s="138" t="b">
        <f>+IF((PROVEEDORES[[#This Row],[FECHA DE PAGO]]-PROVEEDORES[[#This Row],[FECHA DE FACTURACIÓN]])&gt;PROVEEDORES[[#This Row],[PLAZO Días]],"PAGO VENCIDO")</f>
        <v>0</v>
      </c>
      <c r="C270" s="138">
        <f>+VLOOKUP(PROVEEDORES[[#This Row],[PROVEEDOR]],TERCEROS_INFO[#All],2,FALSE)</f>
        <v>60</v>
      </c>
      <c r="D270" s="139">
        <f>+SUMIFS(PROVEEDORES[Total],PROVEEDORES[PROVEEDOR],PROVEEDORES[[#This Row],[PROVEEDOR]],PROVEEDORES[FECHA DE PAGO],"")</f>
        <v>1730482</v>
      </c>
      <c r="E270" s="140"/>
      <c r="F270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70" s="127">
        <v>45051</v>
      </c>
      <c r="H270" s="123" t="s">
        <v>222</v>
      </c>
      <c r="I270" s="127">
        <v>45037</v>
      </c>
      <c r="J270" s="124">
        <v>1662</v>
      </c>
      <c r="K270" s="124" t="s">
        <v>1530</v>
      </c>
      <c r="L270" s="124"/>
      <c r="M270" s="125">
        <v>188200</v>
      </c>
      <c r="N270" s="148">
        <v>0</v>
      </c>
      <c r="O270" s="148">
        <v>0</v>
      </c>
      <c r="P270" s="149">
        <v>0</v>
      </c>
      <c r="Q270" s="148">
        <v>0</v>
      </c>
      <c r="R270" s="150">
        <v>188200</v>
      </c>
      <c r="S2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0" s="135">
        <f ca="1">+IF(PROVEEDORES[[#This Row],[FECHA DE PAGO]]=0,TODAY()-PROVEEDORES[[#This Row],[FECHA DE FACTURACIÓN]]-PROVEEDORES[[#This Row],[PLAZO Días]],0)</f>
        <v>0</v>
      </c>
      <c r="U270" s="135">
        <f>+VLOOKUP(PROVEEDORES[[#This Row],[PROVEEDOR]],Terceros!$A:$D,4,FALSE)</f>
        <v>0</v>
      </c>
      <c r="V270" s="135">
        <f>+YEAR(PROVEEDORES[[#This Row],[FECHA DE FACTURACIÓN]])</f>
        <v>2023</v>
      </c>
      <c r="W270" s="135">
        <f>+MATCH(PROVEEDORES[[#This Row],[año facturado]],Retenciones!$1:$1,0)</f>
        <v>6</v>
      </c>
      <c r="X270" s="136">
        <f>+VLOOKUP(PROVEEDORES[[#This Row],[ID RETENCION]],Retenciones!$A$1:$O$25,PROVEEDORES[[#This Row],[indicador de columna]],FALSE)</f>
        <v>0</v>
      </c>
      <c r="Y270" s="137">
        <f>+VLOOKUP(PROVEEDORES[[#This Row],[ID RETENCION]],Retenciones!$A$1:$O$25,2,FALSE)</f>
        <v>0</v>
      </c>
      <c r="Z270" s="126" t="b">
        <f>+OR(COUNTIF(PROVEEDORES[[#This Row],[PROVEEDOR]],"*"&amp;'Palabra que no opera y Listas d'!$A$2&amp;"*"))</f>
        <v>0</v>
      </c>
    </row>
    <row r="271" spans="1:26" ht="27.75" customHeight="1" x14ac:dyDescent="0.25">
      <c r="A271" s="141" t="str">
        <f>+IF(PROVEEDORES[[#This Row],[FECHA DE PAGO]]=PROVEEDORES[[#This Row],[FECHA DE FACTURACIÓN]],"DE CONTADO","CRÉDITO")</f>
        <v>CRÉDITO</v>
      </c>
      <c r="B271" s="138" t="b">
        <f>+IF((PROVEEDORES[[#This Row],[FECHA DE PAGO]]-PROVEEDORES[[#This Row],[FECHA DE FACTURACIÓN]])&gt;PROVEEDORES[[#This Row],[PLAZO Días]],"PAGO VENCIDO")</f>
        <v>0</v>
      </c>
      <c r="C271" s="138">
        <f>+VLOOKUP(PROVEEDORES[[#This Row],[PROVEEDOR]],TERCEROS_INFO[#All],2,FALSE)</f>
        <v>60</v>
      </c>
      <c r="D271" s="139">
        <f>+SUMIFS(PROVEEDORES[Total],PROVEEDORES[PROVEEDOR],PROVEEDORES[[#This Row],[PROVEEDOR]],PROVEEDORES[FECHA DE PAGO],"")</f>
        <v>1730482</v>
      </c>
      <c r="E271" s="140"/>
      <c r="F271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71" s="127">
        <v>45051</v>
      </c>
      <c r="H271" s="123" t="s">
        <v>222</v>
      </c>
      <c r="I271" s="127">
        <v>45037</v>
      </c>
      <c r="J271" s="124">
        <v>1663</v>
      </c>
      <c r="K271" s="124" t="s">
        <v>1530</v>
      </c>
      <c r="L271" s="124"/>
      <c r="M271" s="125">
        <v>188200</v>
      </c>
      <c r="N271" s="148">
        <v>0</v>
      </c>
      <c r="O271" s="148">
        <v>0</v>
      </c>
      <c r="P271" s="149">
        <v>0</v>
      </c>
      <c r="Q271" s="148">
        <v>0</v>
      </c>
      <c r="R271" s="150">
        <v>188200</v>
      </c>
      <c r="S2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1" s="135">
        <f ca="1">+IF(PROVEEDORES[[#This Row],[FECHA DE PAGO]]=0,TODAY()-PROVEEDORES[[#This Row],[FECHA DE FACTURACIÓN]]-PROVEEDORES[[#This Row],[PLAZO Días]],0)</f>
        <v>0</v>
      </c>
      <c r="U271" s="135">
        <f>+VLOOKUP(PROVEEDORES[[#This Row],[PROVEEDOR]],Terceros!$A:$D,4,FALSE)</f>
        <v>0</v>
      </c>
      <c r="V271" s="135">
        <f>+YEAR(PROVEEDORES[[#This Row],[FECHA DE FACTURACIÓN]])</f>
        <v>2023</v>
      </c>
      <c r="W271" s="135">
        <f>+MATCH(PROVEEDORES[[#This Row],[año facturado]],Retenciones!$1:$1,0)</f>
        <v>6</v>
      </c>
      <c r="X271" s="136">
        <f>+VLOOKUP(PROVEEDORES[[#This Row],[ID RETENCION]],Retenciones!$A$1:$O$25,PROVEEDORES[[#This Row],[indicador de columna]],FALSE)</f>
        <v>0</v>
      </c>
      <c r="Y271" s="137">
        <f>+VLOOKUP(PROVEEDORES[[#This Row],[ID RETENCION]],Retenciones!$A$1:$O$25,2,FALSE)</f>
        <v>0</v>
      </c>
      <c r="Z271" s="126" t="b">
        <f>+OR(COUNTIF(PROVEEDORES[[#This Row],[PROVEEDOR]],"*"&amp;'Palabra que no opera y Listas d'!$A$2&amp;"*"))</f>
        <v>0</v>
      </c>
    </row>
    <row r="272" spans="1:26" ht="27.75" customHeight="1" x14ac:dyDescent="0.25">
      <c r="A272" s="141" t="str">
        <f>+IF(PROVEEDORES[[#This Row],[FECHA DE PAGO]]=PROVEEDORES[[#This Row],[FECHA DE FACTURACIÓN]],"DE CONTADO","CRÉDITO")</f>
        <v>CRÉDITO</v>
      </c>
      <c r="B272" s="138" t="b">
        <f>+IF((PROVEEDORES[[#This Row],[FECHA DE PAGO]]-PROVEEDORES[[#This Row],[FECHA DE FACTURACIÓN]])&gt;PROVEEDORES[[#This Row],[PLAZO Días]],"PAGO VENCIDO")</f>
        <v>0</v>
      </c>
      <c r="C272" s="138">
        <f>+VLOOKUP(PROVEEDORES[[#This Row],[PROVEEDOR]],TERCEROS_INFO[#All],2,FALSE)</f>
        <v>45</v>
      </c>
      <c r="D272" s="139">
        <f>+SUMIFS(PROVEEDORES[Total],PROVEEDORES[PROVEEDOR],PROVEEDORES[[#This Row],[PROVEEDOR]],PROVEEDORES[FECHA DE PAGO],"")</f>
        <v>0</v>
      </c>
      <c r="E272" s="140"/>
      <c r="F272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72" s="127">
        <v>45051</v>
      </c>
      <c r="H272" s="123" t="s">
        <v>224</v>
      </c>
      <c r="I272" s="127">
        <v>45044</v>
      </c>
      <c r="J272" s="124">
        <v>1666</v>
      </c>
      <c r="K272" s="124" t="s">
        <v>1530</v>
      </c>
      <c r="L272" s="124"/>
      <c r="M272" s="125">
        <v>3125500</v>
      </c>
      <c r="N272" s="148">
        <v>0</v>
      </c>
      <c r="O272" s="148">
        <v>0</v>
      </c>
      <c r="P272" s="149">
        <v>0</v>
      </c>
      <c r="Q272" s="148">
        <v>0</v>
      </c>
      <c r="R272" s="150">
        <v>3125500</v>
      </c>
      <c r="S2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2" s="135">
        <f ca="1">+IF(PROVEEDORES[[#This Row],[FECHA DE PAGO]]=0,TODAY()-PROVEEDORES[[#This Row],[FECHA DE FACTURACIÓN]]-PROVEEDORES[[#This Row],[PLAZO Días]],0)</f>
        <v>0</v>
      </c>
      <c r="U272" s="135">
        <f>+VLOOKUP(PROVEEDORES[[#This Row],[PROVEEDOR]],Terceros!$A:$D,4,FALSE)</f>
        <v>0</v>
      </c>
      <c r="V272" s="135">
        <f>+YEAR(PROVEEDORES[[#This Row],[FECHA DE FACTURACIÓN]])</f>
        <v>2023</v>
      </c>
      <c r="W272" s="135">
        <f>+MATCH(PROVEEDORES[[#This Row],[año facturado]],Retenciones!$1:$1,0)</f>
        <v>6</v>
      </c>
      <c r="X272" s="136">
        <f>+VLOOKUP(PROVEEDORES[[#This Row],[ID RETENCION]],Retenciones!$A$1:$O$25,PROVEEDORES[[#This Row],[indicador de columna]],FALSE)</f>
        <v>0</v>
      </c>
      <c r="Y272" s="137">
        <f>+VLOOKUP(PROVEEDORES[[#This Row],[ID RETENCION]],Retenciones!$A$1:$O$25,2,FALSE)</f>
        <v>0</v>
      </c>
      <c r="Z272" s="126" t="b">
        <f>+OR(COUNTIF(PROVEEDORES[[#This Row],[PROVEEDOR]],"*"&amp;'Palabra que no opera y Listas d'!$A$2&amp;"*"))</f>
        <v>0</v>
      </c>
    </row>
    <row r="273" spans="1:26" ht="27.75" customHeight="1" x14ac:dyDescent="0.25">
      <c r="A273" s="141" t="str">
        <f>+IF(PROVEEDORES[[#This Row],[FECHA DE PAGO]]=PROVEEDORES[[#This Row],[FECHA DE FACTURACIÓN]],"DE CONTADO","CRÉDITO")</f>
        <v>CRÉDITO</v>
      </c>
      <c r="B273" s="138" t="b">
        <f>+IF((PROVEEDORES[[#This Row],[FECHA DE PAGO]]-PROVEEDORES[[#This Row],[FECHA DE FACTURACIÓN]])&gt;PROVEEDORES[[#This Row],[PLAZO Días]],"PAGO VENCIDO")</f>
        <v>0</v>
      </c>
      <c r="C273" s="138">
        <f>+VLOOKUP(PROVEEDORES[[#This Row],[PROVEEDOR]],TERCEROS_INFO[#All],2,FALSE)</f>
        <v>45</v>
      </c>
      <c r="D273" s="139">
        <f>+SUMIFS(PROVEEDORES[Total],PROVEEDORES[PROVEEDOR],PROVEEDORES[[#This Row],[PROVEEDOR]],PROVEEDORES[FECHA DE PAGO],"")</f>
        <v>0</v>
      </c>
      <c r="E273" s="140"/>
      <c r="F273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273" s="127">
        <v>45051</v>
      </c>
      <c r="H273" s="123" t="s">
        <v>224</v>
      </c>
      <c r="I273" s="127">
        <v>45046</v>
      </c>
      <c r="J273" s="124">
        <v>1668</v>
      </c>
      <c r="K273" s="124" t="s">
        <v>1530</v>
      </c>
      <c r="L273" s="124"/>
      <c r="M273" s="125">
        <v>1880000</v>
      </c>
      <c r="N273" s="148">
        <v>0</v>
      </c>
      <c r="O273" s="148">
        <v>0</v>
      </c>
      <c r="P273" s="149">
        <v>0</v>
      </c>
      <c r="Q273" s="148">
        <v>0</v>
      </c>
      <c r="R273" s="150">
        <v>1880000</v>
      </c>
      <c r="S2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3" s="135">
        <f ca="1">+IF(PROVEEDORES[[#This Row],[FECHA DE PAGO]]=0,TODAY()-PROVEEDORES[[#This Row],[FECHA DE FACTURACIÓN]]-PROVEEDORES[[#This Row],[PLAZO Días]],0)</f>
        <v>0</v>
      </c>
      <c r="U273" s="135">
        <f>+VLOOKUP(PROVEEDORES[[#This Row],[PROVEEDOR]],Terceros!$A:$D,4,FALSE)</f>
        <v>0</v>
      </c>
      <c r="V273" s="135">
        <f>+YEAR(PROVEEDORES[[#This Row],[FECHA DE FACTURACIÓN]])</f>
        <v>2023</v>
      </c>
      <c r="W273" s="135">
        <f>+MATCH(PROVEEDORES[[#This Row],[año facturado]],Retenciones!$1:$1,0)</f>
        <v>6</v>
      </c>
      <c r="X273" s="136">
        <f>+VLOOKUP(PROVEEDORES[[#This Row],[ID RETENCION]],Retenciones!$A$1:$O$25,PROVEEDORES[[#This Row],[indicador de columna]],FALSE)</f>
        <v>0</v>
      </c>
      <c r="Y273" s="137">
        <f>+VLOOKUP(PROVEEDORES[[#This Row],[ID RETENCION]],Retenciones!$A$1:$O$25,2,FALSE)</f>
        <v>0</v>
      </c>
      <c r="Z273" s="126" t="b">
        <f>+OR(COUNTIF(PROVEEDORES[[#This Row],[PROVEEDOR]],"*"&amp;'Palabra que no opera y Listas d'!$A$2&amp;"*"))</f>
        <v>0</v>
      </c>
    </row>
    <row r="274" spans="1:26" ht="27.75" customHeight="1" x14ac:dyDescent="0.25">
      <c r="A274" s="141" t="str">
        <f>+IF(PROVEEDORES[[#This Row],[FECHA DE PAGO]]=PROVEEDORES[[#This Row],[FECHA DE FACTURACIÓN]],"DE CONTADO","CRÉDITO")</f>
        <v>CRÉDITO</v>
      </c>
      <c r="B274" s="138" t="b">
        <f>+IF((PROVEEDORES[[#This Row],[FECHA DE PAGO]]-PROVEEDORES[[#This Row],[FECHA DE FACTURACIÓN]])&gt;PROVEEDORES[[#This Row],[PLAZO Días]],"PAGO VENCIDO")</f>
        <v>0</v>
      </c>
      <c r="C274" s="138">
        <f>+VLOOKUP(PROVEEDORES[[#This Row],[PROVEEDOR]],TERCEROS_INFO[#All],2,FALSE)</f>
        <v>30</v>
      </c>
      <c r="D274" s="139">
        <f>+SUMIFS(PROVEEDORES[Total],PROVEEDORES[PROVEEDOR],PROVEEDORES[[#This Row],[PROVEEDOR]],PROVEEDORES[FECHA DE PAGO],"")</f>
        <v>0</v>
      </c>
      <c r="E274" s="140"/>
      <c r="F274" s="138" t="str">
        <f>+VLOOKUP(PROVEEDORES[[#This Row],[PROVEEDOR]],
                       Terceros!$A:$F,
                       5,
                       FALSE)</f>
        <v>Facturas@kinnesis.com;girlesa.ruiz@servipilas.com;joriescobar64@gmail.com</v>
      </c>
      <c r="G274" s="127">
        <v>45052</v>
      </c>
      <c r="H274" s="123" t="s">
        <v>760</v>
      </c>
      <c r="I274" s="127">
        <v>45044</v>
      </c>
      <c r="J274" s="124" t="s">
        <v>761</v>
      </c>
      <c r="K274" s="124" t="s">
        <v>1530</v>
      </c>
      <c r="L274" s="124"/>
      <c r="M274" s="125">
        <v>800000</v>
      </c>
      <c r="N274" s="148">
        <v>152000</v>
      </c>
      <c r="O274" s="148">
        <v>0</v>
      </c>
      <c r="P274" s="149">
        <v>0</v>
      </c>
      <c r="Q274" s="148">
        <v>0</v>
      </c>
      <c r="R274" s="150">
        <v>952000</v>
      </c>
      <c r="S2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4" s="135">
        <f ca="1">+IF(PROVEEDORES[[#This Row],[FECHA DE PAGO]]=0,TODAY()-PROVEEDORES[[#This Row],[FECHA DE FACTURACIÓN]]-PROVEEDORES[[#This Row],[PLAZO Días]],0)</f>
        <v>0</v>
      </c>
      <c r="U274" s="135" t="str">
        <f>+VLOOKUP(PROVEEDORES[[#This Row],[PROVEEDOR]],Terceros!$A:$D,4,FALSE)</f>
        <v>2,5% con base</v>
      </c>
      <c r="V274" s="135">
        <f>+YEAR(PROVEEDORES[[#This Row],[FECHA DE FACTURACIÓN]])</f>
        <v>2023</v>
      </c>
      <c r="W274" s="135">
        <f>+MATCH(PROVEEDORES[[#This Row],[año facturado]],Retenciones!$1:$1,0)</f>
        <v>6</v>
      </c>
      <c r="X274" s="136">
        <f>+VLOOKUP(PROVEEDORES[[#This Row],[ID RETENCION]],Retenciones!$A$1:$O$25,PROVEEDORES[[#This Row],[indicador de columna]],FALSE)</f>
        <v>1145000</v>
      </c>
      <c r="Y274" s="137">
        <f>+VLOOKUP(PROVEEDORES[[#This Row],[ID RETENCION]],Retenciones!$A$1:$O$25,2,FALSE)</f>
        <v>2.5000000000000001E-2</v>
      </c>
      <c r="Z274" s="126" t="b">
        <f>+OR(COUNTIF(PROVEEDORES[[#This Row],[PROVEEDOR]],"*"&amp;'Palabra que no opera y Listas d'!$A$2&amp;"*"))</f>
        <v>0</v>
      </c>
    </row>
    <row r="275" spans="1:26" ht="27.75" customHeight="1" x14ac:dyDescent="0.25">
      <c r="A275" s="141" t="str">
        <f>+IF(PROVEEDORES[[#This Row],[FECHA DE PAGO]]=PROVEEDORES[[#This Row],[FECHA DE FACTURACIÓN]],"DE CONTADO","CRÉDITO")</f>
        <v>CRÉDITO</v>
      </c>
      <c r="B275" s="138" t="str">
        <f>+IF((PROVEEDORES[[#This Row],[FECHA DE PAGO]]-PROVEEDORES[[#This Row],[FECHA DE FACTURACIÓN]])&gt;PROVEEDORES[[#This Row],[PLAZO Días]],"PAGO VENCIDO")</f>
        <v>PAGO VENCIDO</v>
      </c>
      <c r="C275" s="138">
        <f>+VLOOKUP(PROVEEDORES[[#This Row],[PROVEEDOR]],TERCEROS_INFO[#All],2,FALSE)</f>
        <v>30</v>
      </c>
      <c r="D275" s="139">
        <f>+SUMIFS(PROVEEDORES[Total],PROVEEDORES[PROVEEDOR],PROVEEDORES[[#This Row],[PROVEEDOR]],PROVEEDORES[FECHA DE PAGO],"")</f>
        <v>9349257.8100000005</v>
      </c>
      <c r="E275" s="140"/>
      <c r="F275" s="13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275" s="127">
        <v>45054</v>
      </c>
      <c r="H275" s="123" t="s">
        <v>226</v>
      </c>
      <c r="I275" s="127">
        <v>44992</v>
      </c>
      <c r="J275" s="124" t="s">
        <v>616</v>
      </c>
      <c r="K275" s="124" t="s">
        <v>1530</v>
      </c>
      <c r="L275" s="124"/>
      <c r="M275" s="125">
        <v>2463004</v>
      </c>
      <c r="N275" s="148">
        <v>467970.76</v>
      </c>
      <c r="O275" s="148">
        <v>0</v>
      </c>
      <c r="P275" s="149">
        <v>2.5000000000000001E-2</v>
      </c>
      <c r="Q275" s="148">
        <v>61575.100000000006</v>
      </c>
      <c r="R275" s="150">
        <v>2869399.6599999997</v>
      </c>
      <c r="S2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5" s="135">
        <f ca="1">+IF(PROVEEDORES[[#This Row],[FECHA DE PAGO]]=0,TODAY()-PROVEEDORES[[#This Row],[FECHA DE FACTURACIÓN]]-PROVEEDORES[[#This Row],[PLAZO Días]],0)</f>
        <v>0</v>
      </c>
      <c r="U275" s="135" t="str">
        <f>+VLOOKUP(PROVEEDORES[[#This Row],[PROVEEDOR]],Terceros!$A:$D,4,FALSE)</f>
        <v>2,5% con base</v>
      </c>
      <c r="V275" s="135">
        <f>+YEAR(PROVEEDORES[[#This Row],[FECHA DE FACTURACIÓN]])</f>
        <v>2023</v>
      </c>
      <c r="W275" s="135">
        <f>+MATCH(PROVEEDORES[[#This Row],[año facturado]],Retenciones!$1:$1,0)</f>
        <v>6</v>
      </c>
      <c r="X275" s="136">
        <f>+VLOOKUP(PROVEEDORES[[#This Row],[ID RETENCION]],Retenciones!$A$1:$O$25,PROVEEDORES[[#This Row],[indicador de columna]],FALSE)</f>
        <v>1145000</v>
      </c>
      <c r="Y275" s="137">
        <f>+VLOOKUP(PROVEEDORES[[#This Row],[ID RETENCION]],Retenciones!$A$1:$O$25,2,FALSE)</f>
        <v>2.5000000000000001E-2</v>
      </c>
      <c r="Z275" s="126" t="b">
        <f>+OR(COUNTIF(PROVEEDORES[[#This Row],[PROVEEDOR]],"*"&amp;'Palabra que no opera y Listas d'!$A$2&amp;"*"))</f>
        <v>0</v>
      </c>
    </row>
    <row r="276" spans="1:26" ht="27.75" customHeight="1" x14ac:dyDescent="0.25">
      <c r="A276" s="141" t="str">
        <f>+IF(PROVEEDORES[[#This Row],[FECHA DE PAGO]]=PROVEEDORES[[#This Row],[FECHA DE FACTURACIÓN]],"DE CONTADO","CRÉDITO")</f>
        <v>CRÉDITO</v>
      </c>
      <c r="B276" s="138" t="str">
        <f>+IF((PROVEEDORES[[#This Row],[FECHA DE PAGO]]-PROVEEDORES[[#This Row],[FECHA DE FACTURACIÓN]])&gt;PROVEEDORES[[#This Row],[PLAZO Días]],"PAGO VENCIDO")</f>
        <v>PAGO VENCIDO</v>
      </c>
      <c r="C276" s="138">
        <f>+VLOOKUP(PROVEEDORES[[#This Row],[PROVEEDOR]],TERCEROS_INFO[#All],2,FALSE)</f>
        <v>30</v>
      </c>
      <c r="D276" s="139">
        <f>+SUMIFS(PROVEEDORES[Total],PROVEEDORES[PROVEEDOR],PROVEEDORES[[#This Row],[PROVEEDOR]],PROVEEDORES[FECHA DE PAGO],"")</f>
        <v>818443.92</v>
      </c>
      <c r="E276" s="140"/>
      <c r="F276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76" s="127">
        <v>45054</v>
      </c>
      <c r="H276" s="123" t="s">
        <v>20</v>
      </c>
      <c r="I276" s="127">
        <v>45006</v>
      </c>
      <c r="J276" s="124" t="s">
        <v>653</v>
      </c>
      <c r="K276" s="124" t="s">
        <v>1530</v>
      </c>
      <c r="L276" s="124"/>
      <c r="M276" s="125">
        <v>1745300</v>
      </c>
      <c r="N276" s="148">
        <v>331607</v>
      </c>
      <c r="O276" s="148">
        <v>0</v>
      </c>
      <c r="P276" s="149">
        <v>2.5000000000000001E-2</v>
      </c>
      <c r="Q276" s="148">
        <v>43632.5</v>
      </c>
      <c r="R276" s="150">
        <v>2033274.5</v>
      </c>
      <c r="S2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6" s="135">
        <f ca="1">+IF(PROVEEDORES[[#This Row],[FECHA DE PAGO]]=0,TODAY()-PROVEEDORES[[#This Row],[FECHA DE FACTURACIÓN]]-PROVEEDORES[[#This Row],[PLAZO Días]],0)</f>
        <v>0</v>
      </c>
      <c r="U276" s="135" t="str">
        <f>+VLOOKUP(PROVEEDORES[[#This Row],[PROVEEDOR]],Terceros!$A:$D,4,FALSE)</f>
        <v>2,5% con base</v>
      </c>
      <c r="V276" s="135">
        <f>+YEAR(PROVEEDORES[[#This Row],[FECHA DE FACTURACIÓN]])</f>
        <v>2023</v>
      </c>
      <c r="W276" s="135">
        <f>+MATCH(PROVEEDORES[[#This Row],[año facturado]],Retenciones!$1:$1,0)</f>
        <v>6</v>
      </c>
      <c r="X276" s="136">
        <f>+VLOOKUP(PROVEEDORES[[#This Row],[ID RETENCION]],Retenciones!$A$1:$O$25,PROVEEDORES[[#This Row],[indicador de columna]],FALSE)</f>
        <v>1145000</v>
      </c>
      <c r="Y276" s="137">
        <f>+VLOOKUP(PROVEEDORES[[#This Row],[ID RETENCION]],Retenciones!$A$1:$O$25,2,FALSE)</f>
        <v>2.5000000000000001E-2</v>
      </c>
      <c r="Z276" s="126" t="b">
        <f>+OR(COUNTIF(PROVEEDORES[[#This Row],[PROVEEDOR]],"*"&amp;'Palabra que no opera y Listas d'!$A$2&amp;"*"))</f>
        <v>0</v>
      </c>
    </row>
    <row r="277" spans="1:26" ht="27.75" customHeight="1" x14ac:dyDescent="0.25">
      <c r="A277" s="141" t="str">
        <f>+IF(PROVEEDORES[[#This Row],[FECHA DE PAGO]]=PROVEEDORES[[#This Row],[FECHA DE FACTURACIÓN]],"DE CONTADO","CRÉDITO")</f>
        <v>CRÉDITO</v>
      </c>
      <c r="B277" s="138" t="str">
        <f>+IF((PROVEEDORES[[#This Row],[FECHA DE PAGO]]-PROVEEDORES[[#This Row],[FECHA DE FACTURACIÓN]])&gt;PROVEEDORES[[#This Row],[PLAZO Días]],"PAGO VENCIDO")</f>
        <v>PAGO VENCIDO</v>
      </c>
      <c r="C277" s="138">
        <f>+VLOOKUP(PROVEEDORES[[#This Row],[PROVEEDOR]],TERCEROS_INFO[#All],2,FALSE)</f>
        <v>30</v>
      </c>
      <c r="D277" s="139">
        <f>+SUMIFS(PROVEEDORES[Total],PROVEEDORES[PROVEEDOR],PROVEEDORES[[#This Row],[PROVEEDOR]],PROVEEDORES[FECHA DE PAGO],"")</f>
        <v>4466504.835</v>
      </c>
      <c r="E277" s="140"/>
      <c r="F277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277" s="127">
        <v>45054</v>
      </c>
      <c r="H277" s="123" t="s">
        <v>18</v>
      </c>
      <c r="I277" s="127">
        <v>45006</v>
      </c>
      <c r="J277" s="124">
        <v>1067479</v>
      </c>
      <c r="K277" s="124" t="s">
        <v>1530</v>
      </c>
      <c r="L277" s="124"/>
      <c r="M277" s="125">
        <v>3044342</v>
      </c>
      <c r="N277" s="148">
        <v>578424.98</v>
      </c>
      <c r="O277" s="148">
        <v>0</v>
      </c>
      <c r="P277" s="149">
        <v>2.5000000000000001E-2</v>
      </c>
      <c r="Q277" s="148">
        <v>76108.55</v>
      </c>
      <c r="R277" s="150">
        <v>3546658.43</v>
      </c>
      <c r="S2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7" s="135">
        <f ca="1">+IF(PROVEEDORES[[#This Row],[FECHA DE PAGO]]=0,TODAY()-PROVEEDORES[[#This Row],[FECHA DE FACTURACIÓN]]-PROVEEDORES[[#This Row],[PLAZO Días]],0)</f>
        <v>0</v>
      </c>
      <c r="U277" s="135" t="str">
        <f>+VLOOKUP(PROVEEDORES[[#This Row],[PROVEEDOR]],Terceros!$A:$D,4,FALSE)</f>
        <v>2,5% con base</v>
      </c>
      <c r="V277" s="135">
        <f>+YEAR(PROVEEDORES[[#This Row],[FECHA DE FACTURACIÓN]])</f>
        <v>2023</v>
      </c>
      <c r="W277" s="135">
        <f>+MATCH(PROVEEDORES[[#This Row],[año facturado]],Retenciones!$1:$1,0)</f>
        <v>6</v>
      </c>
      <c r="X277" s="136">
        <f>+VLOOKUP(PROVEEDORES[[#This Row],[ID RETENCION]],Retenciones!$A$1:$O$25,PROVEEDORES[[#This Row],[indicador de columna]],FALSE)</f>
        <v>1145000</v>
      </c>
      <c r="Y277" s="137">
        <f>+VLOOKUP(PROVEEDORES[[#This Row],[ID RETENCION]],Retenciones!$A$1:$O$25,2,FALSE)</f>
        <v>2.5000000000000001E-2</v>
      </c>
      <c r="Z277" s="126" t="b">
        <f>+OR(COUNTIF(PROVEEDORES[[#This Row],[PROVEEDOR]],"*"&amp;'Palabra que no opera y Listas d'!$A$2&amp;"*"))</f>
        <v>0</v>
      </c>
    </row>
    <row r="278" spans="1:26" ht="27.75" customHeight="1" x14ac:dyDescent="0.25">
      <c r="A278" s="141" t="str">
        <f>+IF(PROVEEDORES[[#This Row],[FECHA DE PAGO]]=PROVEEDORES[[#This Row],[FECHA DE FACTURACIÓN]],"DE CONTADO","CRÉDITO")</f>
        <v>CRÉDITO</v>
      </c>
      <c r="B278" s="138" t="str">
        <f>+IF((PROVEEDORES[[#This Row],[FECHA DE PAGO]]-PROVEEDORES[[#This Row],[FECHA DE FACTURACIÓN]])&gt;PROVEEDORES[[#This Row],[PLAZO Días]],"PAGO VENCIDO")</f>
        <v>PAGO VENCIDO</v>
      </c>
      <c r="C278" s="138">
        <f>+VLOOKUP(PROVEEDORES[[#This Row],[PROVEEDOR]],TERCEROS_INFO[#All],2,FALSE)</f>
        <v>30</v>
      </c>
      <c r="D278" s="139">
        <f>+SUMIFS(PROVEEDORES[Total],PROVEEDORES[PROVEEDOR],PROVEEDORES[[#This Row],[PROVEEDOR]],PROVEEDORES[FECHA DE PAGO],"")</f>
        <v>9349257.8100000005</v>
      </c>
      <c r="E278" s="140"/>
      <c r="F278" s="13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278" s="127">
        <v>45054</v>
      </c>
      <c r="H278" s="123" t="s">
        <v>226</v>
      </c>
      <c r="I278" s="127">
        <v>45006</v>
      </c>
      <c r="J278" s="124" t="s">
        <v>699</v>
      </c>
      <c r="K278" s="124" t="s">
        <v>1530</v>
      </c>
      <c r="L278" s="124"/>
      <c r="M278" s="125">
        <v>659490</v>
      </c>
      <c r="N278" s="148">
        <v>125303.1</v>
      </c>
      <c r="O278" s="148">
        <v>0</v>
      </c>
      <c r="P278" s="149">
        <v>0</v>
      </c>
      <c r="Q278" s="148">
        <v>0</v>
      </c>
      <c r="R278" s="150">
        <v>784793.1</v>
      </c>
      <c r="S2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8" s="135">
        <f ca="1">+IF(PROVEEDORES[[#This Row],[FECHA DE PAGO]]=0,TODAY()-PROVEEDORES[[#This Row],[FECHA DE FACTURACIÓN]]-PROVEEDORES[[#This Row],[PLAZO Días]],0)</f>
        <v>0</v>
      </c>
      <c r="U278" s="135" t="str">
        <f>+VLOOKUP(PROVEEDORES[[#This Row],[PROVEEDOR]],Terceros!$A:$D,4,FALSE)</f>
        <v>2,5% con base</v>
      </c>
      <c r="V278" s="135">
        <f>+YEAR(PROVEEDORES[[#This Row],[FECHA DE FACTURACIÓN]])</f>
        <v>2023</v>
      </c>
      <c r="W278" s="135">
        <f>+MATCH(PROVEEDORES[[#This Row],[año facturado]],Retenciones!$1:$1,0)</f>
        <v>6</v>
      </c>
      <c r="X278" s="136">
        <f>+VLOOKUP(PROVEEDORES[[#This Row],[ID RETENCION]],Retenciones!$A$1:$O$25,PROVEEDORES[[#This Row],[indicador de columna]],FALSE)</f>
        <v>1145000</v>
      </c>
      <c r="Y278" s="137">
        <f>+VLOOKUP(PROVEEDORES[[#This Row],[ID RETENCION]],Retenciones!$A$1:$O$25,2,FALSE)</f>
        <v>2.5000000000000001E-2</v>
      </c>
      <c r="Z278" s="126" t="b">
        <f>+OR(COUNTIF(PROVEEDORES[[#This Row],[PROVEEDOR]],"*"&amp;'Palabra que no opera y Listas d'!$A$2&amp;"*"))</f>
        <v>0</v>
      </c>
    </row>
    <row r="279" spans="1:26" ht="27.75" customHeight="1" x14ac:dyDescent="0.25">
      <c r="A279" s="141" t="str">
        <f>+IF(PROVEEDORES[[#This Row],[FECHA DE PAGO]]=PROVEEDORES[[#This Row],[FECHA DE FACTURACIÓN]],"DE CONTADO","CRÉDITO")</f>
        <v>CRÉDITO</v>
      </c>
      <c r="B279" s="138" t="str">
        <f>+IF((PROVEEDORES[[#This Row],[FECHA DE PAGO]]-PROVEEDORES[[#This Row],[FECHA DE FACTURACIÓN]])&gt;PROVEEDORES[[#This Row],[PLAZO Días]],"PAGO VENCIDO")</f>
        <v>PAGO VENCIDO</v>
      </c>
      <c r="C279" s="138">
        <f>+VLOOKUP(PROVEEDORES[[#This Row],[PROVEEDOR]],TERCEROS_INFO[#All],2,FALSE)</f>
        <v>30</v>
      </c>
      <c r="D279" s="139">
        <f>+SUMIFS(PROVEEDORES[Total],PROVEEDORES[PROVEEDOR],PROVEEDORES[[#This Row],[PROVEEDOR]],PROVEEDORES[FECHA DE PAGO],"")</f>
        <v>3152439.05</v>
      </c>
      <c r="E279" s="140"/>
      <c r="F279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79" s="127">
        <v>45054</v>
      </c>
      <c r="H279" s="123" t="s">
        <v>220</v>
      </c>
      <c r="I279" s="127">
        <v>45007</v>
      </c>
      <c r="J279" s="124" t="s">
        <v>1403</v>
      </c>
      <c r="K279" s="124" t="s">
        <v>1530</v>
      </c>
      <c r="L279" s="124"/>
      <c r="M279" s="125">
        <v>-240000</v>
      </c>
      <c r="N279" s="148">
        <v>-45600</v>
      </c>
      <c r="O279" s="148">
        <v>0</v>
      </c>
      <c r="P279" s="149">
        <v>0</v>
      </c>
      <c r="Q279" s="148">
        <v>0</v>
      </c>
      <c r="R279" s="150">
        <v>-285600</v>
      </c>
      <c r="S2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79" s="135">
        <f ca="1">+IF(PROVEEDORES[[#This Row],[FECHA DE PAGO]]=0,TODAY()-PROVEEDORES[[#This Row],[FECHA DE FACTURACIÓN]]-PROVEEDORES[[#This Row],[PLAZO Días]],0)</f>
        <v>0</v>
      </c>
      <c r="U279" s="135">
        <f>+VLOOKUP(PROVEEDORES[[#This Row],[PROVEEDOR]],Terceros!$A:$D,4,FALSE)</f>
        <v>0</v>
      </c>
      <c r="V279" s="135">
        <f>+YEAR(PROVEEDORES[[#This Row],[FECHA DE FACTURACIÓN]])</f>
        <v>2023</v>
      </c>
      <c r="W279" s="135">
        <f>+MATCH(PROVEEDORES[[#This Row],[año facturado]],Retenciones!$1:$1,0)</f>
        <v>6</v>
      </c>
      <c r="X279" s="136">
        <f>+VLOOKUP(PROVEEDORES[[#This Row],[ID RETENCION]],Retenciones!$A$1:$O$25,PROVEEDORES[[#This Row],[indicador de columna]],FALSE)</f>
        <v>0</v>
      </c>
      <c r="Y279" s="137">
        <f>+VLOOKUP(PROVEEDORES[[#This Row],[ID RETENCION]],Retenciones!$A$1:$O$25,2,FALSE)</f>
        <v>0</v>
      </c>
      <c r="Z279" s="126" t="b">
        <f>+OR(COUNTIF(PROVEEDORES[[#This Row],[PROVEEDOR]],"*"&amp;'Palabra que no opera y Listas d'!$A$2&amp;"*"))</f>
        <v>0</v>
      </c>
    </row>
    <row r="280" spans="1:26" ht="27.75" customHeight="1" x14ac:dyDescent="0.25">
      <c r="A280" s="141" t="str">
        <f>+IF(PROVEEDORES[[#This Row],[FECHA DE PAGO]]=PROVEEDORES[[#This Row],[FECHA DE FACTURACIÓN]],"DE CONTADO","CRÉDITO")</f>
        <v>CRÉDITO</v>
      </c>
      <c r="B280" s="138" t="str">
        <f>+IF((PROVEEDORES[[#This Row],[FECHA DE PAGO]]-PROVEEDORES[[#This Row],[FECHA DE FACTURACIÓN]])&gt;PROVEEDORES[[#This Row],[PLAZO Días]],"PAGO VENCIDO")</f>
        <v>PAGO VENCIDO</v>
      </c>
      <c r="C280" s="138">
        <f>+VLOOKUP(PROVEEDORES[[#This Row],[PROVEEDOR]],TERCEROS_INFO[#All],2,FALSE)</f>
        <v>30</v>
      </c>
      <c r="D280" s="139">
        <f>+SUMIFS(PROVEEDORES[Total],PROVEEDORES[PROVEEDOR],PROVEEDORES[[#This Row],[PROVEEDOR]],PROVEEDORES[FECHA DE PAGO],"")</f>
        <v>3152439.05</v>
      </c>
      <c r="E280" s="140"/>
      <c r="F280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80" s="127">
        <v>45054</v>
      </c>
      <c r="H280" s="123" t="s">
        <v>220</v>
      </c>
      <c r="I280" s="127">
        <v>45007</v>
      </c>
      <c r="J280" s="124" t="s">
        <v>702</v>
      </c>
      <c r="K280" s="124" t="s">
        <v>1530</v>
      </c>
      <c r="L280" s="124"/>
      <c r="M280" s="125">
        <v>769800</v>
      </c>
      <c r="N280" s="148">
        <v>146262</v>
      </c>
      <c r="O280" s="148">
        <v>0</v>
      </c>
      <c r="P280" s="149">
        <v>0</v>
      </c>
      <c r="Q280" s="148">
        <v>0</v>
      </c>
      <c r="R280" s="150">
        <v>916062</v>
      </c>
      <c r="S2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0" s="135">
        <f ca="1">+IF(PROVEEDORES[[#This Row],[FECHA DE PAGO]]=0,TODAY()-PROVEEDORES[[#This Row],[FECHA DE FACTURACIÓN]]-PROVEEDORES[[#This Row],[PLAZO Días]],0)</f>
        <v>0</v>
      </c>
      <c r="U280" s="135">
        <f>+VLOOKUP(PROVEEDORES[[#This Row],[PROVEEDOR]],Terceros!$A:$D,4,FALSE)</f>
        <v>0</v>
      </c>
      <c r="V280" s="135">
        <f>+YEAR(PROVEEDORES[[#This Row],[FECHA DE FACTURACIÓN]])</f>
        <v>2023</v>
      </c>
      <c r="W280" s="135">
        <f>+MATCH(PROVEEDORES[[#This Row],[año facturado]],Retenciones!$1:$1,0)</f>
        <v>6</v>
      </c>
      <c r="X280" s="136">
        <f>+VLOOKUP(PROVEEDORES[[#This Row],[ID RETENCION]],Retenciones!$A$1:$O$25,PROVEEDORES[[#This Row],[indicador de columna]],FALSE)</f>
        <v>0</v>
      </c>
      <c r="Y280" s="137">
        <f>+VLOOKUP(PROVEEDORES[[#This Row],[ID RETENCION]],Retenciones!$A$1:$O$25,2,FALSE)</f>
        <v>0</v>
      </c>
      <c r="Z280" s="126" t="b">
        <f>+OR(COUNTIF(PROVEEDORES[[#This Row],[PROVEEDOR]],"*"&amp;'Palabra que no opera y Listas d'!$A$2&amp;"*"))</f>
        <v>0</v>
      </c>
    </row>
    <row r="281" spans="1:26" ht="27.75" customHeight="1" x14ac:dyDescent="0.25">
      <c r="A281" s="141" t="str">
        <f>+IF(PROVEEDORES[[#This Row],[FECHA DE PAGO]]=PROVEEDORES[[#This Row],[FECHA DE FACTURACIÓN]],"DE CONTADO","CRÉDITO")</f>
        <v>CRÉDITO</v>
      </c>
      <c r="B281" s="138" t="str">
        <f>+IF((PROVEEDORES[[#This Row],[FECHA DE PAGO]]-PROVEEDORES[[#This Row],[FECHA DE FACTURACIÓN]])&gt;PROVEEDORES[[#This Row],[PLAZO Días]],"PAGO VENCIDO")</f>
        <v>PAGO VENCIDO</v>
      </c>
      <c r="C281" s="138">
        <f>+VLOOKUP(PROVEEDORES[[#This Row],[PROVEEDOR]],TERCEROS_INFO[#All],2,FALSE)</f>
        <v>30</v>
      </c>
      <c r="D281" s="139">
        <f>+SUMIFS(PROVEEDORES[Total],PROVEEDORES[PROVEEDOR],PROVEEDORES[[#This Row],[PROVEEDOR]],PROVEEDORES[FECHA DE PAGO],"")</f>
        <v>3152439.05</v>
      </c>
      <c r="E281" s="140"/>
      <c r="F281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81" s="127">
        <v>45054</v>
      </c>
      <c r="H281" s="123" t="s">
        <v>220</v>
      </c>
      <c r="I281" s="127">
        <v>45012</v>
      </c>
      <c r="J281" s="124" t="s">
        <v>704</v>
      </c>
      <c r="K281" s="124" t="s">
        <v>1530</v>
      </c>
      <c r="L281" s="124"/>
      <c r="M281" s="125">
        <v>1059280</v>
      </c>
      <c r="N281" s="148">
        <v>201263.2</v>
      </c>
      <c r="O281" s="148">
        <v>0</v>
      </c>
      <c r="P281" s="149">
        <v>0</v>
      </c>
      <c r="Q281" s="148">
        <v>0</v>
      </c>
      <c r="R281" s="150">
        <v>1260543.2</v>
      </c>
      <c r="S2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1" s="135">
        <f ca="1">+IF(PROVEEDORES[[#This Row],[FECHA DE PAGO]]=0,TODAY()-PROVEEDORES[[#This Row],[FECHA DE FACTURACIÓN]]-PROVEEDORES[[#This Row],[PLAZO Días]],0)</f>
        <v>0</v>
      </c>
      <c r="U281" s="135">
        <f>+VLOOKUP(PROVEEDORES[[#This Row],[PROVEEDOR]],Terceros!$A:$D,4,FALSE)</f>
        <v>0</v>
      </c>
      <c r="V281" s="135">
        <f>+YEAR(PROVEEDORES[[#This Row],[FECHA DE FACTURACIÓN]])</f>
        <v>2023</v>
      </c>
      <c r="W281" s="135">
        <f>+MATCH(PROVEEDORES[[#This Row],[año facturado]],Retenciones!$1:$1,0)</f>
        <v>6</v>
      </c>
      <c r="X281" s="136">
        <f>+VLOOKUP(PROVEEDORES[[#This Row],[ID RETENCION]],Retenciones!$A$1:$O$25,PROVEEDORES[[#This Row],[indicador de columna]],FALSE)</f>
        <v>0</v>
      </c>
      <c r="Y281" s="137">
        <f>+VLOOKUP(PROVEEDORES[[#This Row],[ID RETENCION]],Retenciones!$A$1:$O$25,2,FALSE)</f>
        <v>0</v>
      </c>
      <c r="Z281" s="126" t="b">
        <f>+OR(COUNTIF(PROVEEDORES[[#This Row],[PROVEEDOR]],"*"&amp;'Palabra que no opera y Listas d'!$A$2&amp;"*"))</f>
        <v>0</v>
      </c>
    </row>
    <row r="282" spans="1:26" ht="27.75" customHeight="1" x14ac:dyDescent="0.25">
      <c r="A282" s="141" t="str">
        <f>+IF(PROVEEDORES[[#This Row],[FECHA DE PAGO]]=PROVEEDORES[[#This Row],[FECHA DE FACTURACIÓN]],"DE CONTADO","CRÉDITO")</f>
        <v>CRÉDITO</v>
      </c>
      <c r="B282" s="138" t="str">
        <f>+IF((PROVEEDORES[[#This Row],[FECHA DE PAGO]]-PROVEEDORES[[#This Row],[FECHA DE FACTURACIÓN]])&gt;PROVEEDORES[[#This Row],[PLAZO Días]],"PAGO VENCIDO")</f>
        <v>PAGO VENCIDO</v>
      </c>
      <c r="C282" s="138">
        <f>+VLOOKUP(PROVEEDORES[[#This Row],[PROVEEDOR]],TERCEROS_INFO[#All],2,FALSE)</f>
        <v>30</v>
      </c>
      <c r="D282" s="139">
        <f>+SUMIFS(PROVEEDORES[Total],PROVEEDORES[PROVEEDOR],PROVEEDORES[[#This Row],[PROVEEDOR]],PROVEEDORES[FECHA DE PAGO],"")</f>
        <v>818443.92</v>
      </c>
      <c r="E282" s="140"/>
      <c r="F282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282" s="127">
        <v>45054</v>
      </c>
      <c r="H282" s="123" t="s">
        <v>20</v>
      </c>
      <c r="I282" s="127">
        <v>45016</v>
      </c>
      <c r="J282" s="124" t="s">
        <v>664</v>
      </c>
      <c r="K282" s="124" t="s">
        <v>1530</v>
      </c>
      <c r="L282" s="124"/>
      <c r="M282" s="125">
        <v>1157730</v>
      </c>
      <c r="N282" s="148">
        <v>219968.7</v>
      </c>
      <c r="O282" s="148">
        <v>0</v>
      </c>
      <c r="P282" s="149">
        <v>2.5000000000000001E-2</v>
      </c>
      <c r="Q282" s="148">
        <v>28943.25</v>
      </c>
      <c r="R282" s="150">
        <v>1348755.45</v>
      </c>
      <c r="S2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2" s="135">
        <f ca="1">+IF(PROVEEDORES[[#This Row],[FECHA DE PAGO]]=0,TODAY()-PROVEEDORES[[#This Row],[FECHA DE FACTURACIÓN]]-PROVEEDORES[[#This Row],[PLAZO Días]],0)</f>
        <v>0</v>
      </c>
      <c r="U282" s="135" t="str">
        <f>+VLOOKUP(PROVEEDORES[[#This Row],[PROVEEDOR]],Terceros!$A:$D,4,FALSE)</f>
        <v>2,5% con base</v>
      </c>
      <c r="V282" s="135">
        <f>+YEAR(PROVEEDORES[[#This Row],[FECHA DE FACTURACIÓN]])</f>
        <v>2023</v>
      </c>
      <c r="W282" s="135">
        <f>+MATCH(PROVEEDORES[[#This Row],[año facturado]],Retenciones!$1:$1,0)</f>
        <v>6</v>
      </c>
      <c r="X282" s="136">
        <f>+VLOOKUP(PROVEEDORES[[#This Row],[ID RETENCION]],Retenciones!$A$1:$O$25,PROVEEDORES[[#This Row],[indicador de columna]],FALSE)</f>
        <v>1145000</v>
      </c>
      <c r="Y282" s="137">
        <f>+VLOOKUP(PROVEEDORES[[#This Row],[ID RETENCION]],Retenciones!$A$1:$O$25,2,FALSE)</f>
        <v>2.5000000000000001E-2</v>
      </c>
      <c r="Z282" s="126" t="b">
        <f>+OR(COUNTIF(PROVEEDORES[[#This Row],[PROVEEDOR]],"*"&amp;'Palabra que no opera y Listas d'!$A$2&amp;"*"))</f>
        <v>0</v>
      </c>
    </row>
    <row r="283" spans="1:26" ht="27.75" customHeight="1" x14ac:dyDescent="0.25">
      <c r="A283" s="141" t="str">
        <f>+IF(PROVEEDORES[[#This Row],[FECHA DE PAGO]]=PROVEEDORES[[#This Row],[FECHA DE FACTURACIÓN]],"DE CONTADO","CRÉDITO")</f>
        <v>CRÉDITO</v>
      </c>
      <c r="B283" s="138" t="b">
        <f>+IF((PROVEEDORES[[#This Row],[FECHA DE PAGO]]-PROVEEDORES[[#This Row],[FECHA DE FACTURACIÓN]])&gt;PROVEEDORES[[#This Row],[PLAZO Días]],"PAGO VENCIDO")</f>
        <v>0</v>
      </c>
      <c r="C283" s="138">
        <f>+VLOOKUP(PROVEEDORES[[#This Row],[PROVEEDOR]],TERCEROS_INFO[#All],2,FALSE)</f>
        <v>30</v>
      </c>
      <c r="D283" s="139">
        <f>+SUMIFS(PROVEEDORES[Total],PROVEEDORES[PROVEEDOR],PROVEEDORES[[#This Row],[PROVEEDOR]],PROVEEDORES[FECHA DE PAGO],"")</f>
        <v>3152439.05</v>
      </c>
      <c r="E283" s="140"/>
      <c r="F283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283" s="127">
        <v>45054</v>
      </c>
      <c r="H283" s="123" t="s">
        <v>220</v>
      </c>
      <c r="I283" s="127">
        <v>45036</v>
      </c>
      <c r="J283" s="124" t="s">
        <v>738</v>
      </c>
      <c r="K283" s="124" t="s">
        <v>1530</v>
      </c>
      <c r="L283" s="124"/>
      <c r="M283" s="125">
        <v>2649600</v>
      </c>
      <c r="N283" s="148">
        <v>503424</v>
      </c>
      <c r="O283" s="148">
        <v>0</v>
      </c>
      <c r="P283" s="149">
        <v>0</v>
      </c>
      <c r="Q283" s="148">
        <v>0</v>
      </c>
      <c r="R283" s="150">
        <v>3153024</v>
      </c>
      <c r="S2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3" s="135">
        <f ca="1">+IF(PROVEEDORES[[#This Row],[FECHA DE PAGO]]=0,TODAY()-PROVEEDORES[[#This Row],[FECHA DE FACTURACIÓN]]-PROVEEDORES[[#This Row],[PLAZO Días]],0)</f>
        <v>0</v>
      </c>
      <c r="U283" s="135">
        <f>+VLOOKUP(PROVEEDORES[[#This Row],[PROVEEDOR]],Terceros!$A:$D,4,FALSE)</f>
        <v>0</v>
      </c>
      <c r="V283" s="135">
        <f>+YEAR(PROVEEDORES[[#This Row],[FECHA DE FACTURACIÓN]])</f>
        <v>2023</v>
      </c>
      <c r="W283" s="135">
        <f>+MATCH(PROVEEDORES[[#This Row],[año facturado]],Retenciones!$1:$1,0)</f>
        <v>6</v>
      </c>
      <c r="X283" s="136">
        <f>+VLOOKUP(PROVEEDORES[[#This Row],[ID RETENCION]],Retenciones!$A$1:$O$25,PROVEEDORES[[#This Row],[indicador de columna]],FALSE)</f>
        <v>0</v>
      </c>
      <c r="Y283" s="137">
        <f>+VLOOKUP(PROVEEDORES[[#This Row],[ID RETENCION]],Retenciones!$A$1:$O$25,2,FALSE)</f>
        <v>0</v>
      </c>
      <c r="Z283" s="126" t="b">
        <f>+OR(COUNTIF(PROVEEDORES[[#This Row],[PROVEEDOR]],"*"&amp;'Palabra que no opera y Listas d'!$A$2&amp;"*"))</f>
        <v>0</v>
      </c>
    </row>
    <row r="284" spans="1:26" ht="27.75" customHeight="1" x14ac:dyDescent="0.25">
      <c r="A284" s="141" t="str">
        <f>+IF(PROVEEDORES[[#This Row],[FECHA DE PAGO]]=PROVEEDORES[[#This Row],[FECHA DE FACTURACIÓN]],"DE CONTADO","CRÉDITO")</f>
        <v>CRÉDITO</v>
      </c>
      <c r="B284" s="138" t="str">
        <f>+IF((PROVEEDORES[[#This Row],[FECHA DE PAGO]]-PROVEEDORES[[#This Row],[FECHA DE FACTURACIÓN]])&gt;PROVEEDORES[[#This Row],[PLAZO Días]],"PAGO VENCIDO")</f>
        <v>PAGO VENCIDO</v>
      </c>
      <c r="C284" s="138">
        <f>+VLOOKUP(PROVEEDORES[[#This Row],[PROVEEDOR]],TERCEROS_INFO[#All],2,FALSE)</f>
        <v>60</v>
      </c>
      <c r="D284" s="139">
        <f>+SUMIFS(PROVEEDORES[Total],PROVEEDORES[PROVEEDOR],PROVEEDORES[[#This Row],[PROVEEDOR]],PROVEEDORES[FECHA DE PAGO],"")</f>
        <v>0</v>
      </c>
      <c r="E284" s="140"/>
      <c r="F284" s="13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284" s="127">
        <v>45055</v>
      </c>
      <c r="H284" s="123" t="s">
        <v>221</v>
      </c>
      <c r="I284" s="127">
        <v>44991</v>
      </c>
      <c r="J284" s="124" t="s">
        <v>619</v>
      </c>
      <c r="K284" s="124" t="s">
        <v>1530</v>
      </c>
      <c r="L284" s="124"/>
      <c r="M284" s="125">
        <v>270588</v>
      </c>
      <c r="N284" s="148">
        <v>51411.72</v>
      </c>
      <c r="O284" s="148">
        <v>0</v>
      </c>
      <c r="P284" s="149">
        <v>0</v>
      </c>
      <c r="Q284" s="148">
        <v>0</v>
      </c>
      <c r="R284" s="150">
        <v>321999.71999999997</v>
      </c>
      <c r="S2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4" s="135">
        <f ca="1">+IF(PROVEEDORES[[#This Row],[FECHA DE PAGO]]=0,TODAY()-PROVEEDORES[[#This Row],[FECHA DE FACTURACIÓN]]-PROVEEDORES[[#This Row],[PLAZO Días]],0)</f>
        <v>0</v>
      </c>
      <c r="U284" s="135" t="str">
        <f>+VLOOKUP(PROVEEDORES[[#This Row],[PROVEEDOR]],Terceros!$A:$D,4,FALSE)</f>
        <v>2,5% con base</v>
      </c>
      <c r="V284" s="135">
        <f>+YEAR(PROVEEDORES[[#This Row],[FECHA DE FACTURACIÓN]])</f>
        <v>2023</v>
      </c>
      <c r="W284" s="135">
        <f>+MATCH(PROVEEDORES[[#This Row],[año facturado]],Retenciones!$1:$1,0)</f>
        <v>6</v>
      </c>
      <c r="X284" s="136">
        <f>+VLOOKUP(PROVEEDORES[[#This Row],[ID RETENCION]],Retenciones!$A$1:$O$25,PROVEEDORES[[#This Row],[indicador de columna]],FALSE)</f>
        <v>1145000</v>
      </c>
      <c r="Y284" s="137">
        <f>+VLOOKUP(PROVEEDORES[[#This Row],[ID RETENCION]],Retenciones!$A$1:$O$25,2,FALSE)</f>
        <v>2.5000000000000001E-2</v>
      </c>
      <c r="Z284" s="126" t="b">
        <f>+OR(COUNTIF(PROVEEDORES[[#This Row],[PROVEEDOR]],"*"&amp;'Palabra que no opera y Listas d'!$A$2&amp;"*"))</f>
        <v>0</v>
      </c>
    </row>
    <row r="285" spans="1:26" ht="27.75" customHeight="1" x14ac:dyDescent="0.25">
      <c r="A285" s="141" t="str">
        <f>+IF(PROVEEDORES[[#This Row],[FECHA DE PAGO]]=PROVEEDORES[[#This Row],[FECHA DE FACTURACIÓN]],"DE CONTADO","CRÉDITO")</f>
        <v>CRÉDITO</v>
      </c>
      <c r="B285" s="138" t="b">
        <f>+IF((PROVEEDORES[[#This Row],[FECHA DE PAGO]]-PROVEEDORES[[#This Row],[FECHA DE FACTURACIÓN]])&gt;PROVEEDORES[[#This Row],[PLAZO Días]],"PAGO VENCIDO")</f>
        <v>0</v>
      </c>
      <c r="C285" s="138">
        <f>+VLOOKUP(PROVEEDORES[[#This Row],[PROVEEDOR]],TERCEROS_INFO[#All],2,FALSE)</f>
        <v>60</v>
      </c>
      <c r="D285" s="139">
        <f>+SUMIFS(PROVEEDORES[Total],PROVEEDORES[PROVEEDOR],PROVEEDORES[[#This Row],[PROVEEDOR]],PROVEEDORES[FECHA DE PAGO],"")</f>
        <v>0</v>
      </c>
      <c r="E285" s="140"/>
      <c r="F285" s="13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285" s="127">
        <v>45055</v>
      </c>
      <c r="H285" s="123" t="s">
        <v>221</v>
      </c>
      <c r="I285" s="127">
        <v>45000</v>
      </c>
      <c r="J285" s="124" t="s">
        <v>612</v>
      </c>
      <c r="K285" s="124" t="s">
        <v>1530</v>
      </c>
      <c r="L285" s="124"/>
      <c r="M285" s="125">
        <v>675630</v>
      </c>
      <c r="N285" s="148">
        <v>128369.7</v>
      </c>
      <c r="O285" s="148">
        <v>0</v>
      </c>
      <c r="P285" s="149">
        <v>0</v>
      </c>
      <c r="Q285" s="148">
        <v>0</v>
      </c>
      <c r="R285" s="150">
        <v>803999.7</v>
      </c>
      <c r="S2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5" s="135">
        <f ca="1">+IF(PROVEEDORES[[#This Row],[FECHA DE PAGO]]=0,TODAY()-PROVEEDORES[[#This Row],[FECHA DE FACTURACIÓN]]-PROVEEDORES[[#This Row],[PLAZO Días]],0)</f>
        <v>0</v>
      </c>
      <c r="U285" s="135" t="str">
        <f>+VLOOKUP(PROVEEDORES[[#This Row],[PROVEEDOR]],Terceros!$A:$D,4,FALSE)</f>
        <v>2,5% con base</v>
      </c>
      <c r="V285" s="135">
        <f>+YEAR(PROVEEDORES[[#This Row],[FECHA DE FACTURACIÓN]])</f>
        <v>2023</v>
      </c>
      <c r="W285" s="135">
        <f>+MATCH(PROVEEDORES[[#This Row],[año facturado]],Retenciones!$1:$1,0)</f>
        <v>6</v>
      </c>
      <c r="X285" s="136">
        <f>+VLOOKUP(PROVEEDORES[[#This Row],[ID RETENCION]],Retenciones!$A$1:$O$25,PROVEEDORES[[#This Row],[indicador de columna]],FALSE)</f>
        <v>1145000</v>
      </c>
      <c r="Y285" s="137">
        <f>+VLOOKUP(PROVEEDORES[[#This Row],[ID RETENCION]],Retenciones!$A$1:$O$25,2,FALSE)</f>
        <v>2.5000000000000001E-2</v>
      </c>
      <c r="Z285" s="126" t="b">
        <f>+OR(COUNTIF(PROVEEDORES[[#This Row],[PROVEEDOR]],"*"&amp;'Palabra que no opera y Listas d'!$A$2&amp;"*"))</f>
        <v>0</v>
      </c>
    </row>
    <row r="286" spans="1:26" ht="27.75" customHeight="1" x14ac:dyDescent="0.25">
      <c r="A286" s="141" t="str">
        <f>+IF(PROVEEDORES[[#This Row],[FECHA DE PAGO]]=PROVEEDORES[[#This Row],[FECHA DE FACTURACIÓN]],"DE CONTADO","CRÉDITO")</f>
        <v>CRÉDITO</v>
      </c>
      <c r="B286" s="138" t="str">
        <f>+IF((PROVEEDORES[[#This Row],[FECHA DE PAGO]]-PROVEEDORES[[#This Row],[FECHA DE FACTURACIÓN]])&gt;PROVEEDORES[[#This Row],[PLAZO Días]],"PAGO VENCIDO")</f>
        <v>PAGO VENCIDO</v>
      </c>
      <c r="C286" s="138">
        <f>+VLOOKUP(PROVEEDORES[[#This Row],[PROVEEDOR]],TERCEROS_INFO[#All],2,FALSE)</f>
        <v>30</v>
      </c>
      <c r="D286" s="139">
        <f>+SUMIFS(PROVEEDORES[Total],PROVEEDORES[PROVEEDOR],PROVEEDORES[[#This Row],[PROVEEDOR]],PROVEEDORES[FECHA DE PAGO],"")</f>
        <v>2028306.6264000002</v>
      </c>
      <c r="E286" s="140"/>
      <c r="F286" s="138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286" s="127">
        <v>45055</v>
      </c>
      <c r="H286" s="123" t="s">
        <v>218</v>
      </c>
      <c r="I286" s="127">
        <v>45006</v>
      </c>
      <c r="J286" s="124" t="s">
        <v>700</v>
      </c>
      <c r="K286" s="124" t="s">
        <v>1530</v>
      </c>
      <c r="L286" s="124"/>
      <c r="M286" s="125">
        <v>532437</v>
      </c>
      <c r="N286" s="148">
        <v>101163.03</v>
      </c>
      <c r="O286" s="148">
        <v>0</v>
      </c>
      <c r="P286" s="149">
        <v>0</v>
      </c>
      <c r="Q286" s="148">
        <v>0</v>
      </c>
      <c r="R286" s="150">
        <v>633600.03</v>
      </c>
      <c r="S2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6" s="135">
        <f ca="1">+IF(PROVEEDORES[[#This Row],[FECHA DE PAGO]]=0,TODAY()-PROVEEDORES[[#This Row],[FECHA DE FACTURACIÓN]]-PROVEEDORES[[#This Row],[PLAZO Días]],0)</f>
        <v>0</v>
      </c>
      <c r="U286" s="135" t="str">
        <f>+VLOOKUP(PROVEEDORES[[#This Row],[PROVEEDOR]],Terceros!$A:$D,4,FALSE)</f>
        <v>2,5% con base</v>
      </c>
      <c r="V286" s="135">
        <f>+YEAR(PROVEEDORES[[#This Row],[FECHA DE FACTURACIÓN]])</f>
        <v>2023</v>
      </c>
      <c r="W286" s="135">
        <f>+MATCH(PROVEEDORES[[#This Row],[año facturado]],Retenciones!$1:$1,0)</f>
        <v>6</v>
      </c>
      <c r="X286" s="136">
        <f>+VLOOKUP(PROVEEDORES[[#This Row],[ID RETENCION]],Retenciones!$A$1:$O$25,PROVEEDORES[[#This Row],[indicador de columna]],FALSE)</f>
        <v>1145000</v>
      </c>
      <c r="Y286" s="137">
        <f>+VLOOKUP(PROVEEDORES[[#This Row],[ID RETENCION]],Retenciones!$A$1:$O$25,2,FALSE)</f>
        <v>2.5000000000000001E-2</v>
      </c>
      <c r="Z286" s="126" t="b">
        <f>+OR(COUNTIF(PROVEEDORES[[#This Row],[PROVEEDOR]],"*"&amp;'Palabra que no opera y Listas d'!$A$2&amp;"*"))</f>
        <v>0</v>
      </c>
    </row>
    <row r="287" spans="1:26" ht="27.75" customHeight="1" x14ac:dyDescent="0.25">
      <c r="A287" s="141" t="str">
        <f>+IF(PROVEEDORES[[#This Row],[FECHA DE PAGO]]=PROVEEDORES[[#This Row],[FECHA DE FACTURACIÓN]],"DE CONTADO","CRÉDITO")</f>
        <v>CRÉDITO</v>
      </c>
      <c r="B287" s="138" t="b">
        <f>+IF((PROVEEDORES[[#This Row],[FECHA DE PAGO]]-PROVEEDORES[[#This Row],[FECHA DE FACTURACIÓN]])&gt;PROVEEDORES[[#This Row],[PLAZO Días]],"PAGO VENCIDO")</f>
        <v>0</v>
      </c>
      <c r="C287" s="138">
        <f>+VLOOKUP(PROVEEDORES[[#This Row],[PROVEEDOR]],TERCEROS_INFO[#All],2,FALSE)</f>
        <v>30</v>
      </c>
      <c r="D287" s="139">
        <f>+SUMIFS(PROVEEDORES[Total],PROVEEDORES[PROVEEDOR],PROVEEDORES[[#This Row],[PROVEEDOR]],PROVEEDORES[FECHA DE PAGO],"")</f>
        <v>0</v>
      </c>
      <c r="E287" s="140"/>
      <c r="F287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87" s="127">
        <v>45056</v>
      </c>
      <c r="H287" s="123" t="s">
        <v>368</v>
      </c>
      <c r="I287" s="127">
        <v>45044</v>
      </c>
      <c r="J287" s="124" t="s">
        <v>679</v>
      </c>
      <c r="K287" s="124" t="s">
        <v>1530</v>
      </c>
      <c r="L287" s="124"/>
      <c r="M287" s="125">
        <v>122105</v>
      </c>
      <c r="N287" s="148">
        <v>23199.95</v>
      </c>
      <c r="O287" s="148">
        <v>0</v>
      </c>
      <c r="P287" s="149">
        <v>0</v>
      </c>
      <c r="Q287" s="148">
        <v>0</v>
      </c>
      <c r="R287" s="150">
        <v>145304.95000000001</v>
      </c>
      <c r="S2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7" s="135">
        <f ca="1">+IF(PROVEEDORES[[#This Row],[FECHA DE PAGO]]=0,TODAY()-PROVEEDORES[[#This Row],[FECHA DE FACTURACIÓN]]-PROVEEDORES[[#This Row],[PLAZO Días]],0)</f>
        <v>0</v>
      </c>
      <c r="U287" s="135">
        <f>+VLOOKUP(PROVEEDORES[[#This Row],[PROVEEDOR]],Terceros!$A:$D,4,FALSE)</f>
        <v>0</v>
      </c>
      <c r="V287" s="135">
        <f>+YEAR(PROVEEDORES[[#This Row],[FECHA DE FACTURACIÓN]])</f>
        <v>2023</v>
      </c>
      <c r="W287" s="135">
        <f>+MATCH(PROVEEDORES[[#This Row],[año facturado]],Retenciones!$1:$1,0)</f>
        <v>6</v>
      </c>
      <c r="X287" s="136">
        <f>+VLOOKUP(PROVEEDORES[[#This Row],[ID RETENCION]],Retenciones!$A$1:$O$25,PROVEEDORES[[#This Row],[indicador de columna]],FALSE)</f>
        <v>0</v>
      </c>
      <c r="Y287" s="137">
        <f>+VLOOKUP(PROVEEDORES[[#This Row],[ID RETENCION]],Retenciones!$A$1:$O$25,2,FALSE)</f>
        <v>0</v>
      </c>
      <c r="Z287" s="126" t="b">
        <f>+OR(COUNTIF(PROVEEDORES[[#This Row],[PROVEEDOR]],"*"&amp;'Palabra que no opera y Listas d'!$A$2&amp;"*"))</f>
        <v>1</v>
      </c>
    </row>
    <row r="288" spans="1:26" ht="27.75" customHeight="1" x14ac:dyDescent="0.25">
      <c r="A288" s="141" t="str">
        <f>+IF(PROVEEDORES[[#This Row],[FECHA DE PAGO]]=PROVEEDORES[[#This Row],[FECHA DE FACTURACIÓN]],"DE CONTADO","CRÉDITO")</f>
        <v>CRÉDITO</v>
      </c>
      <c r="B288" s="138" t="b">
        <f>+IF((PROVEEDORES[[#This Row],[FECHA DE PAGO]]-PROVEEDORES[[#This Row],[FECHA DE FACTURACIÓN]])&gt;PROVEEDORES[[#This Row],[PLAZO Días]],"PAGO VENCIDO")</f>
        <v>0</v>
      </c>
      <c r="C288" s="138">
        <f>+VLOOKUP(PROVEEDORES[[#This Row],[PROVEEDOR]],TERCEROS_INFO[#All],2,FALSE)</f>
        <v>30</v>
      </c>
      <c r="D288" s="139">
        <f>+SUMIFS(PROVEEDORES[Total],PROVEEDORES[PROVEEDOR],PROVEEDORES[[#This Row],[PROVEEDOR]],PROVEEDORES[FECHA DE PAGO],"")</f>
        <v>0</v>
      </c>
      <c r="E288" s="140"/>
      <c r="F288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88" s="127">
        <v>45056</v>
      </c>
      <c r="H288" s="123" t="s">
        <v>368</v>
      </c>
      <c r="I288" s="127">
        <v>45047</v>
      </c>
      <c r="J288" s="124" t="s">
        <v>764</v>
      </c>
      <c r="K288" s="124" t="s">
        <v>1530</v>
      </c>
      <c r="L288" s="124"/>
      <c r="M288" s="125">
        <v>908172</v>
      </c>
      <c r="N288" s="148">
        <v>172552.68</v>
      </c>
      <c r="O288" s="148">
        <v>0</v>
      </c>
      <c r="P288" s="149">
        <v>0</v>
      </c>
      <c r="Q288" s="148">
        <v>0</v>
      </c>
      <c r="R288" s="150">
        <v>1080724.68</v>
      </c>
      <c r="S2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8" s="135">
        <f ca="1">+IF(PROVEEDORES[[#This Row],[FECHA DE PAGO]]=0,TODAY()-PROVEEDORES[[#This Row],[FECHA DE FACTURACIÓN]]-PROVEEDORES[[#This Row],[PLAZO Días]],0)</f>
        <v>0</v>
      </c>
      <c r="U288" s="135">
        <f>+VLOOKUP(PROVEEDORES[[#This Row],[PROVEEDOR]],Terceros!$A:$D,4,FALSE)</f>
        <v>0</v>
      </c>
      <c r="V288" s="135">
        <f>+YEAR(PROVEEDORES[[#This Row],[FECHA DE FACTURACIÓN]])</f>
        <v>2023</v>
      </c>
      <c r="W288" s="135">
        <f>+MATCH(PROVEEDORES[[#This Row],[año facturado]],Retenciones!$1:$1,0)</f>
        <v>6</v>
      </c>
      <c r="X288" s="136">
        <f>+VLOOKUP(PROVEEDORES[[#This Row],[ID RETENCION]],Retenciones!$A$1:$O$25,PROVEEDORES[[#This Row],[indicador de columna]],FALSE)</f>
        <v>0</v>
      </c>
      <c r="Y288" s="137">
        <f>+VLOOKUP(PROVEEDORES[[#This Row],[ID RETENCION]],Retenciones!$A$1:$O$25,2,FALSE)</f>
        <v>0</v>
      </c>
      <c r="Z288" s="126" t="b">
        <f>+OR(COUNTIF(PROVEEDORES[[#This Row],[PROVEEDOR]],"*"&amp;'Palabra que no opera y Listas d'!$A$2&amp;"*"))</f>
        <v>1</v>
      </c>
    </row>
    <row r="289" spans="1:26" ht="27.75" customHeight="1" x14ac:dyDescent="0.25">
      <c r="A289" s="141" t="str">
        <f>+IF(PROVEEDORES[[#This Row],[FECHA DE PAGO]]=PROVEEDORES[[#This Row],[FECHA DE FACTURACIÓN]],"DE CONTADO","CRÉDITO")</f>
        <v>CRÉDITO</v>
      </c>
      <c r="B289" s="138" t="b">
        <f>+IF((PROVEEDORES[[#This Row],[FECHA DE PAGO]]-PROVEEDORES[[#This Row],[FECHA DE FACTURACIÓN]])&gt;PROVEEDORES[[#This Row],[PLAZO Días]],"PAGO VENCIDO")</f>
        <v>0</v>
      </c>
      <c r="C289" s="138">
        <f>+VLOOKUP(PROVEEDORES[[#This Row],[PROVEEDOR]],TERCEROS_INFO[#All],2,FALSE)</f>
        <v>30</v>
      </c>
      <c r="D289" s="139">
        <f>+SUMIFS(PROVEEDORES[Total],PROVEEDORES[PROVEEDOR],PROVEEDORES[[#This Row],[PROVEEDOR]],PROVEEDORES[FECHA DE PAGO],"")</f>
        <v>0</v>
      </c>
      <c r="E289" s="140"/>
      <c r="F289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289" s="127">
        <v>45056</v>
      </c>
      <c r="H289" s="123" t="s">
        <v>368</v>
      </c>
      <c r="I289" s="127">
        <v>45047</v>
      </c>
      <c r="J289" s="124" t="s">
        <v>765</v>
      </c>
      <c r="K289" s="124" t="s">
        <v>1530</v>
      </c>
      <c r="L289" s="124"/>
      <c r="M289" s="125">
        <v>3792544</v>
      </c>
      <c r="N289" s="148">
        <v>720583.36</v>
      </c>
      <c r="O289" s="148">
        <v>0</v>
      </c>
      <c r="P289" s="149">
        <v>0</v>
      </c>
      <c r="Q289" s="148">
        <v>0</v>
      </c>
      <c r="R289" s="150">
        <v>4513127.3600000003</v>
      </c>
      <c r="S2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89" s="135">
        <f ca="1">+IF(PROVEEDORES[[#This Row],[FECHA DE PAGO]]=0,TODAY()-PROVEEDORES[[#This Row],[FECHA DE FACTURACIÓN]]-PROVEEDORES[[#This Row],[PLAZO Días]],0)</f>
        <v>0</v>
      </c>
      <c r="U289" s="135">
        <f>+VLOOKUP(PROVEEDORES[[#This Row],[PROVEEDOR]],Terceros!$A:$D,4,FALSE)</f>
        <v>0</v>
      </c>
      <c r="V289" s="135">
        <f>+YEAR(PROVEEDORES[[#This Row],[FECHA DE FACTURACIÓN]])</f>
        <v>2023</v>
      </c>
      <c r="W289" s="135">
        <f>+MATCH(PROVEEDORES[[#This Row],[año facturado]],Retenciones!$1:$1,0)</f>
        <v>6</v>
      </c>
      <c r="X289" s="136">
        <f>+VLOOKUP(PROVEEDORES[[#This Row],[ID RETENCION]],Retenciones!$A$1:$O$25,PROVEEDORES[[#This Row],[indicador de columna]],FALSE)</f>
        <v>0</v>
      </c>
      <c r="Y289" s="137">
        <f>+VLOOKUP(PROVEEDORES[[#This Row],[ID RETENCION]],Retenciones!$A$1:$O$25,2,FALSE)</f>
        <v>0</v>
      </c>
      <c r="Z289" s="126" t="b">
        <f>+OR(COUNTIF(PROVEEDORES[[#This Row],[PROVEEDOR]],"*"&amp;'Palabra que no opera y Listas d'!$A$2&amp;"*"))</f>
        <v>1</v>
      </c>
    </row>
    <row r="290" spans="1:26" ht="27.75" customHeight="1" x14ac:dyDescent="0.25">
      <c r="A290" s="141" t="str">
        <f>+IF(PROVEEDORES[[#This Row],[FECHA DE PAGO]]=PROVEEDORES[[#This Row],[FECHA DE FACTURACIÓN]],"DE CONTADO","CRÉDITO")</f>
        <v>CRÉDITO</v>
      </c>
      <c r="B290" s="138" t="b">
        <f>+IF((PROVEEDORES[[#This Row],[FECHA DE PAGO]]-PROVEEDORES[[#This Row],[FECHA DE FACTURACIÓN]])&gt;PROVEEDORES[[#This Row],[PLAZO Días]],"PAGO VENCIDO")</f>
        <v>0</v>
      </c>
      <c r="C290" s="138">
        <f>+VLOOKUP(PROVEEDORES[[#This Row],[PROVEEDOR]],TERCEROS_INFO[#All],2,FALSE)</f>
        <v>30</v>
      </c>
      <c r="D290" s="139">
        <f>+SUMIFS(PROVEEDORES[Total],PROVEEDORES[PROVEEDOR],PROVEEDORES[[#This Row],[PROVEEDOR]],PROVEEDORES[FECHA DE PAGO],"")</f>
        <v>0</v>
      </c>
      <c r="E290" s="140"/>
      <c r="F290" s="138" t="str">
        <f>+VLOOKUP(PROVEEDORES[[#This Row],[PROVEEDOR]],
                       Terceros!$A:$F,
                       5,
                       FALSE)</f>
        <v>facturacion@losmolinos.com.co</v>
      </c>
      <c r="G290" s="127">
        <v>45056</v>
      </c>
      <c r="H290" s="123" t="s">
        <v>376</v>
      </c>
      <c r="I290" s="127">
        <v>45047</v>
      </c>
      <c r="J290" s="124" t="s">
        <v>767</v>
      </c>
      <c r="K290" s="124" t="s">
        <v>1530</v>
      </c>
      <c r="L290" s="124"/>
      <c r="M290" s="125">
        <v>324057</v>
      </c>
      <c r="N290" s="148">
        <v>0</v>
      </c>
      <c r="O290" s="148">
        <v>0</v>
      </c>
      <c r="P290" s="149">
        <v>0</v>
      </c>
      <c r="Q290" s="148">
        <v>0</v>
      </c>
      <c r="R290" s="150">
        <v>324057</v>
      </c>
      <c r="S2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0" s="135">
        <f ca="1">+IF(PROVEEDORES[[#This Row],[FECHA DE PAGO]]=0,TODAY()-PROVEEDORES[[#This Row],[FECHA DE FACTURACIÓN]]-PROVEEDORES[[#This Row],[PLAZO Días]],0)</f>
        <v>0</v>
      </c>
      <c r="U290" s="135">
        <f>+VLOOKUP(PROVEEDORES[[#This Row],[PROVEEDOR]],Terceros!$A:$D,4,FALSE)</f>
        <v>0</v>
      </c>
      <c r="V290" s="135">
        <f>+YEAR(PROVEEDORES[[#This Row],[FECHA DE FACTURACIÓN]])</f>
        <v>2023</v>
      </c>
      <c r="W290" s="135">
        <f>+MATCH(PROVEEDORES[[#This Row],[año facturado]],Retenciones!$1:$1,0)</f>
        <v>6</v>
      </c>
      <c r="X290" s="136">
        <f>+VLOOKUP(PROVEEDORES[[#This Row],[ID RETENCION]],Retenciones!$A$1:$O$25,PROVEEDORES[[#This Row],[indicador de columna]],FALSE)</f>
        <v>0</v>
      </c>
      <c r="Y290" s="137">
        <f>+VLOOKUP(PROVEEDORES[[#This Row],[ID RETENCION]],Retenciones!$A$1:$O$25,2,FALSE)</f>
        <v>0</v>
      </c>
      <c r="Z290" s="126" t="b">
        <f>+OR(COUNTIF(PROVEEDORES[[#This Row],[PROVEEDOR]],"*"&amp;'Palabra que no opera y Listas d'!$A$2&amp;"*"))</f>
        <v>1</v>
      </c>
    </row>
    <row r="291" spans="1:26" ht="27.75" customHeight="1" x14ac:dyDescent="0.25">
      <c r="A291" s="141" t="str">
        <f>+IF(PROVEEDORES[[#This Row],[FECHA DE PAGO]]=PROVEEDORES[[#This Row],[FECHA DE FACTURACIÓN]],"DE CONTADO","CRÉDITO")</f>
        <v>CRÉDITO</v>
      </c>
      <c r="B291" s="138" t="b">
        <f>+IF((PROVEEDORES[[#This Row],[FECHA DE PAGO]]-PROVEEDORES[[#This Row],[FECHA DE FACTURACIÓN]])&gt;PROVEEDORES[[#This Row],[PLAZO Días]],"PAGO VENCIDO")</f>
        <v>0</v>
      </c>
      <c r="C291" s="138">
        <f>+VLOOKUP(PROVEEDORES[[#This Row],[PROVEEDOR]],TERCEROS_INFO[#All],2,FALSE)</f>
        <v>30</v>
      </c>
      <c r="D291" s="139">
        <f>+SUMIFS(PROVEEDORES[Total],PROVEEDORES[PROVEEDOR],PROVEEDORES[[#This Row],[PROVEEDOR]],PROVEEDORES[FECHA DE PAGO],"")</f>
        <v>0</v>
      </c>
      <c r="E291" s="140"/>
      <c r="F291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291" s="127">
        <v>45056</v>
      </c>
      <c r="H291" s="123" t="s">
        <v>383</v>
      </c>
      <c r="I291" s="127">
        <v>45047</v>
      </c>
      <c r="J291" s="124" t="s">
        <v>773</v>
      </c>
      <c r="K291" s="124" t="s">
        <v>1530</v>
      </c>
      <c r="L291" s="124"/>
      <c r="M291" s="125">
        <v>3935776</v>
      </c>
      <c r="N291" s="148">
        <v>747797.44000000006</v>
      </c>
      <c r="O291" s="148">
        <v>0</v>
      </c>
      <c r="P291" s="149">
        <v>3.5000000000000003E-2</v>
      </c>
      <c r="Q291" s="148">
        <v>137752.16</v>
      </c>
      <c r="R291" s="150">
        <v>4545821.28</v>
      </c>
      <c r="S2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1" s="135">
        <f ca="1">+IF(PROVEEDORES[[#This Row],[FECHA DE PAGO]]=0,TODAY()-PROVEEDORES[[#This Row],[FECHA DE FACTURACIÓN]]-PROVEEDORES[[#This Row],[PLAZO Días]],0)</f>
        <v>0</v>
      </c>
      <c r="U291" s="135" t="str">
        <f>+VLOOKUP(PROVEEDORES[[#This Row],[PROVEEDOR]],Terceros!$A:$D,4,FALSE)</f>
        <v>3,5% sin base</v>
      </c>
      <c r="V291" s="135">
        <f>+YEAR(PROVEEDORES[[#This Row],[FECHA DE FACTURACIÓN]])</f>
        <v>2023</v>
      </c>
      <c r="W291" s="135">
        <f>+MATCH(PROVEEDORES[[#This Row],[año facturado]],Retenciones!$1:$1,0)</f>
        <v>6</v>
      </c>
      <c r="X291" s="136">
        <f>+VLOOKUP(PROVEEDORES[[#This Row],[ID RETENCION]],Retenciones!$A$1:$O$25,PROVEEDORES[[#This Row],[indicador de columna]],FALSE)</f>
        <v>0</v>
      </c>
      <c r="Y291" s="137">
        <f>+VLOOKUP(PROVEEDORES[[#This Row],[ID RETENCION]],Retenciones!$A$1:$O$25,2,FALSE)</f>
        <v>3.5000000000000003E-2</v>
      </c>
      <c r="Z291" s="126" t="b">
        <f>+OR(COUNTIF(PROVEEDORES[[#This Row],[PROVEEDOR]],"*"&amp;'Palabra que no opera y Listas d'!$A$2&amp;"*"))</f>
        <v>1</v>
      </c>
    </row>
    <row r="292" spans="1:26" ht="27.75" customHeight="1" x14ac:dyDescent="0.25">
      <c r="A292" s="141" t="str">
        <f>+IF(PROVEEDORES[[#This Row],[FECHA DE PAGO]]=PROVEEDORES[[#This Row],[FECHA DE FACTURACIÓN]],"DE CONTADO","CRÉDITO")</f>
        <v>CRÉDITO</v>
      </c>
      <c r="B292" s="138" t="b">
        <f>+IF((PROVEEDORES[[#This Row],[FECHA DE PAGO]]-PROVEEDORES[[#This Row],[FECHA DE FACTURACIÓN]])&gt;PROVEEDORES[[#This Row],[PLAZO Días]],"PAGO VENCIDO")</f>
        <v>0</v>
      </c>
      <c r="C292" s="138">
        <f>+VLOOKUP(PROVEEDORES[[#This Row],[PROVEEDOR]],TERCEROS_INFO[#All],2,FALSE)</f>
        <v>30</v>
      </c>
      <c r="D292" s="139">
        <f>+SUMIFS(PROVEEDORES[Total],PROVEEDORES[PROVEEDOR],PROVEEDORES[[#This Row],[PROVEEDOR]],PROVEEDORES[FECHA DE PAGO],"")</f>
        <v>0</v>
      </c>
      <c r="E292" s="140"/>
      <c r="F292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292" s="127">
        <v>45056</v>
      </c>
      <c r="H292" s="123" t="s">
        <v>383</v>
      </c>
      <c r="I292" s="127">
        <v>45047</v>
      </c>
      <c r="J292" s="124" t="s">
        <v>772</v>
      </c>
      <c r="K292" s="124" t="s">
        <v>1530</v>
      </c>
      <c r="L292" s="124"/>
      <c r="M292" s="125">
        <v>52142</v>
      </c>
      <c r="N292" s="148">
        <v>9906.98</v>
      </c>
      <c r="O292" s="148">
        <v>0</v>
      </c>
      <c r="P292" s="149">
        <v>3.5000000000000003E-2</v>
      </c>
      <c r="Q292" s="148">
        <v>1824.9700000000003</v>
      </c>
      <c r="R292" s="150">
        <v>60224.009999999995</v>
      </c>
      <c r="S2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2" s="135">
        <f ca="1">+IF(PROVEEDORES[[#This Row],[FECHA DE PAGO]]=0,TODAY()-PROVEEDORES[[#This Row],[FECHA DE FACTURACIÓN]]-PROVEEDORES[[#This Row],[PLAZO Días]],0)</f>
        <v>0</v>
      </c>
      <c r="U292" s="135" t="str">
        <f>+VLOOKUP(PROVEEDORES[[#This Row],[PROVEEDOR]],Terceros!$A:$D,4,FALSE)</f>
        <v>3,5% sin base</v>
      </c>
      <c r="V292" s="135">
        <f>+YEAR(PROVEEDORES[[#This Row],[FECHA DE FACTURACIÓN]])</f>
        <v>2023</v>
      </c>
      <c r="W292" s="135">
        <f>+MATCH(PROVEEDORES[[#This Row],[año facturado]],Retenciones!$1:$1,0)</f>
        <v>6</v>
      </c>
      <c r="X292" s="136">
        <f>+VLOOKUP(PROVEEDORES[[#This Row],[ID RETENCION]],Retenciones!$A$1:$O$25,PROVEEDORES[[#This Row],[indicador de columna]],FALSE)</f>
        <v>0</v>
      </c>
      <c r="Y292" s="137">
        <f>+VLOOKUP(PROVEEDORES[[#This Row],[ID RETENCION]],Retenciones!$A$1:$O$25,2,FALSE)</f>
        <v>3.5000000000000003E-2</v>
      </c>
      <c r="Z292" s="126" t="b">
        <f>+OR(COUNTIF(PROVEEDORES[[#This Row],[PROVEEDOR]],"*"&amp;'Palabra que no opera y Listas d'!$A$2&amp;"*"))</f>
        <v>1</v>
      </c>
    </row>
    <row r="293" spans="1:26" ht="27.75" customHeight="1" x14ac:dyDescent="0.25">
      <c r="A293" s="141" t="str">
        <f>+IF(PROVEEDORES[[#This Row],[FECHA DE PAGO]]=PROVEEDORES[[#This Row],[FECHA DE FACTURACIÓN]],"DE CONTADO","CRÉDITO")</f>
        <v>CRÉDITO</v>
      </c>
      <c r="B293" s="138" t="b">
        <f>+IF((PROVEEDORES[[#This Row],[FECHA DE PAGO]]-PROVEEDORES[[#This Row],[FECHA DE FACTURACIÓN]])&gt;PROVEEDORES[[#This Row],[PLAZO Días]],"PAGO VENCIDO")</f>
        <v>0</v>
      </c>
      <c r="C293" s="138">
        <f>+VLOOKUP(PROVEEDORES[[#This Row],[PROVEEDOR]],TERCEROS_INFO[#All],2,FALSE)</f>
        <v>10</v>
      </c>
      <c r="D293" s="139">
        <f>+SUMIFS(PROVEEDORES[Total],PROVEEDORES[PROVEEDOR],PROVEEDORES[[#This Row],[PROVEEDOR]],PROVEEDORES[FECHA DE PAGO],"")</f>
        <v>0</v>
      </c>
      <c r="E293" s="140"/>
      <c r="F293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293" s="127">
        <v>45056</v>
      </c>
      <c r="H293" s="123" t="s">
        <v>482</v>
      </c>
      <c r="I293" s="127">
        <v>45047</v>
      </c>
      <c r="J293" s="124" t="s">
        <v>766</v>
      </c>
      <c r="K293" s="124" t="s">
        <v>1530</v>
      </c>
      <c r="L293" s="124"/>
      <c r="M293" s="125">
        <v>5350576</v>
      </c>
      <c r="N293" s="148">
        <v>1016609.4400000001</v>
      </c>
      <c r="O293" s="148">
        <v>0</v>
      </c>
      <c r="P293" s="149">
        <v>0</v>
      </c>
      <c r="Q293" s="148">
        <v>0</v>
      </c>
      <c r="R293" s="150">
        <v>6367185.4400000004</v>
      </c>
      <c r="S2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3" s="135">
        <f ca="1">+IF(PROVEEDORES[[#This Row],[FECHA DE PAGO]]=0,TODAY()-PROVEEDORES[[#This Row],[FECHA DE FACTURACIÓN]]-PROVEEDORES[[#This Row],[PLAZO Días]],0)</f>
        <v>0</v>
      </c>
      <c r="U293" s="135">
        <f>+VLOOKUP(PROVEEDORES[[#This Row],[PROVEEDOR]],Terceros!$A:$D,4,FALSE)</f>
        <v>0</v>
      </c>
      <c r="V293" s="135">
        <f>+YEAR(PROVEEDORES[[#This Row],[FECHA DE FACTURACIÓN]])</f>
        <v>2023</v>
      </c>
      <c r="W293" s="135">
        <f>+MATCH(PROVEEDORES[[#This Row],[año facturado]],Retenciones!$1:$1,0)</f>
        <v>6</v>
      </c>
      <c r="X293" s="136">
        <f>+VLOOKUP(PROVEEDORES[[#This Row],[ID RETENCION]],Retenciones!$A$1:$O$25,PROVEEDORES[[#This Row],[indicador de columna]],FALSE)</f>
        <v>0</v>
      </c>
      <c r="Y293" s="137">
        <f>+VLOOKUP(PROVEEDORES[[#This Row],[ID RETENCION]],Retenciones!$A$1:$O$25,2,FALSE)</f>
        <v>0</v>
      </c>
      <c r="Z293" s="126" t="b">
        <f>+OR(COUNTIF(PROVEEDORES[[#This Row],[PROVEEDOR]],"*"&amp;'Palabra que no opera y Listas d'!$A$2&amp;"*"))</f>
        <v>1</v>
      </c>
    </row>
    <row r="294" spans="1:26" ht="27.75" customHeight="1" x14ac:dyDescent="0.25">
      <c r="A294" s="141" t="str">
        <f>+IF(PROVEEDORES[[#This Row],[FECHA DE PAGO]]=PROVEEDORES[[#This Row],[FECHA DE FACTURACIÓN]],"DE CONTADO","CRÉDITO")</f>
        <v>CRÉDITO</v>
      </c>
      <c r="B294" s="138" t="b">
        <f>+IF((PROVEEDORES[[#This Row],[FECHA DE PAGO]]-PROVEEDORES[[#This Row],[FECHA DE FACTURACIÓN]])&gt;PROVEEDORES[[#This Row],[PLAZO Días]],"PAGO VENCIDO")</f>
        <v>0</v>
      </c>
      <c r="C294" s="138">
        <f>+VLOOKUP(PROVEEDORES[[#This Row],[PROVEEDOR]],TERCEROS_INFO[#All],2,FALSE)</f>
        <v>30</v>
      </c>
      <c r="D294" s="139">
        <f>+SUMIFS(PROVEEDORES[Total],PROVEEDORES[PROVEEDOR],PROVEEDORES[[#This Row],[PROVEEDOR]],PROVEEDORES[FECHA DE PAGO],"")</f>
        <v>0</v>
      </c>
      <c r="E294" s="140"/>
      <c r="F294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294" s="127">
        <v>45056</v>
      </c>
      <c r="H294" s="123" t="s">
        <v>394</v>
      </c>
      <c r="I294" s="127">
        <v>45048</v>
      </c>
      <c r="J294" s="124" t="s">
        <v>771</v>
      </c>
      <c r="K294" s="124" t="s">
        <v>1530</v>
      </c>
      <c r="L294" s="124"/>
      <c r="M294" s="125">
        <v>243611</v>
      </c>
      <c r="N294" s="148">
        <v>46286.090000000004</v>
      </c>
      <c r="O294" s="148">
        <v>0</v>
      </c>
      <c r="P294" s="149">
        <v>3.5000000000000003E-2</v>
      </c>
      <c r="Q294" s="148">
        <v>8526.3850000000002</v>
      </c>
      <c r="R294" s="150">
        <v>281370.70500000002</v>
      </c>
      <c r="S2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4" s="135">
        <f ca="1">+IF(PROVEEDORES[[#This Row],[FECHA DE PAGO]]=0,TODAY()-PROVEEDORES[[#This Row],[FECHA DE FACTURACIÓN]]-PROVEEDORES[[#This Row],[PLAZO Días]],0)</f>
        <v>0</v>
      </c>
      <c r="U294" s="135" t="str">
        <f>+VLOOKUP(PROVEEDORES[[#This Row],[PROVEEDOR]],Terceros!$A:$D,4,FALSE)</f>
        <v>3,5% sin base</v>
      </c>
      <c r="V294" s="135">
        <f>+YEAR(PROVEEDORES[[#This Row],[FECHA DE FACTURACIÓN]])</f>
        <v>2023</v>
      </c>
      <c r="W294" s="135">
        <f>+MATCH(PROVEEDORES[[#This Row],[año facturado]],Retenciones!$1:$1,0)</f>
        <v>6</v>
      </c>
      <c r="X294" s="136">
        <f>+VLOOKUP(PROVEEDORES[[#This Row],[ID RETENCION]],Retenciones!$A$1:$O$25,PROVEEDORES[[#This Row],[indicador de columna]],FALSE)</f>
        <v>0</v>
      </c>
      <c r="Y294" s="137">
        <f>+VLOOKUP(PROVEEDORES[[#This Row],[ID RETENCION]],Retenciones!$A$1:$O$25,2,FALSE)</f>
        <v>3.5000000000000003E-2</v>
      </c>
      <c r="Z294" s="126" t="b">
        <f>+OR(COUNTIF(PROVEEDORES[[#This Row],[PROVEEDOR]],"*"&amp;'Palabra que no opera y Listas d'!$A$2&amp;"*"))</f>
        <v>1</v>
      </c>
    </row>
    <row r="295" spans="1:26" ht="27.75" customHeight="1" x14ac:dyDescent="0.25">
      <c r="A295" s="141" t="str">
        <f>+IF(PROVEEDORES[[#This Row],[FECHA DE PAGO]]=PROVEEDORES[[#This Row],[FECHA DE FACTURACIÓN]],"DE CONTADO","CRÉDITO")</f>
        <v>CRÉDITO</v>
      </c>
      <c r="B295" s="138" t="b">
        <f>+IF((PROVEEDORES[[#This Row],[FECHA DE PAGO]]-PROVEEDORES[[#This Row],[FECHA DE FACTURACIÓN]])&gt;PROVEEDORES[[#This Row],[PLAZO Días]],"PAGO VENCIDO")</f>
        <v>0</v>
      </c>
      <c r="C295" s="138">
        <f>+VLOOKUP(PROVEEDORES[[#This Row],[PROVEEDOR]],TERCEROS_INFO[#All],2,FALSE)</f>
        <v>30</v>
      </c>
      <c r="D295" s="139">
        <f>+SUMIFS(PROVEEDORES[Total],PROVEEDORES[PROVEEDOR],PROVEEDORES[[#This Row],[PROVEEDOR]],PROVEEDORES[FECHA DE PAGO],"")</f>
        <v>0</v>
      </c>
      <c r="E295" s="140"/>
      <c r="F295" s="13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95" s="127">
        <v>45056</v>
      </c>
      <c r="H295" s="123" t="s">
        <v>1806</v>
      </c>
      <c r="I295" s="127">
        <v>45057</v>
      </c>
      <c r="J295" s="124">
        <v>418</v>
      </c>
      <c r="K295" s="124" t="s">
        <v>1530</v>
      </c>
      <c r="L295" s="124"/>
      <c r="M295" s="125">
        <v>415000</v>
      </c>
      <c r="N295" s="148">
        <v>0</v>
      </c>
      <c r="O295" s="148">
        <v>0</v>
      </c>
      <c r="P295" s="149">
        <v>0</v>
      </c>
      <c r="Q295" s="148">
        <v>0</v>
      </c>
      <c r="R295" s="150">
        <v>415000</v>
      </c>
      <c r="S2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5" s="135">
        <f ca="1">+IF(PROVEEDORES[[#This Row],[FECHA DE PAGO]]=0,TODAY()-PROVEEDORES[[#This Row],[FECHA DE FACTURACIÓN]]-PROVEEDORES[[#This Row],[PLAZO Días]],0)</f>
        <v>0</v>
      </c>
      <c r="U295" s="135">
        <f>+VLOOKUP(PROVEEDORES[[#This Row],[PROVEEDOR]],Terceros!$A:$D,4,FALSE)</f>
        <v>0</v>
      </c>
      <c r="V295" s="135">
        <f>+YEAR(PROVEEDORES[[#This Row],[FECHA DE FACTURACIÓN]])</f>
        <v>2023</v>
      </c>
      <c r="W295" s="135">
        <f>+MATCH(PROVEEDORES[[#This Row],[año facturado]],Retenciones!$1:$1,0)</f>
        <v>6</v>
      </c>
      <c r="X295" s="136">
        <f>+VLOOKUP(PROVEEDORES[[#This Row],[ID RETENCION]],Retenciones!$A$1:$O$25,PROVEEDORES[[#This Row],[indicador de columna]],FALSE)</f>
        <v>0</v>
      </c>
      <c r="Y295" s="137">
        <f>+VLOOKUP(PROVEEDORES[[#This Row],[ID RETENCION]],Retenciones!$A$1:$O$25,2,FALSE)</f>
        <v>0</v>
      </c>
      <c r="Z295" s="126" t="b">
        <f>+OR(COUNTIF(PROVEEDORES[[#This Row],[PROVEEDOR]],"*"&amp;'Palabra que no opera y Listas d'!$A$2&amp;"*"))</f>
        <v>0</v>
      </c>
    </row>
    <row r="296" spans="1:26" ht="27.75" customHeight="1" x14ac:dyDescent="0.25">
      <c r="A296" s="141" t="str">
        <f>+IF(PROVEEDORES[[#This Row],[FECHA DE PAGO]]=PROVEEDORES[[#This Row],[FECHA DE FACTURACIÓN]],"DE CONTADO","CRÉDITO")</f>
        <v>CRÉDITO</v>
      </c>
      <c r="B296" s="138" t="b">
        <f>+IF((PROVEEDORES[[#This Row],[FECHA DE PAGO]]-PROVEEDORES[[#This Row],[FECHA DE FACTURACIÓN]])&gt;PROVEEDORES[[#This Row],[PLAZO Días]],"PAGO VENCIDO")</f>
        <v>0</v>
      </c>
      <c r="C296" s="138">
        <f>+VLOOKUP(PROVEEDORES[[#This Row],[PROVEEDOR]],TERCEROS_INFO[#All],2,FALSE)</f>
        <v>30</v>
      </c>
      <c r="D296" s="139">
        <f>+SUMIFS(PROVEEDORES[Total],PROVEEDORES[PROVEEDOR],PROVEEDORES[[#This Row],[PROVEEDOR]],PROVEEDORES[FECHA DE PAGO],"")</f>
        <v>0</v>
      </c>
      <c r="E296" s="140"/>
      <c r="F296" s="13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296" s="127">
        <v>45056</v>
      </c>
      <c r="H296" s="123" t="s">
        <v>448</v>
      </c>
      <c r="I296" s="127">
        <v>45057</v>
      </c>
      <c r="J296" s="124" t="s">
        <v>774</v>
      </c>
      <c r="K296" s="124" t="s">
        <v>1530</v>
      </c>
      <c r="L296" s="124"/>
      <c r="M296" s="125">
        <v>300000</v>
      </c>
      <c r="N296" s="148">
        <v>0</v>
      </c>
      <c r="O296" s="148">
        <v>0</v>
      </c>
      <c r="P296" s="149">
        <v>0.01</v>
      </c>
      <c r="Q296" s="148">
        <v>3000</v>
      </c>
      <c r="R296" s="150">
        <v>297000</v>
      </c>
      <c r="S2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6" s="135">
        <f ca="1">+IF(PROVEEDORES[[#This Row],[FECHA DE PAGO]]=0,TODAY()-PROVEEDORES[[#This Row],[FECHA DE FACTURACIÓN]]-PROVEEDORES[[#This Row],[PLAZO Días]],0)</f>
        <v>0</v>
      </c>
      <c r="U296" s="135" t="str">
        <f>+VLOOKUP(PROVEEDORES[[#This Row],[PROVEEDOR]],Terceros!$A:$D,4,FALSE)</f>
        <v>1% con base</v>
      </c>
      <c r="V296" s="135">
        <f>+YEAR(PROVEEDORES[[#This Row],[FECHA DE FACTURACIÓN]])</f>
        <v>2023</v>
      </c>
      <c r="W296" s="135">
        <f>+MATCH(PROVEEDORES[[#This Row],[año facturado]],Retenciones!$1:$1,0)</f>
        <v>6</v>
      </c>
      <c r="X296" s="136">
        <f>+VLOOKUP(PROVEEDORES[[#This Row],[ID RETENCION]],Retenciones!$A$1:$O$25,PROVEEDORES[[#This Row],[indicador de columna]],FALSE)</f>
        <v>170000</v>
      </c>
      <c r="Y296" s="137">
        <f>+VLOOKUP(PROVEEDORES[[#This Row],[ID RETENCION]],Retenciones!$A$1:$O$25,2,FALSE)</f>
        <v>0.01</v>
      </c>
      <c r="Z296" s="126" t="b">
        <f>+OR(COUNTIF(PROVEEDORES[[#This Row],[PROVEEDOR]],"*"&amp;'Palabra que no opera y Listas d'!$A$2&amp;"*"))</f>
        <v>0</v>
      </c>
    </row>
    <row r="297" spans="1:26" ht="27.75" customHeight="1" x14ac:dyDescent="0.25">
      <c r="A297" s="141" t="str">
        <f>+IF(PROVEEDORES[[#This Row],[FECHA DE PAGO]]=PROVEEDORES[[#This Row],[FECHA DE FACTURACIÓN]],"DE CONTADO","CRÉDITO")</f>
        <v>CRÉDITO</v>
      </c>
      <c r="B297" s="138" t="b">
        <f>+IF((PROVEEDORES[[#This Row],[FECHA DE PAGO]]-PROVEEDORES[[#This Row],[FECHA DE FACTURACIÓN]])&gt;PROVEEDORES[[#This Row],[PLAZO Días]],"PAGO VENCIDO")</f>
        <v>0</v>
      </c>
      <c r="C297" s="138">
        <f>+VLOOKUP(PROVEEDORES[[#This Row],[PROVEEDOR]],TERCEROS_INFO[#All],2,FALSE)</f>
        <v>30</v>
      </c>
      <c r="D297" s="139">
        <f>+SUMIFS(PROVEEDORES[Total],PROVEEDORES[PROVEEDOR],PROVEEDORES[[#This Row],[PROVEEDOR]],PROVEEDORES[FECHA DE PAGO],"")</f>
        <v>0</v>
      </c>
      <c r="E297" s="140"/>
      <c r="F297" s="138">
        <f>+VLOOKUP(PROVEEDORES[[#This Row],[PROVEEDOR]],
                       Terceros!$A:$F,
                       5,
                       FALSE)</f>
        <v>0</v>
      </c>
      <c r="G297" s="127">
        <v>45057</v>
      </c>
      <c r="H297" s="123" t="s">
        <v>1819</v>
      </c>
      <c r="I297" s="127">
        <v>45030</v>
      </c>
      <c r="J297" s="124" t="s">
        <v>730</v>
      </c>
      <c r="K297" s="124" t="s">
        <v>1530</v>
      </c>
      <c r="L297" s="124"/>
      <c r="M297" s="125">
        <v>164000</v>
      </c>
      <c r="N297" s="148">
        <v>0</v>
      </c>
      <c r="O297" s="148">
        <v>0</v>
      </c>
      <c r="P297" s="149">
        <v>0</v>
      </c>
      <c r="Q297" s="148">
        <v>0</v>
      </c>
      <c r="R297" s="150">
        <v>164000</v>
      </c>
      <c r="S2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7" s="135">
        <f ca="1">+IF(PROVEEDORES[[#This Row],[FECHA DE PAGO]]=0,TODAY()-PROVEEDORES[[#This Row],[FECHA DE FACTURACIÓN]]-PROVEEDORES[[#This Row],[PLAZO Días]],0)</f>
        <v>0</v>
      </c>
      <c r="U297" s="135">
        <f>+VLOOKUP(PROVEEDORES[[#This Row],[PROVEEDOR]],Terceros!$A:$D,4,FALSE)</f>
        <v>0</v>
      </c>
      <c r="V297" s="135">
        <f>+YEAR(PROVEEDORES[[#This Row],[FECHA DE FACTURACIÓN]])</f>
        <v>2023</v>
      </c>
      <c r="W297" s="135">
        <f>+MATCH(PROVEEDORES[[#This Row],[año facturado]],Retenciones!$1:$1,0)</f>
        <v>6</v>
      </c>
      <c r="X297" s="136">
        <f>+VLOOKUP(PROVEEDORES[[#This Row],[ID RETENCION]],Retenciones!$A$1:$O$25,PROVEEDORES[[#This Row],[indicador de columna]],FALSE)</f>
        <v>0</v>
      </c>
      <c r="Y297" s="137">
        <f>+VLOOKUP(PROVEEDORES[[#This Row],[ID RETENCION]],Retenciones!$A$1:$O$25,2,FALSE)</f>
        <v>0</v>
      </c>
      <c r="Z297" s="126" t="b">
        <f>+OR(COUNTIF(PROVEEDORES[[#This Row],[PROVEEDOR]],"*"&amp;'Palabra que no opera y Listas d'!$A$2&amp;"*"))</f>
        <v>0</v>
      </c>
    </row>
    <row r="298" spans="1:26" ht="27.75" customHeight="1" x14ac:dyDescent="0.25">
      <c r="A298" s="141" t="str">
        <f>+IF(PROVEEDORES[[#This Row],[FECHA DE PAGO]]=PROVEEDORES[[#This Row],[FECHA DE FACTURACIÓN]],"DE CONTADO","CRÉDITO")</f>
        <v>CRÉDITO</v>
      </c>
      <c r="B298" s="138" t="b">
        <f>+IF((PROVEEDORES[[#This Row],[FECHA DE PAGO]]-PROVEEDORES[[#This Row],[FECHA DE FACTURACIÓN]])&gt;PROVEEDORES[[#This Row],[PLAZO Días]],"PAGO VENCIDO")</f>
        <v>0</v>
      </c>
      <c r="C298" s="138">
        <f>+VLOOKUP(PROVEEDORES[[#This Row],[PROVEEDOR]],TERCEROS_INFO[#All],2,FALSE)</f>
        <v>30</v>
      </c>
      <c r="D298" s="139">
        <f>+SUMIFS(PROVEEDORES[Total],PROVEEDORES[PROVEEDOR],PROVEEDORES[[#This Row],[PROVEEDOR]],PROVEEDORES[FECHA DE PAGO],"")</f>
        <v>0</v>
      </c>
      <c r="E298" s="140"/>
      <c r="F298" s="13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298" s="127">
        <v>45057</v>
      </c>
      <c r="H298" s="123" t="s">
        <v>58</v>
      </c>
      <c r="I298" s="127">
        <v>45033</v>
      </c>
      <c r="J298" s="124" t="s">
        <v>759</v>
      </c>
      <c r="K298" s="124" t="s">
        <v>1530</v>
      </c>
      <c r="L298" s="124"/>
      <c r="M298" s="125">
        <v>882353</v>
      </c>
      <c r="N298" s="148">
        <v>167647.07</v>
      </c>
      <c r="O298" s="148">
        <v>0</v>
      </c>
      <c r="P298" s="149">
        <v>0</v>
      </c>
      <c r="Q298" s="148">
        <v>0</v>
      </c>
      <c r="R298" s="150">
        <v>1050000.07</v>
      </c>
      <c r="S2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8" s="135">
        <f ca="1">+IF(PROVEEDORES[[#This Row],[FECHA DE PAGO]]=0,TODAY()-PROVEEDORES[[#This Row],[FECHA DE FACTURACIÓN]]-PROVEEDORES[[#This Row],[PLAZO Días]],0)</f>
        <v>0</v>
      </c>
      <c r="U298" s="135" t="str">
        <f>+VLOOKUP(PROVEEDORES[[#This Row],[PROVEEDOR]],Terceros!$A:$D,4,FALSE)</f>
        <v>2,5% con base</v>
      </c>
      <c r="V298" s="135">
        <f>+YEAR(PROVEEDORES[[#This Row],[FECHA DE FACTURACIÓN]])</f>
        <v>2023</v>
      </c>
      <c r="W298" s="135">
        <f>+MATCH(PROVEEDORES[[#This Row],[año facturado]],Retenciones!$1:$1,0)</f>
        <v>6</v>
      </c>
      <c r="X298" s="136">
        <f>+VLOOKUP(PROVEEDORES[[#This Row],[ID RETENCION]],Retenciones!$A$1:$O$25,PROVEEDORES[[#This Row],[indicador de columna]],FALSE)</f>
        <v>1145000</v>
      </c>
      <c r="Y298" s="137">
        <f>+VLOOKUP(PROVEEDORES[[#This Row],[ID RETENCION]],Retenciones!$A$1:$O$25,2,FALSE)</f>
        <v>2.5000000000000001E-2</v>
      </c>
      <c r="Z298" s="126" t="b">
        <f>+OR(COUNTIF(PROVEEDORES[[#This Row],[PROVEEDOR]],"*"&amp;'Palabra que no opera y Listas d'!$A$2&amp;"*"))</f>
        <v>0</v>
      </c>
    </row>
    <row r="299" spans="1:26" ht="27.75" customHeight="1" x14ac:dyDescent="0.25">
      <c r="A299" s="141" t="str">
        <f>+IF(PROVEEDORES[[#This Row],[FECHA DE PAGO]]=PROVEEDORES[[#This Row],[FECHA DE FACTURACIÓN]],"DE CONTADO","CRÉDITO")</f>
        <v>DE CONTADO</v>
      </c>
      <c r="B299" s="138" t="b">
        <f>+IF((PROVEEDORES[[#This Row],[FECHA DE PAGO]]-PROVEEDORES[[#This Row],[FECHA DE FACTURACIÓN]])&gt;PROVEEDORES[[#This Row],[PLAZO Días]],"PAGO VENCIDO")</f>
        <v>0</v>
      </c>
      <c r="C299" s="138">
        <f>+VLOOKUP(PROVEEDORES[[#This Row],[PROVEEDOR]],TERCEROS_INFO[#All],2,FALSE)</f>
        <v>30</v>
      </c>
      <c r="D299" s="139">
        <f>+SUMIFS(PROVEEDORES[Total],PROVEEDORES[PROVEEDOR],PROVEEDORES[[#This Row],[PROVEEDOR]],PROVEEDORES[FECHA DE PAGO],"")</f>
        <v>1350000</v>
      </c>
      <c r="E299" s="140"/>
      <c r="F299" s="138" t="str">
        <f>+VLOOKUP(PROVEEDORES[[#This Row],[PROVEEDOR]],
                       Terceros!$A:$F,
                       5,
                       FALSE)</f>
        <v/>
      </c>
      <c r="G299" s="127">
        <v>45059</v>
      </c>
      <c r="H299" s="123" t="s">
        <v>1807</v>
      </c>
      <c r="I299" s="127">
        <v>45059</v>
      </c>
      <c r="J299" s="124" t="s">
        <v>783</v>
      </c>
      <c r="K299" s="124" t="s">
        <v>1530</v>
      </c>
      <c r="L299" s="124"/>
      <c r="M299" s="125">
        <v>480000</v>
      </c>
      <c r="N299" s="148">
        <v>0</v>
      </c>
      <c r="O299" s="148">
        <v>0</v>
      </c>
      <c r="P299" s="149">
        <v>0</v>
      </c>
      <c r="Q299" s="148">
        <v>0</v>
      </c>
      <c r="R299" s="150">
        <v>480000</v>
      </c>
      <c r="S2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299" s="135">
        <f ca="1">+IF(PROVEEDORES[[#This Row],[FECHA DE PAGO]]=0,TODAY()-PROVEEDORES[[#This Row],[FECHA DE FACTURACIÓN]]-PROVEEDORES[[#This Row],[PLAZO Días]],0)</f>
        <v>0</v>
      </c>
      <c r="U299" s="135">
        <f>+VLOOKUP(PROVEEDORES[[#This Row],[PROVEEDOR]],Terceros!$A:$D,4,FALSE)</f>
        <v>0</v>
      </c>
      <c r="V299" s="135">
        <f>+YEAR(PROVEEDORES[[#This Row],[FECHA DE FACTURACIÓN]])</f>
        <v>2023</v>
      </c>
      <c r="W299" s="135">
        <f>+MATCH(PROVEEDORES[[#This Row],[año facturado]],Retenciones!$1:$1,0)</f>
        <v>6</v>
      </c>
      <c r="X299" s="136">
        <f>+VLOOKUP(PROVEEDORES[[#This Row],[ID RETENCION]],Retenciones!$A$1:$O$25,PROVEEDORES[[#This Row],[indicador de columna]],FALSE)</f>
        <v>0</v>
      </c>
      <c r="Y299" s="137">
        <f>+VLOOKUP(PROVEEDORES[[#This Row],[ID RETENCION]],Retenciones!$A$1:$O$25,2,FALSE)</f>
        <v>0</v>
      </c>
      <c r="Z299" s="126" t="b">
        <f>+OR(COUNTIF(PROVEEDORES[[#This Row],[PROVEEDOR]],"*"&amp;'Palabra que no opera y Listas d'!$A$2&amp;"*"))</f>
        <v>0</v>
      </c>
    </row>
    <row r="300" spans="1:26" ht="27.75" customHeight="1" x14ac:dyDescent="0.25">
      <c r="A300" s="141" t="str">
        <f>+IF(PROVEEDORES[[#This Row],[FECHA DE PAGO]]=PROVEEDORES[[#This Row],[FECHA DE FACTURACIÓN]],"DE CONTADO","CRÉDITO")</f>
        <v>DE CONTADO</v>
      </c>
      <c r="B300" s="138" t="b">
        <f>+IF((PROVEEDORES[[#This Row],[FECHA DE PAGO]]-PROVEEDORES[[#This Row],[FECHA DE FACTURACIÓN]])&gt;PROVEEDORES[[#This Row],[PLAZO Días]],"PAGO VENCIDO")</f>
        <v>0</v>
      </c>
      <c r="C300" s="138">
        <f>+VLOOKUP(PROVEEDORES[[#This Row],[PROVEEDOR]],TERCEROS_INFO[#All],2,FALSE)</f>
        <v>30</v>
      </c>
      <c r="D300" s="139">
        <f>+SUMIFS(PROVEEDORES[Total],PROVEEDORES[PROVEEDOR],PROVEEDORES[[#This Row],[PROVEEDOR]],PROVEEDORES[FECHA DE PAGO],"")</f>
        <v>1350000</v>
      </c>
      <c r="E300" s="140"/>
      <c r="F300" s="138" t="str">
        <f>+VLOOKUP(PROVEEDORES[[#This Row],[PROVEEDOR]],
                       Terceros!$A:$F,
                       5,
                       FALSE)</f>
        <v/>
      </c>
      <c r="G300" s="127">
        <v>45059</v>
      </c>
      <c r="H300" s="123" t="s">
        <v>1807</v>
      </c>
      <c r="I300" s="127">
        <v>45059</v>
      </c>
      <c r="J300" s="124" t="s">
        <v>782</v>
      </c>
      <c r="K300" s="124" t="s">
        <v>1530</v>
      </c>
      <c r="L300" s="124"/>
      <c r="M300" s="125">
        <v>670000</v>
      </c>
      <c r="N300" s="148">
        <v>0</v>
      </c>
      <c r="O300" s="148">
        <v>0</v>
      </c>
      <c r="P300" s="149">
        <v>0</v>
      </c>
      <c r="Q300" s="148">
        <v>0</v>
      </c>
      <c r="R300" s="150">
        <v>670000</v>
      </c>
      <c r="S3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0" s="135">
        <f ca="1">+IF(PROVEEDORES[[#This Row],[FECHA DE PAGO]]=0,TODAY()-PROVEEDORES[[#This Row],[FECHA DE FACTURACIÓN]]-PROVEEDORES[[#This Row],[PLAZO Días]],0)</f>
        <v>0</v>
      </c>
      <c r="U300" s="135">
        <f>+VLOOKUP(PROVEEDORES[[#This Row],[PROVEEDOR]],Terceros!$A:$D,4,FALSE)</f>
        <v>0</v>
      </c>
      <c r="V300" s="135">
        <f>+YEAR(PROVEEDORES[[#This Row],[FECHA DE FACTURACIÓN]])</f>
        <v>2023</v>
      </c>
      <c r="W300" s="135">
        <f>+MATCH(PROVEEDORES[[#This Row],[año facturado]],Retenciones!$1:$1,0)</f>
        <v>6</v>
      </c>
      <c r="X300" s="136">
        <f>+VLOOKUP(PROVEEDORES[[#This Row],[ID RETENCION]],Retenciones!$A$1:$O$25,PROVEEDORES[[#This Row],[indicador de columna]],FALSE)</f>
        <v>0</v>
      </c>
      <c r="Y300" s="137">
        <f>+VLOOKUP(PROVEEDORES[[#This Row],[ID RETENCION]],Retenciones!$A$1:$O$25,2,FALSE)</f>
        <v>0</v>
      </c>
      <c r="Z300" s="126" t="b">
        <f>+OR(COUNTIF(PROVEEDORES[[#This Row],[PROVEEDOR]],"*"&amp;'Palabra que no opera y Listas d'!$A$2&amp;"*"))</f>
        <v>0</v>
      </c>
    </row>
    <row r="301" spans="1:26" ht="27.75" customHeight="1" x14ac:dyDescent="0.25">
      <c r="A301" s="141" t="str">
        <f>+IF(PROVEEDORES[[#This Row],[FECHA DE PAGO]]=PROVEEDORES[[#This Row],[FECHA DE FACTURACIÓN]],"DE CONTADO","CRÉDITO")</f>
        <v>CRÉDITO</v>
      </c>
      <c r="B301" s="138" t="str">
        <f>+IF((PROVEEDORES[[#This Row],[FECHA DE PAGO]]-PROVEEDORES[[#This Row],[FECHA DE FACTURACIÓN]])&gt;PROVEEDORES[[#This Row],[PLAZO Días]],"PAGO VENCIDO")</f>
        <v>PAGO VENCIDO</v>
      </c>
      <c r="C301" s="138">
        <f>+VLOOKUP(PROVEEDORES[[#This Row],[PROVEEDOR]],TERCEROS_INFO[#All],2,FALSE)</f>
        <v>30</v>
      </c>
      <c r="D301" s="139">
        <f>+SUMIFS(PROVEEDORES[Total],PROVEEDORES[PROVEEDOR],PROVEEDORES[[#This Row],[PROVEEDOR]],PROVEEDORES[FECHA DE PAGO],"")</f>
        <v>3130000</v>
      </c>
      <c r="E301" s="140"/>
      <c r="F301" s="138">
        <f>+VLOOKUP(PROVEEDORES[[#This Row],[PROVEEDOR]],
                       Terceros!$A:$F,
                       5,
                       FALSE)</f>
        <v>0</v>
      </c>
      <c r="G301" s="127">
        <v>45061</v>
      </c>
      <c r="H301" s="123" t="s">
        <v>472</v>
      </c>
      <c r="I301" s="127">
        <v>45026</v>
      </c>
      <c r="J301" s="124" t="s">
        <v>717</v>
      </c>
      <c r="K301" s="124" t="s">
        <v>1530</v>
      </c>
      <c r="L301" s="124"/>
      <c r="M301" s="125">
        <v>815000</v>
      </c>
      <c r="N301" s="148">
        <v>0</v>
      </c>
      <c r="O301" s="148">
        <v>0</v>
      </c>
      <c r="P301" s="149">
        <v>0</v>
      </c>
      <c r="Q301" s="148">
        <v>0</v>
      </c>
      <c r="R301" s="150">
        <v>815000</v>
      </c>
      <c r="S3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1" s="135">
        <f ca="1">+IF(PROVEEDORES[[#This Row],[FECHA DE PAGO]]=0,TODAY()-PROVEEDORES[[#This Row],[FECHA DE FACTURACIÓN]]-PROVEEDORES[[#This Row],[PLAZO Días]],0)</f>
        <v>0</v>
      </c>
      <c r="U301" s="135">
        <f>+VLOOKUP(PROVEEDORES[[#This Row],[PROVEEDOR]],Terceros!$A:$D,4,FALSE)</f>
        <v>0</v>
      </c>
      <c r="V301" s="135">
        <f>+YEAR(PROVEEDORES[[#This Row],[FECHA DE FACTURACIÓN]])</f>
        <v>2023</v>
      </c>
      <c r="W301" s="135">
        <f>+MATCH(PROVEEDORES[[#This Row],[año facturado]],Retenciones!$1:$1,0)</f>
        <v>6</v>
      </c>
      <c r="X301" s="136">
        <f>+VLOOKUP(PROVEEDORES[[#This Row],[ID RETENCION]],Retenciones!$A$1:$O$25,PROVEEDORES[[#This Row],[indicador de columna]],FALSE)</f>
        <v>0</v>
      </c>
      <c r="Y301" s="137">
        <f>+VLOOKUP(PROVEEDORES[[#This Row],[ID RETENCION]],Retenciones!$A$1:$O$25,2,FALSE)</f>
        <v>0</v>
      </c>
      <c r="Z301" s="126" t="b">
        <f>+OR(COUNTIF(PROVEEDORES[[#This Row],[PROVEEDOR]],"*"&amp;'Palabra que no opera y Listas d'!$A$2&amp;"*"))</f>
        <v>0</v>
      </c>
    </row>
    <row r="302" spans="1:26" ht="27.75" customHeight="1" x14ac:dyDescent="0.25">
      <c r="A302" s="141" t="str">
        <f>+IF(PROVEEDORES[[#This Row],[FECHA DE PAGO]]=PROVEEDORES[[#This Row],[FECHA DE FACTURACIÓN]],"DE CONTADO","CRÉDITO")</f>
        <v>CRÉDITO</v>
      </c>
      <c r="B302" s="138" t="b">
        <f>+IF((PROVEEDORES[[#This Row],[FECHA DE PAGO]]-PROVEEDORES[[#This Row],[FECHA DE FACTURACIÓN]])&gt;PROVEEDORES[[#This Row],[PLAZO Días]],"PAGO VENCIDO")</f>
        <v>0</v>
      </c>
      <c r="C302" s="138">
        <f>+VLOOKUP(PROVEEDORES[[#This Row],[PROVEEDOR]],TERCEROS_INFO[#All],2,FALSE)</f>
        <v>30</v>
      </c>
      <c r="D302" s="139">
        <f>+SUMIFS(PROVEEDORES[Total],PROVEEDORES[PROVEEDOR],PROVEEDORES[[#This Row],[PROVEEDOR]],PROVEEDORES[FECHA DE PAGO],"")</f>
        <v>0</v>
      </c>
      <c r="E302" s="140"/>
      <c r="F302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302" s="127">
        <v>45061</v>
      </c>
      <c r="H302" s="123" t="s">
        <v>373</v>
      </c>
      <c r="I302" s="127">
        <v>45047</v>
      </c>
      <c r="J302" s="124" t="s">
        <v>770</v>
      </c>
      <c r="K302" s="124" t="s">
        <v>1530</v>
      </c>
      <c r="L302" s="124"/>
      <c r="M302" s="125">
        <v>1840056</v>
      </c>
      <c r="N302" s="148">
        <v>0</v>
      </c>
      <c r="O302" s="148">
        <v>0</v>
      </c>
      <c r="P302" s="149">
        <v>0</v>
      </c>
      <c r="Q302" s="148">
        <v>0</v>
      </c>
      <c r="R302" s="150">
        <v>1840056</v>
      </c>
      <c r="S3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2" s="135">
        <f ca="1">+IF(PROVEEDORES[[#This Row],[FECHA DE PAGO]]=0,TODAY()-PROVEEDORES[[#This Row],[FECHA DE FACTURACIÓN]]-PROVEEDORES[[#This Row],[PLAZO Días]],0)</f>
        <v>0</v>
      </c>
      <c r="U302" s="135">
        <f>+VLOOKUP(PROVEEDORES[[#This Row],[PROVEEDOR]],Terceros!$A:$D,4,FALSE)</f>
        <v>0</v>
      </c>
      <c r="V302" s="135">
        <f>+YEAR(PROVEEDORES[[#This Row],[FECHA DE FACTURACIÓN]])</f>
        <v>2023</v>
      </c>
      <c r="W302" s="135">
        <f>+MATCH(PROVEEDORES[[#This Row],[año facturado]],Retenciones!$1:$1,0)</f>
        <v>6</v>
      </c>
      <c r="X302" s="136">
        <f>+VLOOKUP(PROVEEDORES[[#This Row],[ID RETENCION]],Retenciones!$A$1:$O$25,PROVEEDORES[[#This Row],[indicador de columna]],FALSE)</f>
        <v>0</v>
      </c>
      <c r="Y302" s="137">
        <f>+VLOOKUP(PROVEEDORES[[#This Row],[ID RETENCION]],Retenciones!$A$1:$O$25,2,FALSE)</f>
        <v>0</v>
      </c>
      <c r="Z302" s="126" t="b">
        <f>+OR(COUNTIF(PROVEEDORES[[#This Row],[PROVEEDOR]],"*"&amp;'Palabra que no opera y Listas d'!$A$2&amp;"*"))</f>
        <v>1</v>
      </c>
    </row>
    <row r="303" spans="1:26" ht="27.75" customHeight="1" x14ac:dyDescent="0.25">
      <c r="A303" s="141" t="str">
        <f>+IF(PROVEEDORES[[#This Row],[FECHA DE PAGO]]=PROVEEDORES[[#This Row],[FECHA DE FACTURACIÓN]],"DE CONTADO","CRÉDITO")</f>
        <v>CRÉDITO</v>
      </c>
      <c r="B303" s="138" t="str">
        <f>+IF((PROVEEDORES[[#This Row],[FECHA DE PAGO]]-PROVEEDORES[[#This Row],[FECHA DE FACTURACIÓN]])&gt;PROVEEDORES[[#This Row],[PLAZO Días]],"PAGO VENCIDO")</f>
        <v>PAGO VENCIDO</v>
      </c>
      <c r="C303" s="138">
        <f>+VLOOKUP(PROVEEDORES[[#This Row],[PROVEEDOR]],TERCEROS_INFO[#All],2,FALSE)</f>
        <v>30</v>
      </c>
      <c r="D303" s="139">
        <f>+SUMIFS(PROVEEDORES[Total],PROVEEDORES[PROVEEDOR],PROVEEDORES[[#This Row],[PROVEEDOR]],PROVEEDORES[FECHA DE PAGO],"")</f>
        <v>2095000</v>
      </c>
      <c r="E303" s="140"/>
      <c r="F303" s="13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303" s="127">
        <v>45063</v>
      </c>
      <c r="H303" s="123" t="s">
        <v>1804</v>
      </c>
      <c r="I303" s="127">
        <v>45028</v>
      </c>
      <c r="J303" s="124">
        <v>39</v>
      </c>
      <c r="K303" s="124" t="s">
        <v>1530</v>
      </c>
      <c r="L303" s="124"/>
      <c r="M303" s="125">
        <v>1165000</v>
      </c>
      <c r="N303" s="148">
        <v>0</v>
      </c>
      <c r="O303" s="148">
        <v>0</v>
      </c>
      <c r="P303" s="149">
        <v>0</v>
      </c>
      <c r="Q303" s="148">
        <v>0</v>
      </c>
      <c r="R303" s="150">
        <v>1165000</v>
      </c>
      <c r="S3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3" s="135">
        <f ca="1">+IF(PROVEEDORES[[#This Row],[FECHA DE PAGO]]=0,TODAY()-PROVEEDORES[[#This Row],[FECHA DE FACTURACIÓN]]-PROVEEDORES[[#This Row],[PLAZO Días]],0)</f>
        <v>0</v>
      </c>
      <c r="U303" s="135">
        <f>+VLOOKUP(PROVEEDORES[[#This Row],[PROVEEDOR]],Terceros!$A:$D,4,FALSE)</f>
        <v>0</v>
      </c>
      <c r="V303" s="135">
        <f>+YEAR(PROVEEDORES[[#This Row],[FECHA DE FACTURACIÓN]])</f>
        <v>2023</v>
      </c>
      <c r="W303" s="135">
        <f>+MATCH(PROVEEDORES[[#This Row],[año facturado]],Retenciones!$1:$1,0)</f>
        <v>6</v>
      </c>
      <c r="X303" s="136">
        <f>+VLOOKUP(PROVEEDORES[[#This Row],[ID RETENCION]],Retenciones!$A$1:$O$25,PROVEEDORES[[#This Row],[indicador de columna]],FALSE)</f>
        <v>0</v>
      </c>
      <c r="Y303" s="137">
        <f>+VLOOKUP(PROVEEDORES[[#This Row],[ID RETENCION]],Retenciones!$A$1:$O$25,2,FALSE)</f>
        <v>0</v>
      </c>
      <c r="Z303" s="126" t="b">
        <f>+OR(COUNTIF(PROVEEDORES[[#This Row],[PROVEEDOR]],"*"&amp;'Palabra que no opera y Listas d'!$A$2&amp;"*"))</f>
        <v>0</v>
      </c>
    </row>
    <row r="304" spans="1:26" ht="27.75" customHeight="1" x14ac:dyDescent="0.25">
      <c r="A304" s="141" t="str">
        <f>+IF(PROVEEDORES[[#This Row],[FECHA DE PAGO]]=PROVEEDORES[[#This Row],[FECHA DE FACTURACIÓN]],"DE CONTADO","CRÉDITO")</f>
        <v>DE CONTADO</v>
      </c>
      <c r="B304" s="138" t="b">
        <f>+IF((PROVEEDORES[[#This Row],[FECHA DE PAGO]]-PROVEEDORES[[#This Row],[FECHA DE FACTURACIÓN]])&gt;PROVEEDORES[[#This Row],[PLAZO Días]],"PAGO VENCIDO")</f>
        <v>0</v>
      </c>
      <c r="C304" s="138">
        <f>+VLOOKUP(PROVEEDORES[[#This Row],[PROVEEDOR]],TERCEROS_INFO[#All],2,FALSE)</f>
        <v>30</v>
      </c>
      <c r="D304" s="139">
        <f>+SUMIFS(PROVEEDORES[Total],PROVEEDORES[PROVEEDOR],PROVEEDORES[[#This Row],[PROVEEDOR]],PROVEEDORES[FECHA DE PAGO],"")</f>
        <v>0</v>
      </c>
      <c r="E304" s="140"/>
      <c r="F304" s="138" t="str">
        <f>+VLOOKUP(PROVEEDORES[[#This Row],[PROVEEDOR]],
                       Terceros!$A:$F,
                       5,
                       FALSE)</f>
        <v/>
      </c>
      <c r="G304" s="127">
        <v>45063</v>
      </c>
      <c r="H304" s="123" t="s">
        <v>36</v>
      </c>
      <c r="I304" s="127">
        <v>45063</v>
      </c>
      <c r="J304" s="124" t="s">
        <v>784</v>
      </c>
      <c r="K304" s="124" t="s">
        <v>1530</v>
      </c>
      <c r="L304" s="124"/>
      <c r="M304" s="125">
        <v>213958</v>
      </c>
      <c r="N304" s="148">
        <v>40652.020000000004</v>
      </c>
      <c r="O304" s="148">
        <v>0</v>
      </c>
      <c r="P304" s="149">
        <v>0</v>
      </c>
      <c r="Q304" s="148">
        <v>0</v>
      </c>
      <c r="R304" s="150">
        <v>254610.02000000002</v>
      </c>
      <c r="S3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4" s="135">
        <f ca="1">+IF(PROVEEDORES[[#This Row],[FECHA DE PAGO]]=0,TODAY()-PROVEEDORES[[#This Row],[FECHA DE FACTURACIÓN]]-PROVEEDORES[[#This Row],[PLAZO Días]],0)</f>
        <v>0</v>
      </c>
      <c r="U304" s="135" t="str">
        <f>+VLOOKUP(PROVEEDORES[[#This Row],[PROVEEDOR]],Terceros!$A:$D,4,FALSE)</f>
        <v>2,5% con base</v>
      </c>
      <c r="V304" s="135">
        <f>+YEAR(PROVEEDORES[[#This Row],[FECHA DE FACTURACIÓN]])</f>
        <v>2023</v>
      </c>
      <c r="W304" s="135">
        <f>+MATCH(PROVEEDORES[[#This Row],[año facturado]],Retenciones!$1:$1,0)</f>
        <v>6</v>
      </c>
      <c r="X304" s="136">
        <f>+VLOOKUP(PROVEEDORES[[#This Row],[ID RETENCION]],Retenciones!$A$1:$O$25,PROVEEDORES[[#This Row],[indicador de columna]],FALSE)</f>
        <v>1145000</v>
      </c>
      <c r="Y304" s="137">
        <f>+VLOOKUP(PROVEEDORES[[#This Row],[ID RETENCION]],Retenciones!$A$1:$O$25,2,FALSE)</f>
        <v>2.5000000000000001E-2</v>
      </c>
      <c r="Z304" s="126" t="b">
        <f>+OR(COUNTIF(PROVEEDORES[[#This Row],[PROVEEDOR]],"*"&amp;'Palabra que no opera y Listas d'!$A$2&amp;"*"))</f>
        <v>0</v>
      </c>
    </row>
    <row r="305" spans="1:26" ht="27.75" customHeight="1" x14ac:dyDescent="0.25">
      <c r="A305" s="141" t="str">
        <f>+IF(PROVEEDORES[[#This Row],[FECHA DE PAGO]]=PROVEEDORES[[#This Row],[FECHA DE FACTURACIÓN]],"DE CONTADO","CRÉDITO")</f>
        <v>CRÉDITO</v>
      </c>
      <c r="B305" s="138" t="str">
        <f>+IF((PROVEEDORES[[#This Row],[FECHA DE PAGO]]-PROVEEDORES[[#This Row],[FECHA DE FACTURACIÓN]])&gt;PROVEEDORES[[#This Row],[PLAZO Días]],"PAGO VENCIDO")</f>
        <v>PAGO VENCIDO</v>
      </c>
      <c r="C305" s="138">
        <f>+VLOOKUP(PROVEEDORES[[#This Row],[PROVEEDOR]],TERCEROS_INFO[#All],2,FALSE)</f>
        <v>30</v>
      </c>
      <c r="D305" s="139">
        <f>+SUMIFS(PROVEEDORES[Total],PROVEEDORES[PROVEEDOR],PROVEEDORES[[#This Row],[PROVEEDOR]],PROVEEDORES[FECHA DE PAGO],"")</f>
        <v>5427539.2800000003</v>
      </c>
      <c r="E305" s="140"/>
      <c r="F305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305" s="127">
        <v>45064</v>
      </c>
      <c r="H305" s="123" t="s">
        <v>11</v>
      </c>
      <c r="I305" s="127">
        <v>45009</v>
      </c>
      <c r="J305" s="124" t="s">
        <v>651</v>
      </c>
      <c r="K305" s="124" t="s">
        <v>1530</v>
      </c>
      <c r="L305" s="124"/>
      <c r="M305" s="125">
        <v>3503790</v>
      </c>
      <c r="N305" s="148">
        <v>665720.1</v>
      </c>
      <c r="O305" s="148">
        <v>0</v>
      </c>
      <c r="P305" s="149">
        <v>2.5000000000000001E-2</v>
      </c>
      <c r="Q305" s="148">
        <v>87594.75</v>
      </c>
      <c r="R305" s="150">
        <v>4081915.35</v>
      </c>
      <c r="S3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5" s="135">
        <f ca="1">+IF(PROVEEDORES[[#This Row],[FECHA DE PAGO]]=0,TODAY()-PROVEEDORES[[#This Row],[FECHA DE FACTURACIÓN]]-PROVEEDORES[[#This Row],[PLAZO Días]],0)</f>
        <v>0</v>
      </c>
      <c r="U305" s="135" t="str">
        <f>+VLOOKUP(PROVEEDORES[[#This Row],[PROVEEDOR]],Terceros!$A:$D,4,FALSE)</f>
        <v>2,5% con base</v>
      </c>
      <c r="V305" s="135">
        <f>+YEAR(PROVEEDORES[[#This Row],[FECHA DE FACTURACIÓN]])</f>
        <v>2023</v>
      </c>
      <c r="W305" s="135">
        <f>+MATCH(PROVEEDORES[[#This Row],[año facturado]],Retenciones!$1:$1,0)</f>
        <v>6</v>
      </c>
      <c r="X305" s="136">
        <f>+VLOOKUP(PROVEEDORES[[#This Row],[ID RETENCION]],Retenciones!$A$1:$O$25,PROVEEDORES[[#This Row],[indicador de columna]],FALSE)</f>
        <v>1145000</v>
      </c>
      <c r="Y305" s="137">
        <f>+VLOOKUP(PROVEEDORES[[#This Row],[ID RETENCION]],Retenciones!$A$1:$O$25,2,FALSE)</f>
        <v>2.5000000000000001E-2</v>
      </c>
      <c r="Z305" s="126" t="b">
        <f>+OR(COUNTIF(PROVEEDORES[[#This Row],[PROVEEDOR]],"*"&amp;'Palabra que no opera y Listas d'!$A$2&amp;"*"))</f>
        <v>0</v>
      </c>
    </row>
    <row r="306" spans="1:26" ht="27.75" customHeight="1" x14ac:dyDescent="0.25">
      <c r="A306" s="141" t="str">
        <f>+IF(PROVEEDORES[[#This Row],[FECHA DE PAGO]]=PROVEEDORES[[#This Row],[FECHA DE FACTURACIÓN]],"DE CONTADO","CRÉDITO")</f>
        <v>CRÉDITO</v>
      </c>
      <c r="B306" s="138" t="str">
        <f>+IF((PROVEEDORES[[#This Row],[FECHA DE PAGO]]-PROVEEDORES[[#This Row],[FECHA DE FACTURACIÓN]])&gt;PROVEEDORES[[#This Row],[PLAZO Días]],"PAGO VENCIDO")</f>
        <v>PAGO VENCIDO</v>
      </c>
      <c r="C306" s="138">
        <f>+VLOOKUP(PROVEEDORES[[#This Row],[PROVEEDOR]],TERCEROS_INFO[#All],2,FALSE)</f>
        <v>30</v>
      </c>
      <c r="D306" s="139">
        <f>+SUMIFS(PROVEEDORES[Total],PROVEEDORES[PROVEEDOR],PROVEEDORES[[#This Row],[PROVEEDOR]],PROVEEDORES[FECHA DE PAGO],"")</f>
        <v>0</v>
      </c>
      <c r="E306" s="140"/>
      <c r="F306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306" s="127">
        <v>45064</v>
      </c>
      <c r="H306" s="123" t="s">
        <v>493</v>
      </c>
      <c r="I306" s="127">
        <v>45013</v>
      </c>
      <c r="J306" s="124" t="s">
        <v>666</v>
      </c>
      <c r="K306" s="124" t="s">
        <v>1530</v>
      </c>
      <c r="L306" s="124"/>
      <c r="M306" s="125">
        <v>722520</v>
      </c>
      <c r="N306" s="148">
        <v>137278.79999999999</v>
      </c>
      <c r="O306" s="148">
        <v>0</v>
      </c>
      <c r="P306" s="149">
        <v>0</v>
      </c>
      <c r="Q306" s="148">
        <v>0</v>
      </c>
      <c r="R306" s="150">
        <v>859798.8</v>
      </c>
      <c r="S3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6" s="135">
        <f ca="1">+IF(PROVEEDORES[[#This Row],[FECHA DE PAGO]]=0,TODAY()-PROVEEDORES[[#This Row],[FECHA DE FACTURACIÓN]]-PROVEEDORES[[#This Row],[PLAZO Días]],0)</f>
        <v>0</v>
      </c>
      <c r="U306" s="135">
        <f>+VLOOKUP(PROVEEDORES[[#This Row],[PROVEEDOR]],Terceros!$A:$D,4,FALSE)</f>
        <v>0</v>
      </c>
      <c r="V306" s="135">
        <f>+YEAR(PROVEEDORES[[#This Row],[FECHA DE FACTURACIÓN]])</f>
        <v>2023</v>
      </c>
      <c r="W306" s="135">
        <f>+MATCH(PROVEEDORES[[#This Row],[año facturado]],Retenciones!$1:$1,0)</f>
        <v>6</v>
      </c>
      <c r="X306" s="136">
        <f>+VLOOKUP(PROVEEDORES[[#This Row],[ID RETENCION]],Retenciones!$A$1:$O$25,PROVEEDORES[[#This Row],[indicador de columna]],FALSE)</f>
        <v>0</v>
      </c>
      <c r="Y306" s="137">
        <f>+VLOOKUP(PROVEEDORES[[#This Row],[ID RETENCION]],Retenciones!$A$1:$O$25,2,FALSE)</f>
        <v>0</v>
      </c>
      <c r="Z306" s="126" t="b">
        <f>+OR(COUNTIF(PROVEEDORES[[#This Row],[PROVEEDOR]],"*"&amp;'Palabra que no opera y Listas d'!$A$2&amp;"*"))</f>
        <v>1</v>
      </c>
    </row>
    <row r="307" spans="1:26" ht="27.75" customHeight="1" x14ac:dyDescent="0.25">
      <c r="A307" s="141" t="str">
        <f>+IF(PROVEEDORES[[#This Row],[FECHA DE PAGO]]=PROVEEDORES[[#This Row],[FECHA DE FACTURACIÓN]],"DE CONTADO","CRÉDITO")</f>
        <v>CRÉDITO</v>
      </c>
      <c r="B307" s="138" t="str">
        <f>+IF((PROVEEDORES[[#This Row],[FECHA DE PAGO]]-PROVEEDORES[[#This Row],[FECHA DE FACTURACIÓN]])&gt;PROVEEDORES[[#This Row],[PLAZO Días]],"PAGO VENCIDO")</f>
        <v>PAGO VENCIDO</v>
      </c>
      <c r="C307" s="138">
        <f>+VLOOKUP(PROVEEDORES[[#This Row],[PROVEEDOR]],TERCEROS_INFO[#All],2,FALSE)</f>
        <v>30</v>
      </c>
      <c r="D307" s="139">
        <f>+SUMIFS(PROVEEDORES[Total],PROVEEDORES[PROVEEDOR],PROVEEDORES[[#This Row],[PROVEEDOR]],PROVEEDORES[FECHA DE PAGO],"")</f>
        <v>5427539.2800000003</v>
      </c>
      <c r="E307" s="140"/>
      <c r="F307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307" s="127">
        <v>45064</v>
      </c>
      <c r="H307" s="123" t="s">
        <v>11</v>
      </c>
      <c r="I307" s="127">
        <v>45019</v>
      </c>
      <c r="J307" s="124" t="s">
        <v>715</v>
      </c>
      <c r="K307" s="124" t="s">
        <v>1530</v>
      </c>
      <c r="L307" s="124"/>
      <c r="M307" s="125">
        <v>700758</v>
      </c>
      <c r="N307" s="148">
        <v>133144.01999999999</v>
      </c>
      <c r="O307" s="148">
        <v>0</v>
      </c>
      <c r="P307" s="149">
        <v>0</v>
      </c>
      <c r="Q307" s="148">
        <v>0</v>
      </c>
      <c r="R307" s="150">
        <v>833902.02</v>
      </c>
      <c r="S3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7" s="135">
        <f ca="1">+IF(PROVEEDORES[[#This Row],[FECHA DE PAGO]]=0,TODAY()-PROVEEDORES[[#This Row],[FECHA DE FACTURACIÓN]]-PROVEEDORES[[#This Row],[PLAZO Días]],0)</f>
        <v>0</v>
      </c>
      <c r="U307" s="135" t="str">
        <f>+VLOOKUP(PROVEEDORES[[#This Row],[PROVEEDOR]],Terceros!$A:$D,4,FALSE)</f>
        <v>2,5% con base</v>
      </c>
      <c r="V307" s="135">
        <f>+YEAR(PROVEEDORES[[#This Row],[FECHA DE FACTURACIÓN]])</f>
        <v>2023</v>
      </c>
      <c r="W307" s="135">
        <f>+MATCH(PROVEEDORES[[#This Row],[año facturado]],Retenciones!$1:$1,0)</f>
        <v>6</v>
      </c>
      <c r="X307" s="136">
        <f>+VLOOKUP(PROVEEDORES[[#This Row],[ID RETENCION]],Retenciones!$A$1:$O$25,PROVEEDORES[[#This Row],[indicador de columna]],FALSE)</f>
        <v>1145000</v>
      </c>
      <c r="Y307" s="137">
        <f>+VLOOKUP(PROVEEDORES[[#This Row],[ID RETENCION]],Retenciones!$A$1:$O$25,2,FALSE)</f>
        <v>2.5000000000000001E-2</v>
      </c>
      <c r="Z307" s="126" t="b">
        <f>+OR(COUNTIF(PROVEEDORES[[#This Row],[PROVEEDOR]],"*"&amp;'Palabra que no opera y Listas d'!$A$2&amp;"*"))</f>
        <v>0</v>
      </c>
    </row>
    <row r="308" spans="1:26" ht="27.75" customHeight="1" x14ac:dyDescent="0.25">
      <c r="A308" s="141" t="str">
        <f>+IF(PROVEEDORES[[#This Row],[FECHA DE PAGO]]=PROVEEDORES[[#This Row],[FECHA DE FACTURACIÓN]],"DE CONTADO","CRÉDITO")</f>
        <v>CRÉDITO</v>
      </c>
      <c r="B308" s="138" t="str">
        <f>+IF((PROVEEDORES[[#This Row],[FECHA DE PAGO]]-PROVEEDORES[[#This Row],[FECHA DE FACTURACIÓN]])&gt;PROVEEDORES[[#This Row],[PLAZO Días]],"PAGO VENCIDO")</f>
        <v>PAGO VENCIDO</v>
      </c>
      <c r="C308" s="138">
        <f>+VLOOKUP(PROVEEDORES[[#This Row],[PROVEEDOR]],TERCEROS_INFO[#All],2,FALSE)</f>
        <v>30</v>
      </c>
      <c r="D308" s="139">
        <f>+SUMIFS(PROVEEDORES[Total],PROVEEDORES[PROVEEDOR],PROVEEDORES[[#This Row],[PROVEEDOR]],PROVEEDORES[FECHA DE PAGO],"")</f>
        <v>5427539.2800000003</v>
      </c>
      <c r="E308" s="140"/>
      <c r="F308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308" s="127">
        <v>45064</v>
      </c>
      <c r="H308" s="123" t="s">
        <v>11</v>
      </c>
      <c r="I308" s="127">
        <v>45029</v>
      </c>
      <c r="J308" s="124" t="s">
        <v>714</v>
      </c>
      <c r="K308" s="124" t="s">
        <v>1530</v>
      </c>
      <c r="L308" s="124"/>
      <c r="M308" s="125">
        <v>2803032</v>
      </c>
      <c r="N308" s="148">
        <v>532576.07999999996</v>
      </c>
      <c r="O308" s="148">
        <v>0</v>
      </c>
      <c r="P308" s="149">
        <v>2.5000000000000001E-2</v>
      </c>
      <c r="Q308" s="148">
        <v>70075.8</v>
      </c>
      <c r="R308" s="150">
        <v>3265532.2800000003</v>
      </c>
      <c r="S3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8" s="135">
        <f ca="1">+IF(PROVEEDORES[[#This Row],[FECHA DE PAGO]]=0,TODAY()-PROVEEDORES[[#This Row],[FECHA DE FACTURACIÓN]]-PROVEEDORES[[#This Row],[PLAZO Días]],0)</f>
        <v>0</v>
      </c>
      <c r="U308" s="135" t="str">
        <f>+VLOOKUP(PROVEEDORES[[#This Row],[PROVEEDOR]],Terceros!$A:$D,4,FALSE)</f>
        <v>2,5% con base</v>
      </c>
      <c r="V308" s="135">
        <f>+YEAR(PROVEEDORES[[#This Row],[FECHA DE FACTURACIÓN]])</f>
        <v>2023</v>
      </c>
      <c r="W308" s="135">
        <f>+MATCH(PROVEEDORES[[#This Row],[año facturado]],Retenciones!$1:$1,0)</f>
        <v>6</v>
      </c>
      <c r="X308" s="136">
        <f>+VLOOKUP(PROVEEDORES[[#This Row],[ID RETENCION]],Retenciones!$A$1:$O$25,PROVEEDORES[[#This Row],[indicador de columna]],FALSE)</f>
        <v>1145000</v>
      </c>
      <c r="Y308" s="137">
        <f>+VLOOKUP(PROVEEDORES[[#This Row],[ID RETENCION]],Retenciones!$A$1:$O$25,2,FALSE)</f>
        <v>2.5000000000000001E-2</v>
      </c>
      <c r="Z308" s="126" t="b">
        <f>+OR(COUNTIF(PROVEEDORES[[#This Row],[PROVEEDOR]],"*"&amp;'Palabra que no opera y Listas d'!$A$2&amp;"*"))</f>
        <v>0</v>
      </c>
    </row>
    <row r="309" spans="1:26" ht="27.75" customHeight="1" x14ac:dyDescent="0.25">
      <c r="A309" s="141" t="str">
        <f>+IF(PROVEEDORES[[#This Row],[FECHA DE PAGO]]=PROVEEDORES[[#This Row],[FECHA DE FACTURACIÓN]],"DE CONTADO","CRÉDITO")</f>
        <v>CRÉDITO</v>
      </c>
      <c r="B309" s="138" t="b">
        <f>+IF((PROVEEDORES[[#This Row],[FECHA DE PAGO]]-PROVEEDORES[[#This Row],[FECHA DE FACTURACIÓN]])&gt;PROVEEDORES[[#This Row],[PLAZO Días]],"PAGO VENCIDO")</f>
        <v>0</v>
      </c>
      <c r="C309" s="138">
        <f>+VLOOKUP(PROVEEDORES[[#This Row],[PROVEEDOR]],TERCEROS_INFO[#All],2,FALSE)</f>
        <v>30</v>
      </c>
      <c r="D309" s="139">
        <f>+SUMIFS(PROVEEDORES[Total],PROVEEDORES[PROVEEDOR],PROVEEDORES[[#This Row],[PROVEEDOR]],PROVEEDORES[FECHA DE PAGO],"")</f>
        <v>0</v>
      </c>
      <c r="E309" s="140"/>
      <c r="F309" s="138" t="str">
        <f>+VLOOKUP(PROVEEDORES[[#This Row],[PROVEEDOR]],
                       Terceros!$A:$F,
                       5,
                       FALSE)</f>
        <v/>
      </c>
      <c r="G309" s="127">
        <v>45070</v>
      </c>
      <c r="H309" s="123" t="s">
        <v>481</v>
      </c>
      <c r="I309" s="127">
        <v>45069</v>
      </c>
      <c r="J309" s="124" t="s">
        <v>810</v>
      </c>
      <c r="K309" s="124" t="s">
        <v>1530</v>
      </c>
      <c r="L309" s="124"/>
      <c r="M309" s="125">
        <v>2566000</v>
      </c>
      <c r="N309" s="148">
        <v>0</v>
      </c>
      <c r="O309" s="148">
        <v>0</v>
      </c>
      <c r="P309" s="149">
        <v>0</v>
      </c>
      <c r="Q309" s="148">
        <v>0</v>
      </c>
      <c r="R309" s="150">
        <v>2566000</v>
      </c>
      <c r="S3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09" s="135">
        <f ca="1">+IF(PROVEEDORES[[#This Row],[FECHA DE PAGO]]=0,TODAY()-PROVEEDORES[[#This Row],[FECHA DE FACTURACIÓN]]-PROVEEDORES[[#This Row],[PLAZO Días]],0)</f>
        <v>0</v>
      </c>
      <c r="U309" s="135">
        <f>+VLOOKUP(PROVEEDORES[[#This Row],[PROVEEDOR]],Terceros!$A:$D,4,FALSE)</f>
        <v>0</v>
      </c>
      <c r="V309" s="135">
        <f>+YEAR(PROVEEDORES[[#This Row],[FECHA DE FACTURACIÓN]])</f>
        <v>2023</v>
      </c>
      <c r="W309" s="135">
        <f>+MATCH(PROVEEDORES[[#This Row],[año facturado]],Retenciones!$1:$1,0)</f>
        <v>6</v>
      </c>
      <c r="X309" s="136">
        <f>+VLOOKUP(PROVEEDORES[[#This Row],[ID RETENCION]],Retenciones!$A$1:$O$25,PROVEEDORES[[#This Row],[indicador de columna]],FALSE)</f>
        <v>0</v>
      </c>
      <c r="Y309" s="137">
        <f>+VLOOKUP(PROVEEDORES[[#This Row],[ID RETENCION]],Retenciones!$A$1:$O$25,2,FALSE)</f>
        <v>0</v>
      </c>
      <c r="Z309" s="126" t="b">
        <f>+OR(COUNTIF(PROVEEDORES[[#This Row],[PROVEEDOR]],"*"&amp;'Palabra que no opera y Listas d'!$A$2&amp;"*"))</f>
        <v>0</v>
      </c>
    </row>
    <row r="310" spans="1:26" ht="27.75" customHeight="1" x14ac:dyDescent="0.25">
      <c r="A310" s="141" t="str">
        <f>+IF(PROVEEDORES[[#This Row],[FECHA DE PAGO]]=PROVEEDORES[[#This Row],[FECHA DE FACTURACIÓN]],"DE CONTADO","CRÉDITO")</f>
        <v>DE CONTADO</v>
      </c>
      <c r="B310" s="138" t="b">
        <f>+IF((PROVEEDORES[[#This Row],[FECHA DE PAGO]]-PROVEEDORES[[#This Row],[FECHA DE FACTURACIÓN]])&gt;PROVEEDORES[[#This Row],[PLAZO Días]],"PAGO VENCIDO")</f>
        <v>0</v>
      </c>
      <c r="C310" s="138">
        <f>+VLOOKUP(PROVEEDORES[[#This Row],[PROVEEDOR]],TERCEROS_INFO[#All],2,FALSE)</f>
        <v>30</v>
      </c>
      <c r="D310" s="139">
        <f>+SUMIFS(PROVEEDORES[Total],PROVEEDORES[PROVEEDOR],PROVEEDORES[[#This Row],[PROVEEDOR]],PROVEEDORES[FECHA DE PAGO],"")</f>
        <v>0</v>
      </c>
      <c r="E310" s="140"/>
      <c r="F310" s="138" t="str">
        <f>+VLOOKUP(PROVEEDORES[[#This Row],[PROVEEDOR]],
                       Terceros!$A:$F,
                       5,
                       FALSE)</f>
        <v/>
      </c>
      <c r="G310" s="127">
        <v>45070</v>
      </c>
      <c r="H310" s="123" t="s">
        <v>525</v>
      </c>
      <c r="I310" s="127">
        <v>45070</v>
      </c>
      <c r="J310" s="124" t="s">
        <v>807</v>
      </c>
      <c r="K310" s="124" t="s">
        <v>1530</v>
      </c>
      <c r="L310" s="124"/>
      <c r="M310" s="125">
        <v>432000</v>
      </c>
      <c r="N310" s="148">
        <v>0</v>
      </c>
      <c r="O310" s="148">
        <v>0</v>
      </c>
      <c r="P310" s="149">
        <v>0</v>
      </c>
      <c r="Q310" s="148">
        <v>0</v>
      </c>
      <c r="R310" s="150">
        <v>432000</v>
      </c>
      <c r="S3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0" s="135">
        <f ca="1">+IF(PROVEEDORES[[#This Row],[FECHA DE PAGO]]=0,TODAY()-PROVEEDORES[[#This Row],[FECHA DE FACTURACIÓN]]-PROVEEDORES[[#This Row],[PLAZO Días]],0)</f>
        <v>0</v>
      </c>
      <c r="U310" s="135">
        <f>+VLOOKUP(PROVEEDORES[[#This Row],[PROVEEDOR]],Terceros!$A:$D,4,FALSE)</f>
        <v>0</v>
      </c>
      <c r="V310" s="135">
        <f>+YEAR(PROVEEDORES[[#This Row],[FECHA DE FACTURACIÓN]])</f>
        <v>2023</v>
      </c>
      <c r="W310" s="135">
        <f>+MATCH(PROVEEDORES[[#This Row],[año facturado]],Retenciones!$1:$1,0)</f>
        <v>6</v>
      </c>
      <c r="X310" s="136">
        <f>+VLOOKUP(PROVEEDORES[[#This Row],[ID RETENCION]],Retenciones!$A$1:$O$25,PROVEEDORES[[#This Row],[indicador de columna]],FALSE)</f>
        <v>0</v>
      </c>
      <c r="Y310" s="137">
        <f>+VLOOKUP(PROVEEDORES[[#This Row],[ID RETENCION]],Retenciones!$A$1:$O$25,2,FALSE)</f>
        <v>0</v>
      </c>
      <c r="Z310" s="126" t="b">
        <f>+OR(COUNTIF(PROVEEDORES[[#This Row],[PROVEEDOR]],"*"&amp;'Palabra que no opera y Listas d'!$A$2&amp;"*"))</f>
        <v>0</v>
      </c>
    </row>
    <row r="311" spans="1:26" ht="27.75" customHeight="1" x14ac:dyDescent="0.25">
      <c r="A311" s="141" t="str">
        <f>+IF(PROVEEDORES[[#This Row],[FECHA DE PAGO]]=PROVEEDORES[[#This Row],[FECHA DE FACTURACIÓN]],"DE CONTADO","CRÉDITO")</f>
        <v>DE CONTADO</v>
      </c>
      <c r="B311" s="138" t="b">
        <f>+IF((PROVEEDORES[[#This Row],[FECHA DE PAGO]]-PROVEEDORES[[#This Row],[FECHA DE FACTURACIÓN]])&gt;PROVEEDORES[[#This Row],[PLAZO Días]],"PAGO VENCIDO")</f>
        <v>0</v>
      </c>
      <c r="C311" s="138">
        <f>+VLOOKUP(PROVEEDORES[[#This Row],[PROVEEDOR]],TERCEROS_INFO[#All],2,FALSE)</f>
        <v>30</v>
      </c>
      <c r="D311" s="139">
        <f>+SUMIFS(PROVEEDORES[Total],PROVEEDORES[PROVEEDOR],PROVEEDORES[[#This Row],[PROVEEDOR]],PROVEEDORES[FECHA DE PAGO],"")</f>
        <v>0</v>
      </c>
      <c r="E311" s="140"/>
      <c r="F311" s="138" t="str">
        <f>+VLOOKUP(PROVEEDORES[[#This Row],[PROVEEDOR]],
                       Terceros!$A:$F,
                       5,
                       FALSE)</f>
        <v/>
      </c>
      <c r="G311" s="127">
        <v>45070</v>
      </c>
      <c r="H311" s="123" t="s">
        <v>36</v>
      </c>
      <c r="I311" s="127">
        <v>45070</v>
      </c>
      <c r="J311" s="124" t="s">
        <v>803</v>
      </c>
      <c r="K311" s="124" t="s">
        <v>1530</v>
      </c>
      <c r="L311" s="124"/>
      <c r="M311" s="125">
        <v>1547900</v>
      </c>
      <c r="N311" s="148">
        <v>294101</v>
      </c>
      <c r="O311" s="148">
        <v>0</v>
      </c>
      <c r="P311" s="149">
        <v>2.5000000000000001E-2</v>
      </c>
      <c r="Q311" s="148">
        <v>38697.5</v>
      </c>
      <c r="R311" s="150">
        <v>1803303.5</v>
      </c>
      <c r="S3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1" s="135">
        <f ca="1">+IF(PROVEEDORES[[#This Row],[FECHA DE PAGO]]=0,TODAY()-PROVEEDORES[[#This Row],[FECHA DE FACTURACIÓN]]-PROVEEDORES[[#This Row],[PLAZO Días]],0)</f>
        <v>0</v>
      </c>
      <c r="U311" s="135" t="str">
        <f>+VLOOKUP(PROVEEDORES[[#This Row],[PROVEEDOR]],Terceros!$A:$D,4,FALSE)</f>
        <v>2,5% con base</v>
      </c>
      <c r="V311" s="135">
        <f>+YEAR(PROVEEDORES[[#This Row],[FECHA DE FACTURACIÓN]])</f>
        <v>2023</v>
      </c>
      <c r="W311" s="135">
        <f>+MATCH(PROVEEDORES[[#This Row],[año facturado]],Retenciones!$1:$1,0)</f>
        <v>6</v>
      </c>
      <c r="X311" s="136">
        <f>+VLOOKUP(PROVEEDORES[[#This Row],[ID RETENCION]],Retenciones!$A$1:$O$25,PROVEEDORES[[#This Row],[indicador de columna]],FALSE)</f>
        <v>1145000</v>
      </c>
      <c r="Y311" s="137">
        <f>+VLOOKUP(PROVEEDORES[[#This Row],[ID RETENCION]],Retenciones!$A$1:$O$25,2,FALSE)</f>
        <v>2.5000000000000001E-2</v>
      </c>
      <c r="Z311" s="126" t="b">
        <f>+OR(COUNTIF(PROVEEDORES[[#This Row],[PROVEEDOR]],"*"&amp;'Palabra que no opera y Listas d'!$A$2&amp;"*"))</f>
        <v>0</v>
      </c>
    </row>
    <row r="312" spans="1:26" ht="27.75" customHeight="1" x14ac:dyDescent="0.25">
      <c r="A312" s="141" t="str">
        <f>+IF(PROVEEDORES[[#This Row],[FECHA DE PAGO]]=PROVEEDORES[[#This Row],[FECHA DE FACTURACIÓN]],"DE CONTADO","CRÉDITO")</f>
        <v>CRÉDITO</v>
      </c>
      <c r="B312" s="138" t="str">
        <f>+IF((PROVEEDORES[[#This Row],[FECHA DE PAGO]]-PROVEEDORES[[#This Row],[FECHA DE FACTURACIÓN]])&gt;PROVEEDORES[[#This Row],[PLAZO Días]],"PAGO VENCIDO")</f>
        <v>PAGO VENCIDO</v>
      </c>
      <c r="C312" s="138">
        <f>+VLOOKUP(PROVEEDORES[[#This Row],[PROVEEDOR]],TERCEROS_INFO[#All],2,FALSE)</f>
        <v>60</v>
      </c>
      <c r="D312" s="139">
        <f>+SUMIFS(PROVEEDORES[Total],PROVEEDORES[PROVEEDOR],PROVEEDORES[[#This Row],[PROVEEDOR]],PROVEEDORES[FECHA DE PAGO],"")</f>
        <v>19124998.199999999</v>
      </c>
      <c r="E312" s="140"/>
      <c r="F312" s="13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312" s="127">
        <v>45071</v>
      </c>
      <c r="H312" s="123" t="s">
        <v>30</v>
      </c>
      <c r="I312" s="127">
        <v>45002</v>
      </c>
      <c r="J312" s="124">
        <v>58569</v>
      </c>
      <c r="K312" s="124" t="s">
        <v>1530</v>
      </c>
      <c r="L312" s="124"/>
      <c r="M312" s="125">
        <v>49998153.799999997</v>
      </c>
      <c r="N312" s="148">
        <v>0</v>
      </c>
      <c r="O312" s="148">
        <v>0</v>
      </c>
      <c r="P312" s="149">
        <v>0</v>
      </c>
      <c r="Q312" s="148">
        <v>0</v>
      </c>
      <c r="R312" s="150">
        <v>49998153.799999997</v>
      </c>
      <c r="S3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2" s="135">
        <f ca="1">+IF(PROVEEDORES[[#This Row],[FECHA DE PAGO]]=0,TODAY()-PROVEEDORES[[#This Row],[FECHA DE FACTURACIÓN]]-PROVEEDORES[[#This Row],[PLAZO Días]],0)</f>
        <v>0</v>
      </c>
      <c r="U312" s="135">
        <f>+VLOOKUP(PROVEEDORES[[#This Row],[PROVEEDOR]],Terceros!$A:$D,4,FALSE)</f>
        <v>0</v>
      </c>
      <c r="V312" s="135">
        <f>+YEAR(PROVEEDORES[[#This Row],[FECHA DE FACTURACIÓN]])</f>
        <v>2023</v>
      </c>
      <c r="W312" s="135">
        <f>+MATCH(PROVEEDORES[[#This Row],[año facturado]],Retenciones!$1:$1,0)</f>
        <v>6</v>
      </c>
      <c r="X312" s="136">
        <f>+VLOOKUP(PROVEEDORES[[#This Row],[ID RETENCION]],Retenciones!$A$1:$O$25,PROVEEDORES[[#This Row],[indicador de columna]],FALSE)</f>
        <v>0</v>
      </c>
      <c r="Y312" s="137">
        <f>+VLOOKUP(PROVEEDORES[[#This Row],[ID RETENCION]],Retenciones!$A$1:$O$25,2,FALSE)</f>
        <v>0</v>
      </c>
      <c r="Z312" s="126" t="b">
        <f>+OR(COUNTIF(PROVEEDORES[[#This Row],[PROVEEDOR]],"*"&amp;'Palabra que no opera y Listas d'!$A$2&amp;"*"))</f>
        <v>0</v>
      </c>
    </row>
    <row r="313" spans="1:26" ht="27.75" customHeight="1" x14ac:dyDescent="0.25">
      <c r="A313" s="141" t="str">
        <f>+IF(PROVEEDORES[[#This Row],[FECHA DE PAGO]]=PROVEEDORES[[#This Row],[FECHA DE FACTURACIÓN]],"DE CONTADO","CRÉDITO")</f>
        <v>CRÉDITO</v>
      </c>
      <c r="B313" s="138" t="str">
        <f>+IF((PROVEEDORES[[#This Row],[FECHA DE PAGO]]-PROVEEDORES[[#This Row],[FECHA DE FACTURACIÓN]])&gt;PROVEEDORES[[#This Row],[PLAZO Días]],"PAGO VENCIDO")</f>
        <v>PAGO VENCIDO</v>
      </c>
      <c r="C313" s="138">
        <f>+VLOOKUP(PROVEEDORES[[#This Row],[PROVEEDOR]],TERCEROS_INFO[#All],2,FALSE)</f>
        <v>30</v>
      </c>
      <c r="D313" s="139">
        <f>+SUMIFS(PROVEEDORES[Total],PROVEEDORES[PROVEEDOR],PROVEEDORES[[#This Row],[PROVEEDOR]],PROVEEDORES[FECHA DE PAGO],"")</f>
        <v>0</v>
      </c>
      <c r="E313" s="140"/>
      <c r="F313" s="138" t="str">
        <f>+VLOOKUP(PROVEEDORES[[#This Row],[PROVEEDOR]],
                       Terceros!$A:$F,
                       5,
                       FALSE)</f>
        <v/>
      </c>
      <c r="G313" s="127">
        <v>45075</v>
      </c>
      <c r="H313" s="123" t="s">
        <v>1816</v>
      </c>
      <c r="I313" s="127">
        <v>45021</v>
      </c>
      <c r="J313" s="124" t="s">
        <v>723</v>
      </c>
      <c r="K313" s="124" t="s">
        <v>1530</v>
      </c>
      <c r="L313" s="124"/>
      <c r="M313" s="125">
        <v>306000</v>
      </c>
      <c r="N313" s="148">
        <v>0</v>
      </c>
      <c r="O313" s="148">
        <v>0</v>
      </c>
      <c r="P313" s="149">
        <v>0</v>
      </c>
      <c r="Q313" s="148">
        <v>0</v>
      </c>
      <c r="R313" s="150">
        <v>306000</v>
      </c>
      <c r="S3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3" s="135">
        <f ca="1">+IF(PROVEEDORES[[#This Row],[FECHA DE PAGO]]=0,TODAY()-PROVEEDORES[[#This Row],[FECHA DE FACTURACIÓN]]-PROVEEDORES[[#This Row],[PLAZO Días]],0)</f>
        <v>0</v>
      </c>
      <c r="U313" s="135">
        <f>+VLOOKUP(PROVEEDORES[[#This Row],[PROVEEDOR]],Terceros!$A:$D,4,FALSE)</f>
        <v>0</v>
      </c>
      <c r="V313" s="135">
        <f>+YEAR(PROVEEDORES[[#This Row],[FECHA DE FACTURACIÓN]])</f>
        <v>2023</v>
      </c>
      <c r="W313" s="135">
        <f>+MATCH(PROVEEDORES[[#This Row],[año facturado]],Retenciones!$1:$1,0)</f>
        <v>6</v>
      </c>
      <c r="X313" s="136">
        <f>+VLOOKUP(PROVEEDORES[[#This Row],[ID RETENCION]],Retenciones!$A$1:$O$25,PROVEEDORES[[#This Row],[indicador de columna]],FALSE)</f>
        <v>0</v>
      </c>
      <c r="Y313" s="137">
        <f>+VLOOKUP(PROVEEDORES[[#This Row],[ID RETENCION]],Retenciones!$A$1:$O$25,2,FALSE)</f>
        <v>0</v>
      </c>
      <c r="Z313" s="126" t="b">
        <f>+OR(COUNTIF(PROVEEDORES[[#This Row],[PROVEEDOR]],"*"&amp;'Palabra que no opera y Listas d'!$A$2&amp;"*"))</f>
        <v>0</v>
      </c>
    </row>
    <row r="314" spans="1:26" ht="27.75" customHeight="1" x14ac:dyDescent="0.25">
      <c r="A314" s="141" t="str">
        <f>+IF(PROVEEDORES[[#This Row],[FECHA DE PAGO]]=PROVEEDORES[[#This Row],[FECHA DE FACTURACIÓN]],"DE CONTADO","CRÉDITO")</f>
        <v>CRÉDITO</v>
      </c>
      <c r="B314" s="138" t="str">
        <f>+IF((PROVEEDORES[[#This Row],[FECHA DE PAGO]]-PROVEEDORES[[#This Row],[FECHA DE FACTURACIÓN]])&gt;PROVEEDORES[[#This Row],[PLAZO Días]],"PAGO VENCIDO")</f>
        <v>PAGO VENCIDO</v>
      </c>
      <c r="C314" s="138">
        <f>+VLOOKUP(PROVEEDORES[[#This Row],[PROVEEDOR]],TERCEROS_INFO[#All],2,FALSE)</f>
        <v>30</v>
      </c>
      <c r="D314" s="139">
        <f>+SUMIFS(PROVEEDORES[Total],PROVEEDORES[PROVEEDOR],PROVEEDORES[[#This Row],[PROVEEDOR]],PROVEEDORES[FECHA DE PAGO],"")</f>
        <v>5581100</v>
      </c>
      <c r="E314" s="140"/>
      <c r="F314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314" s="127">
        <v>45075</v>
      </c>
      <c r="H314" s="123" t="s">
        <v>446</v>
      </c>
      <c r="I314" s="127">
        <v>45035</v>
      </c>
      <c r="J314" s="124" t="s">
        <v>740</v>
      </c>
      <c r="K314" s="124" t="s">
        <v>1530</v>
      </c>
      <c r="L314" s="124"/>
      <c r="M314" s="125">
        <v>5040000</v>
      </c>
      <c r="N314" s="148">
        <v>957600</v>
      </c>
      <c r="O314" s="148">
        <v>0</v>
      </c>
      <c r="P314" s="149">
        <v>0</v>
      </c>
      <c r="Q314" s="148">
        <v>0</v>
      </c>
      <c r="R314" s="150">
        <v>5997600</v>
      </c>
      <c r="S3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4" s="135">
        <f ca="1">+IF(PROVEEDORES[[#This Row],[FECHA DE PAGO]]=0,TODAY()-PROVEEDORES[[#This Row],[FECHA DE FACTURACIÓN]]-PROVEEDORES[[#This Row],[PLAZO Días]],0)</f>
        <v>0</v>
      </c>
      <c r="U314" s="135">
        <f>+VLOOKUP(PROVEEDORES[[#This Row],[PROVEEDOR]],Terceros!$A:$D,4,FALSE)</f>
        <v>0</v>
      </c>
      <c r="V314" s="135">
        <f>+YEAR(PROVEEDORES[[#This Row],[FECHA DE FACTURACIÓN]])</f>
        <v>2023</v>
      </c>
      <c r="W314" s="135">
        <f>+MATCH(PROVEEDORES[[#This Row],[año facturado]],Retenciones!$1:$1,0)</f>
        <v>6</v>
      </c>
      <c r="X314" s="136">
        <f>+VLOOKUP(PROVEEDORES[[#This Row],[ID RETENCION]],Retenciones!$A$1:$O$25,PROVEEDORES[[#This Row],[indicador de columna]],FALSE)</f>
        <v>0</v>
      </c>
      <c r="Y314" s="137">
        <f>+VLOOKUP(PROVEEDORES[[#This Row],[ID RETENCION]],Retenciones!$A$1:$O$25,2,FALSE)</f>
        <v>0</v>
      </c>
      <c r="Z314" s="126" t="b">
        <f>+OR(COUNTIF(PROVEEDORES[[#This Row],[PROVEEDOR]],"*"&amp;'Palabra que no opera y Listas d'!$A$2&amp;"*"))</f>
        <v>0</v>
      </c>
    </row>
    <row r="315" spans="1:26" ht="27.75" customHeight="1" x14ac:dyDescent="0.25">
      <c r="A315" s="141" t="str">
        <f>+IF(PROVEEDORES[[#This Row],[FECHA DE PAGO]]=PROVEEDORES[[#This Row],[FECHA DE FACTURACIÓN]],"DE CONTADO","CRÉDITO")</f>
        <v>CRÉDITO</v>
      </c>
      <c r="B315" s="138" t="str">
        <f>+IF((PROVEEDORES[[#This Row],[FECHA DE PAGO]]-PROVEEDORES[[#This Row],[FECHA DE FACTURACIÓN]])&gt;PROVEEDORES[[#This Row],[PLAZO Días]],"PAGO VENCIDO")</f>
        <v>PAGO VENCIDO</v>
      </c>
      <c r="C315" s="138">
        <f>+VLOOKUP(PROVEEDORES[[#This Row],[PROVEEDOR]],TERCEROS_INFO[#All],2,FALSE)</f>
        <v>30</v>
      </c>
      <c r="D315" s="139">
        <f>+SUMIFS(PROVEEDORES[Total],PROVEEDORES[PROVEEDOR],PROVEEDORES[[#This Row],[PROVEEDOR]],PROVEEDORES[FECHA DE PAGO],"")</f>
        <v>1776037.21</v>
      </c>
      <c r="E315" s="140"/>
      <c r="F315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315" s="127">
        <v>45075</v>
      </c>
      <c r="H315" s="123" t="s">
        <v>17</v>
      </c>
      <c r="I315" s="127">
        <v>45037</v>
      </c>
      <c r="J315" s="124" t="s">
        <v>741</v>
      </c>
      <c r="K315" s="124" t="s">
        <v>1530</v>
      </c>
      <c r="L315" s="124"/>
      <c r="M315" s="125">
        <v>586530</v>
      </c>
      <c r="N315" s="148">
        <v>111440.7</v>
      </c>
      <c r="O315" s="148">
        <v>0</v>
      </c>
      <c r="P315" s="149">
        <v>0</v>
      </c>
      <c r="Q315" s="148">
        <v>0</v>
      </c>
      <c r="R315" s="150">
        <v>697970.7</v>
      </c>
      <c r="S3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5" s="135">
        <f ca="1">+IF(PROVEEDORES[[#This Row],[FECHA DE PAGO]]=0,TODAY()-PROVEEDORES[[#This Row],[FECHA DE FACTURACIÓN]]-PROVEEDORES[[#This Row],[PLAZO Días]],0)</f>
        <v>0</v>
      </c>
      <c r="U315" s="135">
        <f>+VLOOKUP(PROVEEDORES[[#This Row],[PROVEEDOR]],Terceros!$A:$D,4,FALSE)</f>
        <v>0</v>
      </c>
      <c r="V315" s="135">
        <f>+YEAR(PROVEEDORES[[#This Row],[FECHA DE FACTURACIÓN]])</f>
        <v>2023</v>
      </c>
      <c r="W315" s="135">
        <f>+MATCH(PROVEEDORES[[#This Row],[año facturado]],Retenciones!$1:$1,0)</f>
        <v>6</v>
      </c>
      <c r="X315" s="136">
        <f>+VLOOKUP(PROVEEDORES[[#This Row],[ID RETENCION]],Retenciones!$A$1:$O$25,PROVEEDORES[[#This Row],[indicador de columna]],FALSE)</f>
        <v>0</v>
      </c>
      <c r="Y315" s="137">
        <f>+VLOOKUP(PROVEEDORES[[#This Row],[ID RETENCION]],Retenciones!$A$1:$O$25,2,FALSE)</f>
        <v>0</v>
      </c>
      <c r="Z315" s="126" t="b">
        <f>+OR(COUNTIF(PROVEEDORES[[#This Row],[PROVEEDOR]],"*"&amp;'Palabra que no opera y Listas d'!$A$2&amp;"*"))</f>
        <v>0</v>
      </c>
    </row>
    <row r="316" spans="1:26" ht="27.75" customHeight="1" x14ac:dyDescent="0.25">
      <c r="A316" s="141" t="str">
        <f>+IF(PROVEEDORES[[#This Row],[FECHA DE PAGO]]=PROVEEDORES[[#This Row],[FECHA DE FACTURACIÓN]],"DE CONTADO","CRÉDITO")</f>
        <v>CRÉDITO</v>
      </c>
      <c r="B316" s="138" t="b">
        <f>+IF((PROVEEDORES[[#This Row],[FECHA DE PAGO]]-PROVEEDORES[[#This Row],[FECHA DE FACTURACIÓN]])&gt;PROVEEDORES[[#This Row],[PLAZO Días]],"PAGO VENCIDO")</f>
        <v>0</v>
      </c>
      <c r="C316" s="138">
        <f>+VLOOKUP(PROVEEDORES[[#This Row],[PROVEEDOR]],TERCEROS_INFO[#All],2,FALSE)</f>
        <v>30</v>
      </c>
      <c r="D316" s="139">
        <f>+SUMIFS(PROVEEDORES[Total],PROVEEDORES[PROVEEDOR],PROVEEDORES[[#This Row],[PROVEEDOR]],PROVEEDORES[FECHA DE PAGO],"")</f>
        <v>0</v>
      </c>
      <c r="E316" s="140"/>
      <c r="F316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316" s="127">
        <v>45075</v>
      </c>
      <c r="H316" s="123" t="s">
        <v>382</v>
      </c>
      <c r="I316" s="127">
        <v>45047</v>
      </c>
      <c r="J316" s="124" t="s">
        <v>769</v>
      </c>
      <c r="K316" s="124" t="s">
        <v>1530</v>
      </c>
      <c r="L316" s="124"/>
      <c r="M316" s="125">
        <v>934499</v>
      </c>
      <c r="N316" s="148">
        <v>0</v>
      </c>
      <c r="O316" s="148">
        <v>0</v>
      </c>
      <c r="P316" s="149">
        <v>0</v>
      </c>
      <c r="Q316" s="148">
        <v>0</v>
      </c>
      <c r="R316" s="150">
        <v>934499</v>
      </c>
      <c r="S3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6" s="135">
        <f ca="1">+IF(PROVEEDORES[[#This Row],[FECHA DE PAGO]]=0,TODAY()-PROVEEDORES[[#This Row],[FECHA DE FACTURACIÓN]]-PROVEEDORES[[#This Row],[PLAZO Días]],0)</f>
        <v>0</v>
      </c>
      <c r="U316" s="135">
        <f>+VLOOKUP(PROVEEDORES[[#This Row],[PROVEEDOR]],Terceros!$A:$D,4,FALSE)</f>
        <v>0</v>
      </c>
      <c r="V316" s="135">
        <f>+YEAR(PROVEEDORES[[#This Row],[FECHA DE FACTURACIÓN]])</f>
        <v>2023</v>
      </c>
      <c r="W316" s="135">
        <f>+MATCH(PROVEEDORES[[#This Row],[año facturado]],Retenciones!$1:$1,0)</f>
        <v>6</v>
      </c>
      <c r="X316" s="136">
        <f>+VLOOKUP(PROVEEDORES[[#This Row],[ID RETENCION]],Retenciones!$A$1:$O$25,PROVEEDORES[[#This Row],[indicador de columna]],FALSE)</f>
        <v>0</v>
      </c>
      <c r="Y316" s="137">
        <f>+VLOOKUP(PROVEEDORES[[#This Row],[ID RETENCION]],Retenciones!$A$1:$O$25,2,FALSE)</f>
        <v>0</v>
      </c>
      <c r="Z316" s="126" t="b">
        <f>+OR(COUNTIF(PROVEEDORES[[#This Row],[PROVEEDOR]],"*"&amp;'Palabra que no opera y Listas d'!$A$2&amp;"*"))</f>
        <v>1</v>
      </c>
    </row>
    <row r="317" spans="1:26" ht="27.75" customHeight="1" x14ac:dyDescent="0.25">
      <c r="A317" s="141" t="str">
        <f>+IF(PROVEEDORES[[#This Row],[FECHA DE PAGO]]=PROVEEDORES[[#This Row],[FECHA DE FACTURACIÓN]],"DE CONTADO","CRÉDITO")</f>
        <v>CRÉDITO</v>
      </c>
      <c r="B317" s="138" t="b">
        <f>+IF((PROVEEDORES[[#This Row],[FECHA DE PAGO]]-PROVEEDORES[[#This Row],[FECHA DE FACTURACIÓN]])&gt;PROVEEDORES[[#This Row],[PLAZO Días]],"PAGO VENCIDO")</f>
        <v>0</v>
      </c>
      <c r="C317" s="138">
        <f>+VLOOKUP(PROVEEDORES[[#This Row],[PROVEEDOR]],TERCEROS_INFO[#All],2,FALSE)</f>
        <v>30</v>
      </c>
      <c r="D317" s="139">
        <f>+SUMIFS(PROVEEDORES[Total],PROVEEDORES[PROVEEDOR],PROVEEDORES[[#This Row],[PROVEEDOR]],PROVEEDORES[FECHA DE PAGO],"")</f>
        <v>0</v>
      </c>
      <c r="E317" s="140"/>
      <c r="F317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317" s="127">
        <v>45075</v>
      </c>
      <c r="H317" s="123" t="s">
        <v>382</v>
      </c>
      <c r="I317" s="127">
        <v>45047</v>
      </c>
      <c r="J317" s="124" t="s">
        <v>768</v>
      </c>
      <c r="K317" s="124" t="s">
        <v>1530</v>
      </c>
      <c r="L317" s="124"/>
      <c r="M317" s="125">
        <v>913261</v>
      </c>
      <c r="N317" s="148">
        <v>0</v>
      </c>
      <c r="O317" s="148">
        <v>0</v>
      </c>
      <c r="P317" s="149">
        <v>0</v>
      </c>
      <c r="Q317" s="148">
        <v>0</v>
      </c>
      <c r="R317" s="150">
        <v>913261</v>
      </c>
      <c r="S3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7" s="135">
        <f ca="1">+IF(PROVEEDORES[[#This Row],[FECHA DE PAGO]]=0,TODAY()-PROVEEDORES[[#This Row],[FECHA DE FACTURACIÓN]]-PROVEEDORES[[#This Row],[PLAZO Días]],0)</f>
        <v>0</v>
      </c>
      <c r="U317" s="135">
        <f>+VLOOKUP(PROVEEDORES[[#This Row],[PROVEEDOR]],Terceros!$A:$D,4,FALSE)</f>
        <v>0</v>
      </c>
      <c r="V317" s="135">
        <f>+YEAR(PROVEEDORES[[#This Row],[FECHA DE FACTURACIÓN]])</f>
        <v>2023</v>
      </c>
      <c r="W317" s="135">
        <f>+MATCH(PROVEEDORES[[#This Row],[año facturado]],Retenciones!$1:$1,0)</f>
        <v>6</v>
      </c>
      <c r="X317" s="136">
        <f>+VLOOKUP(PROVEEDORES[[#This Row],[ID RETENCION]],Retenciones!$A$1:$O$25,PROVEEDORES[[#This Row],[indicador de columna]],FALSE)</f>
        <v>0</v>
      </c>
      <c r="Y317" s="137">
        <f>+VLOOKUP(PROVEEDORES[[#This Row],[ID RETENCION]],Retenciones!$A$1:$O$25,2,FALSE)</f>
        <v>0</v>
      </c>
      <c r="Z317" s="126" t="b">
        <f>+OR(COUNTIF(PROVEEDORES[[#This Row],[PROVEEDOR]],"*"&amp;'Palabra que no opera y Listas d'!$A$2&amp;"*"))</f>
        <v>1</v>
      </c>
    </row>
    <row r="318" spans="1:26" ht="27.75" customHeight="1" x14ac:dyDescent="0.25">
      <c r="A318" s="141" t="str">
        <f>+IF(PROVEEDORES[[#This Row],[FECHA DE PAGO]]=PROVEEDORES[[#This Row],[FECHA DE FACTURACIÓN]],"DE CONTADO","CRÉDITO")</f>
        <v>DE CONTADO</v>
      </c>
      <c r="B318" s="138" t="b">
        <f>+IF((PROVEEDORES[[#This Row],[FECHA DE PAGO]]-PROVEEDORES[[#This Row],[FECHA DE FACTURACIÓN]])&gt;PROVEEDORES[[#This Row],[PLAZO Días]],"PAGO VENCIDO")</f>
        <v>0</v>
      </c>
      <c r="C318" s="138">
        <f>+VLOOKUP(PROVEEDORES[[#This Row],[PROVEEDOR]],TERCEROS_INFO[#All],2,FALSE)</f>
        <v>30</v>
      </c>
      <c r="D318" s="139">
        <f>+SUMIFS(PROVEEDORES[Total],PROVEEDORES[PROVEEDOR],PROVEEDORES[[#This Row],[PROVEEDOR]],PROVEEDORES[FECHA DE PAGO],"")</f>
        <v>0</v>
      </c>
      <c r="E318" s="140"/>
      <c r="F318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318" s="127">
        <v>45075</v>
      </c>
      <c r="H318" s="123" t="s">
        <v>380</v>
      </c>
      <c r="I318" s="127">
        <v>45075</v>
      </c>
      <c r="J318" s="124" t="s">
        <v>804</v>
      </c>
      <c r="K318" s="124" t="s">
        <v>1530</v>
      </c>
      <c r="L318" s="124"/>
      <c r="M318" s="125">
        <v>3456200</v>
      </c>
      <c r="N318" s="148">
        <v>0</v>
      </c>
      <c r="O318" s="148">
        <v>0</v>
      </c>
      <c r="P318" s="149">
        <v>3.5000000000000003E-2</v>
      </c>
      <c r="Q318" s="148">
        <v>120967.00000000001</v>
      </c>
      <c r="R318" s="150">
        <v>3335233</v>
      </c>
      <c r="S3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8" s="135">
        <f ca="1">+IF(PROVEEDORES[[#This Row],[FECHA DE PAGO]]=0,TODAY()-PROVEEDORES[[#This Row],[FECHA DE FACTURACIÓN]]-PROVEEDORES[[#This Row],[PLAZO Días]],0)</f>
        <v>0</v>
      </c>
      <c r="U318" s="135" t="str">
        <f>+VLOOKUP(PROVEEDORES[[#This Row],[PROVEEDOR]],Terceros!$A:$D,4,FALSE)</f>
        <v>3,5% sin base</v>
      </c>
      <c r="V318" s="135">
        <f>+YEAR(PROVEEDORES[[#This Row],[FECHA DE FACTURACIÓN]])</f>
        <v>2023</v>
      </c>
      <c r="W318" s="135">
        <f>+MATCH(PROVEEDORES[[#This Row],[año facturado]],Retenciones!$1:$1,0)</f>
        <v>6</v>
      </c>
      <c r="X318" s="136">
        <f>+VLOOKUP(PROVEEDORES[[#This Row],[ID RETENCION]],Retenciones!$A$1:$O$25,PROVEEDORES[[#This Row],[indicador de columna]],FALSE)</f>
        <v>0</v>
      </c>
      <c r="Y318" s="137">
        <f>+VLOOKUP(PROVEEDORES[[#This Row],[ID RETENCION]],Retenciones!$A$1:$O$25,2,FALSE)</f>
        <v>3.5000000000000003E-2</v>
      </c>
      <c r="Z318" s="126" t="b">
        <f>+OR(COUNTIF(PROVEEDORES[[#This Row],[PROVEEDOR]],"*"&amp;'Palabra que no opera y Listas d'!$A$2&amp;"*"))</f>
        <v>1</v>
      </c>
    </row>
    <row r="319" spans="1:26" ht="27.75" customHeight="1" x14ac:dyDescent="0.25">
      <c r="A319" s="141" t="str">
        <f>+IF(PROVEEDORES[[#This Row],[FECHA DE PAGO]]=PROVEEDORES[[#This Row],[FECHA DE FACTURACIÓN]],"DE CONTADO","CRÉDITO")</f>
        <v>DE CONTADO</v>
      </c>
      <c r="B319" s="138" t="b">
        <f>+IF((PROVEEDORES[[#This Row],[FECHA DE PAGO]]-PROVEEDORES[[#This Row],[FECHA DE FACTURACIÓN]])&gt;PROVEEDORES[[#This Row],[PLAZO Días]],"PAGO VENCIDO")</f>
        <v>0</v>
      </c>
      <c r="C319" s="138">
        <f>+VLOOKUP(PROVEEDORES[[#This Row],[PROVEEDOR]],TERCEROS_INFO[#All],2,FALSE)</f>
        <v>30</v>
      </c>
      <c r="D319" s="139">
        <f>+SUMIFS(PROVEEDORES[Total],PROVEEDORES[PROVEEDOR],PROVEEDORES[[#This Row],[PROVEEDOR]],PROVEEDORES[FECHA DE PAGO],"")</f>
        <v>1695707.16</v>
      </c>
      <c r="E319" s="140"/>
      <c r="F319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319" s="127">
        <v>45075</v>
      </c>
      <c r="H319" s="123" t="s">
        <v>194</v>
      </c>
      <c r="I319" s="127">
        <v>45075</v>
      </c>
      <c r="J319" s="124" t="s">
        <v>805</v>
      </c>
      <c r="K319" s="124" t="s">
        <v>1530</v>
      </c>
      <c r="L319" s="124"/>
      <c r="M319" s="125">
        <v>396847</v>
      </c>
      <c r="N319" s="148">
        <v>75400.930000000008</v>
      </c>
      <c r="O319" s="148">
        <v>0</v>
      </c>
      <c r="P319" s="149">
        <v>0</v>
      </c>
      <c r="Q319" s="148">
        <v>0</v>
      </c>
      <c r="R319" s="150">
        <v>472247.93</v>
      </c>
      <c r="S3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19" s="135">
        <f ca="1">+IF(PROVEEDORES[[#This Row],[FECHA DE PAGO]]=0,TODAY()-PROVEEDORES[[#This Row],[FECHA DE FACTURACIÓN]]-PROVEEDORES[[#This Row],[PLAZO Días]],0)</f>
        <v>0</v>
      </c>
      <c r="U319" s="135">
        <f>+VLOOKUP(PROVEEDORES[[#This Row],[PROVEEDOR]],Terceros!$A:$D,4,FALSE)</f>
        <v>0</v>
      </c>
      <c r="V319" s="135">
        <f>+YEAR(PROVEEDORES[[#This Row],[FECHA DE FACTURACIÓN]])</f>
        <v>2023</v>
      </c>
      <c r="W319" s="135">
        <f>+MATCH(PROVEEDORES[[#This Row],[año facturado]],Retenciones!$1:$1,0)</f>
        <v>6</v>
      </c>
      <c r="X319" s="136">
        <f>+VLOOKUP(PROVEEDORES[[#This Row],[ID RETENCION]],Retenciones!$A$1:$O$25,PROVEEDORES[[#This Row],[indicador de columna]],FALSE)</f>
        <v>0</v>
      </c>
      <c r="Y319" s="137">
        <f>+VLOOKUP(PROVEEDORES[[#This Row],[ID RETENCION]],Retenciones!$A$1:$O$25,2,FALSE)</f>
        <v>0</v>
      </c>
      <c r="Z319" s="126" t="b">
        <f>+OR(COUNTIF(PROVEEDORES[[#This Row],[PROVEEDOR]],"*"&amp;'Palabra que no opera y Listas d'!$A$2&amp;"*"))</f>
        <v>0</v>
      </c>
    </row>
    <row r="320" spans="1:26" ht="27.75" customHeight="1" x14ac:dyDescent="0.25">
      <c r="A320" s="141" t="str">
        <f>+IF(PROVEEDORES[[#This Row],[FECHA DE PAGO]]=PROVEEDORES[[#This Row],[FECHA DE FACTURACIÓN]],"DE CONTADO","CRÉDITO")</f>
        <v>CRÉDITO</v>
      </c>
      <c r="B320" s="138" t="str">
        <f>+IF((PROVEEDORES[[#This Row],[FECHA DE PAGO]]-PROVEEDORES[[#This Row],[FECHA DE FACTURACIÓN]])&gt;PROVEEDORES[[#This Row],[PLAZO Días]],"PAGO VENCIDO")</f>
        <v>PAGO VENCIDO</v>
      </c>
      <c r="C320" s="138">
        <f>+VLOOKUP(PROVEEDORES[[#This Row],[PROVEEDOR]],TERCEROS_INFO[#All],2,FALSE)</f>
        <v>30</v>
      </c>
      <c r="D320" s="139">
        <f>+SUMIFS(PROVEEDORES[Total],PROVEEDORES[PROVEEDOR],PROVEEDORES[[#This Row],[PROVEEDOR]],PROVEEDORES[FECHA DE PAGO],"")</f>
        <v>0</v>
      </c>
      <c r="E320" s="140"/>
      <c r="F320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320" s="127">
        <v>45077</v>
      </c>
      <c r="H320" s="123" t="s">
        <v>360</v>
      </c>
      <c r="I320" s="127">
        <v>45013</v>
      </c>
      <c r="J320" s="124" t="s">
        <v>762</v>
      </c>
      <c r="K320" s="124" t="s">
        <v>1530</v>
      </c>
      <c r="L320" s="124"/>
      <c r="M320" s="125">
        <v>2167560</v>
      </c>
      <c r="N320" s="148">
        <v>411836.4</v>
      </c>
      <c r="O320" s="148">
        <v>0</v>
      </c>
      <c r="P320" s="149">
        <v>0</v>
      </c>
      <c r="Q320" s="148">
        <v>0</v>
      </c>
      <c r="R320" s="150">
        <v>2579396.4</v>
      </c>
      <c r="S3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0" s="135">
        <f ca="1">+IF(PROVEEDORES[[#This Row],[FECHA DE PAGO]]=0,TODAY()-PROVEEDORES[[#This Row],[FECHA DE FACTURACIÓN]]-PROVEEDORES[[#This Row],[PLAZO Días]],0)</f>
        <v>0</v>
      </c>
      <c r="U320" s="135">
        <f>+VLOOKUP(PROVEEDORES[[#This Row],[PROVEEDOR]],Terceros!$A:$D,4,FALSE)</f>
        <v>0</v>
      </c>
      <c r="V320" s="135">
        <f>+YEAR(PROVEEDORES[[#This Row],[FECHA DE FACTURACIÓN]])</f>
        <v>2023</v>
      </c>
      <c r="W320" s="135">
        <f>+MATCH(PROVEEDORES[[#This Row],[año facturado]],Retenciones!$1:$1,0)</f>
        <v>6</v>
      </c>
      <c r="X320" s="136">
        <f>+VLOOKUP(PROVEEDORES[[#This Row],[ID RETENCION]],Retenciones!$A$1:$O$25,PROVEEDORES[[#This Row],[indicador de columna]],FALSE)</f>
        <v>0</v>
      </c>
      <c r="Y320" s="137">
        <f>+VLOOKUP(PROVEEDORES[[#This Row],[ID RETENCION]],Retenciones!$A$1:$O$25,2,FALSE)</f>
        <v>0</v>
      </c>
      <c r="Z320" s="126" t="b">
        <f>+OR(COUNTIF(PROVEEDORES[[#This Row],[PROVEEDOR]],"*"&amp;'Palabra que no opera y Listas d'!$A$2&amp;"*"))</f>
        <v>1</v>
      </c>
    </row>
    <row r="321" spans="1:26" ht="27.75" customHeight="1" x14ac:dyDescent="0.25">
      <c r="A321" s="141" t="str">
        <f>+IF(PROVEEDORES[[#This Row],[FECHA DE PAGO]]=PROVEEDORES[[#This Row],[FECHA DE FACTURACIÓN]],"DE CONTADO","CRÉDITO")</f>
        <v>DE CONTADO</v>
      </c>
      <c r="B321" s="138" t="b">
        <f>+IF((PROVEEDORES[[#This Row],[FECHA DE PAGO]]-PROVEEDORES[[#This Row],[FECHA DE FACTURACIÓN]])&gt;PROVEEDORES[[#This Row],[PLAZO Días]],"PAGO VENCIDO")</f>
        <v>0</v>
      </c>
      <c r="C321" s="138">
        <f>+VLOOKUP(PROVEEDORES[[#This Row],[PROVEEDOR]],TERCEROS_INFO[#All],2,FALSE)</f>
        <v>30</v>
      </c>
      <c r="D321" s="139">
        <f>+SUMIFS(PROVEEDORES[Total],PROVEEDORES[PROVEEDOR],PROVEEDORES[[#This Row],[PROVEEDOR]],PROVEEDORES[FECHA DE PAGO],"")</f>
        <v>0</v>
      </c>
      <c r="E321" s="140"/>
      <c r="F321" s="138" t="str">
        <f>+VLOOKUP(PROVEEDORES[[#This Row],[PROVEEDOR]],
                       Terceros!$A:$F,
                       5,
                       FALSE)</f>
        <v/>
      </c>
      <c r="G321" s="127">
        <v>45077</v>
      </c>
      <c r="H321" s="123" t="s">
        <v>525</v>
      </c>
      <c r="I321" s="127">
        <v>45077</v>
      </c>
      <c r="J321" s="124" t="s">
        <v>502</v>
      </c>
      <c r="K321" s="124" t="s">
        <v>1530</v>
      </c>
      <c r="L321" s="124"/>
      <c r="M321" s="125">
        <v>13500</v>
      </c>
      <c r="N321" s="148">
        <v>0</v>
      </c>
      <c r="O321" s="148">
        <v>0</v>
      </c>
      <c r="P321" s="149">
        <v>0</v>
      </c>
      <c r="Q321" s="148">
        <v>0</v>
      </c>
      <c r="R321" s="150">
        <v>13500</v>
      </c>
      <c r="S3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1" s="135">
        <f ca="1">+IF(PROVEEDORES[[#This Row],[FECHA DE PAGO]]=0,TODAY()-PROVEEDORES[[#This Row],[FECHA DE FACTURACIÓN]]-PROVEEDORES[[#This Row],[PLAZO Días]],0)</f>
        <v>0</v>
      </c>
      <c r="U321" s="135">
        <f>+VLOOKUP(PROVEEDORES[[#This Row],[PROVEEDOR]],Terceros!$A:$D,4,FALSE)</f>
        <v>0</v>
      </c>
      <c r="V321" s="135">
        <f>+YEAR(PROVEEDORES[[#This Row],[FECHA DE FACTURACIÓN]])</f>
        <v>2023</v>
      </c>
      <c r="W321" s="135">
        <f>+MATCH(PROVEEDORES[[#This Row],[año facturado]],Retenciones!$1:$1,0)</f>
        <v>6</v>
      </c>
      <c r="X321" s="136">
        <f>+VLOOKUP(PROVEEDORES[[#This Row],[ID RETENCION]],Retenciones!$A$1:$O$25,PROVEEDORES[[#This Row],[indicador de columna]],FALSE)</f>
        <v>0</v>
      </c>
      <c r="Y321" s="137">
        <f>+VLOOKUP(PROVEEDORES[[#This Row],[ID RETENCION]],Retenciones!$A$1:$O$25,2,FALSE)</f>
        <v>0</v>
      </c>
      <c r="Z321" s="126" t="b">
        <f>+OR(COUNTIF(PROVEEDORES[[#This Row],[PROVEEDOR]],"*"&amp;'Palabra que no opera y Listas d'!$A$2&amp;"*"))</f>
        <v>0</v>
      </c>
    </row>
    <row r="322" spans="1:26" ht="27.75" customHeight="1" x14ac:dyDescent="0.25">
      <c r="A322" s="141" t="str">
        <f>+IF(PROVEEDORES[[#This Row],[FECHA DE PAGO]]=PROVEEDORES[[#This Row],[FECHA DE FACTURACIÓN]],"DE CONTADO","CRÉDITO")</f>
        <v>DE CONTADO</v>
      </c>
      <c r="B322" s="138" t="b">
        <f>+IF((PROVEEDORES[[#This Row],[FECHA DE PAGO]]-PROVEEDORES[[#This Row],[FECHA DE FACTURACIÓN]])&gt;PROVEEDORES[[#This Row],[PLAZO Días]],"PAGO VENCIDO")</f>
        <v>0</v>
      </c>
      <c r="C322" s="138">
        <f>+VLOOKUP(PROVEEDORES[[#This Row],[PROVEEDOR]],TERCEROS_INFO[#All],2,FALSE)</f>
        <v>30</v>
      </c>
      <c r="D322" s="139">
        <f>+SUMIFS(PROVEEDORES[Total],PROVEEDORES[PROVEEDOR],PROVEEDORES[[#This Row],[PROVEEDOR]],PROVEEDORES[FECHA DE PAGO],"")</f>
        <v>0</v>
      </c>
      <c r="E322" s="140"/>
      <c r="F322" s="138" t="str">
        <f>+VLOOKUP(PROVEEDORES[[#This Row],[PROVEEDOR]],
                       Terceros!$A:$F,
                       5,
                       FALSE)</f>
        <v/>
      </c>
      <c r="G322" s="127">
        <v>45077</v>
      </c>
      <c r="H322" s="123" t="s">
        <v>525</v>
      </c>
      <c r="I322" s="127">
        <v>45077</v>
      </c>
      <c r="J322" s="124" t="s">
        <v>476</v>
      </c>
      <c r="K322" s="124" t="s">
        <v>1530</v>
      </c>
      <c r="L322" s="124"/>
      <c r="M322" s="125">
        <v>242000</v>
      </c>
      <c r="N322" s="148">
        <v>0</v>
      </c>
      <c r="O322" s="148">
        <v>0</v>
      </c>
      <c r="P322" s="149">
        <v>0</v>
      </c>
      <c r="Q322" s="148">
        <v>0</v>
      </c>
      <c r="R322" s="150">
        <v>242000</v>
      </c>
      <c r="S3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2" s="135">
        <f ca="1">+IF(PROVEEDORES[[#This Row],[FECHA DE PAGO]]=0,TODAY()-PROVEEDORES[[#This Row],[FECHA DE FACTURACIÓN]]-PROVEEDORES[[#This Row],[PLAZO Días]],0)</f>
        <v>0</v>
      </c>
      <c r="U322" s="135">
        <f>+VLOOKUP(PROVEEDORES[[#This Row],[PROVEEDOR]],Terceros!$A:$D,4,FALSE)</f>
        <v>0</v>
      </c>
      <c r="V322" s="135">
        <f>+YEAR(PROVEEDORES[[#This Row],[FECHA DE FACTURACIÓN]])</f>
        <v>2023</v>
      </c>
      <c r="W322" s="135">
        <f>+MATCH(PROVEEDORES[[#This Row],[año facturado]],Retenciones!$1:$1,0)</f>
        <v>6</v>
      </c>
      <c r="X322" s="136">
        <f>+VLOOKUP(PROVEEDORES[[#This Row],[ID RETENCION]],Retenciones!$A$1:$O$25,PROVEEDORES[[#This Row],[indicador de columna]],FALSE)</f>
        <v>0</v>
      </c>
      <c r="Y322" s="137">
        <f>+VLOOKUP(PROVEEDORES[[#This Row],[ID RETENCION]],Retenciones!$A$1:$O$25,2,FALSE)</f>
        <v>0</v>
      </c>
      <c r="Z322" s="126" t="b">
        <f>+OR(COUNTIF(PROVEEDORES[[#This Row],[PROVEEDOR]],"*"&amp;'Palabra que no opera y Listas d'!$A$2&amp;"*"))</f>
        <v>0</v>
      </c>
    </row>
    <row r="323" spans="1:26" ht="27.75" customHeight="1" x14ac:dyDescent="0.25">
      <c r="A323" s="141" t="str">
        <f>+IF(PROVEEDORES[[#This Row],[FECHA DE PAGO]]=PROVEEDORES[[#This Row],[FECHA DE FACTURACIÓN]],"DE CONTADO","CRÉDITO")</f>
        <v>DE CONTADO</v>
      </c>
      <c r="B323" s="138" t="b">
        <f>+IF((PROVEEDORES[[#This Row],[FECHA DE PAGO]]-PROVEEDORES[[#This Row],[FECHA DE FACTURACIÓN]])&gt;PROVEEDORES[[#This Row],[PLAZO Días]],"PAGO VENCIDO")</f>
        <v>0</v>
      </c>
      <c r="C323" s="138">
        <f>+VLOOKUP(PROVEEDORES[[#This Row],[PROVEEDOR]],TERCEROS_INFO[#All],2,FALSE)</f>
        <v>30</v>
      </c>
      <c r="D323" s="139">
        <f>+SUMIFS(PROVEEDORES[Total],PROVEEDORES[PROVEEDOR],PROVEEDORES[[#This Row],[PROVEEDOR]],PROVEEDORES[FECHA DE PAGO],"")</f>
        <v>0</v>
      </c>
      <c r="E323" s="140"/>
      <c r="F323" s="138" t="str">
        <f>+VLOOKUP(PROVEEDORES[[#This Row],[PROVEEDOR]],
                       Terceros!$A:$F,
                       5,
                       FALSE)</f>
        <v/>
      </c>
      <c r="G323" s="127">
        <v>45077</v>
      </c>
      <c r="H323" s="123" t="s">
        <v>525</v>
      </c>
      <c r="I323" s="127">
        <v>45077</v>
      </c>
      <c r="J323" s="124" t="s">
        <v>480</v>
      </c>
      <c r="K323" s="124" t="s">
        <v>1530</v>
      </c>
      <c r="L323" s="124"/>
      <c r="M323" s="125">
        <v>466000</v>
      </c>
      <c r="N323" s="148">
        <v>0</v>
      </c>
      <c r="O323" s="148">
        <v>0</v>
      </c>
      <c r="P323" s="149">
        <v>0</v>
      </c>
      <c r="Q323" s="148">
        <v>0</v>
      </c>
      <c r="R323" s="150">
        <v>466000</v>
      </c>
      <c r="S3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3" s="135">
        <f ca="1">+IF(PROVEEDORES[[#This Row],[FECHA DE PAGO]]=0,TODAY()-PROVEEDORES[[#This Row],[FECHA DE FACTURACIÓN]]-PROVEEDORES[[#This Row],[PLAZO Días]],0)</f>
        <v>0</v>
      </c>
      <c r="U323" s="135">
        <f>+VLOOKUP(PROVEEDORES[[#This Row],[PROVEEDOR]],Terceros!$A:$D,4,FALSE)</f>
        <v>0</v>
      </c>
      <c r="V323" s="135">
        <f>+YEAR(PROVEEDORES[[#This Row],[FECHA DE FACTURACIÓN]])</f>
        <v>2023</v>
      </c>
      <c r="W323" s="135">
        <f>+MATCH(PROVEEDORES[[#This Row],[año facturado]],Retenciones!$1:$1,0)</f>
        <v>6</v>
      </c>
      <c r="X323" s="136">
        <f>+VLOOKUP(PROVEEDORES[[#This Row],[ID RETENCION]],Retenciones!$A$1:$O$25,PROVEEDORES[[#This Row],[indicador de columna]],FALSE)</f>
        <v>0</v>
      </c>
      <c r="Y323" s="137">
        <f>+VLOOKUP(PROVEEDORES[[#This Row],[ID RETENCION]],Retenciones!$A$1:$O$25,2,FALSE)</f>
        <v>0</v>
      </c>
      <c r="Z323" s="126" t="b">
        <f>+OR(COUNTIF(PROVEEDORES[[#This Row],[PROVEEDOR]],"*"&amp;'Palabra que no opera y Listas d'!$A$2&amp;"*"))</f>
        <v>0</v>
      </c>
    </row>
    <row r="324" spans="1:26" ht="27.75" customHeight="1" x14ac:dyDescent="0.25">
      <c r="A324" s="141" t="str">
        <f>+IF(PROVEEDORES[[#This Row],[FECHA DE PAGO]]=PROVEEDORES[[#This Row],[FECHA DE FACTURACIÓN]],"DE CONTADO","CRÉDITO")</f>
        <v>DE CONTADO</v>
      </c>
      <c r="B324" s="138" t="b">
        <f>+IF((PROVEEDORES[[#This Row],[FECHA DE PAGO]]-PROVEEDORES[[#This Row],[FECHA DE FACTURACIÓN]])&gt;PROVEEDORES[[#This Row],[PLAZO Días]],"PAGO VENCIDO")</f>
        <v>0</v>
      </c>
      <c r="C324" s="138">
        <f>+VLOOKUP(PROVEEDORES[[#This Row],[PROVEEDOR]],TERCEROS_INFO[#All],2,FALSE)</f>
        <v>30</v>
      </c>
      <c r="D324" s="139">
        <f>+SUMIFS(PROVEEDORES[Total],PROVEEDORES[PROVEEDOR],PROVEEDORES[[#This Row],[PROVEEDOR]],PROVEEDORES[FECHA DE PAGO],"")</f>
        <v>0</v>
      </c>
      <c r="E324" s="140"/>
      <c r="F324" s="138" t="str">
        <f>+VLOOKUP(PROVEEDORES[[#This Row],[PROVEEDOR]],
                       Terceros!$A:$F,
                       5,
                       FALSE)</f>
        <v/>
      </c>
      <c r="G324" s="127">
        <v>45077</v>
      </c>
      <c r="H324" s="123" t="s">
        <v>525</v>
      </c>
      <c r="I324" s="127">
        <v>45077</v>
      </c>
      <c r="J324" s="124" t="s">
        <v>1531</v>
      </c>
      <c r="K324" s="124" t="s">
        <v>1530</v>
      </c>
      <c r="L324" s="124"/>
      <c r="M324" s="125">
        <v>650600</v>
      </c>
      <c r="N324" s="148">
        <v>0</v>
      </c>
      <c r="O324" s="148">
        <v>0</v>
      </c>
      <c r="P324" s="149">
        <v>0</v>
      </c>
      <c r="Q324" s="148">
        <v>0</v>
      </c>
      <c r="R324" s="150">
        <v>650600</v>
      </c>
      <c r="S3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4" s="135">
        <f ca="1">+IF(PROVEEDORES[[#This Row],[FECHA DE PAGO]]=0,TODAY()-PROVEEDORES[[#This Row],[FECHA DE FACTURACIÓN]]-PROVEEDORES[[#This Row],[PLAZO Días]],0)</f>
        <v>0</v>
      </c>
      <c r="U324" s="135">
        <f>+VLOOKUP(PROVEEDORES[[#This Row],[PROVEEDOR]],Terceros!$A:$D,4,FALSE)</f>
        <v>0</v>
      </c>
      <c r="V324" s="135">
        <f>+YEAR(PROVEEDORES[[#This Row],[FECHA DE FACTURACIÓN]])</f>
        <v>2023</v>
      </c>
      <c r="W324" s="135">
        <f>+MATCH(PROVEEDORES[[#This Row],[año facturado]],Retenciones!$1:$1,0)</f>
        <v>6</v>
      </c>
      <c r="X324" s="136">
        <f>+VLOOKUP(PROVEEDORES[[#This Row],[ID RETENCION]],Retenciones!$A$1:$O$25,PROVEEDORES[[#This Row],[indicador de columna]],FALSE)</f>
        <v>0</v>
      </c>
      <c r="Y324" s="137">
        <f>+VLOOKUP(PROVEEDORES[[#This Row],[ID RETENCION]],Retenciones!$A$1:$O$25,2,FALSE)</f>
        <v>0</v>
      </c>
      <c r="Z324" s="126" t="b">
        <f>+OR(COUNTIF(PROVEEDORES[[#This Row],[PROVEEDOR]],"*"&amp;'Palabra que no opera y Listas d'!$A$2&amp;"*"))</f>
        <v>0</v>
      </c>
    </row>
    <row r="325" spans="1:26" ht="27.75" customHeight="1" x14ac:dyDescent="0.25">
      <c r="A325" s="141" t="str">
        <f>+IF(PROVEEDORES[[#This Row],[FECHA DE PAGO]]=PROVEEDORES[[#This Row],[FECHA DE FACTURACIÓN]],"DE CONTADO","CRÉDITO")</f>
        <v>DE CONTADO</v>
      </c>
      <c r="B325" s="138" t="b">
        <f>+IF((PROVEEDORES[[#This Row],[FECHA DE PAGO]]-PROVEEDORES[[#This Row],[FECHA DE FACTURACIÓN]])&gt;PROVEEDORES[[#This Row],[PLAZO Días]],"PAGO VENCIDO")</f>
        <v>0</v>
      </c>
      <c r="C325" s="138">
        <f>+VLOOKUP(PROVEEDORES[[#This Row],[PROVEEDOR]],TERCEROS_INFO[#All],2,FALSE)</f>
        <v>30</v>
      </c>
      <c r="D325" s="139">
        <f>+SUMIFS(PROVEEDORES[Total],PROVEEDORES[PROVEEDOR],PROVEEDORES[[#This Row],[PROVEEDOR]],PROVEEDORES[FECHA DE PAGO],"")</f>
        <v>0</v>
      </c>
      <c r="E325" s="140"/>
      <c r="F325" s="138" t="str">
        <f>+VLOOKUP(PROVEEDORES[[#This Row],[PROVEEDOR]],
                       Terceros!$A:$F,
                       5,
                       FALSE)</f>
        <v/>
      </c>
      <c r="G325" s="127">
        <v>45077</v>
      </c>
      <c r="H325" s="123" t="s">
        <v>525</v>
      </c>
      <c r="I325" s="127">
        <v>45077</v>
      </c>
      <c r="J325" s="124" t="s">
        <v>477</v>
      </c>
      <c r="K325" s="124" t="s">
        <v>1530</v>
      </c>
      <c r="L325" s="124"/>
      <c r="M325" s="125">
        <v>1165000</v>
      </c>
      <c r="N325" s="148">
        <v>0</v>
      </c>
      <c r="O325" s="148">
        <v>0</v>
      </c>
      <c r="P325" s="149">
        <v>0</v>
      </c>
      <c r="Q325" s="148">
        <v>0</v>
      </c>
      <c r="R325" s="150">
        <v>1165000</v>
      </c>
      <c r="S3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5" s="135">
        <f ca="1">+IF(PROVEEDORES[[#This Row],[FECHA DE PAGO]]=0,TODAY()-PROVEEDORES[[#This Row],[FECHA DE FACTURACIÓN]]-PROVEEDORES[[#This Row],[PLAZO Días]],0)</f>
        <v>0</v>
      </c>
      <c r="U325" s="135">
        <f>+VLOOKUP(PROVEEDORES[[#This Row],[PROVEEDOR]],Terceros!$A:$D,4,FALSE)</f>
        <v>0</v>
      </c>
      <c r="V325" s="135">
        <f>+YEAR(PROVEEDORES[[#This Row],[FECHA DE FACTURACIÓN]])</f>
        <v>2023</v>
      </c>
      <c r="W325" s="135">
        <f>+MATCH(PROVEEDORES[[#This Row],[año facturado]],Retenciones!$1:$1,0)</f>
        <v>6</v>
      </c>
      <c r="X325" s="136">
        <f>+VLOOKUP(PROVEEDORES[[#This Row],[ID RETENCION]],Retenciones!$A$1:$O$25,PROVEEDORES[[#This Row],[indicador de columna]],FALSE)</f>
        <v>0</v>
      </c>
      <c r="Y325" s="137">
        <f>+VLOOKUP(PROVEEDORES[[#This Row],[ID RETENCION]],Retenciones!$A$1:$O$25,2,FALSE)</f>
        <v>0</v>
      </c>
      <c r="Z325" s="126" t="b">
        <f>+OR(COUNTIF(PROVEEDORES[[#This Row],[PROVEEDOR]],"*"&amp;'Palabra que no opera y Listas d'!$A$2&amp;"*"))</f>
        <v>0</v>
      </c>
    </row>
    <row r="326" spans="1:26" ht="27.75" customHeight="1" x14ac:dyDescent="0.25">
      <c r="A326" s="141" t="str">
        <f>+IF(PROVEEDORES[[#This Row],[FECHA DE PAGO]]=PROVEEDORES[[#This Row],[FECHA DE FACTURACIÓN]],"DE CONTADO","CRÉDITO")</f>
        <v>CRÉDITO</v>
      </c>
      <c r="B326" s="138" t="b">
        <f>+IF((PROVEEDORES[[#This Row],[FECHA DE PAGO]]-PROVEEDORES[[#This Row],[FECHA DE FACTURACIÓN]])&gt;PROVEEDORES[[#This Row],[PLAZO Días]],"PAGO VENCIDO")</f>
        <v>0</v>
      </c>
      <c r="C326" s="138">
        <f>+VLOOKUP(PROVEEDORES[[#This Row],[PROVEEDOR]],TERCEROS_INFO[#All],2,FALSE)</f>
        <v>30</v>
      </c>
      <c r="D326" s="139">
        <f>+SUMIFS(PROVEEDORES[Total],PROVEEDORES[PROVEEDOR],PROVEEDORES[[#This Row],[PROVEEDOR]],PROVEEDORES[FECHA DE PAGO],"")</f>
        <v>0</v>
      </c>
      <c r="E326" s="140"/>
      <c r="F326" s="138" t="str">
        <f>+VLOOKUP(PROVEEDORES[[#This Row],[PROVEEDOR]],
                       Terceros!$A:$F,
                       5,
                       FALSE)</f>
        <v/>
      </c>
      <c r="G326" s="127">
        <v>45078</v>
      </c>
      <c r="H326" s="123" t="s">
        <v>481</v>
      </c>
      <c r="I326" s="127">
        <v>45077</v>
      </c>
      <c r="J326" s="124" t="s">
        <v>818</v>
      </c>
      <c r="K326" s="124" t="s">
        <v>1530</v>
      </c>
      <c r="L326" s="124"/>
      <c r="M326" s="125">
        <v>1874000</v>
      </c>
      <c r="N326" s="148">
        <v>0</v>
      </c>
      <c r="O326" s="148">
        <v>0</v>
      </c>
      <c r="P326" s="149">
        <v>0</v>
      </c>
      <c r="Q326" s="148">
        <v>0</v>
      </c>
      <c r="R326" s="150">
        <v>1874000</v>
      </c>
      <c r="S3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6" s="135">
        <f ca="1">+IF(PROVEEDORES[[#This Row],[FECHA DE PAGO]]=0,TODAY()-PROVEEDORES[[#This Row],[FECHA DE FACTURACIÓN]]-PROVEEDORES[[#This Row],[PLAZO Días]],0)</f>
        <v>0</v>
      </c>
      <c r="U326" s="135">
        <f>+VLOOKUP(PROVEEDORES[[#This Row],[PROVEEDOR]],Terceros!$A:$D,4,FALSE)</f>
        <v>0</v>
      </c>
      <c r="V326" s="135">
        <f>+YEAR(PROVEEDORES[[#This Row],[FECHA DE FACTURACIÓN]])</f>
        <v>2023</v>
      </c>
      <c r="W326" s="135">
        <f>+MATCH(PROVEEDORES[[#This Row],[año facturado]],Retenciones!$1:$1,0)</f>
        <v>6</v>
      </c>
      <c r="X326" s="136">
        <f>+VLOOKUP(PROVEEDORES[[#This Row],[ID RETENCION]],Retenciones!$A$1:$O$25,PROVEEDORES[[#This Row],[indicador de columna]],FALSE)</f>
        <v>0</v>
      </c>
      <c r="Y326" s="137">
        <f>+VLOOKUP(PROVEEDORES[[#This Row],[ID RETENCION]],Retenciones!$A$1:$O$25,2,FALSE)</f>
        <v>0</v>
      </c>
      <c r="Z326" s="126" t="b">
        <f>+OR(COUNTIF(PROVEEDORES[[#This Row],[PROVEEDOR]],"*"&amp;'Palabra que no opera y Listas d'!$A$2&amp;"*"))</f>
        <v>0</v>
      </c>
    </row>
    <row r="327" spans="1:26" ht="27.75" customHeight="1" x14ac:dyDescent="0.25">
      <c r="A327" s="141" t="str">
        <f>+IF(PROVEEDORES[[#This Row],[FECHA DE PAGO]]=PROVEEDORES[[#This Row],[FECHA DE FACTURACIÓN]],"DE CONTADO","CRÉDITO")</f>
        <v>DE CONTADO</v>
      </c>
      <c r="B327" s="138" t="b">
        <f>+IF((PROVEEDORES[[#This Row],[FECHA DE PAGO]]-PROVEEDORES[[#This Row],[FECHA DE FACTURACIÓN]])&gt;PROVEEDORES[[#This Row],[PLAZO Días]],"PAGO VENCIDO")</f>
        <v>0</v>
      </c>
      <c r="C327" s="138">
        <f>+VLOOKUP(PROVEEDORES[[#This Row],[PROVEEDOR]],TERCEROS_INFO[#All],2,FALSE)</f>
        <v>30</v>
      </c>
      <c r="D327" s="139">
        <f>+SUMIFS(PROVEEDORES[Total],PROVEEDORES[PROVEEDOR],PROVEEDORES[[#This Row],[PROVEEDOR]],PROVEEDORES[FECHA DE PAGO],"")</f>
        <v>0</v>
      </c>
      <c r="E327" s="140"/>
      <c r="F327" s="138" t="str">
        <f>+VLOOKUP(PROVEEDORES[[#This Row],[PROVEEDOR]],
                       Terceros!$A:$F,
                       5,
                       FALSE)</f>
        <v/>
      </c>
      <c r="G327" s="127">
        <v>45078</v>
      </c>
      <c r="H327" s="123" t="s">
        <v>525</v>
      </c>
      <c r="I327" s="127">
        <v>45078</v>
      </c>
      <c r="J327" s="124" t="s">
        <v>817</v>
      </c>
      <c r="K327" s="124" t="s">
        <v>1530</v>
      </c>
      <c r="L327" s="124"/>
      <c r="M327" s="125">
        <v>40000</v>
      </c>
      <c r="N327" s="148">
        <v>0</v>
      </c>
      <c r="O327" s="148">
        <v>0</v>
      </c>
      <c r="P327" s="149">
        <v>0</v>
      </c>
      <c r="Q327" s="148">
        <v>0</v>
      </c>
      <c r="R327" s="150">
        <v>40000</v>
      </c>
      <c r="S3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7" s="135">
        <f ca="1">+IF(PROVEEDORES[[#This Row],[FECHA DE PAGO]]=0,TODAY()-PROVEEDORES[[#This Row],[FECHA DE FACTURACIÓN]]-PROVEEDORES[[#This Row],[PLAZO Días]],0)</f>
        <v>0</v>
      </c>
      <c r="U327" s="135">
        <f>+VLOOKUP(PROVEEDORES[[#This Row],[PROVEEDOR]],Terceros!$A:$D,4,FALSE)</f>
        <v>0</v>
      </c>
      <c r="V327" s="135">
        <f>+YEAR(PROVEEDORES[[#This Row],[FECHA DE FACTURACIÓN]])</f>
        <v>2023</v>
      </c>
      <c r="W327" s="135">
        <f>+MATCH(PROVEEDORES[[#This Row],[año facturado]],Retenciones!$1:$1,0)</f>
        <v>6</v>
      </c>
      <c r="X327" s="136">
        <f>+VLOOKUP(PROVEEDORES[[#This Row],[ID RETENCION]],Retenciones!$A$1:$O$25,PROVEEDORES[[#This Row],[indicador de columna]],FALSE)</f>
        <v>0</v>
      </c>
      <c r="Y327" s="137">
        <f>+VLOOKUP(PROVEEDORES[[#This Row],[ID RETENCION]],Retenciones!$A$1:$O$25,2,FALSE)</f>
        <v>0</v>
      </c>
      <c r="Z327" s="126" t="b">
        <f>+OR(COUNTIF(PROVEEDORES[[#This Row],[PROVEEDOR]],"*"&amp;'Palabra que no opera y Listas d'!$A$2&amp;"*"))</f>
        <v>0</v>
      </c>
    </row>
    <row r="328" spans="1:26" ht="27.75" customHeight="1" x14ac:dyDescent="0.25">
      <c r="A328" s="141" t="str">
        <f>+IF(PROVEEDORES[[#This Row],[FECHA DE PAGO]]=PROVEEDORES[[#This Row],[FECHA DE FACTURACIÓN]],"DE CONTADO","CRÉDITO")</f>
        <v>DE CONTADO</v>
      </c>
      <c r="B328" s="138" t="b">
        <f>+IF((PROVEEDORES[[#This Row],[FECHA DE PAGO]]-PROVEEDORES[[#This Row],[FECHA DE FACTURACIÓN]])&gt;PROVEEDORES[[#This Row],[PLAZO Días]],"PAGO VENCIDO")</f>
        <v>0</v>
      </c>
      <c r="C328" s="138">
        <f>+VLOOKUP(PROVEEDORES[[#This Row],[PROVEEDOR]],TERCEROS_INFO[#All],2,FALSE)</f>
        <v>30</v>
      </c>
      <c r="D328" s="139">
        <f>+SUMIFS(PROVEEDORES[Total],PROVEEDORES[PROVEEDOR],PROVEEDORES[[#This Row],[PROVEEDOR]],PROVEEDORES[FECHA DE PAGO],"")</f>
        <v>0</v>
      </c>
      <c r="E328" s="140"/>
      <c r="F328" s="138" t="str">
        <f>+VLOOKUP(PROVEEDORES[[#This Row],[PROVEEDOR]],
                       Terceros!$A:$F,
                       5,
                       FALSE)</f>
        <v/>
      </c>
      <c r="G328" s="127">
        <v>45078</v>
      </c>
      <c r="H328" s="123" t="s">
        <v>525</v>
      </c>
      <c r="I328" s="127">
        <v>45078</v>
      </c>
      <c r="J328" s="124">
        <v>2312</v>
      </c>
      <c r="K328" s="124" t="s">
        <v>1530</v>
      </c>
      <c r="L328" s="124"/>
      <c r="M328" s="125">
        <v>210000</v>
      </c>
      <c r="N328" s="148">
        <v>0</v>
      </c>
      <c r="O328" s="148">
        <v>0</v>
      </c>
      <c r="P328" s="149">
        <v>0</v>
      </c>
      <c r="Q328" s="148">
        <v>0</v>
      </c>
      <c r="R328" s="150">
        <v>210000</v>
      </c>
      <c r="S3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8" s="135">
        <f ca="1">+IF(PROVEEDORES[[#This Row],[FECHA DE PAGO]]=0,TODAY()-PROVEEDORES[[#This Row],[FECHA DE FACTURACIÓN]]-PROVEEDORES[[#This Row],[PLAZO Días]],0)</f>
        <v>0</v>
      </c>
      <c r="U328" s="135">
        <f>+VLOOKUP(PROVEEDORES[[#This Row],[PROVEEDOR]],Terceros!$A:$D,4,FALSE)</f>
        <v>0</v>
      </c>
      <c r="V328" s="135">
        <f>+YEAR(PROVEEDORES[[#This Row],[FECHA DE FACTURACIÓN]])</f>
        <v>2023</v>
      </c>
      <c r="W328" s="135">
        <f>+MATCH(PROVEEDORES[[#This Row],[año facturado]],Retenciones!$1:$1,0)</f>
        <v>6</v>
      </c>
      <c r="X328" s="136">
        <f>+VLOOKUP(PROVEEDORES[[#This Row],[ID RETENCION]],Retenciones!$A$1:$O$25,PROVEEDORES[[#This Row],[indicador de columna]],FALSE)</f>
        <v>0</v>
      </c>
      <c r="Y328" s="137">
        <f>+VLOOKUP(PROVEEDORES[[#This Row],[ID RETENCION]],Retenciones!$A$1:$O$25,2,FALSE)</f>
        <v>0</v>
      </c>
      <c r="Z328" s="126" t="b">
        <f>+OR(COUNTIF(PROVEEDORES[[#This Row],[PROVEEDOR]],"*"&amp;'Palabra que no opera y Listas d'!$A$2&amp;"*"))</f>
        <v>0</v>
      </c>
    </row>
    <row r="329" spans="1:26" ht="27.75" customHeight="1" x14ac:dyDescent="0.25">
      <c r="A329" s="141" t="str">
        <f>+IF(PROVEEDORES[[#This Row],[FECHA DE PAGO]]=PROVEEDORES[[#This Row],[FECHA DE FACTURACIÓN]],"DE CONTADO","CRÉDITO")</f>
        <v>DE CONTADO</v>
      </c>
      <c r="B329" s="138" t="b">
        <f>+IF((PROVEEDORES[[#This Row],[FECHA DE PAGO]]-PROVEEDORES[[#This Row],[FECHA DE FACTURACIÓN]])&gt;PROVEEDORES[[#This Row],[PLAZO Días]],"PAGO VENCIDO")</f>
        <v>0</v>
      </c>
      <c r="C329" s="138">
        <f>+VLOOKUP(PROVEEDORES[[#This Row],[PROVEEDOR]],TERCEROS_INFO[#All],2,FALSE)</f>
        <v>30</v>
      </c>
      <c r="D329" s="139">
        <f>+SUMIFS(PROVEEDORES[Total],PROVEEDORES[PROVEEDOR],PROVEEDORES[[#This Row],[PROVEEDOR]],PROVEEDORES[FECHA DE PAGO],"")</f>
        <v>0</v>
      </c>
      <c r="E329" s="140"/>
      <c r="F329" s="138">
        <f>+VLOOKUP(PROVEEDORES[[#This Row],[PROVEEDOR]],
                       Terceros!$A:$F,
                       5,
                       FALSE)</f>
        <v>0</v>
      </c>
      <c r="G329" s="127">
        <v>45078</v>
      </c>
      <c r="H329" s="123" t="s">
        <v>183</v>
      </c>
      <c r="I329" s="127">
        <v>45078</v>
      </c>
      <c r="J329" s="124" t="s">
        <v>819</v>
      </c>
      <c r="K329" s="124" t="s">
        <v>1530</v>
      </c>
      <c r="L329" s="124"/>
      <c r="M329" s="125">
        <v>35292</v>
      </c>
      <c r="N329" s="148">
        <v>6705.4800000000005</v>
      </c>
      <c r="O329" s="148">
        <v>0</v>
      </c>
      <c r="P329" s="149">
        <v>0</v>
      </c>
      <c r="Q329" s="148">
        <v>0</v>
      </c>
      <c r="R329" s="150">
        <v>41997.48</v>
      </c>
      <c r="S3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29" s="135">
        <f ca="1">+IF(PROVEEDORES[[#This Row],[FECHA DE PAGO]]=0,TODAY()-PROVEEDORES[[#This Row],[FECHA DE FACTURACIÓN]]-PROVEEDORES[[#This Row],[PLAZO Días]],0)</f>
        <v>0</v>
      </c>
      <c r="U329" s="135" t="str">
        <f>+VLOOKUP(PROVEEDORES[[#This Row],[PROVEEDOR]],Terceros!$A:$D,4,FALSE)</f>
        <v>2,5% con base</v>
      </c>
      <c r="V329" s="135">
        <f>+YEAR(PROVEEDORES[[#This Row],[FECHA DE FACTURACIÓN]])</f>
        <v>2023</v>
      </c>
      <c r="W329" s="135">
        <f>+MATCH(PROVEEDORES[[#This Row],[año facturado]],Retenciones!$1:$1,0)</f>
        <v>6</v>
      </c>
      <c r="X329" s="136">
        <f>+VLOOKUP(PROVEEDORES[[#This Row],[ID RETENCION]],Retenciones!$A$1:$O$25,PROVEEDORES[[#This Row],[indicador de columna]],FALSE)</f>
        <v>1145000</v>
      </c>
      <c r="Y329" s="137">
        <f>+VLOOKUP(PROVEEDORES[[#This Row],[ID RETENCION]],Retenciones!$A$1:$O$25,2,FALSE)</f>
        <v>2.5000000000000001E-2</v>
      </c>
      <c r="Z329" s="126" t="b">
        <f>+OR(COUNTIF(PROVEEDORES[[#This Row],[PROVEEDOR]],"*"&amp;'Palabra que no opera y Listas d'!$A$2&amp;"*"))</f>
        <v>0</v>
      </c>
    </row>
    <row r="330" spans="1:26" ht="27.75" customHeight="1" x14ac:dyDescent="0.25">
      <c r="A330" s="141" t="str">
        <f>+IF(PROVEEDORES[[#This Row],[FECHA DE PAGO]]=PROVEEDORES[[#This Row],[FECHA DE FACTURACIÓN]],"DE CONTADO","CRÉDITO")</f>
        <v>CRÉDITO</v>
      </c>
      <c r="B330" s="138" t="str">
        <f>+IF((PROVEEDORES[[#This Row],[FECHA DE PAGO]]-PROVEEDORES[[#This Row],[FECHA DE FACTURACIÓN]])&gt;PROVEEDORES[[#This Row],[PLAZO Días]],"PAGO VENCIDO")</f>
        <v>PAGO VENCIDO</v>
      </c>
      <c r="C330" s="138">
        <f>+VLOOKUP(PROVEEDORES[[#This Row],[PROVEEDOR]],TERCEROS_INFO[#All],2,FALSE)</f>
        <v>30</v>
      </c>
      <c r="D330" s="139">
        <f>+SUMIFS(PROVEEDORES[Total],PROVEEDORES[PROVEEDOR],PROVEEDORES[[#This Row],[PROVEEDOR]],PROVEEDORES[FECHA DE PAGO],"")</f>
        <v>0</v>
      </c>
      <c r="E330" s="140"/>
      <c r="F330" s="13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330" s="127">
        <v>45082</v>
      </c>
      <c r="H330" s="123" t="s">
        <v>435</v>
      </c>
      <c r="I330" s="127">
        <v>44999</v>
      </c>
      <c r="J330" s="124" t="s">
        <v>620</v>
      </c>
      <c r="K330" s="124" t="s">
        <v>1530</v>
      </c>
      <c r="L330" s="124"/>
      <c r="M330" s="125">
        <v>315126</v>
      </c>
      <c r="N330" s="148">
        <v>59873.94</v>
      </c>
      <c r="O330" s="148">
        <v>0</v>
      </c>
      <c r="P330" s="149">
        <v>0</v>
      </c>
      <c r="Q330" s="148">
        <v>0</v>
      </c>
      <c r="R330" s="150">
        <v>374999.94</v>
      </c>
      <c r="S3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0" s="135">
        <f ca="1">+IF(PROVEEDORES[[#This Row],[FECHA DE PAGO]]=0,TODAY()-PROVEEDORES[[#This Row],[FECHA DE FACTURACIÓN]]-PROVEEDORES[[#This Row],[PLAZO Días]],0)</f>
        <v>0</v>
      </c>
      <c r="U330" s="135" t="str">
        <f>+VLOOKUP(PROVEEDORES[[#This Row],[PROVEEDOR]],Terceros!$A:$D,4,FALSE)</f>
        <v>2,5% con base</v>
      </c>
      <c r="V330" s="135">
        <f>+YEAR(PROVEEDORES[[#This Row],[FECHA DE FACTURACIÓN]])</f>
        <v>2023</v>
      </c>
      <c r="W330" s="135">
        <f>+MATCH(PROVEEDORES[[#This Row],[año facturado]],Retenciones!$1:$1,0)</f>
        <v>6</v>
      </c>
      <c r="X330" s="136">
        <f>+VLOOKUP(PROVEEDORES[[#This Row],[ID RETENCION]],Retenciones!$A$1:$O$25,PROVEEDORES[[#This Row],[indicador de columna]],FALSE)</f>
        <v>1145000</v>
      </c>
      <c r="Y330" s="137">
        <f>+VLOOKUP(PROVEEDORES[[#This Row],[ID RETENCION]],Retenciones!$A$1:$O$25,2,FALSE)</f>
        <v>2.5000000000000001E-2</v>
      </c>
      <c r="Z330" s="126" t="b">
        <f>+OR(COUNTIF(PROVEEDORES[[#This Row],[PROVEEDOR]],"*"&amp;'Palabra que no opera y Listas d'!$A$2&amp;"*"))</f>
        <v>0</v>
      </c>
    </row>
    <row r="331" spans="1:26" ht="27.75" customHeight="1" x14ac:dyDescent="0.25">
      <c r="A331" s="141" t="str">
        <f>+IF(PROVEEDORES[[#This Row],[FECHA DE PAGO]]=PROVEEDORES[[#This Row],[FECHA DE FACTURACIÓN]],"DE CONTADO","CRÉDITO")</f>
        <v>CRÉDITO</v>
      </c>
      <c r="B331" s="138" t="str">
        <f>+IF((PROVEEDORES[[#This Row],[FECHA DE PAGO]]-PROVEEDORES[[#This Row],[FECHA DE FACTURACIÓN]])&gt;PROVEEDORES[[#This Row],[PLAZO Días]],"PAGO VENCIDO")</f>
        <v>PAGO VENCIDO</v>
      </c>
      <c r="C331" s="138">
        <f>+VLOOKUP(PROVEEDORES[[#This Row],[PROVEEDOR]],TERCEROS_INFO[#All],2,FALSE)</f>
        <v>30</v>
      </c>
      <c r="D331" s="139">
        <f>+SUMIFS(PROVEEDORES[Total],PROVEEDORES[PROVEEDOR],PROVEEDORES[[#This Row],[PROVEEDOR]],PROVEEDORES[FECHA DE PAGO],"")</f>
        <v>12628497</v>
      </c>
      <c r="E331" s="140"/>
      <c r="F331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31" s="127">
        <v>45082</v>
      </c>
      <c r="H331" s="123" t="s">
        <v>451</v>
      </c>
      <c r="I331" s="127">
        <v>45013</v>
      </c>
      <c r="J331" s="124" t="s">
        <v>652</v>
      </c>
      <c r="K331" s="124" t="s">
        <v>1530</v>
      </c>
      <c r="L331" s="124"/>
      <c r="M331" s="125">
        <v>2185344</v>
      </c>
      <c r="N331" s="148">
        <v>415215.35999999999</v>
      </c>
      <c r="O331" s="148">
        <v>0</v>
      </c>
      <c r="P331" s="149">
        <v>2.5000000000000001E-2</v>
      </c>
      <c r="Q331" s="148">
        <v>54633.600000000006</v>
      </c>
      <c r="R331" s="150">
        <v>2545925.7599999998</v>
      </c>
      <c r="S3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1" s="135">
        <f ca="1">+IF(PROVEEDORES[[#This Row],[FECHA DE PAGO]]=0,TODAY()-PROVEEDORES[[#This Row],[FECHA DE FACTURACIÓN]]-PROVEEDORES[[#This Row],[PLAZO Días]],0)</f>
        <v>0</v>
      </c>
      <c r="U331" s="135" t="str">
        <f>+VLOOKUP(PROVEEDORES[[#This Row],[PROVEEDOR]],Terceros!$A:$D,4,FALSE)</f>
        <v>2,5% con base</v>
      </c>
      <c r="V331" s="135">
        <f>+YEAR(PROVEEDORES[[#This Row],[FECHA DE FACTURACIÓN]])</f>
        <v>2023</v>
      </c>
      <c r="W331" s="135">
        <f>+MATCH(PROVEEDORES[[#This Row],[año facturado]],Retenciones!$1:$1,0)</f>
        <v>6</v>
      </c>
      <c r="X331" s="136">
        <f>+VLOOKUP(PROVEEDORES[[#This Row],[ID RETENCION]],Retenciones!$A$1:$O$25,PROVEEDORES[[#This Row],[indicador de columna]],FALSE)</f>
        <v>1145000</v>
      </c>
      <c r="Y331" s="137">
        <f>+VLOOKUP(PROVEEDORES[[#This Row],[ID RETENCION]],Retenciones!$A$1:$O$25,2,FALSE)</f>
        <v>2.5000000000000001E-2</v>
      </c>
      <c r="Z331" s="126" t="b">
        <f>+OR(COUNTIF(PROVEEDORES[[#This Row],[PROVEEDOR]],"*"&amp;'Palabra que no opera y Listas d'!$A$2&amp;"*"))</f>
        <v>0</v>
      </c>
    </row>
    <row r="332" spans="1:26" ht="27.75" customHeight="1" x14ac:dyDescent="0.25">
      <c r="A332" s="141" t="str">
        <f>+IF(PROVEEDORES[[#This Row],[FECHA DE PAGO]]=PROVEEDORES[[#This Row],[FECHA DE FACTURACIÓN]],"DE CONTADO","CRÉDITO")</f>
        <v>CRÉDITO</v>
      </c>
      <c r="B332" s="138" t="str">
        <f>+IF((PROVEEDORES[[#This Row],[FECHA DE PAGO]]-PROVEEDORES[[#This Row],[FECHA DE FACTURACIÓN]])&gt;PROVEEDORES[[#This Row],[PLAZO Días]],"PAGO VENCIDO")</f>
        <v>PAGO VENCIDO</v>
      </c>
      <c r="C332" s="138">
        <f>+VLOOKUP(PROVEEDORES[[#This Row],[PROVEEDOR]],TERCEROS_INFO[#All],2,FALSE)</f>
        <v>45</v>
      </c>
      <c r="D332" s="139">
        <f>+SUMIFS(PROVEEDORES[Total],PROVEEDORES[PROVEEDOR],PROVEEDORES[[#This Row],[PROVEEDOR]],PROVEEDORES[FECHA DE PAGO],"")</f>
        <v>2446500</v>
      </c>
      <c r="E332" s="140"/>
      <c r="F332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332" s="127">
        <v>45082</v>
      </c>
      <c r="H332" s="123" t="s">
        <v>10</v>
      </c>
      <c r="I332" s="127">
        <v>45014</v>
      </c>
      <c r="J332" s="124" t="s">
        <v>662</v>
      </c>
      <c r="K332" s="124" t="s">
        <v>1530</v>
      </c>
      <c r="L332" s="124"/>
      <c r="M332" s="125">
        <v>2020000</v>
      </c>
      <c r="N332" s="148">
        <v>383800</v>
      </c>
      <c r="O332" s="148">
        <v>0</v>
      </c>
      <c r="P332" s="149">
        <v>2.5000000000000001E-2</v>
      </c>
      <c r="Q332" s="148">
        <v>50500</v>
      </c>
      <c r="R332" s="150">
        <v>2353300</v>
      </c>
      <c r="S3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2" s="135">
        <f ca="1">+IF(PROVEEDORES[[#This Row],[FECHA DE PAGO]]=0,TODAY()-PROVEEDORES[[#This Row],[FECHA DE FACTURACIÓN]]-PROVEEDORES[[#This Row],[PLAZO Días]],0)</f>
        <v>0</v>
      </c>
      <c r="U332" s="135" t="str">
        <f>+VLOOKUP(PROVEEDORES[[#This Row],[PROVEEDOR]],Terceros!$A:$D,4,FALSE)</f>
        <v>2,5% con base</v>
      </c>
      <c r="V332" s="135">
        <f>+YEAR(PROVEEDORES[[#This Row],[FECHA DE FACTURACIÓN]])</f>
        <v>2023</v>
      </c>
      <c r="W332" s="135">
        <f>+MATCH(PROVEEDORES[[#This Row],[año facturado]],Retenciones!$1:$1,0)</f>
        <v>6</v>
      </c>
      <c r="X332" s="136">
        <f>+VLOOKUP(PROVEEDORES[[#This Row],[ID RETENCION]],Retenciones!$A$1:$O$25,PROVEEDORES[[#This Row],[indicador de columna]],FALSE)</f>
        <v>1145000</v>
      </c>
      <c r="Y332" s="137">
        <f>+VLOOKUP(PROVEEDORES[[#This Row],[ID RETENCION]],Retenciones!$A$1:$O$25,2,FALSE)</f>
        <v>2.5000000000000001E-2</v>
      </c>
      <c r="Z332" s="126" t="b">
        <f>+OR(COUNTIF(PROVEEDORES[[#This Row],[PROVEEDOR]],"*"&amp;'Palabra que no opera y Listas d'!$A$2&amp;"*"))</f>
        <v>0</v>
      </c>
    </row>
    <row r="333" spans="1:26" ht="27.75" customHeight="1" x14ac:dyDescent="0.25">
      <c r="A333" s="141" t="str">
        <f>+IF(PROVEEDORES[[#This Row],[FECHA DE PAGO]]=PROVEEDORES[[#This Row],[FECHA DE FACTURACIÓN]],"DE CONTADO","CRÉDITO")</f>
        <v>CRÉDITO</v>
      </c>
      <c r="B333" s="138" t="str">
        <f>+IF((PROVEEDORES[[#This Row],[FECHA DE PAGO]]-PROVEEDORES[[#This Row],[FECHA DE FACTURACIÓN]])&gt;PROVEEDORES[[#This Row],[PLAZO Días]],"PAGO VENCIDO")</f>
        <v>PAGO VENCIDO</v>
      </c>
      <c r="C333" s="138">
        <f>+VLOOKUP(PROVEEDORES[[#This Row],[PROVEEDOR]],TERCEROS_INFO[#All],2,FALSE)</f>
        <v>45</v>
      </c>
      <c r="D333" s="139">
        <f>+SUMIFS(PROVEEDORES[Total],PROVEEDORES[PROVEEDOR],PROVEEDORES[[#This Row],[PROVEEDOR]],PROVEEDORES[FECHA DE PAGO],"")</f>
        <v>2446500</v>
      </c>
      <c r="E333" s="140"/>
      <c r="F333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333" s="127">
        <v>45082</v>
      </c>
      <c r="H333" s="123" t="s">
        <v>10</v>
      </c>
      <c r="I333" s="127">
        <v>45016</v>
      </c>
      <c r="J333" s="124" t="s">
        <v>663</v>
      </c>
      <c r="K333" s="124" t="s">
        <v>1530</v>
      </c>
      <c r="L333" s="124"/>
      <c r="M333" s="125">
        <v>630000</v>
      </c>
      <c r="N333" s="148">
        <v>119700</v>
      </c>
      <c r="O333" s="148">
        <v>0</v>
      </c>
      <c r="P333" s="149">
        <v>0</v>
      </c>
      <c r="Q333" s="148">
        <v>0</v>
      </c>
      <c r="R333" s="150">
        <v>749700</v>
      </c>
      <c r="S3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3" s="135">
        <f ca="1">+IF(PROVEEDORES[[#This Row],[FECHA DE PAGO]]=0,TODAY()-PROVEEDORES[[#This Row],[FECHA DE FACTURACIÓN]]-PROVEEDORES[[#This Row],[PLAZO Días]],0)</f>
        <v>0</v>
      </c>
      <c r="U333" s="135" t="str">
        <f>+VLOOKUP(PROVEEDORES[[#This Row],[PROVEEDOR]],Terceros!$A:$D,4,FALSE)</f>
        <v>2,5% con base</v>
      </c>
      <c r="V333" s="135">
        <f>+YEAR(PROVEEDORES[[#This Row],[FECHA DE FACTURACIÓN]])</f>
        <v>2023</v>
      </c>
      <c r="W333" s="135">
        <f>+MATCH(PROVEEDORES[[#This Row],[año facturado]],Retenciones!$1:$1,0)</f>
        <v>6</v>
      </c>
      <c r="X333" s="136">
        <f>+VLOOKUP(PROVEEDORES[[#This Row],[ID RETENCION]],Retenciones!$A$1:$O$25,PROVEEDORES[[#This Row],[indicador de columna]],FALSE)</f>
        <v>1145000</v>
      </c>
      <c r="Y333" s="137">
        <f>+VLOOKUP(PROVEEDORES[[#This Row],[ID RETENCION]],Retenciones!$A$1:$O$25,2,FALSE)</f>
        <v>2.5000000000000001E-2</v>
      </c>
      <c r="Z333" s="126" t="b">
        <f>+OR(COUNTIF(PROVEEDORES[[#This Row],[PROVEEDOR]],"*"&amp;'Palabra que no opera y Listas d'!$A$2&amp;"*"))</f>
        <v>0</v>
      </c>
    </row>
    <row r="334" spans="1:26" ht="27.75" customHeight="1" x14ac:dyDescent="0.25">
      <c r="A334" s="141" t="str">
        <f>+IF(PROVEEDORES[[#This Row],[FECHA DE PAGO]]=PROVEEDORES[[#This Row],[FECHA DE FACTURACIÓN]],"DE CONTADO","CRÉDITO")</f>
        <v>CRÉDITO</v>
      </c>
      <c r="B334" s="138" t="str">
        <f>+IF((PROVEEDORES[[#This Row],[FECHA DE PAGO]]-PROVEEDORES[[#This Row],[FECHA DE FACTURACIÓN]])&gt;PROVEEDORES[[#This Row],[PLAZO Días]],"PAGO VENCIDO")</f>
        <v>PAGO VENCIDO</v>
      </c>
      <c r="C334" s="138">
        <f>+VLOOKUP(PROVEEDORES[[#This Row],[PROVEEDOR]],TERCEROS_INFO[#All],2,FALSE)</f>
        <v>30</v>
      </c>
      <c r="D334" s="139">
        <f>+SUMIFS(PROVEEDORES[Total],PROVEEDORES[PROVEEDOR],PROVEEDORES[[#This Row],[PROVEEDOR]],PROVEEDORES[FECHA DE PAGO],"")</f>
        <v>0</v>
      </c>
      <c r="E334" s="140"/>
      <c r="F334" s="138" t="str">
        <f>+VLOOKUP(PROVEEDORES[[#This Row],[PROVEEDOR]],
                       Terceros!$A:$F,
                       5,
                       FALSE)</f>
        <v/>
      </c>
      <c r="G334" s="127">
        <v>45082</v>
      </c>
      <c r="H334" s="123" t="s">
        <v>294</v>
      </c>
      <c r="I334" s="127">
        <v>45026</v>
      </c>
      <c r="J334" s="124">
        <v>2002</v>
      </c>
      <c r="K334" s="124" t="s">
        <v>1530</v>
      </c>
      <c r="L334" s="124"/>
      <c r="M334" s="125">
        <v>343800</v>
      </c>
      <c r="N334" s="148">
        <v>0</v>
      </c>
      <c r="O334" s="148">
        <v>0</v>
      </c>
      <c r="P334" s="149">
        <v>0</v>
      </c>
      <c r="Q334" s="148">
        <v>0</v>
      </c>
      <c r="R334" s="150">
        <v>343800</v>
      </c>
      <c r="S3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4" s="135">
        <f ca="1">+IF(PROVEEDORES[[#This Row],[FECHA DE PAGO]]=0,TODAY()-PROVEEDORES[[#This Row],[FECHA DE FACTURACIÓN]]-PROVEEDORES[[#This Row],[PLAZO Días]],0)</f>
        <v>0</v>
      </c>
      <c r="U334" s="135">
        <f>+VLOOKUP(PROVEEDORES[[#This Row],[PROVEEDOR]],Terceros!$A:$D,4,FALSE)</f>
        <v>0</v>
      </c>
      <c r="V334" s="135">
        <f>+YEAR(PROVEEDORES[[#This Row],[FECHA DE FACTURACIÓN]])</f>
        <v>2023</v>
      </c>
      <c r="W334" s="135">
        <f>+MATCH(PROVEEDORES[[#This Row],[año facturado]],Retenciones!$1:$1,0)</f>
        <v>6</v>
      </c>
      <c r="X334" s="136">
        <f>+VLOOKUP(PROVEEDORES[[#This Row],[ID RETENCION]],Retenciones!$A$1:$O$25,PROVEEDORES[[#This Row],[indicador de columna]],FALSE)</f>
        <v>0</v>
      </c>
      <c r="Y334" s="137">
        <f>+VLOOKUP(PROVEEDORES[[#This Row],[ID RETENCION]],Retenciones!$A$1:$O$25,2,FALSE)</f>
        <v>0</v>
      </c>
      <c r="Z334" s="126" t="b">
        <f>+OR(COUNTIF(PROVEEDORES[[#This Row],[PROVEEDOR]],"*"&amp;'Palabra que no opera y Listas d'!$A$2&amp;"*"))</f>
        <v>0</v>
      </c>
    </row>
    <row r="335" spans="1:26" ht="27.75" customHeight="1" x14ac:dyDescent="0.25">
      <c r="A335" s="141" t="str">
        <f>+IF(PROVEEDORES[[#This Row],[FECHA DE PAGO]]=PROVEEDORES[[#This Row],[FECHA DE FACTURACIÓN]],"DE CONTADO","CRÉDITO")</f>
        <v>CRÉDITO</v>
      </c>
      <c r="B335" s="138" t="str">
        <f>+IF((PROVEEDORES[[#This Row],[FECHA DE PAGO]]-PROVEEDORES[[#This Row],[FECHA DE FACTURACIÓN]])&gt;PROVEEDORES[[#This Row],[PLAZO Días]],"PAGO VENCIDO")</f>
        <v>PAGO VENCIDO</v>
      </c>
      <c r="C335" s="138">
        <f>+VLOOKUP(PROVEEDORES[[#This Row],[PROVEEDOR]],TERCEROS_INFO[#All],2,FALSE)</f>
        <v>30</v>
      </c>
      <c r="D335" s="139">
        <f>+SUMIFS(PROVEEDORES[Total],PROVEEDORES[PROVEEDOR],PROVEEDORES[[#This Row],[PROVEEDOR]],PROVEEDORES[FECHA DE PAGO],"")</f>
        <v>0</v>
      </c>
      <c r="E335" s="140"/>
      <c r="F335" s="138" t="str">
        <f>+VLOOKUP(PROVEEDORES[[#This Row],[PROVEEDOR]],
                       Terceros!$A:$F,
                       5,
                       FALSE)</f>
        <v>yermingg@hotmail.com;rubizulu@hotmail.com;girlesa.ruiz@servipilas.com;joriescobar64@gmail.com</v>
      </c>
      <c r="G335" s="127">
        <v>45082</v>
      </c>
      <c r="H335" s="123" t="s">
        <v>435</v>
      </c>
      <c r="I335" s="127">
        <v>45026</v>
      </c>
      <c r="J335" s="124" t="s">
        <v>816</v>
      </c>
      <c r="K335" s="124" t="s">
        <v>1530</v>
      </c>
      <c r="L335" s="124"/>
      <c r="M335" s="125">
        <v>3108403</v>
      </c>
      <c r="N335" s="148">
        <v>590596.56999999995</v>
      </c>
      <c r="O335" s="148">
        <v>0</v>
      </c>
      <c r="P335" s="149">
        <v>2.5000000000000001E-2</v>
      </c>
      <c r="Q335" s="148">
        <v>77710.074999999997</v>
      </c>
      <c r="R335" s="150">
        <v>3621289.4949999996</v>
      </c>
      <c r="S3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5" s="135">
        <f ca="1">+IF(PROVEEDORES[[#This Row],[FECHA DE PAGO]]=0,TODAY()-PROVEEDORES[[#This Row],[FECHA DE FACTURACIÓN]]-PROVEEDORES[[#This Row],[PLAZO Días]],0)</f>
        <v>0</v>
      </c>
      <c r="U335" s="135" t="str">
        <f>+VLOOKUP(PROVEEDORES[[#This Row],[PROVEEDOR]],Terceros!$A:$D,4,FALSE)</f>
        <v>2,5% con base</v>
      </c>
      <c r="V335" s="135">
        <f>+YEAR(PROVEEDORES[[#This Row],[FECHA DE FACTURACIÓN]])</f>
        <v>2023</v>
      </c>
      <c r="W335" s="135">
        <f>+MATCH(PROVEEDORES[[#This Row],[año facturado]],Retenciones!$1:$1,0)</f>
        <v>6</v>
      </c>
      <c r="X335" s="136">
        <f>+VLOOKUP(PROVEEDORES[[#This Row],[ID RETENCION]],Retenciones!$A$1:$O$25,PROVEEDORES[[#This Row],[indicador de columna]],FALSE)</f>
        <v>1145000</v>
      </c>
      <c r="Y335" s="137">
        <f>+VLOOKUP(PROVEEDORES[[#This Row],[ID RETENCION]],Retenciones!$A$1:$O$25,2,FALSE)</f>
        <v>2.5000000000000001E-2</v>
      </c>
      <c r="Z335" s="126" t="b">
        <f>+OR(COUNTIF(PROVEEDORES[[#This Row],[PROVEEDOR]],"*"&amp;'Palabra que no opera y Listas d'!$A$2&amp;"*"))</f>
        <v>0</v>
      </c>
    </row>
    <row r="336" spans="1:26" ht="27.75" customHeight="1" x14ac:dyDescent="0.25">
      <c r="A336" s="141" t="str">
        <f>+IF(PROVEEDORES[[#This Row],[FECHA DE PAGO]]=PROVEEDORES[[#This Row],[FECHA DE FACTURACIÓN]],"DE CONTADO","CRÉDITO")</f>
        <v>CRÉDITO</v>
      </c>
      <c r="B336" s="138" t="str">
        <f>+IF((PROVEEDORES[[#This Row],[FECHA DE PAGO]]-PROVEEDORES[[#This Row],[FECHA DE FACTURACIÓN]])&gt;PROVEEDORES[[#This Row],[PLAZO Días]],"PAGO VENCIDO")</f>
        <v>PAGO VENCIDO</v>
      </c>
      <c r="C336" s="138">
        <f>+VLOOKUP(PROVEEDORES[[#This Row],[PROVEEDOR]],TERCEROS_INFO[#All],2,FALSE)</f>
        <v>30</v>
      </c>
      <c r="D336" s="139">
        <f>+SUMIFS(PROVEEDORES[Total],PROVEEDORES[PROVEEDOR],PROVEEDORES[[#This Row],[PROVEEDOR]],PROVEEDORES[FECHA DE PAGO],"")</f>
        <v>0</v>
      </c>
      <c r="E336" s="140"/>
      <c r="F336" s="138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G336" s="127">
        <v>45082</v>
      </c>
      <c r="H336" s="123" t="s">
        <v>1818</v>
      </c>
      <c r="I336" s="127">
        <v>45028</v>
      </c>
      <c r="J336" s="124">
        <v>31073</v>
      </c>
      <c r="K336" s="124" t="s">
        <v>1530</v>
      </c>
      <c r="L336" s="124"/>
      <c r="M336" s="125">
        <v>900000</v>
      </c>
      <c r="N336" s="148">
        <v>0</v>
      </c>
      <c r="O336" s="148">
        <v>0</v>
      </c>
      <c r="P336" s="149">
        <v>0</v>
      </c>
      <c r="Q336" s="148">
        <v>0</v>
      </c>
      <c r="R336" s="150">
        <v>900000</v>
      </c>
      <c r="S3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6" s="135">
        <f ca="1">+IF(PROVEEDORES[[#This Row],[FECHA DE PAGO]]=0,TODAY()-PROVEEDORES[[#This Row],[FECHA DE FACTURACIÓN]]-PROVEEDORES[[#This Row],[PLAZO Días]],0)</f>
        <v>0</v>
      </c>
      <c r="U336" s="135">
        <f>+VLOOKUP(PROVEEDORES[[#This Row],[PROVEEDOR]],Terceros!$A:$D,4,FALSE)</f>
        <v>0</v>
      </c>
      <c r="V336" s="135">
        <f>+YEAR(PROVEEDORES[[#This Row],[FECHA DE FACTURACIÓN]])</f>
        <v>2023</v>
      </c>
      <c r="W336" s="135">
        <f>+MATCH(PROVEEDORES[[#This Row],[año facturado]],Retenciones!$1:$1,0)</f>
        <v>6</v>
      </c>
      <c r="X336" s="136">
        <f>+VLOOKUP(PROVEEDORES[[#This Row],[ID RETENCION]],Retenciones!$A$1:$O$25,PROVEEDORES[[#This Row],[indicador de columna]],FALSE)</f>
        <v>0</v>
      </c>
      <c r="Y336" s="137">
        <f>+VLOOKUP(PROVEEDORES[[#This Row],[ID RETENCION]],Retenciones!$A$1:$O$25,2,FALSE)</f>
        <v>0</v>
      </c>
      <c r="Z336" s="126" t="b">
        <f>+OR(COUNTIF(PROVEEDORES[[#This Row],[PROVEEDOR]],"*"&amp;'Palabra que no opera y Listas d'!$A$2&amp;"*"))</f>
        <v>0</v>
      </c>
    </row>
    <row r="337" spans="1:26" ht="27.75" customHeight="1" x14ac:dyDescent="0.25">
      <c r="A337" s="141" t="str">
        <f>+IF(PROVEEDORES[[#This Row],[FECHA DE PAGO]]=PROVEEDORES[[#This Row],[FECHA DE FACTURACIÓN]],"DE CONTADO","CRÉDITO")</f>
        <v>CRÉDITO</v>
      </c>
      <c r="B337" s="138" t="str">
        <f>+IF((PROVEEDORES[[#This Row],[FECHA DE PAGO]]-PROVEEDORES[[#This Row],[FECHA DE FACTURACIÓN]])&gt;PROVEEDORES[[#This Row],[PLAZO Días]],"PAGO VENCIDO")</f>
        <v>PAGO VENCIDO</v>
      </c>
      <c r="C337" s="138">
        <f>+VLOOKUP(PROVEEDORES[[#This Row],[PROVEEDOR]],TERCEROS_INFO[#All],2,FALSE)</f>
        <v>30</v>
      </c>
      <c r="D337" s="139">
        <f>+SUMIFS(PROVEEDORES[Total],PROVEEDORES[PROVEEDOR],PROVEEDORES[[#This Row],[PROVEEDOR]],PROVEEDORES[FECHA DE PAGO],"")</f>
        <v>8456975.129999999</v>
      </c>
      <c r="E337" s="140"/>
      <c r="F337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337" s="127">
        <v>45082</v>
      </c>
      <c r="H337" s="123" t="s">
        <v>1464</v>
      </c>
      <c r="I337" s="127">
        <v>45028</v>
      </c>
      <c r="J337" s="124" t="s">
        <v>737</v>
      </c>
      <c r="K337" s="124" t="s">
        <v>1530</v>
      </c>
      <c r="L337" s="124"/>
      <c r="M337" s="125">
        <v>97619</v>
      </c>
      <c r="N337" s="148">
        <v>18547.61</v>
      </c>
      <c r="O337" s="148">
        <v>0</v>
      </c>
      <c r="P337" s="149">
        <v>0</v>
      </c>
      <c r="Q337" s="148">
        <v>0</v>
      </c>
      <c r="R337" s="150">
        <v>116166.61</v>
      </c>
      <c r="S3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7" s="135">
        <f ca="1">+IF(PROVEEDORES[[#This Row],[FECHA DE PAGO]]=0,TODAY()-PROVEEDORES[[#This Row],[FECHA DE FACTURACIÓN]]-PROVEEDORES[[#This Row],[PLAZO Días]],0)</f>
        <v>0</v>
      </c>
      <c r="U337" s="135" t="str">
        <f>+VLOOKUP(PROVEEDORES[[#This Row],[PROVEEDOR]],Terceros!$A:$D,4,FALSE)</f>
        <v>2,5% con base</v>
      </c>
      <c r="V337" s="135">
        <f>+YEAR(PROVEEDORES[[#This Row],[FECHA DE FACTURACIÓN]])</f>
        <v>2023</v>
      </c>
      <c r="W337" s="135">
        <f>+MATCH(PROVEEDORES[[#This Row],[año facturado]],Retenciones!$1:$1,0)</f>
        <v>6</v>
      </c>
      <c r="X337" s="136">
        <f>+VLOOKUP(PROVEEDORES[[#This Row],[ID RETENCION]],Retenciones!$A$1:$O$25,PROVEEDORES[[#This Row],[indicador de columna]],FALSE)</f>
        <v>1145000</v>
      </c>
      <c r="Y337" s="137">
        <f>+VLOOKUP(PROVEEDORES[[#This Row],[ID RETENCION]],Retenciones!$A$1:$O$25,2,FALSE)</f>
        <v>2.5000000000000001E-2</v>
      </c>
      <c r="Z337" s="126" t="b">
        <f>+OR(COUNTIF(PROVEEDORES[[#This Row],[PROVEEDOR]],"*"&amp;'Palabra que no opera y Listas d'!$A$2&amp;"*"))</f>
        <v>0</v>
      </c>
    </row>
    <row r="338" spans="1:26" ht="27.75" customHeight="1" x14ac:dyDescent="0.25">
      <c r="A338" s="141" t="str">
        <f>+IF(PROVEEDORES[[#This Row],[FECHA DE PAGO]]=PROVEEDORES[[#This Row],[FECHA DE FACTURACIÓN]],"DE CONTADO","CRÉDITO")</f>
        <v>CRÉDITO</v>
      </c>
      <c r="B338" s="138" t="str">
        <f>+IF((PROVEEDORES[[#This Row],[FECHA DE PAGO]]-PROVEEDORES[[#This Row],[FECHA DE FACTURACIÓN]])&gt;PROVEEDORES[[#This Row],[PLAZO Días]],"PAGO VENCIDO")</f>
        <v>PAGO VENCIDO</v>
      </c>
      <c r="C338" s="138">
        <f>+VLOOKUP(PROVEEDORES[[#This Row],[PROVEEDOR]],TERCEROS_INFO[#All],2,FALSE)</f>
        <v>45</v>
      </c>
      <c r="D338" s="139">
        <f>+SUMIFS(PROVEEDORES[Total],PROVEEDORES[PROVEEDOR],PROVEEDORES[[#This Row],[PROVEEDOR]],PROVEEDORES[FECHA DE PAGO],"")</f>
        <v>2446500</v>
      </c>
      <c r="E338" s="140"/>
      <c r="F338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338" s="127">
        <v>45082</v>
      </c>
      <c r="H338" s="123" t="s">
        <v>10</v>
      </c>
      <c r="I338" s="127">
        <v>45029</v>
      </c>
      <c r="J338" s="124" t="s">
        <v>713</v>
      </c>
      <c r="K338" s="124" t="s">
        <v>1530</v>
      </c>
      <c r="L338" s="124"/>
      <c r="M338" s="125">
        <v>500000</v>
      </c>
      <c r="N338" s="148">
        <v>95000</v>
      </c>
      <c r="O338" s="148">
        <v>0</v>
      </c>
      <c r="P338" s="149">
        <v>0</v>
      </c>
      <c r="Q338" s="148">
        <v>0</v>
      </c>
      <c r="R338" s="150">
        <v>595000</v>
      </c>
      <c r="S3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8" s="135">
        <f ca="1">+IF(PROVEEDORES[[#This Row],[FECHA DE PAGO]]=0,TODAY()-PROVEEDORES[[#This Row],[FECHA DE FACTURACIÓN]]-PROVEEDORES[[#This Row],[PLAZO Días]],0)</f>
        <v>0</v>
      </c>
      <c r="U338" s="135" t="str">
        <f>+VLOOKUP(PROVEEDORES[[#This Row],[PROVEEDOR]],Terceros!$A:$D,4,FALSE)</f>
        <v>2,5% con base</v>
      </c>
      <c r="V338" s="135">
        <f>+YEAR(PROVEEDORES[[#This Row],[FECHA DE FACTURACIÓN]])</f>
        <v>2023</v>
      </c>
      <c r="W338" s="135">
        <f>+MATCH(PROVEEDORES[[#This Row],[año facturado]],Retenciones!$1:$1,0)</f>
        <v>6</v>
      </c>
      <c r="X338" s="136">
        <f>+VLOOKUP(PROVEEDORES[[#This Row],[ID RETENCION]],Retenciones!$A$1:$O$25,PROVEEDORES[[#This Row],[indicador de columna]],FALSE)</f>
        <v>1145000</v>
      </c>
      <c r="Y338" s="137">
        <f>+VLOOKUP(PROVEEDORES[[#This Row],[ID RETENCION]],Retenciones!$A$1:$O$25,2,FALSE)</f>
        <v>2.5000000000000001E-2</v>
      </c>
      <c r="Z338" s="126" t="b">
        <f>+OR(COUNTIF(PROVEEDORES[[#This Row],[PROVEEDOR]],"*"&amp;'Palabra que no opera y Listas d'!$A$2&amp;"*"))</f>
        <v>0</v>
      </c>
    </row>
    <row r="339" spans="1:26" ht="27.75" customHeight="1" x14ac:dyDescent="0.25">
      <c r="A339" s="141" t="str">
        <f>+IF(PROVEEDORES[[#This Row],[FECHA DE PAGO]]=PROVEEDORES[[#This Row],[FECHA DE FACTURACIÓN]],"DE CONTADO","CRÉDITO")</f>
        <v>CRÉDITO</v>
      </c>
      <c r="B339" s="138" t="str">
        <f>+IF((PROVEEDORES[[#This Row],[FECHA DE PAGO]]-PROVEEDORES[[#This Row],[FECHA DE FACTURACIÓN]])&gt;PROVEEDORES[[#This Row],[PLAZO Días]],"PAGO VENCIDO")</f>
        <v>PAGO VENCIDO</v>
      </c>
      <c r="C339" s="138">
        <f>+VLOOKUP(PROVEEDORES[[#This Row],[PROVEEDOR]],TERCEROS_INFO[#All],2,FALSE)</f>
        <v>30</v>
      </c>
      <c r="D339" s="139">
        <f>+SUMIFS(PROVEEDORES[Total],PROVEEDORES[PROVEEDOR],PROVEEDORES[[#This Row],[PROVEEDOR]],PROVEEDORES[FECHA DE PAGO],"")</f>
        <v>0</v>
      </c>
      <c r="E339" s="140"/>
      <c r="F339" s="138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G339" s="127">
        <v>45082</v>
      </c>
      <c r="H339" s="123" t="s">
        <v>710</v>
      </c>
      <c r="I339" s="127">
        <v>45030</v>
      </c>
      <c r="J339" s="124" t="s">
        <v>712</v>
      </c>
      <c r="K339" s="124" t="s">
        <v>1530</v>
      </c>
      <c r="L339" s="124"/>
      <c r="M339" s="125">
        <v>2868000</v>
      </c>
      <c r="N339" s="148">
        <v>544920</v>
      </c>
      <c r="O339" s="148">
        <v>0</v>
      </c>
      <c r="P339" s="149">
        <v>0</v>
      </c>
      <c r="Q339" s="148">
        <v>0</v>
      </c>
      <c r="R339" s="150">
        <v>3412920</v>
      </c>
      <c r="S3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39" s="135">
        <f ca="1">+IF(PROVEEDORES[[#This Row],[FECHA DE PAGO]]=0,TODAY()-PROVEEDORES[[#This Row],[FECHA DE FACTURACIÓN]]-PROVEEDORES[[#This Row],[PLAZO Días]],0)</f>
        <v>0</v>
      </c>
      <c r="U339" s="135">
        <f>+VLOOKUP(PROVEEDORES[[#This Row],[PROVEEDOR]],Terceros!$A:$D,4,FALSE)</f>
        <v>0</v>
      </c>
      <c r="V339" s="135">
        <f>+YEAR(PROVEEDORES[[#This Row],[FECHA DE FACTURACIÓN]])</f>
        <v>2023</v>
      </c>
      <c r="W339" s="135">
        <f>+MATCH(PROVEEDORES[[#This Row],[año facturado]],Retenciones!$1:$1,0)</f>
        <v>6</v>
      </c>
      <c r="X339" s="136">
        <f>+VLOOKUP(PROVEEDORES[[#This Row],[ID RETENCION]],Retenciones!$A$1:$O$25,PROVEEDORES[[#This Row],[indicador de columna]],FALSE)</f>
        <v>0</v>
      </c>
      <c r="Y339" s="137">
        <f>+VLOOKUP(PROVEEDORES[[#This Row],[ID RETENCION]],Retenciones!$A$1:$O$25,2,FALSE)</f>
        <v>0</v>
      </c>
      <c r="Z339" s="126" t="b">
        <f>+OR(COUNTIF(PROVEEDORES[[#This Row],[PROVEEDOR]],"*"&amp;'Palabra que no opera y Listas d'!$A$2&amp;"*"))</f>
        <v>0</v>
      </c>
    </row>
    <row r="340" spans="1:26" ht="27.75" customHeight="1" x14ac:dyDescent="0.25">
      <c r="A340" s="141" t="str">
        <f>+IF(PROVEEDORES[[#This Row],[FECHA DE PAGO]]=PROVEEDORES[[#This Row],[FECHA DE FACTURACIÓN]],"DE CONTADO","CRÉDITO")</f>
        <v>CRÉDITO</v>
      </c>
      <c r="B340" s="138" t="str">
        <f>+IF((PROVEEDORES[[#This Row],[FECHA DE PAGO]]-PROVEEDORES[[#This Row],[FECHA DE FACTURACIÓN]])&gt;PROVEEDORES[[#This Row],[PLAZO Días]],"PAGO VENCIDO")</f>
        <v>PAGO VENCIDO</v>
      </c>
      <c r="C340" s="138">
        <f>+VLOOKUP(PROVEEDORES[[#This Row],[PROVEEDOR]],TERCEROS_INFO[#All],2,FALSE)</f>
        <v>45</v>
      </c>
      <c r="D340" s="139">
        <f>+SUMIFS(PROVEEDORES[Total],PROVEEDORES[PROVEEDOR],PROVEEDORES[[#This Row],[PROVEEDOR]],PROVEEDORES[FECHA DE PAGO],"")</f>
        <v>2446500</v>
      </c>
      <c r="E340" s="140"/>
      <c r="F340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340" s="127">
        <v>45082</v>
      </c>
      <c r="H340" s="123" t="s">
        <v>10</v>
      </c>
      <c r="I340" s="127">
        <v>45030</v>
      </c>
      <c r="J340" s="124" t="s">
        <v>747</v>
      </c>
      <c r="K340" s="124" t="s">
        <v>1530</v>
      </c>
      <c r="L340" s="124"/>
      <c r="M340" s="125">
        <v>490000</v>
      </c>
      <c r="N340" s="148">
        <v>93100</v>
      </c>
      <c r="O340" s="148">
        <v>0</v>
      </c>
      <c r="P340" s="149">
        <v>0</v>
      </c>
      <c r="Q340" s="148">
        <v>0</v>
      </c>
      <c r="R340" s="150">
        <v>583100</v>
      </c>
      <c r="S3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0" s="135">
        <f ca="1">+IF(PROVEEDORES[[#This Row],[FECHA DE PAGO]]=0,TODAY()-PROVEEDORES[[#This Row],[FECHA DE FACTURACIÓN]]-PROVEEDORES[[#This Row],[PLAZO Días]],0)</f>
        <v>0</v>
      </c>
      <c r="U340" s="135" t="str">
        <f>+VLOOKUP(PROVEEDORES[[#This Row],[PROVEEDOR]],Terceros!$A:$D,4,FALSE)</f>
        <v>2,5% con base</v>
      </c>
      <c r="V340" s="135">
        <f>+YEAR(PROVEEDORES[[#This Row],[FECHA DE FACTURACIÓN]])</f>
        <v>2023</v>
      </c>
      <c r="W340" s="135">
        <f>+MATCH(PROVEEDORES[[#This Row],[año facturado]],Retenciones!$1:$1,0)</f>
        <v>6</v>
      </c>
      <c r="X340" s="136">
        <f>+VLOOKUP(PROVEEDORES[[#This Row],[ID RETENCION]],Retenciones!$A$1:$O$25,PROVEEDORES[[#This Row],[indicador de columna]],FALSE)</f>
        <v>1145000</v>
      </c>
      <c r="Y340" s="137">
        <f>+VLOOKUP(PROVEEDORES[[#This Row],[ID RETENCION]],Retenciones!$A$1:$O$25,2,FALSE)</f>
        <v>2.5000000000000001E-2</v>
      </c>
      <c r="Z340" s="126" t="b">
        <f>+OR(COUNTIF(PROVEEDORES[[#This Row],[PROVEEDOR]],"*"&amp;'Palabra que no opera y Listas d'!$A$2&amp;"*"))</f>
        <v>0</v>
      </c>
    </row>
    <row r="341" spans="1:26" ht="27.75" customHeight="1" x14ac:dyDescent="0.25">
      <c r="A341" s="141" t="str">
        <f>+IF(PROVEEDORES[[#This Row],[FECHA DE PAGO]]=PROVEEDORES[[#This Row],[FECHA DE FACTURACIÓN]],"DE CONTADO","CRÉDITO")</f>
        <v>CRÉDITO</v>
      </c>
      <c r="B341" s="138" t="str">
        <f>+IF((PROVEEDORES[[#This Row],[FECHA DE PAGO]]-PROVEEDORES[[#This Row],[FECHA DE FACTURACIÓN]])&gt;PROVEEDORES[[#This Row],[PLAZO Días]],"PAGO VENCIDO")</f>
        <v>PAGO VENCIDO</v>
      </c>
      <c r="C341" s="138">
        <f>+VLOOKUP(PROVEEDORES[[#This Row],[PROVEEDOR]],TERCEROS_INFO[#All],2,FALSE)</f>
        <v>30</v>
      </c>
      <c r="D341" s="139">
        <f>+SUMIFS(PROVEEDORES[Total],PROVEEDORES[PROVEEDOR],PROVEEDORES[[#This Row],[PROVEEDOR]],PROVEEDORES[FECHA DE PAGO],"")</f>
        <v>12628497</v>
      </c>
      <c r="E341" s="140"/>
      <c r="F341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41" s="127">
        <v>45082</v>
      </c>
      <c r="H341" s="123" t="s">
        <v>451</v>
      </c>
      <c r="I341" s="127">
        <v>45034</v>
      </c>
      <c r="J341" s="124" t="s">
        <v>743</v>
      </c>
      <c r="K341" s="124" t="s">
        <v>1530</v>
      </c>
      <c r="L341" s="124"/>
      <c r="M341" s="125">
        <v>436000</v>
      </c>
      <c r="N341" s="148">
        <v>82840</v>
      </c>
      <c r="O341" s="148">
        <v>0</v>
      </c>
      <c r="P341" s="149">
        <v>0</v>
      </c>
      <c r="Q341" s="148">
        <v>0</v>
      </c>
      <c r="R341" s="150">
        <v>518840</v>
      </c>
      <c r="S3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1" s="135">
        <f ca="1">+IF(PROVEEDORES[[#This Row],[FECHA DE PAGO]]=0,TODAY()-PROVEEDORES[[#This Row],[FECHA DE FACTURACIÓN]]-PROVEEDORES[[#This Row],[PLAZO Días]],0)</f>
        <v>0</v>
      </c>
      <c r="U341" s="135" t="str">
        <f>+VLOOKUP(PROVEEDORES[[#This Row],[PROVEEDOR]],Terceros!$A:$D,4,FALSE)</f>
        <v>2,5% con base</v>
      </c>
      <c r="V341" s="135">
        <f>+YEAR(PROVEEDORES[[#This Row],[FECHA DE FACTURACIÓN]])</f>
        <v>2023</v>
      </c>
      <c r="W341" s="135">
        <f>+MATCH(PROVEEDORES[[#This Row],[año facturado]],Retenciones!$1:$1,0)</f>
        <v>6</v>
      </c>
      <c r="X341" s="136">
        <f>+VLOOKUP(PROVEEDORES[[#This Row],[ID RETENCION]],Retenciones!$A$1:$O$25,PROVEEDORES[[#This Row],[indicador de columna]],FALSE)</f>
        <v>1145000</v>
      </c>
      <c r="Y341" s="137">
        <f>+VLOOKUP(PROVEEDORES[[#This Row],[ID RETENCION]],Retenciones!$A$1:$O$25,2,FALSE)</f>
        <v>2.5000000000000001E-2</v>
      </c>
      <c r="Z341" s="126" t="b">
        <f>+OR(COUNTIF(PROVEEDORES[[#This Row],[PROVEEDOR]],"*"&amp;'Palabra que no opera y Listas d'!$A$2&amp;"*"))</f>
        <v>0</v>
      </c>
    </row>
    <row r="342" spans="1:26" ht="27.75" customHeight="1" x14ac:dyDescent="0.25">
      <c r="A342" s="141" t="str">
        <f>+IF(PROVEEDORES[[#This Row],[FECHA DE PAGO]]=PROVEEDORES[[#This Row],[FECHA DE FACTURACIÓN]],"DE CONTADO","CRÉDITO")</f>
        <v>CRÉDITO</v>
      </c>
      <c r="B342" s="138" t="str">
        <f>+IF((PROVEEDORES[[#This Row],[FECHA DE PAGO]]-PROVEEDORES[[#This Row],[FECHA DE FACTURACIÓN]])&gt;PROVEEDORES[[#This Row],[PLAZO Días]],"PAGO VENCIDO")</f>
        <v>PAGO VENCIDO</v>
      </c>
      <c r="C342" s="138">
        <f>+VLOOKUP(PROVEEDORES[[#This Row],[PROVEEDOR]],TERCEROS_INFO[#All],2,FALSE)</f>
        <v>30</v>
      </c>
      <c r="D342" s="139">
        <f>+SUMIFS(PROVEEDORES[Total],PROVEEDORES[PROVEEDOR],PROVEEDORES[[#This Row],[PROVEEDOR]],PROVEEDORES[FECHA DE PAGO],"")</f>
        <v>12628497</v>
      </c>
      <c r="E342" s="140"/>
      <c r="F342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42" s="127">
        <v>45082</v>
      </c>
      <c r="H342" s="123" t="s">
        <v>451</v>
      </c>
      <c r="I342" s="127">
        <v>45036</v>
      </c>
      <c r="J342" s="124" t="s">
        <v>744</v>
      </c>
      <c r="K342" s="124" t="s">
        <v>1530</v>
      </c>
      <c r="L342" s="124"/>
      <c r="M342" s="125">
        <v>1260000</v>
      </c>
      <c r="N342" s="148">
        <v>239400</v>
      </c>
      <c r="O342" s="148">
        <v>0</v>
      </c>
      <c r="P342" s="149">
        <v>2.5000000000000001E-2</v>
      </c>
      <c r="Q342" s="148">
        <v>31500</v>
      </c>
      <c r="R342" s="150">
        <v>1467900</v>
      </c>
      <c r="S3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2" s="135">
        <f ca="1">+IF(PROVEEDORES[[#This Row],[FECHA DE PAGO]]=0,TODAY()-PROVEEDORES[[#This Row],[FECHA DE FACTURACIÓN]]-PROVEEDORES[[#This Row],[PLAZO Días]],0)</f>
        <v>0</v>
      </c>
      <c r="U342" s="135" t="str">
        <f>+VLOOKUP(PROVEEDORES[[#This Row],[PROVEEDOR]],Terceros!$A:$D,4,FALSE)</f>
        <v>2,5% con base</v>
      </c>
      <c r="V342" s="135">
        <f>+YEAR(PROVEEDORES[[#This Row],[FECHA DE FACTURACIÓN]])</f>
        <v>2023</v>
      </c>
      <c r="W342" s="135">
        <f>+MATCH(PROVEEDORES[[#This Row],[año facturado]],Retenciones!$1:$1,0)</f>
        <v>6</v>
      </c>
      <c r="X342" s="136">
        <f>+VLOOKUP(PROVEEDORES[[#This Row],[ID RETENCION]],Retenciones!$A$1:$O$25,PROVEEDORES[[#This Row],[indicador de columna]],FALSE)</f>
        <v>1145000</v>
      </c>
      <c r="Y342" s="137">
        <f>+VLOOKUP(PROVEEDORES[[#This Row],[ID RETENCION]],Retenciones!$A$1:$O$25,2,FALSE)</f>
        <v>2.5000000000000001E-2</v>
      </c>
      <c r="Z342" s="126" t="b">
        <f>+OR(COUNTIF(PROVEEDORES[[#This Row],[PROVEEDOR]],"*"&amp;'Palabra que no opera y Listas d'!$A$2&amp;"*"))</f>
        <v>0</v>
      </c>
    </row>
    <row r="343" spans="1:26" ht="27.75" customHeight="1" x14ac:dyDescent="0.25">
      <c r="A343" s="141" t="str">
        <f>+IF(PROVEEDORES[[#This Row],[FECHA DE PAGO]]=PROVEEDORES[[#This Row],[FECHA DE FACTURACIÓN]],"DE CONTADO","CRÉDITO")</f>
        <v>CRÉDITO</v>
      </c>
      <c r="B343" s="138" t="str">
        <f>+IF((PROVEEDORES[[#This Row],[FECHA DE PAGO]]-PROVEEDORES[[#This Row],[FECHA DE FACTURACIÓN]])&gt;PROVEEDORES[[#This Row],[PLAZO Días]],"PAGO VENCIDO")</f>
        <v>PAGO VENCIDO</v>
      </c>
      <c r="C343" s="138">
        <f>+VLOOKUP(PROVEEDORES[[#This Row],[PROVEEDOR]],TERCEROS_INFO[#All],2,FALSE)</f>
        <v>30</v>
      </c>
      <c r="D343" s="139">
        <f>+SUMIFS(PROVEEDORES[Total],PROVEEDORES[PROVEEDOR],PROVEEDORES[[#This Row],[PROVEEDOR]],PROVEEDORES[FECHA DE PAGO],"")</f>
        <v>12628497</v>
      </c>
      <c r="E343" s="140"/>
      <c r="F343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43" s="127">
        <v>45082</v>
      </c>
      <c r="H343" s="123" t="s">
        <v>451</v>
      </c>
      <c r="I343" s="127">
        <v>45037</v>
      </c>
      <c r="J343" s="124" t="s">
        <v>745</v>
      </c>
      <c r="K343" s="124" t="s">
        <v>1530</v>
      </c>
      <c r="L343" s="124"/>
      <c r="M343" s="125">
        <v>436000</v>
      </c>
      <c r="N343" s="148">
        <v>82840</v>
      </c>
      <c r="O343" s="148">
        <v>0</v>
      </c>
      <c r="P343" s="149">
        <v>0</v>
      </c>
      <c r="Q343" s="148">
        <v>0</v>
      </c>
      <c r="R343" s="150">
        <v>518840</v>
      </c>
      <c r="S3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3" s="135">
        <f ca="1">+IF(PROVEEDORES[[#This Row],[FECHA DE PAGO]]=0,TODAY()-PROVEEDORES[[#This Row],[FECHA DE FACTURACIÓN]]-PROVEEDORES[[#This Row],[PLAZO Días]],0)</f>
        <v>0</v>
      </c>
      <c r="U343" s="135" t="str">
        <f>+VLOOKUP(PROVEEDORES[[#This Row],[PROVEEDOR]],Terceros!$A:$D,4,FALSE)</f>
        <v>2,5% con base</v>
      </c>
      <c r="V343" s="135">
        <f>+YEAR(PROVEEDORES[[#This Row],[FECHA DE FACTURACIÓN]])</f>
        <v>2023</v>
      </c>
      <c r="W343" s="135">
        <f>+MATCH(PROVEEDORES[[#This Row],[año facturado]],Retenciones!$1:$1,0)</f>
        <v>6</v>
      </c>
      <c r="X343" s="136">
        <f>+VLOOKUP(PROVEEDORES[[#This Row],[ID RETENCION]],Retenciones!$A$1:$O$25,PROVEEDORES[[#This Row],[indicador de columna]],FALSE)</f>
        <v>1145000</v>
      </c>
      <c r="Y343" s="137">
        <f>+VLOOKUP(PROVEEDORES[[#This Row],[ID RETENCION]],Retenciones!$A$1:$O$25,2,FALSE)</f>
        <v>2.5000000000000001E-2</v>
      </c>
      <c r="Z343" s="126" t="b">
        <f>+OR(COUNTIF(PROVEEDORES[[#This Row],[PROVEEDOR]],"*"&amp;'Palabra que no opera y Listas d'!$A$2&amp;"*"))</f>
        <v>0</v>
      </c>
    </row>
    <row r="344" spans="1:26" ht="27.75" customHeight="1" x14ac:dyDescent="0.25">
      <c r="A344" s="141" t="str">
        <f>+IF(PROVEEDORES[[#This Row],[FECHA DE PAGO]]=PROVEEDORES[[#This Row],[FECHA DE FACTURACIÓN]],"DE CONTADO","CRÉDITO")</f>
        <v>CRÉDITO</v>
      </c>
      <c r="B344" s="138" t="str">
        <f>+IF((PROVEEDORES[[#This Row],[FECHA DE PAGO]]-PROVEEDORES[[#This Row],[FECHA DE FACTURACIÓN]])&gt;PROVEEDORES[[#This Row],[PLAZO Días]],"PAGO VENCIDO")</f>
        <v>PAGO VENCIDO</v>
      </c>
      <c r="C344" s="138">
        <f>+VLOOKUP(PROVEEDORES[[#This Row],[PROVEEDOR]],TERCEROS_INFO[#All],2,FALSE)</f>
        <v>30</v>
      </c>
      <c r="D344" s="139">
        <f>+SUMIFS(PROVEEDORES[Total],PROVEEDORES[PROVEEDOR],PROVEEDORES[[#This Row],[PROVEEDOR]],PROVEEDORES[FECHA DE PAGO],"")</f>
        <v>8456975.129999999</v>
      </c>
      <c r="E344" s="140"/>
      <c r="F344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344" s="127">
        <v>45082</v>
      </c>
      <c r="H344" s="123" t="s">
        <v>1464</v>
      </c>
      <c r="I344" s="127">
        <v>45040</v>
      </c>
      <c r="J344" s="124" t="s">
        <v>734</v>
      </c>
      <c r="K344" s="124" t="s">
        <v>1530</v>
      </c>
      <c r="L344" s="124"/>
      <c r="M344" s="125">
        <v>2758147</v>
      </c>
      <c r="N344" s="148">
        <v>524047.93</v>
      </c>
      <c r="O344" s="148">
        <v>0</v>
      </c>
      <c r="P344" s="149">
        <v>2.5000000000000001E-2</v>
      </c>
      <c r="Q344" s="148">
        <v>68953.675000000003</v>
      </c>
      <c r="R344" s="150">
        <v>3213241.2550000004</v>
      </c>
      <c r="S3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4" s="135">
        <f ca="1">+IF(PROVEEDORES[[#This Row],[FECHA DE PAGO]]=0,TODAY()-PROVEEDORES[[#This Row],[FECHA DE FACTURACIÓN]]-PROVEEDORES[[#This Row],[PLAZO Días]],0)</f>
        <v>0</v>
      </c>
      <c r="U344" s="135" t="str">
        <f>+VLOOKUP(PROVEEDORES[[#This Row],[PROVEEDOR]],Terceros!$A:$D,4,FALSE)</f>
        <v>2,5% con base</v>
      </c>
      <c r="V344" s="135">
        <f>+YEAR(PROVEEDORES[[#This Row],[FECHA DE FACTURACIÓN]])</f>
        <v>2023</v>
      </c>
      <c r="W344" s="135">
        <f>+MATCH(PROVEEDORES[[#This Row],[año facturado]],Retenciones!$1:$1,0)</f>
        <v>6</v>
      </c>
      <c r="X344" s="136">
        <f>+VLOOKUP(PROVEEDORES[[#This Row],[ID RETENCION]],Retenciones!$A$1:$O$25,PROVEEDORES[[#This Row],[indicador de columna]],FALSE)</f>
        <v>1145000</v>
      </c>
      <c r="Y344" s="137">
        <f>+VLOOKUP(PROVEEDORES[[#This Row],[ID RETENCION]],Retenciones!$A$1:$O$25,2,FALSE)</f>
        <v>2.5000000000000001E-2</v>
      </c>
      <c r="Z344" s="126" t="b">
        <f>+OR(COUNTIF(PROVEEDORES[[#This Row],[PROVEEDOR]],"*"&amp;'Palabra que no opera y Listas d'!$A$2&amp;"*"))</f>
        <v>0</v>
      </c>
    </row>
    <row r="345" spans="1:26" ht="27.75" customHeight="1" x14ac:dyDescent="0.25">
      <c r="A345" s="141" t="str">
        <f>+IF(PROVEEDORES[[#This Row],[FECHA DE PAGO]]=PROVEEDORES[[#This Row],[FECHA DE FACTURACIÓN]],"DE CONTADO","CRÉDITO")</f>
        <v>CRÉDITO</v>
      </c>
      <c r="B345" s="138" t="str">
        <f>+IF((PROVEEDORES[[#This Row],[FECHA DE PAGO]]-PROVEEDORES[[#This Row],[FECHA DE FACTURACIÓN]])&gt;PROVEEDORES[[#This Row],[PLAZO Días]],"PAGO VENCIDO")</f>
        <v>PAGO VENCIDO</v>
      </c>
      <c r="C345" s="138">
        <f>+VLOOKUP(PROVEEDORES[[#This Row],[PROVEEDOR]],TERCEROS_INFO[#All],2,FALSE)</f>
        <v>30</v>
      </c>
      <c r="D345" s="139">
        <f>+SUMIFS(PROVEEDORES[Total],PROVEEDORES[PROVEEDOR],PROVEEDORES[[#This Row],[PROVEEDOR]],PROVEEDORES[FECHA DE PAGO],"")</f>
        <v>8456975.129999999</v>
      </c>
      <c r="E345" s="140"/>
      <c r="F345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345" s="127">
        <v>45082</v>
      </c>
      <c r="H345" s="123" t="s">
        <v>1464</v>
      </c>
      <c r="I345" s="127">
        <v>45040</v>
      </c>
      <c r="J345" s="124" t="s">
        <v>736</v>
      </c>
      <c r="K345" s="124" t="s">
        <v>1530</v>
      </c>
      <c r="L345" s="124"/>
      <c r="M345" s="125">
        <v>23527</v>
      </c>
      <c r="N345" s="148">
        <v>4470.13</v>
      </c>
      <c r="O345" s="148">
        <v>0</v>
      </c>
      <c r="P345" s="149">
        <v>0</v>
      </c>
      <c r="Q345" s="148">
        <v>0</v>
      </c>
      <c r="R345" s="150">
        <v>27997.13</v>
      </c>
      <c r="S3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5" s="135">
        <f ca="1">+IF(PROVEEDORES[[#This Row],[FECHA DE PAGO]]=0,TODAY()-PROVEEDORES[[#This Row],[FECHA DE FACTURACIÓN]]-PROVEEDORES[[#This Row],[PLAZO Días]],0)</f>
        <v>0</v>
      </c>
      <c r="U345" s="135" t="str">
        <f>+VLOOKUP(PROVEEDORES[[#This Row],[PROVEEDOR]],Terceros!$A:$D,4,FALSE)</f>
        <v>2,5% con base</v>
      </c>
      <c r="V345" s="135">
        <f>+YEAR(PROVEEDORES[[#This Row],[FECHA DE FACTURACIÓN]])</f>
        <v>2023</v>
      </c>
      <c r="W345" s="135">
        <f>+MATCH(PROVEEDORES[[#This Row],[año facturado]],Retenciones!$1:$1,0)</f>
        <v>6</v>
      </c>
      <c r="X345" s="136">
        <f>+VLOOKUP(PROVEEDORES[[#This Row],[ID RETENCION]],Retenciones!$A$1:$O$25,PROVEEDORES[[#This Row],[indicador de columna]],FALSE)</f>
        <v>1145000</v>
      </c>
      <c r="Y345" s="137">
        <f>+VLOOKUP(PROVEEDORES[[#This Row],[ID RETENCION]],Retenciones!$A$1:$O$25,2,FALSE)</f>
        <v>2.5000000000000001E-2</v>
      </c>
      <c r="Z345" s="126" t="b">
        <f>+OR(COUNTIF(PROVEEDORES[[#This Row],[PROVEEDOR]],"*"&amp;'Palabra que no opera y Listas d'!$A$2&amp;"*"))</f>
        <v>0</v>
      </c>
    </row>
    <row r="346" spans="1:26" ht="27.75" customHeight="1" x14ac:dyDescent="0.25">
      <c r="A346" s="141" t="str">
        <f>+IF(PROVEEDORES[[#This Row],[FECHA DE PAGO]]=PROVEEDORES[[#This Row],[FECHA DE FACTURACIÓN]],"DE CONTADO","CRÉDITO")</f>
        <v>CRÉDITO</v>
      </c>
      <c r="B346" s="138" t="str">
        <f>+IF((PROVEEDORES[[#This Row],[FECHA DE PAGO]]-PROVEEDORES[[#This Row],[FECHA DE FACTURACIÓN]])&gt;PROVEEDORES[[#This Row],[PLAZO Días]],"PAGO VENCIDO")</f>
        <v>PAGO VENCIDO</v>
      </c>
      <c r="C346" s="138">
        <f>+VLOOKUP(PROVEEDORES[[#This Row],[PROVEEDOR]],TERCEROS_INFO[#All],2,FALSE)</f>
        <v>30</v>
      </c>
      <c r="D346" s="139">
        <f>+SUMIFS(PROVEEDORES[Total],PROVEEDORES[PROVEEDOR],PROVEEDORES[[#This Row],[PROVEEDOR]],PROVEEDORES[FECHA DE PAGO],"")</f>
        <v>0</v>
      </c>
      <c r="E346" s="140"/>
      <c r="F346" s="13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346" s="127">
        <v>45082</v>
      </c>
      <c r="H346" s="123" t="s">
        <v>452</v>
      </c>
      <c r="I346" s="127">
        <v>45040</v>
      </c>
      <c r="J346" s="124" t="s">
        <v>749</v>
      </c>
      <c r="K346" s="124" t="s">
        <v>1530</v>
      </c>
      <c r="L346" s="124"/>
      <c r="M346" s="125">
        <v>2420170</v>
      </c>
      <c r="N346" s="148">
        <v>459832.3</v>
      </c>
      <c r="O346" s="148">
        <v>0</v>
      </c>
      <c r="P346" s="149">
        <v>2.5000000000000001E-2</v>
      </c>
      <c r="Q346" s="148">
        <v>60504.25</v>
      </c>
      <c r="R346" s="150">
        <v>2819498.05</v>
      </c>
      <c r="S3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6" s="135">
        <f ca="1">+IF(PROVEEDORES[[#This Row],[FECHA DE PAGO]]=0,TODAY()-PROVEEDORES[[#This Row],[FECHA DE FACTURACIÓN]]-PROVEEDORES[[#This Row],[PLAZO Días]],0)</f>
        <v>0</v>
      </c>
      <c r="U346" s="135" t="str">
        <f>+VLOOKUP(PROVEEDORES[[#This Row],[PROVEEDOR]],Terceros!$A:$D,4,FALSE)</f>
        <v>2,5% con base</v>
      </c>
      <c r="V346" s="135">
        <f>+YEAR(PROVEEDORES[[#This Row],[FECHA DE FACTURACIÓN]])</f>
        <v>2023</v>
      </c>
      <c r="W346" s="135">
        <f>+MATCH(PROVEEDORES[[#This Row],[año facturado]],Retenciones!$1:$1,0)</f>
        <v>6</v>
      </c>
      <c r="X346" s="136">
        <f>+VLOOKUP(PROVEEDORES[[#This Row],[ID RETENCION]],Retenciones!$A$1:$O$25,PROVEEDORES[[#This Row],[indicador de columna]],FALSE)</f>
        <v>1145000</v>
      </c>
      <c r="Y346" s="137">
        <f>+VLOOKUP(PROVEEDORES[[#This Row],[ID RETENCION]],Retenciones!$A$1:$O$25,2,FALSE)</f>
        <v>2.5000000000000001E-2</v>
      </c>
      <c r="Z346" s="126" t="b">
        <f>+OR(COUNTIF(PROVEEDORES[[#This Row],[PROVEEDOR]],"*"&amp;'Palabra que no opera y Listas d'!$A$2&amp;"*"))</f>
        <v>0</v>
      </c>
    </row>
    <row r="347" spans="1:26" ht="27.75" customHeight="1" x14ac:dyDescent="0.25">
      <c r="A347" s="141" t="str">
        <f>+IF(PROVEEDORES[[#This Row],[FECHA DE PAGO]]=PROVEEDORES[[#This Row],[FECHA DE FACTURACIÓN]],"DE CONTADO","CRÉDITO")</f>
        <v>CRÉDITO</v>
      </c>
      <c r="B347" s="138" t="str">
        <f>+IF((PROVEEDORES[[#This Row],[FECHA DE PAGO]]-PROVEEDORES[[#This Row],[FECHA DE FACTURACIÓN]])&gt;PROVEEDORES[[#This Row],[PLAZO Días]],"PAGO VENCIDO")</f>
        <v>PAGO VENCIDO</v>
      </c>
      <c r="C347" s="138">
        <f>+VLOOKUP(PROVEEDORES[[#This Row],[PROVEEDOR]],TERCEROS_INFO[#All],2,FALSE)</f>
        <v>30</v>
      </c>
      <c r="D347" s="139">
        <f>+SUMIFS(PROVEEDORES[Total],PROVEEDORES[PROVEEDOR],PROVEEDORES[[#This Row],[PROVEEDOR]],PROVEEDORES[FECHA DE PAGO],"")</f>
        <v>12628497</v>
      </c>
      <c r="E347" s="140"/>
      <c r="F347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47" s="127">
        <v>45082</v>
      </c>
      <c r="H347" s="123" t="s">
        <v>451</v>
      </c>
      <c r="I347" s="127">
        <v>45041</v>
      </c>
      <c r="J347" s="124" t="s">
        <v>742</v>
      </c>
      <c r="K347" s="124" t="s">
        <v>1530</v>
      </c>
      <c r="L347" s="124"/>
      <c r="M347" s="125">
        <v>756000</v>
      </c>
      <c r="N347" s="148">
        <v>143640</v>
      </c>
      <c r="O347" s="148">
        <v>0</v>
      </c>
      <c r="P347" s="149">
        <v>0</v>
      </c>
      <c r="Q347" s="148">
        <v>0</v>
      </c>
      <c r="R347" s="150">
        <v>899640</v>
      </c>
      <c r="S3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7" s="135">
        <f ca="1">+IF(PROVEEDORES[[#This Row],[FECHA DE PAGO]]=0,TODAY()-PROVEEDORES[[#This Row],[FECHA DE FACTURACIÓN]]-PROVEEDORES[[#This Row],[PLAZO Días]],0)</f>
        <v>0</v>
      </c>
      <c r="U347" s="135" t="str">
        <f>+VLOOKUP(PROVEEDORES[[#This Row],[PROVEEDOR]],Terceros!$A:$D,4,FALSE)</f>
        <v>2,5% con base</v>
      </c>
      <c r="V347" s="135">
        <f>+YEAR(PROVEEDORES[[#This Row],[FECHA DE FACTURACIÓN]])</f>
        <v>2023</v>
      </c>
      <c r="W347" s="135">
        <f>+MATCH(PROVEEDORES[[#This Row],[año facturado]],Retenciones!$1:$1,0)</f>
        <v>6</v>
      </c>
      <c r="X347" s="136">
        <f>+VLOOKUP(PROVEEDORES[[#This Row],[ID RETENCION]],Retenciones!$A$1:$O$25,PROVEEDORES[[#This Row],[indicador de columna]],FALSE)</f>
        <v>1145000</v>
      </c>
      <c r="Y347" s="137">
        <f>+VLOOKUP(PROVEEDORES[[#This Row],[ID RETENCION]],Retenciones!$A$1:$O$25,2,FALSE)</f>
        <v>2.5000000000000001E-2</v>
      </c>
      <c r="Z347" s="126" t="b">
        <f>+OR(COUNTIF(PROVEEDORES[[#This Row],[PROVEEDOR]],"*"&amp;'Palabra que no opera y Listas d'!$A$2&amp;"*"))</f>
        <v>0</v>
      </c>
    </row>
    <row r="348" spans="1:26" ht="27.75" customHeight="1" x14ac:dyDescent="0.25">
      <c r="A348" s="141" t="str">
        <f>+IF(PROVEEDORES[[#This Row],[FECHA DE PAGO]]=PROVEEDORES[[#This Row],[FECHA DE FACTURACIÓN]],"DE CONTADO","CRÉDITO")</f>
        <v>CRÉDITO</v>
      </c>
      <c r="B348" s="138" t="str">
        <f>+IF((PROVEEDORES[[#This Row],[FECHA DE PAGO]]-PROVEEDORES[[#This Row],[FECHA DE FACTURACIÓN]])&gt;PROVEEDORES[[#This Row],[PLAZO Días]],"PAGO VENCIDO")</f>
        <v>PAGO VENCIDO</v>
      </c>
      <c r="C348" s="138">
        <f>+VLOOKUP(PROVEEDORES[[#This Row],[PROVEEDOR]],TERCEROS_INFO[#All],2,FALSE)</f>
        <v>30</v>
      </c>
      <c r="D348" s="139">
        <f>+SUMIFS(PROVEEDORES[Total],PROVEEDORES[PROVEEDOR],PROVEEDORES[[#This Row],[PROVEEDOR]],PROVEEDORES[FECHA DE PAGO],"")</f>
        <v>12628497</v>
      </c>
      <c r="E348" s="140"/>
      <c r="F348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348" s="127">
        <v>45082</v>
      </c>
      <c r="H348" s="123" t="s">
        <v>451</v>
      </c>
      <c r="I348" s="127">
        <v>45043</v>
      </c>
      <c r="J348" s="124" t="s">
        <v>753</v>
      </c>
      <c r="K348" s="124" t="s">
        <v>1530</v>
      </c>
      <c r="L348" s="124"/>
      <c r="M348" s="125">
        <v>2562355</v>
      </c>
      <c r="N348" s="148">
        <v>486847.45</v>
      </c>
      <c r="O348" s="148">
        <v>0</v>
      </c>
      <c r="P348" s="149">
        <v>2.5000000000000001E-2</v>
      </c>
      <c r="Q348" s="148">
        <v>64058.875</v>
      </c>
      <c r="R348" s="150">
        <v>2985143.5750000002</v>
      </c>
      <c r="S3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8" s="135">
        <f ca="1">+IF(PROVEEDORES[[#This Row],[FECHA DE PAGO]]=0,TODAY()-PROVEEDORES[[#This Row],[FECHA DE FACTURACIÓN]]-PROVEEDORES[[#This Row],[PLAZO Días]],0)</f>
        <v>0</v>
      </c>
      <c r="U348" s="135" t="str">
        <f>+VLOOKUP(PROVEEDORES[[#This Row],[PROVEEDOR]],Terceros!$A:$D,4,FALSE)</f>
        <v>2,5% con base</v>
      </c>
      <c r="V348" s="135">
        <f>+YEAR(PROVEEDORES[[#This Row],[FECHA DE FACTURACIÓN]])</f>
        <v>2023</v>
      </c>
      <c r="W348" s="135">
        <f>+MATCH(PROVEEDORES[[#This Row],[año facturado]],Retenciones!$1:$1,0)</f>
        <v>6</v>
      </c>
      <c r="X348" s="136">
        <f>+VLOOKUP(PROVEEDORES[[#This Row],[ID RETENCION]],Retenciones!$A$1:$O$25,PROVEEDORES[[#This Row],[indicador de columna]],FALSE)</f>
        <v>1145000</v>
      </c>
      <c r="Y348" s="137">
        <f>+VLOOKUP(PROVEEDORES[[#This Row],[ID RETENCION]],Retenciones!$A$1:$O$25,2,FALSE)</f>
        <v>2.5000000000000001E-2</v>
      </c>
      <c r="Z348" s="126" t="b">
        <f>+OR(COUNTIF(PROVEEDORES[[#This Row],[PROVEEDOR]],"*"&amp;'Palabra que no opera y Listas d'!$A$2&amp;"*"))</f>
        <v>0</v>
      </c>
    </row>
    <row r="349" spans="1:26" ht="27.75" customHeight="1" x14ac:dyDescent="0.25">
      <c r="A349" s="141" t="str">
        <f>+IF(PROVEEDORES[[#This Row],[FECHA DE PAGO]]=PROVEEDORES[[#This Row],[FECHA DE FACTURACIÓN]],"DE CONTADO","CRÉDITO")</f>
        <v>CRÉDITO</v>
      </c>
      <c r="B349" s="138" t="str">
        <f>+IF((PROVEEDORES[[#This Row],[FECHA DE PAGO]]-PROVEEDORES[[#This Row],[FECHA DE FACTURACIÓN]])&gt;PROVEEDORES[[#This Row],[PLAZO Días]],"PAGO VENCIDO")</f>
        <v>PAGO VENCIDO</v>
      </c>
      <c r="C349" s="138">
        <f>+VLOOKUP(PROVEEDORES[[#This Row],[PROVEEDOR]],TERCEROS_INFO[#All],2,FALSE)</f>
        <v>30</v>
      </c>
      <c r="D349" s="139">
        <f>+SUMIFS(PROVEEDORES[Total],PROVEEDORES[PROVEEDOR],PROVEEDORES[[#This Row],[PROVEEDOR]],PROVEEDORES[FECHA DE PAGO],"")</f>
        <v>0</v>
      </c>
      <c r="E349" s="140"/>
      <c r="F349" s="138" t="str">
        <f>+VLOOKUP(PROVEEDORES[[#This Row],[PROVEEDOR]],
                       Terceros!$A:$F,
                       5,
                       FALSE)</f>
        <v/>
      </c>
      <c r="G349" s="127">
        <v>45083</v>
      </c>
      <c r="H349" s="123" t="s">
        <v>1149</v>
      </c>
      <c r="I349" s="127">
        <v>45002</v>
      </c>
      <c r="J349" s="124" t="s">
        <v>696</v>
      </c>
      <c r="K349" s="124" t="s">
        <v>1530</v>
      </c>
      <c r="L349" s="124"/>
      <c r="M349" s="125">
        <v>1870000</v>
      </c>
      <c r="N349" s="148">
        <v>0</v>
      </c>
      <c r="O349" s="148">
        <v>0</v>
      </c>
      <c r="P349" s="149">
        <v>0</v>
      </c>
      <c r="Q349" s="148">
        <v>0</v>
      </c>
      <c r="R349" s="150">
        <v>1870000</v>
      </c>
      <c r="S3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49" s="135">
        <f ca="1">+IF(PROVEEDORES[[#This Row],[FECHA DE PAGO]]=0,TODAY()-PROVEEDORES[[#This Row],[FECHA DE FACTURACIÓN]]-PROVEEDORES[[#This Row],[PLAZO Días]],0)</f>
        <v>0</v>
      </c>
      <c r="U349" s="135">
        <f>+VLOOKUP(PROVEEDORES[[#This Row],[PROVEEDOR]],Terceros!$A:$D,4,FALSE)</f>
        <v>0</v>
      </c>
      <c r="V349" s="135">
        <f>+YEAR(PROVEEDORES[[#This Row],[FECHA DE FACTURACIÓN]])</f>
        <v>2023</v>
      </c>
      <c r="W349" s="135">
        <f>+MATCH(PROVEEDORES[[#This Row],[año facturado]],Retenciones!$1:$1,0)</f>
        <v>6</v>
      </c>
      <c r="X349" s="136">
        <f>+VLOOKUP(PROVEEDORES[[#This Row],[ID RETENCION]],Retenciones!$A$1:$O$25,PROVEEDORES[[#This Row],[indicador de columna]],FALSE)</f>
        <v>0</v>
      </c>
      <c r="Y349" s="137">
        <f>+VLOOKUP(PROVEEDORES[[#This Row],[ID RETENCION]],Retenciones!$A$1:$O$25,2,FALSE)</f>
        <v>0</v>
      </c>
      <c r="Z349" s="126" t="b">
        <f>+OR(COUNTIF(PROVEEDORES[[#This Row],[PROVEEDOR]],"*"&amp;'Palabra que no opera y Listas d'!$A$2&amp;"*"))</f>
        <v>0</v>
      </c>
    </row>
    <row r="350" spans="1:26" ht="27.75" customHeight="1" x14ac:dyDescent="0.25">
      <c r="A350" s="141" t="str">
        <f>+IF(PROVEEDORES[[#This Row],[FECHA DE PAGO]]=PROVEEDORES[[#This Row],[FECHA DE FACTURACIÓN]],"DE CONTADO","CRÉDITO")</f>
        <v>DE CONTADO</v>
      </c>
      <c r="B350" s="138" t="b">
        <f>+IF((PROVEEDORES[[#This Row],[FECHA DE PAGO]]-PROVEEDORES[[#This Row],[FECHA DE FACTURACIÓN]])&gt;PROVEEDORES[[#This Row],[PLAZO Días]],"PAGO VENCIDO")</f>
        <v>0</v>
      </c>
      <c r="C350" s="138">
        <f>+VLOOKUP(PROVEEDORES[[#This Row],[PROVEEDOR]],TERCEROS_INFO[#All],2,FALSE)</f>
        <v>30</v>
      </c>
      <c r="D350" s="139">
        <f>+SUMIFS(PROVEEDORES[Total],PROVEEDORES[PROVEEDOR],PROVEEDORES[[#This Row],[PROVEEDOR]],PROVEEDORES[FECHA DE PAGO],"")</f>
        <v>0</v>
      </c>
      <c r="E350" s="140"/>
      <c r="F350" s="138" t="str">
        <f>+VLOOKUP(PROVEEDORES[[#This Row],[PROVEEDOR]],
                       Terceros!$A:$F,
                       5,
                       FALSE)</f>
        <v>LMGS789@HOTMAIL.COM;girlesa.ruiz@servipilas.com;joriescobar64@gmail.com</v>
      </c>
      <c r="G350" s="127">
        <v>45083</v>
      </c>
      <c r="H350" s="123" t="s">
        <v>426</v>
      </c>
      <c r="I350" s="127">
        <v>45083</v>
      </c>
      <c r="J350" s="124" t="s">
        <v>827</v>
      </c>
      <c r="K350" s="124" t="s">
        <v>1530</v>
      </c>
      <c r="L350" s="124"/>
      <c r="M350" s="125">
        <v>428571</v>
      </c>
      <c r="N350" s="148">
        <v>81428.490000000005</v>
      </c>
      <c r="O350" s="148">
        <v>0</v>
      </c>
      <c r="P350" s="149">
        <v>0</v>
      </c>
      <c r="Q350" s="148">
        <v>0</v>
      </c>
      <c r="R350" s="150">
        <v>509999.49</v>
      </c>
      <c r="S3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0" s="135">
        <f ca="1">+IF(PROVEEDORES[[#This Row],[FECHA DE PAGO]]=0,TODAY()-PROVEEDORES[[#This Row],[FECHA DE FACTURACIÓN]]-PROVEEDORES[[#This Row],[PLAZO Días]],0)</f>
        <v>0</v>
      </c>
      <c r="U350" s="135">
        <f>+VLOOKUP(PROVEEDORES[[#This Row],[PROVEEDOR]],Terceros!$A:$D,4,FALSE)</f>
        <v>0</v>
      </c>
      <c r="V350" s="135">
        <f>+YEAR(PROVEEDORES[[#This Row],[FECHA DE FACTURACIÓN]])</f>
        <v>2023</v>
      </c>
      <c r="W350" s="135">
        <f>+MATCH(PROVEEDORES[[#This Row],[año facturado]],Retenciones!$1:$1,0)</f>
        <v>6</v>
      </c>
      <c r="X350" s="136">
        <f>+VLOOKUP(PROVEEDORES[[#This Row],[ID RETENCION]],Retenciones!$A$1:$O$25,PROVEEDORES[[#This Row],[indicador de columna]],FALSE)</f>
        <v>0</v>
      </c>
      <c r="Y350" s="137">
        <f>+VLOOKUP(PROVEEDORES[[#This Row],[ID RETENCION]],Retenciones!$A$1:$O$25,2,FALSE)</f>
        <v>0</v>
      </c>
      <c r="Z350" s="126" t="b">
        <f>+OR(COUNTIF(PROVEEDORES[[#This Row],[PROVEEDOR]],"*"&amp;'Palabra que no opera y Listas d'!$A$2&amp;"*"))</f>
        <v>0</v>
      </c>
    </row>
    <row r="351" spans="1:26" ht="27.75" customHeight="1" x14ac:dyDescent="0.25">
      <c r="A351" s="141" t="str">
        <f>+IF(PROVEEDORES[[#This Row],[FECHA DE PAGO]]=PROVEEDORES[[#This Row],[FECHA DE FACTURACIÓN]],"DE CONTADO","CRÉDITO")</f>
        <v>CRÉDITO</v>
      </c>
      <c r="B351" s="138" t="b">
        <f>+IF((PROVEEDORES[[#This Row],[FECHA DE PAGO]]-PROVEEDORES[[#This Row],[FECHA DE FACTURACIÓN]])&gt;PROVEEDORES[[#This Row],[PLAZO Días]],"PAGO VENCIDO")</f>
        <v>0</v>
      </c>
      <c r="C351" s="138">
        <f>+VLOOKUP(PROVEEDORES[[#This Row],[PROVEEDOR]],TERCEROS_INFO[#All],2,FALSE)</f>
        <v>30</v>
      </c>
      <c r="D351" s="139">
        <f>+SUMIFS(PROVEEDORES[Total],PROVEEDORES[PROVEEDOR],PROVEEDORES[[#This Row],[PROVEEDOR]],PROVEEDORES[FECHA DE PAGO],"")</f>
        <v>0</v>
      </c>
      <c r="E351" s="140"/>
      <c r="F351" s="138" t="str">
        <f>+VLOOKUP(PROVEEDORES[[#This Row],[PROVEEDOR]],
                       Terceros!$A:$F,
                       5,
                       FALSE)</f>
        <v>cartera@aerosan.com;girlesa.ruiz@servipilas.com;joriescobar64@gmail.com</v>
      </c>
      <c r="G351" s="127">
        <v>45085</v>
      </c>
      <c r="H351" s="123" t="s">
        <v>50</v>
      </c>
      <c r="I351" s="127">
        <v>45084</v>
      </c>
      <c r="J351" s="124" t="s">
        <v>821</v>
      </c>
      <c r="K351" s="124" t="s">
        <v>1530</v>
      </c>
      <c r="L351" s="124"/>
      <c r="M351" s="125">
        <v>347585</v>
      </c>
      <c r="N351" s="148">
        <v>66041.149999999994</v>
      </c>
      <c r="O351" s="148">
        <v>0</v>
      </c>
      <c r="P351" s="149">
        <v>0</v>
      </c>
      <c r="Q351" s="148">
        <v>0</v>
      </c>
      <c r="R351" s="150">
        <v>413626.15</v>
      </c>
      <c r="S3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1" s="135">
        <f ca="1">+IF(PROVEEDORES[[#This Row],[FECHA DE PAGO]]=0,TODAY()-PROVEEDORES[[#This Row],[FECHA DE FACTURACIÓN]]-PROVEEDORES[[#This Row],[PLAZO Días]],0)</f>
        <v>0</v>
      </c>
      <c r="U351" s="135">
        <f>+VLOOKUP(PROVEEDORES[[#This Row],[PROVEEDOR]],Terceros!$A:$D,4,FALSE)</f>
        <v>0</v>
      </c>
      <c r="V351" s="135">
        <f>+YEAR(PROVEEDORES[[#This Row],[FECHA DE FACTURACIÓN]])</f>
        <v>2023</v>
      </c>
      <c r="W351" s="135">
        <f>+MATCH(PROVEEDORES[[#This Row],[año facturado]],Retenciones!$1:$1,0)</f>
        <v>6</v>
      </c>
      <c r="X351" s="136">
        <f>+VLOOKUP(PROVEEDORES[[#This Row],[ID RETENCION]],Retenciones!$A$1:$O$25,PROVEEDORES[[#This Row],[indicador de columna]],FALSE)</f>
        <v>0</v>
      </c>
      <c r="Y351" s="137">
        <f>+VLOOKUP(PROVEEDORES[[#This Row],[ID RETENCION]],Retenciones!$A$1:$O$25,2,FALSE)</f>
        <v>0</v>
      </c>
      <c r="Z351" s="126" t="b">
        <f>+OR(COUNTIF(PROVEEDORES[[#This Row],[PROVEEDOR]],"*"&amp;'Palabra que no opera y Listas d'!$A$2&amp;"*"))</f>
        <v>0</v>
      </c>
    </row>
    <row r="352" spans="1:26" ht="27.75" customHeight="1" x14ac:dyDescent="0.25">
      <c r="A352" s="141" t="str">
        <f>+IF(PROVEEDORES[[#This Row],[FECHA DE PAGO]]=PROVEEDORES[[#This Row],[FECHA DE FACTURACIÓN]],"DE CONTADO","CRÉDITO")</f>
        <v>CRÉDITO</v>
      </c>
      <c r="B352" s="138" t="b">
        <f>+IF((PROVEEDORES[[#This Row],[FECHA DE PAGO]]-PROVEEDORES[[#This Row],[FECHA DE FACTURACIÓN]])&gt;PROVEEDORES[[#This Row],[PLAZO Días]],"PAGO VENCIDO")</f>
        <v>0</v>
      </c>
      <c r="C352" s="138">
        <f>+VLOOKUP(PROVEEDORES[[#This Row],[PROVEEDOR]],TERCEROS_INFO[#All],2,FALSE)</f>
        <v>30</v>
      </c>
      <c r="D352" s="139">
        <f>+SUMIFS(PROVEEDORES[Total],PROVEEDORES[PROVEEDOR],PROVEEDORES[[#This Row],[PROVEEDOR]],PROVEEDORES[FECHA DE PAGO],"")</f>
        <v>0</v>
      </c>
      <c r="E352" s="140"/>
      <c r="F352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52" s="127">
        <v>45086</v>
      </c>
      <c r="H352" s="123" t="s">
        <v>368</v>
      </c>
      <c r="I352" s="127">
        <v>45058</v>
      </c>
      <c r="J352" s="124" t="s">
        <v>491</v>
      </c>
      <c r="K352" s="124" t="s">
        <v>1530</v>
      </c>
      <c r="L352" s="124"/>
      <c r="M352" s="125">
        <v>-152631</v>
      </c>
      <c r="N352" s="148">
        <v>-28999.89</v>
      </c>
      <c r="O352" s="148">
        <v>0</v>
      </c>
      <c r="P352" s="149">
        <v>0</v>
      </c>
      <c r="Q352" s="148">
        <v>0</v>
      </c>
      <c r="R352" s="150">
        <v>-181630.89</v>
      </c>
      <c r="S3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2" s="135">
        <f ca="1">+IF(PROVEEDORES[[#This Row],[FECHA DE PAGO]]=0,TODAY()-PROVEEDORES[[#This Row],[FECHA DE FACTURACIÓN]]-PROVEEDORES[[#This Row],[PLAZO Días]],0)</f>
        <v>0</v>
      </c>
      <c r="U352" s="135">
        <f>+VLOOKUP(PROVEEDORES[[#This Row],[PROVEEDOR]],Terceros!$A:$D,4,FALSE)</f>
        <v>0</v>
      </c>
      <c r="V352" s="135">
        <f>+YEAR(PROVEEDORES[[#This Row],[FECHA DE FACTURACIÓN]])</f>
        <v>2023</v>
      </c>
      <c r="W352" s="135">
        <f>+MATCH(PROVEEDORES[[#This Row],[año facturado]],Retenciones!$1:$1,0)</f>
        <v>6</v>
      </c>
      <c r="X352" s="136">
        <f>+VLOOKUP(PROVEEDORES[[#This Row],[ID RETENCION]],Retenciones!$A$1:$O$25,PROVEEDORES[[#This Row],[indicador de columna]],FALSE)</f>
        <v>0</v>
      </c>
      <c r="Y352" s="137">
        <f>+VLOOKUP(PROVEEDORES[[#This Row],[ID RETENCION]],Retenciones!$A$1:$O$25,2,FALSE)</f>
        <v>0</v>
      </c>
      <c r="Z352" s="126" t="b">
        <f>+OR(COUNTIF(PROVEEDORES[[#This Row],[PROVEEDOR]],"*"&amp;'Palabra que no opera y Listas d'!$A$2&amp;"*"))</f>
        <v>1</v>
      </c>
    </row>
    <row r="353" spans="1:26" ht="27.75" customHeight="1" x14ac:dyDescent="0.25">
      <c r="A353" s="141" t="str">
        <f>+IF(PROVEEDORES[[#This Row],[FECHA DE PAGO]]=PROVEEDORES[[#This Row],[FECHA DE FACTURACIÓN]],"DE CONTADO","CRÉDITO")</f>
        <v>CRÉDITO</v>
      </c>
      <c r="B353" s="138" t="b">
        <f>+IF((PROVEEDORES[[#This Row],[FECHA DE PAGO]]-PROVEEDORES[[#This Row],[FECHA DE FACTURACIÓN]])&gt;PROVEEDORES[[#This Row],[PLAZO Días]],"PAGO VENCIDO")</f>
        <v>0</v>
      </c>
      <c r="C353" s="138">
        <f>+VLOOKUP(PROVEEDORES[[#This Row],[PROVEEDOR]],TERCEROS_INFO[#All],2,FALSE)</f>
        <v>30</v>
      </c>
      <c r="D353" s="139">
        <f>+SUMIFS(PROVEEDORES[Total],PROVEEDORES[PROVEEDOR],PROVEEDORES[[#This Row],[PROVEEDOR]],PROVEEDORES[FECHA DE PAGO],"")</f>
        <v>0</v>
      </c>
      <c r="E353" s="140"/>
      <c r="F353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53" s="127">
        <v>45086</v>
      </c>
      <c r="H353" s="123" t="s">
        <v>368</v>
      </c>
      <c r="I353" s="127">
        <v>45078</v>
      </c>
      <c r="J353" s="124" t="s">
        <v>822</v>
      </c>
      <c r="K353" s="124" t="s">
        <v>1530</v>
      </c>
      <c r="L353" s="124"/>
      <c r="M353" s="125">
        <v>908172</v>
      </c>
      <c r="N353" s="148">
        <v>172552.68</v>
      </c>
      <c r="O353" s="148">
        <v>0</v>
      </c>
      <c r="P353" s="149">
        <v>0</v>
      </c>
      <c r="Q353" s="148">
        <v>0</v>
      </c>
      <c r="R353" s="150">
        <v>1080724.68</v>
      </c>
      <c r="S3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3" s="135">
        <f ca="1">+IF(PROVEEDORES[[#This Row],[FECHA DE PAGO]]=0,TODAY()-PROVEEDORES[[#This Row],[FECHA DE FACTURACIÓN]]-PROVEEDORES[[#This Row],[PLAZO Días]],0)</f>
        <v>0</v>
      </c>
      <c r="U353" s="135">
        <f>+VLOOKUP(PROVEEDORES[[#This Row],[PROVEEDOR]],Terceros!$A:$D,4,FALSE)</f>
        <v>0</v>
      </c>
      <c r="V353" s="135">
        <f>+YEAR(PROVEEDORES[[#This Row],[FECHA DE FACTURACIÓN]])</f>
        <v>2023</v>
      </c>
      <c r="W353" s="135">
        <f>+MATCH(PROVEEDORES[[#This Row],[año facturado]],Retenciones!$1:$1,0)</f>
        <v>6</v>
      </c>
      <c r="X353" s="136">
        <f>+VLOOKUP(PROVEEDORES[[#This Row],[ID RETENCION]],Retenciones!$A$1:$O$25,PROVEEDORES[[#This Row],[indicador de columna]],FALSE)</f>
        <v>0</v>
      </c>
      <c r="Y353" s="137">
        <f>+VLOOKUP(PROVEEDORES[[#This Row],[ID RETENCION]],Retenciones!$A$1:$O$25,2,FALSE)</f>
        <v>0</v>
      </c>
      <c r="Z353" s="126" t="b">
        <f>+OR(COUNTIF(PROVEEDORES[[#This Row],[PROVEEDOR]],"*"&amp;'Palabra que no opera y Listas d'!$A$2&amp;"*"))</f>
        <v>1</v>
      </c>
    </row>
    <row r="354" spans="1:26" ht="27.75" customHeight="1" x14ac:dyDescent="0.25">
      <c r="A354" s="141" t="str">
        <f>+IF(PROVEEDORES[[#This Row],[FECHA DE PAGO]]=PROVEEDORES[[#This Row],[FECHA DE FACTURACIÓN]],"DE CONTADO","CRÉDITO")</f>
        <v>CRÉDITO</v>
      </c>
      <c r="B354" s="138" t="b">
        <f>+IF((PROVEEDORES[[#This Row],[FECHA DE PAGO]]-PROVEEDORES[[#This Row],[FECHA DE FACTURACIÓN]])&gt;PROVEEDORES[[#This Row],[PLAZO Días]],"PAGO VENCIDO")</f>
        <v>0</v>
      </c>
      <c r="C354" s="138">
        <f>+VLOOKUP(PROVEEDORES[[#This Row],[PROVEEDOR]],TERCEROS_INFO[#All],2,FALSE)</f>
        <v>30</v>
      </c>
      <c r="D354" s="139">
        <f>+SUMIFS(PROVEEDORES[Total],PROVEEDORES[PROVEEDOR],PROVEEDORES[[#This Row],[PROVEEDOR]],PROVEEDORES[FECHA DE PAGO],"")</f>
        <v>0</v>
      </c>
      <c r="E354" s="140"/>
      <c r="F354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354" s="127">
        <v>45086</v>
      </c>
      <c r="H354" s="123" t="s">
        <v>368</v>
      </c>
      <c r="I354" s="127">
        <v>45078</v>
      </c>
      <c r="J354" s="124" t="s">
        <v>823</v>
      </c>
      <c r="K354" s="124" t="s">
        <v>1530</v>
      </c>
      <c r="L354" s="124"/>
      <c r="M354" s="125">
        <v>3792544</v>
      </c>
      <c r="N354" s="148">
        <v>720583.36</v>
      </c>
      <c r="O354" s="148">
        <v>0</v>
      </c>
      <c r="P354" s="149">
        <v>0</v>
      </c>
      <c r="Q354" s="148">
        <v>0</v>
      </c>
      <c r="R354" s="150">
        <v>4513127.3600000003</v>
      </c>
      <c r="S3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4" s="135">
        <f ca="1">+IF(PROVEEDORES[[#This Row],[FECHA DE PAGO]]=0,TODAY()-PROVEEDORES[[#This Row],[FECHA DE FACTURACIÓN]]-PROVEEDORES[[#This Row],[PLAZO Días]],0)</f>
        <v>0</v>
      </c>
      <c r="U354" s="135">
        <f>+VLOOKUP(PROVEEDORES[[#This Row],[PROVEEDOR]],Terceros!$A:$D,4,FALSE)</f>
        <v>0</v>
      </c>
      <c r="V354" s="135">
        <f>+YEAR(PROVEEDORES[[#This Row],[FECHA DE FACTURACIÓN]])</f>
        <v>2023</v>
      </c>
      <c r="W354" s="135">
        <f>+MATCH(PROVEEDORES[[#This Row],[año facturado]],Retenciones!$1:$1,0)</f>
        <v>6</v>
      </c>
      <c r="X354" s="136">
        <f>+VLOOKUP(PROVEEDORES[[#This Row],[ID RETENCION]],Retenciones!$A$1:$O$25,PROVEEDORES[[#This Row],[indicador de columna]],FALSE)</f>
        <v>0</v>
      </c>
      <c r="Y354" s="137">
        <f>+VLOOKUP(PROVEEDORES[[#This Row],[ID RETENCION]],Retenciones!$A$1:$O$25,2,FALSE)</f>
        <v>0</v>
      </c>
      <c r="Z354" s="126" t="b">
        <f>+OR(COUNTIF(PROVEEDORES[[#This Row],[PROVEEDOR]],"*"&amp;'Palabra que no opera y Listas d'!$A$2&amp;"*"))</f>
        <v>1</v>
      </c>
    </row>
    <row r="355" spans="1:26" ht="27.75" customHeight="1" x14ac:dyDescent="0.25">
      <c r="A355" s="141" t="str">
        <f>+IF(PROVEEDORES[[#This Row],[FECHA DE PAGO]]=PROVEEDORES[[#This Row],[FECHA DE FACTURACIÓN]],"DE CONTADO","CRÉDITO")</f>
        <v>CRÉDITO</v>
      </c>
      <c r="B355" s="138" t="b">
        <f>+IF((PROVEEDORES[[#This Row],[FECHA DE PAGO]]-PROVEEDORES[[#This Row],[FECHA DE FACTURACIÓN]])&gt;PROVEEDORES[[#This Row],[PLAZO Días]],"PAGO VENCIDO")</f>
        <v>0</v>
      </c>
      <c r="C355" s="138">
        <f>+VLOOKUP(PROVEEDORES[[#This Row],[PROVEEDOR]],TERCEROS_INFO[#All],2,FALSE)</f>
        <v>30</v>
      </c>
      <c r="D355" s="139">
        <f>+SUMIFS(PROVEEDORES[Total],PROVEEDORES[PROVEEDOR],PROVEEDORES[[#This Row],[PROVEEDOR]],PROVEEDORES[FECHA DE PAGO],"")</f>
        <v>0</v>
      </c>
      <c r="E355" s="140"/>
      <c r="F355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355" s="127">
        <v>45086</v>
      </c>
      <c r="H355" s="123" t="s">
        <v>383</v>
      </c>
      <c r="I355" s="127">
        <v>45078</v>
      </c>
      <c r="J355" s="124" t="s">
        <v>820</v>
      </c>
      <c r="K355" s="124" t="s">
        <v>1530</v>
      </c>
      <c r="L355" s="124"/>
      <c r="M355" s="125">
        <v>3935776</v>
      </c>
      <c r="N355" s="148">
        <v>747797.44000000006</v>
      </c>
      <c r="O355" s="148">
        <v>0</v>
      </c>
      <c r="P355" s="149">
        <v>3.5000000000000003E-2</v>
      </c>
      <c r="Q355" s="148">
        <v>137752.16</v>
      </c>
      <c r="R355" s="150">
        <v>4545821.28</v>
      </c>
      <c r="S3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5" s="135">
        <f ca="1">+IF(PROVEEDORES[[#This Row],[FECHA DE PAGO]]=0,TODAY()-PROVEEDORES[[#This Row],[FECHA DE FACTURACIÓN]]-PROVEEDORES[[#This Row],[PLAZO Días]],0)</f>
        <v>0</v>
      </c>
      <c r="U355" s="135" t="str">
        <f>+VLOOKUP(PROVEEDORES[[#This Row],[PROVEEDOR]],Terceros!$A:$D,4,FALSE)</f>
        <v>3,5% sin base</v>
      </c>
      <c r="V355" s="135">
        <f>+YEAR(PROVEEDORES[[#This Row],[FECHA DE FACTURACIÓN]])</f>
        <v>2023</v>
      </c>
      <c r="W355" s="135">
        <f>+MATCH(PROVEEDORES[[#This Row],[año facturado]],Retenciones!$1:$1,0)</f>
        <v>6</v>
      </c>
      <c r="X355" s="136">
        <f>+VLOOKUP(PROVEEDORES[[#This Row],[ID RETENCION]],Retenciones!$A$1:$O$25,PROVEEDORES[[#This Row],[indicador de columna]],FALSE)</f>
        <v>0</v>
      </c>
      <c r="Y355" s="137">
        <f>+VLOOKUP(PROVEEDORES[[#This Row],[ID RETENCION]],Retenciones!$A$1:$O$25,2,FALSE)</f>
        <v>3.5000000000000003E-2</v>
      </c>
      <c r="Z355" s="126" t="b">
        <f>+OR(COUNTIF(PROVEEDORES[[#This Row],[PROVEEDOR]],"*"&amp;'Palabra que no opera y Listas d'!$A$2&amp;"*"))</f>
        <v>1</v>
      </c>
    </row>
    <row r="356" spans="1:26" ht="27.75" customHeight="1" x14ac:dyDescent="0.25">
      <c r="A356" s="141" t="str">
        <f>+IF(PROVEEDORES[[#This Row],[FECHA DE PAGO]]=PROVEEDORES[[#This Row],[FECHA DE FACTURACIÓN]],"DE CONTADO","CRÉDITO")</f>
        <v>DE CONTADO</v>
      </c>
      <c r="B356" s="138" t="b">
        <f>+IF((PROVEEDORES[[#This Row],[FECHA DE PAGO]]-PROVEEDORES[[#This Row],[FECHA DE FACTURACIÓN]])&gt;PROVEEDORES[[#This Row],[PLAZO Días]],"PAGO VENCIDO")</f>
        <v>0</v>
      </c>
      <c r="C356" s="138">
        <f>+VLOOKUP(PROVEEDORES[[#This Row],[PROVEEDOR]],TERCEROS_INFO[#All],2,FALSE)</f>
        <v>30</v>
      </c>
      <c r="D356" s="139">
        <f>+SUMIFS(PROVEEDORES[Total],PROVEEDORES[PROVEEDOR],PROVEEDORES[[#This Row],[PROVEEDOR]],PROVEEDORES[FECHA DE PAGO],"")</f>
        <v>1350000</v>
      </c>
      <c r="E356" s="140"/>
      <c r="F356" s="138" t="str">
        <f>+VLOOKUP(PROVEEDORES[[#This Row],[PROVEEDOR]],
                       Terceros!$A:$F,
                       5,
                       FALSE)</f>
        <v/>
      </c>
      <c r="G356" s="127">
        <v>45087</v>
      </c>
      <c r="H356" s="123" t="s">
        <v>1807</v>
      </c>
      <c r="I356" s="127">
        <v>45087</v>
      </c>
      <c r="J356" s="124" t="s">
        <v>862</v>
      </c>
      <c r="K356" s="124" t="s">
        <v>1530</v>
      </c>
      <c r="L356" s="124"/>
      <c r="M356" s="125">
        <v>895000</v>
      </c>
      <c r="N356" s="148">
        <v>0</v>
      </c>
      <c r="O356" s="148">
        <v>0</v>
      </c>
      <c r="P356" s="149">
        <v>0</v>
      </c>
      <c r="Q356" s="148">
        <v>0</v>
      </c>
      <c r="R356" s="150">
        <v>895000</v>
      </c>
      <c r="S3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6" s="135">
        <f ca="1">+IF(PROVEEDORES[[#This Row],[FECHA DE PAGO]]=0,TODAY()-PROVEEDORES[[#This Row],[FECHA DE FACTURACIÓN]]-PROVEEDORES[[#This Row],[PLAZO Días]],0)</f>
        <v>0</v>
      </c>
      <c r="U356" s="135">
        <f>+VLOOKUP(PROVEEDORES[[#This Row],[PROVEEDOR]],Terceros!$A:$D,4,FALSE)</f>
        <v>0</v>
      </c>
      <c r="V356" s="135">
        <f>+YEAR(PROVEEDORES[[#This Row],[FECHA DE FACTURACIÓN]])</f>
        <v>2023</v>
      </c>
      <c r="W356" s="135">
        <f>+MATCH(PROVEEDORES[[#This Row],[año facturado]],Retenciones!$1:$1,0)</f>
        <v>6</v>
      </c>
      <c r="X356" s="136">
        <f>+VLOOKUP(PROVEEDORES[[#This Row],[ID RETENCION]],Retenciones!$A$1:$O$25,PROVEEDORES[[#This Row],[indicador de columna]],FALSE)</f>
        <v>0</v>
      </c>
      <c r="Y356" s="137">
        <f>+VLOOKUP(PROVEEDORES[[#This Row],[ID RETENCION]],Retenciones!$A$1:$O$25,2,FALSE)</f>
        <v>0</v>
      </c>
      <c r="Z356" s="126" t="b">
        <f>+OR(COUNTIF(PROVEEDORES[[#This Row],[PROVEEDOR]],"*"&amp;'Palabra que no opera y Listas d'!$A$2&amp;"*"))</f>
        <v>0</v>
      </c>
    </row>
    <row r="357" spans="1:26" ht="27.75" customHeight="1" x14ac:dyDescent="0.25">
      <c r="A357" s="141" t="str">
        <f>+IF(PROVEEDORES[[#This Row],[FECHA DE PAGO]]=PROVEEDORES[[#This Row],[FECHA DE FACTURACIÓN]],"DE CONTADO","CRÉDITO")</f>
        <v>CRÉDITO</v>
      </c>
      <c r="B357" s="138" t="str">
        <f>+IF((PROVEEDORES[[#This Row],[FECHA DE PAGO]]-PROVEEDORES[[#This Row],[FECHA DE FACTURACIÓN]])&gt;PROVEEDORES[[#This Row],[PLAZO Días]],"PAGO VENCIDO")</f>
        <v>PAGO VENCIDO</v>
      </c>
      <c r="C357" s="138">
        <f>+VLOOKUP(PROVEEDORES[[#This Row],[PROVEEDOR]],TERCEROS_INFO[#All],2,FALSE)</f>
        <v>60</v>
      </c>
      <c r="D357" s="139">
        <f>+SUMIFS(PROVEEDORES[Total],PROVEEDORES[PROVEEDOR],PROVEEDORES[[#This Row],[PROVEEDOR]],PROVEEDORES[FECHA DE PAGO],"")</f>
        <v>0</v>
      </c>
      <c r="E357" s="140"/>
      <c r="F357" s="138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357" s="127">
        <v>45090</v>
      </c>
      <c r="H357" s="123" t="s">
        <v>582</v>
      </c>
      <c r="I357" s="127">
        <v>45016</v>
      </c>
      <c r="J357" s="124" t="s">
        <v>665</v>
      </c>
      <c r="K357" s="124" t="s">
        <v>1530</v>
      </c>
      <c r="L357" s="124"/>
      <c r="M357" s="125">
        <v>3332000</v>
      </c>
      <c r="N357" s="148">
        <v>633080</v>
      </c>
      <c r="O357" s="148">
        <v>0</v>
      </c>
      <c r="P357" s="149">
        <v>2.5000000000000001E-2</v>
      </c>
      <c r="Q357" s="148">
        <v>83300</v>
      </c>
      <c r="R357" s="150">
        <v>3881780</v>
      </c>
      <c r="S3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7" s="135">
        <f ca="1">+IF(PROVEEDORES[[#This Row],[FECHA DE PAGO]]=0,TODAY()-PROVEEDORES[[#This Row],[FECHA DE FACTURACIÓN]]-PROVEEDORES[[#This Row],[PLAZO Días]],0)</f>
        <v>0</v>
      </c>
      <c r="U357" s="135" t="str">
        <f>+VLOOKUP(PROVEEDORES[[#This Row],[PROVEEDOR]],Terceros!$A:$D,4,FALSE)</f>
        <v>2,5% con base</v>
      </c>
      <c r="V357" s="135">
        <f>+YEAR(PROVEEDORES[[#This Row],[FECHA DE FACTURACIÓN]])</f>
        <v>2023</v>
      </c>
      <c r="W357" s="135">
        <f>+MATCH(PROVEEDORES[[#This Row],[año facturado]],Retenciones!$1:$1,0)</f>
        <v>6</v>
      </c>
      <c r="X357" s="136">
        <f>+VLOOKUP(PROVEEDORES[[#This Row],[ID RETENCION]],Retenciones!$A$1:$O$25,PROVEEDORES[[#This Row],[indicador de columna]],FALSE)</f>
        <v>1145000</v>
      </c>
      <c r="Y357" s="137">
        <f>+VLOOKUP(PROVEEDORES[[#This Row],[ID RETENCION]],Retenciones!$A$1:$O$25,2,FALSE)</f>
        <v>2.5000000000000001E-2</v>
      </c>
      <c r="Z357" s="126" t="b">
        <f>+OR(COUNTIF(PROVEEDORES[[#This Row],[PROVEEDOR]],"*"&amp;'Palabra que no opera y Listas d'!$A$2&amp;"*"))</f>
        <v>0</v>
      </c>
    </row>
    <row r="358" spans="1:26" ht="27.75" customHeight="1" x14ac:dyDescent="0.25">
      <c r="A358" s="141" t="str">
        <f>+IF(PROVEEDORES[[#This Row],[FECHA DE PAGO]]=PROVEEDORES[[#This Row],[FECHA DE FACTURACIÓN]],"DE CONTADO","CRÉDITO")</f>
        <v>CRÉDITO</v>
      </c>
      <c r="B358" s="138" t="str">
        <f>+IF((PROVEEDORES[[#This Row],[FECHA DE PAGO]]-PROVEEDORES[[#This Row],[FECHA DE FACTURACIÓN]])&gt;PROVEEDORES[[#This Row],[PLAZO Días]],"PAGO VENCIDO")</f>
        <v>PAGO VENCIDO</v>
      </c>
      <c r="C358" s="138">
        <f>+VLOOKUP(PROVEEDORES[[#This Row],[PROVEEDOR]],TERCEROS_INFO[#All],2,FALSE)</f>
        <v>10</v>
      </c>
      <c r="D358" s="139">
        <f>+SUMIFS(PROVEEDORES[Total],PROVEEDORES[PROVEEDOR],PROVEEDORES[[#This Row],[PROVEEDOR]],PROVEEDORES[FECHA DE PAGO],"")</f>
        <v>0</v>
      </c>
      <c r="E358" s="140"/>
      <c r="F358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358" s="127">
        <v>45090</v>
      </c>
      <c r="H358" s="123" t="s">
        <v>482</v>
      </c>
      <c r="I358" s="127">
        <v>45078</v>
      </c>
      <c r="J358" s="124" t="s">
        <v>824</v>
      </c>
      <c r="K358" s="124" t="s">
        <v>1530</v>
      </c>
      <c r="L358" s="124"/>
      <c r="M358" s="125">
        <v>5350576</v>
      </c>
      <c r="N358" s="148">
        <v>1016609.4400000001</v>
      </c>
      <c r="O358" s="148">
        <v>0</v>
      </c>
      <c r="P358" s="149">
        <v>0</v>
      </c>
      <c r="Q358" s="148">
        <v>0</v>
      </c>
      <c r="R358" s="150">
        <v>6367185.4400000004</v>
      </c>
      <c r="S3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8" s="135">
        <f ca="1">+IF(PROVEEDORES[[#This Row],[FECHA DE PAGO]]=0,TODAY()-PROVEEDORES[[#This Row],[FECHA DE FACTURACIÓN]]-PROVEEDORES[[#This Row],[PLAZO Días]],0)</f>
        <v>0</v>
      </c>
      <c r="U358" s="135">
        <f>+VLOOKUP(PROVEEDORES[[#This Row],[PROVEEDOR]],Terceros!$A:$D,4,FALSE)</f>
        <v>0</v>
      </c>
      <c r="V358" s="135">
        <f>+YEAR(PROVEEDORES[[#This Row],[FECHA DE FACTURACIÓN]])</f>
        <v>2023</v>
      </c>
      <c r="W358" s="135">
        <f>+MATCH(PROVEEDORES[[#This Row],[año facturado]],Retenciones!$1:$1,0)</f>
        <v>6</v>
      </c>
      <c r="X358" s="136">
        <f>+VLOOKUP(PROVEEDORES[[#This Row],[ID RETENCION]],Retenciones!$A$1:$O$25,PROVEEDORES[[#This Row],[indicador de columna]],FALSE)</f>
        <v>0</v>
      </c>
      <c r="Y358" s="137">
        <f>+VLOOKUP(PROVEEDORES[[#This Row],[ID RETENCION]],Retenciones!$A$1:$O$25,2,FALSE)</f>
        <v>0</v>
      </c>
      <c r="Z358" s="126" t="b">
        <f>+OR(COUNTIF(PROVEEDORES[[#This Row],[PROVEEDOR]],"*"&amp;'Palabra que no opera y Listas d'!$A$2&amp;"*"))</f>
        <v>1</v>
      </c>
    </row>
    <row r="359" spans="1:26" ht="27.75" customHeight="1" x14ac:dyDescent="0.25">
      <c r="A359" s="141" t="str">
        <f>+IF(PROVEEDORES[[#This Row],[FECHA DE PAGO]]=PROVEEDORES[[#This Row],[FECHA DE FACTURACIÓN]],"DE CONTADO","CRÉDITO")</f>
        <v>DE CONTADO</v>
      </c>
      <c r="B359" s="138" t="b">
        <f>+IF((PROVEEDORES[[#This Row],[FECHA DE PAGO]]-PROVEEDORES[[#This Row],[FECHA DE FACTURACIÓN]])&gt;PROVEEDORES[[#This Row],[PLAZO Días]],"PAGO VENCIDO")</f>
        <v>0</v>
      </c>
      <c r="C359" s="138">
        <f>+VLOOKUP(PROVEEDORES[[#This Row],[PROVEEDOR]],TERCEROS_INFO[#All],2,FALSE)</f>
        <v>30</v>
      </c>
      <c r="D359" s="139">
        <f>+SUMIFS(PROVEEDORES[Total],PROVEEDORES[PROVEEDOR],PROVEEDORES[[#This Row],[PROVEEDOR]],PROVEEDORES[FECHA DE PAGO],"")</f>
        <v>0</v>
      </c>
      <c r="E359" s="140"/>
      <c r="F359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359" s="127">
        <v>45090</v>
      </c>
      <c r="H359" s="123" t="s">
        <v>1863</v>
      </c>
      <c r="I359" s="127">
        <v>45090</v>
      </c>
      <c r="J359" s="124" t="s">
        <v>845</v>
      </c>
      <c r="K359" s="124" t="s">
        <v>1530</v>
      </c>
      <c r="L359" s="124"/>
      <c r="M359" s="125">
        <v>1830000</v>
      </c>
      <c r="N359" s="148">
        <v>0</v>
      </c>
      <c r="O359" s="148">
        <v>0</v>
      </c>
      <c r="P359" s="149">
        <v>0</v>
      </c>
      <c r="Q359" s="148">
        <v>0</v>
      </c>
      <c r="R359" s="150">
        <v>1830000</v>
      </c>
      <c r="S3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59" s="135">
        <f ca="1">+IF(PROVEEDORES[[#This Row],[FECHA DE PAGO]]=0,TODAY()-PROVEEDORES[[#This Row],[FECHA DE FACTURACIÓN]]-PROVEEDORES[[#This Row],[PLAZO Días]],0)</f>
        <v>0</v>
      </c>
      <c r="U359" s="135">
        <f>+VLOOKUP(PROVEEDORES[[#This Row],[PROVEEDOR]],Terceros!$A:$D,4,FALSE)</f>
        <v>0</v>
      </c>
      <c r="V359" s="135">
        <f>+YEAR(PROVEEDORES[[#This Row],[FECHA DE FACTURACIÓN]])</f>
        <v>2023</v>
      </c>
      <c r="W359" s="135">
        <f>+MATCH(PROVEEDORES[[#This Row],[año facturado]],Retenciones!$1:$1,0)</f>
        <v>6</v>
      </c>
      <c r="X359" s="136">
        <f>+VLOOKUP(PROVEEDORES[[#This Row],[ID RETENCION]],Retenciones!$A$1:$O$25,PROVEEDORES[[#This Row],[indicador de columna]],FALSE)</f>
        <v>0</v>
      </c>
      <c r="Y359" s="137">
        <f>+VLOOKUP(PROVEEDORES[[#This Row],[ID RETENCION]],Retenciones!$A$1:$O$25,2,FALSE)</f>
        <v>0</v>
      </c>
      <c r="Z359" s="126" t="b">
        <f>+OR(COUNTIF(PROVEEDORES[[#This Row],[PROVEEDOR]],"*"&amp;'Palabra que no opera y Listas d'!$A$2&amp;"*"))</f>
        <v>0</v>
      </c>
    </row>
    <row r="360" spans="1:26" ht="27.75" customHeight="1" x14ac:dyDescent="0.25">
      <c r="A360" s="141" t="str">
        <f>+IF(PROVEEDORES[[#This Row],[FECHA DE PAGO]]=PROVEEDORES[[#This Row],[FECHA DE FACTURACIÓN]],"DE CONTADO","CRÉDITO")</f>
        <v>CRÉDITO</v>
      </c>
      <c r="B360" s="138" t="b">
        <f>+IF((PROVEEDORES[[#This Row],[FECHA DE PAGO]]-PROVEEDORES[[#This Row],[FECHA DE FACTURACIÓN]])&gt;PROVEEDORES[[#This Row],[PLAZO Días]],"PAGO VENCIDO")</f>
        <v>0</v>
      </c>
      <c r="C360" s="138">
        <f>+VLOOKUP(PROVEEDORES[[#This Row],[PROVEEDOR]],TERCEROS_INFO[#All],2,FALSE)</f>
        <v>30</v>
      </c>
      <c r="D360" s="139">
        <f>+SUMIFS(PROVEEDORES[Total],PROVEEDORES[PROVEEDOR],PROVEEDORES[[#This Row],[PROVEEDOR]],PROVEEDORES[FECHA DE PAGO],"")</f>
        <v>0</v>
      </c>
      <c r="E360" s="140"/>
      <c r="F360" s="138">
        <f>+VLOOKUP(PROVEEDORES[[#This Row],[PROVEEDOR]],
                       Terceros!$A:$F,
                       5,
                       FALSE)</f>
        <v>0</v>
      </c>
      <c r="G360" s="127">
        <v>45091</v>
      </c>
      <c r="H360" s="123" t="s">
        <v>812</v>
      </c>
      <c r="I360" s="127">
        <v>45064</v>
      </c>
      <c r="J360" s="124" t="s">
        <v>808</v>
      </c>
      <c r="K360" s="124" t="s">
        <v>1530</v>
      </c>
      <c r="L360" s="124"/>
      <c r="M360" s="125">
        <v>400000</v>
      </c>
      <c r="N360" s="148">
        <v>0</v>
      </c>
      <c r="O360" s="148">
        <v>0</v>
      </c>
      <c r="P360" s="149">
        <v>0</v>
      </c>
      <c r="Q360" s="148">
        <v>0</v>
      </c>
      <c r="R360" s="150">
        <v>400000</v>
      </c>
      <c r="S3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0" s="135">
        <f ca="1">+IF(PROVEEDORES[[#This Row],[FECHA DE PAGO]]=0,TODAY()-PROVEEDORES[[#This Row],[FECHA DE FACTURACIÓN]]-PROVEEDORES[[#This Row],[PLAZO Días]],0)</f>
        <v>0</v>
      </c>
      <c r="U360" s="135">
        <f>+VLOOKUP(PROVEEDORES[[#This Row],[PROVEEDOR]],Terceros!$A:$D,4,FALSE)</f>
        <v>0</v>
      </c>
      <c r="V360" s="135">
        <f>+YEAR(PROVEEDORES[[#This Row],[FECHA DE FACTURACIÓN]])</f>
        <v>2023</v>
      </c>
      <c r="W360" s="135">
        <f>+MATCH(PROVEEDORES[[#This Row],[año facturado]],Retenciones!$1:$1,0)</f>
        <v>6</v>
      </c>
      <c r="X360" s="136">
        <f>+VLOOKUP(PROVEEDORES[[#This Row],[ID RETENCION]],Retenciones!$A$1:$O$25,PROVEEDORES[[#This Row],[indicador de columna]],FALSE)</f>
        <v>0</v>
      </c>
      <c r="Y360" s="137">
        <f>+VLOOKUP(PROVEEDORES[[#This Row],[ID RETENCION]],Retenciones!$A$1:$O$25,2,FALSE)</f>
        <v>0</v>
      </c>
      <c r="Z360" s="126" t="b">
        <f>+OR(COUNTIF(PROVEEDORES[[#This Row],[PROVEEDOR]],"*"&amp;'Palabra que no opera y Listas d'!$A$2&amp;"*"))</f>
        <v>0</v>
      </c>
    </row>
    <row r="361" spans="1:26" ht="27.75" customHeight="1" x14ac:dyDescent="0.25">
      <c r="A361" s="141" t="str">
        <f>+IF(PROVEEDORES[[#This Row],[FECHA DE PAGO]]=PROVEEDORES[[#This Row],[FECHA DE FACTURACIÓN]],"DE CONTADO","CRÉDITO")</f>
        <v>CRÉDITO</v>
      </c>
      <c r="B361" s="138" t="str">
        <f>+IF((PROVEEDORES[[#This Row],[FECHA DE PAGO]]-PROVEEDORES[[#This Row],[FECHA DE FACTURACIÓN]])&gt;PROVEEDORES[[#This Row],[PLAZO Días]],"PAGO VENCIDO")</f>
        <v>PAGO VENCIDO</v>
      </c>
      <c r="C361" s="138">
        <f>+VLOOKUP(PROVEEDORES[[#This Row],[PROVEEDOR]],TERCEROS_INFO[#All],2,FALSE)</f>
        <v>30</v>
      </c>
      <c r="D361" s="139">
        <f>+SUMIFS(PROVEEDORES[Total],PROVEEDORES[PROVEEDOR],PROVEEDORES[[#This Row],[PROVEEDOR]],PROVEEDORES[FECHA DE PAGO],"")</f>
        <v>4466504.835</v>
      </c>
      <c r="E361" s="140"/>
      <c r="F361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361" s="127">
        <v>45092</v>
      </c>
      <c r="H361" s="123" t="s">
        <v>18</v>
      </c>
      <c r="I361" s="127">
        <v>45036</v>
      </c>
      <c r="J361" s="124" t="s">
        <v>739</v>
      </c>
      <c r="K361" s="124" t="s">
        <v>1530</v>
      </c>
      <c r="L361" s="124"/>
      <c r="M361" s="125">
        <v>1692916</v>
      </c>
      <c r="N361" s="148">
        <v>321654.03999999998</v>
      </c>
      <c r="O361" s="148">
        <v>0</v>
      </c>
      <c r="P361" s="149">
        <v>2.5000000000000001E-2</v>
      </c>
      <c r="Q361" s="148">
        <v>42322.9</v>
      </c>
      <c r="R361" s="150">
        <v>1972247.1400000001</v>
      </c>
      <c r="S3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1" s="135">
        <f ca="1">+IF(PROVEEDORES[[#This Row],[FECHA DE PAGO]]=0,TODAY()-PROVEEDORES[[#This Row],[FECHA DE FACTURACIÓN]]-PROVEEDORES[[#This Row],[PLAZO Días]],0)</f>
        <v>0</v>
      </c>
      <c r="U361" s="135" t="str">
        <f>+VLOOKUP(PROVEEDORES[[#This Row],[PROVEEDOR]],Terceros!$A:$D,4,FALSE)</f>
        <v>2,5% con base</v>
      </c>
      <c r="V361" s="135">
        <f>+YEAR(PROVEEDORES[[#This Row],[FECHA DE FACTURACIÓN]])</f>
        <v>2023</v>
      </c>
      <c r="W361" s="135">
        <f>+MATCH(PROVEEDORES[[#This Row],[año facturado]],Retenciones!$1:$1,0)</f>
        <v>6</v>
      </c>
      <c r="X361" s="136">
        <f>+VLOOKUP(PROVEEDORES[[#This Row],[ID RETENCION]],Retenciones!$A$1:$O$25,PROVEEDORES[[#This Row],[indicador de columna]],FALSE)</f>
        <v>1145000</v>
      </c>
      <c r="Y361" s="137">
        <f>+VLOOKUP(PROVEEDORES[[#This Row],[ID RETENCION]],Retenciones!$A$1:$O$25,2,FALSE)</f>
        <v>2.5000000000000001E-2</v>
      </c>
      <c r="Z361" s="126" t="b">
        <f>+OR(COUNTIF(PROVEEDORES[[#This Row],[PROVEEDOR]],"*"&amp;'Palabra que no opera y Listas d'!$A$2&amp;"*"))</f>
        <v>0</v>
      </c>
    </row>
    <row r="362" spans="1:26" ht="27.75" customHeight="1" x14ac:dyDescent="0.25">
      <c r="A362" s="141" t="str">
        <f>+IF(PROVEEDORES[[#This Row],[FECHA DE PAGO]]=PROVEEDORES[[#This Row],[FECHA DE FACTURACIÓN]],"DE CONTADO","CRÉDITO")</f>
        <v>CRÉDITO</v>
      </c>
      <c r="B362" s="138" t="str">
        <f>+IF((PROVEEDORES[[#This Row],[FECHA DE PAGO]]-PROVEEDORES[[#This Row],[FECHA DE FACTURACIÓN]])&gt;PROVEEDORES[[#This Row],[PLAZO Días]],"PAGO VENCIDO")</f>
        <v>PAGO VENCIDO</v>
      </c>
      <c r="C362" s="138">
        <f>+VLOOKUP(PROVEEDORES[[#This Row],[PROVEEDOR]],TERCEROS_INFO[#All],2,FALSE)</f>
        <v>30</v>
      </c>
      <c r="D362" s="139">
        <f>+SUMIFS(PROVEEDORES[Total],PROVEEDORES[PROVEEDOR],PROVEEDORES[[#This Row],[PROVEEDOR]],PROVEEDORES[FECHA DE PAGO],"")</f>
        <v>4466504.835</v>
      </c>
      <c r="E362" s="140"/>
      <c r="F362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362" s="127">
        <v>45092</v>
      </c>
      <c r="H362" s="123" t="s">
        <v>18</v>
      </c>
      <c r="I362" s="127">
        <v>45042</v>
      </c>
      <c r="J362" s="124" t="s">
        <v>752</v>
      </c>
      <c r="K362" s="124" t="s">
        <v>1530</v>
      </c>
      <c r="L362" s="124"/>
      <c r="M362" s="125">
        <v>1354333</v>
      </c>
      <c r="N362" s="148">
        <v>257323.27</v>
      </c>
      <c r="O362" s="148">
        <v>0</v>
      </c>
      <c r="P362" s="149">
        <v>2.5000000000000001E-2</v>
      </c>
      <c r="Q362" s="148">
        <v>33858.325000000004</v>
      </c>
      <c r="R362" s="150">
        <v>1577797.9450000001</v>
      </c>
      <c r="S3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2" s="135">
        <f ca="1">+IF(PROVEEDORES[[#This Row],[FECHA DE PAGO]]=0,TODAY()-PROVEEDORES[[#This Row],[FECHA DE FACTURACIÓN]]-PROVEEDORES[[#This Row],[PLAZO Días]],0)</f>
        <v>0</v>
      </c>
      <c r="U362" s="135" t="str">
        <f>+VLOOKUP(PROVEEDORES[[#This Row],[PROVEEDOR]],Terceros!$A:$D,4,FALSE)</f>
        <v>2,5% con base</v>
      </c>
      <c r="V362" s="135">
        <f>+YEAR(PROVEEDORES[[#This Row],[FECHA DE FACTURACIÓN]])</f>
        <v>2023</v>
      </c>
      <c r="W362" s="135">
        <f>+MATCH(PROVEEDORES[[#This Row],[año facturado]],Retenciones!$1:$1,0)</f>
        <v>6</v>
      </c>
      <c r="X362" s="136">
        <f>+VLOOKUP(PROVEEDORES[[#This Row],[ID RETENCION]],Retenciones!$A$1:$O$25,PROVEEDORES[[#This Row],[indicador de columna]],FALSE)</f>
        <v>1145000</v>
      </c>
      <c r="Y362" s="137">
        <f>+VLOOKUP(PROVEEDORES[[#This Row],[ID RETENCION]],Retenciones!$A$1:$O$25,2,FALSE)</f>
        <v>2.5000000000000001E-2</v>
      </c>
      <c r="Z362" s="126" t="b">
        <f>+OR(COUNTIF(PROVEEDORES[[#This Row],[PROVEEDOR]],"*"&amp;'Palabra que no opera y Listas d'!$A$2&amp;"*"))</f>
        <v>0</v>
      </c>
    </row>
    <row r="363" spans="1:26" ht="27.75" customHeight="1" x14ac:dyDescent="0.25">
      <c r="A363" s="141" t="str">
        <f>+IF(PROVEEDORES[[#This Row],[FECHA DE PAGO]]=PROVEEDORES[[#This Row],[FECHA DE FACTURACIÓN]],"DE CONTADO","CRÉDITO")</f>
        <v>CRÉDITO</v>
      </c>
      <c r="B363" s="138" t="str">
        <f>+IF((PROVEEDORES[[#This Row],[FECHA DE PAGO]]-PROVEEDORES[[#This Row],[FECHA DE FACTURACIÓN]])&gt;PROVEEDORES[[#This Row],[PLAZO Días]],"PAGO VENCIDO")</f>
        <v>PAGO VENCIDO</v>
      </c>
      <c r="C363" s="138">
        <f>+VLOOKUP(PROVEEDORES[[#This Row],[PROVEEDOR]],TERCEROS_INFO[#All],2,FALSE)</f>
        <v>30</v>
      </c>
      <c r="D363" s="139">
        <f>+SUMIFS(PROVEEDORES[Total],PROVEEDORES[PROVEEDOR],PROVEEDORES[[#This Row],[PROVEEDOR]],PROVEEDORES[FECHA DE PAGO],"")</f>
        <v>4466504.835</v>
      </c>
      <c r="E363" s="140"/>
      <c r="F363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363" s="127">
        <v>45092</v>
      </c>
      <c r="H363" s="123" t="s">
        <v>18</v>
      </c>
      <c r="I363" s="127">
        <v>45042</v>
      </c>
      <c r="J363" s="124" t="s">
        <v>756</v>
      </c>
      <c r="K363" s="124" t="s">
        <v>1530</v>
      </c>
      <c r="L363" s="124"/>
      <c r="M363" s="125">
        <v>1206027</v>
      </c>
      <c r="N363" s="148">
        <v>229145.13</v>
      </c>
      <c r="O363" s="148">
        <v>0</v>
      </c>
      <c r="P363" s="149">
        <v>2.5000000000000001E-2</v>
      </c>
      <c r="Q363" s="148">
        <v>30150.675000000003</v>
      </c>
      <c r="R363" s="150">
        <v>1405021.4549999998</v>
      </c>
      <c r="S3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3" s="135">
        <f ca="1">+IF(PROVEEDORES[[#This Row],[FECHA DE PAGO]]=0,TODAY()-PROVEEDORES[[#This Row],[FECHA DE FACTURACIÓN]]-PROVEEDORES[[#This Row],[PLAZO Días]],0)</f>
        <v>0</v>
      </c>
      <c r="U363" s="135" t="str">
        <f>+VLOOKUP(PROVEEDORES[[#This Row],[PROVEEDOR]],Terceros!$A:$D,4,FALSE)</f>
        <v>2,5% con base</v>
      </c>
      <c r="V363" s="135">
        <f>+YEAR(PROVEEDORES[[#This Row],[FECHA DE FACTURACIÓN]])</f>
        <v>2023</v>
      </c>
      <c r="W363" s="135">
        <f>+MATCH(PROVEEDORES[[#This Row],[año facturado]],Retenciones!$1:$1,0)</f>
        <v>6</v>
      </c>
      <c r="X363" s="136">
        <f>+VLOOKUP(PROVEEDORES[[#This Row],[ID RETENCION]],Retenciones!$A$1:$O$25,PROVEEDORES[[#This Row],[indicador de columna]],FALSE)</f>
        <v>1145000</v>
      </c>
      <c r="Y363" s="137">
        <f>+VLOOKUP(PROVEEDORES[[#This Row],[ID RETENCION]],Retenciones!$A$1:$O$25,2,FALSE)</f>
        <v>2.5000000000000001E-2</v>
      </c>
      <c r="Z363" s="126" t="b">
        <f>+OR(COUNTIF(PROVEEDORES[[#This Row],[PROVEEDOR]],"*"&amp;'Palabra que no opera y Listas d'!$A$2&amp;"*"))</f>
        <v>0</v>
      </c>
    </row>
    <row r="364" spans="1:26" ht="27.75" customHeight="1" x14ac:dyDescent="0.25">
      <c r="A364" s="141" t="str">
        <f>+IF(PROVEEDORES[[#This Row],[FECHA DE PAGO]]=PROVEEDORES[[#This Row],[FECHA DE FACTURACIÓN]],"DE CONTADO","CRÉDITO")</f>
        <v>CRÉDITO</v>
      </c>
      <c r="B364" s="138" t="str">
        <f>+IF((PROVEEDORES[[#This Row],[FECHA DE PAGO]]-PROVEEDORES[[#This Row],[FECHA DE FACTURACIÓN]])&gt;PROVEEDORES[[#This Row],[PLAZO Días]],"PAGO VENCIDO")</f>
        <v>PAGO VENCIDO</v>
      </c>
      <c r="C364" s="138">
        <f>+VLOOKUP(PROVEEDORES[[#This Row],[PROVEEDOR]],TERCEROS_INFO[#All],2,FALSE)</f>
        <v>30</v>
      </c>
      <c r="D364" s="139">
        <f>+SUMIFS(PROVEEDORES[Total],PROVEEDORES[PROVEEDOR],PROVEEDORES[[#This Row],[PROVEEDOR]],PROVEEDORES[FECHA DE PAGO],"")</f>
        <v>4466504.835</v>
      </c>
      <c r="E364" s="140"/>
      <c r="F364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364" s="127">
        <v>45092</v>
      </c>
      <c r="H364" s="123" t="s">
        <v>18</v>
      </c>
      <c r="I364" s="127">
        <v>45042</v>
      </c>
      <c r="J364" s="124" t="s">
        <v>751</v>
      </c>
      <c r="K364" s="124" t="s">
        <v>1530</v>
      </c>
      <c r="L364" s="124"/>
      <c r="M364" s="125">
        <v>376982</v>
      </c>
      <c r="N364" s="148">
        <v>71626.58</v>
      </c>
      <c r="O364" s="148">
        <v>0</v>
      </c>
      <c r="P364" s="149">
        <v>0</v>
      </c>
      <c r="Q364" s="148">
        <v>0</v>
      </c>
      <c r="R364" s="150">
        <v>448608.58</v>
      </c>
      <c r="S3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4" s="135">
        <f ca="1">+IF(PROVEEDORES[[#This Row],[FECHA DE PAGO]]=0,TODAY()-PROVEEDORES[[#This Row],[FECHA DE FACTURACIÓN]]-PROVEEDORES[[#This Row],[PLAZO Días]],0)</f>
        <v>0</v>
      </c>
      <c r="U364" s="135" t="str">
        <f>+VLOOKUP(PROVEEDORES[[#This Row],[PROVEEDOR]],Terceros!$A:$D,4,FALSE)</f>
        <v>2,5% con base</v>
      </c>
      <c r="V364" s="135">
        <f>+YEAR(PROVEEDORES[[#This Row],[FECHA DE FACTURACIÓN]])</f>
        <v>2023</v>
      </c>
      <c r="W364" s="135">
        <f>+MATCH(PROVEEDORES[[#This Row],[año facturado]],Retenciones!$1:$1,0)</f>
        <v>6</v>
      </c>
      <c r="X364" s="136">
        <f>+VLOOKUP(PROVEEDORES[[#This Row],[ID RETENCION]],Retenciones!$A$1:$O$25,PROVEEDORES[[#This Row],[indicador de columna]],FALSE)</f>
        <v>1145000</v>
      </c>
      <c r="Y364" s="137">
        <f>+VLOOKUP(PROVEEDORES[[#This Row],[ID RETENCION]],Retenciones!$A$1:$O$25,2,FALSE)</f>
        <v>2.5000000000000001E-2</v>
      </c>
      <c r="Z364" s="126" t="b">
        <f>+OR(COUNTIF(PROVEEDORES[[#This Row],[PROVEEDOR]],"*"&amp;'Palabra que no opera y Listas d'!$A$2&amp;"*"))</f>
        <v>0</v>
      </c>
    </row>
    <row r="365" spans="1:26" ht="27.75" customHeight="1" x14ac:dyDescent="0.25">
      <c r="A365" s="141" t="str">
        <f>+IF(PROVEEDORES[[#This Row],[FECHA DE PAGO]]=PROVEEDORES[[#This Row],[FECHA DE FACTURACIÓN]],"DE CONTADO","CRÉDITO")</f>
        <v>CRÉDITO</v>
      </c>
      <c r="B365" s="138" t="str">
        <f>+IF((PROVEEDORES[[#This Row],[FECHA DE PAGO]]-PROVEEDORES[[#This Row],[FECHA DE FACTURACIÓN]])&gt;PROVEEDORES[[#This Row],[PLAZO Días]],"PAGO VENCIDO")</f>
        <v>PAGO VENCIDO</v>
      </c>
      <c r="C365" s="138">
        <f>+VLOOKUP(PROVEEDORES[[#This Row],[PROVEEDOR]],TERCEROS_INFO[#All],2,FALSE)</f>
        <v>30</v>
      </c>
      <c r="D365" s="139">
        <f>+SUMIFS(PROVEEDORES[Total],PROVEEDORES[PROVEEDOR],PROVEEDORES[[#This Row],[PROVEEDOR]],PROVEEDORES[FECHA DE PAGO],"")</f>
        <v>4466504.835</v>
      </c>
      <c r="E365" s="140"/>
      <c r="F365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365" s="127">
        <v>45092</v>
      </c>
      <c r="H365" s="123" t="s">
        <v>18</v>
      </c>
      <c r="I365" s="127">
        <v>45044</v>
      </c>
      <c r="J365" s="124" t="s">
        <v>826</v>
      </c>
      <c r="K365" s="124" t="s">
        <v>1530</v>
      </c>
      <c r="L365" s="124"/>
      <c r="M365" s="125">
        <v>753964</v>
      </c>
      <c r="N365" s="148">
        <v>143253.16</v>
      </c>
      <c r="O365" s="148">
        <v>0</v>
      </c>
      <c r="P365" s="149">
        <v>0</v>
      </c>
      <c r="Q365" s="148">
        <v>0</v>
      </c>
      <c r="R365" s="150">
        <v>897217.16</v>
      </c>
      <c r="S3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5" s="135">
        <f ca="1">+IF(PROVEEDORES[[#This Row],[FECHA DE PAGO]]=0,TODAY()-PROVEEDORES[[#This Row],[FECHA DE FACTURACIÓN]]-PROVEEDORES[[#This Row],[PLAZO Días]],0)</f>
        <v>0</v>
      </c>
      <c r="U365" s="135" t="str">
        <f>+VLOOKUP(PROVEEDORES[[#This Row],[PROVEEDOR]],Terceros!$A:$D,4,FALSE)</f>
        <v>2,5% con base</v>
      </c>
      <c r="V365" s="135">
        <f>+YEAR(PROVEEDORES[[#This Row],[FECHA DE FACTURACIÓN]])</f>
        <v>2023</v>
      </c>
      <c r="W365" s="135">
        <f>+MATCH(PROVEEDORES[[#This Row],[año facturado]],Retenciones!$1:$1,0)</f>
        <v>6</v>
      </c>
      <c r="X365" s="136">
        <f>+VLOOKUP(PROVEEDORES[[#This Row],[ID RETENCION]],Retenciones!$A$1:$O$25,PROVEEDORES[[#This Row],[indicador de columna]],FALSE)</f>
        <v>1145000</v>
      </c>
      <c r="Y365" s="137">
        <f>+VLOOKUP(PROVEEDORES[[#This Row],[ID RETENCION]],Retenciones!$A$1:$O$25,2,FALSE)</f>
        <v>2.5000000000000001E-2</v>
      </c>
      <c r="Z365" s="126" t="b">
        <f>+OR(COUNTIF(PROVEEDORES[[#This Row],[PROVEEDOR]],"*"&amp;'Palabra que no opera y Listas d'!$A$2&amp;"*"))</f>
        <v>0</v>
      </c>
    </row>
    <row r="366" spans="1:26" ht="27.75" customHeight="1" x14ac:dyDescent="0.25">
      <c r="A366" s="141" t="str">
        <f>+IF(PROVEEDORES[[#This Row],[FECHA DE PAGO]]=PROVEEDORES[[#This Row],[FECHA DE FACTURACIÓN]],"DE CONTADO","CRÉDITO")</f>
        <v>DE CONTADO</v>
      </c>
      <c r="B366" s="138" t="b">
        <f>+IF((PROVEEDORES[[#This Row],[FECHA DE PAGO]]-PROVEEDORES[[#This Row],[FECHA DE FACTURACIÓN]])&gt;PROVEEDORES[[#This Row],[PLAZO Días]],"PAGO VENCIDO")</f>
        <v>0</v>
      </c>
      <c r="C366" s="138">
        <f>+VLOOKUP(PROVEEDORES[[#This Row],[PROVEEDOR]],TERCEROS_INFO[#All],2,FALSE)</f>
        <v>30</v>
      </c>
      <c r="D366" s="139">
        <f>+SUMIFS(PROVEEDORES[Total],PROVEEDORES[PROVEEDOR],PROVEEDORES[[#This Row],[PROVEEDOR]],PROVEEDORES[FECHA DE PAGO],"")</f>
        <v>0</v>
      </c>
      <c r="E366" s="140"/>
      <c r="F366" s="138" t="str">
        <f>+VLOOKUP(PROVEEDORES[[#This Row],[PROVEEDOR]],
                       Terceros!$A:$F,
                       5,
                       FALSE)</f>
        <v/>
      </c>
      <c r="G366" s="127">
        <v>45092</v>
      </c>
      <c r="H366" s="123" t="s">
        <v>1813</v>
      </c>
      <c r="I366" s="127">
        <v>45092</v>
      </c>
      <c r="J366" s="124" t="s">
        <v>865</v>
      </c>
      <c r="K366" s="124" t="s">
        <v>1530</v>
      </c>
      <c r="L366" s="124"/>
      <c r="M366" s="125">
        <v>171400</v>
      </c>
      <c r="N366" s="148">
        <v>0</v>
      </c>
      <c r="O366" s="148">
        <v>0</v>
      </c>
      <c r="P366" s="149">
        <v>0</v>
      </c>
      <c r="Q366" s="148">
        <v>0</v>
      </c>
      <c r="R366" s="150">
        <v>171400</v>
      </c>
      <c r="S3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6" s="135">
        <f ca="1">+IF(PROVEEDORES[[#This Row],[FECHA DE PAGO]]=0,TODAY()-PROVEEDORES[[#This Row],[FECHA DE FACTURACIÓN]]-PROVEEDORES[[#This Row],[PLAZO Días]],0)</f>
        <v>0</v>
      </c>
      <c r="U366" s="135">
        <f>+VLOOKUP(PROVEEDORES[[#This Row],[PROVEEDOR]],Terceros!$A:$D,4,FALSE)</f>
        <v>0</v>
      </c>
      <c r="V366" s="135">
        <f>+YEAR(PROVEEDORES[[#This Row],[FECHA DE FACTURACIÓN]])</f>
        <v>2023</v>
      </c>
      <c r="W366" s="135">
        <f>+MATCH(PROVEEDORES[[#This Row],[año facturado]],Retenciones!$1:$1,0)</f>
        <v>6</v>
      </c>
      <c r="X366" s="136">
        <f>+VLOOKUP(PROVEEDORES[[#This Row],[ID RETENCION]],Retenciones!$A$1:$O$25,PROVEEDORES[[#This Row],[indicador de columna]],FALSE)</f>
        <v>0</v>
      </c>
      <c r="Y366" s="137">
        <f>+VLOOKUP(PROVEEDORES[[#This Row],[ID RETENCION]],Retenciones!$A$1:$O$25,2,FALSE)</f>
        <v>0</v>
      </c>
      <c r="Z366" s="126" t="b">
        <f>+OR(COUNTIF(PROVEEDORES[[#This Row],[PROVEEDOR]],"*"&amp;'Palabra que no opera y Listas d'!$A$2&amp;"*"))</f>
        <v>1</v>
      </c>
    </row>
    <row r="367" spans="1:26" ht="27.75" customHeight="1" x14ac:dyDescent="0.25">
      <c r="A367" s="141" t="str">
        <f>+IF(PROVEEDORES[[#This Row],[FECHA DE PAGO]]=PROVEEDORES[[#This Row],[FECHA DE FACTURACIÓN]],"DE CONTADO","CRÉDITO")</f>
        <v>CRÉDITO</v>
      </c>
      <c r="B367" s="138" t="b">
        <f>+IF((PROVEEDORES[[#This Row],[FECHA DE PAGO]]-PROVEEDORES[[#This Row],[FECHA DE FACTURACIÓN]])&gt;PROVEEDORES[[#This Row],[PLAZO Días]],"PAGO VENCIDO")</f>
        <v>0</v>
      </c>
      <c r="C367" s="138">
        <f>+VLOOKUP(PROVEEDORES[[#This Row],[PROVEEDOR]],TERCEROS_INFO[#All],2,FALSE)</f>
        <v>30</v>
      </c>
      <c r="D367" s="139">
        <f>+SUMIFS(PROVEEDORES[Total],PROVEEDORES[PROVEEDOR],PROVEEDORES[[#This Row],[PROVEEDOR]],PROVEEDORES[FECHA DE PAGO],"")</f>
        <v>0</v>
      </c>
      <c r="E367" s="140"/>
      <c r="F367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367" s="127">
        <v>45093</v>
      </c>
      <c r="H367" s="123" t="s">
        <v>373</v>
      </c>
      <c r="I367" s="127">
        <v>45079</v>
      </c>
      <c r="J367" s="124" t="s">
        <v>832</v>
      </c>
      <c r="K367" s="124" t="s">
        <v>1530</v>
      </c>
      <c r="L367" s="124"/>
      <c r="M367" s="125">
        <v>1840056</v>
      </c>
      <c r="N367" s="148">
        <v>0</v>
      </c>
      <c r="O367" s="148">
        <v>0</v>
      </c>
      <c r="P367" s="149">
        <v>0</v>
      </c>
      <c r="Q367" s="148">
        <v>0</v>
      </c>
      <c r="R367" s="150">
        <v>1840056</v>
      </c>
      <c r="S3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7" s="135">
        <f ca="1">+IF(PROVEEDORES[[#This Row],[FECHA DE PAGO]]=0,TODAY()-PROVEEDORES[[#This Row],[FECHA DE FACTURACIÓN]]-PROVEEDORES[[#This Row],[PLAZO Días]],0)</f>
        <v>0</v>
      </c>
      <c r="U367" s="135">
        <f>+VLOOKUP(PROVEEDORES[[#This Row],[PROVEEDOR]],Terceros!$A:$D,4,FALSE)</f>
        <v>0</v>
      </c>
      <c r="V367" s="135">
        <f>+YEAR(PROVEEDORES[[#This Row],[FECHA DE FACTURACIÓN]])</f>
        <v>2023</v>
      </c>
      <c r="W367" s="135">
        <f>+MATCH(PROVEEDORES[[#This Row],[año facturado]],Retenciones!$1:$1,0)</f>
        <v>6</v>
      </c>
      <c r="X367" s="136">
        <f>+VLOOKUP(PROVEEDORES[[#This Row],[ID RETENCION]],Retenciones!$A$1:$O$25,PROVEEDORES[[#This Row],[indicador de columna]],FALSE)</f>
        <v>0</v>
      </c>
      <c r="Y367" s="137">
        <f>+VLOOKUP(PROVEEDORES[[#This Row],[ID RETENCION]],Retenciones!$A$1:$O$25,2,FALSE)</f>
        <v>0</v>
      </c>
      <c r="Z367" s="126" t="b">
        <f>+OR(COUNTIF(PROVEEDORES[[#This Row],[PROVEEDOR]],"*"&amp;'Palabra que no opera y Listas d'!$A$2&amp;"*"))</f>
        <v>1</v>
      </c>
    </row>
    <row r="368" spans="1:26" ht="27.75" customHeight="1" x14ac:dyDescent="0.25">
      <c r="A368" s="141" t="str">
        <f>+IF(PROVEEDORES[[#This Row],[FECHA DE PAGO]]=PROVEEDORES[[#This Row],[FECHA DE FACTURACIÓN]],"DE CONTADO","CRÉDITO")</f>
        <v>CRÉDITO</v>
      </c>
      <c r="B368" s="138" t="b">
        <f>+IF((PROVEEDORES[[#This Row],[FECHA DE PAGO]]-PROVEEDORES[[#This Row],[FECHA DE FACTURACIÓN]])&gt;PROVEEDORES[[#This Row],[PLAZO Días]],"PAGO VENCIDO")</f>
        <v>0</v>
      </c>
      <c r="C368" s="138">
        <f>+VLOOKUP(PROVEEDORES[[#This Row],[PROVEEDOR]],TERCEROS_INFO[#All],2,FALSE)</f>
        <v>30</v>
      </c>
      <c r="D368" s="139">
        <f>+SUMIFS(PROVEEDORES[Total],PROVEEDORES[PROVEEDOR],PROVEEDORES[[#This Row],[PROVEEDOR]],PROVEEDORES[FECHA DE PAGO],"")</f>
        <v>0</v>
      </c>
      <c r="E368" s="140"/>
      <c r="F368" s="138" t="str">
        <f>+VLOOKUP(PROVEEDORES[[#This Row],[PROVEEDOR]],
                       Terceros!$A:$F,
                       5,
                       FALSE)</f>
        <v/>
      </c>
      <c r="G368" s="127">
        <v>45093</v>
      </c>
      <c r="H368" s="123" t="s">
        <v>481</v>
      </c>
      <c r="I368" s="127">
        <v>45091</v>
      </c>
      <c r="J368" s="124" t="s">
        <v>867</v>
      </c>
      <c r="K368" s="124" t="s">
        <v>1530</v>
      </c>
      <c r="L368" s="124"/>
      <c r="M368" s="125">
        <v>4477000</v>
      </c>
      <c r="N368" s="148">
        <v>0</v>
      </c>
      <c r="O368" s="148">
        <v>0</v>
      </c>
      <c r="P368" s="149">
        <v>0</v>
      </c>
      <c r="Q368" s="148">
        <v>0</v>
      </c>
      <c r="R368" s="150">
        <v>4477000</v>
      </c>
      <c r="S3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8" s="135">
        <f ca="1">+IF(PROVEEDORES[[#This Row],[FECHA DE PAGO]]=0,TODAY()-PROVEEDORES[[#This Row],[FECHA DE FACTURACIÓN]]-PROVEEDORES[[#This Row],[PLAZO Días]],0)</f>
        <v>0</v>
      </c>
      <c r="U368" s="135">
        <f>+VLOOKUP(PROVEEDORES[[#This Row],[PROVEEDOR]],Terceros!$A:$D,4,FALSE)</f>
        <v>0</v>
      </c>
      <c r="V368" s="135">
        <f>+YEAR(PROVEEDORES[[#This Row],[FECHA DE FACTURACIÓN]])</f>
        <v>2023</v>
      </c>
      <c r="W368" s="135">
        <f>+MATCH(PROVEEDORES[[#This Row],[año facturado]],Retenciones!$1:$1,0)</f>
        <v>6</v>
      </c>
      <c r="X368" s="136">
        <f>+VLOOKUP(PROVEEDORES[[#This Row],[ID RETENCION]],Retenciones!$A$1:$O$25,PROVEEDORES[[#This Row],[indicador de columna]],FALSE)</f>
        <v>0</v>
      </c>
      <c r="Y368" s="137">
        <f>+VLOOKUP(PROVEEDORES[[#This Row],[ID RETENCION]],Retenciones!$A$1:$O$25,2,FALSE)</f>
        <v>0</v>
      </c>
      <c r="Z368" s="126" t="b">
        <f>+OR(COUNTIF(PROVEEDORES[[#This Row],[PROVEEDOR]],"*"&amp;'Palabra que no opera y Listas d'!$A$2&amp;"*"))</f>
        <v>0</v>
      </c>
    </row>
    <row r="369" spans="1:26" ht="27.75" customHeight="1" x14ac:dyDescent="0.25">
      <c r="A369" s="141" t="str">
        <f>+IF(PROVEEDORES[[#This Row],[FECHA DE PAGO]]=PROVEEDORES[[#This Row],[FECHA DE FACTURACIÓN]],"DE CONTADO","CRÉDITO")</f>
        <v>CRÉDITO</v>
      </c>
      <c r="B369" s="138" t="b">
        <f>+IF((PROVEEDORES[[#This Row],[FECHA DE PAGO]]-PROVEEDORES[[#This Row],[FECHA DE FACTURACIÓN]])&gt;PROVEEDORES[[#This Row],[PLAZO Días]],"PAGO VENCIDO")</f>
        <v>0</v>
      </c>
      <c r="C369" s="138">
        <f>+VLOOKUP(PROVEEDORES[[#This Row],[PROVEEDOR]],TERCEROS_INFO[#All],2,FALSE)</f>
        <v>30</v>
      </c>
      <c r="D369" s="139">
        <f>+SUMIFS(PROVEEDORES[Total],PROVEEDORES[PROVEEDOR],PROVEEDORES[[#This Row],[PROVEEDOR]],PROVEEDORES[FECHA DE PAGO],"")</f>
        <v>0</v>
      </c>
      <c r="E369" s="140"/>
      <c r="F369" s="13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69" s="127">
        <v>45094</v>
      </c>
      <c r="H369" s="123" t="s">
        <v>1806</v>
      </c>
      <c r="I369" s="127">
        <v>45085</v>
      </c>
      <c r="J369" s="124">
        <v>422</v>
      </c>
      <c r="K369" s="124" t="s">
        <v>1530</v>
      </c>
      <c r="L369" s="124"/>
      <c r="M369" s="125">
        <v>400000</v>
      </c>
      <c r="N369" s="148">
        <v>0</v>
      </c>
      <c r="O369" s="148">
        <v>0</v>
      </c>
      <c r="P369" s="149">
        <v>0</v>
      </c>
      <c r="Q369" s="148">
        <v>0</v>
      </c>
      <c r="R369" s="150">
        <v>400000</v>
      </c>
      <c r="S3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69" s="135">
        <f ca="1">+IF(PROVEEDORES[[#This Row],[FECHA DE PAGO]]=0,TODAY()-PROVEEDORES[[#This Row],[FECHA DE FACTURACIÓN]]-PROVEEDORES[[#This Row],[PLAZO Días]],0)</f>
        <v>0</v>
      </c>
      <c r="U369" s="135">
        <f>+VLOOKUP(PROVEEDORES[[#This Row],[PROVEEDOR]],Terceros!$A:$D,4,FALSE)</f>
        <v>0</v>
      </c>
      <c r="V369" s="135">
        <f>+YEAR(PROVEEDORES[[#This Row],[FECHA DE FACTURACIÓN]])</f>
        <v>2023</v>
      </c>
      <c r="W369" s="135">
        <f>+MATCH(PROVEEDORES[[#This Row],[año facturado]],Retenciones!$1:$1,0)</f>
        <v>6</v>
      </c>
      <c r="X369" s="136">
        <f>+VLOOKUP(PROVEEDORES[[#This Row],[ID RETENCION]],Retenciones!$A$1:$O$25,PROVEEDORES[[#This Row],[indicador de columna]],FALSE)</f>
        <v>0</v>
      </c>
      <c r="Y369" s="137">
        <f>+VLOOKUP(PROVEEDORES[[#This Row],[ID RETENCION]],Retenciones!$A$1:$O$25,2,FALSE)</f>
        <v>0</v>
      </c>
      <c r="Z369" s="126" t="b">
        <f>+OR(COUNTIF(PROVEEDORES[[#This Row],[PROVEEDOR]],"*"&amp;'Palabra que no opera y Listas d'!$A$2&amp;"*"))</f>
        <v>0</v>
      </c>
    </row>
    <row r="370" spans="1:26" ht="27.75" customHeight="1" x14ac:dyDescent="0.25">
      <c r="A370" s="141" t="str">
        <f>+IF(PROVEEDORES[[#This Row],[FECHA DE PAGO]]=PROVEEDORES[[#This Row],[FECHA DE FACTURACIÓN]],"DE CONTADO","CRÉDITO")</f>
        <v>CRÉDITO</v>
      </c>
      <c r="B370" s="138" t="b">
        <f>+IF((PROVEEDORES[[#This Row],[FECHA DE PAGO]]-PROVEEDORES[[#This Row],[FECHA DE FACTURACIÓN]])&gt;PROVEEDORES[[#This Row],[PLAZO Días]],"PAGO VENCIDO")</f>
        <v>0</v>
      </c>
      <c r="C370" s="138">
        <f>+VLOOKUP(PROVEEDORES[[#This Row],[PROVEEDOR]],TERCEROS_INFO[#All],2,FALSE)</f>
        <v>30</v>
      </c>
      <c r="D370" s="139">
        <f>+SUMIFS(PROVEEDORES[Total],PROVEEDORES[PROVEEDOR],PROVEEDORES[[#This Row],[PROVEEDOR]],PROVEEDORES[FECHA DE PAGO],"")</f>
        <v>0</v>
      </c>
      <c r="E370" s="140"/>
      <c r="F370" s="138" t="str">
        <f>+VLOOKUP(PROVEEDORES[[#This Row],[PROVEEDOR]],
                       Terceros!$A:$F,
                       5,
                       FALSE)</f>
        <v>CARLOSARCILAMENSAJERIA@gmail.com;girlesa.ruiz@servipilas.com;joriescobar64@gmail.com</v>
      </c>
      <c r="G370" s="127">
        <v>45094</v>
      </c>
      <c r="H370" s="123" t="s">
        <v>448</v>
      </c>
      <c r="I370" s="127">
        <v>45085</v>
      </c>
      <c r="J370" s="124" t="s">
        <v>835</v>
      </c>
      <c r="K370" s="124" t="s">
        <v>1530</v>
      </c>
      <c r="L370" s="124"/>
      <c r="M370" s="125">
        <v>400000</v>
      </c>
      <c r="N370" s="148">
        <v>0</v>
      </c>
      <c r="O370" s="148">
        <v>0</v>
      </c>
      <c r="P370" s="149">
        <v>0.01</v>
      </c>
      <c r="Q370" s="148">
        <v>4000</v>
      </c>
      <c r="R370" s="150">
        <v>396000</v>
      </c>
      <c r="S3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0" s="135">
        <f ca="1">+IF(PROVEEDORES[[#This Row],[FECHA DE PAGO]]=0,TODAY()-PROVEEDORES[[#This Row],[FECHA DE FACTURACIÓN]]-PROVEEDORES[[#This Row],[PLAZO Días]],0)</f>
        <v>0</v>
      </c>
      <c r="U370" s="135" t="str">
        <f>+VLOOKUP(PROVEEDORES[[#This Row],[PROVEEDOR]],Terceros!$A:$D,4,FALSE)</f>
        <v>1% con base</v>
      </c>
      <c r="V370" s="135">
        <f>+YEAR(PROVEEDORES[[#This Row],[FECHA DE FACTURACIÓN]])</f>
        <v>2023</v>
      </c>
      <c r="W370" s="135">
        <f>+MATCH(PROVEEDORES[[#This Row],[año facturado]],Retenciones!$1:$1,0)</f>
        <v>6</v>
      </c>
      <c r="X370" s="136">
        <f>+VLOOKUP(PROVEEDORES[[#This Row],[ID RETENCION]],Retenciones!$A$1:$O$25,PROVEEDORES[[#This Row],[indicador de columna]],FALSE)</f>
        <v>170000</v>
      </c>
      <c r="Y370" s="137">
        <f>+VLOOKUP(PROVEEDORES[[#This Row],[ID RETENCION]],Retenciones!$A$1:$O$25,2,FALSE)</f>
        <v>0.01</v>
      </c>
      <c r="Z370" s="126" t="b">
        <f>+OR(COUNTIF(PROVEEDORES[[#This Row],[PROVEEDOR]],"*"&amp;'Palabra que no opera y Listas d'!$A$2&amp;"*"))</f>
        <v>0</v>
      </c>
    </row>
    <row r="371" spans="1:26" ht="27.75" customHeight="1" x14ac:dyDescent="0.25">
      <c r="A371" s="141" t="str">
        <f>+IF(PROVEEDORES[[#This Row],[FECHA DE PAGO]]=PROVEEDORES[[#This Row],[FECHA DE FACTURACIÓN]],"DE CONTADO","CRÉDITO")</f>
        <v>CRÉDITO</v>
      </c>
      <c r="B371" s="138" t="b">
        <f>+IF((PROVEEDORES[[#This Row],[FECHA DE PAGO]]-PROVEEDORES[[#This Row],[FECHA DE FACTURACIÓN]])&gt;PROVEEDORES[[#This Row],[PLAZO Días]],"PAGO VENCIDO")</f>
        <v>0</v>
      </c>
      <c r="C371" s="138">
        <f>+VLOOKUP(PROVEEDORES[[#This Row],[PROVEEDOR]],TERCEROS_INFO[#All],2,FALSE)</f>
        <v>30</v>
      </c>
      <c r="D371" s="139">
        <f>+SUMIFS(PROVEEDORES[Total],PROVEEDORES[PROVEEDOR],PROVEEDORES[[#This Row],[PROVEEDOR]],PROVEEDORES[FECHA DE PAGO],"")</f>
        <v>0</v>
      </c>
      <c r="E371" s="140"/>
      <c r="F371" s="138">
        <f>+VLOOKUP(PROVEEDORES[[#This Row],[PROVEEDOR]],
                       Terceros!$A:$F,
                       5,
                       FALSE)</f>
        <v>0</v>
      </c>
      <c r="G371" s="127">
        <v>45094</v>
      </c>
      <c r="H371" s="123" t="s">
        <v>836</v>
      </c>
      <c r="I371" s="127">
        <v>45088</v>
      </c>
      <c r="J371" s="124">
        <v>2</v>
      </c>
      <c r="K371" s="124" t="s">
        <v>1530</v>
      </c>
      <c r="L371" s="124"/>
      <c r="M371" s="125">
        <v>424000</v>
      </c>
      <c r="N371" s="148">
        <v>0</v>
      </c>
      <c r="O371" s="148">
        <v>0</v>
      </c>
      <c r="P371" s="149">
        <v>0</v>
      </c>
      <c r="Q371" s="148">
        <v>0</v>
      </c>
      <c r="R371" s="150">
        <v>424000</v>
      </c>
      <c r="S3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1" s="135">
        <f ca="1">+IF(PROVEEDORES[[#This Row],[FECHA DE PAGO]]=0,TODAY()-PROVEEDORES[[#This Row],[FECHA DE FACTURACIÓN]]-PROVEEDORES[[#This Row],[PLAZO Días]],0)</f>
        <v>0</v>
      </c>
      <c r="U371" s="135">
        <f>+VLOOKUP(PROVEEDORES[[#This Row],[PROVEEDOR]],Terceros!$A:$D,4,FALSE)</f>
        <v>0</v>
      </c>
      <c r="V371" s="135">
        <f>+YEAR(PROVEEDORES[[#This Row],[FECHA DE FACTURACIÓN]])</f>
        <v>2023</v>
      </c>
      <c r="W371" s="135">
        <f>+MATCH(PROVEEDORES[[#This Row],[año facturado]],Retenciones!$1:$1,0)</f>
        <v>6</v>
      </c>
      <c r="X371" s="136">
        <f>+VLOOKUP(PROVEEDORES[[#This Row],[ID RETENCION]],Retenciones!$A$1:$O$25,PROVEEDORES[[#This Row],[indicador de columna]],FALSE)</f>
        <v>0</v>
      </c>
      <c r="Y371" s="137">
        <f>+VLOOKUP(PROVEEDORES[[#This Row],[ID RETENCION]],Retenciones!$A$1:$O$25,2,FALSE)</f>
        <v>0</v>
      </c>
      <c r="Z371" s="126" t="b">
        <f>+OR(COUNTIF(PROVEEDORES[[#This Row],[PROVEEDOR]],"*"&amp;'Palabra que no opera y Listas d'!$A$2&amp;"*"))</f>
        <v>0</v>
      </c>
    </row>
    <row r="372" spans="1:26" ht="27.75" customHeight="1" x14ac:dyDescent="0.25">
      <c r="A372" s="141" t="str">
        <f>+IF(PROVEEDORES[[#This Row],[FECHA DE PAGO]]=PROVEEDORES[[#This Row],[FECHA DE FACTURACIÓN]],"DE CONTADO","CRÉDITO")</f>
        <v>DE CONTADO</v>
      </c>
      <c r="B372" s="138" t="b">
        <f>+IF((PROVEEDORES[[#This Row],[FECHA DE PAGO]]-PROVEEDORES[[#This Row],[FECHA DE FACTURACIÓN]])&gt;PROVEEDORES[[#This Row],[PLAZO Días]],"PAGO VENCIDO")</f>
        <v>0</v>
      </c>
      <c r="C372" s="138">
        <f>+VLOOKUP(PROVEEDORES[[#This Row],[PROVEEDOR]],TERCEROS_INFO[#All],2,FALSE)</f>
        <v>30</v>
      </c>
      <c r="D372" s="139">
        <f>+SUMIFS(PROVEEDORES[Total],PROVEEDORES[PROVEEDOR],PROVEEDORES[[#This Row],[PROVEEDOR]],PROVEEDORES[FECHA DE PAGO],"")</f>
        <v>0</v>
      </c>
      <c r="E372" s="140"/>
      <c r="F372" s="138" t="str">
        <f>+VLOOKUP(PROVEEDORES[[#This Row],[PROVEEDOR]],
                       Terceros!$A:$F,
                       5,
                       FALSE)</f>
        <v/>
      </c>
      <c r="G372" s="127">
        <v>45094</v>
      </c>
      <c r="H372" s="123" t="s">
        <v>1821</v>
      </c>
      <c r="I372" s="127">
        <v>45094</v>
      </c>
      <c r="J372" s="124" t="s">
        <v>868</v>
      </c>
      <c r="K372" s="124" t="s">
        <v>1530</v>
      </c>
      <c r="L372" s="124"/>
      <c r="M372" s="125">
        <v>820000</v>
      </c>
      <c r="N372" s="148">
        <v>0</v>
      </c>
      <c r="O372" s="148">
        <v>0</v>
      </c>
      <c r="P372" s="149">
        <v>0</v>
      </c>
      <c r="Q372" s="148">
        <v>0</v>
      </c>
      <c r="R372" s="150">
        <v>820000</v>
      </c>
      <c r="S3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2" s="135">
        <f ca="1">+IF(PROVEEDORES[[#This Row],[FECHA DE PAGO]]=0,TODAY()-PROVEEDORES[[#This Row],[FECHA DE FACTURACIÓN]]-PROVEEDORES[[#This Row],[PLAZO Días]],0)</f>
        <v>0</v>
      </c>
      <c r="U372" s="135">
        <f>+VLOOKUP(PROVEEDORES[[#This Row],[PROVEEDOR]],Terceros!$A:$D,4,FALSE)</f>
        <v>0</v>
      </c>
      <c r="V372" s="135">
        <f>+YEAR(PROVEEDORES[[#This Row],[FECHA DE FACTURACIÓN]])</f>
        <v>2023</v>
      </c>
      <c r="W372" s="135">
        <f>+MATCH(PROVEEDORES[[#This Row],[año facturado]],Retenciones!$1:$1,0)</f>
        <v>6</v>
      </c>
      <c r="X372" s="136">
        <f>+VLOOKUP(PROVEEDORES[[#This Row],[ID RETENCION]],Retenciones!$A$1:$O$25,PROVEEDORES[[#This Row],[indicador de columna]],FALSE)</f>
        <v>0</v>
      </c>
      <c r="Y372" s="137">
        <f>+VLOOKUP(PROVEEDORES[[#This Row],[ID RETENCION]],Retenciones!$A$1:$O$25,2,FALSE)</f>
        <v>0</v>
      </c>
      <c r="Z372" s="126" t="b">
        <f>+OR(COUNTIF(PROVEEDORES[[#This Row],[PROVEEDOR]],"*"&amp;'Palabra que no opera y Listas d'!$A$2&amp;"*"))</f>
        <v>0</v>
      </c>
    </row>
    <row r="373" spans="1:26" ht="27.75" customHeight="1" x14ac:dyDescent="0.25">
      <c r="A373" s="141" t="str">
        <f>+IF(PROVEEDORES[[#This Row],[FECHA DE PAGO]]=PROVEEDORES[[#This Row],[FECHA DE FACTURACIÓN]],"DE CONTADO","CRÉDITO")</f>
        <v>CRÉDITO</v>
      </c>
      <c r="B373" s="138" t="str">
        <f>+IF((PROVEEDORES[[#This Row],[FECHA DE PAGO]]-PROVEEDORES[[#This Row],[FECHA DE FACTURACIÓN]])&gt;PROVEEDORES[[#This Row],[PLAZO Días]],"PAGO VENCIDO")</f>
        <v>PAGO VENCIDO</v>
      </c>
      <c r="C373" s="138">
        <f>+VLOOKUP(PROVEEDORES[[#This Row],[PROVEEDOR]],TERCEROS_INFO[#All],2,FALSE)</f>
        <v>45</v>
      </c>
      <c r="D373" s="139">
        <f>+SUMIFS(PROVEEDORES[Total],PROVEEDORES[PROVEEDOR],PROVEEDORES[[#This Row],[PROVEEDOR]],PROVEEDORES[FECHA DE PAGO],"")</f>
        <v>22186260.039999999</v>
      </c>
      <c r="E373" s="140"/>
      <c r="F373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373" s="127">
        <v>45097</v>
      </c>
      <c r="H373" s="123" t="s">
        <v>19</v>
      </c>
      <c r="I373" s="127">
        <v>45015</v>
      </c>
      <c r="J373" s="124" t="s">
        <v>705</v>
      </c>
      <c r="K373" s="124" t="s">
        <v>1530</v>
      </c>
      <c r="L373" s="124"/>
      <c r="M373" s="125">
        <v>7884050</v>
      </c>
      <c r="N373" s="148">
        <v>1497969.5</v>
      </c>
      <c r="O373" s="148">
        <v>0</v>
      </c>
      <c r="P373" s="149">
        <v>0</v>
      </c>
      <c r="Q373" s="148">
        <v>0</v>
      </c>
      <c r="R373" s="150">
        <v>9382019.5</v>
      </c>
      <c r="S3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3" s="135">
        <f ca="1">+IF(PROVEEDORES[[#This Row],[FECHA DE PAGO]]=0,TODAY()-PROVEEDORES[[#This Row],[FECHA DE FACTURACIÓN]]-PROVEEDORES[[#This Row],[PLAZO Días]],0)</f>
        <v>0</v>
      </c>
      <c r="U373" s="135">
        <f>+VLOOKUP(PROVEEDORES[[#This Row],[PROVEEDOR]],Terceros!$A:$D,4,FALSE)</f>
        <v>0</v>
      </c>
      <c r="V373" s="135">
        <f>+YEAR(PROVEEDORES[[#This Row],[FECHA DE FACTURACIÓN]])</f>
        <v>2023</v>
      </c>
      <c r="W373" s="135">
        <f>+MATCH(PROVEEDORES[[#This Row],[año facturado]],Retenciones!$1:$1,0)</f>
        <v>6</v>
      </c>
      <c r="X373" s="136">
        <f>+VLOOKUP(PROVEEDORES[[#This Row],[ID RETENCION]],Retenciones!$A$1:$O$25,PROVEEDORES[[#This Row],[indicador de columna]],FALSE)</f>
        <v>0</v>
      </c>
      <c r="Y373" s="137">
        <f>+VLOOKUP(PROVEEDORES[[#This Row],[ID RETENCION]],Retenciones!$A$1:$O$25,2,FALSE)</f>
        <v>0</v>
      </c>
      <c r="Z373" s="126" t="b">
        <f>+OR(COUNTIF(PROVEEDORES[[#This Row],[PROVEEDOR]],"*"&amp;'Palabra que no opera y Listas d'!$A$2&amp;"*"))</f>
        <v>0</v>
      </c>
    </row>
    <row r="374" spans="1:26" ht="27.75" customHeight="1" x14ac:dyDescent="0.25">
      <c r="A374" s="141" t="str">
        <f>+IF(PROVEEDORES[[#This Row],[FECHA DE PAGO]]=PROVEEDORES[[#This Row],[FECHA DE FACTURACIÓN]],"DE CONTADO","CRÉDITO")</f>
        <v>CRÉDITO</v>
      </c>
      <c r="B374" s="138" t="str">
        <f>+IF((PROVEEDORES[[#This Row],[FECHA DE PAGO]]-PROVEEDORES[[#This Row],[FECHA DE FACTURACIÓN]])&gt;PROVEEDORES[[#This Row],[PLAZO Días]],"PAGO VENCIDO")</f>
        <v>PAGO VENCIDO</v>
      </c>
      <c r="C374" s="138">
        <f>+VLOOKUP(PROVEEDORES[[#This Row],[PROVEEDOR]],TERCEROS_INFO[#All],2,FALSE)</f>
        <v>45</v>
      </c>
      <c r="D374" s="139">
        <f>+SUMIFS(PROVEEDORES[Total],PROVEEDORES[PROVEEDOR],PROVEEDORES[[#This Row],[PROVEEDOR]],PROVEEDORES[FECHA DE PAGO],"")</f>
        <v>22186260.039999999</v>
      </c>
      <c r="E374" s="140"/>
      <c r="F374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374" s="127">
        <v>45097</v>
      </c>
      <c r="H374" s="123" t="s">
        <v>19</v>
      </c>
      <c r="I374" s="127">
        <v>45016</v>
      </c>
      <c r="J374" s="124" t="s">
        <v>706</v>
      </c>
      <c r="K374" s="124" t="s">
        <v>1530</v>
      </c>
      <c r="L374" s="124"/>
      <c r="M374" s="125">
        <v>826770</v>
      </c>
      <c r="N374" s="148">
        <v>157086.29999999999</v>
      </c>
      <c r="O374" s="148">
        <v>0</v>
      </c>
      <c r="P374" s="149">
        <v>0</v>
      </c>
      <c r="Q374" s="148">
        <v>0</v>
      </c>
      <c r="R374" s="150">
        <v>983856.3</v>
      </c>
      <c r="S3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4" s="135">
        <f ca="1">+IF(PROVEEDORES[[#This Row],[FECHA DE PAGO]]=0,TODAY()-PROVEEDORES[[#This Row],[FECHA DE FACTURACIÓN]]-PROVEEDORES[[#This Row],[PLAZO Días]],0)</f>
        <v>0</v>
      </c>
      <c r="U374" s="135">
        <f>+VLOOKUP(PROVEEDORES[[#This Row],[PROVEEDOR]],Terceros!$A:$D,4,FALSE)</f>
        <v>0</v>
      </c>
      <c r="V374" s="135">
        <f>+YEAR(PROVEEDORES[[#This Row],[FECHA DE FACTURACIÓN]])</f>
        <v>2023</v>
      </c>
      <c r="W374" s="135">
        <f>+MATCH(PROVEEDORES[[#This Row],[año facturado]],Retenciones!$1:$1,0)</f>
        <v>6</v>
      </c>
      <c r="X374" s="136">
        <f>+VLOOKUP(PROVEEDORES[[#This Row],[ID RETENCION]],Retenciones!$A$1:$O$25,PROVEEDORES[[#This Row],[indicador de columna]],FALSE)</f>
        <v>0</v>
      </c>
      <c r="Y374" s="137">
        <f>+VLOOKUP(PROVEEDORES[[#This Row],[ID RETENCION]],Retenciones!$A$1:$O$25,2,FALSE)</f>
        <v>0</v>
      </c>
      <c r="Z374" s="126" t="b">
        <f>+OR(COUNTIF(PROVEEDORES[[#This Row],[PROVEEDOR]],"*"&amp;'Palabra que no opera y Listas d'!$A$2&amp;"*"))</f>
        <v>0</v>
      </c>
    </row>
    <row r="375" spans="1:26" ht="27.75" customHeight="1" x14ac:dyDescent="0.25">
      <c r="A375" s="141" t="str">
        <f>+IF(PROVEEDORES[[#This Row],[FECHA DE PAGO]]=PROVEEDORES[[#This Row],[FECHA DE FACTURACIÓN]],"DE CONTADO","CRÉDITO")</f>
        <v>CRÉDITO</v>
      </c>
      <c r="B375" s="138" t="str">
        <f>+IF((PROVEEDORES[[#This Row],[FECHA DE PAGO]]-PROVEEDORES[[#This Row],[FECHA DE FACTURACIÓN]])&gt;PROVEEDORES[[#This Row],[PLAZO Días]],"PAGO VENCIDO")</f>
        <v>PAGO VENCIDO</v>
      </c>
      <c r="C375" s="138">
        <f>+VLOOKUP(PROVEEDORES[[#This Row],[PROVEEDOR]],TERCEROS_INFO[#All],2,FALSE)</f>
        <v>30</v>
      </c>
      <c r="D375" s="139">
        <f>+SUMIFS(PROVEEDORES[Total],PROVEEDORES[PROVEEDOR],PROVEEDORES[[#This Row],[PROVEEDOR]],PROVEEDORES[FECHA DE PAGO],"")</f>
        <v>0</v>
      </c>
      <c r="E375" s="140"/>
      <c r="F375" s="138">
        <f>+VLOOKUP(PROVEEDORES[[#This Row],[PROVEEDOR]],
                       Terceros!$A:$F,
                       5,
                       FALSE)</f>
        <v>0</v>
      </c>
      <c r="G375" s="127">
        <v>45097</v>
      </c>
      <c r="H375" s="123" t="s">
        <v>1805</v>
      </c>
      <c r="I375" s="127">
        <v>45026</v>
      </c>
      <c r="J375" s="124" t="s">
        <v>718</v>
      </c>
      <c r="K375" s="124" t="s">
        <v>1530</v>
      </c>
      <c r="L375" s="124"/>
      <c r="M375" s="125">
        <v>861000</v>
      </c>
      <c r="N375" s="148">
        <v>0</v>
      </c>
      <c r="O375" s="148">
        <v>0</v>
      </c>
      <c r="P375" s="149">
        <v>0</v>
      </c>
      <c r="Q375" s="148">
        <v>0</v>
      </c>
      <c r="R375" s="150">
        <v>861000</v>
      </c>
      <c r="S3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5" s="135">
        <f ca="1">+IF(PROVEEDORES[[#This Row],[FECHA DE PAGO]]=0,TODAY()-PROVEEDORES[[#This Row],[FECHA DE FACTURACIÓN]]-PROVEEDORES[[#This Row],[PLAZO Días]],0)</f>
        <v>0</v>
      </c>
      <c r="U375" s="135">
        <f>+VLOOKUP(PROVEEDORES[[#This Row],[PROVEEDOR]],Terceros!$A:$D,4,FALSE)</f>
        <v>0</v>
      </c>
      <c r="V375" s="135">
        <f>+YEAR(PROVEEDORES[[#This Row],[FECHA DE FACTURACIÓN]])</f>
        <v>2023</v>
      </c>
      <c r="W375" s="135">
        <f>+MATCH(PROVEEDORES[[#This Row],[año facturado]],Retenciones!$1:$1,0)</f>
        <v>6</v>
      </c>
      <c r="X375" s="136">
        <f>+VLOOKUP(PROVEEDORES[[#This Row],[ID RETENCION]],Retenciones!$A$1:$O$25,PROVEEDORES[[#This Row],[indicador de columna]],FALSE)</f>
        <v>0</v>
      </c>
      <c r="Y375" s="137">
        <f>+VLOOKUP(PROVEEDORES[[#This Row],[ID RETENCION]],Retenciones!$A$1:$O$25,2,FALSE)</f>
        <v>0</v>
      </c>
      <c r="Z375" s="126" t="b">
        <f>+OR(COUNTIF(PROVEEDORES[[#This Row],[PROVEEDOR]],"*"&amp;'Palabra que no opera y Listas d'!$A$2&amp;"*"))</f>
        <v>0</v>
      </c>
    </row>
    <row r="376" spans="1:26" ht="27.75" customHeight="1" x14ac:dyDescent="0.25">
      <c r="A376" s="141" t="str">
        <f>+IF(PROVEEDORES[[#This Row],[FECHA DE PAGO]]=PROVEEDORES[[#This Row],[FECHA DE FACTURACIÓN]],"DE CONTADO","CRÉDITO")</f>
        <v>CRÉDITO</v>
      </c>
      <c r="B376" s="138" t="str">
        <f>+IF((PROVEEDORES[[#This Row],[FECHA DE PAGO]]-PROVEEDORES[[#This Row],[FECHA DE FACTURACIÓN]])&gt;PROVEEDORES[[#This Row],[PLAZO Días]],"PAGO VENCIDO")</f>
        <v>PAGO VENCIDO</v>
      </c>
      <c r="C376" s="138">
        <f>+VLOOKUP(PROVEEDORES[[#This Row],[PROVEEDOR]],TERCEROS_INFO[#All],2,FALSE)</f>
        <v>60</v>
      </c>
      <c r="D376" s="139">
        <f>+SUMIFS(PROVEEDORES[Total],PROVEEDORES[PROVEEDOR],PROVEEDORES[[#This Row],[PROVEEDOR]],PROVEEDORES[FECHA DE PAGO],"")</f>
        <v>0</v>
      </c>
      <c r="E376" s="140"/>
      <c r="F376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376" s="127">
        <v>45097</v>
      </c>
      <c r="H376" s="123" t="s">
        <v>65</v>
      </c>
      <c r="I376" s="127">
        <v>45026</v>
      </c>
      <c r="J376" s="124" t="s">
        <v>708</v>
      </c>
      <c r="K376" s="124" t="s">
        <v>1530</v>
      </c>
      <c r="L376" s="124"/>
      <c r="M376" s="125">
        <v>1768800</v>
      </c>
      <c r="N376" s="148">
        <v>336072</v>
      </c>
      <c r="O376" s="148">
        <v>0</v>
      </c>
      <c r="P376" s="149">
        <v>2.5000000000000001E-2</v>
      </c>
      <c r="Q376" s="148">
        <v>44220</v>
      </c>
      <c r="R376" s="150">
        <v>2060652</v>
      </c>
      <c r="S3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6" s="135">
        <f ca="1">+IF(PROVEEDORES[[#This Row],[FECHA DE PAGO]]=0,TODAY()-PROVEEDORES[[#This Row],[FECHA DE FACTURACIÓN]]-PROVEEDORES[[#This Row],[PLAZO Días]],0)</f>
        <v>0</v>
      </c>
      <c r="U376" s="135" t="str">
        <f>+VLOOKUP(PROVEEDORES[[#This Row],[PROVEEDOR]],Terceros!$A:$D,4,FALSE)</f>
        <v>2,5% con base</v>
      </c>
      <c r="V376" s="135">
        <f>+YEAR(PROVEEDORES[[#This Row],[FECHA DE FACTURACIÓN]])</f>
        <v>2023</v>
      </c>
      <c r="W376" s="135">
        <f>+MATCH(PROVEEDORES[[#This Row],[año facturado]],Retenciones!$1:$1,0)</f>
        <v>6</v>
      </c>
      <c r="X376" s="136">
        <f>+VLOOKUP(PROVEEDORES[[#This Row],[ID RETENCION]],Retenciones!$A$1:$O$25,PROVEEDORES[[#This Row],[indicador de columna]],FALSE)</f>
        <v>1145000</v>
      </c>
      <c r="Y376" s="137">
        <f>+VLOOKUP(PROVEEDORES[[#This Row],[ID RETENCION]],Retenciones!$A$1:$O$25,2,FALSE)</f>
        <v>2.5000000000000001E-2</v>
      </c>
      <c r="Z376" s="126" t="b">
        <f>+OR(COUNTIF(PROVEEDORES[[#This Row],[PROVEEDOR]],"*"&amp;'Palabra que no opera y Listas d'!$A$2&amp;"*"))</f>
        <v>0</v>
      </c>
    </row>
    <row r="377" spans="1:26" ht="27.75" customHeight="1" x14ac:dyDescent="0.25">
      <c r="A377" s="141" t="str">
        <f>+IF(PROVEEDORES[[#This Row],[FECHA DE PAGO]]=PROVEEDORES[[#This Row],[FECHA DE FACTURACIÓN]],"DE CONTADO","CRÉDITO")</f>
        <v>CRÉDITO</v>
      </c>
      <c r="B377" s="138" t="str">
        <f>+IF((PROVEEDORES[[#This Row],[FECHA DE PAGO]]-PROVEEDORES[[#This Row],[FECHA DE FACTURACIÓN]])&gt;PROVEEDORES[[#This Row],[PLAZO Días]],"PAGO VENCIDO")</f>
        <v>PAGO VENCIDO</v>
      </c>
      <c r="C377" s="138">
        <f>+VLOOKUP(PROVEEDORES[[#This Row],[PROVEEDOR]],TERCEROS_INFO[#All],2,FALSE)</f>
        <v>30</v>
      </c>
      <c r="D377" s="139">
        <f>+SUMIFS(PROVEEDORES[Total],PROVEEDORES[PROVEEDOR],PROVEEDORES[[#This Row],[PROVEEDOR]],PROVEEDORES[FECHA DE PAGO],"")</f>
        <v>134000</v>
      </c>
      <c r="E377" s="140"/>
      <c r="F377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377" s="127">
        <v>45097</v>
      </c>
      <c r="H377" s="123" t="s">
        <v>1808</v>
      </c>
      <c r="I377" s="127">
        <v>45030</v>
      </c>
      <c r="J377" s="124">
        <v>4056</v>
      </c>
      <c r="K377" s="124" t="s">
        <v>1530</v>
      </c>
      <c r="L377" s="124"/>
      <c r="M377" s="125">
        <v>3121200</v>
      </c>
      <c r="N377" s="148">
        <v>0</v>
      </c>
      <c r="O377" s="148">
        <v>0</v>
      </c>
      <c r="P377" s="149">
        <v>0</v>
      </c>
      <c r="Q377" s="148">
        <v>0</v>
      </c>
      <c r="R377" s="150">
        <v>3121200</v>
      </c>
      <c r="S3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7" s="135">
        <f ca="1">+IF(PROVEEDORES[[#This Row],[FECHA DE PAGO]]=0,TODAY()-PROVEEDORES[[#This Row],[FECHA DE FACTURACIÓN]]-PROVEEDORES[[#This Row],[PLAZO Días]],0)</f>
        <v>0</v>
      </c>
      <c r="U377" s="135">
        <f>+VLOOKUP(PROVEEDORES[[#This Row],[PROVEEDOR]],Terceros!$A:$D,4,FALSE)</f>
        <v>0</v>
      </c>
      <c r="V377" s="135">
        <f>+YEAR(PROVEEDORES[[#This Row],[FECHA DE FACTURACIÓN]])</f>
        <v>2023</v>
      </c>
      <c r="W377" s="135">
        <f>+MATCH(PROVEEDORES[[#This Row],[año facturado]],Retenciones!$1:$1,0)</f>
        <v>6</v>
      </c>
      <c r="X377" s="136">
        <f>+VLOOKUP(PROVEEDORES[[#This Row],[ID RETENCION]],Retenciones!$A$1:$O$25,PROVEEDORES[[#This Row],[indicador de columna]],FALSE)</f>
        <v>0</v>
      </c>
      <c r="Y377" s="137">
        <f>+VLOOKUP(PROVEEDORES[[#This Row],[ID RETENCION]],Retenciones!$A$1:$O$25,2,FALSE)</f>
        <v>0</v>
      </c>
      <c r="Z377" s="126" t="b">
        <f>+OR(COUNTIF(PROVEEDORES[[#This Row],[PROVEEDOR]],"*"&amp;'Palabra que no opera y Listas d'!$A$2&amp;"*"))</f>
        <v>0</v>
      </c>
    </row>
    <row r="378" spans="1:26" ht="27.75" customHeight="1" x14ac:dyDescent="0.25">
      <c r="A378" s="141" t="str">
        <f>+IF(PROVEEDORES[[#This Row],[FECHA DE PAGO]]=PROVEEDORES[[#This Row],[FECHA DE FACTURACIÓN]],"DE CONTADO","CRÉDITO")</f>
        <v>CRÉDITO</v>
      </c>
      <c r="B378" s="138" t="str">
        <f>+IF((PROVEEDORES[[#This Row],[FECHA DE PAGO]]-PROVEEDORES[[#This Row],[FECHA DE FACTURACIÓN]])&gt;PROVEEDORES[[#This Row],[PLAZO Días]],"PAGO VENCIDO")</f>
        <v>PAGO VENCIDO</v>
      </c>
      <c r="C378" s="138">
        <f>+VLOOKUP(PROVEEDORES[[#This Row],[PROVEEDOR]],TERCEROS_INFO[#All],2,FALSE)</f>
        <v>30</v>
      </c>
      <c r="D378" s="139">
        <f>+SUMIFS(PROVEEDORES[Total],PROVEEDORES[PROVEEDOR],PROVEEDORES[[#This Row],[PROVEEDOR]],PROVEEDORES[FECHA DE PAGO],"")</f>
        <v>0</v>
      </c>
      <c r="E378" s="140"/>
      <c r="F378" s="13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378" s="127">
        <v>45097</v>
      </c>
      <c r="H378" s="123" t="s">
        <v>1592</v>
      </c>
      <c r="I378" s="127">
        <v>45041</v>
      </c>
      <c r="J378" s="124" t="s">
        <v>750</v>
      </c>
      <c r="K378" s="124" t="s">
        <v>1530</v>
      </c>
      <c r="L378" s="124"/>
      <c r="M378" s="125">
        <v>2657001</v>
      </c>
      <c r="N378" s="148">
        <v>504830.19</v>
      </c>
      <c r="O378" s="148">
        <v>0</v>
      </c>
      <c r="P378" s="149">
        <v>2.5000000000000001E-2</v>
      </c>
      <c r="Q378" s="148">
        <v>66425.025000000009</v>
      </c>
      <c r="R378" s="150">
        <v>3095406.165</v>
      </c>
      <c r="S3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8" s="135">
        <f ca="1">+IF(PROVEEDORES[[#This Row],[FECHA DE PAGO]]=0,TODAY()-PROVEEDORES[[#This Row],[FECHA DE FACTURACIÓN]]-PROVEEDORES[[#This Row],[PLAZO Días]],0)</f>
        <v>0</v>
      </c>
      <c r="U378" s="135" t="str">
        <f>+VLOOKUP(PROVEEDORES[[#This Row],[PROVEEDOR]],Terceros!$A:$D,4,FALSE)</f>
        <v>2,5% con base</v>
      </c>
      <c r="V378" s="135">
        <f>+YEAR(PROVEEDORES[[#This Row],[FECHA DE FACTURACIÓN]])</f>
        <v>2023</v>
      </c>
      <c r="W378" s="135">
        <f>+MATCH(PROVEEDORES[[#This Row],[año facturado]],Retenciones!$1:$1,0)</f>
        <v>6</v>
      </c>
      <c r="X378" s="136">
        <f>+VLOOKUP(PROVEEDORES[[#This Row],[ID RETENCION]],Retenciones!$A$1:$O$25,PROVEEDORES[[#This Row],[indicador de columna]],FALSE)</f>
        <v>1145000</v>
      </c>
      <c r="Y378" s="137">
        <f>+VLOOKUP(PROVEEDORES[[#This Row],[ID RETENCION]],Retenciones!$A$1:$O$25,2,FALSE)</f>
        <v>2.5000000000000001E-2</v>
      </c>
      <c r="Z378" s="126" t="b">
        <f>+OR(COUNTIF(PROVEEDORES[[#This Row],[PROVEEDOR]],"*"&amp;'Palabra que no opera y Listas d'!$A$2&amp;"*"))</f>
        <v>0</v>
      </c>
    </row>
    <row r="379" spans="1:26" ht="27.75" customHeight="1" x14ac:dyDescent="0.25">
      <c r="A379" s="141" t="str">
        <f>+IF(PROVEEDORES[[#This Row],[FECHA DE PAGO]]=PROVEEDORES[[#This Row],[FECHA DE FACTURACIÓN]],"DE CONTADO","CRÉDITO")</f>
        <v>CRÉDITO</v>
      </c>
      <c r="B379" s="138" t="b">
        <f>+IF((PROVEEDORES[[#This Row],[FECHA DE PAGO]]-PROVEEDORES[[#This Row],[FECHA DE FACTURACIÓN]])&gt;PROVEEDORES[[#This Row],[PLAZO Días]],"PAGO VENCIDO")</f>
        <v>0</v>
      </c>
      <c r="C379" s="138">
        <f>+VLOOKUP(PROVEEDORES[[#This Row],[PROVEEDOR]],TERCEROS_INFO[#All],2,FALSE)</f>
        <v>60</v>
      </c>
      <c r="D379" s="139">
        <f>+SUMIFS(PROVEEDORES[Total],PROVEEDORES[PROVEEDOR],PROVEEDORES[[#This Row],[PROVEEDOR]],PROVEEDORES[FECHA DE PAGO],"")</f>
        <v>0</v>
      </c>
      <c r="E379" s="140"/>
      <c r="F379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379" s="127">
        <v>45097</v>
      </c>
      <c r="H379" s="123" t="s">
        <v>65</v>
      </c>
      <c r="I379" s="127">
        <v>45042</v>
      </c>
      <c r="J379" s="124" t="s">
        <v>755</v>
      </c>
      <c r="K379" s="124" t="s">
        <v>1530</v>
      </c>
      <c r="L379" s="124"/>
      <c r="M379" s="125">
        <v>8754400</v>
      </c>
      <c r="N379" s="148">
        <v>1663336</v>
      </c>
      <c r="O379" s="148">
        <v>0</v>
      </c>
      <c r="P379" s="149">
        <v>2.5000000000000001E-2</v>
      </c>
      <c r="Q379" s="148">
        <v>218860</v>
      </c>
      <c r="R379" s="150">
        <v>10198876</v>
      </c>
      <c r="S3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79" s="135">
        <f ca="1">+IF(PROVEEDORES[[#This Row],[FECHA DE PAGO]]=0,TODAY()-PROVEEDORES[[#This Row],[FECHA DE FACTURACIÓN]]-PROVEEDORES[[#This Row],[PLAZO Días]],0)</f>
        <v>0</v>
      </c>
      <c r="U379" s="135" t="str">
        <f>+VLOOKUP(PROVEEDORES[[#This Row],[PROVEEDOR]],Terceros!$A:$D,4,FALSE)</f>
        <v>2,5% con base</v>
      </c>
      <c r="V379" s="135">
        <f>+YEAR(PROVEEDORES[[#This Row],[FECHA DE FACTURACIÓN]])</f>
        <v>2023</v>
      </c>
      <c r="W379" s="135">
        <f>+MATCH(PROVEEDORES[[#This Row],[año facturado]],Retenciones!$1:$1,0)</f>
        <v>6</v>
      </c>
      <c r="X379" s="136">
        <f>+VLOOKUP(PROVEEDORES[[#This Row],[ID RETENCION]],Retenciones!$A$1:$O$25,PROVEEDORES[[#This Row],[indicador de columna]],FALSE)</f>
        <v>1145000</v>
      </c>
      <c r="Y379" s="137">
        <f>+VLOOKUP(PROVEEDORES[[#This Row],[ID RETENCION]],Retenciones!$A$1:$O$25,2,FALSE)</f>
        <v>2.5000000000000001E-2</v>
      </c>
      <c r="Z379" s="126" t="b">
        <f>+OR(COUNTIF(PROVEEDORES[[#This Row],[PROVEEDOR]],"*"&amp;'Palabra que no opera y Listas d'!$A$2&amp;"*"))</f>
        <v>0</v>
      </c>
    </row>
    <row r="380" spans="1:26" ht="27.75" customHeight="1" x14ac:dyDescent="0.25">
      <c r="A380" s="141" t="str">
        <f>+IF(PROVEEDORES[[#This Row],[FECHA DE PAGO]]=PROVEEDORES[[#This Row],[FECHA DE FACTURACIÓN]],"DE CONTADO","CRÉDITO")</f>
        <v>CRÉDITO</v>
      </c>
      <c r="B380" s="138" t="str">
        <f>+IF((PROVEEDORES[[#This Row],[FECHA DE PAGO]]-PROVEEDORES[[#This Row],[FECHA DE FACTURACIÓN]])&gt;PROVEEDORES[[#This Row],[PLAZO Días]],"PAGO VENCIDO")</f>
        <v>PAGO VENCIDO</v>
      </c>
      <c r="C380" s="138">
        <f>+VLOOKUP(PROVEEDORES[[#This Row],[PROVEEDOR]],TERCEROS_INFO[#All],2,FALSE)</f>
        <v>30</v>
      </c>
      <c r="D380" s="139">
        <f>+SUMIFS(PROVEEDORES[Total],PROVEEDORES[PROVEEDOR],PROVEEDORES[[#This Row],[PROVEEDOR]],PROVEEDORES[FECHA DE PAGO],"")</f>
        <v>5427539.2800000003</v>
      </c>
      <c r="E380" s="140"/>
      <c r="F380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380" s="127">
        <v>45097</v>
      </c>
      <c r="H380" s="123" t="s">
        <v>11</v>
      </c>
      <c r="I380" s="127">
        <v>45044</v>
      </c>
      <c r="J380" s="124" t="s">
        <v>757</v>
      </c>
      <c r="K380" s="124" t="s">
        <v>1530</v>
      </c>
      <c r="L380" s="124"/>
      <c r="M380" s="125">
        <v>5732114</v>
      </c>
      <c r="N380" s="148">
        <v>1089101.6599999999</v>
      </c>
      <c r="O380" s="148">
        <v>0</v>
      </c>
      <c r="P380" s="149">
        <v>2.5000000000000001E-2</v>
      </c>
      <c r="Q380" s="148">
        <v>143302.85</v>
      </c>
      <c r="R380" s="150">
        <v>6677912.8100000005</v>
      </c>
      <c r="S3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0" s="135">
        <f ca="1">+IF(PROVEEDORES[[#This Row],[FECHA DE PAGO]]=0,TODAY()-PROVEEDORES[[#This Row],[FECHA DE FACTURACIÓN]]-PROVEEDORES[[#This Row],[PLAZO Días]],0)</f>
        <v>0</v>
      </c>
      <c r="U380" s="135" t="str">
        <f>+VLOOKUP(PROVEEDORES[[#This Row],[PROVEEDOR]],Terceros!$A:$D,4,FALSE)</f>
        <v>2,5% con base</v>
      </c>
      <c r="V380" s="135">
        <f>+YEAR(PROVEEDORES[[#This Row],[FECHA DE FACTURACIÓN]])</f>
        <v>2023</v>
      </c>
      <c r="W380" s="135">
        <f>+MATCH(PROVEEDORES[[#This Row],[año facturado]],Retenciones!$1:$1,0)</f>
        <v>6</v>
      </c>
      <c r="X380" s="136">
        <f>+VLOOKUP(PROVEEDORES[[#This Row],[ID RETENCION]],Retenciones!$A$1:$O$25,PROVEEDORES[[#This Row],[indicador de columna]],FALSE)</f>
        <v>1145000</v>
      </c>
      <c r="Y380" s="137">
        <f>+VLOOKUP(PROVEEDORES[[#This Row],[ID RETENCION]],Retenciones!$A$1:$O$25,2,FALSE)</f>
        <v>2.5000000000000001E-2</v>
      </c>
      <c r="Z380" s="126" t="b">
        <f>+OR(COUNTIF(PROVEEDORES[[#This Row],[PROVEEDOR]],"*"&amp;'Palabra que no opera y Listas d'!$A$2&amp;"*"))</f>
        <v>0</v>
      </c>
    </row>
    <row r="381" spans="1:26" ht="27.75" customHeight="1" x14ac:dyDescent="0.25">
      <c r="A381" s="141" t="str">
        <f>+IF(PROVEEDORES[[#This Row],[FECHA DE PAGO]]=PROVEEDORES[[#This Row],[FECHA DE FACTURACIÓN]],"DE CONTADO","CRÉDITO")</f>
        <v>CRÉDITO</v>
      </c>
      <c r="B381" s="138" t="str">
        <f>+IF((PROVEEDORES[[#This Row],[FECHA DE PAGO]]-PROVEEDORES[[#This Row],[FECHA DE FACTURACIÓN]])&gt;PROVEEDORES[[#This Row],[PLAZO Días]],"PAGO VENCIDO")</f>
        <v>PAGO VENCIDO</v>
      </c>
      <c r="C381" s="138">
        <f>+VLOOKUP(PROVEEDORES[[#This Row],[PROVEEDOR]],TERCEROS_INFO[#All],2,FALSE)</f>
        <v>30</v>
      </c>
      <c r="D381" s="139">
        <f>+SUMIFS(PROVEEDORES[Total],PROVEEDORES[PROVEEDOR],PROVEEDORES[[#This Row],[PROVEEDOR]],PROVEEDORES[FECHA DE PAGO],"")</f>
        <v>5427539.2800000003</v>
      </c>
      <c r="E381" s="140"/>
      <c r="F381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381" s="127">
        <v>45097</v>
      </c>
      <c r="H381" s="123" t="s">
        <v>11</v>
      </c>
      <c r="I381" s="127">
        <v>45055</v>
      </c>
      <c r="J381" s="124" t="s">
        <v>778</v>
      </c>
      <c r="K381" s="124" t="s">
        <v>1530</v>
      </c>
      <c r="L381" s="124"/>
      <c r="M381" s="125">
        <v>854119</v>
      </c>
      <c r="N381" s="148">
        <v>162282.61000000002</v>
      </c>
      <c r="O381" s="148">
        <v>0</v>
      </c>
      <c r="P381" s="149">
        <v>0</v>
      </c>
      <c r="Q381" s="148">
        <v>0</v>
      </c>
      <c r="R381" s="150">
        <v>1016401.61</v>
      </c>
      <c r="S3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1" s="135">
        <f ca="1">+IF(PROVEEDORES[[#This Row],[FECHA DE PAGO]]=0,TODAY()-PROVEEDORES[[#This Row],[FECHA DE FACTURACIÓN]]-PROVEEDORES[[#This Row],[PLAZO Días]],0)</f>
        <v>0</v>
      </c>
      <c r="U381" s="135" t="str">
        <f>+VLOOKUP(PROVEEDORES[[#This Row],[PROVEEDOR]],Terceros!$A:$D,4,FALSE)</f>
        <v>2,5% con base</v>
      </c>
      <c r="V381" s="135">
        <f>+YEAR(PROVEEDORES[[#This Row],[FECHA DE FACTURACIÓN]])</f>
        <v>2023</v>
      </c>
      <c r="W381" s="135">
        <f>+MATCH(PROVEEDORES[[#This Row],[año facturado]],Retenciones!$1:$1,0)</f>
        <v>6</v>
      </c>
      <c r="X381" s="136">
        <f>+VLOOKUP(PROVEEDORES[[#This Row],[ID RETENCION]],Retenciones!$A$1:$O$25,PROVEEDORES[[#This Row],[indicador de columna]],FALSE)</f>
        <v>1145000</v>
      </c>
      <c r="Y381" s="137">
        <f>+VLOOKUP(PROVEEDORES[[#This Row],[ID RETENCION]],Retenciones!$A$1:$O$25,2,FALSE)</f>
        <v>2.5000000000000001E-2</v>
      </c>
      <c r="Z381" s="126" t="b">
        <f>+OR(COUNTIF(PROVEEDORES[[#This Row],[PROVEEDOR]],"*"&amp;'Palabra que no opera y Listas d'!$A$2&amp;"*"))</f>
        <v>0</v>
      </c>
    </row>
    <row r="382" spans="1:26" ht="27.75" customHeight="1" x14ac:dyDescent="0.25">
      <c r="A382" s="141" t="str">
        <f>+IF(PROVEEDORES[[#This Row],[FECHA DE PAGO]]=PROVEEDORES[[#This Row],[FECHA DE FACTURACIÓN]],"DE CONTADO","CRÉDITO")</f>
        <v>CRÉDITO</v>
      </c>
      <c r="B382" s="138" t="str">
        <f>+IF((PROVEEDORES[[#This Row],[FECHA DE PAGO]]-PROVEEDORES[[#This Row],[FECHA DE FACTURACIÓN]])&gt;PROVEEDORES[[#This Row],[PLAZO Días]],"PAGO VENCIDO")</f>
        <v>PAGO VENCIDO</v>
      </c>
      <c r="C382" s="138">
        <f>+VLOOKUP(PROVEEDORES[[#This Row],[PROVEEDOR]],TERCEROS_INFO[#All],2,FALSE)</f>
        <v>30</v>
      </c>
      <c r="D382" s="139">
        <f>+SUMIFS(PROVEEDORES[Total],PROVEEDORES[PROVEEDOR],PROVEEDORES[[#This Row],[PROVEEDOR]],PROVEEDORES[FECHA DE PAGO],"")</f>
        <v>0</v>
      </c>
      <c r="E382" s="140"/>
      <c r="F382" s="13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382" s="127">
        <v>45097</v>
      </c>
      <c r="H382" s="123" t="s">
        <v>1592</v>
      </c>
      <c r="I382" s="127">
        <v>45056</v>
      </c>
      <c r="J382" s="124" t="s">
        <v>801</v>
      </c>
      <c r="K382" s="124" t="s">
        <v>1530</v>
      </c>
      <c r="L382" s="124"/>
      <c r="M382" s="125">
        <v>1470000</v>
      </c>
      <c r="N382" s="148">
        <v>279300</v>
      </c>
      <c r="O382" s="148">
        <v>0</v>
      </c>
      <c r="P382" s="149">
        <v>2.5000000000000001E-2</v>
      </c>
      <c r="Q382" s="148">
        <v>36750</v>
      </c>
      <c r="R382" s="150">
        <v>1712550</v>
      </c>
      <c r="S3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2" s="135">
        <f ca="1">+IF(PROVEEDORES[[#This Row],[FECHA DE PAGO]]=0,TODAY()-PROVEEDORES[[#This Row],[FECHA DE FACTURACIÓN]]-PROVEEDORES[[#This Row],[PLAZO Días]],0)</f>
        <v>0</v>
      </c>
      <c r="U382" s="135" t="str">
        <f>+VLOOKUP(PROVEEDORES[[#This Row],[PROVEEDOR]],Terceros!$A:$D,4,FALSE)</f>
        <v>2,5% con base</v>
      </c>
      <c r="V382" s="135">
        <f>+YEAR(PROVEEDORES[[#This Row],[FECHA DE FACTURACIÓN]])</f>
        <v>2023</v>
      </c>
      <c r="W382" s="135">
        <f>+MATCH(PROVEEDORES[[#This Row],[año facturado]],Retenciones!$1:$1,0)</f>
        <v>6</v>
      </c>
      <c r="X382" s="136">
        <f>+VLOOKUP(PROVEEDORES[[#This Row],[ID RETENCION]],Retenciones!$A$1:$O$25,PROVEEDORES[[#This Row],[indicador de columna]],FALSE)</f>
        <v>1145000</v>
      </c>
      <c r="Y382" s="137">
        <f>+VLOOKUP(PROVEEDORES[[#This Row],[ID RETENCION]],Retenciones!$A$1:$O$25,2,FALSE)</f>
        <v>2.5000000000000001E-2</v>
      </c>
      <c r="Z382" s="126" t="b">
        <f>+OR(COUNTIF(PROVEEDORES[[#This Row],[PROVEEDOR]],"*"&amp;'Palabra que no opera y Listas d'!$A$2&amp;"*"))</f>
        <v>0</v>
      </c>
    </row>
    <row r="383" spans="1:26" ht="27.75" customHeight="1" x14ac:dyDescent="0.25">
      <c r="A383" s="141" t="str">
        <f>+IF(PROVEEDORES[[#This Row],[FECHA DE PAGO]]=PROVEEDORES[[#This Row],[FECHA DE FACTURACIÓN]],"DE CONTADO","CRÉDITO")</f>
        <v>CRÉDITO</v>
      </c>
      <c r="B383" s="138" t="str">
        <f>+IF((PROVEEDORES[[#This Row],[FECHA DE PAGO]]-PROVEEDORES[[#This Row],[FECHA DE FACTURACIÓN]])&gt;PROVEEDORES[[#This Row],[PLAZO Días]],"PAGO VENCIDO")</f>
        <v>PAGO VENCIDO</v>
      </c>
      <c r="C383" s="138">
        <f>+VLOOKUP(PROVEEDORES[[#This Row],[PROVEEDOR]],TERCEROS_INFO[#All],2,FALSE)</f>
        <v>30</v>
      </c>
      <c r="D383" s="139">
        <f>+SUMIFS(PROVEEDORES[Total],PROVEEDORES[PROVEEDOR],PROVEEDORES[[#This Row],[PROVEEDOR]],PROVEEDORES[FECHA DE PAGO],"")</f>
        <v>0</v>
      </c>
      <c r="E383" s="140"/>
      <c r="F383" s="13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383" s="127">
        <v>45097</v>
      </c>
      <c r="H383" s="123" t="s">
        <v>452</v>
      </c>
      <c r="I383" s="127">
        <v>45061</v>
      </c>
      <c r="J383" s="124" t="s">
        <v>796</v>
      </c>
      <c r="K383" s="124" t="s">
        <v>1530</v>
      </c>
      <c r="L383" s="124"/>
      <c r="M383" s="125">
        <v>4516272</v>
      </c>
      <c r="N383" s="148">
        <v>858091.68</v>
      </c>
      <c r="O383" s="148">
        <v>0</v>
      </c>
      <c r="P383" s="149">
        <v>2.5000000000000001E-2</v>
      </c>
      <c r="Q383" s="148">
        <v>112906.8</v>
      </c>
      <c r="R383" s="150">
        <v>5261456.88</v>
      </c>
      <c r="S3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3" s="135">
        <f ca="1">+IF(PROVEEDORES[[#This Row],[FECHA DE PAGO]]=0,TODAY()-PROVEEDORES[[#This Row],[FECHA DE FACTURACIÓN]]-PROVEEDORES[[#This Row],[PLAZO Días]],0)</f>
        <v>0</v>
      </c>
      <c r="U383" s="135" t="str">
        <f>+VLOOKUP(PROVEEDORES[[#This Row],[PROVEEDOR]],Terceros!$A:$D,4,FALSE)</f>
        <v>2,5% con base</v>
      </c>
      <c r="V383" s="135">
        <f>+YEAR(PROVEEDORES[[#This Row],[FECHA DE FACTURACIÓN]])</f>
        <v>2023</v>
      </c>
      <c r="W383" s="135">
        <f>+MATCH(PROVEEDORES[[#This Row],[año facturado]],Retenciones!$1:$1,0)</f>
        <v>6</v>
      </c>
      <c r="X383" s="136">
        <f>+VLOOKUP(PROVEEDORES[[#This Row],[ID RETENCION]],Retenciones!$A$1:$O$25,PROVEEDORES[[#This Row],[indicador de columna]],FALSE)</f>
        <v>1145000</v>
      </c>
      <c r="Y383" s="137">
        <f>+VLOOKUP(PROVEEDORES[[#This Row],[ID RETENCION]],Retenciones!$A$1:$O$25,2,FALSE)</f>
        <v>2.5000000000000001E-2</v>
      </c>
      <c r="Z383" s="126" t="b">
        <f>+OR(COUNTIF(PROVEEDORES[[#This Row],[PROVEEDOR]],"*"&amp;'Palabra que no opera y Listas d'!$A$2&amp;"*"))</f>
        <v>0</v>
      </c>
    </row>
    <row r="384" spans="1:26" ht="27.75" customHeight="1" x14ac:dyDescent="0.25">
      <c r="A384" s="141" t="str">
        <f>+IF(PROVEEDORES[[#This Row],[FECHA DE PAGO]]=PROVEEDORES[[#This Row],[FECHA DE FACTURACIÓN]],"DE CONTADO","CRÉDITO")</f>
        <v>CRÉDITO</v>
      </c>
      <c r="B384" s="138" t="str">
        <f>+IF((PROVEEDORES[[#This Row],[FECHA DE PAGO]]-PROVEEDORES[[#This Row],[FECHA DE FACTURACIÓN]])&gt;PROVEEDORES[[#This Row],[PLAZO Días]],"PAGO VENCIDO")</f>
        <v>PAGO VENCIDO</v>
      </c>
      <c r="C384" s="138">
        <f>+VLOOKUP(PROVEEDORES[[#This Row],[PROVEEDOR]],TERCEROS_INFO[#All],2,FALSE)</f>
        <v>30</v>
      </c>
      <c r="D384" s="139">
        <f>+SUMIFS(PROVEEDORES[Total],PROVEEDORES[PROVEEDOR],PROVEEDORES[[#This Row],[PROVEEDOR]],PROVEEDORES[FECHA DE PAGO],"")</f>
        <v>0</v>
      </c>
      <c r="E384" s="140"/>
      <c r="F384" s="13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384" s="127">
        <v>45097</v>
      </c>
      <c r="H384" s="123" t="s">
        <v>203</v>
      </c>
      <c r="I384" s="127">
        <v>45062</v>
      </c>
      <c r="J384" s="124" t="s">
        <v>795</v>
      </c>
      <c r="K384" s="124" t="s">
        <v>1530</v>
      </c>
      <c r="L384" s="124"/>
      <c r="M384" s="125">
        <v>1750000</v>
      </c>
      <c r="N384" s="148">
        <v>332500</v>
      </c>
      <c r="O384" s="148">
        <v>0</v>
      </c>
      <c r="P384" s="149">
        <v>2.5000000000000001E-2</v>
      </c>
      <c r="Q384" s="148">
        <v>43750</v>
      </c>
      <c r="R384" s="150">
        <v>2038750</v>
      </c>
      <c r="S3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4" s="135">
        <f ca="1">+IF(PROVEEDORES[[#This Row],[FECHA DE PAGO]]=0,TODAY()-PROVEEDORES[[#This Row],[FECHA DE FACTURACIÓN]]-PROVEEDORES[[#This Row],[PLAZO Días]],0)</f>
        <v>0</v>
      </c>
      <c r="U384" s="135" t="str">
        <f>+VLOOKUP(PROVEEDORES[[#This Row],[PROVEEDOR]],Terceros!$A:$D,4,FALSE)</f>
        <v>2,5% con base</v>
      </c>
      <c r="V384" s="135">
        <f>+YEAR(PROVEEDORES[[#This Row],[FECHA DE FACTURACIÓN]])</f>
        <v>2023</v>
      </c>
      <c r="W384" s="135">
        <f>+MATCH(PROVEEDORES[[#This Row],[año facturado]],Retenciones!$1:$1,0)</f>
        <v>6</v>
      </c>
      <c r="X384" s="136">
        <f>+VLOOKUP(PROVEEDORES[[#This Row],[ID RETENCION]],Retenciones!$A$1:$O$25,PROVEEDORES[[#This Row],[indicador de columna]],FALSE)</f>
        <v>1145000</v>
      </c>
      <c r="Y384" s="137">
        <f>+VLOOKUP(PROVEEDORES[[#This Row],[ID RETENCION]],Retenciones!$A$1:$O$25,2,FALSE)</f>
        <v>2.5000000000000001E-2</v>
      </c>
      <c r="Z384" s="126" t="b">
        <f>+OR(COUNTIF(PROVEEDORES[[#This Row],[PROVEEDOR]],"*"&amp;'Palabra que no opera y Listas d'!$A$2&amp;"*"))</f>
        <v>0</v>
      </c>
    </row>
    <row r="385" spans="1:26" ht="27.75" customHeight="1" x14ac:dyDescent="0.25">
      <c r="A385" s="141" t="str">
        <f>+IF(PROVEEDORES[[#This Row],[FECHA DE PAGO]]=PROVEEDORES[[#This Row],[FECHA DE FACTURACIÓN]],"DE CONTADO","CRÉDITO")</f>
        <v>CRÉDITO</v>
      </c>
      <c r="B385" s="138" t="b">
        <f>+IF((PROVEEDORES[[#This Row],[FECHA DE PAGO]]-PROVEEDORES[[#This Row],[FECHA DE FACTURACIÓN]])&gt;PROVEEDORES[[#This Row],[PLAZO Días]],"PAGO VENCIDO")</f>
        <v>0</v>
      </c>
      <c r="C385" s="138">
        <f>+VLOOKUP(PROVEEDORES[[#This Row],[PROVEEDOR]],TERCEROS_INFO[#All],2,FALSE)</f>
        <v>30</v>
      </c>
      <c r="D385" s="139">
        <f>+SUMIFS(PROVEEDORES[Total],PROVEEDORES[PROVEEDOR],PROVEEDORES[[#This Row],[PROVEEDOR]],PROVEEDORES[FECHA DE PAGO],"")</f>
        <v>0</v>
      </c>
      <c r="E385" s="140"/>
      <c r="F385" s="138" t="str">
        <f>+VLOOKUP(PROVEEDORES[[#This Row],[PROVEEDOR]],
                       Terceros!$A:$F,
                       5,
                       FALSE)</f>
        <v>facturacion@losmolinos.com.co</v>
      </c>
      <c r="G385" s="127">
        <v>45097</v>
      </c>
      <c r="H385" s="123" t="s">
        <v>376</v>
      </c>
      <c r="I385" s="127">
        <v>45078</v>
      </c>
      <c r="J385" s="124" t="s">
        <v>834</v>
      </c>
      <c r="K385" s="124" t="s">
        <v>1530</v>
      </c>
      <c r="L385" s="124"/>
      <c r="M385" s="125">
        <v>318603</v>
      </c>
      <c r="N385" s="148">
        <v>0</v>
      </c>
      <c r="O385" s="148">
        <v>0</v>
      </c>
      <c r="P385" s="149">
        <v>0</v>
      </c>
      <c r="Q385" s="148">
        <v>0</v>
      </c>
      <c r="R385" s="150">
        <v>318603</v>
      </c>
      <c r="S3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5" s="135">
        <f ca="1">+IF(PROVEEDORES[[#This Row],[FECHA DE PAGO]]=0,TODAY()-PROVEEDORES[[#This Row],[FECHA DE FACTURACIÓN]]-PROVEEDORES[[#This Row],[PLAZO Días]],0)</f>
        <v>0</v>
      </c>
      <c r="U385" s="135">
        <f>+VLOOKUP(PROVEEDORES[[#This Row],[PROVEEDOR]],Terceros!$A:$D,4,FALSE)</f>
        <v>0</v>
      </c>
      <c r="V385" s="135">
        <f>+YEAR(PROVEEDORES[[#This Row],[FECHA DE FACTURACIÓN]])</f>
        <v>2023</v>
      </c>
      <c r="W385" s="135">
        <f>+MATCH(PROVEEDORES[[#This Row],[año facturado]],Retenciones!$1:$1,0)</f>
        <v>6</v>
      </c>
      <c r="X385" s="136">
        <f>+VLOOKUP(PROVEEDORES[[#This Row],[ID RETENCION]],Retenciones!$A$1:$O$25,PROVEEDORES[[#This Row],[indicador de columna]],FALSE)</f>
        <v>0</v>
      </c>
      <c r="Y385" s="137">
        <f>+VLOOKUP(PROVEEDORES[[#This Row],[ID RETENCION]],Retenciones!$A$1:$O$25,2,FALSE)</f>
        <v>0</v>
      </c>
      <c r="Z385" s="126" t="b">
        <f>+OR(COUNTIF(PROVEEDORES[[#This Row],[PROVEEDOR]],"*"&amp;'Palabra que no opera y Listas d'!$A$2&amp;"*"))</f>
        <v>1</v>
      </c>
    </row>
    <row r="386" spans="1:26" ht="27.75" customHeight="1" x14ac:dyDescent="0.25">
      <c r="A386" s="141" t="str">
        <f>+IF(PROVEEDORES[[#This Row],[FECHA DE PAGO]]=PROVEEDORES[[#This Row],[FECHA DE FACTURACIÓN]],"DE CONTADO","CRÉDITO")</f>
        <v>CRÉDITO</v>
      </c>
      <c r="B386" s="138" t="b">
        <f>+IF((PROVEEDORES[[#This Row],[FECHA DE PAGO]]-PROVEEDORES[[#This Row],[FECHA DE FACTURACIÓN]])&gt;PROVEEDORES[[#This Row],[PLAZO Días]],"PAGO VENCIDO")</f>
        <v>0</v>
      </c>
      <c r="C386" s="138">
        <f>+VLOOKUP(PROVEEDORES[[#This Row],[PROVEEDOR]],TERCEROS_INFO[#All],2,FALSE)</f>
        <v>30</v>
      </c>
      <c r="D386" s="139">
        <f>+SUMIFS(PROVEEDORES[Total],PROVEEDORES[PROVEEDOR],PROVEEDORES[[#This Row],[PROVEEDOR]],PROVEEDORES[FECHA DE PAGO],"")</f>
        <v>0</v>
      </c>
      <c r="E386" s="140"/>
      <c r="F386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386" s="127">
        <v>45097</v>
      </c>
      <c r="H386" s="123" t="s">
        <v>394</v>
      </c>
      <c r="I386" s="127">
        <v>45078</v>
      </c>
      <c r="J386" s="124" t="s">
        <v>833</v>
      </c>
      <c r="K386" s="124" t="s">
        <v>1530</v>
      </c>
      <c r="L386" s="124"/>
      <c r="M386" s="125">
        <v>243611</v>
      </c>
      <c r="N386" s="148">
        <v>46286.090000000004</v>
      </c>
      <c r="O386" s="148">
        <v>0</v>
      </c>
      <c r="P386" s="149">
        <v>3.5000000000000003E-2</v>
      </c>
      <c r="Q386" s="148">
        <v>8526.3850000000002</v>
      </c>
      <c r="R386" s="150">
        <v>281370.70500000002</v>
      </c>
      <c r="S3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6" s="135">
        <f ca="1">+IF(PROVEEDORES[[#This Row],[FECHA DE PAGO]]=0,TODAY()-PROVEEDORES[[#This Row],[FECHA DE FACTURACIÓN]]-PROVEEDORES[[#This Row],[PLAZO Días]],0)</f>
        <v>0</v>
      </c>
      <c r="U386" s="135" t="str">
        <f>+VLOOKUP(PROVEEDORES[[#This Row],[PROVEEDOR]],Terceros!$A:$D,4,FALSE)</f>
        <v>3,5% sin base</v>
      </c>
      <c r="V386" s="135">
        <f>+YEAR(PROVEEDORES[[#This Row],[FECHA DE FACTURACIÓN]])</f>
        <v>2023</v>
      </c>
      <c r="W386" s="135">
        <f>+MATCH(PROVEEDORES[[#This Row],[año facturado]],Retenciones!$1:$1,0)</f>
        <v>6</v>
      </c>
      <c r="X386" s="136">
        <f>+VLOOKUP(PROVEEDORES[[#This Row],[ID RETENCION]],Retenciones!$A$1:$O$25,PROVEEDORES[[#This Row],[indicador de columna]],FALSE)</f>
        <v>0</v>
      </c>
      <c r="Y386" s="137">
        <f>+VLOOKUP(PROVEEDORES[[#This Row],[ID RETENCION]],Retenciones!$A$1:$O$25,2,FALSE)</f>
        <v>3.5000000000000003E-2</v>
      </c>
      <c r="Z386" s="126" t="b">
        <f>+OR(COUNTIF(PROVEEDORES[[#This Row],[PROVEEDOR]],"*"&amp;'Palabra que no opera y Listas d'!$A$2&amp;"*"))</f>
        <v>1</v>
      </c>
    </row>
    <row r="387" spans="1:26" ht="27.75" customHeight="1" x14ac:dyDescent="0.25">
      <c r="A387" s="141" t="str">
        <f>+IF(PROVEEDORES[[#This Row],[FECHA DE PAGO]]=PROVEEDORES[[#This Row],[FECHA DE FACTURACIÓN]],"DE CONTADO","CRÉDITO")</f>
        <v>CRÉDITO</v>
      </c>
      <c r="B387" s="138" t="b">
        <f>+IF((PROVEEDORES[[#This Row],[FECHA DE PAGO]]-PROVEEDORES[[#This Row],[FECHA DE FACTURACIÓN]])&gt;PROVEEDORES[[#This Row],[PLAZO Días]],"PAGO VENCIDO")</f>
        <v>0</v>
      </c>
      <c r="C387" s="138">
        <f>+VLOOKUP(PROVEEDORES[[#This Row],[PROVEEDOR]],TERCEROS_INFO[#All],2,FALSE)</f>
        <v>30</v>
      </c>
      <c r="D387" s="139">
        <f>+SUMIFS(PROVEEDORES[Total],PROVEEDORES[PROVEEDOR],PROVEEDORES[[#This Row],[PROVEEDOR]],PROVEEDORES[FECHA DE PAGO],"")</f>
        <v>0</v>
      </c>
      <c r="E387" s="140"/>
      <c r="F387" s="138" t="str">
        <f>+VLOOKUP(PROVEEDORES[[#This Row],[PROVEEDOR]],
                       Terceros!$A:$F,
                       5,
                       FALSE)</f>
        <v/>
      </c>
      <c r="G387" s="127">
        <v>45097</v>
      </c>
      <c r="H387" s="123" t="s">
        <v>481</v>
      </c>
      <c r="I387" s="127">
        <v>45095</v>
      </c>
      <c r="J387" s="124" t="s">
        <v>866</v>
      </c>
      <c r="K387" s="124" t="s">
        <v>1530</v>
      </c>
      <c r="L387" s="124"/>
      <c r="M387" s="125">
        <v>3718000</v>
      </c>
      <c r="N387" s="148">
        <v>0</v>
      </c>
      <c r="O387" s="148">
        <v>0</v>
      </c>
      <c r="P387" s="149">
        <v>0</v>
      </c>
      <c r="Q387" s="148">
        <v>0</v>
      </c>
      <c r="R387" s="150">
        <v>3718000</v>
      </c>
      <c r="S3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7" s="135">
        <f ca="1">+IF(PROVEEDORES[[#This Row],[FECHA DE PAGO]]=0,TODAY()-PROVEEDORES[[#This Row],[FECHA DE FACTURACIÓN]]-PROVEEDORES[[#This Row],[PLAZO Días]],0)</f>
        <v>0</v>
      </c>
      <c r="U387" s="135">
        <f>+VLOOKUP(PROVEEDORES[[#This Row],[PROVEEDOR]],Terceros!$A:$D,4,FALSE)</f>
        <v>0</v>
      </c>
      <c r="V387" s="135">
        <f>+YEAR(PROVEEDORES[[#This Row],[FECHA DE FACTURACIÓN]])</f>
        <v>2023</v>
      </c>
      <c r="W387" s="135">
        <f>+MATCH(PROVEEDORES[[#This Row],[año facturado]],Retenciones!$1:$1,0)</f>
        <v>6</v>
      </c>
      <c r="X387" s="136">
        <f>+VLOOKUP(PROVEEDORES[[#This Row],[ID RETENCION]],Retenciones!$A$1:$O$25,PROVEEDORES[[#This Row],[indicador de columna]],FALSE)</f>
        <v>0</v>
      </c>
      <c r="Y387" s="137">
        <f>+VLOOKUP(PROVEEDORES[[#This Row],[ID RETENCION]],Retenciones!$A$1:$O$25,2,FALSE)</f>
        <v>0</v>
      </c>
      <c r="Z387" s="126" t="b">
        <f>+OR(COUNTIF(PROVEEDORES[[#This Row],[PROVEEDOR]],"*"&amp;'Palabra que no opera y Listas d'!$A$2&amp;"*"))</f>
        <v>0</v>
      </c>
    </row>
    <row r="388" spans="1:26" ht="27.75" customHeight="1" x14ac:dyDescent="0.25">
      <c r="A388" s="141" t="str">
        <f>+IF(PROVEEDORES[[#This Row],[FECHA DE PAGO]]=PROVEEDORES[[#This Row],[FECHA DE FACTURACIÓN]],"DE CONTADO","CRÉDITO")</f>
        <v>CRÉDITO</v>
      </c>
      <c r="B388" s="138" t="str">
        <f>+IF((PROVEEDORES[[#This Row],[FECHA DE PAGO]]-PROVEEDORES[[#This Row],[FECHA DE FACTURACIÓN]])&gt;PROVEEDORES[[#This Row],[PLAZO Días]],"PAGO VENCIDO")</f>
        <v>PAGO VENCIDO</v>
      </c>
      <c r="C388" s="138">
        <f>+VLOOKUP(PROVEEDORES[[#This Row],[PROVEEDOR]],TERCEROS_INFO[#All],2,FALSE)</f>
        <v>30</v>
      </c>
      <c r="D388" s="139">
        <f>+SUMIFS(PROVEEDORES[Total],PROVEEDORES[PROVEEDOR],PROVEEDORES[[#This Row],[PROVEEDOR]],PROVEEDORES[FECHA DE PAGO],"")</f>
        <v>0</v>
      </c>
      <c r="E388" s="140"/>
      <c r="F388" s="138">
        <f>+VLOOKUP(PROVEEDORES[[#This Row],[PROVEEDOR]],
                       Terceros!$A:$F,
                       5,
                       FALSE)</f>
        <v>0</v>
      </c>
      <c r="G388" s="127">
        <v>45098</v>
      </c>
      <c r="H388" s="123" t="s">
        <v>1805</v>
      </c>
      <c r="I388" s="127">
        <v>45047</v>
      </c>
      <c r="J388" s="124">
        <v>378</v>
      </c>
      <c r="K388" s="124" t="s">
        <v>1530</v>
      </c>
      <c r="L388" s="124"/>
      <c r="M388" s="125">
        <v>1512000</v>
      </c>
      <c r="N388" s="148">
        <v>0</v>
      </c>
      <c r="O388" s="148">
        <v>0</v>
      </c>
      <c r="P388" s="149">
        <v>0</v>
      </c>
      <c r="Q388" s="148">
        <v>0</v>
      </c>
      <c r="R388" s="150">
        <v>1512000</v>
      </c>
      <c r="S3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8" s="135">
        <f ca="1">+IF(PROVEEDORES[[#This Row],[FECHA DE PAGO]]=0,TODAY()-PROVEEDORES[[#This Row],[FECHA DE FACTURACIÓN]]-PROVEEDORES[[#This Row],[PLAZO Días]],0)</f>
        <v>0</v>
      </c>
      <c r="U388" s="135">
        <f>+VLOOKUP(PROVEEDORES[[#This Row],[PROVEEDOR]],Terceros!$A:$D,4,FALSE)</f>
        <v>0</v>
      </c>
      <c r="V388" s="135">
        <f>+YEAR(PROVEEDORES[[#This Row],[FECHA DE FACTURACIÓN]])</f>
        <v>2023</v>
      </c>
      <c r="W388" s="135">
        <f>+MATCH(PROVEEDORES[[#This Row],[año facturado]],Retenciones!$1:$1,0)</f>
        <v>6</v>
      </c>
      <c r="X388" s="136">
        <f>+VLOOKUP(PROVEEDORES[[#This Row],[ID RETENCION]],Retenciones!$A$1:$O$25,PROVEEDORES[[#This Row],[indicador de columna]],FALSE)</f>
        <v>0</v>
      </c>
      <c r="Y388" s="137">
        <f>+VLOOKUP(PROVEEDORES[[#This Row],[ID RETENCION]],Retenciones!$A$1:$O$25,2,FALSE)</f>
        <v>0</v>
      </c>
      <c r="Z388" s="126" t="b">
        <f>+OR(COUNTIF(PROVEEDORES[[#This Row],[PROVEEDOR]],"*"&amp;'Palabra que no opera y Listas d'!$A$2&amp;"*"))</f>
        <v>0</v>
      </c>
    </row>
    <row r="389" spans="1:26" ht="27.75" customHeight="1" x14ac:dyDescent="0.25">
      <c r="A389" s="141" t="str">
        <f>+IF(PROVEEDORES[[#This Row],[FECHA DE PAGO]]=PROVEEDORES[[#This Row],[FECHA DE FACTURACIÓN]],"DE CONTADO","CRÉDITO")</f>
        <v>CRÉDITO</v>
      </c>
      <c r="B389" s="138" t="str">
        <f>+IF((PROVEEDORES[[#This Row],[FECHA DE PAGO]]-PROVEEDORES[[#This Row],[FECHA DE FACTURACIÓN]])&gt;PROVEEDORES[[#This Row],[PLAZO Días]],"PAGO VENCIDO")</f>
        <v>PAGO VENCIDO</v>
      </c>
      <c r="C389" s="138">
        <f>+VLOOKUP(PROVEEDORES[[#This Row],[PROVEEDOR]],TERCEROS_INFO[#All],2,FALSE)</f>
        <v>30</v>
      </c>
      <c r="D389" s="139">
        <f>+SUMIFS(PROVEEDORES[Total],PROVEEDORES[PROVEEDOR],PROVEEDORES[[#This Row],[PROVEEDOR]],PROVEEDORES[FECHA DE PAGO],"")</f>
        <v>0</v>
      </c>
      <c r="E389" s="140"/>
      <c r="F389" s="138" t="str">
        <f>+VLOOKUP(PROVEEDORES[[#This Row],[PROVEEDOR]],
                       Terceros!$A:$F,
                       5,
                       FALSE)</f>
        <v/>
      </c>
      <c r="G389" s="127">
        <v>45098</v>
      </c>
      <c r="H389" s="123" t="s">
        <v>1811</v>
      </c>
      <c r="I389" s="127">
        <v>45051</v>
      </c>
      <c r="J389" s="124" t="s">
        <v>780</v>
      </c>
      <c r="K389" s="124" t="s">
        <v>1530</v>
      </c>
      <c r="L389" s="124"/>
      <c r="M389" s="125">
        <v>642250</v>
      </c>
      <c r="N389" s="148">
        <v>0</v>
      </c>
      <c r="O389" s="148">
        <v>0</v>
      </c>
      <c r="P389" s="149">
        <v>0</v>
      </c>
      <c r="Q389" s="148">
        <v>0</v>
      </c>
      <c r="R389" s="150">
        <v>642250</v>
      </c>
      <c r="S3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89" s="135">
        <f ca="1">+IF(PROVEEDORES[[#This Row],[FECHA DE PAGO]]=0,TODAY()-PROVEEDORES[[#This Row],[FECHA DE FACTURACIÓN]]-PROVEEDORES[[#This Row],[PLAZO Días]],0)</f>
        <v>0</v>
      </c>
      <c r="U389" s="135">
        <f>+VLOOKUP(PROVEEDORES[[#This Row],[PROVEEDOR]],Terceros!$A:$D,4,FALSE)</f>
        <v>0</v>
      </c>
      <c r="V389" s="135">
        <f>+YEAR(PROVEEDORES[[#This Row],[FECHA DE FACTURACIÓN]])</f>
        <v>2023</v>
      </c>
      <c r="W389" s="135">
        <f>+MATCH(PROVEEDORES[[#This Row],[año facturado]],Retenciones!$1:$1,0)</f>
        <v>6</v>
      </c>
      <c r="X389" s="136">
        <f>+VLOOKUP(PROVEEDORES[[#This Row],[ID RETENCION]],Retenciones!$A$1:$O$25,PROVEEDORES[[#This Row],[indicador de columna]],FALSE)</f>
        <v>0</v>
      </c>
      <c r="Y389" s="137">
        <f>+VLOOKUP(PROVEEDORES[[#This Row],[ID RETENCION]],Retenciones!$A$1:$O$25,2,FALSE)</f>
        <v>0</v>
      </c>
      <c r="Z389" s="126" t="b">
        <f>+OR(COUNTIF(PROVEEDORES[[#This Row],[PROVEEDOR]],"*"&amp;'Palabra que no opera y Listas d'!$A$2&amp;"*"))</f>
        <v>0</v>
      </c>
    </row>
    <row r="390" spans="1:26" ht="27.75" customHeight="1" x14ac:dyDescent="0.25">
      <c r="A390" s="141" t="str">
        <f>+IF(PROVEEDORES[[#This Row],[FECHA DE PAGO]]=PROVEEDORES[[#This Row],[FECHA DE FACTURACIÓN]],"DE CONTADO","CRÉDITO")</f>
        <v>CRÉDITO</v>
      </c>
      <c r="B390" s="138" t="b">
        <f>+IF((PROVEEDORES[[#This Row],[FECHA DE PAGO]]-PROVEEDORES[[#This Row],[FECHA DE FACTURACIÓN]])&gt;PROVEEDORES[[#This Row],[PLAZO Días]],"PAGO VENCIDO")</f>
        <v>0</v>
      </c>
      <c r="C390" s="138">
        <f>+VLOOKUP(PROVEEDORES[[#This Row],[PROVEEDOR]],TERCEROS_INFO[#All],2,FALSE)</f>
        <v>30</v>
      </c>
      <c r="D390" s="139">
        <f>+SUMIFS(PROVEEDORES[Total],PROVEEDORES[PROVEEDOR],PROVEEDORES[[#This Row],[PROVEEDOR]],PROVEEDORES[FECHA DE PAGO],"")</f>
        <v>0</v>
      </c>
      <c r="E390" s="140"/>
      <c r="F390" s="138">
        <f>+VLOOKUP(PROVEEDORES[[#This Row],[PROVEEDOR]],
                       Terceros!$A:$F,
                       5,
                       FALSE)</f>
        <v>0</v>
      </c>
      <c r="G390" s="127">
        <v>45098</v>
      </c>
      <c r="H390" s="123" t="s">
        <v>492</v>
      </c>
      <c r="I390" s="127">
        <v>45077</v>
      </c>
      <c r="J390" s="124">
        <v>437</v>
      </c>
      <c r="K390" s="124" t="s">
        <v>1530</v>
      </c>
      <c r="L390" s="124"/>
      <c r="M390" s="125">
        <v>621600</v>
      </c>
      <c r="N390" s="148">
        <v>0</v>
      </c>
      <c r="O390" s="148">
        <v>0</v>
      </c>
      <c r="P390" s="149">
        <v>0</v>
      </c>
      <c r="Q390" s="148">
        <v>0</v>
      </c>
      <c r="R390" s="150">
        <v>621600</v>
      </c>
      <c r="S3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0" s="135">
        <f ca="1">+IF(PROVEEDORES[[#This Row],[FECHA DE PAGO]]=0,TODAY()-PROVEEDORES[[#This Row],[FECHA DE FACTURACIÓN]]-PROVEEDORES[[#This Row],[PLAZO Días]],0)</f>
        <v>0</v>
      </c>
      <c r="U390" s="135">
        <f>+VLOOKUP(PROVEEDORES[[#This Row],[PROVEEDOR]],Terceros!$A:$D,4,FALSE)</f>
        <v>0</v>
      </c>
      <c r="V390" s="135">
        <f>+YEAR(PROVEEDORES[[#This Row],[FECHA DE FACTURACIÓN]])</f>
        <v>2023</v>
      </c>
      <c r="W390" s="135">
        <f>+MATCH(PROVEEDORES[[#This Row],[año facturado]],Retenciones!$1:$1,0)</f>
        <v>6</v>
      </c>
      <c r="X390" s="136">
        <f>+VLOOKUP(PROVEEDORES[[#This Row],[ID RETENCION]],Retenciones!$A$1:$O$25,PROVEEDORES[[#This Row],[indicador de columna]],FALSE)</f>
        <v>0</v>
      </c>
      <c r="Y390" s="137">
        <f>+VLOOKUP(PROVEEDORES[[#This Row],[ID RETENCION]],Retenciones!$A$1:$O$25,2,FALSE)</f>
        <v>0</v>
      </c>
      <c r="Z390" s="126" t="b">
        <f>+OR(COUNTIF(PROVEEDORES[[#This Row],[PROVEEDOR]],"*"&amp;'Palabra que no opera y Listas d'!$A$2&amp;"*"))</f>
        <v>0</v>
      </c>
    </row>
    <row r="391" spans="1:26" ht="27.75" customHeight="1" x14ac:dyDescent="0.25">
      <c r="A391" s="141" t="str">
        <f>+IF(PROVEEDORES[[#This Row],[FECHA DE PAGO]]=PROVEEDORES[[#This Row],[FECHA DE FACTURACIÓN]],"DE CONTADO","CRÉDITO")</f>
        <v>CRÉDITO</v>
      </c>
      <c r="B391" s="138" t="b">
        <f>+IF((PROVEEDORES[[#This Row],[FECHA DE PAGO]]-PROVEEDORES[[#This Row],[FECHA DE FACTURACIÓN]])&gt;PROVEEDORES[[#This Row],[PLAZO Días]],"PAGO VENCIDO")</f>
        <v>0</v>
      </c>
      <c r="C391" s="138">
        <f>+VLOOKUP(PROVEEDORES[[#This Row],[PROVEEDOR]],TERCEROS_INFO[#All],2,FALSE)</f>
        <v>30</v>
      </c>
      <c r="D391" s="139">
        <f>+SUMIFS(PROVEEDORES[Total],PROVEEDORES[PROVEEDOR],PROVEEDORES[[#This Row],[PROVEEDOR]],PROVEEDORES[FECHA DE PAGO],"")</f>
        <v>4198834.75</v>
      </c>
      <c r="E391" s="140"/>
      <c r="F391" s="13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391" s="127">
        <v>45098</v>
      </c>
      <c r="H391" s="123" t="s">
        <v>422</v>
      </c>
      <c r="I391" s="127">
        <v>45077</v>
      </c>
      <c r="J391" s="124">
        <v>2718</v>
      </c>
      <c r="K391" s="124" t="s">
        <v>1530</v>
      </c>
      <c r="L391" s="124"/>
      <c r="M391" s="125">
        <v>612000</v>
      </c>
      <c r="N391" s="148">
        <v>116280</v>
      </c>
      <c r="O391" s="148">
        <v>0</v>
      </c>
      <c r="P391" s="149">
        <v>0</v>
      </c>
      <c r="Q391" s="148">
        <v>0</v>
      </c>
      <c r="R391" s="150">
        <v>728280</v>
      </c>
      <c r="S3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1" s="135">
        <f ca="1">+IF(PROVEEDORES[[#This Row],[FECHA DE PAGO]]=0,TODAY()-PROVEEDORES[[#This Row],[FECHA DE FACTURACIÓN]]-PROVEEDORES[[#This Row],[PLAZO Días]],0)</f>
        <v>0</v>
      </c>
      <c r="U391" s="135" t="str">
        <f>+VLOOKUP(PROVEEDORES[[#This Row],[PROVEEDOR]],Terceros!$A:$D,4,FALSE)</f>
        <v>2,5% con base</v>
      </c>
      <c r="V391" s="135">
        <f>+YEAR(PROVEEDORES[[#This Row],[FECHA DE FACTURACIÓN]])</f>
        <v>2023</v>
      </c>
      <c r="W391" s="135">
        <f>+MATCH(PROVEEDORES[[#This Row],[año facturado]],Retenciones!$1:$1,0)</f>
        <v>6</v>
      </c>
      <c r="X391" s="136">
        <f>+VLOOKUP(PROVEEDORES[[#This Row],[ID RETENCION]],Retenciones!$A$1:$O$25,PROVEEDORES[[#This Row],[indicador de columna]],FALSE)</f>
        <v>1145000</v>
      </c>
      <c r="Y391" s="137">
        <f>+VLOOKUP(PROVEEDORES[[#This Row],[ID RETENCION]],Retenciones!$A$1:$O$25,2,FALSE)</f>
        <v>2.5000000000000001E-2</v>
      </c>
      <c r="Z391" s="126" t="b">
        <f>+OR(COUNTIF(PROVEEDORES[[#This Row],[PROVEEDOR]],"*"&amp;'Palabra que no opera y Listas d'!$A$2&amp;"*"))</f>
        <v>0</v>
      </c>
    </row>
    <row r="392" spans="1:26" ht="27.75" customHeight="1" x14ac:dyDescent="0.25">
      <c r="A392" s="141" t="str">
        <f>+IF(PROVEEDORES[[#This Row],[FECHA DE PAGO]]=PROVEEDORES[[#This Row],[FECHA DE FACTURACIÓN]],"DE CONTADO","CRÉDITO")</f>
        <v>DE CONTADO</v>
      </c>
      <c r="B392" s="138" t="b">
        <f>+IF((PROVEEDORES[[#This Row],[FECHA DE PAGO]]-PROVEEDORES[[#This Row],[FECHA DE FACTURACIÓN]])&gt;PROVEEDORES[[#This Row],[PLAZO Días]],"PAGO VENCIDO")</f>
        <v>0</v>
      </c>
      <c r="C392" s="138">
        <f>+VLOOKUP(PROVEEDORES[[#This Row],[PROVEEDOR]],TERCEROS_INFO[#All],2,FALSE)</f>
        <v>30</v>
      </c>
      <c r="D392" s="139">
        <f>+SUMIFS(PROVEEDORES[Total],PROVEEDORES[PROVEEDOR],PROVEEDORES[[#This Row],[PROVEEDOR]],PROVEEDORES[FECHA DE PAGO],"")</f>
        <v>0</v>
      </c>
      <c r="E392" s="140"/>
      <c r="F392" s="138">
        <f>+VLOOKUP(PROVEEDORES[[#This Row],[PROVEEDOR]],
                       Terceros!$A:$F,
                       5,
                       FALSE)</f>
        <v>0</v>
      </c>
      <c r="G392" s="127">
        <v>45098</v>
      </c>
      <c r="H392" s="123" t="s">
        <v>475</v>
      </c>
      <c r="I392" s="127">
        <v>45098</v>
      </c>
      <c r="J392" s="124" t="s">
        <v>870</v>
      </c>
      <c r="K392" s="124" t="s">
        <v>1530</v>
      </c>
      <c r="L392" s="124"/>
      <c r="M392" s="125">
        <v>452795</v>
      </c>
      <c r="N392" s="148">
        <v>0</v>
      </c>
      <c r="O392" s="148">
        <v>0</v>
      </c>
      <c r="P392" s="149">
        <v>0</v>
      </c>
      <c r="Q392" s="148">
        <v>0</v>
      </c>
      <c r="R392" s="150">
        <v>452795</v>
      </c>
      <c r="S3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2" s="135">
        <f ca="1">+IF(PROVEEDORES[[#This Row],[FECHA DE PAGO]]=0,TODAY()-PROVEEDORES[[#This Row],[FECHA DE FACTURACIÓN]]-PROVEEDORES[[#This Row],[PLAZO Días]],0)</f>
        <v>0</v>
      </c>
      <c r="U392" s="135">
        <f>+VLOOKUP(PROVEEDORES[[#This Row],[PROVEEDOR]],Terceros!$A:$D,4,FALSE)</f>
        <v>0</v>
      </c>
      <c r="V392" s="135">
        <f>+YEAR(PROVEEDORES[[#This Row],[FECHA DE FACTURACIÓN]])</f>
        <v>2023</v>
      </c>
      <c r="W392" s="135">
        <f>+MATCH(PROVEEDORES[[#This Row],[año facturado]],Retenciones!$1:$1,0)</f>
        <v>6</v>
      </c>
      <c r="X392" s="136">
        <f>+VLOOKUP(PROVEEDORES[[#This Row],[ID RETENCION]],Retenciones!$A$1:$O$25,PROVEEDORES[[#This Row],[indicador de columna]],FALSE)</f>
        <v>0</v>
      </c>
      <c r="Y392" s="137">
        <f>+VLOOKUP(PROVEEDORES[[#This Row],[ID RETENCION]],Retenciones!$A$1:$O$25,2,FALSE)</f>
        <v>0</v>
      </c>
      <c r="Z392" s="126" t="b">
        <f>+OR(COUNTIF(PROVEEDORES[[#This Row],[PROVEEDOR]],"*"&amp;'Palabra que no opera y Listas d'!$A$2&amp;"*"))</f>
        <v>0</v>
      </c>
    </row>
    <row r="393" spans="1:26" ht="27.75" customHeight="1" x14ac:dyDescent="0.25">
      <c r="A393" s="141" t="str">
        <f>+IF(PROVEEDORES[[#This Row],[FECHA DE PAGO]]=PROVEEDORES[[#This Row],[FECHA DE FACTURACIÓN]],"DE CONTADO","CRÉDITO")</f>
        <v>DE CONTADO</v>
      </c>
      <c r="B393" s="138" t="b">
        <f>+IF((PROVEEDORES[[#This Row],[FECHA DE PAGO]]-PROVEEDORES[[#This Row],[FECHA DE FACTURACIÓN]])&gt;PROVEEDORES[[#This Row],[PLAZO Días]],"PAGO VENCIDO")</f>
        <v>0</v>
      </c>
      <c r="C393" s="138">
        <f>+VLOOKUP(PROVEEDORES[[#This Row],[PROVEEDOR]],TERCEROS_INFO[#All],2,FALSE)</f>
        <v>30</v>
      </c>
      <c r="D393" s="139">
        <f>+SUMIFS(PROVEEDORES[Total],PROVEEDORES[PROVEEDOR],PROVEEDORES[[#This Row],[PROVEEDOR]],PROVEEDORES[FECHA DE PAGO],"")</f>
        <v>0</v>
      </c>
      <c r="E393" s="140"/>
      <c r="F393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393" s="127">
        <v>45098</v>
      </c>
      <c r="H393" s="123" t="s">
        <v>1865</v>
      </c>
      <c r="I393" s="127">
        <v>45098</v>
      </c>
      <c r="J393" s="124" t="s">
        <v>838</v>
      </c>
      <c r="K393" s="124" t="s">
        <v>1530</v>
      </c>
      <c r="L393" s="124"/>
      <c r="M393" s="125">
        <v>1632000</v>
      </c>
      <c r="N393" s="148">
        <v>0</v>
      </c>
      <c r="O393" s="148">
        <v>0</v>
      </c>
      <c r="P393" s="149">
        <v>0</v>
      </c>
      <c r="Q393" s="148">
        <v>0</v>
      </c>
      <c r="R393" s="150">
        <v>1632000</v>
      </c>
      <c r="S3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3" s="135">
        <f ca="1">+IF(PROVEEDORES[[#This Row],[FECHA DE PAGO]]=0,TODAY()-PROVEEDORES[[#This Row],[FECHA DE FACTURACIÓN]]-PROVEEDORES[[#This Row],[PLAZO Días]],0)</f>
        <v>0</v>
      </c>
      <c r="U393" s="135">
        <f>+VLOOKUP(PROVEEDORES[[#This Row],[PROVEEDOR]],Terceros!$A:$D,4,FALSE)</f>
        <v>0</v>
      </c>
      <c r="V393" s="135">
        <f>+YEAR(PROVEEDORES[[#This Row],[FECHA DE FACTURACIÓN]])</f>
        <v>2023</v>
      </c>
      <c r="W393" s="135">
        <f>+MATCH(PROVEEDORES[[#This Row],[año facturado]],Retenciones!$1:$1,0)</f>
        <v>6</v>
      </c>
      <c r="X393" s="136">
        <f>+VLOOKUP(PROVEEDORES[[#This Row],[ID RETENCION]],Retenciones!$A$1:$O$25,PROVEEDORES[[#This Row],[indicador de columna]],FALSE)</f>
        <v>0</v>
      </c>
      <c r="Y393" s="137">
        <f>+VLOOKUP(PROVEEDORES[[#This Row],[ID RETENCION]],Retenciones!$A$1:$O$25,2,FALSE)</f>
        <v>0</v>
      </c>
      <c r="Z393" s="126" t="b">
        <f>+OR(COUNTIF(PROVEEDORES[[#This Row],[PROVEEDOR]],"*"&amp;'Palabra que no opera y Listas d'!$A$2&amp;"*"))</f>
        <v>0</v>
      </c>
    </row>
    <row r="394" spans="1:26" ht="27.75" customHeight="1" x14ac:dyDescent="0.25">
      <c r="A394" s="141" t="str">
        <f>+IF(PROVEEDORES[[#This Row],[FECHA DE PAGO]]=PROVEEDORES[[#This Row],[FECHA DE FACTURACIÓN]],"DE CONTADO","CRÉDITO")</f>
        <v>CRÉDITO</v>
      </c>
      <c r="B394" s="138" t="str">
        <f>+IF((PROVEEDORES[[#This Row],[FECHA DE PAGO]]-PROVEEDORES[[#This Row],[FECHA DE FACTURACIÓN]])&gt;PROVEEDORES[[#This Row],[PLAZO Días]],"PAGO VENCIDO")</f>
        <v>PAGO VENCIDO</v>
      </c>
      <c r="C394" s="138">
        <f>+VLOOKUP(PROVEEDORES[[#This Row],[PROVEEDOR]],TERCEROS_INFO[#All],2,FALSE)</f>
        <v>90</v>
      </c>
      <c r="D394" s="139">
        <f>+SUMIFS(PROVEEDORES[Total],PROVEEDORES[PROVEEDOR],PROVEEDORES[[#This Row],[PROVEEDOR]],PROVEEDORES[FECHA DE PAGO],"")</f>
        <v>17710735.315650001</v>
      </c>
      <c r="E394" s="140"/>
      <c r="F394" s="13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394" s="127">
        <v>45099</v>
      </c>
      <c r="H394" s="123" t="s">
        <v>12</v>
      </c>
      <c r="I394" s="127">
        <v>45008</v>
      </c>
      <c r="J394" s="124" t="s">
        <v>703</v>
      </c>
      <c r="K394" s="124" t="s">
        <v>1530</v>
      </c>
      <c r="L394" s="124"/>
      <c r="M394" s="125">
        <v>537815</v>
      </c>
      <c r="N394" s="148">
        <v>102184.85</v>
      </c>
      <c r="O394" s="148">
        <v>0</v>
      </c>
      <c r="P394" s="149">
        <v>0</v>
      </c>
      <c r="Q394" s="148">
        <v>0</v>
      </c>
      <c r="R394" s="150">
        <v>639999.85</v>
      </c>
      <c r="S3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4" s="135">
        <f ca="1">+IF(PROVEEDORES[[#This Row],[FECHA DE PAGO]]=0,TODAY()-PROVEEDORES[[#This Row],[FECHA DE FACTURACIÓN]]-PROVEEDORES[[#This Row],[PLAZO Días]],0)</f>
        <v>0</v>
      </c>
      <c r="U394" s="135" t="str">
        <f>+VLOOKUP(PROVEEDORES[[#This Row],[PROVEEDOR]],Terceros!$A:$D,4,FALSE)</f>
        <v>2,5% con base</v>
      </c>
      <c r="V394" s="135">
        <f>+YEAR(PROVEEDORES[[#This Row],[FECHA DE FACTURACIÓN]])</f>
        <v>2023</v>
      </c>
      <c r="W394" s="135">
        <f>+MATCH(PROVEEDORES[[#This Row],[año facturado]],Retenciones!$1:$1,0)</f>
        <v>6</v>
      </c>
      <c r="X394" s="136">
        <f>+VLOOKUP(PROVEEDORES[[#This Row],[ID RETENCION]],Retenciones!$A$1:$O$25,PROVEEDORES[[#This Row],[indicador de columna]],FALSE)</f>
        <v>1145000</v>
      </c>
      <c r="Y394" s="137">
        <f>+VLOOKUP(PROVEEDORES[[#This Row],[ID RETENCION]],Retenciones!$A$1:$O$25,2,FALSE)</f>
        <v>2.5000000000000001E-2</v>
      </c>
      <c r="Z394" s="126" t="b">
        <f>+OR(COUNTIF(PROVEEDORES[[#This Row],[PROVEEDOR]],"*"&amp;'Palabra que no opera y Listas d'!$A$2&amp;"*"))</f>
        <v>0</v>
      </c>
    </row>
    <row r="395" spans="1:26" ht="27.75" customHeight="1" x14ac:dyDescent="0.25">
      <c r="A395" s="141" t="str">
        <f>+IF(PROVEEDORES[[#This Row],[FECHA DE PAGO]]=PROVEEDORES[[#This Row],[FECHA DE FACTURACIÓN]],"DE CONTADO","CRÉDITO")</f>
        <v>CRÉDITO</v>
      </c>
      <c r="B395" s="138" t="b">
        <f>+IF((PROVEEDORES[[#This Row],[FECHA DE PAGO]]-PROVEEDORES[[#This Row],[FECHA DE FACTURACIÓN]])&gt;PROVEEDORES[[#This Row],[PLAZO Días]],"PAGO VENCIDO")</f>
        <v>0</v>
      </c>
      <c r="C395" s="138">
        <f>+VLOOKUP(PROVEEDORES[[#This Row],[PROVEEDOR]],TERCEROS_INFO[#All],2,FALSE)</f>
        <v>90</v>
      </c>
      <c r="D395" s="139">
        <f>+SUMIFS(PROVEEDORES[Total],PROVEEDORES[PROVEEDOR],PROVEEDORES[[#This Row],[PROVEEDOR]],PROVEEDORES[FECHA DE PAGO],"")</f>
        <v>17710735.315650001</v>
      </c>
      <c r="E395" s="140"/>
      <c r="F395" s="13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395" s="127">
        <v>45099</v>
      </c>
      <c r="H395" s="123" t="s">
        <v>12</v>
      </c>
      <c r="I395" s="127">
        <v>45030</v>
      </c>
      <c r="J395" s="124" t="s">
        <v>709</v>
      </c>
      <c r="K395" s="124" t="s">
        <v>1530</v>
      </c>
      <c r="L395" s="124"/>
      <c r="M395" s="125">
        <v>10529411</v>
      </c>
      <c r="N395" s="148">
        <v>2000588.09</v>
      </c>
      <c r="O395" s="148">
        <v>0</v>
      </c>
      <c r="P395" s="149">
        <v>2.5000000000000001E-2</v>
      </c>
      <c r="Q395" s="148">
        <v>263235.27500000002</v>
      </c>
      <c r="R395" s="150">
        <v>12266763.814999999</v>
      </c>
      <c r="S3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5" s="135">
        <f ca="1">+IF(PROVEEDORES[[#This Row],[FECHA DE PAGO]]=0,TODAY()-PROVEEDORES[[#This Row],[FECHA DE FACTURACIÓN]]-PROVEEDORES[[#This Row],[PLAZO Días]],0)</f>
        <v>0</v>
      </c>
      <c r="U395" s="135" t="str">
        <f>+VLOOKUP(PROVEEDORES[[#This Row],[PROVEEDOR]],Terceros!$A:$D,4,FALSE)</f>
        <v>2,5% con base</v>
      </c>
      <c r="V395" s="135">
        <f>+YEAR(PROVEEDORES[[#This Row],[FECHA DE FACTURACIÓN]])</f>
        <v>2023</v>
      </c>
      <c r="W395" s="135">
        <f>+MATCH(PROVEEDORES[[#This Row],[año facturado]],Retenciones!$1:$1,0)</f>
        <v>6</v>
      </c>
      <c r="X395" s="136">
        <f>+VLOOKUP(PROVEEDORES[[#This Row],[ID RETENCION]],Retenciones!$A$1:$O$25,PROVEEDORES[[#This Row],[indicador de columna]],FALSE)</f>
        <v>1145000</v>
      </c>
      <c r="Y395" s="137">
        <f>+VLOOKUP(PROVEEDORES[[#This Row],[ID RETENCION]],Retenciones!$A$1:$O$25,2,FALSE)</f>
        <v>2.5000000000000001E-2</v>
      </c>
      <c r="Z395" s="126" t="b">
        <f>+OR(COUNTIF(PROVEEDORES[[#This Row],[PROVEEDOR]],"*"&amp;'Palabra que no opera y Listas d'!$A$2&amp;"*"))</f>
        <v>0</v>
      </c>
    </row>
    <row r="396" spans="1:26" ht="27.75" customHeight="1" x14ac:dyDescent="0.25">
      <c r="A396" s="141" t="str">
        <f>+IF(PROVEEDORES[[#This Row],[FECHA DE PAGO]]=PROVEEDORES[[#This Row],[FECHA DE FACTURACIÓN]],"DE CONTADO","CRÉDITO")</f>
        <v>CRÉDITO</v>
      </c>
      <c r="B396" s="138" t="str">
        <f>+IF((PROVEEDORES[[#This Row],[FECHA DE PAGO]]-PROVEEDORES[[#This Row],[FECHA DE FACTURACIÓN]])&gt;PROVEEDORES[[#This Row],[PLAZO Días]],"PAGO VENCIDO")</f>
        <v>PAGO VENCIDO</v>
      </c>
      <c r="C396" s="138">
        <f>+VLOOKUP(PROVEEDORES[[#This Row],[PROVEEDOR]],TERCEROS_INFO[#All],2,FALSE)</f>
        <v>30</v>
      </c>
      <c r="D396" s="139">
        <f>+SUMIFS(PROVEEDORES[Total],PROVEEDORES[PROVEEDOR],PROVEEDORES[[#This Row],[PROVEEDOR]],PROVEEDORES[FECHA DE PAGO],"")</f>
        <v>2028306.6264000002</v>
      </c>
      <c r="E396" s="140"/>
      <c r="F396" s="138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396" s="127">
        <v>45099</v>
      </c>
      <c r="H396" s="123" t="s">
        <v>218</v>
      </c>
      <c r="I396" s="127">
        <v>45055</v>
      </c>
      <c r="J396" s="124" t="s">
        <v>785</v>
      </c>
      <c r="K396" s="124" t="s">
        <v>1530</v>
      </c>
      <c r="L396" s="124"/>
      <c r="M396" s="125">
        <v>709916</v>
      </c>
      <c r="N396" s="148">
        <v>134884.04</v>
      </c>
      <c r="O396" s="148">
        <v>0</v>
      </c>
      <c r="P396" s="149">
        <v>0</v>
      </c>
      <c r="Q396" s="148">
        <v>0</v>
      </c>
      <c r="R396" s="150">
        <v>844800.04</v>
      </c>
      <c r="S3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6" s="135">
        <f ca="1">+IF(PROVEEDORES[[#This Row],[FECHA DE PAGO]]=0,TODAY()-PROVEEDORES[[#This Row],[FECHA DE FACTURACIÓN]]-PROVEEDORES[[#This Row],[PLAZO Días]],0)</f>
        <v>0</v>
      </c>
      <c r="U396" s="135" t="str">
        <f>+VLOOKUP(PROVEEDORES[[#This Row],[PROVEEDOR]],Terceros!$A:$D,4,FALSE)</f>
        <v>2,5% con base</v>
      </c>
      <c r="V396" s="135">
        <f>+YEAR(PROVEEDORES[[#This Row],[FECHA DE FACTURACIÓN]])</f>
        <v>2023</v>
      </c>
      <c r="W396" s="135">
        <f>+MATCH(PROVEEDORES[[#This Row],[año facturado]],Retenciones!$1:$1,0)</f>
        <v>6</v>
      </c>
      <c r="X396" s="136">
        <f>+VLOOKUP(PROVEEDORES[[#This Row],[ID RETENCION]],Retenciones!$A$1:$O$25,PROVEEDORES[[#This Row],[indicador de columna]],FALSE)</f>
        <v>1145000</v>
      </c>
      <c r="Y396" s="137">
        <f>+VLOOKUP(PROVEEDORES[[#This Row],[ID RETENCION]],Retenciones!$A$1:$O$25,2,FALSE)</f>
        <v>2.5000000000000001E-2</v>
      </c>
      <c r="Z396" s="126" t="b">
        <f>+OR(COUNTIF(PROVEEDORES[[#This Row],[PROVEEDOR]],"*"&amp;'Palabra que no opera y Listas d'!$A$2&amp;"*"))</f>
        <v>0</v>
      </c>
    </row>
    <row r="397" spans="1:26" ht="27.75" customHeight="1" x14ac:dyDescent="0.25">
      <c r="A397" s="141" t="str">
        <f>+IF(PROVEEDORES[[#This Row],[FECHA DE PAGO]]=PROVEEDORES[[#This Row],[FECHA DE FACTURACIÓN]],"DE CONTADO","CRÉDITO")</f>
        <v>CRÉDITO</v>
      </c>
      <c r="B397" s="138" t="str">
        <f>+IF((PROVEEDORES[[#This Row],[FECHA DE PAGO]]-PROVEEDORES[[#This Row],[FECHA DE FACTURACIÓN]])&gt;PROVEEDORES[[#This Row],[PLAZO Días]],"PAGO VENCIDO")</f>
        <v>PAGO VENCIDO</v>
      </c>
      <c r="C397" s="138">
        <f>+VLOOKUP(PROVEEDORES[[#This Row],[PROVEEDOR]],TERCEROS_INFO[#All],2,FALSE)</f>
        <v>30</v>
      </c>
      <c r="D397" s="139">
        <f>+SUMIFS(PROVEEDORES[Total],PROVEEDORES[PROVEEDOR],PROVEEDORES[[#This Row],[PROVEEDOR]],PROVEEDORES[FECHA DE PAGO],"")</f>
        <v>5581100</v>
      </c>
      <c r="E397" s="140"/>
      <c r="F397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397" s="127">
        <v>45099</v>
      </c>
      <c r="H397" s="123" t="s">
        <v>446</v>
      </c>
      <c r="I397" s="127">
        <v>45058</v>
      </c>
      <c r="J397" s="124" t="s">
        <v>789</v>
      </c>
      <c r="K397" s="124" t="s">
        <v>1530</v>
      </c>
      <c r="L397" s="124"/>
      <c r="M397" s="125">
        <v>2352000</v>
      </c>
      <c r="N397" s="148">
        <v>446880</v>
      </c>
      <c r="O397" s="148">
        <v>0</v>
      </c>
      <c r="P397" s="149">
        <v>0</v>
      </c>
      <c r="Q397" s="148">
        <v>0</v>
      </c>
      <c r="R397" s="150">
        <v>2798880</v>
      </c>
      <c r="S3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7" s="135">
        <f ca="1">+IF(PROVEEDORES[[#This Row],[FECHA DE PAGO]]=0,TODAY()-PROVEEDORES[[#This Row],[FECHA DE FACTURACIÓN]]-PROVEEDORES[[#This Row],[PLAZO Días]],0)</f>
        <v>0</v>
      </c>
      <c r="U397" s="135">
        <f>+VLOOKUP(PROVEEDORES[[#This Row],[PROVEEDOR]],Terceros!$A:$D,4,FALSE)</f>
        <v>0</v>
      </c>
      <c r="V397" s="135">
        <f>+YEAR(PROVEEDORES[[#This Row],[FECHA DE FACTURACIÓN]])</f>
        <v>2023</v>
      </c>
      <c r="W397" s="135">
        <f>+MATCH(PROVEEDORES[[#This Row],[año facturado]],Retenciones!$1:$1,0)</f>
        <v>6</v>
      </c>
      <c r="X397" s="136">
        <f>+VLOOKUP(PROVEEDORES[[#This Row],[ID RETENCION]],Retenciones!$A$1:$O$25,PROVEEDORES[[#This Row],[indicador de columna]],FALSE)</f>
        <v>0</v>
      </c>
      <c r="Y397" s="137">
        <f>+VLOOKUP(PROVEEDORES[[#This Row],[ID RETENCION]],Retenciones!$A$1:$O$25,2,FALSE)</f>
        <v>0</v>
      </c>
      <c r="Z397" s="126" t="b">
        <f>+OR(COUNTIF(PROVEEDORES[[#This Row],[PROVEEDOR]],"*"&amp;'Palabra que no opera y Listas d'!$A$2&amp;"*"))</f>
        <v>0</v>
      </c>
    </row>
    <row r="398" spans="1:26" ht="27.75" customHeight="1" x14ac:dyDescent="0.25">
      <c r="A398" s="141" t="str">
        <f>+IF(PROVEEDORES[[#This Row],[FECHA DE PAGO]]=PROVEEDORES[[#This Row],[FECHA DE FACTURACIÓN]],"DE CONTADO","CRÉDITO")</f>
        <v>CRÉDITO</v>
      </c>
      <c r="B398" s="138" t="b">
        <f>+IF((PROVEEDORES[[#This Row],[FECHA DE PAGO]]-PROVEEDORES[[#This Row],[FECHA DE FACTURACIÓN]])&gt;PROVEEDORES[[#This Row],[PLAZO Días]],"PAGO VENCIDO")</f>
        <v>0</v>
      </c>
      <c r="C398" s="138">
        <f>+VLOOKUP(PROVEEDORES[[#This Row],[PROVEEDOR]],TERCEROS_INFO[#All],2,FALSE)</f>
        <v>30</v>
      </c>
      <c r="D398" s="139">
        <f>+SUMIFS(PROVEEDORES[Total],PROVEEDORES[PROVEEDOR],PROVEEDORES[[#This Row],[PROVEEDOR]],PROVEEDORES[FECHA DE PAGO],"")</f>
        <v>0</v>
      </c>
      <c r="E398" s="140"/>
      <c r="F398" s="138" t="str">
        <f>+VLOOKUP(PROVEEDORES[[#This Row],[PROVEEDOR]],
                       Terceros!$A:$F,
                       5,
                       FALSE)</f>
        <v>senalizacionyavisos@gmail.com;girlesa.ruiz@servipilas.com;joriescobar64@gmail.com</v>
      </c>
      <c r="G398" s="127">
        <v>45099</v>
      </c>
      <c r="H398" s="123" t="s">
        <v>385</v>
      </c>
      <c r="I398" s="127">
        <v>45097</v>
      </c>
      <c r="J398" s="124">
        <v>254</v>
      </c>
      <c r="K398" s="124" t="s">
        <v>1530</v>
      </c>
      <c r="L398" s="124"/>
      <c r="M398" s="125">
        <v>540000</v>
      </c>
      <c r="N398" s="148">
        <v>0</v>
      </c>
      <c r="O398" s="148">
        <v>0</v>
      </c>
      <c r="P398" s="149">
        <v>3.5000000000000003E-2</v>
      </c>
      <c r="Q398" s="148">
        <v>18900</v>
      </c>
      <c r="R398" s="150">
        <v>521100</v>
      </c>
      <c r="S3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8" s="135">
        <f ca="1">+IF(PROVEEDORES[[#This Row],[FECHA DE PAGO]]=0,TODAY()-PROVEEDORES[[#This Row],[FECHA DE FACTURACIÓN]]-PROVEEDORES[[#This Row],[PLAZO Días]],0)</f>
        <v>0</v>
      </c>
      <c r="U398" s="135" t="str">
        <f>+VLOOKUP(PROVEEDORES[[#This Row],[PROVEEDOR]],Terceros!$A:$D,4,FALSE)</f>
        <v>3,5% sin base</v>
      </c>
      <c r="V398" s="135">
        <f>+YEAR(PROVEEDORES[[#This Row],[FECHA DE FACTURACIÓN]])</f>
        <v>2023</v>
      </c>
      <c r="W398" s="135">
        <f>+MATCH(PROVEEDORES[[#This Row],[año facturado]],Retenciones!$1:$1,0)</f>
        <v>6</v>
      </c>
      <c r="X398" s="136">
        <f>+VLOOKUP(PROVEEDORES[[#This Row],[ID RETENCION]],Retenciones!$A$1:$O$25,PROVEEDORES[[#This Row],[indicador de columna]],FALSE)</f>
        <v>0</v>
      </c>
      <c r="Y398" s="137">
        <f>+VLOOKUP(PROVEEDORES[[#This Row],[ID RETENCION]],Retenciones!$A$1:$O$25,2,FALSE)</f>
        <v>3.5000000000000003E-2</v>
      </c>
      <c r="Z398" s="126" t="b">
        <f>+OR(COUNTIF(PROVEEDORES[[#This Row],[PROVEEDOR]],"*"&amp;'Palabra que no opera y Listas d'!$A$2&amp;"*"))</f>
        <v>1</v>
      </c>
    </row>
    <row r="399" spans="1:26" ht="27.75" customHeight="1" x14ac:dyDescent="0.25">
      <c r="A399" s="141" t="str">
        <f>+IF(PROVEEDORES[[#This Row],[FECHA DE PAGO]]=PROVEEDORES[[#This Row],[FECHA DE FACTURACIÓN]],"DE CONTADO","CRÉDITO")</f>
        <v>CRÉDITO</v>
      </c>
      <c r="B399" s="138" t="str">
        <f>+IF((PROVEEDORES[[#This Row],[FECHA DE PAGO]]-PROVEEDORES[[#This Row],[FECHA DE FACTURACIÓN]])&gt;PROVEEDORES[[#This Row],[PLAZO Días]],"PAGO VENCIDO")</f>
        <v>PAGO VENCIDO</v>
      </c>
      <c r="C399" s="138">
        <f>+VLOOKUP(PROVEEDORES[[#This Row],[PROVEEDOR]],TERCEROS_INFO[#All],2,FALSE)</f>
        <v>30</v>
      </c>
      <c r="D399" s="139">
        <f>+SUMIFS(PROVEEDORES[Total],PROVEEDORES[PROVEEDOR],PROVEEDORES[[#This Row],[PROVEEDOR]],PROVEEDORES[FECHA DE PAGO],"")</f>
        <v>0</v>
      </c>
      <c r="E399" s="140"/>
      <c r="F399" s="138">
        <f>+VLOOKUP(PROVEEDORES[[#This Row],[PROVEEDOR]],
                       Terceros!$A:$F,
                       5,
                       FALSE)</f>
        <v>0</v>
      </c>
      <c r="G399" s="127">
        <v>45100</v>
      </c>
      <c r="H399" s="123" t="s">
        <v>550</v>
      </c>
      <c r="I399" s="127">
        <v>44965</v>
      </c>
      <c r="J399" s="124" t="s">
        <v>842</v>
      </c>
      <c r="K399" s="124" t="s">
        <v>1530</v>
      </c>
      <c r="L399" s="124"/>
      <c r="M399" s="125">
        <v>5700</v>
      </c>
      <c r="N399" s="148">
        <v>1083</v>
      </c>
      <c r="O399" s="148">
        <v>0</v>
      </c>
      <c r="P399" s="149">
        <v>0</v>
      </c>
      <c r="Q399" s="148">
        <v>0</v>
      </c>
      <c r="R399" s="150">
        <v>6783</v>
      </c>
      <c r="S3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399" s="135">
        <f ca="1">+IF(PROVEEDORES[[#This Row],[FECHA DE PAGO]]=0,TODAY()-PROVEEDORES[[#This Row],[FECHA DE FACTURACIÓN]]-PROVEEDORES[[#This Row],[PLAZO Días]],0)</f>
        <v>0</v>
      </c>
      <c r="U399" s="135" t="str">
        <f>+VLOOKUP(PROVEEDORES[[#This Row],[PROVEEDOR]],Terceros!$A:$D,4,FALSE)</f>
        <v>2,5% con base</v>
      </c>
      <c r="V399" s="135">
        <f>+YEAR(PROVEEDORES[[#This Row],[FECHA DE FACTURACIÓN]])</f>
        <v>2023</v>
      </c>
      <c r="W399" s="135">
        <f>+MATCH(PROVEEDORES[[#This Row],[año facturado]],Retenciones!$1:$1,0)</f>
        <v>6</v>
      </c>
      <c r="X399" s="136">
        <f>+VLOOKUP(PROVEEDORES[[#This Row],[ID RETENCION]],Retenciones!$A$1:$O$25,PROVEEDORES[[#This Row],[indicador de columna]],FALSE)</f>
        <v>1145000</v>
      </c>
      <c r="Y399" s="137">
        <f>+VLOOKUP(PROVEEDORES[[#This Row],[ID RETENCION]],Retenciones!$A$1:$O$25,2,FALSE)</f>
        <v>2.5000000000000001E-2</v>
      </c>
      <c r="Z399" s="126" t="b">
        <f>+OR(COUNTIF(PROVEEDORES[[#This Row],[PROVEEDOR]],"*"&amp;'Palabra que no opera y Listas d'!$A$2&amp;"*"))</f>
        <v>1</v>
      </c>
    </row>
    <row r="400" spans="1:26" ht="27.75" customHeight="1" x14ac:dyDescent="0.25">
      <c r="A400" s="141" t="str">
        <f>+IF(PROVEEDORES[[#This Row],[FECHA DE PAGO]]=PROVEEDORES[[#This Row],[FECHA DE FACTURACIÓN]],"DE CONTADO","CRÉDITO")</f>
        <v>CRÉDITO</v>
      </c>
      <c r="B400" s="138" t="b">
        <f>+IF((PROVEEDORES[[#This Row],[FECHA DE PAGO]]-PROVEEDORES[[#This Row],[FECHA DE FACTURACIÓN]])&gt;PROVEEDORES[[#This Row],[PLAZO Días]],"PAGO VENCIDO")</f>
        <v>0</v>
      </c>
      <c r="C400" s="138">
        <f>+VLOOKUP(PROVEEDORES[[#This Row],[PROVEEDOR]],TERCEROS_INFO[#All],2,FALSE)</f>
        <v>30</v>
      </c>
      <c r="D400" s="139">
        <f>+SUMIFS(PROVEEDORES[Total],PROVEEDORES[PROVEEDOR],PROVEEDORES[[#This Row],[PROVEEDOR]],PROVEEDORES[FECHA DE PAGO],"")</f>
        <v>0</v>
      </c>
      <c r="E400" s="140"/>
      <c r="F400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400" s="127">
        <v>45100</v>
      </c>
      <c r="H400" s="123" t="s">
        <v>382</v>
      </c>
      <c r="I400" s="127">
        <v>45078</v>
      </c>
      <c r="J400" s="124" t="s">
        <v>843</v>
      </c>
      <c r="K400" s="124" t="s">
        <v>1530</v>
      </c>
      <c r="L400" s="124"/>
      <c r="M400" s="125">
        <v>934363</v>
      </c>
      <c r="N400" s="148">
        <v>0</v>
      </c>
      <c r="O400" s="148">
        <v>0</v>
      </c>
      <c r="P400" s="149">
        <v>0</v>
      </c>
      <c r="Q400" s="148">
        <v>0</v>
      </c>
      <c r="R400" s="150">
        <v>934363</v>
      </c>
      <c r="S4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0" s="135">
        <f ca="1">+IF(PROVEEDORES[[#This Row],[FECHA DE PAGO]]=0,TODAY()-PROVEEDORES[[#This Row],[FECHA DE FACTURACIÓN]]-PROVEEDORES[[#This Row],[PLAZO Días]],0)</f>
        <v>0</v>
      </c>
      <c r="U400" s="135">
        <f>+VLOOKUP(PROVEEDORES[[#This Row],[PROVEEDOR]],Terceros!$A:$D,4,FALSE)</f>
        <v>0</v>
      </c>
      <c r="V400" s="135">
        <f>+YEAR(PROVEEDORES[[#This Row],[FECHA DE FACTURACIÓN]])</f>
        <v>2023</v>
      </c>
      <c r="W400" s="135">
        <f>+MATCH(PROVEEDORES[[#This Row],[año facturado]],Retenciones!$1:$1,0)</f>
        <v>6</v>
      </c>
      <c r="X400" s="136">
        <f>+VLOOKUP(PROVEEDORES[[#This Row],[ID RETENCION]],Retenciones!$A$1:$O$25,PROVEEDORES[[#This Row],[indicador de columna]],FALSE)</f>
        <v>0</v>
      </c>
      <c r="Y400" s="137">
        <f>+VLOOKUP(PROVEEDORES[[#This Row],[ID RETENCION]],Retenciones!$A$1:$O$25,2,FALSE)</f>
        <v>0</v>
      </c>
      <c r="Z400" s="126" t="b">
        <f>+OR(COUNTIF(PROVEEDORES[[#This Row],[PROVEEDOR]],"*"&amp;'Palabra que no opera y Listas d'!$A$2&amp;"*"))</f>
        <v>1</v>
      </c>
    </row>
    <row r="401" spans="1:26" ht="27.75" customHeight="1" x14ac:dyDescent="0.25">
      <c r="A401" s="141" t="str">
        <f>+IF(PROVEEDORES[[#This Row],[FECHA DE PAGO]]=PROVEEDORES[[#This Row],[FECHA DE FACTURACIÓN]],"DE CONTADO","CRÉDITO")</f>
        <v>CRÉDITO</v>
      </c>
      <c r="B401" s="138" t="b">
        <f>+IF((PROVEEDORES[[#This Row],[FECHA DE PAGO]]-PROVEEDORES[[#This Row],[FECHA DE FACTURACIÓN]])&gt;PROVEEDORES[[#This Row],[PLAZO Días]],"PAGO VENCIDO")</f>
        <v>0</v>
      </c>
      <c r="C401" s="138">
        <f>+VLOOKUP(PROVEEDORES[[#This Row],[PROVEEDOR]],TERCEROS_INFO[#All],2,FALSE)</f>
        <v>30</v>
      </c>
      <c r="D401" s="139">
        <f>+SUMIFS(PROVEEDORES[Total],PROVEEDORES[PROVEEDOR],PROVEEDORES[[#This Row],[PROVEEDOR]],PROVEEDORES[FECHA DE PAGO],"")</f>
        <v>0</v>
      </c>
      <c r="E401" s="140"/>
      <c r="F401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401" s="127">
        <v>45100</v>
      </c>
      <c r="H401" s="123" t="s">
        <v>382</v>
      </c>
      <c r="I401" s="127">
        <v>45078</v>
      </c>
      <c r="J401" s="124" t="s">
        <v>844</v>
      </c>
      <c r="K401" s="124" t="s">
        <v>1530</v>
      </c>
      <c r="L401" s="124"/>
      <c r="M401" s="125">
        <v>914023</v>
      </c>
      <c r="N401" s="148">
        <v>0</v>
      </c>
      <c r="O401" s="148">
        <v>0</v>
      </c>
      <c r="P401" s="149">
        <v>0</v>
      </c>
      <c r="Q401" s="148">
        <v>0</v>
      </c>
      <c r="R401" s="150">
        <v>914023</v>
      </c>
      <c r="S4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1" s="135">
        <f ca="1">+IF(PROVEEDORES[[#This Row],[FECHA DE PAGO]]=0,TODAY()-PROVEEDORES[[#This Row],[FECHA DE FACTURACIÓN]]-PROVEEDORES[[#This Row],[PLAZO Días]],0)</f>
        <v>0</v>
      </c>
      <c r="U401" s="135">
        <f>+VLOOKUP(PROVEEDORES[[#This Row],[PROVEEDOR]],Terceros!$A:$D,4,FALSE)</f>
        <v>0</v>
      </c>
      <c r="V401" s="135">
        <f>+YEAR(PROVEEDORES[[#This Row],[FECHA DE FACTURACIÓN]])</f>
        <v>2023</v>
      </c>
      <c r="W401" s="135">
        <f>+MATCH(PROVEEDORES[[#This Row],[año facturado]],Retenciones!$1:$1,0)</f>
        <v>6</v>
      </c>
      <c r="X401" s="136">
        <f>+VLOOKUP(PROVEEDORES[[#This Row],[ID RETENCION]],Retenciones!$A$1:$O$25,PROVEEDORES[[#This Row],[indicador de columna]],FALSE)</f>
        <v>0</v>
      </c>
      <c r="Y401" s="137">
        <f>+VLOOKUP(PROVEEDORES[[#This Row],[ID RETENCION]],Retenciones!$A$1:$O$25,2,FALSE)</f>
        <v>0</v>
      </c>
      <c r="Z401" s="126" t="b">
        <f>+OR(COUNTIF(PROVEEDORES[[#This Row],[PROVEEDOR]],"*"&amp;'Palabra que no opera y Listas d'!$A$2&amp;"*"))</f>
        <v>1</v>
      </c>
    </row>
    <row r="402" spans="1:26" ht="27.75" customHeight="1" x14ac:dyDescent="0.25">
      <c r="A402" s="141" t="str">
        <f>+IF(PROVEEDORES[[#This Row],[FECHA DE PAGO]]=PROVEEDORES[[#This Row],[FECHA DE FACTURACIÓN]],"DE CONTADO","CRÉDITO")</f>
        <v>CRÉDITO</v>
      </c>
      <c r="B402" s="138" t="b">
        <f>+IF((PROVEEDORES[[#This Row],[FECHA DE PAGO]]-PROVEEDORES[[#This Row],[FECHA DE FACTURACIÓN]])&gt;PROVEEDORES[[#This Row],[PLAZO Días]],"PAGO VENCIDO")</f>
        <v>0</v>
      </c>
      <c r="C402" s="138">
        <f>+VLOOKUP(PROVEEDORES[[#This Row],[PROVEEDOR]],TERCEROS_INFO[#All],2,FALSE)</f>
        <v>30</v>
      </c>
      <c r="D402" s="139">
        <f>+SUMIFS(PROVEEDORES[Total],PROVEEDORES[PROVEEDOR],PROVEEDORES[[#This Row],[PROVEEDOR]],PROVEEDORES[FECHA DE PAGO],"")</f>
        <v>0</v>
      </c>
      <c r="E402" s="140"/>
      <c r="F402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402" s="127">
        <v>45100</v>
      </c>
      <c r="H402" s="123" t="s">
        <v>380</v>
      </c>
      <c r="I402" s="127">
        <v>45087</v>
      </c>
      <c r="J402" s="124" t="s">
        <v>840</v>
      </c>
      <c r="K402" s="124" t="s">
        <v>1530</v>
      </c>
      <c r="L402" s="124"/>
      <c r="M402" s="125">
        <v>3456200</v>
      </c>
      <c r="N402" s="148">
        <v>0</v>
      </c>
      <c r="O402" s="148">
        <v>0</v>
      </c>
      <c r="P402" s="149">
        <v>3.5000000000000003E-2</v>
      </c>
      <c r="Q402" s="148">
        <v>120967.00000000001</v>
      </c>
      <c r="R402" s="150">
        <v>3335233</v>
      </c>
      <c r="S4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2" s="135">
        <f ca="1">+IF(PROVEEDORES[[#This Row],[FECHA DE PAGO]]=0,TODAY()-PROVEEDORES[[#This Row],[FECHA DE FACTURACIÓN]]-PROVEEDORES[[#This Row],[PLAZO Días]],0)</f>
        <v>0</v>
      </c>
      <c r="U402" s="135" t="str">
        <f>+VLOOKUP(PROVEEDORES[[#This Row],[PROVEEDOR]],Terceros!$A:$D,4,FALSE)</f>
        <v>3,5% sin base</v>
      </c>
      <c r="V402" s="135">
        <f>+YEAR(PROVEEDORES[[#This Row],[FECHA DE FACTURACIÓN]])</f>
        <v>2023</v>
      </c>
      <c r="W402" s="135">
        <f>+MATCH(PROVEEDORES[[#This Row],[año facturado]],Retenciones!$1:$1,0)</f>
        <v>6</v>
      </c>
      <c r="X402" s="136">
        <f>+VLOOKUP(PROVEEDORES[[#This Row],[ID RETENCION]],Retenciones!$A$1:$O$25,PROVEEDORES[[#This Row],[indicador de columna]],FALSE)</f>
        <v>0</v>
      </c>
      <c r="Y402" s="137">
        <f>+VLOOKUP(PROVEEDORES[[#This Row],[ID RETENCION]],Retenciones!$A$1:$O$25,2,FALSE)</f>
        <v>3.5000000000000003E-2</v>
      </c>
      <c r="Z402" s="126" t="b">
        <f>+OR(COUNTIF(PROVEEDORES[[#This Row],[PROVEEDOR]],"*"&amp;'Palabra que no opera y Listas d'!$A$2&amp;"*"))</f>
        <v>1</v>
      </c>
    </row>
    <row r="403" spans="1:26" ht="27.75" customHeight="1" x14ac:dyDescent="0.25">
      <c r="A403" s="141" t="str">
        <f>+IF(PROVEEDORES[[#This Row],[FECHA DE PAGO]]=PROVEEDORES[[#This Row],[FECHA DE FACTURACIÓN]],"DE CONTADO","CRÉDITO")</f>
        <v>CRÉDITO</v>
      </c>
      <c r="B403" s="138" t="b">
        <f>+IF((PROVEEDORES[[#This Row],[FECHA DE PAGO]]-PROVEEDORES[[#This Row],[FECHA DE FACTURACIÓN]])&gt;PROVEEDORES[[#This Row],[PLAZO Días]],"PAGO VENCIDO")</f>
        <v>0</v>
      </c>
      <c r="C403" s="138">
        <f>+VLOOKUP(PROVEEDORES[[#This Row],[PROVEEDOR]],TERCEROS_INFO[#All],2,FALSE)</f>
        <v>30</v>
      </c>
      <c r="D403" s="139">
        <f>+SUMIFS(PROVEEDORES[Total],PROVEEDORES[PROVEEDOR],PROVEEDORES[[#This Row],[PROVEEDOR]],PROVEEDORES[FECHA DE PAGO],"")</f>
        <v>0</v>
      </c>
      <c r="E403" s="140"/>
      <c r="F403" s="138" t="str">
        <f>+VLOOKUP(PROVEEDORES[[#This Row],[PROVEEDOR]],
                       Terceros!$A:$F,
                       5,
                       FALSE)</f>
        <v>carlos.bohorquez@copapel.com;girlesa.ruiz@servipilas.com;joriescobar64@gmail.com</v>
      </c>
      <c r="G403" s="127">
        <v>45100</v>
      </c>
      <c r="H403" s="123" t="s">
        <v>424</v>
      </c>
      <c r="I403" s="127">
        <v>45098</v>
      </c>
      <c r="J403" s="124">
        <v>21244</v>
      </c>
      <c r="K403" s="124" t="s">
        <v>1530</v>
      </c>
      <c r="L403" s="124"/>
      <c r="M403" s="125">
        <v>436800</v>
      </c>
      <c r="N403" s="148">
        <v>82992</v>
      </c>
      <c r="O403" s="148">
        <v>0</v>
      </c>
      <c r="P403" s="149">
        <v>0</v>
      </c>
      <c r="Q403" s="148">
        <v>0</v>
      </c>
      <c r="R403" s="150">
        <v>519792</v>
      </c>
      <c r="S4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3" s="135">
        <f ca="1">+IF(PROVEEDORES[[#This Row],[FECHA DE PAGO]]=0,TODAY()-PROVEEDORES[[#This Row],[FECHA DE FACTURACIÓN]]-PROVEEDORES[[#This Row],[PLAZO Días]],0)</f>
        <v>0</v>
      </c>
      <c r="U403" s="135">
        <f>+VLOOKUP(PROVEEDORES[[#This Row],[PROVEEDOR]],Terceros!$A:$D,4,FALSE)</f>
        <v>0</v>
      </c>
      <c r="V403" s="135">
        <f>+YEAR(PROVEEDORES[[#This Row],[FECHA DE FACTURACIÓN]])</f>
        <v>2023</v>
      </c>
      <c r="W403" s="135">
        <f>+MATCH(PROVEEDORES[[#This Row],[año facturado]],Retenciones!$1:$1,0)</f>
        <v>6</v>
      </c>
      <c r="X403" s="136">
        <f>+VLOOKUP(PROVEEDORES[[#This Row],[ID RETENCION]],Retenciones!$A$1:$O$25,PROVEEDORES[[#This Row],[indicador de columna]],FALSE)</f>
        <v>0</v>
      </c>
      <c r="Y403" s="137">
        <f>+VLOOKUP(PROVEEDORES[[#This Row],[ID RETENCION]],Retenciones!$A$1:$O$25,2,FALSE)</f>
        <v>0</v>
      </c>
      <c r="Z403" s="126" t="b">
        <f>+OR(COUNTIF(PROVEEDORES[[#This Row],[PROVEEDOR]],"*"&amp;'Palabra que no opera y Listas d'!$A$2&amp;"*"))</f>
        <v>1</v>
      </c>
    </row>
    <row r="404" spans="1:26" ht="27.75" customHeight="1" x14ac:dyDescent="0.25">
      <c r="A404" s="141" t="str">
        <f>+IF(PROVEEDORES[[#This Row],[FECHA DE PAGO]]=PROVEEDORES[[#This Row],[FECHA DE FACTURACIÓN]],"DE CONTADO","CRÉDITO")</f>
        <v>CRÉDITO</v>
      </c>
      <c r="B404" s="138" t="b">
        <f>+IF((PROVEEDORES[[#This Row],[FECHA DE PAGO]]-PROVEEDORES[[#This Row],[FECHA DE FACTURACIÓN]])&gt;PROVEEDORES[[#This Row],[PLAZO Días]],"PAGO VENCIDO")</f>
        <v>0</v>
      </c>
      <c r="C404" s="138">
        <f>+VLOOKUP(PROVEEDORES[[#This Row],[PROVEEDOR]],TERCEROS_INFO[#All],2,FALSE)</f>
        <v>30</v>
      </c>
      <c r="D404" s="139">
        <f>+SUMIFS(PROVEEDORES[Total],PROVEEDORES[PROVEEDOR],PROVEEDORES[[#This Row],[PROVEEDOR]],PROVEEDORES[FECHA DE PAGO],"")</f>
        <v>0</v>
      </c>
      <c r="E404" s="140"/>
      <c r="F404" s="138">
        <f>+VLOOKUP(PROVEEDORES[[#This Row],[PROVEEDOR]],
                       Terceros!$A:$F,
                       5,
                       FALSE)</f>
        <v>0</v>
      </c>
      <c r="G404" s="127">
        <v>45100</v>
      </c>
      <c r="H404" s="123" t="s">
        <v>550</v>
      </c>
      <c r="I404" s="127">
        <v>45098</v>
      </c>
      <c r="J404" s="124" t="s">
        <v>841</v>
      </c>
      <c r="K404" s="124" t="s">
        <v>1530</v>
      </c>
      <c r="L404" s="124"/>
      <c r="M404" s="125">
        <v>217200</v>
      </c>
      <c r="N404" s="148">
        <v>41268</v>
      </c>
      <c r="O404" s="148">
        <v>0</v>
      </c>
      <c r="P404" s="149">
        <v>0</v>
      </c>
      <c r="Q404" s="148">
        <v>0</v>
      </c>
      <c r="R404" s="150">
        <v>258468</v>
      </c>
      <c r="S4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4" s="135">
        <f ca="1">+IF(PROVEEDORES[[#This Row],[FECHA DE PAGO]]=0,TODAY()-PROVEEDORES[[#This Row],[FECHA DE FACTURACIÓN]]-PROVEEDORES[[#This Row],[PLAZO Días]],0)</f>
        <v>0</v>
      </c>
      <c r="U404" s="135" t="str">
        <f>+VLOOKUP(PROVEEDORES[[#This Row],[PROVEEDOR]],Terceros!$A:$D,4,FALSE)</f>
        <v>2,5% con base</v>
      </c>
      <c r="V404" s="135">
        <f>+YEAR(PROVEEDORES[[#This Row],[FECHA DE FACTURACIÓN]])</f>
        <v>2023</v>
      </c>
      <c r="W404" s="135">
        <f>+MATCH(PROVEEDORES[[#This Row],[año facturado]],Retenciones!$1:$1,0)</f>
        <v>6</v>
      </c>
      <c r="X404" s="136">
        <f>+VLOOKUP(PROVEEDORES[[#This Row],[ID RETENCION]],Retenciones!$A$1:$O$25,PROVEEDORES[[#This Row],[indicador de columna]],FALSE)</f>
        <v>1145000</v>
      </c>
      <c r="Y404" s="137">
        <f>+VLOOKUP(PROVEEDORES[[#This Row],[ID RETENCION]],Retenciones!$A$1:$O$25,2,FALSE)</f>
        <v>2.5000000000000001E-2</v>
      </c>
      <c r="Z404" s="126" t="b">
        <f>+OR(COUNTIF(PROVEEDORES[[#This Row],[PROVEEDOR]],"*"&amp;'Palabra que no opera y Listas d'!$A$2&amp;"*"))</f>
        <v>1</v>
      </c>
    </row>
    <row r="405" spans="1:26" ht="27.75" customHeight="1" x14ac:dyDescent="0.25">
      <c r="A405" s="141" t="str">
        <f>+IF(PROVEEDORES[[#This Row],[FECHA DE PAGO]]=PROVEEDORES[[#This Row],[FECHA DE FACTURACIÓN]],"DE CONTADO","CRÉDITO")</f>
        <v>DE CONTADO</v>
      </c>
      <c r="B405" s="138" t="b">
        <f>+IF((PROVEEDORES[[#This Row],[FECHA DE PAGO]]-PROVEEDORES[[#This Row],[FECHA DE FACTURACIÓN]])&gt;PROVEEDORES[[#This Row],[PLAZO Días]],"PAGO VENCIDO")</f>
        <v>0</v>
      </c>
      <c r="C405" s="138">
        <f>+VLOOKUP(PROVEEDORES[[#This Row],[PROVEEDOR]],TERCEROS_INFO[#All],2,FALSE)</f>
        <v>30</v>
      </c>
      <c r="D405" s="139">
        <f>+SUMIFS(PROVEEDORES[Total],PROVEEDORES[PROVEEDOR],PROVEEDORES[[#This Row],[PROVEEDOR]],PROVEEDORES[FECHA DE PAGO],"")</f>
        <v>1350000</v>
      </c>
      <c r="E405" s="140"/>
      <c r="F405" s="138" t="str">
        <f>+VLOOKUP(PROVEEDORES[[#This Row],[PROVEEDOR]],
                       Terceros!$A:$F,
                       5,
                       FALSE)</f>
        <v/>
      </c>
      <c r="G405" s="127">
        <v>45101</v>
      </c>
      <c r="H405" s="123" t="s">
        <v>1807</v>
      </c>
      <c r="I405" s="127">
        <v>45101</v>
      </c>
      <c r="J405" s="124" t="s">
        <v>863</v>
      </c>
      <c r="K405" s="124" t="s">
        <v>1530</v>
      </c>
      <c r="L405" s="124"/>
      <c r="M405" s="125">
        <v>660000</v>
      </c>
      <c r="N405" s="148">
        <v>0</v>
      </c>
      <c r="O405" s="148">
        <v>0</v>
      </c>
      <c r="P405" s="149">
        <v>0</v>
      </c>
      <c r="Q405" s="148">
        <v>0</v>
      </c>
      <c r="R405" s="150">
        <v>660000</v>
      </c>
      <c r="S4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5" s="135">
        <f ca="1">+IF(PROVEEDORES[[#This Row],[FECHA DE PAGO]]=0,TODAY()-PROVEEDORES[[#This Row],[FECHA DE FACTURACIÓN]]-PROVEEDORES[[#This Row],[PLAZO Días]],0)</f>
        <v>0</v>
      </c>
      <c r="U405" s="135">
        <f>+VLOOKUP(PROVEEDORES[[#This Row],[PROVEEDOR]],Terceros!$A:$D,4,FALSE)</f>
        <v>0</v>
      </c>
      <c r="V405" s="135">
        <f>+YEAR(PROVEEDORES[[#This Row],[FECHA DE FACTURACIÓN]])</f>
        <v>2023</v>
      </c>
      <c r="W405" s="135">
        <f>+MATCH(PROVEEDORES[[#This Row],[año facturado]],Retenciones!$1:$1,0)</f>
        <v>6</v>
      </c>
      <c r="X405" s="136">
        <f>+VLOOKUP(PROVEEDORES[[#This Row],[ID RETENCION]],Retenciones!$A$1:$O$25,PROVEEDORES[[#This Row],[indicador de columna]],FALSE)</f>
        <v>0</v>
      </c>
      <c r="Y405" s="137">
        <f>+VLOOKUP(PROVEEDORES[[#This Row],[ID RETENCION]],Retenciones!$A$1:$O$25,2,FALSE)</f>
        <v>0</v>
      </c>
      <c r="Z405" s="126" t="b">
        <f>+OR(COUNTIF(PROVEEDORES[[#This Row],[PROVEEDOR]],"*"&amp;'Palabra que no opera y Listas d'!$A$2&amp;"*"))</f>
        <v>0</v>
      </c>
    </row>
    <row r="406" spans="1:26" ht="27.75" customHeight="1" x14ac:dyDescent="0.25">
      <c r="A406" s="141" t="str">
        <f>+IF(PROVEEDORES[[#This Row],[FECHA DE PAGO]]=PROVEEDORES[[#This Row],[FECHA DE FACTURACIÓN]],"DE CONTADO","CRÉDITO")</f>
        <v>CRÉDITO</v>
      </c>
      <c r="B406" s="138" t="str">
        <f>+IF((PROVEEDORES[[#This Row],[FECHA DE PAGO]]-PROVEEDORES[[#This Row],[FECHA DE FACTURACIÓN]])&gt;PROVEEDORES[[#This Row],[PLAZO Días]],"PAGO VENCIDO")</f>
        <v>PAGO VENCIDO</v>
      </c>
      <c r="C406" s="138">
        <f>+VLOOKUP(PROVEEDORES[[#This Row],[PROVEEDOR]],TERCEROS_INFO[#All],2,FALSE)</f>
        <v>45</v>
      </c>
      <c r="D406" s="139">
        <f>+SUMIFS(PROVEEDORES[Total],PROVEEDORES[PROVEEDOR],PROVEEDORES[[#This Row],[PROVEEDOR]],PROVEEDORES[FECHA DE PAGO],"")</f>
        <v>22186260.039999999</v>
      </c>
      <c r="E406" s="140"/>
      <c r="F406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406" s="127">
        <v>45103</v>
      </c>
      <c r="H406" s="123" t="s">
        <v>19</v>
      </c>
      <c r="I406" s="127">
        <v>45042</v>
      </c>
      <c r="J406" s="124" t="s">
        <v>758</v>
      </c>
      <c r="K406" s="124" t="s">
        <v>1530</v>
      </c>
      <c r="L406" s="124"/>
      <c r="M406" s="125">
        <v>10467600</v>
      </c>
      <c r="N406" s="148">
        <v>1988844</v>
      </c>
      <c r="O406" s="148">
        <v>0</v>
      </c>
      <c r="P406" s="149">
        <v>0</v>
      </c>
      <c r="Q406" s="148">
        <v>0</v>
      </c>
      <c r="R406" s="150">
        <v>12456444</v>
      </c>
      <c r="S4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6" s="135">
        <f ca="1">+IF(PROVEEDORES[[#This Row],[FECHA DE PAGO]]=0,TODAY()-PROVEEDORES[[#This Row],[FECHA DE FACTURACIÓN]]-PROVEEDORES[[#This Row],[PLAZO Días]],0)</f>
        <v>0</v>
      </c>
      <c r="U406" s="135">
        <f>+VLOOKUP(PROVEEDORES[[#This Row],[PROVEEDOR]],Terceros!$A:$D,4,FALSE)</f>
        <v>0</v>
      </c>
      <c r="V406" s="135">
        <f>+YEAR(PROVEEDORES[[#This Row],[FECHA DE FACTURACIÓN]])</f>
        <v>2023</v>
      </c>
      <c r="W406" s="135">
        <f>+MATCH(PROVEEDORES[[#This Row],[año facturado]],Retenciones!$1:$1,0)</f>
        <v>6</v>
      </c>
      <c r="X406" s="136">
        <f>+VLOOKUP(PROVEEDORES[[#This Row],[ID RETENCION]],Retenciones!$A$1:$O$25,PROVEEDORES[[#This Row],[indicador de columna]],FALSE)</f>
        <v>0</v>
      </c>
      <c r="Y406" s="137">
        <f>+VLOOKUP(PROVEEDORES[[#This Row],[ID RETENCION]],Retenciones!$A$1:$O$25,2,FALSE)</f>
        <v>0</v>
      </c>
      <c r="Z406" s="126" t="b">
        <f>+OR(COUNTIF(PROVEEDORES[[#This Row],[PROVEEDOR]],"*"&amp;'Palabra que no opera y Listas d'!$A$2&amp;"*"))</f>
        <v>0</v>
      </c>
    </row>
    <row r="407" spans="1:26" ht="27.75" customHeight="1" x14ac:dyDescent="0.25">
      <c r="A407" s="141" t="str">
        <f>+IF(PROVEEDORES[[#This Row],[FECHA DE PAGO]]=PROVEEDORES[[#This Row],[FECHA DE FACTURACIÓN]],"DE CONTADO","CRÉDITO")</f>
        <v>CRÉDITO</v>
      </c>
      <c r="B407" s="138" t="str">
        <f>+IF((PROVEEDORES[[#This Row],[FECHA DE PAGO]]-PROVEEDORES[[#This Row],[FECHA DE FACTURACIÓN]])&gt;PROVEEDORES[[#This Row],[PLAZO Días]],"PAGO VENCIDO")</f>
        <v>PAGO VENCIDO</v>
      </c>
      <c r="C407" s="138">
        <f>+VLOOKUP(PROVEEDORES[[#This Row],[PROVEEDOR]],TERCEROS_INFO[#All],2,FALSE)</f>
        <v>45</v>
      </c>
      <c r="D407" s="139">
        <f>+SUMIFS(PROVEEDORES[Total],PROVEEDORES[PROVEEDOR],PROVEEDORES[[#This Row],[PROVEEDOR]],PROVEEDORES[FECHA DE PAGO],"")</f>
        <v>2446500</v>
      </c>
      <c r="E407" s="140"/>
      <c r="F407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407" s="127">
        <v>45103</v>
      </c>
      <c r="H407" s="123" t="s">
        <v>10</v>
      </c>
      <c r="I407" s="127">
        <v>45042</v>
      </c>
      <c r="J407" s="124" t="s">
        <v>748</v>
      </c>
      <c r="K407" s="124" t="s">
        <v>1530</v>
      </c>
      <c r="L407" s="124"/>
      <c r="M407" s="125">
        <v>2179700</v>
      </c>
      <c r="N407" s="148">
        <v>414143</v>
      </c>
      <c r="O407" s="148">
        <v>0</v>
      </c>
      <c r="P407" s="149">
        <v>2.5000000000000001E-2</v>
      </c>
      <c r="Q407" s="148">
        <v>54492.5</v>
      </c>
      <c r="R407" s="150">
        <v>2539350.5</v>
      </c>
      <c r="S4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7" s="135">
        <f ca="1">+IF(PROVEEDORES[[#This Row],[FECHA DE PAGO]]=0,TODAY()-PROVEEDORES[[#This Row],[FECHA DE FACTURACIÓN]]-PROVEEDORES[[#This Row],[PLAZO Días]],0)</f>
        <v>0</v>
      </c>
      <c r="U407" s="135" t="str">
        <f>+VLOOKUP(PROVEEDORES[[#This Row],[PROVEEDOR]],Terceros!$A:$D,4,FALSE)</f>
        <v>2,5% con base</v>
      </c>
      <c r="V407" s="135">
        <f>+YEAR(PROVEEDORES[[#This Row],[FECHA DE FACTURACIÓN]])</f>
        <v>2023</v>
      </c>
      <c r="W407" s="135">
        <f>+MATCH(PROVEEDORES[[#This Row],[año facturado]],Retenciones!$1:$1,0)</f>
        <v>6</v>
      </c>
      <c r="X407" s="136">
        <f>+VLOOKUP(PROVEEDORES[[#This Row],[ID RETENCION]],Retenciones!$A$1:$O$25,PROVEEDORES[[#This Row],[indicador de columna]],FALSE)</f>
        <v>1145000</v>
      </c>
      <c r="Y407" s="137">
        <f>+VLOOKUP(PROVEEDORES[[#This Row],[ID RETENCION]],Retenciones!$A$1:$O$25,2,FALSE)</f>
        <v>2.5000000000000001E-2</v>
      </c>
      <c r="Z407" s="126" t="b">
        <f>+OR(COUNTIF(PROVEEDORES[[#This Row],[PROVEEDOR]],"*"&amp;'Palabra que no opera y Listas d'!$A$2&amp;"*"))</f>
        <v>0</v>
      </c>
    </row>
    <row r="408" spans="1:26" ht="27.75" customHeight="1" x14ac:dyDescent="0.25">
      <c r="A408" s="141" t="str">
        <f>+IF(PROVEEDORES[[#This Row],[FECHA DE PAGO]]=PROVEEDORES[[#This Row],[FECHA DE FACTURACIÓN]],"DE CONTADO","CRÉDITO")</f>
        <v>CRÉDITO</v>
      </c>
      <c r="B408" s="138" t="str">
        <f>+IF((PROVEEDORES[[#This Row],[FECHA DE PAGO]]-PROVEEDORES[[#This Row],[FECHA DE FACTURACIÓN]])&gt;PROVEEDORES[[#This Row],[PLAZO Días]],"PAGO VENCIDO")</f>
        <v>PAGO VENCIDO</v>
      </c>
      <c r="C408" s="138">
        <f>+VLOOKUP(PROVEEDORES[[#This Row],[PROVEEDOR]],TERCEROS_INFO[#All],2,FALSE)</f>
        <v>30</v>
      </c>
      <c r="D408" s="139">
        <f>+SUMIFS(PROVEEDORES[Total],PROVEEDORES[PROVEEDOR],PROVEEDORES[[#This Row],[PROVEEDOR]],PROVEEDORES[FECHA DE PAGO],"")</f>
        <v>0</v>
      </c>
      <c r="E408" s="140"/>
      <c r="F408" s="138" t="str">
        <f>+VLOOKUP(PROVEEDORES[[#This Row],[PROVEEDOR]],
                       Terceros!$A:$F,
                       5,
                       FALSE)</f>
        <v/>
      </c>
      <c r="G408" s="127">
        <v>45104</v>
      </c>
      <c r="H408" s="123" t="s">
        <v>1815</v>
      </c>
      <c r="I408" s="127">
        <v>45006</v>
      </c>
      <c r="J408" s="124" t="s">
        <v>657</v>
      </c>
      <c r="K408" s="124" t="s">
        <v>1530</v>
      </c>
      <c r="L408" s="124"/>
      <c r="M408" s="125">
        <v>230000</v>
      </c>
      <c r="N408" s="148">
        <v>0</v>
      </c>
      <c r="O408" s="148">
        <v>0</v>
      </c>
      <c r="P408" s="149">
        <v>0</v>
      </c>
      <c r="Q408" s="148">
        <v>0</v>
      </c>
      <c r="R408" s="150">
        <v>230000</v>
      </c>
      <c r="S4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8" s="135">
        <f ca="1">+IF(PROVEEDORES[[#This Row],[FECHA DE PAGO]]=0,TODAY()-PROVEEDORES[[#This Row],[FECHA DE FACTURACIÓN]]-PROVEEDORES[[#This Row],[PLAZO Días]],0)</f>
        <v>0</v>
      </c>
      <c r="U408" s="135">
        <f>+VLOOKUP(PROVEEDORES[[#This Row],[PROVEEDOR]],Terceros!$A:$D,4,FALSE)</f>
        <v>0</v>
      </c>
      <c r="V408" s="135">
        <f>+YEAR(PROVEEDORES[[#This Row],[FECHA DE FACTURACIÓN]])</f>
        <v>2023</v>
      </c>
      <c r="W408" s="135">
        <f>+MATCH(PROVEEDORES[[#This Row],[año facturado]],Retenciones!$1:$1,0)</f>
        <v>6</v>
      </c>
      <c r="X408" s="136">
        <f>+VLOOKUP(PROVEEDORES[[#This Row],[ID RETENCION]],Retenciones!$A$1:$O$25,PROVEEDORES[[#This Row],[indicador de columna]],FALSE)</f>
        <v>0</v>
      </c>
      <c r="Y408" s="137">
        <f>+VLOOKUP(PROVEEDORES[[#This Row],[ID RETENCION]],Retenciones!$A$1:$O$25,2,FALSE)</f>
        <v>0</v>
      </c>
      <c r="Z408" s="126" t="b">
        <f>+OR(COUNTIF(PROVEEDORES[[#This Row],[PROVEEDOR]],"*"&amp;'Palabra que no opera y Listas d'!$A$2&amp;"*"))</f>
        <v>0</v>
      </c>
    </row>
    <row r="409" spans="1:26" ht="27.75" customHeight="1" x14ac:dyDescent="0.25">
      <c r="A409" s="141" t="str">
        <f>+IF(PROVEEDORES[[#This Row],[FECHA DE PAGO]]=PROVEEDORES[[#This Row],[FECHA DE FACTURACIÓN]],"DE CONTADO","CRÉDITO")</f>
        <v>CRÉDITO</v>
      </c>
      <c r="B409" s="138" t="str">
        <f>+IF((PROVEEDORES[[#This Row],[FECHA DE PAGO]]-PROVEEDORES[[#This Row],[FECHA DE FACTURACIÓN]])&gt;PROVEEDORES[[#This Row],[PLAZO Días]],"PAGO VENCIDO")</f>
        <v>PAGO VENCIDO</v>
      </c>
      <c r="C409" s="138">
        <f>+VLOOKUP(PROVEEDORES[[#This Row],[PROVEEDOR]],TERCEROS_INFO[#All],2,FALSE)</f>
        <v>30</v>
      </c>
      <c r="D409" s="139">
        <f>+SUMIFS(PROVEEDORES[Total],PROVEEDORES[PROVEEDOR],PROVEEDORES[[#This Row],[PROVEEDOR]],PROVEEDORES[FECHA DE PAGO],"")</f>
        <v>4466504.835</v>
      </c>
      <c r="E409" s="140"/>
      <c r="F409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409" s="127">
        <v>45104</v>
      </c>
      <c r="H409" s="123" t="s">
        <v>18</v>
      </c>
      <c r="I409" s="127">
        <v>45055</v>
      </c>
      <c r="J409" s="124" t="s">
        <v>786</v>
      </c>
      <c r="K409" s="124" t="s">
        <v>1530</v>
      </c>
      <c r="L409" s="124"/>
      <c r="M409" s="125">
        <v>743608</v>
      </c>
      <c r="N409" s="148">
        <v>141285.51999999999</v>
      </c>
      <c r="O409" s="148">
        <v>0</v>
      </c>
      <c r="P409" s="149">
        <v>0</v>
      </c>
      <c r="Q409" s="148">
        <v>0</v>
      </c>
      <c r="R409" s="150">
        <v>884893.52</v>
      </c>
      <c r="S4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09" s="135">
        <f ca="1">+IF(PROVEEDORES[[#This Row],[FECHA DE PAGO]]=0,TODAY()-PROVEEDORES[[#This Row],[FECHA DE FACTURACIÓN]]-PROVEEDORES[[#This Row],[PLAZO Días]],0)</f>
        <v>0</v>
      </c>
      <c r="U409" s="135" t="str">
        <f>+VLOOKUP(PROVEEDORES[[#This Row],[PROVEEDOR]],Terceros!$A:$D,4,FALSE)</f>
        <v>2,5% con base</v>
      </c>
      <c r="V409" s="135">
        <f>+YEAR(PROVEEDORES[[#This Row],[FECHA DE FACTURACIÓN]])</f>
        <v>2023</v>
      </c>
      <c r="W409" s="135">
        <f>+MATCH(PROVEEDORES[[#This Row],[año facturado]],Retenciones!$1:$1,0)</f>
        <v>6</v>
      </c>
      <c r="X409" s="136">
        <f>+VLOOKUP(PROVEEDORES[[#This Row],[ID RETENCION]],Retenciones!$A$1:$O$25,PROVEEDORES[[#This Row],[indicador de columna]],FALSE)</f>
        <v>1145000</v>
      </c>
      <c r="Y409" s="137">
        <f>+VLOOKUP(PROVEEDORES[[#This Row],[ID RETENCION]],Retenciones!$A$1:$O$25,2,FALSE)</f>
        <v>2.5000000000000001E-2</v>
      </c>
      <c r="Z409" s="126" t="b">
        <f>+OR(COUNTIF(PROVEEDORES[[#This Row],[PROVEEDOR]],"*"&amp;'Palabra que no opera y Listas d'!$A$2&amp;"*"))</f>
        <v>0</v>
      </c>
    </row>
    <row r="410" spans="1:26" ht="27.75" customHeight="1" x14ac:dyDescent="0.25">
      <c r="A410" s="141" t="str">
        <f>+IF(PROVEEDORES[[#This Row],[FECHA DE PAGO]]=PROVEEDORES[[#This Row],[FECHA DE FACTURACIÓN]],"DE CONTADO","CRÉDITO")</f>
        <v>CRÉDITO</v>
      </c>
      <c r="B410" s="138" t="str">
        <f>+IF((PROVEEDORES[[#This Row],[FECHA DE PAGO]]-PROVEEDORES[[#This Row],[FECHA DE FACTURACIÓN]])&gt;PROVEEDORES[[#This Row],[PLAZO Días]],"PAGO VENCIDO")</f>
        <v>PAGO VENCIDO</v>
      </c>
      <c r="C410" s="138">
        <f>+VLOOKUP(PROVEEDORES[[#This Row],[PROVEEDOR]],TERCEROS_INFO[#All],2,FALSE)</f>
        <v>30</v>
      </c>
      <c r="D410" s="139">
        <f>+SUMIFS(PROVEEDORES[Total],PROVEEDORES[PROVEEDOR],PROVEEDORES[[#This Row],[PROVEEDOR]],PROVEEDORES[FECHA DE PAGO],"")</f>
        <v>4466504.835</v>
      </c>
      <c r="E410" s="140"/>
      <c r="F410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410" s="127">
        <v>45104</v>
      </c>
      <c r="H410" s="123" t="s">
        <v>18</v>
      </c>
      <c r="I410" s="127">
        <v>45057</v>
      </c>
      <c r="J410" s="124" t="s">
        <v>787</v>
      </c>
      <c r="K410" s="124" t="s">
        <v>1530</v>
      </c>
      <c r="L410" s="124"/>
      <c r="M410" s="125">
        <v>804018</v>
      </c>
      <c r="N410" s="148">
        <v>152763.42000000001</v>
      </c>
      <c r="O410" s="148">
        <v>0</v>
      </c>
      <c r="P410" s="149">
        <v>0</v>
      </c>
      <c r="Q410" s="148">
        <v>0</v>
      </c>
      <c r="R410" s="150">
        <v>956781.42</v>
      </c>
      <c r="S4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0" s="135">
        <f ca="1">+IF(PROVEEDORES[[#This Row],[FECHA DE PAGO]]=0,TODAY()-PROVEEDORES[[#This Row],[FECHA DE FACTURACIÓN]]-PROVEEDORES[[#This Row],[PLAZO Días]],0)</f>
        <v>0</v>
      </c>
      <c r="U410" s="135" t="str">
        <f>+VLOOKUP(PROVEEDORES[[#This Row],[PROVEEDOR]],Terceros!$A:$D,4,FALSE)</f>
        <v>2,5% con base</v>
      </c>
      <c r="V410" s="135">
        <f>+YEAR(PROVEEDORES[[#This Row],[FECHA DE FACTURACIÓN]])</f>
        <v>2023</v>
      </c>
      <c r="W410" s="135">
        <f>+MATCH(PROVEEDORES[[#This Row],[año facturado]],Retenciones!$1:$1,0)</f>
        <v>6</v>
      </c>
      <c r="X410" s="136">
        <f>+VLOOKUP(PROVEEDORES[[#This Row],[ID RETENCION]],Retenciones!$A$1:$O$25,PROVEEDORES[[#This Row],[indicador de columna]],FALSE)</f>
        <v>1145000</v>
      </c>
      <c r="Y410" s="137">
        <f>+VLOOKUP(PROVEEDORES[[#This Row],[ID RETENCION]],Retenciones!$A$1:$O$25,2,FALSE)</f>
        <v>2.5000000000000001E-2</v>
      </c>
      <c r="Z410" s="126" t="b">
        <f>+OR(COUNTIF(PROVEEDORES[[#This Row],[PROVEEDOR]],"*"&amp;'Palabra que no opera y Listas d'!$A$2&amp;"*"))</f>
        <v>0</v>
      </c>
    </row>
    <row r="411" spans="1:26" ht="27.75" customHeight="1" x14ac:dyDescent="0.25">
      <c r="A411" s="141" t="str">
        <f>+IF(PROVEEDORES[[#This Row],[FECHA DE PAGO]]=PROVEEDORES[[#This Row],[FECHA DE FACTURACIÓN]],"DE CONTADO","CRÉDITO")</f>
        <v>CRÉDITO</v>
      </c>
      <c r="B411" s="138" t="str">
        <f>+IF((PROVEEDORES[[#This Row],[FECHA DE PAGO]]-PROVEEDORES[[#This Row],[FECHA DE FACTURACIÓN]])&gt;PROVEEDORES[[#This Row],[PLAZO Días]],"PAGO VENCIDO")</f>
        <v>PAGO VENCIDO</v>
      </c>
      <c r="C411" s="138">
        <f>+VLOOKUP(PROVEEDORES[[#This Row],[PROVEEDOR]],TERCEROS_INFO[#All],2,FALSE)</f>
        <v>30</v>
      </c>
      <c r="D411" s="139">
        <f>+SUMIFS(PROVEEDORES[Total],PROVEEDORES[PROVEEDOR],PROVEEDORES[[#This Row],[PROVEEDOR]],PROVEEDORES[FECHA DE PAGO],"")</f>
        <v>0</v>
      </c>
      <c r="E411" s="140"/>
      <c r="F411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411" s="127">
        <v>45105</v>
      </c>
      <c r="H411" s="123" t="s">
        <v>360</v>
      </c>
      <c r="I411" s="127">
        <v>45040</v>
      </c>
      <c r="J411" s="124" t="s">
        <v>754</v>
      </c>
      <c r="K411" s="124" t="s">
        <v>1530</v>
      </c>
      <c r="L411" s="124"/>
      <c r="M411" s="125">
        <v>2615172</v>
      </c>
      <c r="N411" s="148">
        <v>496882.68</v>
      </c>
      <c r="O411" s="148">
        <v>0</v>
      </c>
      <c r="P411" s="149">
        <v>0</v>
      </c>
      <c r="Q411" s="148">
        <v>0</v>
      </c>
      <c r="R411" s="150">
        <v>3112054.68</v>
      </c>
      <c r="S4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1" s="135">
        <f ca="1">+IF(PROVEEDORES[[#This Row],[FECHA DE PAGO]]=0,TODAY()-PROVEEDORES[[#This Row],[FECHA DE FACTURACIÓN]]-PROVEEDORES[[#This Row],[PLAZO Días]],0)</f>
        <v>0</v>
      </c>
      <c r="U411" s="135">
        <f>+VLOOKUP(PROVEEDORES[[#This Row],[PROVEEDOR]],Terceros!$A:$D,4,FALSE)</f>
        <v>0</v>
      </c>
      <c r="V411" s="135">
        <f>+YEAR(PROVEEDORES[[#This Row],[FECHA DE FACTURACIÓN]])</f>
        <v>2023</v>
      </c>
      <c r="W411" s="135">
        <f>+MATCH(PROVEEDORES[[#This Row],[año facturado]],Retenciones!$1:$1,0)</f>
        <v>6</v>
      </c>
      <c r="X411" s="136">
        <f>+VLOOKUP(PROVEEDORES[[#This Row],[ID RETENCION]],Retenciones!$A$1:$O$25,PROVEEDORES[[#This Row],[indicador de columna]],FALSE)</f>
        <v>0</v>
      </c>
      <c r="Y411" s="137">
        <f>+VLOOKUP(PROVEEDORES[[#This Row],[ID RETENCION]],Retenciones!$A$1:$O$25,2,FALSE)</f>
        <v>0</v>
      </c>
      <c r="Z411" s="126" t="b">
        <f>+OR(COUNTIF(PROVEEDORES[[#This Row],[PROVEEDOR]],"*"&amp;'Palabra que no opera y Listas d'!$A$2&amp;"*"))</f>
        <v>1</v>
      </c>
    </row>
    <row r="412" spans="1:26" ht="27.75" customHeight="1" x14ac:dyDescent="0.25">
      <c r="A412" s="141" t="str">
        <f>+IF(PROVEEDORES[[#This Row],[FECHA DE PAGO]]=PROVEEDORES[[#This Row],[FECHA DE FACTURACIÓN]],"DE CONTADO","CRÉDITO")</f>
        <v>DE CONTADO</v>
      </c>
      <c r="B412" s="138" t="b">
        <f>+IF((PROVEEDORES[[#This Row],[FECHA DE PAGO]]-PROVEEDORES[[#This Row],[FECHA DE FACTURACIÓN]])&gt;PROVEEDORES[[#This Row],[PLAZO Días]],"PAGO VENCIDO")</f>
        <v>0</v>
      </c>
      <c r="C412" s="138">
        <f>+VLOOKUP(PROVEEDORES[[#This Row],[PROVEEDOR]],TERCEROS_INFO[#All],2,FALSE)</f>
        <v>30</v>
      </c>
      <c r="D412" s="139">
        <f>+SUMIFS(PROVEEDORES[Total],PROVEEDORES[PROVEEDOR],PROVEEDORES[[#This Row],[PROVEEDOR]],PROVEEDORES[FECHA DE PAGO],"")</f>
        <v>0</v>
      </c>
      <c r="E412" s="140"/>
      <c r="F412" s="138" t="str">
        <f>+VLOOKUP(PROVEEDORES[[#This Row],[PROVEEDOR]],
                       Terceros!$A:$F,
                       5,
                       FALSE)</f>
        <v/>
      </c>
      <c r="G412" s="127">
        <v>45106</v>
      </c>
      <c r="H412" s="123" t="s">
        <v>525</v>
      </c>
      <c r="I412" s="127">
        <v>45106</v>
      </c>
      <c r="J412" s="124" t="s">
        <v>860</v>
      </c>
      <c r="K412" s="124" t="s">
        <v>1530</v>
      </c>
      <c r="L412" s="124"/>
      <c r="M412" s="125">
        <v>375000</v>
      </c>
      <c r="N412" s="148">
        <v>0</v>
      </c>
      <c r="O412" s="148">
        <v>0</v>
      </c>
      <c r="P412" s="149">
        <v>0</v>
      </c>
      <c r="Q412" s="148">
        <v>0</v>
      </c>
      <c r="R412" s="150">
        <v>375000</v>
      </c>
      <c r="S4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2" s="135">
        <f ca="1">+IF(PROVEEDORES[[#This Row],[FECHA DE PAGO]]=0,TODAY()-PROVEEDORES[[#This Row],[FECHA DE FACTURACIÓN]]-PROVEEDORES[[#This Row],[PLAZO Días]],0)</f>
        <v>0</v>
      </c>
      <c r="U412" s="135">
        <f>+VLOOKUP(PROVEEDORES[[#This Row],[PROVEEDOR]],Terceros!$A:$D,4,FALSE)</f>
        <v>0</v>
      </c>
      <c r="V412" s="135">
        <f>+YEAR(PROVEEDORES[[#This Row],[FECHA DE FACTURACIÓN]])</f>
        <v>2023</v>
      </c>
      <c r="W412" s="135">
        <f>+MATCH(PROVEEDORES[[#This Row],[año facturado]],Retenciones!$1:$1,0)</f>
        <v>6</v>
      </c>
      <c r="X412" s="136">
        <f>+VLOOKUP(PROVEEDORES[[#This Row],[ID RETENCION]],Retenciones!$A$1:$O$25,PROVEEDORES[[#This Row],[indicador de columna]],FALSE)</f>
        <v>0</v>
      </c>
      <c r="Y412" s="137">
        <f>+VLOOKUP(PROVEEDORES[[#This Row],[ID RETENCION]],Retenciones!$A$1:$O$25,2,FALSE)</f>
        <v>0</v>
      </c>
      <c r="Z412" s="126" t="b">
        <f>+OR(COUNTIF(PROVEEDORES[[#This Row],[PROVEEDOR]],"*"&amp;'Palabra que no opera y Listas d'!$A$2&amp;"*"))</f>
        <v>0</v>
      </c>
    </row>
    <row r="413" spans="1:26" ht="27.75" customHeight="1" x14ac:dyDescent="0.25">
      <c r="A413" s="141" t="str">
        <f>+IF(PROVEEDORES[[#This Row],[FECHA DE PAGO]]=PROVEEDORES[[#This Row],[FECHA DE FACTURACIÓN]],"DE CONTADO","CRÉDITO")</f>
        <v>CRÉDITO</v>
      </c>
      <c r="B413" s="138" t="str">
        <f>+IF((PROVEEDORES[[#This Row],[FECHA DE PAGO]]-PROVEEDORES[[#This Row],[FECHA DE FACTURACIÓN]])&gt;PROVEEDORES[[#This Row],[PLAZO Días]],"PAGO VENCIDO")</f>
        <v>PAGO VENCIDO</v>
      </c>
      <c r="C413" s="138">
        <f>+VLOOKUP(PROVEEDORES[[#This Row],[PROVEEDOR]],TERCEROS_INFO[#All],2,FALSE)</f>
        <v>30</v>
      </c>
      <c r="D413" s="139">
        <f>+SUMIFS(PROVEEDORES[Total],PROVEEDORES[PROVEEDOR],PROVEEDORES[[#This Row],[PROVEEDOR]],PROVEEDORES[FECHA DE PAGO],"")</f>
        <v>4316000</v>
      </c>
      <c r="E413" s="140"/>
      <c r="F413" s="138" t="str">
        <f>+VLOOKUP(PROVEEDORES[[#This Row],[PROVEEDOR]],
                       Terceros!$A:$F,
                       5,
                       FALSE)</f>
        <v/>
      </c>
      <c r="G413" s="127">
        <v>45108</v>
      </c>
      <c r="H413" s="123" t="s">
        <v>1812</v>
      </c>
      <c r="I413" s="127">
        <v>45072</v>
      </c>
      <c r="J413" s="124" t="s">
        <v>809</v>
      </c>
      <c r="K413" s="124" t="s">
        <v>1530</v>
      </c>
      <c r="L413" s="124"/>
      <c r="M413" s="125">
        <v>978000</v>
      </c>
      <c r="N413" s="148">
        <v>0</v>
      </c>
      <c r="O413" s="148">
        <v>0</v>
      </c>
      <c r="P413" s="149">
        <v>0</v>
      </c>
      <c r="Q413" s="148">
        <v>0</v>
      </c>
      <c r="R413" s="150">
        <v>978000</v>
      </c>
      <c r="S4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3" s="135">
        <f ca="1">+IF(PROVEEDORES[[#This Row],[FECHA DE PAGO]]=0,TODAY()-PROVEEDORES[[#This Row],[FECHA DE FACTURACIÓN]]-PROVEEDORES[[#This Row],[PLAZO Días]],0)</f>
        <v>0</v>
      </c>
      <c r="U413" s="135">
        <f>+VLOOKUP(PROVEEDORES[[#This Row],[PROVEEDOR]],Terceros!$A:$D,4,FALSE)</f>
        <v>0</v>
      </c>
      <c r="V413" s="135">
        <f>+YEAR(PROVEEDORES[[#This Row],[FECHA DE FACTURACIÓN]])</f>
        <v>2023</v>
      </c>
      <c r="W413" s="135">
        <f>+MATCH(PROVEEDORES[[#This Row],[año facturado]],Retenciones!$1:$1,0)</f>
        <v>6</v>
      </c>
      <c r="X413" s="136">
        <f>+VLOOKUP(PROVEEDORES[[#This Row],[ID RETENCION]],Retenciones!$A$1:$O$25,PROVEEDORES[[#This Row],[indicador de columna]],FALSE)</f>
        <v>0</v>
      </c>
      <c r="Y413" s="137">
        <f>+VLOOKUP(PROVEEDORES[[#This Row],[ID RETENCION]],Retenciones!$A$1:$O$25,2,FALSE)</f>
        <v>0</v>
      </c>
      <c r="Z413" s="126" t="b">
        <f>+OR(COUNTIF(PROVEEDORES[[#This Row],[PROVEEDOR]],"*"&amp;'Palabra que no opera y Listas d'!$A$2&amp;"*"))</f>
        <v>0</v>
      </c>
    </row>
    <row r="414" spans="1:26" ht="27.75" customHeight="1" x14ac:dyDescent="0.25">
      <c r="A414" s="141" t="str">
        <f>+IF(PROVEEDORES[[#This Row],[FECHA DE PAGO]]=PROVEEDORES[[#This Row],[FECHA DE FACTURACIÓN]],"DE CONTADO","CRÉDITO")</f>
        <v>CRÉDITO</v>
      </c>
      <c r="B414" s="138" t="b">
        <f>+IF((PROVEEDORES[[#This Row],[FECHA DE PAGO]]-PROVEEDORES[[#This Row],[FECHA DE FACTURACIÓN]])&gt;PROVEEDORES[[#This Row],[PLAZO Días]],"PAGO VENCIDO")</f>
        <v>0</v>
      </c>
      <c r="C414" s="138">
        <f>+VLOOKUP(PROVEEDORES[[#This Row],[PROVEEDOR]],TERCEROS_INFO[#All],2,FALSE)</f>
        <v>30</v>
      </c>
      <c r="D414" s="139">
        <f>+SUMIFS(PROVEEDORES[Total],PROVEEDORES[PROVEEDOR],PROVEEDORES[[#This Row],[PROVEEDOR]],PROVEEDORES[FECHA DE PAGO],"")</f>
        <v>0</v>
      </c>
      <c r="E414" s="140"/>
      <c r="F414" s="138">
        <f>+VLOOKUP(PROVEEDORES[[#This Row],[PROVEEDOR]],
                       Terceros!$A:$F,
                       5,
                       FALSE)</f>
        <v>0</v>
      </c>
      <c r="G414" s="127">
        <v>45108</v>
      </c>
      <c r="H414" s="123" t="s">
        <v>864</v>
      </c>
      <c r="I414" s="127">
        <v>45083</v>
      </c>
      <c r="J414" s="124">
        <v>1340</v>
      </c>
      <c r="K414" s="124" t="s">
        <v>1530</v>
      </c>
      <c r="L414" s="124"/>
      <c r="M414" s="125">
        <v>910000</v>
      </c>
      <c r="N414" s="148">
        <v>172900</v>
      </c>
      <c r="O414" s="148">
        <v>0</v>
      </c>
      <c r="P414" s="149">
        <v>0</v>
      </c>
      <c r="Q414" s="148">
        <v>0</v>
      </c>
      <c r="R414" s="150">
        <v>1082900</v>
      </c>
      <c r="S4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4" s="135">
        <f ca="1">+IF(PROVEEDORES[[#This Row],[FECHA DE PAGO]]=0,TODAY()-PROVEEDORES[[#This Row],[FECHA DE FACTURACIÓN]]-PROVEEDORES[[#This Row],[PLAZO Días]],0)</f>
        <v>0</v>
      </c>
      <c r="U414" s="135" t="str">
        <f>+VLOOKUP(PROVEEDORES[[#This Row],[PROVEEDOR]],Terceros!$A:$D,4,FALSE)</f>
        <v>2,5% con base</v>
      </c>
      <c r="V414" s="135">
        <f>+YEAR(PROVEEDORES[[#This Row],[FECHA DE FACTURACIÓN]])</f>
        <v>2023</v>
      </c>
      <c r="W414" s="135">
        <f>+MATCH(PROVEEDORES[[#This Row],[año facturado]],Retenciones!$1:$1,0)</f>
        <v>6</v>
      </c>
      <c r="X414" s="136">
        <f>+VLOOKUP(PROVEEDORES[[#This Row],[ID RETENCION]],Retenciones!$A$1:$O$25,PROVEEDORES[[#This Row],[indicador de columna]],FALSE)</f>
        <v>1145000</v>
      </c>
      <c r="Y414" s="137">
        <f>+VLOOKUP(PROVEEDORES[[#This Row],[ID RETENCION]],Retenciones!$A$1:$O$25,2,FALSE)</f>
        <v>2.5000000000000001E-2</v>
      </c>
      <c r="Z414" s="126" t="b">
        <f>+OR(COUNTIF(PROVEEDORES[[#This Row],[PROVEEDOR]],"*"&amp;'Palabra que no opera y Listas d'!$A$2&amp;"*"))</f>
        <v>0</v>
      </c>
    </row>
    <row r="415" spans="1:26" ht="27.75" customHeight="1" x14ac:dyDescent="0.25">
      <c r="A415" s="141" t="str">
        <f>+IF(PROVEEDORES[[#This Row],[FECHA DE PAGO]]=PROVEEDORES[[#This Row],[FECHA DE FACTURACIÓN]],"DE CONTADO","CRÉDITO")</f>
        <v>CRÉDITO</v>
      </c>
      <c r="B415" s="138" t="b">
        <f>+IF((PROVEEDORES[[#This Row],[FECHA DE PAGO]]-PROVEEDORES[[#This Row],[FECHA DE FACTURACIÓN]])&gt;PROVEEDORES[[#This Row],[PLAZO Días]],"PAGO VENCIDO")</f>
        <v>0</v>
      </c>
      <c r="C415" s="138">
        <f>+VLOOKUP(PROVEEDORES[[#This Row],[PROVEEDOR]],TERCEROS_INFO[#All],2,FALSE)</f>
        <v>30</v>
      </c>
      <c r="D415" s="139">
        <f>+SUMIFS(PROVEEDORES[Total],PROVEEDORES[PROVEEDOR],PROVEEDORES[[#This Row],[PROVEEDOR]],PROVEEDORES[FECHA DE PAGO],"")</f>
        <v>0</v>
      </c>
      <c r="E415" s="140"/>
      <c r="F415" s="138" t="str">
        <f>+VLOOKUP(PROVEEDORES[[#This Row],[PROVEEDOR]],
                       Terceros!$A:$F,
                       5,
                       FALSE)</f>
        <v/>
      </c>
      <c r="G415" s="127">
        <v>45108</v>
      </c>
      <c r="H415" s="123" t="s">
        <v>481</v>
      </c>
      <c r="I415" s="127">
        <v>45107</v>
      </c>
      <c r="J415" s="124" t="s">
        <v>931</v>
      </c>
      <c r="K415" s="124" t="s">
        <v>1530</v>
      </c>
      <c r="L415" s="124"/>
      <c r="M415" s="125">
        <v>2505000</v>
      </c>
      <c r="N415" s="148">
        <v>0</v>
      </c>
      <c r="O415" s="148">
        <v>0</v>
      </c>
      <c r="P415" s="149">
        <v>0</v>
      </c>
      <c r="Q415" s="148">
        <v>0</v>
      </c>
      <c r="R415" s="150">
        <v>2505000</v>
      </c>
      <c r="S4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5" s="135">
        <f ca="1">+IF(PROVEEDORES[[#This Row],[FECHA DE PAGO]]=0,TODAY()-PROVEEDORES[[#This Row],[FECHA DE FACTURACIÓN]]-PROVEEDORES[[#This Row],[PLAZO Días]],0)</f>
        <v>0</v>
      </c>
      <c r="U415" s="135">
        <f>+VLOOKUP(PROVEEDORES[[#This Row],[PROVEEDOR]],Terceros!$A:$D,4,FALSE)</f>
        <v>0</v>
      </c>
      <c r="V415" s="135">
        <f>+YEAR(PROVEEDORES[[#This Row],[FECHA DE FACTURACIÓN]])</f>
        <v>2023</v>
      </c>
      <c r="W415" s="135">
        <f>+MATCH(PROVEEDORES[[#This Row],[año facturado]],Retenciones!$1:$1,0)</f>
        <v>6</v>
      </c>
      <c r="X415" s="136">
        <f>+VLOOKUP(PROVEEDORES[[#This Row],[ID RETENCION]],Retenciones!$A$1:$O$25,PROVEEDORES[[#This Row],[indicador de columna]],FALSE)</f>
        <v>0</v>
      </c>
      <c r="Y415" s="137">
        <f>+VLOOKUP(PROVEEDORES[[#This Row],[ID RETENCION]],Retenciones!$A$1:$O$25,2,FALSE)</f>
        <v>0</v>
      </c>
      <c r="Z415" s="126" t="b">
        <f>+OR(COUNTIF(PROVEEDORES[[#This Row],[PROVEEDOR]],"*"&amp;'Palabra que no opera y Listas d'!$A$2&amp;"*"))</f>
        <v>0</v>
      </c>
    </row>
    <row r="416" spans="1:26" ht="27.75" customHeight="1" x14ac:dyDescent="0.25">
      <c r="A416" s="141" t="str">
        <f>+IF(PROVEEDORES[[#This Row],[FECHA DE PAGO]]=PROVEEDORES[[#This Row],[FECHA DE FACTURACIÓN]],"DE CONTADO","CRÉDITO")</f>
        <v>DE CONTADO</v>
      </c>
      <c r="B416" s="138" t="b">
        <f>+IF((PROVEEDORES[[#This Row],[FECHA DE PAGO]]-PROVEEDORES[[#This Row],[FECHA DE FACTURACIÓN]])&gt;PROVEEDORES[[#This Row],[PLAZO Días]],"PAGO VENCIDO")</f>
        <v>0</v>
      </c>
      <c r="C416" s="138">
        <f>+VLOOKUP(PROVEEDORES[[#This Row],[PROVEEDOR]],TERCEROS_INFO[#All],2,FALSE)</f>
        <v>30</v>
      </c>
      <c r="D416" s="139">
        <f>+SUMIFS(PROVEEDORES[Total],PROVEEDORES[PROVEEDOR],PROVEEDORES[[#This Row],[PROVEEDOR]],PROVEEDORES[FECHA DE PAGO],"")</f>
        <v>0</v>
      </c>
      <c r="E416" s="140"/>
      <c r="F416" s="138" t="str">
        <f>+VLOOKUP(PROVEEDORES[[#This Row],[PROVEEDOR]],
                       Terceros!$A:$F,
                       5,
                       FALSE)</f>
        <v/>
      </c>
      <c r="G416" s="127">
        <v>45108</v>
      </c>
      <c r="H416" s="123" t="s">
        <v>525</v>
      </c>
      <c r="I416" s="127">
        <v>45108</v>
      </c>
      <c r="J416" s="124" t="s">
        <v>479</v>
      </c>
      <c r="K416" s="124" t="s">
        <v>1530</v>
      </c>
      <c r="L416" s="124"/>
      <c r="M416" s="125">
        <v>62997</v>
      </c>
      <c r="N416" s="148">
        <v>0</v>
      </c>
      <c r="O416" s="148">
        <v>0</v>
      </c>
      <c r="P416" s="149">
        <v>0</v>
      </c>
      <c r="Q416" s="148">
        <v>0</v>
      </c>
      <c r="R416" s="150">
        <v>62997</v>
      </c>
      <c r="S4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6" s="135">
        <f ca="1">+IF(PROVEEDORES[[#This Row],[FECHA DE PAGO]]=0,TODAY()-PROVEEDORES[[#This Row],[FECHA DE FACTURACIÓN]]-PROVEEDORES[[#This Row],[PLAZO Días]],0)</f>
        <v>0</v>
      </c>
      <c r="U416" s="135">
        <f>+VLOOKUP(PROVEEDORES[[#This Row],[PROVEEDOR]],Terceros!$A:$D,4,FALSE)</f>
        <v>0</v>
      </c>
      <c r="V416" s="135">
        <f>+YEAR(PROVEEDORES[[#This Row],[FECHA DE FACTURACIÓN]])</f>
        <v>2023</v>
      </c>
      <c r="W416" s="135">
        <f>+MATCH(PROVEEDORES[[#This Row],[año facturado]],Retenciones!$1:$1,0)</f>
        <v>6</v>
      </c>
      <c r="X416" s="136">
        <f>+VLOOKUP(PROVEEDORES[[#This Row],[ID RETENCION]],Retenciones!$A$1:$O$25,PROVEEDORES[[#This Row],[indicador de columna]],FALSE)</f>
        <v>0</v>
      </c>
      <c r="Y416" s="137">
        <f>+VLOOKUP(PROVEEDORES[[#This Row],[ID RETENCION]],Retenciones!$A$1:$O$25,2,FALSE)</f>
        <v>0</v>
      </c>
      <c r="Z416" s="126" t="b">
        <f>+OR(COUNTIF(PROVEEDORES[[#This Row],[PROVEEDOR]],"*"&amp;'Palabra que no opera y Listas d'!$A$2&amp;"*"))</f>
        <v>0</v>
      </c>
    </row>
    <row r="417" spans="1:26" ht="27.75" customHeight="1" x14ac:dyDescent="0.25">
      <c r="A417" s="141" t="str">
        <f>+IF(PROVEEDORES[[#This Row],[FECHA DE PAGO]]=PROVEEDORES[[#This Row],[FECHA DE FACTURACIÓN]],"DE CONTADO","CRÉDITO")</f>
        <v>DE CONTADO</v>
      </c>
      <c r="B417" s="138" t="b">
        <f>+IF((PROVEEDORES[[#This Row],[FECHA DE PAGO]]-PROVEEDORES[[#This Row],[FECHA DE FACTURACIÓN]])&gt;PROVEEDORES[[#This Row],[PLAZO Días]],"PAGO VENCIDO")</f>
        <v>0</v>
      </c>
      <c r="C417" s="138">
        <f>+VLOOKUP(PROVEEDORES[[#This Row],[PROVEEDOR]],TERCEROS_INFO[#All],2,FALSE)</f>
        <v>30</v>
      </c>
      <c r="D417" s="139">
        <f>+SUMIFS(PROVEEDORES[Total],PROVEEDORES[PROVEEDOR],PROVEEDORES[[#This Row],[PROVEEDOR]],PROVEEDORES[FECHA DE PAGO],"")</f>
        <v>0</v>
      </c>
      <c r="E417" s="140"/>
      <c r="F417" s="138" t="str">
        <f>+VLOOKUP(PROVEEDORES[[#This Row],[PROVEEDOR]],
                       Terceros!$A:$F,
                       5,
                       FALSE)</f>
        <v/>
      </c>
      <c r="G417" s="127">
        <v>45108</v>
      </c>
      <c r="H417" s="123" t="s">
        <v>525</v>
      </c>
      <c r="I417" s="127">
        <v>45108</v>
      </c>
      <c r="J417" s="124" t="s">
        <v>1531</v>
      </c>
      <c r="K417" s="124" t="s">
        <v>1530</v>
      </c>
      <c r="L417" s="124"/>
      <c r="M417" s="125">
        <v>171400</v>
      </c>
      <c r="N417" s="148">
        <v>0</v>
      </c>
      <c r="O417" s="148">
        <v>0</v>
      </c>
      <c r="P417" s="149">
        <v>0</v>
      </c>
      <c r="Q417" s="148">
        <v>0</v>
      </c>
      <c r="R417" s="150">
        <v>171400</v>
      </c>
      <c r="S4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7" s="135">
        <f ca="1">+IF(PROVEEDORES[[#This Row],[FECHA DE PAGO]]=0,TODAY()-PROVEEDORES[[#This Row],[FECHA DE FACTURACIÓN]]-PROVEEDORES[[#This Row],[PLAZO Días]],0)</f>
        <v>0</v>
      </c>
      <c r="U417" s="135">
        <f>+VLOOKUP(PROVEEDORES[[#This Row],[PROVEEDOR]],Terceros!$A:$D,4,FALSE)</f>
        <v>0</v>
      </c>
      <c r="V417" s="135">
        <f>+YEAR(PROVEEDORES[[#This Row],[FECHA DE FACTURACIÓN]])</f>
        <v>2023</v>
      </c>
      <c r="W417" s="135">
        <f>+MATCH(PROVEEDORES[[#This Row],[año facturado]],Retenciones!$1:$1,0)</f>
        <v>6</v>
      </c>
      <c r="X417" s="136">
        <f>+VLOOKUP(PROVEEDORES[[#This Row],[ID RETENCION]],Retenciones!$A$1:$O$25,PROVEEDORES[[#This Row],[indicador de columna]],FALSE)</f>
        <v>0</v>
      </c>
      <c r="Y417" s="137">
        <f>+VLOOKUP(PROVEEDORES[[#This Row],[ID RETENCION]],Retenciones!$A$1:$O$25,2,FALSE)</f>
        <v>0</v>
      </c>
      <c r="Z417" s="126" t="b">
        <f>+OR(COUNTIF(PROVEEDORES[[#This Row],[PROVEEDOR]],"*"&amp;'Palabra que no opera y Listas d'!$A$2&amp;"*"))</f>
        <v>0</v>
      </c>
    </row>
    <row r="418" spans="1:26" ht="27.75" customHeight="1" x14ac:dyDescent="0.25">
      <c r="A418" s="141" t="str">
        <f>+IF(PROVEEDORES[[#This Row],[FECHA DE PAGO]]=PROVEEDORES[[#This Row],[FECHA DE FACTURACIÓN]],"DE CONTADO","CRÉDITO")</f>
        <v>DE CONTADO</v>
      </c>
      <c r="B418" s="138" t="b">
        <f>+IF((PROVEEDORES[[#This Row],[FECHA DE PAGO]]-PROVEEDORES[[#This Row],[FECHA DE FACTURACIÓN]])&gt;PROVEEDORES[[#This Row],[PLAZO Días]],"PAGO VENCIDO")</f>
        <v>0</v>
      </c>
      <c r="C418" s="138">
        <f>+VLOOKUP(PROVEEDORES[[#This Row],[PROVEEDOR]],TERCEROS_INFO[#All],2,FALSE)</f>
        <v>30</v>
      </c>
      <c r="D418" s="139">
        <f>+SUMIFS(PROVEEDORES[Total],PROVEEDORES[PROVEEDOR],PROVEEDORES[[#This Row],[PROVEEDOR]],PROVEEDORES[FECHA DE PAGO],"")</f>
        <v>0</v>
      </c>
      <c r="E418" s="140"/>
      <c r="F418" s="138" t="str">
        <f>+VLOOKUP(PROVEEDORES[[#This Row],[PROVEEDOR]],
                       Terceros!$A:$F,
                       5,
                       FALSE)</f>
        <v/>
      </c>
      <c r="G418" s="127">
        <v>45108</v>
      </c>
      <c r="H418" s="123" t="s">
        <v>525</v>
      </c>
      <c r="I418" s="127">
        <v>45108</v>
      </c>
      <c r="J418" s="124" t="s">
        <v>476</v>
      </c>
      <c r="K418" s="124" t="s">
        <v>1530</v>
      </c>
      <c r="L418" s="124"/>
      <c r="M418" s="125">
        <v>300500</v>
      </c>
      <c r="N418" s="148">
        <v>0</v>
      </c>
      <c r="O418" s="148">
        <v>0</v>
      </c>
      <c r="P418" s="149">
        <v>0</v>
      </c>
      <c r="Q418" s="148">
        <v>0</v>
      </c>
      <c r="R418" s="150">
        <v>300500</v>
      </c>
      <c r="S4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8" s="135">
        <f ca="1">+IF(PROVEEDORES[[#This Row],[FECHA DE PAGO]]=0,TODAY()-PROVEEDORES[[#This Row],[FECHA DE FACTURACIÓN]]-PROVEEDORES[[#This Row],[PLAZO Días]],0)</f>
        <v>0</v>
      </c>
      <c r="U418" s="135">
        <f>+VLOOKUP(PROVEEDORES[[#This Row],[PROVEEDOR]],Terceros!$A:$D,4,FALSE)</f>
        <v>0</v>
      </c>
      <c r="V418" s="135">
        <f>+YEAR(PROVEEDORES[[#This Row],[FECHA DE FACTURACIÓN]])</f>
        <v>2023</v>
      </c>
      <c r="W418" s="135">
        <f>+MATCH(PROVEEDORES[[#This Row],[año facturado]],Retenciones!$1:$1,0)</f>
        <v>6</v>
      </c>
      <c r="X418" s="136">
        <f>+VLOOKUP(PROVEEDORES[[#This Row],[ID RETENCION]],Retenciones!$A$1:$O$25,PROVEEDORES[[#This Row],[indicador de columna]],FALSE)</f>
        <v>0</v>
      </c>
      <c r="Y418" s="137">
        <f>+VLOOKUP(PROVEEDORES[[#This Row],[ID RETENCION]],Retenciones!$A$1:$O$25,2,FALSE)</f>
        <v>0</v>
      </c>
      <c r="Z418" s="126" t="b">
        <f>+OR(COUNTIF(PROVEEDORES[[#This Row],[PROVEEDOR]],"*"&amp;'Palabra que no opera y Listas d'!$A$2&amp;"*"))</f>
        <v>0</v>
      </c>
    </row>
    <row r="419" spans="1:26" ht="27.75" customHeight="1" x14ac:dyDescent="0.25">
      <c r="A419" s="141" t="str">
        <f>+IF(PROVEEDORES[[#This Row],[FECHA DE PAGO]]=PROVEEDORES[[#This Row],[FECHA DE FACTURACIÓN]],"DE CONTADO","CRÉDITO")</f>
        <v>DE CONTADO</v>
      </c>
      <c r="B419" s="138" t="b">
        <f>+IF((PROVEEDORES[[#This Row],[FECHA DE PAGO]]-PROVEEDORES[[#This Row],[FECHA DE FACTURACIÓN]])&gt;PROVEEDORES[[#This Row],[PLAZO Días]],"PAGO VENCIDO")</f>
        <v>0</v>
      </c>
      <c r="C419" s="138">
        <f>+VLOOKUP(PROVEEDORES[[#This Row],[PROVEEDOR]],TERCEROS_INFO[#All],2,FALSE)</f>
        <v>30</v>
      </c>
      <c r="D419" s="139">
        <f>+SUMIFS(PROVEEDORES[Total],PROVEEDORES[PROVEEDOR],PROVEEDORES[[#This Row],[PROVEEDOR]],PROVEEDORES[FECHA DE PAGO],"")</f>
        <v>0</v>
      </c>
      <c r="E419" s="140"/>
      <c r="F419" s="138" t="str">
        <f>+VLOOKUP(PROVEEDORES[[#This Row],[PROVEEDOR]],
                       Terceros!$A:$F,
                       5,
                       FALSE)</f>
        <v/>
      </c>
      <c r="G419" s="127">
        <v>45108</v>
      </c>
      <c r="H419" s="123" t="s">
        <v>525</v>
      </c>
      <c r="I419" s="127">
        <v>45108</v>
      </c>
      <c r="J419" s="124" t="s">
        <v>480</v>
      </c>
      <c r="K419" s="124" t="s">
        <v>1530</v>
      </c>
      <c r="L419" s="124"/>
      <c r="M419" s="125">
        <v>783800</v>
      </c>
      <c r="N419" s="148">
        <v>0</v>
      </c>
      <c r="O419" s="148">
        <v>0</v>
      </c>
      <c r="P419" s="149">
        <v>0</v>
      </c>
      <c r="Q419" s="148">
        <v>0</v>
      </c>
      <c r="R419" s="150">
        <v>783800</v>
      </c>
      <c r="S4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19" s="135">
        <f ca="1">+IF(PROVEEDORES[[#This Row],[FECHA DE PAGO]]=0,TODAY()-PROVEEDORES[[#This Row],[FECHA DE FACTURACIÓN]]-PROVEEDORES[[#This Row],[PLAZO Días]],0)</f>
        <v>0</v>
      </c>
      <c r="U419" s="135">
        <f>+VLOOKUP(PROVEEDORES[[#This Row],[PROVEEDOR]],Terceros!$A:$D,4,FALSE)</f>
        <v>0</v>
      </c>
      <c r="V419" s="135">
        <f>+YEAR(PROVEEDORES[[#This Row],[FECHA DE FACTURACIÓN]])</f>
        <v>2023</v>
      </c>
      <c r="W419" s="135">
        <f>+MATCH(PROVEEDORES[[#This Row],[año facturado]],Retenciones!$1:$1,0)</f>
        <v>6</v>
      </c>
      <c r="X419" s="136">
        <f>+VLOOKUP(PROVEEDORES[[#This Row],[ID RETENCION]],Retenciones!$A$1:$O$25,PROVEEDORES[[#This Row],[indicador de columna]],FALSE)</f>
        <v>0</v>
      </c>
      <c r="Y419" s="137">
        <f>+VLOOKUP(PROVEEDORES[[#This Row],[ID RETENCION]],Retenciones!$A$1:$O$25,2,FALSE)</f>
        <v>0</v>
      </c>
      <c r="Z419" s="126" t="b">
        <f>+OR(COUNTIF(PROVEEDORES[[#This Row],[PROVEEDOR]],"*"&amp;'Palabra que no opera y Listas d'!$A$2&amp;"*"))</f>
        <v>0</v>
      </c>
    </row>
    <row r="420" spans="1:26" ht="27.75" customHeight="1" x14ac:dyDescent="0.25">
      <c r="A420" s="141" t="str">
        <f>+IF(PROVEEDORES[[#This Row],[FECHA DE PAGO]]=PROVEEDORES[[#This Row],[FECHA DE FACTURACIÓN]],"DE CONTADO","CRÉDITO")</f>
        <v>DE CONTADO</v>
      </c>
      <c r="B420" s="138" t="b">
        <f>+IF((PROVEEDORES[[#This Row],[FECHA DE PAGO]]-PROVEEDORES[[#This Row],[FECHA DE FACTURACIÓN]])&gt;PROVEEDORES[[#This Row],[PLAZO Días]],"PAGO VENCIDO")</f>
        <v>0</v>
      </c>
      <c r="C420" s="138">
        <f>+VLOOKUP(PROVEEDORES[[#This Row],[PROVEEDOR]],TERCEROS_INFO[#All],2,FALSE)</f>
        <v>30</v>
      </c>
      <c r="D420" s="139">
        <f>+SUMIFS(PROVEEDORES[Total],PROVEEDORES[PROVEEDOR],PROVEEDORES[[#This Row],[PROVEEDOR]],PROVEEDORES[FECHA DE PAGO],"")</f>
        <v>0</v>
      </c>
      <c r="E420" s="140"/>
      <c r="F420" s="138" t="str">
        <f>+VLOOKUP(PROVEEDORES[[#This Row],[PROVEEDOR]],
                       Terceros!$A:$F,
                       5,
                       FALSE)</f>
        <v/>
      </c>
      <c r="G420" s="127">
        <v>45108</v>
      </c>
      <c r="H420" s="123" t="s">
        <v>525</v>
      </c>
      <c r="I420" s="127">
        <v>45108</v>
      </c>
      <c r="J420" s="124" t="s">
        <v>478</v>
      </c>
      <c r="K420" s="124" t="s">
        <v>1530</v>
      </c>
      <c r="L420" s="124"/>
      <c r="M420" s="125">
        <v>840000</v>
      </c>
      <c r="N420" s="148">
        <v>0</v>
      </c>
      <c r="O420" s="148">
        <v>0</v>
      </c>
      <c r="P420" s="149">
        <v>0</v>
      </c>
      <c r="Q420" s="148">
        <v>0</v>
      </c>
      <c r="R420" s="150">
        <v>840000</v>
      </c>
      <c r="S4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0" s="135">
        <f ca="1">+IF(PROVEEDORES[[#This Row],[FECHA DE PAGO]]=0,TODAY()-PROVEEDORES[[#This Row],[FECHA DE FACTURACIÓN]]-PROVEEDORES[[#This Row],[PLAZO Días]],0)</f>
        <v>0</v>
      </c>
      <c r="U420" s="135">
        <f>+VLOOKUP(PROVEEDORES[[#This Row],[PROVEEDOR]],Terceros!$A:$D,4,FALSE)</f>
        <v>0</v>
      </c>
      <c r="V420" s="135">
        <f>+YEAR(PROVEEDORES[[#This Row],[FECHA DE FACTURACIÓN]])</f>
        <v>2023</v>
      </c>
      <c r="W420" s="135">
        <f>+MATCH(PROVEEDORES[[#This Row],[año facturado]],Retenciones!$1:$1,0)</f>
        <v>6</v>
      </c>
      <c r="X420" s="136">
        <f>+VLOOKUP(PROVEEDORES[[#This Row],[ID RETENCION]],Retenciones!$A$1:$O$25,PROVEEDORES[[#This Row],[indicador de columna]],FALSE)</f>
        <v>0</v>
      </c>
      <c r="Y420" s="137">
        <f>+VLOOKUP(PROVEEDORES[[#This Row],[ID RETENCION]],Retenciones!$A$1:$O$25,2,FALSE)</f>
        <v>0</v>
      </c>
      <c r="Z420" s="126" t="b">
        <f>+OR(COUNTIF(PROVEEDORES[[#This Row],[PROVEEDOR]],"*"&amp;'Palabra que no opera y Listas d'!$A$2&amp;"*"))</f>
        <v>0</v>
      </c>
    </row>
    <row r="421" spans="1:26" ht="27.75" customHeight="1" x14ac:dyDescent="0.25">
      <c r="A421" s="141" t="str">
        <f>+IF(PROVEEDORES[[#This Row],[FECHA DE PAGO]]=PROVEEDORES[[#This Row],[FECHA DE FACTURACIÓN]],"DE CONTADO","CRÉDITO")</f>
        <v>DE CONTADO</v>
      </c>
      <c r="B421" s="138" t="b">
        <f>+IF((PROVEEDORES[[#This Row],[FECHA DE PAGO]]-PROVEEDORES[[#This Row],[FECHA DE FACTURACIÓN]])&gt;PROVEEDORES[[#This Row],[PLAZO Días]],"PAGO VENCIDO")</f>
        <v>0</v>
      </c>
      <c r="C421" s="138">
        <f>+VLOOKUP(PROVEEDORES[[#This Row],[PROVEEDOR]],TERCEROS_INFO[#All],2,FALSE)</f>
        <v>30</v>
      </c>
      <c r="D421" s="139">
        <f>+SUMIFS(PROVEEDORES[Total],PROVEEDORES[PROVEEDOR],PROVEEDORES[[#This Row],[PROVEEDOR]],PROVEEDORES[FECHA DE PAGO],"")</f>
        <v>0</v>
      </c>
      <c r="E421" s="140"/>
      <c r="F421" s="138" t="str">
        <f>+VLOOKUP(PROVEEDORES[[#This Row],[PROVEEDOR]],
                       Terceros!$A:$F,
                       5,
                       FALSE)</f>
        <v/>
      </c>
      <c r="G421" s="127">
        <v>45108</v>
      </c>
      <c r="H421" s="123" t="s">
        <v>525</v>
      </c>
      <c r="I421" s="127">
        <v>45108</v>
      </c>
      <c r="J421" s="124" t="s">
        <v>477</v>
      </c>
      <c r="K421" s="124" t="s">
        <v>1530</v>
      </c>
      <c r="L421" s="124"/>
      <c r="M421" s="125">
        <v>1419000</v>
      </c>
      <c r="N421" s="148">
        <v>0</v>
      </c>
      <c r="O421" s="148">
        <v>0</v>
      </c>
      <c r="P421" s="149">
        <v>0</v>
      </c>
      <c r="Q421" s="148">
        <v>0</v>
      </c>
      <c r="R421" s="150">
        <v>1419000</v>
      </c>
      <c r="S4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1" s="135">
        <f ca="1">+IF(PROVEEDORES[[#This Row],[FECHA DE PAGO]]=0,TODAY()-PROVEEDORES[[#This Row],[FECHA DE FACTURACIÓN]]-PROVEEDORES[[#This Row],[PLAZO Días]],0)</f>
        <v>0</v>
      </c>
      <c r="U421" s="135">
        <f>+VLOOKUP(PROVEEDORES[[#This Row],[PROVEEDOR]],Terceros!$A:$D,4,FALSE)</f>
        <v>0</v>
      </c>
      <c r="V421" s="135">
        <f>+YEAR(PROVEEDORES[[#This Row],[FECHA DE FACTURACIÓN]])</f>
        <v>2023</v>
      </c>
      <c r="W421" s="135">
        <f>+MATCH(PROVEEDORES[[#This Row],[año facturado]],Retenciones!$1:$1,0)</f>
        <v>6</v>
      </c>
      <c r="X421" s="136">
        <f>+VLOOKUP(PROVEEDORES[[#This Row],[ID RETENCION]],Retenciones!$A$1:$O$25,PROVEEDORES[[#This Row],[indicador de columna]],FALSE)</f>
        <v>0</v>
      </c>
      <c r="Y421" s="137">
        <f>+VLOOKUP(PROVEEDORES[[#This Row],[ID RETENCION]],Retenciones!$A$1:$O$25,2,FALSE)</f>
        <v>0</v>
      </c>
      <c r="Z421" s="126" t="b">
        <f>+OR(COUNTIF(PROVEEDORES[[#This Row],[PROVEEDOR]],"*"&amp;'Palabra que no opera y Listas d'!$A$2&amp;"*"))</f>
        <v>0</v>
      </c>
    </row>
    <row r="422" spans="1:26" ht="27.75" customHeight="1" x14ac:dyDescent="0.25">
      <c r="A422" s="141" t="str">
        <f>+IF(PROVEEDORES[[#This Row],[FECHA DE PAGO]]=PROVEEDORES[[#This Row],[FECHA DE FACTURACIÓN]],"DE CONTADO","CRÉDITO")</f>
        <v>CRÉDITO</v>
      </c>
      <c r="B422" s="138" t="str">
        <f>+IF((PROVEEDORES[[#This Row],[FECHA DE PAGO]]-PROVEEDORES[[#This Row],[FECHA DE FACTURACIÓN]])&gt;PROVEEDORES[[#This Row],[PLAZO Días]],"PAGO VENCIDO")</f>
        <v>PAGO VENCIDO</v>
      </c>
      <c r="C422" s="138">
        <f>+VLOOKUP(PROVEEDORES[[#This Row],[PROVEEDOR]],TERCEROS_INFO[#All],2,FALSE)</f>
        <v>30</v>
      </c>
      <c r="D422" s="139">
        <f>+SUMIFS(PROVEEDORES[Total],PROVEEDORES[PROVEEDOR],PROVEEDORES[[#This Row],[PROVEEDOR]],PROVEEDORES[FECHA DE PAGO],"")</f>
        <v>352000</v>
      </c>
      <c r="E422" s="140"/>
      <c r="F422" s="138" t="str">
        <f>+VLOOKUP(PROVEEDORES[[#This Row],[PROVEEDOR]],
                       Terceros!$A:$F,
                       5,
                       FALSE)</f>
        <v/>
      </c>
      <c r="G422" s="127">
        <v>45111</v>
      </c>
      <c r="H422" s="123" t="s">
        <v>527</v>
      </c>
      <c r="I422" s="127">
        <v>45047</v>
      </c>
      <c r="J422" s="124">
        <v>45</v>
      </c>
      <c r="K422" s="124" t="s">
        <v>1530</v>
      </c>
      <c r="L422" s="124"/>
      <c r="M422" s="125">
        <v>420500</v>
      </c>
      <c r="N422" s="148">
        <v>0</v>
      </c>
      <c r="O422" s="148">
        <v>0</v>
      </c>
      <c r="P422" s="149">
        <v>0</v>
      </c>
      <c r="Q422" s="148">
        <v>0</v>
      </c>
      <c r="R422" s="150">
        <v>420500</v>
      </c>
      <c r="S4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2" s="135">
        <f ca="1">+IF(PROVEEDORES[[#This Row],[FECHA DE PAGO]]=0,TODAY()-PROVEEDORES[[#This Row],[FECHA DE FACTURACIÓN]]-PROVEEDORES[[#This Row],[PLAZO Días]],0)</f>
        <v>0</v>
      </c>
      <c r="U422" s="135">
        <f>+VLOOKUP(PROVEEDORES[[#This Row],[PROVEEDOR]],Terceros!$A:$D,4,FALSE)</f>
        <v>0</v>
      </c>
      <c r="V422" s="135">
        <f>+YEAR(PROVEEDORES[[#This Row],[FECHA DE FACTURACIÓN]])</f>
        <v>2023</v>
      </c>
      <c r="W422" s="135">
        <f>+MATCH(PROVEEDORES[[#This Row],[año facturado]],Retenciones!$1:$1,0)</f>
        <v>6</v>
      </c>
      <c r="X422" s="136">
        <f>+VLOOKUP(PROVEEDORES[[#This Row],[ID RETENCION]],Retenciones!$A$1:$O$25,PROVEEDORES[[#This Row],[indicador de columna]],FALSE)</f>
        <v>0</v>
      </c>
      <c r="Y422" s="137">
        <f>+VLOOKUP(PROVEEDORES[[#This Row],[ID RETENCION]],Retenciones!$A$1:$O$25,2,FALSE)</f>
        <v>0</v>
      </c>
      <c r="Z422" s="126" t="b">
        <f>+OR(COUNTIF(PROVEEDORES[[#This Row],[PROVEEDOR]],"*"&amp;'Palabra que no opera y Listas d'!$A$2&amp;"*"))</f>
        <v>0</v>
      </c>
    </row>
    <row r="423" spans="1:26" ht="27.75" customHeight="1" x14ac:dyDescent="0.25">
      <c r="A423" s="141" t="str">
        <f>+IF(PROVEEDORES[[#This Row],[FECHA DE PAGO]]=PROVEEDORES[[#This Row],[FECHA DE FACTURACIÓN]],"DE CONTADO","CRÉDITO")</f>
        <v>CRÉDITO</v>
      </c>
      <c r="B423" s="138" t="str">
        <f>+IF((PROVEEDORES[[#This Row],[FECHA DE PAGO]]-PROVEEDORES[[#This Row],[FECHA DE FACTURACIÓN]])&gt;PROVEEDORES[[#This Row],[PLAZO Días]],"PAGO VENCIDO")</f>
        <v>PAGO VENCIDO</v>
      </c>
      <c r="C423" s="138">
        <f>+VLOOKUP(PROVEEDORES[[#This Row],[PROVEEDOR]],TERCEROS_INFO[#All],2,FALSE)</f>
        <v>30</v>
      </c>
      <c r="D423" s="139">
        <f>+SUMIFS(PROVEEDORES[Total],PROVEEDORES[PROVEEDOR],PROVEEDORES[[#This Row],[PROVEEDOR]],PROVEEDORES[FECHA DE PAGO],"")</f>
        <v>352000</v>
      </c>
      <c r="E423" s="140"/>
      <c r="F423" s="138" t="str">
        <f>+VLOOKUP(PROVEEDORES[[#This Row],[PROVEEDOR]],
                       Terceros!$A:$F,
                       5,
                       FALSE)</f>
        <v/>
      </c>
      <c r="G423" s="127">
        <v>45111</v>
      </c>
      <c r="H423" s="123" t="s">
        <v>527</v>
      </c>
      <c r="I423" s="127">
        <v>45055</v>
      </c>
      <c r="J423" s="124">
        <v>46</v>
      </c>
      <c r="K423" s="124" t="s">
        <v>1530</v>
      </c>
      <c r="L423" s="124"/>
      <c r="M423" s="125">
        <v>59000</v>
      </c>
      <c r="N423" s="148">
        <v>0</v>
      </c>
      <c r="O423" s="148">
        <v>0</v>
      </c>
      <c r="P423" s="149">
        <v>0</v>
      </c>
      <c r="Q423" s="148">
        <v>0</v>
      </c>
      <c r="R423" s="150">
        <v>59000</v>
      </c>
      <c r="S4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3" s="135">
        <f ca="1">+IF(PROVEEDORES[[#This Row],[FECHA DE PAGO]]=0,TODAY()-PROVEEDORES[[#This Row],[FECHA DE FACTURACIÓN]]-PROVEEDORES[[#This Row],[PLAZO Días]],0)</f>
        <v>0</v>
      </c>
      <c r="U423" s="135">
        <f>+VLOOKUP(PROVEEDORES[[#This Row],[PROVEEDOR]],Terceros!$A:$D,4,FALSE)</f>
        <v>0</v>
      </c>
      <c r="V423" s="135">
        <f>+YEAR(PROVEEDORES[[#This Row],[FECHA DE FACTURACIÓN]])</f>
        <v>2023</v>
      </c>
      <c r="W423" s="135">
        <f>+MATCH(PROVEEDORES[[#This Row],[año facturado]],Retenciones!$1:$1,0)</f>
        <v>6</v>
      </c>
      <c r="X423" s="136">
        <f>+VLOOKUP(PROVEEDORES[[#This Row],[ID RETENCION]],Retenciones!$A$1:$O$25,PROVEEDORES[[#This Row],[indicador de columna]],FALSE)</f>
        <v>0</v>
      </c>
      <c r="Y423" s="137">
        <f>+VLOOKUP(PROVEEDORES[[#This Row],[ID RETENCION]],Retenciones!$A$1:$O$25,2,FALSE)</f>
        <v>0</v>
      </c>
      <c r="Z423" s="126" t="b">
        <f>+OR(COUNTIF(PROVEEDORES[[#This Row],[PROVEEDOR]],"*"&amp;'Palabra que no opera y Listas d'!$A$2&amp;"*"))</f>
        <v>0</v>
      </c>
    </row>
    <row r="424" spans="1:26" ht="27.75" customHeight="1" x14ac:dyDescent="0.25">
      <c r="A424" s="141" t="str">
        <f>+IF(PROVEEDORES[[#This Row],[FECHA DE PAGO]]=PROVEEDORES[[#This Row],[FECHA DE FACTURACIÓN]],"DE CONTADO","CRÉDITO")</f>
        <v>CRÉDITO</v>
      </c>
      <c r="B424" s="138" t="str">
        <f>+IF((PROVEEDORES[[#This Row],[FECHA DE PAGO]]-PROVEEDORES[[#This Row],[FECHA DE FACTURACIÓN]])&gt;PROVEEDORES[[#This Row],[PLAZO Días]],"PAGO VENCIDO")</f>
        <v>PAGO VENCIDO</v>
      </c>
      <c r="C424" s="138">
        <f>+VLOOKUP(PROVEEDORES[[#This Row],[PROVEEDOR]],TERCEROS_INFO[#All],2,FALSE)</f>
        <v>30</v>
      </c>
      <c r="D424" s="139">
        <f>+SUMIFS(PROVEEDORES[Total],PROVEEDORES[PROVEEDOR],PROVEEDORES[[#This Row],[PROVEEDOR]],PROVEEDORES[FECHA DE PAGO],"")</f>
        <v>9349257.8100000005</v>
      </c>
      <c r="E424" s="140"/>
      <c r="F424" s="13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424" s="127">
        <v>45111</v>
      </c>
      <c r="H424" s="123" t="s">
        <v>226</v>
      </c>
      <c r="I424" s="127">
        <v>45056</v>
      </c>
      <c r="J424" s="124" t="s">
        <v>798</v>
      </c>
      <c r="K424" s="124" t="s">
        <v>1530</v>
      </c>
      <c r="L424" s="124"/>
      <c r="M424" s="125">
        <v>3156811</v>
      </c>
      <c r="N424" s="148">
        <v>599794.09</v>
      </c>
      <c r="O424" s="148">
        <v>0</v>
      </c>
      <c r="P424" s="149">
        <v>2.5000000000000001E-2</v>
      </c>
      <c r="Q424" s="148">
        <v>78920.275000000009</v>
      </c>
      <c r="R424" s="150">
        <v>3677684.8149999999</v>
      </c>
      <c r="S4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4" s="135">
        <f ca="1">+IF(PROVEEDORES[[#This Row],[FECHA DE PAGO]]=0,TODAY()-PROVEEDORES[[#This Row],[FECHA DE FACTURACIÓN]]-PROVEEDORES[[#This Row],[PLAZO Días]],0)</f>
        <v>0</v>
      </c>
      <c r="U424" s="135" t="str">
        <f>+VLOOKUP(PROVEEDORES[[#This Row],[PROVEEDOR]],Terceros!$A:$D,4,FALSE)</f>
        <v>2,5% con base</v>
      </c>
      <c r="V424" s="135">
        <f>+YEAR(PROVEEDORES[[#This Row],[FECHA DE FACTURACIÓN]])</f>
        <v>2023</v>
      </c>
      <c r="W424" s="135">
        <f>+MATCH(PROVEEDORES[[#This Row],[año facturado]],Retenciones!$1:$1,0)</f>
        <v>6</v>
      </c>
      <c r="X424" s="136">
        <f>+VLOOKUP(PROVEEDORES[[#This Row],[ID RETENCION]],Retenciones!$A$1:$O$25,PROVEEDORES[[#This Row],[indicador de columna]],FALSE)</f>
        <v>1145000</v>
      </c>
      <c r="Y424" s="137">
        <f>+VLOOKUP(PROVEEDORES[[#This Row],[ID RETENCION]],Retenciones!$A$1:$O$25,2,FALSE)</f>
        <v>2.5000000000000001E-2</v>
      </c>
      <c r="Z424" s="126" t="b">
        <f>+OR(COUNTIF(PROVEEDORES[[#This Row],[PROVEEDOR]],"*"&amp;'Palabra que no opera y Listas d'!$A$2&amp;"*"))</f>
        <v>0</v>
      </c>
    </row>
    <row r="425" spans="1:26" ht="27.75" customHeight="1" x14ac:dyDescent="0.25">
      <c r="A425" s="141" t="str">
        <f>+IF(PROVEEDORES[[#This Row],[FECHA DE PAGO]]=PROVEEDORES[[#This Row],[FECHA DE FACTURACIÓN]],"DE CONTADO","CRÉDITO")</f>
        <v>CRÉDITO</v>
      </c>
      <c r="B425" s="138" t="str">
        <f>+IF((PROVEEDORES[[#This Row],[FECHA DE PAGO]]-PROVEEDORES[[#This Row],[FECHA DE FACTURACIÓN]])&gt;PROVEEDORES[[#This Row],[PLAZO Días]],"PAGO VENCIDO")</f>
        <v>PAGO VENCIDO</v>
      </c>
      <c r="C425" s="138">
        <f>+VLOOKUP(PROVEEDORES[[#This Row],[PROVEEDOR]],TERCEROS_INFO[#All],2,FALSE)</f>
        <v>30</v>
      </c>
      <c r="D425" s="139">
        <f>+SUMIFS(PROVEEDORES[Total],PROVEEDORES[PROVEEDOR],PROVEEDORES[[#This Row],[PROVEEDOR]],PROVEEDORES[FECHA DE PAGO],"")</f>
        <v>0</v>
      </c>
      <c r="E425" s="140"/>
      <c r="F425" s="138" t="str">
        <f>+VLOOKUP(PROVEEDORES[[#This Row],[PROVEEDOR]],
                       Terceros!$A:$F,
                       5,
                       FALSE)</f>
        <v>ragomedellin@gmail.com;girlesa.ruiz@servipilas.com;joriescobar64@gmail.com</v>
      </c>
      <c r="G425" s="127">
        <v>45111</v>
      </c>
      <c r="H425" s="123" t="s">
        <v>16</v>
      </c>
      <c r="I425" s="127">
        <v>45057</v>
      </c>
      <c r="J425" s="124" t="s">
        <v>797</v>
      </c>
      <c r="K425" s="124" t="s">
        <v>1530</v>
      </c>
      <c r="L425" s="124"/>
      <c r="M425" s="125">
        <v>436975</v>
      </c>
      <c r="N425" s="148">
        <v>83025.25</v>
      </c>
      <c r="O425" s="148">
        <v>0</v>
      </c>
      <c r="P425" s="149">
        <v>0</v>
      </c>
      <c r="Q425" s="148">
        <v>0</v>
      </c>
      <c r="R425" s="150">
        <v>520000.25</v>
      </c>
      <c r="S4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5" s="135">
        <f ca="1">+IF(PROVEEDORES[[#This Row],[FECHA DE PAGO]]=0,TODAY()-PROVEEDORES[[#This Row],[FECHA DE FACTURACIÓN]]-PROVEEDORES[[#This Row],[PLAZO Días]],0)</f>
        <v>0</v>
      </c>
      <c r="U425" s="135" t="str">
        <f>+VLOOKUP(PROVEEDORES[[#This Row],[PROVEEDOR]],Terceros!$A:$D,4,FALSE)</f>
        <v>2,5% con base</v>
      </c>
      <c r="V425" s="135">
        <f>+YEAR(PROVEEDORES[[#This Row],[FECHA DE FACTURACIÓN]])</f>
        <v>2023</v>
      </c>
      <c r="W425" s="135">
        <f>+MATCH(PROVEEDORES[[#This Row],[año facturado]],Retenciones!$1:$1,0)</f>
        <v>6</v>
      </c>
      <c r="X425" s="136">
        <f>+VLOOKUP(PROVEEDORES[[#This Row],[ID RETENCION]],Retenciones!$A$1:$O$25,PROVEEDORES[[#This Row],[indicador de columna]],FALSE)</f>
        <v>1145000</v>
      </c>
      <c r="Y425" s="137">
        <f>+VLOOKUP(PROVEEDORES[[#This Row],[ID RETENCION]],Retenciones!$A$1:$O$25,2,FALSE)</f>
        <v>2.5000000000000001E-2</v>
      </c>
      <c r="Z425" s="126" t="b">
        <f>+OR(COUNTIF(PROVEEDORES[[#This Row],[PROVEEDOR]],"*"&amp;'Palabra que no opera y Listas d'!$A$2&amp;"*"))</f>
        <v>0</v>
      </c>
    </row>
    <row r="426" spans="1:26" ht="27.75" customHeight="1" x14ac:dyDescent="0.25">
      <c r="A426" s="141" t="str">
        <f>+IF(PROVEEDORES[[#This Row],[FECHA DE PAGO]]=PROVEEDORES[[#This Row],[FECHA DE FACTURACIÓN]],"DE CONTADO","CRÉDITO")</f>
        <v>CRÉDITO</v>
      </c>
      <c r="B426" s="138" t="str">
        <f>+IF((PROVEEDORES[[#This Row],[FECHA DE PAGO]]-PROVEEDORES[[#This Row],[FECHA DE FACTURACIÓN]])&gt;PROVEEDORES[[#This Row],[PLAZO Días]],"PAGO VENCIDO")</f>
        <v>PAGO VENCIDO</v>
      </c>
      <c r="C426" s="138">
        <f>+VLOOKUP(PROVEEDORES[[#This Row],[PROVEEDOR]],TERCEROS_INFO[#All],2,FALSE)</f>
        <v>30</v>
      </c>
      <c r="D426" s="139">
        <f>+SUMIFS(PROVEEDORES[Total],PROVEEDORES[PROVEEDOR],PROVEEDORES[[#This Row],[PROVEEDOR]],PROVEEDORES[FECHA DE PAGO],"")</f>
        <v>9349257.8100000005</v>
      </c>
      <c r="E426" s="140"/>
      <c r="F426" s="13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426" s="127">
        <v>45111</v>
      </c>
      <c r="H426" s="123" t="s">
        <v>226</v>
      </c>
      <c r="I426" s="127">
        <v>45062</v>
      </c>
      <c r="J426" s="124" t="s">
        <v>799</v>
      </c>
      <c r="K426" s="124" t="s">
        <v>1530</v>
      </c>
      <c r="L426" s="124"/>
      <c r="M426" s="125">
        <v>-123655</v>
      </c>
      <c r="N426" s="148">
        <v>-23494.45</v>
      </c>
      <c r="O426" s="148">
        <v>0</v>
      </c>
      <c r="P426" s="149">
        <v>0</v>
      </c>
      <c r="Q426" s="148">
        <v>0</v>
      </c>
      <c r="R426" s="150">
        <v>-147149.45000000001</v>
      </c>
      <c r="S4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6" s="135">
        <f ca="1">+IF(PROVEEDORES[[#This Row],[FECHA DE PAGO]]=0,TODAY()-PROVEEDORES[[#This Row],[FECHA DE FACTURACIÓN]]-PROVEEDORES[[#This Row],[PLAZO Días]],0)</f>
        <v>0</v>
      </c>
      <c r="U426" s="135" t="str">
        <f>+VLOOKUP(PROVEEDORES[[#This Row],[PROVEEDOR]],Terceros!$A:$D,4,FALSE)</f>
        <v>2,5% con base</v>
      </c>
      <c r="V426" s="135">
        <f>+YEAR(PROVEEDORES[[#This Row],[FECHA DE FACTURACIÓN]])</f>
        <v>2023</v>
      </c>
      <c r="W426" s="135">
        <f>+MATCH(PROVEEDORES[[#This Row],[año facturado]],Retenciones!$1:$1,0)</f>
        <v>6</v>
      </c>
      <c r="X426" s="136">
        <f>+VLOOKUP(PROVEEDORES[[#This Row],[ID RETENCION]],Retenciones!$A$1:$O$25,PROVEEDORES[[#This Row],[indicador de columna]],FALSE)</f>
        <v>1145000</v>
      </c>
      <c r="Y426" s="137">
        <f>+VLOOKUP(PROVEEDORES[[#This Row],[ID RETENCION]],Retenciones!$A$1:$O$25,2,FALSE)</f>
        <v>2.5000000000000001E-2</v>
      </c>
      <c r="Z426" s="126" t="b">
        <f>+OR(COUNTIF(PROVEEDORES[[#This Row],[PROVEEDOR]],"*"&amp;'Palabra que no opera y Listas d'!$A$2&amp;"*"))</f>
        <v>0</v>
      </c>
    </row>
    <row r="427" spans="1:26" ht="27.75" customHeight="1" x14ac:dyDescent="0.25">
      <c r="A427" s="141" t="str">
        <f>+IF(PROVEEDORES[[#This Row],[FECHA DE PAGO]]=PROVEEDORES[[#This Row],[FECHA DE FACTURACIÓN]],"DE CONTADO","CRÉDITO")</f>
        <v>CRÉDITO</v>
      </c>
      <c r="B427" s="138" t="str">
        <f>+IF((PROVEEDORES[[#This Row],[FECHA DE PAGO]]-PROVEEDORES[[#This Row],[FECHA DE FACTURACIÓN]])&gt;PROVEEDORES[[#This Row],[PLAZO Días]],"PAGO VENCIDO")</f>
        <v>PAGO VENCIDO</v>
      </c>
      <c r="C427" s="138">
        <f>+VLOOKUP(PROVEEDORES[[#This Row],[PROVEEDOR]],TERCEROS_INFO[#All],2,FALSE)</f>
        <v>30</v>
      </c>
      <c r="D427" s="139">
        <f>+SUMIFS(PROVEEDORES[Total],PROVEEDORES[PROVEEDOR],PROVEEDORES[[#This Row],[PROVEEDOR]],PROVEEDORES[FECHA DE PAGO],"")</f>
        <v>352000</v>
      </c>
      <c r="E427" s="140"/>
      <c r="F427" s="138" t="str">
        <f>+VLOOKUP(PROVEEDORES[[#This Row],[PROVEEDOR]],
                       Terceros!$A:$F,
                       5,
                       FALSE)</f>
        <v/>
      </c>
      <c r="G427" s="127">
        <v>45111</v>
      </c>
      <c r="H427" s="123" t="s">
        <v>527</v>
      </c>
      <c r="I427" s="127">
        <v>45065</v>
      </c>
      <c r="J427" s="124">
        <v>47</v>
      </c>
      <c r="K427" s="124" t="s">
        <v>1530</v>
      </c>
      <c r="L427" s="124"/>
      <c r="M427" s="125">
        <v>58000</v>
      </c>
      <c r="N427" s="148">
        <v>0</v>
      </c>
      <c r="O427" s="148">
        <v>0</v>
      </c>
      <c r="P427" s="149">
        <v>0</v>
      </c>
      <c r="Q427" s="148">
        <v>0</v>
      </c>
      <c r="R427" s="150">
        <v>58000</v>
      </c>
      <c r="S4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7" s="135">
        <f ca="1">+IF(PROVEEDORES[[#This Row],[FECHA DE PAGO]]=0,TODAY()-PROVEEDORES[[#This Row],[FECHA DE FACTURACIÓN]]-PROVEEDORES[[#This Row],[PLAZO Días]],0)</f>
        <v>0</v>
      </c>
      <c r="U427" s="135">
        <f>+VLOOKUP(PROVEEDORES[[#This Row],[PROVEEDOR]],Terceros!$A:$D,4,FALSE)</f>
        <v>0</v>
      </c>
      <c r="V427" s="135">
        <f>+YEAR(PROVEEDORES[[#This Row],[FECHA DE FACTURACIÓN]])</f>
        <v>2023</v>
      </c>
      <c r="W427" s="135">
        <f>+MATCH(PROVEEDORES[[#This Row],[año facturado]],Retenciones!$1:$1,0)</f>
        <v>6</v>
      </c>
      <c r="X427" s="136">
        <f>+VLOOKUP(PROVEEDORES[[#This Row],[ID RETENCION]],Retenciones!$A$1:$O$25,PROVEEDORES[[#This Row],[indicador de columna]],FALSE)</f>
        <v>0</v>
      </c>
      <c r="Y427" s="137">
        <f>+VLOOKUP(PROVEEDORES[[#This Row],[ID RETENCION]],Retenciones!$A$1:$O$25,2,FALSE)</f>
        <v>0</v>
      </c>
      <c r="Z427" s="126" t="b">
        <f>+OR(COUNTIF(PROVEEDORES[[#This Row],[PROVEEDOR]],"*"&amp;'Palabra que no opera y Listas d'!$A$2&amp;"*"))</f>
        <v>0</v>
      </c>
    </row>
    <row r="428" spans="1:26" ht="27.75" customHeight="1" x14ac:dyDescent="0.25">
      <c r="A428" s="141" t="str">
        <f>+IF(PROVEEDORES[[#This Row],[FECHA DE PAGO]]=PROVEEDORES[[#This Row],[FECHA DE FACTURACIÓN]],"DE CONTADO","CRÉDITO")</f>
        <v>CRÉDITO</v>
      </c>
      <c r="B428" s="138" t="str">
        <f>+IF((PROVEEDORES[[#This Row],[FECHA DE PAGO]]-PROVEEDORES[[#This Row],[FECHA DE FACTURACIÓN]])&gt;PROVEEDORES[[#This Row],[PLAZO Días]],"PAGO VENCIDO")</f>
        <v>PAGO VENCIDO</v>
      </c>
      <c r="C428" s="138">
        <f>+VLOOKUP(PROVEEDORES[[#This Row],[PROVEEDOR]],TERCEROS_INFO[#All],2,FALSE)</f>
        <v>30</v>
      </c>
      <c r="D428" s="139">
        <f>+SUMIFS(PROVEEDORES[Total],PROVEEDORES[PROVEEDOR],PROVEEDORES[[#This Row],[PROVEEDOR]],PROVEEDORES[FECHA DE PAGO],"")</f>
        <v>352000</v>
      </c>
      <c r="E428" s="140"/>
      <c r="F428" s="138" t="str">
        <f>+VLOOKUP(PROVEEDORES[[#This Row],[PROVEEDOR]],
                       Terceros!$A:$F,
                       5,
                       FALSE)</f>
        <v/>
      </c>
      <c r="G428" s="127">
        <v>45111</v>
      </c>
      <c r="H428" s="123" t="s">
        <v>527</v>
      </c>
      <c r="I428" s="127">
        <v>45067</v>
      </c>
      <c r="J428" s="124">
        <v>48</v>
      </c>
      <c r="K428" s="124" t="s">
        <v>1530</v>
      </c>
      <c r="L428" s="124"/>
      <c r="M428" s="125">
        <v>54000</v>
      </c>
      <c r="N428" s="148">
        <v>0</v>
      </c>
      <c r="O428" s="148">
        <v>0</v>
      </c>
      <c r="P428" s="149">
        <v>0</v>
      </c>
      <c r="Q428" s="148">
        <v>0</v>
      </c>
      <c r="R428" s="150">
        <v>54000</v>
      </c>
      <c r="S4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8" s="135">
        <f ca="1">+IF(PROVEEDORES[[#This Row],[FECHA DE PAGO]]=0,TODAY()-PROVEEDORES[[#This Row],[FECHA DE FACTURACIÓN]]-PROVEEDORES[[#This Row],[PLAZO Días]],0)</f>
        <v>0</v>
      </c>
      <c r="U428" s="135">
        <f>+VLOOKUP(PROVEEDORES[[#This Row],[PROVEEDOR]],Terceros!$A:$D,4,FALSE)</f>
        <v>0</v>
      </c>
      <c r="V428" s="135">
        <f>+YEAR(PROVEEDORES[[#This Row],[FECHA DE FACTURACIÓN]])</f>
        <v>2023</v>
      </c>
      <c r="W428" s="135">
        <f>+MATCH(PROVEEDORES[[#This Row],[año facturado]],Retenciones!$1:$1,0)</f>
        <v>6</v>
      </c>
      <c r="X428" s="136">
        <f>+VLOOKUP(PROVEEDORES[[#This Row],[ID RETENCION]],Retenciones!$A$1:$O$25,PROVEEDORES[[#This Row],[indicador de columna]],FALSE)</f>
        <v>0</v>
      </c>
      <c r="Y428" s="137">
        <f>+VLOOKUP(PROVEEDORES[[#This Row],[ID RETENCION]],Retenciones!$A$1:$O$25,2,FALSE)</f>
        <v>0</v>
      </c>
      <c r="Z428" s="126" t="b">
        <f>+OR(COUNTIF(PROVEEDORES[[#This Row],[PROVEEDOR]],"*"&amp;'Palabra que no opera y Listas d'!$A$2&amp;"*"))</f>
        <v>0</v>
      </c>
    </row>
    <row r="429" spans="1:26" ht="27.75" customHeight="1" x14ac:dyDescent="0.25">
      <c r="A429" s="141" t="str">
        <f>+IF(PROVEEDORES[[#This Row],[FECHA DE PAGO]]=PROVEEDORES[[#This Row],[FECHA DE FACTURACIÓN]],"DE CONTADO","CRÉDITO")</f>
        <v>CRÉDITO</v>
      </c>
      <c r="B429" s="138" t="str">
        <f>+IF((PROVEEDORES[[#This Row],[FECHA DE PAGO]]-PROVEEDORES[[#This Row],[FECHA DE FACTURACIÓN]])&gt;PROVEEDORES[[#This Row],[PLAZO Días]],"PAGO VENCIDO")</f>
        <v>PAGO VENCIDO</v>
      </c>
      <c r="C429" s="138">
        <f>+VLOOKUP(PROVEEDORES[[#This Row],[PROVEEDOR]],TERCEROS_INFO[#All],2,FALSE)</f>
        <v>30</v>
      </c>
      <c r="D429" s="139">
        <f>+SUMIFS(PROVEEDORES[Total],PROVEEDORES[PROVEEDOR],PROVEEDORES[[#This Row],[PROVEEDOR]],PROVEEDORES[FECHA DE PAGO],"")</f>
        <v>352000</v>
      </c>
      <c r="E429" s="140"/>
      <c r="F429" s="138" t="str">
        <f>+VLOOKUP(PROVEEDORES[[#This Row],[PROVEEDOR]],
                       Terceros!$A:$F,
                       5,
                       FALSE)</f>
        <v/>
      </c>
      <c r="G429" s="127">
        <v>45111</v>
      </c>
      <c r="H429" s="123" t="s">
        <v>527</v>
      </c>
      <c r="I429" s="127">
        <v>45076</v>
      </c>
      <c r="J429" s="124">
        <v>49</v>
      </c>
      <c r="K429" s="124" t="s">
        <v>1530</v>
      </c>
      <c r="L429" s="124"/>
      <c r="M429" s="125">
        <v>101500</v>
      </c>
      <c r="N429" s="148">
        <v>0</v>
      </c>
      <c r="O429" s="148">
        <v>0</v>
      </c>
      <c r="P429" s="149">
        <v>0</v>
      </c>
      <c r="Q429" s="148">
        <v>0</v>
      </c>
      <c r="R429" s="150">
        <v>101500</v>
      </c>
      <c r="S4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29" s="135">
        <f ca="1">+IF(PROVEEDORES[[#This Row],[FECHA DE PAGO]]=0,TODAY()-PROVEEDORES[[#This Row],[FECHA DE FACTURACIÓN]]-PROVEEDORES[[#This Row],[PLAZO Días]],0)</f>
        <v>0</v>
      </c>
      <c r="U429" s="135">
        <f>+VLOOKUP(PROVEEDORES[[#This Row],[PROVEEDOR]],Terceros!$A:$D,4,FALSE)</f>
        <v>0</v>
      </c>
      <c r="V429" s="135">
        <f>+YEAR(PROVEEDORES[[#This Row],[FECHA DE FACTURACIÓN]])</f>
        <v>2023</v>
      </c>
      <c r="W429" s="135">
        <f>+MATCH(PROVEEDORES[[#This Row],[año facturado]],Retenciones!$1:$1,0)</f>
        <v>6</v>
      </c>
      <c r="X429" s="136">
        <f>+VLOOKUP(PROVEEDORES[[#This Row],[ID RETENCION]],Retenciones!$A$1:$O$25,PROVEEDORES[[#This Row],[indicador de columna]],FALSE)</f>
        <v>0</v>
      </c>
      <c r="Y429" s="137">
        <f>+VLOOKUP(PROVEEDORES[[#This Row],[ID RETENCION]],Retenciones!$A$1:$O$25,2,FALSE)</f>
        <v>0</v>
      </c>
      <c r="Z429" s="126" t="b">
        <f>+OR(COUNTIF(PROVEEDORES[[#This Row],[PROVEEDOR]],"*"&amp;'Palabra que no opera y Listas d'!$A$2&amp;"*"))</f>
        <v>0</v>
      </c>
    </row>
    <row r="430" spans="1:26" ht="27.75" customHeight="1" x14ac:dyDescent="0.25">
      <c r="A430" s="141" t="str">
        <f>+IF(PROVEEDORES[[#This Row],[FECHA DE PAGO]]=PROVEEDORES[[#This Row],[FECHA DE FACTURACIÓN]],"DE CONTADO","CRÉDITO")</f>
        <v>CRÉDITO</v>
      </c>
      <c r="B430" s="138" t="str">
        <f>+IF((PROVEEDORES[[#This Row],[FECHA DE PAGO]]-PROVEEDORES[[#This Row],[FECHA DE FACTURACIÓN]])&gt;PROVEEDORES[[#This Row],[PLAZO Días]],"PAGO VENCIDO")</f>
        <v>PAGO VENCIDO</v>
      </c>
      <c r="C430" s="138">
        <f>+VLOOKUP(PROVEEDORES[[#This Row],[PROVEEDOR]],TERCEROS_INFO[#All],2,FALSE)</f>
        <v>30</v>
      </c>
      <c r="D430" s="139">
        <f>+SUMIFS(PROVEEDORES[Total],PROVEEDORES[PROVEEDOR],PROVEEDORES[[#This Row],[PROVEEDOR]],PROVEEDORES[FECHA DE PAGO],"")</f>
        <v>352000</v>
      </c>
      <c r="E430" s="140"/>
      <c r="F430" s="138" t="str">
        <f>+VLOOKUP(PROVEEDORES[[#This Row],[PROVEEDOR]],
                       Terceros!$A:$F,
                       5,
                       FALSE)</f>
        <v/>
      </c>
      <c r="G430" s="127">
        <v>45111</v>
      </c>
      <c r="H430" s="123" t="s">
        <v>527</v>
      </c>
      <c r="I430" s="127">
        <v>45079</v>
      </c>
      <c r="J430" s="124">
        <v>50</v>
      </c>
      <c r="K430" s="124" t="s">
        <v>1530</v>
      </c>
      <c r="L430" s="124"/>
      <c r="M430" s="125">
        <v>170000</v>
      </c>
      <c r="N430" s="148">
        <v>0</v>
      </c>
      <c r="O430" s="148">
        <v>0</v>
      </c>
      <c r="P430" s="149">
        <v>0</v>
      </c>
      <c r="Q430" s="148">
        <v>0</v>
      </c>
      <c r="R430" s="150">
        <v>170000</v>
      </c>
      <c r="S4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0" s="135">
        <f ca="1">+IF(PROVEEDORES[[#This Row],[FECHA DE PAGO]]=0,TODAY()-PROVEEDORES[[#This Row],[FECHA DE FACTURACIÓN]]-PROVEEDORES[[#This Row],[PLAZO Días]],0)</f>
        <v>0</v>
      </c>
      <c r="U430" s="135">
        <f>+VLOOKUP(PROVEEDORES[[#This Row],[PROVEEDOR]],Terceros!$A:$D,4,FALSE)</f>
        <v>0</v>
      </c>
      <c r="V430" s="135">
        <f>+YEAR(PROVEEDORES[[#This Row],[FECHA DE FACTURACIÓN]])</f>
        <v>2023</v>
      </c>
      <c r="W430" s="135">
        <f>+MATCH(PROVEEDORES[[#This Row],[año facturado]],Retenciones!$1:$1,0)</f>
        <v>6</v>
      </c>
      <c r="X430" s="136">
        <f>+VLOOKUP(PROVEEDORES[[#This Row],[ID RETENCION]],Retenciones!$A$1:$O$25,PROVEEDORES[[#This Row],[indicador de columna]],FALSE)</f>
        <v>0</v>
      </c>
      <c r="Y430" s="137">
        <f>+VLOOKUP(PROVEEDORES[[#This Row],[ID RETENCION]],Retenciones!$A$1:$O$25,2,FALSE)</f>
        <v>0</v>
      </c>
      <c r="Z430" s="126" t="b">
        <f>+OR(COUNTIF(PROVEEDORES[[#This Row],[PROVEEDOR]],"*"&amp;'Palabra que no opera y Listas d'!$A$2&amp;"*"))</f>
        <v>0</v>
      </c>
    </row>
    <row r="431" spans="1:26" ht="27.75" customHeight="1" x14ac:dyDescent="0.25">
      <c r="A431" s="141" t="str">
        <f>+IF(PROVEEDORES[[#This Row],[FECHA DE PAGO]]=PROVEEDORES[[#This Row],[FECHA DE FACTURACIÓN]],"DE CONTADO","CRÉDITO")</f>
        <v>CRÉDITO</v>
      </c>
      <c r="B431" s="138" t="b">
        <f>+IF((PROVEEDORES[[#This Row],[FECHA DE PAGO]]-PROVEEDORES[[#This Row],[FECHA DE FACTURACIÓN]])&gt;PROVEEDORES[[#This Row],[PLAZO Días]],"PAGO VENCIDO")</f>
        <v>0</v>
      </c>
      <c r="C431" s="138">
        <f>+VLOOKUP(PROVEEDORES[[#This Row],[PROVEEDOR]],TERCEROS_INFO[#All],2,FALSE)</f>
        <v>30</v>
      </c>
      <c r="D431" s="139">
        <f>+SUMIFS(PROVEEDORES[Total],PROVEEDORES[PROVEEDOR],PROVEEDORES[[#This Row],[PROVEEDOR]],PROVEEDORES[FECHA DE PAGO],"")</f>
        <v>352000</v>
      </c>
      <c r="E431" s="140"/>
      <c r="F431" s="138" t="str">
        <f>+VLOOKUP(PROVEEDORES[[#This Row],[PROVEEDOR]],
                       Terceros!$A:$F,
                       5,
                       FALSE)</f>
        <v/>
      </c>
      <c r="G431" s="127">
        <v>45111</v>
      </c>
      <c r="H431" s="123" t="s">
        <v>527</v>
      </c>
      <c r="I431" s="127">
        <v>45083</v>
      </c>
      <c r="J431" s="124">
        <v>51</v>
      </c>
      <c r="K431" s="124" t="s">
        <v>1530</v>
      </c>
      <c r="L431" s="124"/>
      <c r="M431" s="125">
        <v>330000</v>
      </c>
      <c r="N431" s="148">
        <v>0</v>
      </c>
      <c r="O431" s="148">
        <v>0</v>
      </c>
      <c r="P431" s="149">
        <v>0</v>
      </c>
      <c r="Q431" s="148">
        <v>0</v>
      </c>
      <c r="R431" s="150">
        <v>330000</v>
      </c>
      <c r="S4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1" s="135">
        <f ca="1">+IF(PROVEEDORES[[#This Row],[FECHA DE PAGO]]=0,TODAY()-PROVEEDORES[[#This Row],[FECHA DE FACTURACIÓN]]-PROVEEDORES[[#This Row],[PLAZO Días]],0)</f>
        <v>0</v>
      </c>
      <c r="U431" s="135">
        <f>+VLOOKUP(PROVEEDORES[[#This Row],[PROVEEDOR]],Terceros!$A:$D,4,FALSE)</f>
        <v>0</v>
      </c>
      <c r="V431" s="135">
        <f>+YEAR(PROVEEDORES[[#This Row],[FECHA DE FACTURACIÓN]])</f>
        <v>2023</v>
      </c>
      <c r="W431" s="135">
        <f>+MATCH(PROVEEDORES[[#This Row],[año facturado]],Retenciones!$1:$1,0)</f>
        <v>6</v>
      </c>
      <c r="X431" s="136">
        <f>+VLOOKUP(PROVEEDORES[[#This Row],[ID RETENCION]],Retenciones!$A$1:$O$25,PROVEEDORES[[#This Row],[indicador de columna]],FALSE)</f>
        <v>0</v>
      </c>
      <c r="Y431" s="137">
        <f>+VLOOKUP(PROVEEDORES[[#This Row],[ID RETENCION]],Retenciones!$A$1:$O$25,2,FALSE)</f>
        <v>0</v>
      </c>
      <c r="Z431" s="126" t="b">
        <f>+OR(COUNTIF(PROVEEDORES[[#This Row],[PROVEEDOR]],"*"&amp;'Palabra que no opera y Listas d'!$A$2&amp;"*"))</f>
        <v>0</v>
      </c>
    </row>
    <row r="432" spans="1:26" ht="27.75" customHeight="1" x14ac:dyDescent="0.25">
      <c r="A432" s="141" t="str">
        <f>+IF(PROVEEDORES[[#This Row],[FECHA DE PAGO]]=PROVEEDORES[[#This Row],[FECHA DE FACTURACIÓN]],"DE CONTADO","CRÉDITO")</f>
        <v>CRÉDITO</v>
      </c>
      <c r="B432" s="138" t="b">
        <f>+IF((PROVEEDORES[[#This Row],[FECHA DE PAGO]]-PROVEEDORES[[#This Row],[FECHA DE FACTURACIÓN]])&gt;PROVEEDORES[[#This Row],[PLAZO Días]],"PAGO VENCIDO")</f>
        <v>0</v>
      </c>
      <c r="C432" s="138">
        <f>+VLOOKUP(PROVEEDORES[[#This Row],[PROVEEDOR]],TERCEROS_INFO[#All],2,FALSE)</f>
        <v>30</v>
      </c>
      <c r="D432" s="139">
        <f>+SUMIFS(PROVEEDORES[Total],PROVEEDORES[PROVEEDOR],PROVEEDORES[[#This Row],[PROVEEDOR]],PROVEEDORES[FECHA DE PAGO],"")</f>
        <v>352000</v>
      </c>
      <c r="E432" s="140"/>
      <c r="F432" s="138" t="str">
        <f>+VLOOKUP(PROVEEDORES[[#This Row],[PROVEEDOR]],
                       Terceros!$A:$F,
                       5,
                       FALSE)</f>
        <v/>
      </c>
      <c r="G432" s="127">
        <v>45111</v>
      </c>
      <c r="H432" s="123" t="s">
        <v>527</v>
      </c>
      <c r="I432" s="127">
        <v>45084</v>
      </c>
      <c r="J432" s="124">
        <v>52</v>
      </c>
      <c r="K432" s="124" t="s">
        <v>1530</v>
      </c>
      <c r="L432" s="124"/>
      <c r="M432" s="125">
        <v>110000</v>
      </c>
      <c r="N432" s="148">
        <v>0</v>
      </c>
      <c r="O432" s="148">
        <v>0</v>
      </c>
      <c r="P432" s="149">
        <v>0</v>
      </c>
      <c r="Q432" s="148">
        <v>0</v>
      </c>
      <c r="R432" s="150">
        <v>110000</v>
      </c>
      <c r="S4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2" s="135">
        <f ca="1">+IF(PROVEEDORES[[#This Row],[FECHA DE PAGO]]=0,TODAY()-PROVEEDORES[[#This Row],[FECHA DE FACTURACIÓN]]-PROVEEDORES[[#This Row],[PLAZO Días]],0)</f>
        <v>0</v>
      </c>
      <c r="U432" s="135">
        <f>+VLOOKUP(PROVEEDORES[[#This Row],[PROVEEDOR]],Terceros!$A:$D,4,FALSE)</f>
        <v>0</v>
      </c>
      <c r="V432" s="135">
        <f>+YEAR(PROVEEDORES[[#This Row],[FECHA DE FACTURACIÓN]])</f>
        <v>2023</v>
      </c>
      <c r="W432" s="135">
        <f>+MATCH(PROVEEDORES[[#This Row],[año facturado]],Retenciones!$1:$1,0)</f>
        <v>6</v>
      </c>
      <c r="X432" s="136">
        <f>+VLOOKUP(PROVEEDORES[[#This Row],[ID RETENCION]],Retenciones!$A$1:$O$25,PROVEEDORES[[#This Row],[indicador de columna]],FALSE)</f>
        <v>0</v>
      </c>
      <c r="Y432" s="137">
        <f>+VLOOKUP(PROVEEDORES[[#This Row],[ID RETENCION]],Retenciones!$A$1:$O$25,2,FALSE)</f>
        <v>0</v>
      </c>
      <c r="Z432" s="126" t="b">
        <f>+OR(COUNTIF(PROVEEDORES[[#This Row],[PROVEEDOR]],"*"&amp;'Palabra que no opera y Listas d'!$A$2&amp;"*"))</f>
        <v>0</v>
      </c>
    </row>
    <row r="433" spans="1:26" ht="27.75" customHeight="1" x14ac:dyDescent="0.25">
      <c r="A433" s="141" t="str">
        <f>+IF(PROVEEDORES[[#This Row],[FECHA DE PAGO]]=PROVEEDORES[[#This Row],[FECHA DE FACTURACIÓN]],"DE CONTADO","CRÉDITO")</f>
        <v>CRÉDITO</v>
      </c>
      <c r="B433" s="138" t="b">
        <f>+IF((PROVEEDORES[[#This Row],[FECHA DE PAGO]]-PROVEEDORES[[#This Row],[FECHA DE FACTURACIÓN]])&gt;PROVEEDORES[[#This Row],[PLAZO Días]],"PAGO VENCIDO")</f>
        <v>0</v>
      </c>
      <c r="C433" s="138">
        <f>+VLOOKUP(PROVEEDORES[[#This Row],[PROVEEDOR]],TERCEROS_INFO[#All],2,FALSE)</f>
        <v>30</v>
      </c>
      <c r="D433" s="139">
        <f>+SUMIFS(PROVEEDORES[Total],PROVEEDORES[PROVEEDOR],PROVEEDORES[[#This Row],[PROVEEDOR]],PROVEEDORES[FECHA DE PAGO],"")</f>
        <v>352000</v>
      </c>
      <c r="E433" s="140"/>
      <c r="F433" s="138" t="str">
        <f>+VLOOKUP(PROVEEDORES[[#This Row],[PROVEEDOR]],
                       Terceros!$A:$F,
                       5,
                       FALSE)</f>
        <v/>
      </c>
      <c r="G433" s="127">
        <v>45111</v>
      </c>
      <c r="H433" s="123" t="s">
        <v>527</v>
      </c>
      <c r="I433" s="127">
        <v>45093</v>
      </c>
      <c r="J433" s="124">
        <v>53</v>
      </c>
      <c r="K433" s="124" t="s">
        <v>1530</v>
      </c>
      <c r="L433" s="124"/>
      <c r="M433" s="125">
        <v>170000</v>
      </c>
      <c r="N433" s="148">
        <v>0</v>
      </c>
      <c r="O433" s="148">
        <v>0</v>
      </c>
      <c r="P433" s="149">
        <v>0</v>
      </c>
      <c r="Q433" s="148">
        <v>0</v>
      </c>
      <c r="R433" s="150">
        <v>170000</v>
      </c>
      <c r="S4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3" s="135">
        <f ca="1">+IF(PROVEEDORES[[#This Row],[FECHA DE PAGO]]=0,TODAY()-PROVEEDORES[[#This Row],[FECHA DE FACTURACIÓN]]-PROVEEDORES[[#This Row],[PLAZO Días]],0)</f>
        <v>0</v>
      </c>
      <c r="U433" s="135">
        <f>+VLOOKUP(PROVEEDORES[[#This Row],[PROVEEDOR]],Terceros!$A:$D,4,FALSE)</f>
        <v>0</v>
      </c>
      <c r="V433" s="135">
        <f>+YEAR(PROVEEDORES[[#This Row],[FECHA DE FACTURACIÓN]])</f>
        <v>2023</v>
      </c>
      <c r="W433" s="135">
        <f>+MATCH(PROVEEDORES[[#This Row],[año facturado]],Retenciones!$1:$1,0)</f>
        <v>6</v>
      </c>
      <c r="X433" s="136">
        <f>+VLOOKUP(PROVEEDORES[[#This Row],[ID RETENCION]],Retenciones!$A$1:$O$25,PROVEEDORES[[#This Row],[indicador de columna]],FALSE)</f>
        <v>0</v>
      </c>
      <c r="Y433" s="137">
        <f>+VLOOKUP(PROVEEDORES[[#This Row],[ID RETENCION]],Retenciones!$A$1:$O$25,2,FALSE)</f>
        <v>0</v>
      </c>
      <c r="Z433" s="126" t="b">
        <f>+OR(COUNTIF(PROVEEDORES[[#This Row],[PROVEEDOR]],"*"&amp;'Palabra que no opera y Listas d'!$A$2&amp;"*"))</f>
        <v>0</v>
      </c>
    </row>
    <row r="434" spans="1:26" ht="27.75" customHeight="1" x14ac:dyDescent="0.25">
      <c r="A434" s="141" t="str">
        <f>+IF(PROVEEDORES[[#This Row],[FECHA DE PAGO]]=PROVEEDORES[[#This Row],[FECHA DE FACTURACIÓN]],"DE CONTADO","CRÉDITO")</f>
        <v>CRÉDITO</v>
      </c>
      <c r="B434" s="138" t="b">
        <f>+IF((PROVEEDORES[[#This Row],[FECHA DE PAGO]]-PROVEEDORES[[#This Row],[FECHA DE FACTURACIÓN]])&gt;PROVEEDORES[[#This Row],[PLAZO Días]],"PAGO VENCIDO")</f>
        <v>0</v>
      </c>
      <c r="C434" s="138">
        <f>+VLOOKUP(PROVEEDORES[[#This Row],[PROVEEDOR]],TERCEROS_INFO[#All],2,FALSE)</f>
        <v>30</v>
      </c>
      <c r="D434" s="139">
        <f>+SUMIFS(PROVEEDORES[Total],PROVEEDORES[PROVEEDOR],PROVEEDORES[[#This Row],[PROVEEDOR]],PROVEEDORES[FECHA DE PAGO],"")</f>
        <v>352000</v>
      </c>
      <c r="E434" s="140"/>
      <c r="F434" s="138" t="str">
        <f>+VLOOKUP(PROVEEDORES[[#This Row],[PROVEEDOR]],
                       Terceros!$A:$F,
                       5,
                       FALSE)</f>
        <v/>
      </c>
      <c r="G434" s="127">
        <v>45111</v>
      </c>
      <c r="H434" s="123" t="s">
        <v>527</v>
      </c>
      <c r="I434" s="127">
        <v>45097</v>
      </c>
      <c r="J434" s="124">
        <v>54</v>
      </c>
      <c r="K434" s="124" t="s">
        <v>1530</v>
      </c>
      <c r="L434" s="124"/>
      <c r="M434" s="125">
        <v>103000</v>
      </c>
      <c r="N434" s="148">
        <v>0</v>
      </c>
      <c r="O434" s="148">
        <v>0</v>
      </c>
      <c r="P434" s="149">
        <v>0</v>
      </c>
      <c r="Q434" s="148">
        <v>0</v>
      </c>
      <c r="R434" s="150">
        <v>103000</v>
      </c>
      <c r="S4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4" s="135">
        <f ca="1">+IF(PROVEEDORES[[#This Row],[FECHA DE PAGO]]=0,TODAY()-PROVEEDORES[[#This Row],[FECHA DE FACTURACIÓN]]-PROVEEDORES[[#This Row],[PLAZO Días]],0)</f>
        <v>0</v>
      </c>
      <c r="U434" s="135">
        <f>+VLOOKUP(PROVEEDORES[[#This Row],[PROVEEDOR]],Terceros!$A:$D,4,FALSE)</f>
        <v>0</v>
      </c>
      <c r="V434" s="135">
        <f>+YEAR(PROVEEDORES[[#This Row],[FECHA DE FACTURACIÓN]])</f>
        <v>2023</v>
      </c>
      <c r="W434" s="135">
        <f>+MATCH(PROVEEDORES[[#This Row],[año facturado]],Retenciones!$1:$1,0)</f>
        <v>6</v>
      </c>
      <c r="X434" s="136">
        <f>+VLOOKUP(PROVEEDORES[[#This Row],[ID RETENCION]],Retenciones!$A$1:$O$25,PROVEEDORES[[#This Row],[indicador de columna]],FALSE)</f>
        <v>0</v>
      </c>
      <c r="Y434" s="137">
        <f>+VLOOKUP(PROVEEDORES[[#This Row],[ID RETENCION]],Retenciones!$A$1:$O$25,2,FALSE)</f>
        <v>0</v>
      </c>
      <c r="Z434" s="126" t="b">
        <f>+OR(COUNTIF(PROVEEDORES[[#This Row],[PROVEEDOR]],"*"&amp;'Palabra que no opera y Listas d'!$A$2&amp;"*"))</f>
        <v>0</v>
      </c>
    </row>
    <row r="435" spans="1:26" ht="27.75" customHeight="1" x14ac:dyDescent="0.25">
      <c r="A435" s="141" t="str">
        <f>+IF(PROVEEDORES[[#This Row],[FECHA DE PAGO]]=PROVEEDORES[[#This Row],[FECHA DE FACTURACIÓN]],"DE CONTADO","CRÉDITO")</f>
        <v>CRÉDITO</v>
      </c>
      <c r="B435" s="138" t="b">
        <f>+IF((PROVEEDORES[[#This Row],[FECHA DE PAGO]]-PROVEEDORES[[#This Row],[FECHA DE FACTURACIÓN]])&gt;PROVEEDORES[[#This Row],[PLAZO Días]],"PAGO VENCIDO")</f>
        <v>0</v>
      </c>
      <c r="C435" s="138">
        <f>+VLOOKUP(PROVEEDORES[[#This Row],[PROVEEDOR]],TERCEROS_INFO[#All],2,FALSE)</f>
        <v>30</v>
      </c>
      <c r="D435" s="139">
        <f>+SUMIFS(PROVEEDORES[Total],PROVEEDORES[PROVEEDOR],PROVEEDORES[[#This Row],[PROVEEDOR]],PROVEEDORES[FECHA DE PAGO],"")</f>
        <v>352000</v>
      </c>
      <c r="E435" s="140"/>
      <c r="F435" s="138" t="str">
        <f>+VLOOKUP(PROVEEDORES[[#This Row],[PROVEEDOR]],
                       Terceros!$A:$F,
                       5,
                       FALSE)</f>
        <v/>
      </c>
      <c r="G435" s="127">
        <v>45111</v>
      </c>
      <c r="H435" s="123" t="s">
        <v>527</v>
      </c>
      <c r="I435" s="127">
        <v>45098</v>
      </c>
      <c r="J435" s="124">
        <v>56</v>
      </c>
      <c r="K435" s="124" t="s">
        <v>1530</v>
      </c>
      <c r="L435" s="124"/>
      <c r="M435" s="125">
        <v>302000</v>
      </c>
      <c r="N435" s="148">
        <v>0</v>
      </c>
      <c r="O435" s="148">
        <v>0</v>
      </c>
      <c r="P435" s="149">
        <v>0</v>
      </c>
      <c r="Q435" s="148">
        <v>0</v>
      </c>
      <c r="R435" s="150">
        <v>302000</v>
      </c>
      <c r="S4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5" s="135">
        <f ca="1">+IF(PROVEEDORES[[#This Row],[FECHA DE PAGO]]=0,TODAY()-PROVEEDORES[[#This Row],[FECHA DE FACTURACIÓN]]-PROVEEDORES[[#This Row],[PLAZO Días]],0)</f>
        <v>0</v>
      </c>
      <c r="U435" s="135">
        <f>+VLOOKUP(PROVEEDORES[[#This Row],[PROVEEDOR]],Terceros!$A:$D,4,FALSE)</f>
        <v>0</v>
      </c>
      <c r="V435" s="135">
        <f>+YEAR(PROVEEDORES[[#This Row],[FECHA DE FACTURACIÓN]])</f>
        <v>2023</v>
      </c>
      <c r="W435" s="135">
        <f>+MATCH(PROVEEDORES[[#This Row],[año facturado]],Retenciones!$1:$1,0)</f>
        <v>6</v>
      </c>
      <c r="X435" s="136">
        <f>+VLOOKUP(PROVEEDORES[[#This Row],[ID RETENCION]],Retenciones!$A$1:$O$25,PROVEEDORES[[#This Row],[indicador de columna]],FALSE)</f>
        <v>0</v>
      </c>
      <c r="Y435" s="137">
        <f>+VLOOKUP(PROVEEDORES[[#This Row],[ID RETENCION]],Retenciones!$A$1:$O$25,2,FALSE)</f>
        <v>0</v>
      </c>
      <c r="Z435" s="126" t="b">
        <f>+OR(COUNTIF(PROVEEDORES[[#This Row],[PROVEEDOR]],"*"&amp;'Palabra que no opera y Listas d'!$A$2&amp;"*"))</f>
        <v>0</v>
      </c>
    </row>
    <row r="436" spans="1:26" ht="27.75" customHeight="1" x14ac:dyDescent="0.25">
      <c r="A436" s="141" t="str">
        <f>+IF(PROVEEDORES[[#This Row],[FECHA DE PAGO]]=PROVEEDORES[[#This Row],[FECHA DE FACTURACIÓN]],"DE CONTADO","CRÉDITO")</f>
        <v>CRÉDITO</v>
      </c>
      <c r="B436" s="138" t="b">
        <f>+IF((PROVEEDORES[[#This Row],[FECHA DE PAGO]]-PROVEEDORES[[#This Row],[FECHA DE FACTURACIÓN]])&gt;PROVEEDORES[[#This Row],[PLAZO Días]],"PAGO VENCIDO")</f>
        <v>0</v>
      </c>
      <c r="C436" s="138">
        <f>+VLOOKUP(PROVEEDORES[[#This Row],[PROVEEDOR]],TERCEROS_INFO[#All],2,FALSE)</f>
        <v>30</v>
      </c>
      <c r="D436" s="139">
        <f>+SUMIFS(PROVEEDORES[Total],PROVEEDORES[PROVEEDOR],PROVEEDORES[[#This Row],[PROVEEDOR]],PROVEEDORES[FECHA DE PAGO],"")</f>
        <v>352000</v>
      </c>
      <c r="E436" s="140"/>
      <c r="F436" s="138" t="str">
        <f>+VLOOKUP(PROVEEDORES[[#This Row],[PROVEEDOR]],
                       Terceros!$A:$F,
                       5,
                       FALSE)</f>
        <v/>
      </c>
      <c r="G436" s="127">
        <v>45111</v>
      </c>
      <c r="H436" s="123" t="s">
        <v>527</v>
      </c>
      <c r="I436" s="127">
        <v>45098</v>
      </c>
      <c r="J436" s="124">
        <v>55</v>
      </c>
      <c r="K436" s="124" t="s">
        <v>1530</v>
      </c>
      <c r="L436" s="124"/>
      <c r="M436" s="125">
        <v>687000</v>
      </c>
      <c r="N436" s="148">
        <v>0</v>
      </c>
      <c r="O436" s="148">
        <v>0</v>
      </c>
      <c r="P436" s="149">
        <v>0</v>
      </c>
      <c r="Q436" s="148">
        <v>0</v>
      </c>
      <c r="R436" s="150">
        <v>687000</v>
      </c>
      <c r="S4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6" s="135">
        <f ca="1">+IF(PROVEEDORES[[#This Row],[FECHA DE PAGO]]=0,TODAY()-PROVEEDORES[[#This Row],[FECHA DE FACTURACIÓN]]-PROVEEDORES[[#This Row],[PLAZO Días]],0)</f>
        <v>0</v>
      </c>
      <c r="U436" s="135">
        <f>+VLOOKUP(PROVEEDORES[[#This Row],[PROVEEDOR]],Terceros!$A:$D,4,FALSE)</f>
        <v>0</v>
      </c>
      <c r="V436" s="135">
        <f>+YEAR(PROVEEDORES[[#This Row],[FECHA DE FACTURACIÓN]])</f>
        <v>2023</v>
      </c>
      <c r="W436" s="135">
        <f>+MATCH(PROVEEDORES[[#This Row],[año facturado]],Retenciones!$1:$1,0)</f>
        <v>6</v>
      </c>
      <c r="X436" s="136">
        <f>+VLOOKUP(PROVEEDORES[[#This Row],[ID RETENCION]],Retenciones!$A$1:$O$25,PROVEEDORES[[#This Row],[indicador de columna]],FALSE)</f>
        <v>0</v>
      </c>
      <c r="Y436" s="137">
        <f>+VLOOKUP(PROVEEDORES[[#This Row],[ID RETENCION]],Retenciones!$A$1:$O$25,2,FALSE)</f>
        <v>0</v>
      </c>
      <c r="Z436" s="126" t="b">
        <f>+OR(COUNTIF(PROVEEDORES[[#This Row],[PROVEEDOR]],"*"&amp;'Palabra que no opera y Listas d'!$A$2&amp;"*"))</f>
        <v>0</v>
      </c>
    </row>
    <row r="437" spans="1:26" ht="27.75" customHeight="1" x14ac:dyDescent="0.25">
      <c r="A437" s="141" t="str">
        <f>+IF(PROVEEDORES[[#This Row],[FECHA DE PAGO]]=PROVEEDORES[[#This Row],[FECHA DE FACTURACIÓN]],"DE CONTADO","CRÉDITO")</f>
        <v>DE CONTADO</v>
      </c>
      <c r="B437" s="138" t="b">
        <f>+IF((PROVEEDORES[[#This Row],[FECHA DE PAGO]]-PROVEEDORES[[#This Row],[FECHA DE FACTURACIÓN]])&gt;PROVEEDORES[[#This Row],[PLAZO Días]],"PAGO VENCIDO")</f>
        <v>0</v>
      </c>
      <c r="C437" s="138">
        <f>+VLOOKUP(PROVEEDORES[[#This Row],[PROVEEDOR]],TERCEROS_INFO[#All],2,FALSE)</f>
        <v>30</v>
      </c>
      <c r="D437" s="139">
        <f>+SUMIFS(PROVEEDORES[Total],PROVEEDORES[PROVEEDOR],PROVEEDORES[[#This Row],[PROVEEDOR]],PROVEEDORES[FECHA DE PAGO],"")</f>
        <v>0</v>
      </c>
      <c r="E437" s="140"/>
      <c r="F437" s="138">
        <f>+VLOOKUP(PROVEEDORES[[#This Row],[PROVEEDOR]],
                       Terceros!$A:$F,
                       5,
                       FALSE)</f>
        <v>0</v>
      </c>
      <c r="G437" s="127">
        <v>45113</v>
      </c>
      <c r="H437" s="123" t="s">
        <v>898</v>
      </c>
      <c r="I437" s="127">
        <v>45113</v>
      </c>
      <c r="J437" s="124" t="s">
        <v>899</v>
      </c>
      <c r="K437" s="124" t="s">
        <v>1530</v>
      </c>
      <c r="L437" s="124"/>
      <c r="M437" s="125">
        <v>587000</v>
      </c>
      <c r="N437" s="148">
        <v>0</v>
      </c>
      <c r="O437" s="148">
        <v>0</v>
      </c>
      <c r="P437" s="149">
        <v>0</v>
      </c>
      <c r="Q437" s="148">
        <v>0</v>
      </c>
      <c r="R437" s="150">
        <v>587000</v>
      </c>
      <c r="S4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7" s="135">
        <f ca="1">+IF(PROVEEDORES[[#This Row],[FECHA DE PAGO]]=0,TODAY()-PROVEEDORES[[#This Row],[FECHA DE FACTURACIÓN]]-PROVEEDORES[[#This Row],[PLAZO Días]],0)</f>
        <v>0</v>
      </c>
      <c r="U437" s="135">
        <f>+VLOOKUP(PROVEEDORES[[#This Row],[PROVEEDOR]],Terceros!$A:$D,4,FALSE)</f>
        <v>0</v>
      </c>
      <c r="V437" s="135">
        <f>+YEAR(PROVEEDORES[[#This Row],[FECHA DE FACTURACIÓN]])</f>
        <v>2023</v>
      </c>
      <c r="W437" s="135">
        <f>+MATCH(PROVEEDORES[[#This Row],[año facturado]],Retenciones!$1:$1,0)</f>
        <v>6</v>
      </c>
      <c r="X437" s="136">
        <f>+VLOOKUP(PROVEEDORES[[#This Row],[ID RETENCION]],Retenciones!$A$1:$O$25,PROVEEDORES[[#This Row],[indicador de columna]],FALSE)</f>
        <v>0</v>
      </c>
      <c r="Y437" s="137">
        <f>+VLOOKUP(PROVEEDORES[[#This Row],[ID RETENCION]],Retenciones!$A$1:$O$25,2,FALSE)</f>
        <v>0</v>
      </c>
      <c r="Z437" s="126" t="b">
        <f>+OR(COUNTIF(PROVEEDORES[[#This Row],[PROVEEDOR]],"*"&amp;'Palabra que no opera y Listas d'!$A$2&amp;"*"))</f>
        <v>0</v>
      </c>
    </row>
    <row r="438" spans="1:26" ht="27.75" customHeight="1" x14ac:dyDescent="0.25">
      <c r="A438" s="141" t="str">
        <f>+IF(PROVEEDORES[[#This Row],[FECHA DE PAGO]]=PROVEEDORES[[#This Row],[FECHA DE FACTURACIÓN]],"DE CONTADO","CRÉDITO")</f>
        <v>DE CONTADO</v>
      </c>
      <c r="B438" s="138" t="b">
        <f>+IF((PROVEEDORES[[#This Row],[FECHA DE PAGO]]-PROVEEDORES[[#This Row],[FECHA DE FACTURACIÓN]])&gt;PROVEEDORES[[#This Row],[PLAZO Días]],"PAGO VENCIDO")</f>
        <v>0</v>
      </c>
      <c r="C438" s="138">
        <f>+VLOOKUP(PROVEEDORES[[#This Row],[PROVEEDOR]],TERCEROS_INFO[#All],2,FALSE)</f>
        <v>30</v>
      </c>
      <c r="D438" s="139">
        <f>+SUMIFS(PROVEEDORES[Total],PROVEEDORES[PROVEEDOR],PROVEEDORES[[#This Row],[PROVEEDOR]],PROVEEDORES[FECHA DE PAGO],"")</f>
        <v>0</v>
      </c>
      <c r="E438" s="140"/>
      <c r="F438" s="138">
        <f>+VLOOKUP(PROVEEDORES[[#This Row],[PROVEEDOR]],
                       Terceros!$A:$F,
                       5,
                       FALSE)</f>
        <v>0</v>
      </c>
      <c r="G438" s="127">
        <v>45113</v>
      </c>
      <c r="H438" s="123" t="s">
        <v>861</v>
      </c>
      <c r="I438" s="127">
        <v>45113</v>
      </c>
      <c r="J438" s="124" t="s">
        <v>897</v>
      </c>
      <c r="K438" s="124" t="s">
        <v>1530</v>
      </c>
      <c r="L438" s="124"/>
      <c r="M438" s="125">
        <v>582000</v>
      </c>
      <c r="N438" s="148">
        <v>0</v>
      </c>
      <c r="O438" s="148">
        <v>0</v>
      </c>
      <c r="P438" s="149">
        <v>0</v>
      </c>
      <c r="Q438" s="148">
        <v>0</v>
      </c>
      <c r="R438" s="150">
        <v>582000</v>
      </c>
      <c r="S4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8" s="135">
        <f ca="1">+IF(PROVEEDORES[[#This Row],[FECHA DE PAGO]]=0,TODAY()-PROVEEDORES[[#This Row],[FECHA DE FACTURACIÓN]]-PROVEEDORES[[#This Row],[PLAZO Días]],0)</f>
        <v>0</v>
      </c>
      <c r="U438" s="135">
        <f>+VLOOKUP(PROVEEDORES[[#This Row],[PROVEEDOR]],Terceros!$A:$D,4,FALSE)</f>
        <v>0</v>
      </c>
      <c r="V438" s="135">
        <f>+YEAR(PROVEEDORES[[#This Row],[FECHA DE FACTURACIÓN]])</f>
        <v>2023</v>
      </c>
      <c r="W438" s="135">
        <f>+MATCH(PROVEEDORES[[#This Row],[año facturado]],Retenciones!$1:$1,0)</f>
        <v>6</v>
      </c>
      <c r="X438" s="136">
        <f>+VLOOKUP(PROVEEDORES[[#This Row],[ID RETENCION]],Retenciones!$A$1:$O$25,PROVEEDORES[[#This Row],[indicador de columna]],FALSE)</f>
        <v>0</v>
      </c>
      <c r="Y438" s="137">
        <f>+VLOOKUP(PROVEEDORES[[#This Row],[ID RETENCION]],Retenciones!$A$1:$O$25,2,FALSE)</f>
        <v>0</v>
      </c>
      <c r="Z438" s="126" t="b">
        <f>+OR(COUNTIF(PROVEEDORES[[#This Row],[PROVEEDOR]],"*"&amp;'Palabra que no opera y Listas d'!$A$2&amp;"*"))</f>
        <v>0</v>
      </c>
    </row>
    <row r="439" spans="1:26" ht="27.75" customHeight="1" x14ac:dyDescent="0.25">
      <c r="A439" s="141" t="str">
        <f>+IF(PROVEEDORES[[#This Row],[FECHA DE PAGO]]=PROVEEDORES[[#This Row],[FECHA DE FACTURACIÓN]],"DE CONTADO","CRÉDITO")</f>
        <v>CRÉDITO</v>
      </c>
      <c r="B439" s="138" t="b">
        <f>+IF((PROVEEDORES[[#This Row],[FECHA DE PAGO]]-PROVEEDORES[[#This Row],[FECHA DE FACTURACIÓN]])&gt;PROVEEDORES[[#This Row],[PLAZO Días]],"PAGO VENCIDO")</f>
        <v>0</v>
      </c>
      <c r="C439" s="138">
        <f>+VLOOKUP(PROVEEDORES[[#This Row],[PROVEEDOR]],TERCEROS_INFO[#All],2,FALSE)</f>
        <v>30</v>
      </c>
      <c r="D439" s="139">
        <f>+SUMIFS(PROVEEDORES[Total],PROVEEDORES[PROVEEDOR],PROVEEDORES[[#This Row],[PROVEEDOR]],PROVEEDORES[FECHA DE PAGO],"")</f>
        <v>0</v>
      </c>
      <c r="E439" s="140"/>
      <c r="F439" s="138">
        <f>+VLOOKUP(PROVEEDORES[[#This Row],[PROVEEDOR]],
                       Terceros!$A:$F,
                       5,
                       FALSE)</f>
        <v>0</v>
      </c>
      <c r="G439" s="127">
        <v>45115</v>
      </c>
      <c r="H439" s="123" t="s">
        <v>836</v>
      </c>
      <c r="I439" s="127">
        <v>45111</v>
      </c>
      <c r="J439" s="124">
        <v>3</v>
      </c>
      <c r="K439" s="124" t="s">
        <v>1530</v>
      </c>
      <c r="L439" s="124"/>
      <c r="M439" s="125">
        <v>430000</v>
      </c>
      <c r="N439" s="148">
        <v>0</v>
      </c>
      <c r="O439" s="148">
        <v>0</v>
      </c>
      <c r="P439" s="149">
        <v>0</v>
      </c>
      <c r="Q439" s="148">
        <v>0</v>
      </c>
      <c r="R439" s="150">
        <v>430000</v>
      </c>
      <c r="S4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39" s="135">
        <f ca="1">+IF(PROVEEDORES[[#This Row],[FECHA DE PAGO]]=0,TODAY()-PROVEEDORES[[#This Row],[FECHA DE FACTURACIÓN]]-PROVEEDORES[[#This Row],[PLAZO Días]],0)</f>
        <v>0</v>
      </c>
      <c r="U439" s="135">
        <f>+VLOOKUP(PROVEEDORES[[#This Row],[PROVEEDOR]],Terceros!$A:$D,4,FALSE)</f>
        <v>0</v>
      </c>
      <c r="V439" s="135">
        <f>+YEAR(PROVEEDORES[[#This Row],[FECHA DE FACTURACIÓN]])</f>
        <v>2023</v>
      </c>
      <c r="W439" s="135">
        <f>+MATCH(PROVEEDORES[[#This Row],[año facturado]],Retenciones!$1:$1,0)</f>
        <v>6</v>
      </c>
      <c r="X439" s="136">
        <f>+VLOOKUP(PROVEEDORES[[#This Row],[ID RETENCION]],Retenciones!$A$1:$O$25,PROVEEDORES[[#This Row],[indicador de columna]],FALSE)</f>
        <v>0</v>
      </c>
      <c r="Y439" s="137">
        <f>+VLOOKUP(PROVEEDORES[[#This Row],[ID RETENCION]],Retenciones!$A$1:$O$25,2,FALSE)</f>
        <v>0</v>
      </c>
      <c r="Z439" s="126" t="b">
        <f>+OR(COUNTIF(PROVEEDORES[[#This Row],[PROVEEDOR]],"*"&amp;'Palabra que no opera y Listas d'!$A$2&amp;"*"))</f>
        <v>0</v>
      </c>
    </row>
    <row r="440" spans="1:26" ht="27.75" customHeight="1" x14ac:dyDescent="0.25">
      <c r="A440" s="141" t="str">
        <f>+IF(PROVEEDORES[[#This Row],[FECHA DE PAGO]]=PROVEEDORES[[#This Row],[FECHA DE FACTURACIÓN]],"DE CONTADO","CRÉDITO")</f>
        <v>DE CONTADO</v>
      </c>
      <c r="B440" s="138" t="b">
        <f>+IF((PROVEEDORES[[#This Row],[FECHA DE PAGO]]-PROVEEDORES[[#This Row],[FECHA DE FACTURACIÓN]])&gt;PROVEEDORES[[#This Row],[PLAZO Días]],"PAGO VENCIDO")</f>
        <v>0</v>
      </c>
      <c r="C440" s="138">
        <f>+VLOOKUP(PROVEEDORES[[#This Row],[PROVEEDOR]],TERCEROS_INFO[#All],2,FALSE)</f>
        <v>30</v>
      </c>
      <c r="D440" s="139">
        <f>+SUMIFS(PROVEEDORES[Total],PROVEEDORES[PROVEEDOR],PROVEEDORES[[#This Row],[PROVEEDOR]],PROVEEDORES[FECHA DE PAGO],"")</f>
        <v>1350000</v>
      </c>
      <c r="E440" s="140"/>
      <c r="F440" s="138" t="str">
        <f>+VLOOKUP(PROVEEDORES[[#This Row],[PROVEEDOR]],
                       Terceros!$A:$F,
                       5,
                       FALSE)</f>
        <v/>
      </c>
      <c r="G440" s="127">
        <v>45115</v>
      </c>
      <c r="H440" s="123" t="s">
        <v>1807</v>
      </c>
      <c r="I440" s="127">
        <v>45115</v>
      </c>
      <c r="J440" s="124" t="s">
        <v>896</v>
      </c>
      <c r="K440" s="124" t="s">
        <v>1530</v>
      </c>
      <c r="L440" s="124"/>
      <c r="M440" s="125">
        <v>625000</v>
      </c>
      <c r="N440" s="148">
        <v>0</v>
      </c>
      <c r="O440" s="148">
        <v>0</v>
      </c>
      <c r="P440" s="149">
        <v>0</v>
      </c>
      <c r="Q440" s="148">
        <v>0</v>
      </c>
      <c r="R440" s="150">
        <v>625000</v>
      </c>
      <c r="S4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0" s="135">
        <f ca="1">+IF(PROVEEDORES[[#This Row],[FECHA DE PAGO]]=0,TODAY()-PROVEEDORES[[#This Row],[FECHA DE FACTURACIÓN]]-PROVEEDORES[[#This Row],[PLAZO Días]],0)</f>
        <v>0</v>
      </c>
      <c r="U440" s="135">
        <f>+VLOOKUP(PROVEEDORES[[#This Row],[PROVEEDOR]],Terceros!$A:$D,4,FALSE)</f>
        <v>0</v>
      </c>
      <c r="V440" s="135">
        <f>+YEAR(PROVEEDORES[[#This Row],[FECHA DE FACTURACIÓN]])</f>
        <v>2023</v>
      </c>
      <c r="W440" s="135">
        <f>+MATCH(PROVEEDORES[[#This Row],[año facturado]],Retenciones!$1:$1,0)</f>
        <v>6</v>
      </c>
      <c r="X440" s="136">
        <f>+VLOOKUP(PROVEEDORES[[#This Row],[ID RETENCION]],Retenciones!$A$1:$O$25,PROVEEDORES[[#This Row],[indicador de columna]],FALSE)</f>
        <v>0</v>
      </c>
      <c r="Y440" s="137">
        <f>+VLOOKUP(PROVEEDORES[[#This Row],[ID RETENCION]],Retenciones!$A$1:$O$25,2,FALSE)</f>
        <v>0</v>
      </c>
      <c r="Z440" s="126" t="b">
        <f>+OR(COUNTIF(PROVEEDORES[[#This Row],[PROVEEDOR]],"*"&amp;'Palabra que no opera y Listas d'!$A$2&amp;"*"))</f>
        <v>0</v>
      </c>
    </row>
    <row r="441" spans="1:26" ht="27.75" customHeight="1" x14ac:dyDescent="0.25">
      <c r="A441" s="141" t="str">
        <f>+IF(PROVEEDORES[[#This Row],[FECHA DE PAGO]]=PROVEEDORES[[#This Row],[FECHA DE FACTURACIÓN]],"DE CONTADO","CRÉDITO")</f>
        <v>CRÉDITO</v>
      </c>
      <c r="B441" s="138" t="b">
        <f>+IF((PROVEEDORES[[#This Row],[FECHA DE PAGO]]-PROVEEDORES[[#This Row],[FECHA DE FACTURACIÓN]])&gt;PROVEEDORES[[#This Row],[PLAZO Días]],"PAGO VENCIDO")</f>
        <v>0</v>
      </c>
      <c r="C441" s="138">
        <f>+VLOOKUP(PROVEEDORES[[#This Row],[PROVEEDOR]],TERCEROS_INFO[#All],2,FALSE)</f>
        <v>30</v>
      </c>
      <c r="D441" s="139">
        <f>+SUMIFS(PROVEEDORES[Total],PROVEEDORES[PROVEEDOR],PROVEEDORES[[#This Row],[PROVEEDOR]],PROVEEDORES[FECHA DE PAGO],"")</f>
        <v>0</v>
      </c>
      <c r="E441" s="140"/>
      <c r="F441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441" s="127">
        <v>45116</v>
      </c>
      <c r="H441" s="123" t="s">
        <v>383</v>
      </c>
      <c r="I441" s="127">
        <v>45108</v>
      </c>
      <c r="J441" s="124" t="s">
        <v>983</v>
      </c>
      <c r="K441" s="124" t="s">
        <v>1530</v>
      </c>
      <c r="L441" s="124"/>
      <c r="M441" s="125">
        <v>3935776</v>
      </c>
      <c r="N441" s="148">
        <v>747797.44000000006</v>
      </c>
      <c r="O441" s="148">
        <v>0</v>
      </c>
      <c r="P441" s="149">
        <v>3.5000000000000003E-2</v>
      </c>
      <c r="Q441" s="148">
        <v>137752.16</v>
      </c>
      <c r="R441" s="150">
        <v>4545821.28</v>
      </c>
      <c r="S4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1" s="135">
        <f ca="1">+IF(PROVEEDORES[[#This Row],[FECHA DE PAGO]]=0,TODAY()-PROVEEDORES[[#This Row],[FECHA DE FACTURACIÓN]]-PROVEEDORES[[#This Row],[PLAZO Días]],0)</f>
        <v>0</v>
      </c>
      <c r="U441" s="135" t="str">
        <f>+VLOOKUP(PROVEEDORES[[#This Row],[PROVEEDOR]],Terceros!$A:$D,4,FALSE)</f>
        <v>3,5% sin base</v>
      </c>
      <c r="V441" s="135">
        <f>+YEAR(PROVEEDORES[[#This Row],[FECHA DE FACTURACIÓN]])</f>
        <v>2023</v>
      </c>
      <c r="W441" s="135">
        <f>+MATCH(PROVEEDORES[[#This Row],[año facturado]],Retenciones!$1:$1,0)</f>
        <v>6</v>
      </c>
      <c r="X441" s="136">
        <f>+VLOOKUP(PROVEEDORES[[#This Row],[ID RETENCION]],Retenciones!$A$1:$O$25,PROVEEDORES[[#This Row],[indicador de columna]],FALSE)</f>
        <v>0</v>
      </c>
      <c r="Y441" s="137">
        <f>+VLOOKUP(PROVEEDORES[[#This Row],[ID RETENCION]],Retenciones!$A$1:$O$25,2,FALSE)</f>
        <v>3.5000000000000003E-2</v>
      </c>
      <c r="Z441" s="126" t="b">
        <f>+OR(COUNTIF(PROVEEDORES[[#This Row],[PROVEEDOR]],"*"&amp;'Palabra que no opera y Listas d'!$A$2&amp;"*"))</f>
        <v>1</v>
      </c>
    </row>
    <row r="442" spans="1:26" ht="27.75" customHeight="1" x14ac:dyDescent="0.25">
      <c r="A442" s="141" t="str">
        <f>+IF(PROVEEDORES[[#This Row],[FECHA DE PAGO]]=PROVEEDORES[[#This Row],[FECHA DE FACTURACIÓN]],"DE CONTADO","CRÉDITO")</f>
        <v>CRÉDITO</v>
      </c>
      <c r="B442" s="138" t="str">
        <f>+IF((PROVEEDORES[[#This Row],[FECHA DE PAGO]]-PROVEEDORES[[#This Row],[FECHA DE FACTURACIÓN]])&gt;PROVEEDORES[[#This Row],[PLAZO Días]],"PAGO VENCIDO")</f>
        <v>PAGO VENCIDO</v>
      </c>
      <c r="C442" s="138">
        <f>+VLOOKUP(PROVEEDORES[[#This Row],[PROVEEDOR]],TERCEROS_INFO[#All],2,FALSE)</f>
        <v>30</v>
      </c>
      <c r="D442" s="139">
        <f>+SUMIFS(PROVEEDORES[Total],PROVEEDORES[PROVEEDOR],PROVEEDORES[[#This Row],[PROVEEDOR]],PROVEEDORES[FECHA DE PAGO],"")</f>
        <v>0</v>
      </c>
      <c r="E442" s="140"/>
      <c r="F442" s="13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442" s="127">
        <v>45117</v>
      </c>
      <c r="H442" s="123" t="s">
        <v>1817</v>
      </c>
      <c r="I442" s="127">
        <v>45026</v>
      </c>
      <c r="J442" s="124" t="s">
        <v>716</v>
      </c>
      <c r="K442" s="124" t="s">
        <v>1530</v>
      </c>
      <c r="L442" s="124"/>
      <c r="M442" s="125">
        <v>2131000</v>
      </c>
      <c r="N442" s="148">
        <v>0</v>
      </c>
      <c r="O442" s="148">
        <v>0</v>
      </c>
      <c r="P442" s="149">
        <v>0</v>
      </c>
      <c r="Q442" s="148">
        <v>0</v>
      </c>
      <c r="R442" s="150">
        <v>2131000</v>
      </c>
      <c r="S4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2" s="135">
        <f ca="1">+IF(PROVEEDORES[[#This Row],[FECHA DE PAGO]]=0,TODAY()-PROVEEDORES[[#This Row],[FECHA DE FACTURACIÓN]]-PROVEEDORES[[#This Row],[PLAZO Días]],0)</f>
        <v>0</v>
      </c>
      <c r="U442" s="135">
        <f>+VLOOKUP(PROVEEDORES[[#This Row],[PROVEEDOR]],Terceros!$A:$D,4,FALSE)</f>
        <v>0</v>
      </c>
      <c r="V442" s="135">
        <f>+YEAR(PROVEEDORES[[#This Row],[FECHA DE FACTURACIÓN]])</f>
        <v>2023</v>
      </c>
      <c r="W442" s="135">
        <f>+MATCH(PROVEEDORES[[#This Row],[año facturado]],Retenciones!$1:$1,0)</f>
        <v>6</v>
      </c>
      <c r="X442" s="136">
        <f>+VLOOKUP(PROVEEDORES[[#This Row],[ID RETENCION]],Retenciones!$A$1:$O$25,PROVEEDORES[[#This Row],[indicador de columna]],FALSE)</f>
        <v>0</v>
      </c>
      <c r="Y442" s="137">
        <f>+VLOOKUP(PROVEEDORES[[#This Row],[ID RETENCION]],Retenciones!$A$1:$O$25,2,FALSE)</f>
        <v>0</v>
      </c>
      <c r="Z442" s="126" t="b">
        <f>+OR(COUNTIF(PROVEEDORES[[#This Row],[PROVEEDOR]],"*"&amp;'Palabra que no opera y Listas d'!$A$2&amp;"*"))</f>
        <v>0</v>
      </c>
    </row>
    <row r="443" spans="1:26" ht="27.75" customHeight="1" x14ac:dyDescent="0.25">
      <c r="A443" s="141" t="str">
        <f>+IF(PROVEEDORES[[#This Row],[FECHA DE PAGO]]=PROVEEDORES[[#This Row],[FECHA DE FACTURACIÓN]],"DE CONTADO","CRÉDITO")</f>
        <v>CRÉDITO</v>
      </c>
      <c r="B443" s="138" t="str">
        <f>+IF((PROVEEDORES[[#This Row],[FECHA DE PAGO]]-PROVEEDORES[[#This Row],[FECHA DE FACTURACIÓN]])&gt;PROVEEDORES[[#This Row],[PLAZO Días]],"PAGO VENCIDO")</f>
        <v>PAGO VENCIDO</v>
      </c>
      <c r="C443" s="138">
        <f>+VLOOKUP(PROVEEDORES[[#This Row],[PROVEEDOR]],TERCEROS_INFO[#All],2,FALSE)</f>
        <v>30</v>
      </c>
      <c r="D443" s="139">
        <f>+SUMIFS(PROVEEDORES[Total],PROVEEDORES[PROVEEDOR],PROVEEDORES[[#This Row],[PROVEEDOR]],PROVEEDORES[FECHA DE PAGO],"")</f>
        <v>3130000</v>
      </c>
      <c r="E443" s="140"/>
      <c r="F443" s="138">
        <f>+VLOOKUP(PROVEEDORES[[#This Row],[PROVEEDOR]],
                       Terceros!$A:$F,
                       5,
                       FALSE)</f>
        <v>0</v>
      </c>
      <c r="G443" s="127">
        <v>45117</v>
      </c>
      <c r="H443" s="123" t="s">
        <v>472</v>
      </c>
      <c r="I443" s="127">
        <v>45056</v>
      </c>
      <c r="J443" s="124">
        <v>843</v>
      </c>
      <c r="K443" s="124" t="s">
        <v>1530</v>
      </c>
      <c r="L443" s="124"/>
      <c r="M443" s="125">
        <v>1294500</v>
      </c>
      <c r="N443" s="148">
        <v>0</v>
      </c>
      <c r="O443" s="148">
        <v>0</v>
      </c>
      <c r="P443" s="149">
        <v>0</v>
      </c>
      <c r="Q443" s="148">
        <v>0</v>
      </c>
      <c r="R443" s="150">
        <v>1294500</v>
      </c>
      <c r="S4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3" s="135">
        <f ca="1">+IF(PROVEEDORES[[#This Row],[FECHA DE PAGO]]=0,TODAY()-PROVEEDORES[[#This Row],[FECHA DE FACTURACIÓN]]-PROVEEDORES[[#This Row],[PLAZO Días]],0)</f>
        <v>0</v>
      </c>
      <c r="U443" s="135">
        <f>+VLOOKUP(PROVEEDORES[[#This Row],[PROVEEDOR]],Terceros!$A:$D,4,FALSE)</f>
        <v>0</v>
      </c>
      <c r="V443" s="135">
        <f>+YEAR(PROVEEDORES[[#This Row],[FECHA DE FACTURACIÓN]])</f>
        <v>2023</v>
      </c>
      <c r="W443" s="135">
        <f>+MATCH(PROVEEDORES[[#This Row],[año facturado]],Retenciones!$1:$1,0)</f>
        <v>6</v>
      </c>
      <c r="X443" s="136">
        <f>+VLOOKUP(PROVEEDORES[[#This Row],[ID RETENCION]],Retenciones!$A$1:$O$25,PROVEEDORES[[#This Row],[indicador de columna]],FALSE)</f>
        <v>0</v>
      </c>
      <c r="Y443" s="137">
        <f>+VLOOKUP(PROVEEDORES[[#This Row],[ID RETENCION]],Retenciones!$A$1:$O$25,2,FALSE)</f>
        <v>0</v>
      </c>
      <c r="Z443" s="126" t="b">
        <f>+OR(COUNTIF(PROVEEDORES[[#This Row],[PROVEEDOR]],"*"&amp;'Palabra que no opera y Listas d'!$A$2&amp;"*"))</f>
        <v>0</v>
      </c>
    </row>
    <row r="444" spans="1:26" ht="27.75" customHeight="1" x14ac:dyDescent="0.25">
      <c r="A444" s="141" t="str">
        <f>+IF(PROVEEDORES[[#This Row],[FECHA DE PAGO]]=PROVEEDORES[[#This Row],[FECHA DE FACTURACIÓN]],"DE CONTADO","CRÉDITO")</f>
        <v>CRÉDITO</v>
      </c>
      <c r="B444" s="138" t="str">
        <f>+IF((PROVEEDORES[[#This Row],[FECHA DE PAGO]]-PROVEEDORES[[#This Row],[FECHA DE FACTURACIÓN]])&gt;PROVEEDORES[[#This Row],[PLAZO Días]],"PAGO VENCIDO")</f>
        <v>PAGO VENCIDO</v>
      </c>
      <c r="C444" s="138">
        <f>+VLOOKUP(PROVEEDORES[[#This Row],[PROVEEDOR]],TERCEROS_INFO[#All],2,FALSE)</f>
        <v>30</v>
      </c>
      <c r="D444" s="139">
        <f>+SUMIFS(PROVEEDORES[Total],PROVEEDORES[PROVEEDOR],PROVEEDORES[[#This Row],[PROVEEDOR]],PROVEEDORES[FECHA DE PAGO],"")</f>
        <v>4466504.835</v>
      </c>
      <c r="E444" s="140"/>
      <c r="F444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444" s="127">
        <v>45117</v>
      </c>
      <c r="H444" s="123" t="s">
        <v>18</v>
      </c>
      <c r="I444" s="127">
        <v>45058</v>
      </c>
      <c r="J444" s="124" t="s">
        <v>788</v>
      </c>
      <c r="K444" s="124" t="s">
        <v>1530</v>
      </c>
      <c r="L444" s="124"/>
      <c r="M444" s="125">
        <v>2115236</v>
      </c>
      <c r="N444" s="148">
        <v>401894.84</v>
      </c>
      <c r="O444" s="148">
        <v>0</v>
      </c>
      <c r="P444" s="149">
        <v>2.5000000000000001E-2</v>
      </c>
      <c r="Q444" s="148">
        <v>52880.9</v>
      </c>
      <c r="R444" s="150">
        <v>2464249.94</v>
      </c>
      <c r="S4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4" s="135">
        <f ca="1">+IF(PROVEEDORES[[#This Row],[FECHA DE PAGO]]=0,TODAY()-PROVEEDORES[[#This Row],[FECHA DE FACTURACIÓN]]-PROVEEDORES[[#This Row],[PLAZO Días]],0)</f>
        <v>0</v>
      </c>
      <c r="U444" s="135" t="str">
        <f>+VLOOKUP(PROVEEDORES[[#This Row],[PROVEEDOR]],Terceros!$A:$D,4,FALSE)</f>
        <v>2,5% con base</v>
      </c>
      <c r="V444" s="135">
        <f>+YEAR(PROVEEDORES[[#This Row],[FECHA DE FACTURACIÓN]])</f>
        <v>2023</v>
      </c>
      <c r="W444" s="135">
        <f>+MATCH(PROVEEDORES[[#This Row],[año facturado]],Retenciones!$1:$1,0)</f>
        <v>6</v>
      </c>
      <c r="X444" s="136">
        <f>+VLOOKUP(PROVEEDORES[[#This Row],[ID RETENCION]],Retenciones!$A$1:$O$25,PROVEEDORES[[#This Row],[indicador de columna]],FALSE)</f>
        <v>1145000</v>
      </c>
      <c r="Y444" s="137">
        <f>+VLOOKUP(PROVEEDORES[[#This Row],[ID RETENCION]],Retenciones!$A$1:$O$25,2,FALSE)</f>
        <v>2.5000000000000001E-2</v>
      </c>
      <c r="Z444" s="126" t="b">
        <f>+OR(COUNTIF(PROVEEDORES[[#This Row],[PROVEEDOR]],"*"&amp;'Palabra que no opera y Listas d'!$A$2&amp;"*"))</f>
        <v>0</v>
      </c>
    </row>
    <row r="445" spans="1:26" ht="27.75" customHeight="1" x14ac:dyDescent="0.25">
      <c r="A445" s="141" t="str">
        <f>+IF(PROVEEDORES[[#This Row],[FECHA DE PAGO]]=PROVEEDORES[[#This Row],[FECHA DE FACTURACIÓN]],"DE CONTADO","CRÉDITO")</f>
        <v>CRÉDITO</v>
      </c>
      <c r="B445" s="138" t="str">
        <f>+IF((PROVEEDORES[[#This Row],[FECHA DE PAGO]]-PROVEEDORES[[#This Row],[FECHA DE FACTURACIÓN]])&gt;PROVEEDORES[[#This Row],[PLAZO Días]],"PAGO VENCIDO")</f>
        <v>PAGO VENCIDO</v>
      </c>
      <c r="C445" s="138">
        <f>+VLOOKUP(PROVEEDORES[[#This Row],[PROVEEDOR]],TERCEROS_INFO[#All],2,FALSE)</f>
        <v>30</v>
      </c>
      <c r="D445" s="139">
        <f>+SUMIFS(PROVEEDORES[Total],PROVEEDORES[PROVEEDOR],PROVEEDORES[[#This Row],[PROVEEDOR]],PROVEEDORES[FECHA DE PAGO],"")</f>
        <v>4466504.835</v>
      </c>
      <c r="E445" s="140"/>
      <c r="F445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445" s="127">
        <v>45117</v>
      </c>
      <c r="H445" s="123" t="s">
        <v>18</v>
      </c>
      <c r="I445" s="127">
        <v>45071</v>
      </c>
      <c r="J445" s="124" t="s">
        <v>886</v>
      </c>
      <c r="K445" s="124" t="s">
        <v>1530</v>
      </c>
      <c r="L445" s="124"/>
      <c r="M445" s="125">
        <v>2231250</v>
      </c>
      <c r="N445" s="148">
        <v>423937.5</v>
      </c>
      <c r="O445" s="148">
        <v>0</v>
      </c>
      <c r="P445" s="149">
        <v>2.5000000000000001E-2</v>
      </c>
      <c r="Q445" s="148">
        <v>55781.25</v>
      </c>
      <c r="R445" s="150">
        <v>2599406.25</v>
      </c>
      <c r="S4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5" s="135">
        <f ca="1">+IF(PROVEEDORES[[#This Row],[FECHA DE PAGO]]=0,TODAY()-PROVEEDORES[[#This Row],[FECHA DE FACTURACIÓN]]-PROVEEDORES[[#This Row],[PLAZO Días]],0)</f>
        <v>0</v>
      </c>
      <c r="U445" s="135" t="str">
        <f>+VLOOKUP(PROVEEDORES[[#This Row],[PROVEEDOR]],Terceros!$A:$D,4,FALSE)</f>
        <v>2,5% con base</v>
      </c>
      <c r="V445" s="135">
        <f>+YEAR(PROVEEDORES[[#This Row],[FECHA DE FACTURACIÓN]])</f>
        <v>2023</v>
      </c>
      <c r="W445" s="135">
        <f>+MATCH(PROVEEDORES[[#This Row],[año facturado]],Retenciones!$1:$1,0)</f>
        <v>6</v>
      </c>
      <c r="X445" s="136">
        <f>+VLOOKUP(PROVEEDORES[[#This Row],[ID RETENCION]],Retenciones!$A$1:$O$25,PROVEEDORES[[#This Row],[indicador de columna]],FALSE)</f>
        <v>1145000</v>
      </c>
      <c r="Y445" s="137">
        <f>+VLOOKUP(PROVEEDORES[[#This Row],[ID RETENCION]],Retenciones!$A$1:$O$25,2,FALSE)</f>
        <v>2.5000000000000001E-2</v>
      </c>
      <c r="Z445" s="126" t="b">
        <f>+OR(COUNTIF(PROVEEDORES[[#This Row],[PROVEEDOR]],"*"&amp;'Palabra que no opera y Listas d'!$A$2&amp;"*"))</f>
        <v>0</v>
      </c>
    </row>
    <row r="446" spans="1:26" ht="27.75" customHeight="1" x14ac:dyDescent="0.25">
      <c r="A446" s="141" t="str">
        <f>+IF(PROVEEDORES[[#This Row],[FECHA DE PAGO]]=PROVEEDORES[[#This Row],[FECHA DE FACTURACIÓN]],"DE CONTADO","CRÉDITO")</f>
        <v>CRÉDITO</v>
      </c>
      <c r="B446" s="138" t="str">
        <f>+IF((PROVEEDORES[[#This Row],[FECHA DE PAGO]]-PROVEEDORES[[#This Row],[FECHA DE FACTURACIÓN]])&gt;PROVEEDORES[[#This Row],[PLAZO Días]],"PAGO VENCIDO")</f>
        <v>PAGO VENCIDO</v>
      </c>
      <c r="C446" s="138">
        <f>+VLOOKUP(PROVEEDORES[[#This Row],[PROVEEDOR]],TERCEROS_INFO[#All],2,FALSE)</f>
        <v>30</v>
      </c>
      <c r="D446" s="139">
        <f>+SUMIFS(PROVEEDORES[Total],PROVEEDORES[PROVEEDOR],PROVEEDORES[[#This Row],[PROVEEDOR]],PROVEEDORES[FECHA DE PAGO],"")</f>
        <v>0</v>
      </c>
      <c r="E446" s="140"/>
      <c r="F446" s="138" t="str">
        <f>+VLOOKUP(PROVEEDORES[[#This Row],[PROVEEDOR]],
                       Terceros!$A:$F,
                       5,
                       FALSE)</f>
        <v>memoriasoriginales@gmail.com;girlesa.ruiz@servipilas.com;joriescobar64@gmail.com</v>
      </c>
      <c r="G446" s="127">
        <v>45117</v>
      </c>
      <c r="H446" s="123" t="s">
        <v>411</v>
      </c>
      <c r="I446" s="127">
        <v>45083</v>
      </c>
      <c r="J446" s="124" t="s">
        <v>828</v>
      </c>
      <c r="K446" s="124" t="s">
        <v>1530</v>
      </c>
      <c r="L446" s="124"/>
      <c r="M446" s="125">
        <v>720000</v>
      </c>
      <c r="N446" s="148">
        <v>136800</v>
      </c>
      <c r="O446" s="148">
        <v>0</v>
      </c>
      <c r="P446" s="149">
        <v>0</v>
      </c>
      <c r="Q446" s="148">
        <v>0</v>
      </c>
      <c r="R446" s="150">
        <v>856800</v>
      </c>
      <c r="S4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6" s="135">
        <f ca="1">+IF(PROVEEDORES[[#This Row],[FECHA DE PAGO]]=0,TODAY()-PROVEEDORES[[#This Row],[FECHA DE FACTURACIÓN]]-PROVEEDORES[[#This Row],[PLAZO Días]],0)</f>
        <v>0</v>
      </c>
      <c r="U446" s="135" t="str">
        <f>+VLOOKUP(PROVEEDORES[[#This Row],[PROVEEDOR]],Terceros!$A:$D,4,FALSE)</f>
        <v>2,5% con base</v>
      </c>
      <c r="V446" s="135">
        <f>+YEAR(PROVEEDORES[[#This Row],[FECHA DE FACTURACIÓN]])</f>
        <v>2023</v>
      </c>
      <c r="W446" s="135">
        <f>+MATCH(PROVEEDORES[[#This Row],[año facturado]],Retenciones!$1:$1,0)</f>
        <v>6</v>
      </c>
      <c r="X446" s="136">
        <f>+VLOOKUP(PROVEEDORES[[#This Row],[ID RETENCION]],Retenciones!$A$1:$O$25,PROVEEDORES[[#This Row],[indicador de columna]],FALSE)</f>
        <v>1145000</v>
      </c>
      <c r="Y446" s="137">
        <f>+VLOOKUP(PROVEEDORES[[#This Row],[ID RETENCION]],Retenciones!$A$1:$O$25,2,FALSE)</f>
        <v>2.5000000000000001E-2</v>
      </c>
      <c r="Z446" s="126" t="b">
        <f>+OR(COUNTIF(PROVEEDORES[[#This Row],[PROVEEDOR]],"*"&amp;'Palabra que no opera y Listas d'!$A$2&amp;"*"))</f>
        <v>0</v>
      </c>
    </row>
    <row r="447" spans="1:26" ht="27.75" customHeight="1" x14ac:dyDescent="0.25">
      <c r="A447" s="141" t="str">
        <f>+IF(PROVEEDORES[[#This Row],[FECHA DE PAGO]]=PROVEEDORES[[#This Row],[FECHA DE FACTURACIÓN]],"DE CONTADO","CRÉDITO")</f>
        <v>CRÉDITO</v>
      </c>
      <c r="B447" s="138" t="b">
        <f>+IF((PROVEEDORES[[#This Row],[FECHA DE PAGO]]-PROVEEDORES[[#This Row],[FECHA DE FACTURACIÓN]])&gt;PROVEEDORES[[#This Row],[PLAZO Días]],"PAGO VENCIDO")</f>
        <v>0</v>
      </c>
      <c r="C447" s="138">
        <f>+VLOOKUP(PROVEEDORES[[#This Row],[PROVEEDOR]],TERCEROS_INFO[#All],2,FALSE)</f>
        <v>30</v>
      </c>
      <c r="D447" s="139">
        <f>+SUMIFS(PROVEEDORES[Total],PROVEEDORES[PROVEEDOR],PROVEEDORES[[#This Row],[PROVEEDOR]],PROVEEDORES[FECHA DE PAGO],"")</f>
        <v>0</v>
      </c>
      <c r="E447" s="140"/>
      <c r="F447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447" s="127">
        <v>45117</v>
      </c>
      <c r="H447" s="123" t="s">
        <v>368</v>
      </c>
      <c r="I447" s="127">
        <v>45108</v>
      </c>
      <c r="J447" s="124" t="s">
        <v>961</v>
      </c>
      <c r="K447" s="124" t="s">
        <v>1530</v>
      </c>
      <c r="L447" s="124"/>
      <c r="M447" s="125">
        <v>908172</v>
      </c>
      <c r="N447" s="148">
        <v>172552.68</v>
      </c>
      <c r="O447" s="148">
        <v>0</v>
      </c>
      <c r="P447" s="149">
        <v>0</v>
      </c>
      <c r="Q447" s="148">
        <v>0</v>
      </c>
      <c r="R447" s="150">
        <v>1080724.68</v>
      </c>
      <c r="S4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7" s="135">
        <f ca="1">+IF(PROVEEDORES[[#This Row],[FECHA DE PAGO]]=0,TODAY()-PROVEEDORES[[#This Row],[FECHA DE FACTURACIÓN]]-PROVEEDORES[[#This Row],[PLAZO Días]],0)</f>
        <v>0</v>
      </c>
      <c r="U447" s="135">
        <f>+VLOOKUP(PROVEEDORES[[#This Row],[PROVEEDOR]],Terceros!$A:$D,4,FALSE)</f>
        <v>0</v>
      </c>
      <c r="V447" s="135">
        <f>+YEAR(PROVEEDORES[[#This Row],[FECHA DE FACTURACIÓN]])</f>
        <v>2023</v>
      </c>
      <c r="W447" s="135">
        <f>+MATCH(PROVEEDORES[[#This Row],[año facturado]],Retenciones!$1:$1,0)</f>
        <v>6</v>
      </c>
      <c r="X447" s="136">
        <f>+VLOOKUP(PROVEEDORES[[#This Row],[ID RETENCION]],Retenciones!$A$1:$O$25,PROVEEDORES[[#This Row],[indicador de columna]],FALSE)</f>
        <v>0</v>
      </c>
      <c r="Y447" s="137">
        <f>+VLOOKUP(PROVEEDORES[[#This Row],[ID RETENCION]],Retenciones!$A$1:$O$25,2,FALSE)</f>
        <v>0</v>
      </c>
      <c r="Z447" s="126" t="b">
        <f>+OR(COUNTIF(PROVEEDORES[[#This Row],[PROVEEDOR]],"*"&amp;'Palabra que no opera y Listas d'!$A$2&amp;"*"))</f>
        <v>1</v>
      </c>
    </row>
    <row r="448" spans="1:26" ht="27.75" customHeight="1" x14ac:dyDescent="0.25">
      <c r="A448" s="141" t="str">
        <f>+IF(PROVEEDORES[[#This Row],[FECHA DE PAGO]]=PROVEEDORES[[#This Row],[FECHA DE FACTURACIÓN]],"DE CONTADO","CRÉDITO")</f>
        <v>CRÉDITO</v>
      </c>
      <c r="B448" s="138" t="b">
        <f>+IF((PROVEEDORES[[#This Row],[FECHA DE PAGO]]-PROVEEDORES[[#This Row],[FECHA DE FACTURACIÓN]])&gt;PROVEEDORES[[#This Row],[PLAZO Días]],"PAGO VENCIDO")</f>
        <v>0</v>
      </c>
      <c r="C448" s="138">
        <f>+VLOOKUP(PROVEEDORES[[#This Row],[PROVEEDOR]],TERCEROS_INFO[#All],2,FALSE)</f>
        <v>30</v>
      </c>
      <c r="D448" s="139">
        <f>+SUMIFS(PROVEEDORES[Total],PROVEEDORES[PROVEEDOR],PROVEEDORES[[#This Row],[PROVEEDOR]],PROVEEDORES[FECHA DE PAGO],"")</f>
        <v>0</v>
      </c>
      <c r="E448" s="140"/>
      <c r="F448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448" s="127">
        <v>45117</v>
      </c>
      <c r="H448" s="123" t="s">
        <v>368</v>
      </c>
      <c r="I448" s="127">
        <v>45108</v>
      </c>
      <c r="J448" s="124" t="s">
        <v>962</v>
      </c>
      <c r="K448" s="124" t="s">
        <v>1530</v>
      </c>
      <c r="L448" s="124"/>
      <c r="M448" s="125">
        <v>3792544</v>
      </c>
      <c r="N448" s="148">
        <v>720583.36</v>
      </c>
      <c r="O448" s="148">
        <v>0</v>
      </c>
      <c r="P448" s="149">
        <v>0</v>
      </c>
      <c r="Q448" s="148">
        <v>0</v>
      </c>
      <c r="R448" s="150">
        <v>4513127.3600000003</v>
      </c>
      <c r="S4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8" s="135">
        <f ca="1">+IF(PROVEEDORES[[#This Row],[FECHA DE PAGO]]=0,TODAY()-PROVEEDORES[[#This Row],[FECHA DE FACTURACIÓN]]-PROVEEDORES[[#This Row],[PLAZO Días]],0)</f>
        <v>0</v>
      </c>
      <c r="U448" s="135">
        <f>+VLOOKUP(PROVEEDORES[[#This Row],[PROVEEDOR]],Terceros!$A:$D,4,FALSE)</f>
        <v>0</v>
      </c>
      <c r="V448" s="135">
        <f>+YEAR(PROVEEDORES[[#This Row],[FECHA DE FACTURACIÓN]])</f>
        <v>2023</v>
      </c>
      <c r="W448" s="135">
        <f>+MATCH(PROVEEDORES[[#This Row],[año facturado]],Retenciones!$1:$1,0)</f>
        <v>6</v>
      </c>
      <c r="X448" s="136">
        <f>+VLOOKUP(PROVEEDORES[[#This Row],[ID RETENCION]],Retenciones!$A$1:$O$25,PROVEEDORES[[#This Row],[indicador de columna]],FALSE)</f>
        <v>0</v>
      </c>
      <c r="Y448" s="137">
        <f>+VLOOKUP(PROVEEDORES[[#This Row],[ID RETENCION]],Retenciones!$A$1:$O$25,2,FALSE)</f>
        <v>0</v>
      </c>
      <c r="Z448" s="126" t="b">
        <f>+OR(COUNTIF(PROVEEDORES[[#This Row],[PROVEEDOR]],"*"&amp;'Palabra que no opera y Listas d'!$A$2&amp;"*"))</f>
        <v>1</v>
      </c>
    </row>
    <row r="449" spans="1:26" ht="27.75" customHeight="1" x14ac:dyDescent="0.25">
      <c r="A449" s="141" t="str">
        <f>+IF(PROVEEDORES[[#This Row],[FECHA DE PAGO]]=PROVEEDORES[[#This Row],[FECHA DE FACTURACIÓN]],"DE CONTADO","CRÉDITO")</f>
        <v>CRÉDITO</v>
      </c>
      <c r="B449" s="138" t="b">
        <f>+IF((PROVEEDORES[[#This Row],[FECHA DE PAGO]]-PROVEEDORES[[#This Row],[FECHA DE FACTURACIÓN]])&gt;PROVEEDORES[[#This Row],[PLAZO Días]],"PAGO VENCIDO")</f>
        <v>0</v>
      </c>
      <c r="C449" s="138">
        <f>+VLOOKUP(PROVEEDORES[[#This Row],[PROVEEDOR]],TERCEROS_INFO[#All],2,FALSE)</f>
        <v>30</v>
      </c>
      <c r="D449" s="139">
        <f>+SUMIFS(PROVEEDORES[Total],PROVEEDORES[PROVEEDOR],PROVEEDORES[[#This Row],[PROVEEDOR]],PROVEEDORES[FECHA DE PAGO],"")</f>
        <v>0</v>
      </c>
      <c r="E449" s="140"/>
      <c r="F449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449" s="127">
        <v>45117</v>
      </c>
      <c r="H449" s="123" t="s">
        <v>394</v>
      </c>
      <c r="I449" s="127">
        <v>45108</v>
      </c>
      <c r="J449" s="124" t="s">
        <v>887</v>
      </c>
      <c r="K449" s="124" t="s">
        <v>1530</v>
      </c>
      <c r="L449" s="124"/>
      <c r="M449" s="125">
        <v>243611</v>
      </c>
      <c r="N449" s="148">
        <v>46286.090000000004</v>
      </c>
      <c r="O449" s="148">
        <v>0</v>
      </c>
      <c r="P449" s="149">
        <v>3.5000000000000003E-2</v>
      </c>
      <c r="Q449" s="148">
        <v>8526.3850000000002</v>
      </c>
      <c r="R449" s="150">
        <v>281370.70500000002</v>
      </c>
      <c r="S4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49" s="135">
        <f ca="1">+IF(PROVEEDORES[[#This Row],[FECHA DE PAGO]]=0,TODAY()-PROVEEDORES[[#This Row],[FECHA DE FACTURACIÓN]]-PROVEEDORES[[#This Row],[PLAZO Días]],0)</f>
        <v>0</v>
      </c>
      <c r="U449" s="135" t="str">
        <f>+VLOOKUP(PROVEEDORES[[#This Row],[PROVEEDOR]],Terceros!$A:$D,4,FALSE)</f>
        <v>3,5% sin base</v>
      </c>
      <c r="V449" s="135">
        <f>+YEAR(PROVEEDORES[[#This Row],[FECHA DE FACTURACIÓN]])</f>
        <v>2023</v>
      </c>
      <c r="W449" s="135">
        <f>+MATCH(PROVEEDORES[[#This Row],[año facturado]],Retenciones!$1:$1,0)</f>
        <v>6</v>
      </c>
      <c r="X449" s="136">
        <f>+VLOOKUP(PROVEEDORES[[#This Row],[ID RETENCION]],Retenciones!$A$1:$O$25,PROVEEDORES[[#This Row],[indicador de columna]],FALSE)</f>
        <v>0</v>
      </c>
      <c r="Y449" s="137">
        <f>+VLOOKUP(PROVEEDORES[[#This Row],[ID RETENCION]],Retenciones!$A$1:$O$25,2,FALSE)</f>
        <v>3.5000000000000003E-2</v>
      </c>
      <c r="Z449" s="126" t="b">
        <f>+OR(COUNTIF(PROVEEDORES[[#This Row],[PROVEEDOR]],"*"&amp;'Palabra que no opera y Listas d'!$A$2&amp;"*"))</f>
        <v>1</v>
      </c>
    </row>
    <row r="450" spans="1:26" ht="27.75" customHeight="1" x14ac:dyDescent="0.25">
      <c r="A450" s="141" t="str">
        <f>+IF(PROVEEDORES[[#This Row],[FECHA DE PAGO]]=PROVEEDORES[[#This Row],[FECHA DE FACTURACIÓN]],"DE CONTADO","CRÉDITO")</f>
        <v>CRÉDITO</v>
      </c>
      <c r="B450" s="138" t="str">
        <f>+IF((PROVEEDORES[[#This Row],[FECHA DE PAGO]]-PROVEEDORES[[#This Row],[FECHA DE FACTURACIÓN]])&gt;PROVEEDORES[[#This Row],[PLAZO Días]],"PAGO VENCIDO")</f>
        <v>PAGO VENCIDO</v>
      </c>
      <c r="C450" s="138">
        <f>+VLOOKUP(PROVEEDORES[[#This Row],[PROVEEDOR]],TERCEROS_INFO[#All],2,FALSE)</f>
        <v>30</v>
      </c>
      <c r="D450" s="139">
        <f>+SUMIFS(PROVEEDORES[Total],PROVEEDORES[PROVEEDOR],PROVEEDORES[[#This Row],[PROVEEDOR]],PROVEEDORES[FECHA DE PAGO],"")</f>
        <v>8456975.129999999</v>
      </c>
      <c r="E450" s="140"/>
      <c r="F450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450" s="127">
        <v>45118</v>
      </c>
      <c r="H450" s="123" t="s">
        <v>1464</v>
      </c>
      <c r="I450" s="127">
        <v>45072</v>
      </c>
      <c r="J450" s="124" t="s">
        <v>811</v>
      </c>
      <c r="K450" s="124" t="s">
        <v>1530</v>
      </c>
      <c r="L450" s="124"/>
      <c r="M450" s="125">
        <v>151261</v>
      </c>
      <c r="N450" s="148">
        <v>28739.59</v>
      </c>
      <c r="O450" s="148">
        <v>0</v>
      </c>
      <c r="P450" s="149">
        <v>0</v>
      </c>
      <c r="Q450" s="148">
        <v>0</v>
      </c>
      <c r="R450" s="150">
        <v>180000.59</v>
      </c>
      <c r="S4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0" s="135">
        <f ca="1">+IF(PROVEEDORES[[#This Row],[FECHA DE PAGO]]=0,TODAY()-PROVEEDORES[[#This Row],[FECHA DE FACTURACIÓN]]-PROVEEDORES[[#This Row],[PLAZO Días]],0)</f>
        <v>0</v>
      </c>
      <c r="U450" s="135" t="str">
        <f>+VLOOKUP(PROVEEDORES[[#This Row],[PROVEEDOR]],Terceros!$A:$D,4,FALSE)</f>
        <v>2,5% con base</v>
      </c>
      <c r="V450" s="135">
        <f>+YEAR(PROVEEDORES[[#This Row],[FECHA DE FACTURACIÓN]])</f>
        <v>2023</v>
      </c>
      <c r="W450" s="135">
        <f>+MATCH(PROVEEDORES[[#This Row],[año facturado]],Retenciones!$1:$1,0)</f>
        <v>6</v>
      </c>
      <c r="X450" s="136">
        <f>+VLOOKUP(PROVEEDORES[[#This Row],[ID RETENCION]],Retenciones!$A$1:$O$25,PROVEEDORES[[#This Row],[indicador de columna]],FALSE)</f>
        <v>1145000</v>
      </c>
      <c r="Y450" s="137">
        <f>+VLOOKUP(PROVEEDORES[[#This Row],[ID RETENCION]],Retenciones!$A$1:$O$25,2,FALSE)</f>
        <v>2.5000000000000001E-2</v>
      </c>
      <c r="Z450" s="126" t="b">
        <f>+OR(COUNTIF(PROVEEDORES[[#This Row],[PROVEEDOR]],"*"&amp;'Palabra que no opera y Listas d'!$A$2&amp;"*"))</f>
        <v>0</v>
      </c>
    </row>
    <row r="451" spans="1:26" ht="27.75" customHeight="1" x14ac:dyDescent="0.25">
      <c r="A451" s="141" t="str">
        <f>+IF(PROVEEDORES[[#This Row],[FECHA DE PAGO]]=PROVEEDORES[[#This Row],[FECHA DE FACTURACIÓN]],"DE CONTADO","CRÉDITO")</f>
        <v>CRÉDITO</v>
      </c>
      <c r="B451" s="138" t="str">
        <f>+IF((PROVEEDORES[[#This Row],[FECHA DE PAGO]]-PROVEEDORES[[#This Row],[FECHA DE FACTURACIÓN]])&gt;PROVEEDORES[[#This Row],[PLAZO Días]],"PAGO VENCIDO")</f>
        <v>PAGO VENCIDO</v>
      </c>
      <c r="C451" s="138">
        <f>+VLOOKUP(PROVEEDORES[[#This Row],[PROVEEDOR]],TERCEROS_INFO[#All],2,FALSE)</f>
        <v>30</v>
      </c>
      <c r="D451" s="139">
        <f>+SUMIFS(PROVEEDORES[Total],PROVEEDORES[PROVEEDOR],PROVEEDORES[[#This Row],[PROVEEDOR]],PROVEEDORES[FECHA DE PAGO],"")</f>
        <v>2095000</v>
      </c>
      <c r="E451" s="140"/>
      <c r="F451" s="13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451" s="127">
        <v>45118</v>
      </c>
      <c r="H451" s="123" t="s">
        <v>1804</v>
      </c>
      <c r="I451" s="127">
        <v>45076</v>
      </c>
      <c r="J451" s="124">
        <v>85</v>
      </c>
      <c r="K451" s="124" t="s">
        <v>1530</v>
      </c>
      <c r="L451" s="124"/>
      <c r="M451" s="125">
        <v>1980000</v>
      </c>
      <c r="N451" s="148">
        <v>0</v>
      </c>
      <c r="O451" s="148">
        <v>0</v>
      </c>
      <c r="P451" s="149">
        <v>0</v>
      </c>
      <c r="Q451" s="148">
        <v>0</v>
      </c>
      <c r="R451" s="150">
        <v>1980000</v>
      </c>
      <c r="S4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1" s="135">
        <f ca="1">+IF(PROVEEDORES[[#This Row],[FECHA DE PAGO]]=0,TODAY()-PROVEEDORES[[#This Row],[FECHA DE FACTURACIÓN]]-PROVEEDORES[[#This Row],[PLAZO Días]],0)</f>
        <v>0</v>
      </c>
      <c r="U451" s="135">
        <f>+VLOOKUP(PROVEEDORES[[#This Row],[PROVEEDOR]],Terceros!$A:$D,4,FALSE)</f>
        <v>0</v>
      </c>
      <c r="V451" s="135">
        <f>+YEAR(PROVEEDORES[[#This Row],[FECHA DE FACTURACIÓN]])</f>
        <v>2023</v>
      </c>
      <c r="W451" s="135">
        <f>+MATCH(PROVEEDORES[[#This Row],[año facturado]],Retenciones!$1:$1,0)</f>
        <v>6</v>
      </c>
      <c r="X451" s="136">
        <f>+VLOOKUP(PROVEEDORES[[#This Row],[ID RETENCION]],Retenciones!$A$1:$O$25,PROVEEDORES[[#This Row],[indicador de columna]],FALSE)</f>
        <v>0</v>
      </c>
      <c r="Y451" s="137">
        <f>+VLOOKUP(PROVEEDORES[[#This Row],[ID RETENCION]],Retenciones!$A$1:$O$25,2,FALSE)</f>
        <v>0</v>
      </c>
      <c r="Z451" s="126" t="b">
        <f>+OR(COUNTIF(PROVEEDORES[[#This Row],[PROVEEDOR]],"*"&amp;'Palabra que no opera y Listas d'!$A$2&amp;"*"))</f>
        <v>0</v>
      </c>
    </row>
    <row r="452" spans="1:26" ht="27.75" customHeight="1" x14ac:dyDescent="0.25">
      <c r="A452" s="141" t="str">
        <f>+IF(PROVEEDORES[[#This Row],[FECHA DE PAGO]]=PROVEEDORES[[#This Row],[FECHA DE FACTURACIÓN]],"DE CONTADO","CRÉDITO")</f>
        <v>CRÉDITO</v>
      </c>
      <c r="B452" s="138" t="str">
        <f>+IF((PROVEEDORES[[#This Row],[FECHA DE PAGO]]-PROVEEDORES[[#This Row],[FECHA DE FACTURACIÓN]])&gt;PROVEEDORES[[#This Row],[PLAZO Días]],"PAGO VENCIDO")</f>
        <v>PAGO VENCIDO</v>
      </c>
      <c r="C452" s="138">
        <f>+VLOOKUP(PROVEEDORES[[#This Row],[PROVEEDOR]],TERCEROS_INFO[#All],2,FALSE)</f>
        <v>30</v>
      </c>
      <c r="D452" s="139">
        <f>+SUMIFS(PROVEEDORES[Total],PROVEEDORES[PROVEEDOR],PROVEEDORES[[#This Row],[PROVEEDOR]],PROVEEDORES[FECHA DE PAGO],"")</f>
        <v>0</v>
      </c>
      <c r="E452" s="140"/>
      <c r="F452" s="13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452" s="127">
        <v>45118</v>
      </c>
      <c r="H452" s="123" t="s">
        <v>499</v>
      </c>
      <c r="I452" s="127">
        <v>45076</v>
      </c>
      <c r="J452" s="124">
        <v>2127</v>
      </c>
      <c r="K452" s="124" t="s">
        <v>1530</v>
      </c>
      <c r="L452" s="124"/>
      <c r="M452" s="125">
        <v>84000</v>
      </c>
      <c r="N452" s="148">
        <v>0</v>
      </c>
      <c r="O452" s="148">
        <v>0</v>
      </c>
      <c r="P452" s="149">
        <v>0</v>
      </c>
      <c r="Q452" s="148">
        <v>0</v>
      </c>
      <c r="R452" s="150">
        <v>84000</v>
      </c>
      <c r="S4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2" s="135">
        <f ca="1">+IF(PROVEEDORES[[#This Row],[FECHA DE PAGO]]=0,TODAY()-PROVEEDORES[[#This Row],[FECHA DE FACTURACIÓN]]-PROVEEDORES[[#This Row],[PLAZO Días]],0)</f>
        <v>0</v>
      </c>
      <c r="U452" s="135">
        <f>+VLOOKUP(PROVEEDORES[[#This Row],[PROVEEDOR]],Terceros!$A:$D,4,FALSE)</f>
        <v>0</v>
      </c>
      <c r="V452" s="135">
        <f>+YEAR(PROVEEDORES[[#This Row],[FECHA DE FACTURACIÓN]])</f>
        <v>2023</v>
      </c>
      <c r="W452" s="135">
        <f>+MATCH(PROVEEDORES[[#This Row],[año facturado]],Retenciones!$1:$1,0)</f>
        <v>6</v>
      </c>
      <c r="X452" s="136">
        <f>+VLOOKUP(PROVEEDORES[[#This Row],[ID RETENCION]],Retenciones!$A$1:$O$25,PROVEEDORES[[#This Row],[indicador de columna]],FALSE)</f>
        <v>0</v>
      </c>
      <c r="Y452" s="137">
        <f>+VLOOKUP(PROVEEDORES[[#This Row],[ID RETENCION]],Retenciones!$A$1:$O$25,2,FALSE)</f>
        <v>0</v>
      </c>
      <c r="Z452" s="126" t="b">
        <f>+OR(COUNTIF(PROVEEDORES[[#This Row],[PROVEEDOR]],"*"&amp;'Palabra que no opera y Listas d'!$A$2&amp;"*"))</f>
        <v>0</v>
      </c>
    </row>
    <row r="453" spans="1:26" ht="27.75" customHeight="1" x14ac:dyDescent="0.25">
      <c r="A453" s="141" t="str">
        <f>+IF(PROVEEDORES[[#This Row],[FECHA DE PAGO]]=PROVEEDORES[[#This Row],[FECHA DE FACTURACIÓN]],"DE CONTADO","CRÉDITO")</f>
        <v>CRÉDITO</v>
      </c>
      <c r="B453" s="138" t="str">
        <f>+IF((PROVEEDORES[[#This Row],[FECHA DE PAGO]]-PROVEEDORES[[#This Row],[FECHA DE FACTURACIÓN]])&gt;PROVEEDORES[[#This Row],[PLAZO Días]],"PAGO VENCIDO")</f>
        <v>PAGO VENCIDO</v>
      </c>
      <c r="C453" s="138">
        <f>+VLOOKUP(PROVEEDORES[[#This Row],[PROVEEDOR]],TERCEROS_INFO[#All],2,FALSE)</f>
        <v>30</v>
      </c>
      <c r="D453" s="139">
        <f>+SUMIFS(PROVEEDORES[Total],PROVEEDORES[PROVEEDOR],PROVEEDORES[[#This Row],[PROVEEDOR]],PROVEEDORES[FECHA DE PAGO],"")</f>
        <v>8456975.129999999</v>
      </c>
      <c r="E453" s="140"/>
      <c r="F453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453" s="127">
        <v>45118</v>
      </c>
      <c r="H453" s="123" t="s">
        <v>1464</v>
      </c>
      <c r="I453" s="127">
        <v>45082</v>
      </c>
      <c r="J453" s="124" t="s">
        <v>831</v>
      </c>
      <c r="K453" s="124" t="s">
        <v>1530</v>
      </c>
      <c r="L453" s="124"/>
      <c r="M453" s="125">
        <v>1949799</v>
      </c>
      <c r="N453" s="148">
        <v>370461.81</v>
      </c>
      <c r="O453" s="148">
        <v>0</v>
      </c>
      <c r="P453" s="149">
        <v>2.5000000000000001E-2</v>
      </c>
      <c r="Q453" s="148">
        <v>48744.975000000006</v>
      </c>
      <c r="R453" s="150">
        <v>2271515.835</v>
      </c>
      <c r="S4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3" s="135">
        <f ca="1">+IF(PROVEEDORES[[#This Row],[FECHA DE PAGO]]=0,TODAY()-PROVEEDORES[[#This Row],[FECHA DE FACTURACIÓN]]-PROVEEDORES[[#This Row],[PLAZO Días]],0)</f>
        <v>0</v>
      </c>
      <c r="U453" s="135" t="str">
        <f>+VLOOKUP(PROVEEDORES[[#This Row],[PROVEEDOR]],Terceros!$A:$D,4,FALSE)</f>
        <v>2,5% con base</v>
      </c>
      <c r="V453" s="135">
        <f>+YEAR(PROVEEDORES[[#This Row],[FECHA DE FACTURACIÓN]])</f>
        <v>2023</v>
      </c>
      <c r="W453" s="135">
        <f>+MATCH(PROVEEDORES[[#This Row],[año facturado]],Retenciones!$1:$1,0)</f>
        <v>6</v>
      </c>
      <c r="X453" s="136">
        <f>+VLOOKUP(PROVEEDORES[[#This Row],[ID RETENCION]],Retenciones!$A$1:$O$25,PROVEEDORES[[#This Row],[indicador de columna]],FALSE)</f>
        <v>1145000</v>
      </c>
      <c r="Y453" s="137">
        <f>+VLOOKUP(PROVEEDORES[[#This Row],[ID RETENCION]],Retenciones!$A$1:$O$25,2,FALSE)</f>
        <v>2.5000000000000001E-2</v>
      </c>
      <c r="Z453" s="126" t="b">
        <f>+OR(COUNTIF(PROVEEDORES[[#This Row],[PROVEEDOR]],"*"&amp;'Palabra que no opera y Listas d'!$A$2&amp;"*"))</f>
        <v>0</v>
      </c>
    </row>
    <row r="454" spans="1:26" ht="27.75" customHeight="1" x14ac:dyDescent="0.25">
      <c r="A454" s="141" t="str">
        <f>+IF(PROVEEDORES[[#This Row],[FECHA DE PAGO]]=PROVEEDORES[[#This Row],[FECHA DE FACTURACIÓN]],"DE CONTADO","CRÉDITO")</f>
        <v>CRÉDITO</v>
      </c>
      <c r="B454" s="138" t="str">
        <f>+IF((PROVEEDORES[[#This Row],[FECHA DE PAGO]]-PROVEEDORES[[#This Row],[FECHA DE FACTURACIÓN]])&gt;PROVEEDORES[[#This Row],[PLAZO Días]],"PAGO VENCIDO")</f>
        <v>PAGO VENCIDO</v>
      </c>
      <c r="C454" s="138">
        <f>+VLOOKUP(PROVEEDORES[[#This Row],[PROVEEDOR]],TERCEROS_INFO[#All],2,FALSE)</f>
        <v>30</v>
      </c>
      <c r="D454" s="139">
        <f>+SUMIFS(PROVEEDORES[Total],PROVEEDORES[PROVEEDOR],PROVEEDORES[[#This Row],[PROVEEDOR]],PROVEEDORES[FECHA DE PAGO],"")</f>
        <v>8456975.129999999</v>
      </c>
      <c r="E454" s="140"/>
      <c r="F454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454" s="127">
        <v>45118</v>
      </c>
      <c r="H454" s="123" t="s">
        <v>1464</v>
      </c>
      <c r="I454" s="127">
        <v>45084</v>
      </c>
      <c r="J454" s="124" t="s">
        <v>858</v>
      </c>
      <c r="K454" s="124" t="s">
        <v>1530</v>
      </c>
      <c r="L454" s="124"/>
      <c r="M454" s="125">
        <v>128033</v>
      </c>
      <c r="N454" s="148">
        <v>24326.27</v>
      </c>
      <c r="O454" s="148">
        <v>0</v>
      </c>
      <c r="P454" s="149">
        <v>0</v>
      </c>
      <c r="Q454" s="148">
        <v>0</v>
      </c>
      <c r="R454" s="150">
        <v>152359.26999999999</v>
      </c>
      <c r="S4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4" s="135">
        <f ca="1">+IF(PROVEEDORES[[#This Row],[FECHA DE PAGO]]=0,TODAY()-PROVEEDORES[[#This Row],[FECHA DE FACTURACIÓN]]-PROVEEDORES[[#This Row],[PLAZO Días]],0)</f>
        <v>0</v>
      </c>
      <c r="U454" s="135" t="str">
        <f>+VLOOKUP(PROVEEDORES[[#This Row],[PROVEEDOR]],Terceros!$A:$D,4,FALSE)</f>
        <v>2,5% con base</v>
      </c>
      <c r="V454" s="135">
        <f>+YEAR(PROVEEDORES[[#This Row],[FECHA DE FACTURACIÓN]])</f>
        <v>2023</v>
      </c>
      <c r="W454" s="135">
        <f>+MATCH(PROVEEDORES[[#This Row],[año facturado]],Retenciones!$1:$1,0)</f>
        <v>6</v>
      </c>
      <c r="X454" s="136">
        <f>+VLOOKUP(PROVEEDORES[[#This Row],[ID RETENCION]],Retenciones!$A$1:$O$25,PROVEEDORES[[#This Row],[indicador de columna]],FALSE)</f>
        <v>1145000</v>
      </c>
      <c r="Y454" s="137">
        <f>+VLOOKUP(PROVEEDORES[[#This Row],[ID RETENCION]],Retenciones!$A$1:$O$25,2,FALSE)</f>
        <v>2.5000000000000001E-2</v>
      </c>
      <c r="Z454" s="126" t="b">
        <f>+OR(COUNTIF(PROVEEDORES[[#This Row],[PROVEEDOR]],"*"&amp;'Palabra que no opera y Listas d'!$A$2&amp;"*"))</f>
        <v>0</v>
      </c>
    </row>
    <row r="455" spans="1:26" ht="27.75" customHeight="1" x14ac:dyDescent="0.25">
      <c r="A455" s="141" t="str">
        <f>+IF(PROVEEDORES[[#This Row],[FECHA DE PAGO]]=PROVEEDORES[[#This Row],[FECHA DE FACTURACIÓN]],"DE CONTADO","CRÉDITO")</f>
        <v>CRÉDITO</v>
      </c>
      <c r="B455" s="138" t="str">
        <f>+IF((PROVEEDORES[[#This Row],[FECHA DE PAGO]]-PROVEEDORES[[#This Row],[FECHA DE FACTURACIÓN]])&gt;PROVEEDORES[[#This Row],[PLAZO Días]],"PAGO VENCIDO")</f>
        <v>PAGO VENCIDO</v>
      </c>
      <c r="C455" s="138">
        <f>+VLOOKUP(PROVEEDORES[[#This Row],[PROVEEDOR]],TERCEROS_INFO[#All],2,FALSE)</f>
        <v>30</v>
      </c>
      <c r="D455" s="139">
        <f>+SUMIFS(PROVEEDORES[Total],PROVEEDORES[PROVEEDOR],PROVEEDORES[[#This Row],[PROVEEDOR]],PROVEEDORES[FECHA DE PAGO],"")</f>
        <v>8456975.129999999</v>
      </c>
      <c r="E455" s="140"/>
      <c r="F455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455" s="127">
        <v>45118</v>
      </c>
      <c r="H455" s="123" t="s">
        <v>1464</v>
      </c>
      <c r="I455" s="127">
        <v>45084</v>
      </c>
      <c r="J455" s="124" t="s">
        <v>857</v>
      </c>
      <c r="K455" s="124" t="s">
        <v>1530</v>
      </c>
      <c r="L455" s="124"/>
      <c r="M455" s="125">
        <v>458352</v>
      </c>
      <c r="N455" s="148">
        <v>87086.88</v>
      </c>
      <c r="O455" s="148">
        <v>0</v>
      </c>
      <c r="P455" s="149">
        <v>0</v>
      </c>
      <c r="Q455" s="148">
        <v>0</v>
      </c>
      <c r="R455" s="150">
        <v>545438.88</v>
      </c>
      <c r="S4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5" s="135">
        <f ca="1">+IF(PROVEEDORES[[#This Row],[FECHA DE PAGO]]=0,TODAY()-PROVEEDORES[[#This Row],[FECHA DE FACTURACIÓN]]-PROVEEDORES[[#This Row],[PLAZO Días]],0)</f>
        <v>0</v>
      </c>
      <c r="U455" s="135" t="str">
        <f>+VLOOKUP(PROVEEDORES[[#This Row],[PROVEEDOR]],Terceros!$A:$D,4,FALSE)</f>
        <v>2,5% con base</v>
      </c>
      <c r="V455" s="135">
        <f>+YEAR(PROVEEDORES[[#This Row],[FECHA DE FACTURACIÓN]])</f>
        <v>2023</v>
      </c>
      <c r="W455" s="135">
        <f>+MATCH(PROVEEDORES[[#This Row],[año facturado]],Retenciones!$1:$1,0)</f>
        <v>6</v>
      </c>
      <c r="X455" s="136">
        <f>+VLOOKUP(PROVEEDORES[[#This Row],[ID RETENCION]],Retenciones!$A$1:$O$25,PROVEEDORES[[#This Row],[indicador de columna]],FALSE)</f>
        <v>1145000</v>
      </c>
      <c r="Y455" s="137">
        <f>+VLOOKUP(PROVEEDORES[[#This Row],[ID RETENCION]],Retenciones!$A$1:$O$25,2,FALSE)</f>
        <v>2.5000000000000001E-2</v>
      </c>
      <c r="Z455" s="126" t="b">
        <f>+OR(COUNTIF(PROVEEDORES[[#This Row],[PROVEEDOR]],"*"&amp;'Palabra que no opera y Listas d'!$A$2&amp;"*"))</f>
        <v>0</v>
      </c>
    </row>
    <row r="456" spans="1:26" ht="27.75" customHeight="1" x14ac:dyDescent="0.25">
      <c r="A456" s="141" t="str">
        <f>+IF(PROVEEDORES[[#This Row],[FECHA DE PAGO]]=PROVEEDORES[[#This Row],[FECHA DE FACTURACIÓN]],"DE CONTADO","CRÉDITO")</f>
        <v>CRÉDITO</v>
      </c>
      <c r="B456" s="138" t="b">
        <f>+IF((PROVEEDORES[[#This Row],[FECHA DE PAGO]]-PROVEEDORES[[#This Row],[FECHA DE FACTURACIÓN]])&gt;PROVEEDORES[[#This Row],[PLAZO Días]],"PAGO VENCIDO")</f>
        <v>0</v>
      </c>
      <c r="C456" s="138">
        <f>+VLOOKUP(PROVEEDORES[[#This Row],[PROVEEDOR]],TERCEROS_INFO[#All],2,FALSE)</f>
        <v>30</v>
      </c>
      <c r="D456" s="139">
        <f>+SUMIFS(PROVEEDORES[Total],PROVEEDORES[PROVEEDOR],PROVEEDORES[[#This Row],[PROVEEDOR]],PROVEEDORES[FECHA DE PAGO],"")</f>
        <v>0</v>
      </c>
      <c r="E456" s="140"/>
      <c r="F456" s="138" t="str">
        <f>+VLOOKUP(PROVEEDORES[[#This Row],[PROVEEDOR]],
                       Terceros!$A:$F,
                       5,
                       FALSE)</f>
        <v/>
      </c>
      <c r="G456" s="127">
        <v>45119</v>
      </c>
      <c r="H456" s="123" t="s">
        <v>481</v>
      </c>
      <c r="I456" s="127">
        <v>45118</v>
      </c>
      <c r="J456" s="124" t="s">
        <v>932</v>
      </c>
      <c r="K456" s="124" t="s">
        <v>1530</v>
      </c>
      <c r="L456" s="124"/>
      <c r="M456" s="125">
        <v>4587000</v>
      </c>
      <c r="N456" s="148">
        <v>0</v>
      </c>
      <c r="O456" s="148">
        <v>0</v>
      </c>
      <c r="P456" s="149">
        <v>0</v>
      </c>
      <c r="Q456" s="148">
        <v>0</v>
      </c>
      <c r="R456" s="150">
        <v>4587000</v>
      </c>
      <c r="S4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6" s="135">
        <f ca="1">+IF(PROVEEDORES[[#This Row],[FECHA DE PAGO]]=0,TODAY()-PROVEEDORES[[#This Row],[FECHA DE FACTURACIÓN]]-PROVEEDORES[[#This Row],[PLAZO Días]],0)</f>
        <v>0</v>
      </c>
      <c r="U456" s="135">
        <f>+VLOOKUP(PROVEEDORES[[#This Row],[PROVEEDOR]],Terceros!$A:$D,4,FALSE)</f>
        <v>0</v>
      </c>
      <c r="V456" s="135">
        <f>+YEAR(PROVEEDORES[[#This Row],[FECHA DE FACTURACIÓN]])</f>
        <v>2023</v>
      </c>
      <c r="W456" s="135">
        <f>+MATCH(PROVEEDORES[[#This Row],[año facturado]],Retenciones!$1:$1,0)</f>
        <v>6</v>
      </c>
      <c r="X456" s="136">
        <f>+VLOOKUP(PROVEEDORES[[#This Row],[ID RETENCION]],Retenciones!$A$1:$O$25,PROVEEDORES[[#This Row],[indicador de columna]],FALSE)</f>
        <v>0</v>
      </c>
      <c r="Y456" s="137">
        <f>+VLOOKUP(PROVEEDORES[[#This Row],[ID RETENCION]],Retenciones!$A$1:$O$25,2,FALSE)</f>
        <v>0</v>
      </c>
      <c r="Z456" s="126" t="b">
        <f>+OR(COUNTIF(PROVEEDORES[[#This Row],[PROVEEDOR]],"*"&amp;'Palabra que no opera y Listas d'!$A$2&amp;"*"))</f>
        <v>0</v>
      </c>
    </row>
    <row r="457" spans="1:26" ht="27.75" customHeight="1" x14ac:dyDescent="0.25">
      <c r="A457" s="141" t="str">
        <f>+IF(PROVEEDORES[[#This Row],[FECHA DE PAGO]]=PROVEEDORES[[#This Row],[FECHA DE FACTURACIÓN]],"DE CONTADO","CRÉDITO")</f>
        <v>CRÉDITO</v>
      </c>
      <c r="B457" s="138" t="str">
        <f>+IF((PROVEEDORES[[#This Row],[FECHA DE PAGO]]-PROVEEDORES[[#This Row],[FECHA DE FACTURACIÓN]])&gt;PROVEEDORES[[#This Row],[PLAZO Días]],"PAGO VENCIDO")</f>
        <v>PAGO VENCIDO</v>
      </c>
      <c r="C457" s="138">
        <f>+VLOOKUP(PROVEEDORES[[#This Row],[PROVEEDOR]],TERCEROS_INFO[#All],2,FALSE)</f>
        <v>10</v>
      </c>
      <c r="D457" s="139">
        <f>+SUMIFS(PROVEEDORES[Total],PROVEEDORES[PROVEEDOR],PROVEEDORES[[#This Row],[PROVEEDOR]],PROVEEDORES[FECHA DE PAGO],"")</f>
        <v>0</v>
      </c>
      <c r="E457" s="140"/>
      <c r="F457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457" s="127">
        <v>45121</v>
      </c>
      <c r="H457" s="123" t="s">
        <v>482</v>
      </c>
      <c r="I457" s="127">
        <v>45108</v>
      </c>
      <c r="J457" s="124" t="s">
        <v>891</v>
      </c>
      <c r="K457" s="124" t="s">
        <v>1530</v>
      </c>
      <c r="L457" s="124"/>
      <c r="M457" s="125">
        <v>5350576</v>
      </c>
      <c r="N457" s="148">
        <v>1016609.4400000001</v>
      </c>
      <c r="O457" s="148">
        <v>0</v>
      </c>
      <c r="P457" s="149">
        <v>0</v>
      </c>
      <c r="Q457" s="148">
        <v>0</v>
      </c>
      <c r="R457" s="150">
        <v>6367185.4400000004</v>
      </c>
      <c r="S4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7" s="135">
        <f ca="1">+IF(PROVEEDORES[[#This Row],[FECHA DE PAGO]]=0,TODAY()-PROVEEDORES[[#This Row],[FECHA DE FACTURACIÓN]]-PROVEEDORES[[#This Row],[PLAZO Días]],0)</f>
        <v>0</v>
      </c>
      <c r="U457" s="135">
        <f>+VLOOKUP(PROVEEDORES[[#This Row],[PROVEEDOR]],Terceros!$A:$D,4,FALSE)</f>
        <v>0</v>
      </c>
      <c r="V457" s="135">
        <f>+YEAR(PROVEEDORES[[#This Row],[FECHA DE FACTURACIÓN]])</f>
        <v>2023</v>
      </c>
      <c r="W457" s="135">
        <f>+MATCH(PROVEEDORES[[#This Row],[año facturado]],Retenciones!$1:$1,0)</f>
        <v>6</v>
      </c>
      <c r="X457" s="136">
        <f>+VLOOKUP(PROVEEDORES[[#This Row],[ID RETENCION]],Retenciones!$A$1:$O$25,PROVEEDORES[[#This Row],[indicador de columna]],FALSE)</f>
        <v>0</v>
      </c>
      <c r="Y457" s="137">
        <f>+VLOOKUP(PROVEEDORES[[#This Row],[ID RETENCION]],Retenciones!$A$1:$O$25,2,FALSE)</f>
        <v>0</v>
      </c>
      <c r="Z457" s="126" t="b">
        <f>+OR(COUNTIF(PROVEEDORES[[#This Row],[PROVEEDOR]],"*"&amp;'Palabra que no opera y Listas d'!$A$2&amp;"*"))</f>
        <v>1</v>
      </c>
    </row>
    <row r="458" spans="1:26" ht="27.75" customHeight="1" x14ac:dyDescent="0.25">
      <c r="A458" s="141" t="str">
        <f>+IF(PROVEEDORES[[#This Row],[FECHA DE PAGO]]=PROVEEDORES[[#This Row],[FECHA DE FACTURACIÓN]],"DE CONTADO","CRÉDITO")</f>
        <v>DE CONTADO</v>
      </c>
      <c r="B458" s="138" t="b">
        <f>+IF((PROVEEDORES[[#This Row],[FECHA DE PAGO]]-PROVEEDORES[[#This Row],[FECHA DE FACTURACIÓN]])&gt;PROVEEDORES[[#This Row],[PLAZO Días]],"PAGO VENCIDO")</f>
        <v>0</v>
      </c>
      <c r="C458" s="138">
        <f>+VLOOKUP(PROVEEDORES[[#This Row],[PROVEEDOR]],TERCEROS_INFO[#All],2,FALSE)</f>
        <v>30</v>
      </c>
      <c r="D458" s="139">
        <f>+SUMIFS(PROVEEDORES[Total],PROVEEDORES[PROVEEDOR],PROVEEDORES[[#This Row],[PROVEEDOR]],PROVEEDORES[FECHA DE PAGO],"")</f>
        <v>0</v>
      </c>
      <c r="E458" s="140"/>
      <c r="F458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458" s="127">
        <v>45121</v>
      </c>
      <c r="H458" s="123" t="s">
        <v>1865</v>
      </c>
      <c r="I458" s="127">
        <v>45121</v>
      </c>
      <c r="J458" s="124" t="s">
        <v>900</v>
      </c>
      <c r="K458" s="124" t="s">
        <v>1530</v>
      </c>
      <c r="L458" s="124"/>
      <c r="M458" s="125">
        <v>1550000</v>
      </c>
      <c r="N458" s="148">
        <v>0</v>
      </c>
      <c r="O458" s="148">
        <v>0</v>
      </c>
      <c r="P458" s="149">
        <v>0</v>
      </c>
      <c r="Q458" s="148">
        <v>0</v>
      </c>
      <c r="R458" s="150">
        <v>1550000</v>
      </c>
      <c r="S4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8" s="135">
        <f ca="1">+IF(PROVEEDORES[[#This Row],[FECHA DE PAGO]]=0,TODAY()-PROVEEDORES[[#This Row],[FECHA DE FACTURACIÓN]]-PROVEEDORES[[#This Row],[PLAZO Días]],0)</f>
        <v>0</v>
      </c>
      <c r="U458" s="135">
        <f>+VLOOKUP(PROVEEDORES[[#This Row],[PROVEEDOR]],Terceros!$A:$D,4,FALSE)</f>
        <v>0</v>
      </c>
      <c r="V458" s="135">
        <f>+YEAR(PROVEEDORES[[#This Row],[FECHA DE FACTURACIÓN]])</f>
        <v>2023</v>
      </c>
      <c r="W458" s="135">
        <f>+MATCH(PROVEEDORES[[#This Row],[año facturado]],Retenciones!$1:$1,0)</f>
        <v>6</v>
      </c>
      <c r="X458" s="136">
        <f>+VLOOKUP(PROVEEDORES[[#This Row],[ID RETENCION]],Retenciones!$A$1:$O$25,PROVEEDORES[[#This Row],[indicador de columna]],FALSE)</f>
        <v>0</v>
      </c>
      <c r="Y458" s="137">
        <f>+VLOOKUP(PROVEEDORES[[#This Row],[ID RETENCION]],Retenciones!$A$1:$O$25,2,FALSE)</f>
        <v>0</v>
      </c>
      <c r="Z458" s="126" t="b">
        <f>+OR(COUNTIF(PROVEEDORES[[#This Row],[PROVEEDOR]],"*"&amp;'Palabra que no opera y Listas d'!$A$2&amp;"*"))</f>
        <v>0</v>
      </c>
    </row>
    <row r="459" spans="1:26" ht="27.75" customHeight="1" x14ac:dyDescent="0.25">
      <c r="A459" s="141" t="str">
        <f>+IF(PROVEEDORES[[#This Row],[FECHA DE PAGO]]=PROVEEDORES[[#This Row],[FECHA DE FACTURACIÓN]],"DE CONTADO","CRÉDITO")</f>
        <v>CRÉDITO</v>
      </c>
      <c r="B459" s="138" t="b">
        <f>+IF((PROVEEDORES[[#This Row],[FECHA DE PAGO]]-PROVEEDORES[[#This Row],[FECHA DE FACTURACIÓN]])&gt;PROVEEDORES[[#This Row],[PLAZO Días]],"PAGO VENCIDO")</f>
        <v>0</v>
      </c>
      <c r="C459" s="138">
        <f>+VLOOKUP(PROVEEDORES[[#This Row],[PROVEEDOR]],TERCEROS_INFO[#All],2,FALSE)</f>
        <v>30</v>
      </c>
      <c r="D459" s="139">
        <f>+SUMIFS(PROVEEDORES[Total],PROVEEDORES[PROVEEDOR],PROVEEDORES[[#This Row],[PROVEEDOR]],PROVEEDORES[FECHA DE PAGO],"")</f>
        <v>0</v>
      </c>
      <c r="E459" s="140"/>
      <c r="F459" s="138" t="str">
        <f>+VLOOKUP(PROVEEDORES[[#This Row],[PROVEEDOR]],
                       Terceros!$A:$F,
                       5,
                       FALSE)</f>
        <v/>
      </c>
      <c r="G459" s="127">
        <v>45122</v>
      </c>
      <c r="H459" s="123" t="s">
        <v>481</v>
      </c>
      <c r="I459" s="127">
        <v>45121</v>
      </c>
      <c r="J459" s="124" t="s">
        <v>933</v>
      </c>
      <c r="K459" s="124" t="s">
        <v>1530</v>
      </c>
      <c r="L459" s="124"/>
      <c r="M459" s="125">
        <v>6643000</v>
      </c>
      <c r="N459" s="148">
        <v>0</v>
      </c>
      <c r="O459" s="148">
        <v>0</v>
      </c>
      <c r="P459" s="149">
        <v>0</v>
      </c>
      <c r="Q459" s="148">
        <v>0</v>
      </c>
      <c r="R459" s="150">
        <v>6643000</v>
      </c>
      <c r="S4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59" s="135">
        <f ca="1">+IF(PROVEEDORES[[#This Row],[FECHA DE PAGO]]=0,TODAY()-PROVEEDORES[[#This Row],[FECHA DE FACTURACIÓN]]-PROVEEDORES[[#This Row],[PLAZO Días]],0)</f>
        <v>0</v>
      </c>
      <c r="U459" s="135">
        <f>+VLOOKUP(PROVEEDORES[[#This Row],[PROVEEDOR]],Terceros!$A:$D,4,FALSE)</f>
        <v>0</v>
      </c>
      <c r="V459" s="135">
        <f>+YEAR(PROVEEDORES[[#This Row],[FECHA DE FACTURACIÓN]])</f>
        <v>2023</v>
      </c>
      <c r="W459" s="135">
        <f>+MATCH(PROVEEDORES[[#This Row],[año facturado]],Retenciones!$1:$1,0)</f>
        <v>6</v>
      </c>
      <c r="X459" s="136">
        <f>+VLOOKUP(PROVEEDORES[[#This Row],[ID RETENCION]],Retenciones!$A$1:$O$25,PROVEEDORES[[#This Row],[indicador de columna]],FALSE)</f>
        <v>0</v>
      </c>
      <c r="Y459" s="137">
        <f>+VLOOKUP(PROVEEDORES[[#This Row],[ID RETENCION]],Retenciones!$A$1:$O$25,2,FALSE)</f>
        <v>0</v>
      </c>
      <c r="Z459" s="126" t="b">
        <f>+OR(COUNTIF(PROVEEDORES[[#This Row],[PROVEEDOR]],"*"&amp;'Palabra que no opera y Listas d'!$A$2&amp;"*"))</f>
        <v>0</v>
      </c>
    </row>
    <row r="460" spans="1:26" ht="27.75" customHeight="1" x14ac:dyDescent="0.25">
      <c r="A460" s="141" t="str">
        <f>+IF(PROVEEDORES[[#This Row],[FECHA DE PAGO]]=PROVEEDORES[[#This Row],[FECHA DE FACTURACIÓN]],"DE CONTADO","CRÉDITO")</f>
        <v>CRÉDITO</v>
      </c>
      <c r="B460" s="138" t="str">
        <f>+IF((PROVEEDORES[[#This Row],[FECHA DE PAGO]]-PROVEEDORES[[#This Row],[FECHA DE FACTURACIÓN]])&gt;PROVEEDORES[[#This Row],[PLAZO Días]],"PAGO VENCIDO")</f>
        <v>PAGO VENCIDO</v>
      </c>
      <c r="C460" s="138">
        <f>+VLOOKUP(PROVEEDORES[[#This Row],[PROVEEDOR]],TERCEROS_INFO[#All],2,FALSE)</f>
        <v>60</v>
      </c>
      <c r="D460" s="139">
        <f>+SUMIFS(PROVEEDORES[Total],PROVEEDORES[PROVEEDOR],PROVEEDORES[[#This Row],[PROVEEDOR]],PROVEEDORES[FECHA DE PAGO],"")</f>
        <v>1730482</v>
      </c>
      <c r="E460" s="140"/>
      <c r="F460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0" s="127">
        <v>45124</v>
      </c>
      <c r="H460" s="123" t="s">
        <v>222</v>
      </c>
      <c r="I460" s="127">
        <v>45051</v>
      </c>
      <c r="J460" s="124">
        <v>1672</v>
      </c>
      <c r="K460" s="124" t="s">
        <v>1530</v>
      </c>
      <c r="L460" s="124"/>
      <c r="M460" s="125">
        <v>224640</v>
      </c>
      <c r="N460" s="148">
        <v>0</v>
      </c>
      <c r="O460" s="148">
        <v>0</v>
      </c>
      <c r="P460" s="149">
        <v>0</v>
      </c>
      <c r="Q460" s="148">
        <v>0</v>
      </c>
      <c r="R460" s="150">
        <v>224640</v>
      </c>
      <c r="S4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0" s="135">
        <f ca="1">+IF(PROVEEDORES[[#This Row],[FECHA DE PAGO]]=0,TODAY()-PROVEEDORES[[#This Row],[FECHA DE FACTURACIÓN]]-PROVEEDORES[[#This Row],[PLAZO Días]],0)</f>
        <v>0</v>
      </c>
      <c r="U460" s="135">
        <f>+VLOOKUP(PROVEEDORES[[#This Row],[PROVEEDOR]],Terceros!$A:$D,4,FALSE)</f>
        <v>0</v>
      </c>
      <c r="V460" s="135">
        <f>+YEAR(PROVEEDORES[[#This Row],[FECHA DE FACTURACIÓN]])</f>
        <v>2023</v>
      </c>
      <c r="W460" s="135">
        <f>+MATCH(PROVEEDORES[[#This Row],[año facturado]],Retenciones!$1:$1,0)</f>
        <v>6</v>
      </c>
      <c r="X460" s="136">
        <f>+VLOOKUP(PROVEEDORES[[#This Row],[ID RETENCION]],Retenciones!$A$1:$O$25,PROVEEDORES[[#This Row],[indicador de columna]],FALSE)</f>
        <v>0</v>
      </c>
      <c r="Y460" s="137">
        <f>+VLOOKUP(PROVEEDORES[[#This Row],[ID RETENCION]],Retenciones!$A$1:$O$25,2,FALSE)</f>
        <v>0</v>
      </c>
      <c r="Z460" s="126" t="b">
        <f>+OR(COUNTIF(PROVEEDORES[[#This Row],[PROVEEDOR]],"*"&amp;'Palabra que no opera y Listas d'!$A$2&amp;"*"))</f>
        <v>0</v>
      </c>
    </row>
    <row r="461" spans="1:26" ht="27.75" customHeight="1" x14ac:dyDescent="0.25">
      <c r="A461" s="141" t="str">
        <f>+IF(PROVEEDORES[[#This Row],[FECHA DE PAGO]]=PROVEEDORES[[#This Row],[FECHA DE FACTURACIÓN]],"DE CONTADO","CRÉDITO")</f>
        <v>CRÉDITO</v>
      </c>
      <c r="B461" s="138" t="str">
        <f>+IF((PROVEEDORES[[#This Row],[FECHA DE PAGO]]-PROVEEDORES[[#This Row],[FECHA DE FACTURACIÓN]])&gt;PROVEEDORES[[#This Row],[PLAZO Días]],"PAGO VENCIDO")</f>
        <v>PAGO VENCIDO</v>
      </c>
      <c r="C461" s="138">
        <f>+VLOOKUP(PROVEEDORES[[#This Row],[PROVEEDOR]],TERCEROS_INFO[#All],2,FALSE)</f>
        <v>60</v>
      </c>
      <c r="D461" s="139">
        <f>+SUMIFS(PROVEEDORES[Total],PROVEEDORES[PROVEEDOR],PROVEEDORES[[#This Row],[PROVEEDOR]],PROVEEDORES[FECHA DE PAGO],"")</f>
        <v>1730482</v>
      </c>
      <c r="E461" s="140"/>
      <c r="F461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1" s="127">
        <v>45124</v>
      </c>
      <c r="H461" s="123" t="s">
        <v>222</v>
      </c>
      <c r="I461" s="127">
        <v>45051</v>
      </c>
      <c r="J461" s="124">
        <v>1673</v>
      </c>
      <c r="K461" s="124" t="s">
        <v>1530</v>
      </c>
      <c r="L461" s="124"/>
      <c r="M461" s="125">
        <v>187200</v>
      </c>
      <c r="N461" s="148">
        <v>0</v>
      </c>
      <c r="O461" s="148">
        <v>0</v>
      </c>
      <c r="P461" s="149">
        <v>0</v>
      </c>
      <c r="Q461" s="148">
        <v>0</v>
      </c>
      <c r="R461" s="150">
        <v>187200</v>
      </c>
      <c r="S4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1" s="135">
        <f ca="1">+IF(PROVEEDORES[[#This Row],[FECHA DE PAGO]]=0,TODAY()-PROVEEDORES[[#This Row],[FECHA DE FACTURACIÓN]]-PROVEEDORES[[#This Row],[PLAZO Días]],0)</f>
        <v>0</v>
      </c>
      <c r="U461" s="135">
        <f>+VLOOKUP(PROVEEDORES[[#This Row],[PROVEEDOR]],Terceros!$A:$D,4,FALSE)</f>
        <v>0</v>
      </c>
      <c r="V461" s="135">
        <f>+YEAR(PROVEEDORES[[#This Row],[FECHA DE FACTURACIÓN]])</f>
        <v>2023</v>
      </c>
      <c r="W461" s="135">
        <f>+MATCH(PROVEEDORES[[#This Row],[año facturado]],Retenciones!$1:$1,0)</f>
        <v>6</v>
      </c>
      <c r="X461" s="136">
        <f>+VLOOKUP(PROVEEDORES[[#This Row],[ID RETENCION]],Retenciones!$A$1:$O$25,PROVEEDORES[[#This Row],[indicador de columna]],FALSE)</f>
        <v>0</v>
      </c>
      <c r="Y461" s="137">
        <f>+VLOOKUP(PROVEEDORES[[#This Row],[ID RETENCION]],Retenciones!$A$1:$O$25,2,FALSE)</f>
        <v>0</v>
      </c>
      <c r="Z461" s="126" t="b">
        <f>+OR(COUNTIF(PROVEEDORES[[#This Row],[PROVEEDOR]],"*"&amp;'Palabra que no opera y Listas d'!$A$2&amp;"*"))</f>
        <v>0</v>
      </c>
    </row>
    <row r="462" spans="1:26" ht="27.75" customHeight="1" x14ac:dyDescent="0.25">
      <c r="A462" s="141" t="str">
        <f>+IF(PROVEEDORES[[#This Row],[FECHA DE PAGO]]=PROVEEDORES[[#This Row],[FECHA DE FACTURACIÓN]],"DE CONTADO","CRÉDITO")</f>
        <v>CRÉDITO</v>
      </c>
      <c r="B462" s="138" t="str">
        <f>+IF((PROVEEDORES[[#This Row],[FECHA DE PAGO]]-PROVEEDORES[[#This Row],[FECHA DE FACTURACIÓN]])&gt;PROVEEDORES[[#This Row],[PLAZO Días]],"PAGO VENCIDO")</f>
        <v>PAGO VENCIDO</v>
      </c>
      <c r="C462" s="138">
        <f>+VLOOKUP(PROVEEDORES[[#This Row],[PROVEEDOR]],TERCEROS_INFO[#All],2,FALSE)</f>
        <v>60</v>
      </c>
      <c r="D462" s="139">
        <f>+SUMIFS(PROVEEDORES[Total],PROVEEDORES[PROVEEDOR],PROVEEDORES[[#This Row],[PROVEEDOR]],PROVEEDORES[FECHA DE PAGO],"")</f>
        <v>1730482</v>
      </c>
      <c r="E462" s="140"/>
      <c r="F462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2" s="127">
        <v>45124</v>
      </c>
      <c r="H462" s="123" t="s">
        <v>222</v>
      </c>
      <c r="I462" s="127">
        <v>45051</v>
      </c>
      <c r="J462" s="124">
        <v>1681</v>
      </c>
      <c r="K462" s="124" t="s">
        <v>1530</v>
      </c>
      <c r="L462" s="124"/>
      <c r="M462" s="125">
        <v>355680</v>
      </c>
      <c r="N462" s="148">
        <v>0</v>
      </c>
      <c r="O462" s="148">
        <v>0</v>
      </c>
      <c r="P462" s="149">
        <v>0</v>
      </c>
      <c r="Q462" s="148">
        <v>0</v>
      </c>
      <c r="R462" s="150">
        <v>355680</v>
      </c>
      <c r="S4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2" s="135">
        <f ca="1">+IF(PROVEEDORES[[#This Row],[FECHA DE PAGO]]=0,TODAY()-PROVEEDORES[[#This Row],[FECHA DE FACTURACIÓN]]-PROVEEDORES[[#This Row],[PLAZO Días]],0)</f>
        <v>0</v>
      </c>
      <c r="U462" s="135">
        <f>+VLOOKUP(PROVEEDORES[[#This Row],[PROVEEDOR]],Terceros!$A:$D,4,FALSE)</f>
        <v>0</v>
      </c>
      <c r="V462" s="135">
        <f>+YEAR(PROVEEDORES[[#This Row],[FECHA DE FACTURACIÓN]])</f>
        <v>2023</v>
      </c>
      <c r="W462" s="135">
        <f>+MATCH(PROVEEDORES[[#This Row],[año facturado]],Retenciones!$1:$1,0)</f>
        <v>6</v>
      </c>
      <c r="X462" s="136">
        <f>+VLOOKUP(PROVEEDORES[[#This Row],[ID RETENCION]],Retenciones!$A$1:$O$25,PROVEEDORES[[#This Row],[indicador de columna]],FALSE)</f>
        <v>0</v>
      </c>
      <c r="Y462" s="137">
        <f>+VLOOKUP(PROVEEDORES[[#This Row],[ID RETENCION]],Retenciones!$A$1:$O$25,2,FALSE)</f>
        <v>0</v>
      </c>
      <c r="Z462" s="126" t="b">
        <f>+OR(COUNTIF(PROVEEDORES[[#This Row],[PROVEEDOR]],"*"&amp;'Palabra que no opera y Listas d'!$A$2&amp;"*"))</f>
        <v>0</v>
      </c>
    </row>
    <row r="463" spans="1:26" ht="27.75" customHeight="1" x14ac:dyDescent="0.25">
      <c r="A463" s="141" t="str">
        <f>+IF(PROVEEDORES[[#This Row],[FECHA DE PAGO]]=PROVEEDORES[[#This Row],[FECHA DE FACTURACIÓN]],"DE CONTADO","CRÉDITO")</f>
        <v>CRÉDITO</v>
      </c>
      <c r="B463" s="138" t="str">
        <f>+IF((PROVEEDORES[[#This Row],[FECHA DE PAGO]]-PROVEEDORES[[#This Row],[FECHA DE FACTURACIÓN]])&gt;PROVEEDORES[[#This Row],[PLAZO Días]],"PAGO VENCIDO")</f>
        <v>PAGO VENCIDO</v>
      </c>
      <c r="C463" s="138">
        <f>+VLOOKUP(PROVEEDORES[[#This Row],[PROVEEDOR]],TERCEROS_INFO[#All],2,FALSE)</f>
        <v>60</v>
      </c>
      <c r="D463" s="139">
        <f>+SUMIFS(PROVEEDORES[Total],PROVEEDORES[PROVEEDOR],PROVEEDORES[[#This Row],[PROVEEDOR]],PROVEEDORES[FECHA DE PAGO],"")</f>
        <v>1730482</v>
      </c>
      <c r="E463" s="140"/>
      <c r="F463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3" s="127">
        <v>45124</v>
      </c>
      <c r="H463" s="123" t="s">
        <v>222</v>
      </c>
      <c r="I463" s="127">
        <v>45051</v>
      </c>
      <c r="J463" s="124">
        <v>1682</v>
      </c>
      <c r="K463" s="124" t="s">
        <v>1530</v>
      </c>
      <c r="L463" s="124"/>
      <c r="M463" s="125">
        <v>411840</v>
      </c>
      <c r="N463" s="148">
        <v>0</v>
      </c>
      <c r="O463" s="148">
        <v>0</v>
      </c>
      <c r="P463" s="149">
        <v>0</v>
      </c>
      <c r="Q463" s="148">
        <v>0</v>
      </c>
      <c r="R463" s="150">
        <v>411840</v>
      </c>
      <c r="S4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3" s="135">
        <f ca="1">+IF(PROVEEDORES[[#This Row],[FECHA DE PAGO]]=0,TODAY()-PROVEEDORES[[#This Row],[FECHA DE FACTURACIÓN]]-PROVEEDORES[[#This Row],[PLAZO Días]],0)</f>
        <v>0</v>
      </c>
      <c r="U463" s="135">
        <f>+VLOOKUP(PROVEEDORES[[#This Row],[PROVEEDOR]],Terceros!$A:$D,4,FALSE)</f>
        <v>0</v>
      </c>
      <c r="V463" s="135">
        <f>+YEAR(PROVEEDORES[[#This Row],[FECHA DE FACTURACIÓN]])</f>
        <v>2023</v>
      </c>
      <c r="W463" s="135">
        <f>+MATCH(PROVEEDORES[[#This Row],[año facturado]],Retenciones!$1:$1,0)</f>
        <v>6</v>
      </c>
      <c r="X463" s="136">
        <f>+VLOOKUP(PROVEEDORES[[#This Row],[ID RETENCION]],Retenciones!$A$1:$O$25,PROVEEDORES[[#This Row],[indicador de columna]],FALSE)</f>
        <v>0</v>
      </c>
      <c r="Y463" s="137">
        <f>+VLOOKUP(PROVEEDORES[[#This Row],[ID RETENCION]],Retenciones!$A$1:$O$25,2,FALSE)</f>
        <v>0</v>
      </c>
      <c r="Z463" s="126" t="b">
        <f>+OR(COUNTIF(PROVEEDORES[[#This Row],[PROVEEDOR]],"*"&amp;'Palabra que no opera y Listas d'!$A$2&amp;"*"))</f>
        <v>0</v>
      </c>
    </row>
    <row r="464" spans="1:26" ht="27.75" customHeight="1" x14ac:dyDescent="0.25">
      <c r="A464" s="141" t="str">
        <f>+IF(PROVEEDORES[[#This Row],[FECHA DE PAGO]]=PROVEEDORES[[#This Row],[FECHA DE FACTURACIÓN]],"DE CONTADO","CRÉDITO")</f>
        <v>CRÉDITO</v>
      </c>
      <c r="B464" s="138" t="str">
        <f>+IF((PROVEEDORES[[#This Row],[FECHA DE PAGO]]-PROVEEDORES[[#This Row],[FECHA DE FACTURACIÓN]])&gt;PROVEEDORES[[#This Row],[PLAZO Días]],"PAGO VENCIDO")</f>
        <v>PAGO VENCIDO</v>
      </c>
      <c r="C464" s="138">
        <f>+VLOOKUP(PROVEEDORES[[#This Row],[PROVEEDOR]],TERCEROS_INFO[#All],2,FALSE)</f>
        <v>60</v>
      </c>
      <c r="D464" s="139">
        <f>+SUMIFS(PROVEEDORES[Total],PROVEEDORES[PROVEEDOR],PROVEEDORES[[#This Row],[PROVEEDOR]],PROVEEDORES[FECHA DE PAGO],"")</f>
        <v>1730482</v>
      </c>
      <c r="E464" s="140"/>
      <c r="F464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4" s="127">
        <v>45124</v>
      </c>
      <c r="H464" s="123" t="s">
        <v>222</v>
      </c>
      <c r="I464" s="127">
        <v>45051</v>
      </c>
      <c r="J464" s="124">
        <v>1683</v>
      </c>
      <c r="K464" s="124" t="s">
        <v>1530</v>
      </c>
      <c r="L464" s="124"/>
      <c r="M464" s="125">
        <v>430560</v>
      </c>
      <c r="N464" s="148">
        <v>0</v>
      </c>
      <c r="O464" s="148">
        <v>0</v>
      </c>
      <c r="P464" s="149">
        <v>0</v>
      </c>
      <c r="Q464" s="148">
        <v>0</v>
      </c>
      <c r="R464" s="150">
        <v>430560</v>
      </c>
      <c r="S4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4" s="135">
        <f ca="1">+IF(PROVEEDORES[[#This Row],[FECHA DE PAGO]]=0,TODAY()-PROVEEDORES[[#This Row],[FECHA DE FACTURACIÓN]]-PROVEEDORES[[#This Row],[PLAZO Días]],0)</f>
        <v>0</v>
      </c>
      <c r="U464" s="135">
        <f>+VLOOKUP(PROVEEDORES[[#This Row],[PROVEEDOR]],Terceros!$A:$D,4,FALSE)</f>
        <v>0</v>
      </c>
      <c r="V464" s="135">
        <f>+YEAR(PROVEEDORES[[#This Row],[FECHA DE FACTURACIÓN]])</f>
        <v>2023</v>
      </c>
      <c r="W464" s="135">
        <f>+MATCH(PROVEEDORES[[#This Row],[año facturado]],Retenciones!$1:$1,0)</f>
        <v>6</v>
      </c>
      <c r="X464" s="136">
        <f>+VLOOKUP(PROVEEDORES[[#This Row],[ID RETENCION]],Retenciones!$A$1:$O$25,PROVEEDORES[[#This Row],[indicador de columna]],FALSE)</f>
        <v>0</v>
      </c>
      <c r="Y464" s="137">
        <f>+VLOOKUP(PROVEEDORES[[#This Row],[ID RETENCION]],Retenciones!$A$1:$O$25,2,FALSE)</f>
        <v>0</v>
      </c>
      <c r="Z464" s="126" t="b">
        <f>+OR(COUNTIF(PROVEEDORES[[#This Row],[PROVEEDOR]],"*"&amp;'Palabra que no opera y Listas d'!$A$2&amp;"*"))</f>
        <v>0</v>
      </c>
    </row>
    <row r="465" spans="1:26" ht="27.75" customHeight="1" x14ac:dyDescent="0.25">
      <c r="A465" s="141" t="str">
        <f>+IF(PROVEEDORES[[#This Row],[FECHA DE PAGO]]=PROVEEDORES[[#This Row],[FECHA DE FACTURACIÓN]],"DE CONTADO","CRÉDITO")</f>
        <v>CRÉDITO</v>
      </c>
      <c r="B465" s="138" t="str">
        <f>+IF((PROVEEDORES[[#This Row],[FECHA DE PAGO]]-PROVEEDORES[[#This Row],[FECHA DE FACTURACIÓN]])&gt;PROVEEDORES[[#This Row],[PLAZO Días]],"PAGO VENCIDO")</f>
        <v>PAGO VENCIDO</v>
      </c>
      <c r="C465" s="138">
        <f>+VLOOKUP(PROVEEDORES[[#This Row],[PROVEEDOR]],TERCEROS_INFO[#All],2,FALSE)</f>
        <v>30</v>
      </c>
      <c r="D465" s="139">
        <f>+SUMIFS(PROVEEDORES[Total],PROVEEDORES[PROVEEDOR],PROVEEDORES[[#This Row],[PROVEEDOR]],PROVEEDORES[FECHA DE PAGO],"")</f>
        <v>0</v>
      </c>
      <c r="E465" s="140"/>
      <c r="F465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465" s="127">
        <v>45124</v>
      </c>
      <c r="H465" s="123" t="s">
        <v>360</v>
      </c>
      <c r="I465" s="127">
        <v>45069</v>
      </c>
      <c r="J465" s="124" t="s">
        <v>813</v>
      </c>
      <c r="K465" s="124" t="s">
        <v>1530</v>
      </c>
      <c r="L465" s="124"/>
      <c r="M465" s="125">
        <v>3548068</v>
      </c>
      <c r="N465" s="148">
        <v>674132.92</v>
      </c>
      <c r="O465" s="148">
        <v>0</v>
      </c>
      <c r="P465" s="149">
        <v>0</v>
      </c>
      <c r="Q465" s="148">
        <v>0</v>
      </c>
      <c r="R465" s="150">
        <v>4222200.92</v>
      </c>
      <c r="S4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5" s="135">
        <f ca="1">+IF(PROVEEDORES[[#This Row],[FECHA DE PAGO]]=0,TODAY()-PROVEEDORES[[#This Row],[FECHA DE FACTURACIÓN]]-PROVEEDORES[[#This Row],[PLAZO Días]],0)</f>
        <v>0</v>
      </c>
      <c r="U465" s="135">
        <f>+VLOOKUP(PROVEEDORES[[#This Row],[PROVEEDOR]],Terceros!$A:$D,4,FALSE)</f>
        <v>0</v>
      </c>
      <c r="V465" s="135">
        <f>+YEAR(PROVEEDORES[[#This Row],[FECHA DE FACTURACIÓN]])</f>
        <v>2023</v>
      </c>
      <c r="W465" s="135">
        <f>+MATCH(PROVEEDORES[[#This Row],[año facturado]],Retenciones!$1:$1,0)</f>
        <v>6</v>
      </c>
      <c r="X465" s="136">
        <f>+VLOOKUP(PROVEEDORES[[#This Row],[ID RETENCION]],Retenciones!$A$1:$O$25,PROVEEDORES[[#This Row],[indicador de columna]],FALSE)</f>
        <v>0</v>
      </c>
      <c r="Y465" s="137">
        <f>+VLOOKUP(PROVEEDORES[[#This Row],[ID RETENCION]],Retenciones!$A$1:$O$25,2,FALSE)</f>
        <v>0</v>
      </c>
      <c r="Z465" s="126" t="b">
        <f>+OR(COUNTIF(PROVEEDORES[[#This Row],[PROVEEDOR]],"*"&amp;'Palabra que no opera y Listas d'!$A$2&amp;"*"))</f>
        <v>1</v>
      </c>
    </row>
    <row r="466" spans="1:26" ht="27.75" customHeight="1" x14ac:dyDescent="0.25">
      <c r="A466" s="141" t="str">
        <f>+IF(PROVEEDORES[[#This Row],[FECHA DE PAGO]]=PROVEEDORES[[#This Row],[FECHA DE FACTURACIÓN]],"DE CONTADO","CRÉDITO")</f>
        <v>CRÉDITO</v>
      </c>
      <c r="B466" s="138" t="str">
        <f>+IF((PROVEEDORES[[#This Row],[FECHA DE PAGO]]-PROVEEDORES[[#This Row],[FECHA DE FACTURACIÓN]])&gt;PROVEEDORES[[#This Row],[PLAZO Días]],"PAGO VENCIDO")</f>
        <v>PAGO VENCIDO</v>
      </c>
      <c r="C466" s="138">
        <f>+VLOOKUP(PROVEEDORES[[#This Row],[PROVEEDOR]],TERCEROS_INFO[#All],2,FALSE)</f>
        <v>30</v>
      </c>
      <c r="D466" s="139">
        <f>+SUMIFS(PROVEEDORES[Total],PROVEEDORES[PROVEEDOR],PROVEEDORES[[#This Row],[PROVEEDOR]],PROVEEDORES[FECHA DE PAGO],"")</f>
        <v>0</v>
      </c>
      <c r="E466" s="140"/>
      <c r="F466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466" s="127">
        <v>45124</v>
      </c>
      <c r="H466" s="123" t="s">
        <v>360</v>
      </c>
      <c r="I466" s="127">
        <v>45069</v>
      </c>
      <c r="J466" s="124" t="s">
        <v>814</v>
      </c>
      <c r="K466" s="124" t="s">
        <v>1530</v>
      </c>
      <c r="L466" s="124"/>
      <c r="M466" s="125">
        <v>3548068</v>
      </c>
      <c r="N466" s="148">
        <v>674132.92</v>
      </c>
      <c r="O466" s="148">
        <v>0</v>
      </c>
      <c r="P466" s="149">
        <v>0</v>
      </c>
      <c r="Q466" s="148">
        <v>0</v>
      </c>
      <c r="R466" s="150">
        <v>4222200.92</v>
      </c>
      <c r="S4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6" s="135">
        <f ca="1">+IF(PROVEEDORES[[#This Row],[FECHA DE PAGO]]=0,TODAY()-PROVEEDORES[[#This Row],[FECHA DE FACTURACIÓN]]-PROVEEDORES[[#This Row],[PLAZO Días]],0)</f>
        <v>0</v>
      </c>
      <c r="U466" s="135">
        <f>+VLOOKUP(PROVEEDORES[[#This Row],[PROVEEDOR]],Terceros!$A:$D,4,FALSE)</f>
        <v>0</v>
      </c>
      <c r="V466" s="135">
        <f>+YEAR(PROVEEDORES[[#This Row],[FECHA DE FACTURACIÓN]])</f>
        <v>2023</v>
      </c>
      <c r="W466" s="135">
        <f>+MATCH(PROVEEDORES[[#This Row],[año facturado]],Retenciones!$1:$1,0)</f>
        <v>6</v>
      </c>
      <c r="X466" s="136">
        <f>+VLOOKUP(PROVEEDORES[[#This Row],[ID RETENCION]],Retenciones!$A$1:$O$25,PROVEEDORES[[#This Row],[indicador de columna]],FALSE)</f>
        <v>0</v>
      </c>
      <c r="Y466" s="137">
        <f>+VLOOKUP(PROVEEDORES[[#This Row],[ID RETENCION]],Retenciones!$A$1:$O$25,2,FALSE)</f>
        <v>0</v>
      </c>
      <c r="Z466" s="126" t="b">
        <f>+OR(COUNTIF(PROVEEDORES[[#This Row],[PROVEEDOR]],"*"&amp;'Palabra que no opera y Listas d'!$A$2&amp;"*"))</f>
        <v>1</v>
      </c>
    </row>
    <row r="467" spans="1:26" ht="27.75" customHeight="1" x14ac:dyDescent="0.25">
      <c r="A467" s="141" t="str">
        <f>+IF(PROVEEDORES[[#This Row],[FECHA DE PAGO]]=PROVEEDORES[[#This Row],[FECHA DE FACTURACIÓN]],"DE CONTADO","CRÉDITO")</f>
        <v>CRÉDITO</v>
      </c>
      <c r="B467" s="138" t="b">
        <f>+IF((PROVEEDORES[[#This Row],[FECHA DE PAGO]]-PROVEEDORES[[#This Row],[FECHA DE FACTURACIÓN]])&gt;PROVEEDORES[[#This Row],[PLAZO Días]],"PAGO VENCIDO")</f>
        <v>0</v>
      </c>
      <c r="C467" s="138">
        <f>+VLOOKUP(PROVEEDORES[[#This Row],[PROVEEDOR]],TERCEROS_INFO[#All],2,FALSE)</f>
        <v>60</v>
      </c>
      <c r="D467" s="139">
        <f>+SUMIFS(PROVEEDORES[Total],PROVEEDORES[PROVEEDOR],PROVEEDORES[[#This Row],[PROVEEDOR]],PROVEEDORES[FECHA DE PAGO],"")</f>
        <v>1730482</v>
      </c>
      <c r="E467" s="140"/>
      <c r="F467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7" s="127">
        <v>45124</v>
      </c>
      <c r="H467" s="123" t="s">
        <v>222</v>
      </c>
      <c r="I467" s="127">
        <v>45076</v>
      </c>
      <c r="J467" s="124">
        <v>1687</v>
      </c>
      <c r="K467" s="124" t="s">
        <v>1530</v>
      </c>
      <c r="L467" s="124"/>
      <c r="M467" s="125">
        <v>180000</v>
      </c>
      <c r="N467" s="148">
        <v>0</v>
      </c>
      <c r="O467" s="148">
        <v>0</v>
      </c>
      <c r="P467" s="149">
        <v>0</v>
      </c>
      <c r="Q467" s="148">
        <v>0</v>
      </c>
      <c r="R467" s="150">
        <v>180000</v>
      </c>
      <c r="S4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7" s="135">
        <f ca="1">+IF(PROVEEDORES[[#This Row],[FECHA DE PAGO]]=0,TODAY()-PROVEEDORES[[#This Row],[FECHA DE FACTURACIÓN]]-PROVEEDORES[[#This Row],[PLAZO Días]],0)</f>
        <v>0</v>
      </c>
      <c r="U467" s="135">
        <f>+VLOOKUP(PROVEEDORES[[#This Row],[PROVEEDOR]],Terceros!$A:$D,4,FALSE)</f>
        <v>0</v>
      </c>
      <c r="V467" s="135">
        <f>+YEAR(PROVEEDORES[[#This Row],[FECHA DE FACTURACIÓN]])</f>
        <v>2023</v>
      </c>
      <c r="W467" s="135">
        <f>+MATCH(PROVEEDORES[[#This Row],[año facturado]],Retenciones!$1:$1,0)</f>
        <v>6</v>
      </c>
      <c r="X467" s="136">
        <f>+VLOOKUP(PROVEEDORES[[#This Row],[ID RETENCION]],Retenciones!$A$1:$O$25,PROVEEDORES[[#This Row],[indicador de columna]],FALSE)</f>
        <v>0</v>
      </c>
      <c r="Y467" s="137">
        <f>+VLOOKUP(PROVEEDORES[[#This Row],[ID RETENCION]],Retenciones!$A$1:$O$25,2,FALSE)</f>
        <v>0</v>
      </c>
      <c r="Z467" s="126" t="b">
        <f>+OR(COUNTIF(PROVEEDORES[[#This Row],[PROVEEDOR]],"*"&amp;'Palabra que no opera y Listas d'!$A$2&amp;"*"))</f>
        <v>0</v>
      </c>
    </row>
    <row r="468" spans="1:26" ht="27.75" customHeight="1" x14ac:dyDescent="0.25">
      <c r="A468" s="141" t="str">
        <f>+IF(PROVEEDORES[[#This Row],[FECHA DE PAGO]]=PROVEEDORES[[#This Row],[FECHA DE FACTURACIÓN]],"DE CONTADO","CRÉDITO")</f>
        <v>CRÉDITO</v>
      </c>
      <c r="B468" s="138" t="b">
        <f>+IF((PROVEEDORES[[#This Row],[FECHA DE PAGO]]-PROVEEDORES[[#This Row],[FECHA DE FACTURACIÓN]])&gt;PROVEEDORES[[#This Row],[PLAZO Días]],"PAGO VENCIDO")</f>
        <v>0</v>
      </c>
      <c r="C468" s="138">
        <f>+VLOOKUP(PROVEEDORES[[#This Row],[PROVEEDOR]],TERCEROS_INFO[#All],2,FALSE)</f>
        <v>60</v>
      </c>
      <c r="D468" s="139">
        <f>+SUMIFS(PROVEEDORES[Total],PROVEEDORES[PROVEEDOR],PROVEEDORES[[#This Row],[PROVEEDOR]],PROVEEDORES[FECHA DE PAGO],"")</f>
        <v>1730482</v>
      </c>
      <c r="E468" s="140"/>
      <c r="F468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68" s="127">
        <v>45124</v>
      </c>
      <c r="H468" s="123" t="s">
        <v>222</v>
      </c>
      <c r="I468" s="127">
        <v>45076</v>
      </c>
      <c r="J468" s="124">
        <v>1688</v>
      </c>
      <c r="K468" s="124" t="s">
        <v>1530</v>
      </c>
      <c r="L468" s="124"/>
      <c r="M468" s="125">
        <v>180000</v>
      </c>
      <c r="N468" s="148">
        <v>0</v>
      </c>
      <c r="O468" s="148">
        <v>0</v>
      </c>
      <c r="P468" s="149">
        <v>0</v>
      </c>
      <c r="Q468" s="148">
        <v>0</v>
      </c>
      <c r="R468" s="150">
        <v>180000</v>
      </c>
      <c r="S4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8" s="135">
        <f ca="1">+IF(PROVEEDORES[[#This Row],[FECHA DE PAGO]]=0,TODAY()-PROVEEDORES[[#This Row],[FECHA DE FACTURACIÓN]]-PROVEEDORES[[#This Row],[PLAZO Días]],0)</f>
        <v>0</v>
      </c>
      <c r="U468" s="135">
        <f>+VLOOKUP(PROVEEDORES[[#This Row],[PROVEEDOR]],Terceros!$A:$D,4,FALSE)</f>
        <v>0</v>
      </c>
      <c r="V468" s="135">
        <f>+YEAR(PROVEEDORES[[#This Row],[FECHA DE FACTURACIÓN]])</f>
        <v>2023</v>
      </c>
      <c r="W468" s="135">
        <f>+MATCH(PROVEEDORES[[#This Row],[año facturado]],Retenciones!$1:$1,0)</f>
        <v>6</v>
      </c>
      <c r="X468" s="136">
        <f>+VLOOKUP(PROVEEDORES[[#This Row],[ID RETENCION]],Retenciones!$A$1:$O$25,PROVEEDORES[[#This Row],[indicador de columna]],FALSE)</f>
        <v>0</v>
      </c>
      <c r="Y468" s="137">
        <f>+VLOOKUP(PROVEEDORES[[#This Row],[ID RETENCION]],Retenciones!$A$1:$O$25,2,FALSE)</f>
        <v>0</v>
      </c>
      <c r="Z468" s="126" t="b">
        <f>+OR(COUNTIF(PROVEEDORES[[#This Row],[PROVEEDOR]],"*"&amp;'Palabra que no opera y Listas d'!$A$2&amp;"*"))</f>
        <v>0</v>
      </c>
    </row>
    <row r="469" spans="1:26" ht="27.75" customHeight="1" x14ac:dyDescent="0.25">
      <c r="A469" s="141" t="str">
        <f>+IF(PROVEEDORES[[#This Row],[FECHA DE PAGO]]=PROVEEDORES[[#This Row],[FECHA DE FACTURACIÓN]],"DE CONTADO","CRÉDITO")</f>
        <v>CRÉDITO</v>
      </c>
      <c r="B469" s="138" t="str">
        <f>+IF((PROVEEDORES[[#This Row],[FECHA DE PAGO]]-PROVEEDORES[[#This Row],[FECHA DE FACTURACIÓN]])&gt;PROVEEDORES[[#This Row],[PLAZO Días]],"PAGO VENCIDO")</f>
        <v>PAGO VENCIDO</v>
      </c>
      <c r="C469" s="138">
        <f>+VLOOKUP(PROVEEDORES[[#This Row],[PROVEEDOR]],TERCEROS_INFO[#All],2,FALSE)</f>
        <v>30</v>
      </c>
      <c r="D469" s="139">
        <f>+SUMIFS(PROVEEDORES[Total],PROVEEDORES[PROVEEDOR],PROVEEDORES[[#This Row],[PROVEEDOR]],PROVEEDORES[FECHA DE PAGO],"")</f>
        <v>5581100</v>
      </c>
      <c r="E469" s="140"/>
      <c r="F469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469" s="127">
        <v>45124</v>
      </c>
      <c r="H469" s="123" t="s">
        <v>446</v>
      </c>
      <c r="I469" s="127">
        <v>45078</v>
      </c>
      <c r="J469" s="124" t="s">
        <v>830</v>
      </c>
      <c r="K469" s="124" t="s">
        <v>1530</v>
      </c>
      <c r="L469" s="124"/>
      <c r="M469" s="125">
        <v>4512000</v>
      </c>
      <c r="N469" s="148">
        <v>857280</v>
      </c>
      <c r="O469" s="148">
        <v>0</v>
      </c>
      <c r="P469" s="149">
        <v>0</v>
      </c>
      <c r="Q469" s="148">
        <v>0</v>
      </c>
      <c r="R469" s="150">
        <v>5369280</v>
      </c>
      <c r="S4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69" s="135">
        <f ca="1">+IF(PROVEEDORES[[#This Row],[FECHA DE PAGO]]=0,TODAY()-PROVEEDORES[[#This Row],[FECHA DE FACTURACIÓN]]-PROVEEDORES[[#This Row],[PLAZO Días]],0)</f>
        <v>0</v>
      </c>
      <c r="U469" s="135">
        <f>+VLOOKUP(PROVEEDORES[[#This Row],[PROVEEDOR]],Terceros!$A:$D,4,FALSE)</f>
        <v>0</v>
      </c>
      <c r="V469" s="135">
        <f>+YEAR(PROVEEDORES[[#This Row],[FECHA DE FACTURACIÓN]])</f>
        <v>2023</v>
      </c>
      <c r="W469" s="135">
        <f>+MATCH(PROVEEDORES[[#This Row],[año facturado]],Retenciones!$1:$1,0)</f>
        <v>6</v>
      </c>
      <c r="X469" s="136">
        <f>+VLOOKUP(PROVEEDORES[[#This Row],[ID RETENCION]],Retenciones!$A$1:$O$25,PROVEEDORES[[#This Row],[indicador de columna]],FALSE)</f>
        <v>0</v>
      </c>
      <c r="Y469" s="137">
        <f>+VLOOKUP(PROVEEDORES[[#This Row],[ID RETENCION]],Retenciones!$A$1:$O$25,2,FALSE)</f>
        <v>0</v>
      </c>
      <c r="Z469" s="126" t="b">
        <f>+OR(COUNTIF(PROVEEDORES[[#This Row],[PROVEEDOR]],"*"&amp;'Palabra que no opera y Listas d'!$A$2&amp;"*"))</f>
        <v>0</v>
      </c>
    </row>
    <row r="470" spans="1:26" ht="27.75" customHeight="1" x14ac:dyDescent="0.25">
      <c r="A470" s="141" t="str">
        <f>+IF(PROVEEDORES[[#This Row],[FECHA DE PAGO]]=PROVEEDORES[[#This Row],[FECHA DE FACTURACIÓN]],"DE CONTADO","CRÉDITO")</f>
        <v>CRÉDITO</v>
      </c>
      <c r="B470" s="138" t="str">
        <f>+IF((PROVEEDORES[[#This Row],[FECHA DE PAGO]]-PROVEEDORES[[#This Row],[FECHA DE FACTURACIÓN]])&gt;PROVEEDORES[[#This Row],[PLAZO Días]],"PAGO VENCIDO")</f>
        <v>PAGO VENCIDO</v>
      </c>
      <c r="C470" s="138">
        <f>+VLOOKUP(PROVEEDORES[[#This Row],[PROVEEDOR]],TERCEROS_INFO[#All],2,FALSE)</f>
        <v>30</v>
      </c>
      <c r="D470" s="139">
        <f>+SUMIFS(PROVEEDORES[Total],PROVEEDORES[PROVEEDOR],PROVEEDORES[[#This Row],[PROVEEDOR]],PROVEEDORES[FECHA DE PAGO],"")</f>
        <v>5581100</v>
      </c>
      <c r="E470" s="140"/>
      <c r="F470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470" s="127">
        <v>45124</v>
      </c>
      <c r="H470" s="123" t="s">
        <v>446</v>
      </c>
      <c r="I470" s="127">
        <v>45086</v>
      </c>
      <c r="J470" s="124" t="s">
        <v>854</v>
      </c>
      <c r="K470" s="124" t="s">
        <v>1530</v>
      </c>
      <c r="L470" s="124"/>
      <c r="M470" s="125">
        <v>7056000</v>
      </c>
      <c r="N470" s="148">
        <v>1340640</v>
      </c>
      <c r="O470" s="148">
        <v>0</v>
      </c>
      <c r="P470" s="149">
        <v>0</v>
      </c>
      <c r="Q470" s="148">
        <v>0</v>
      </c>
      <c r="R470" s="150">
        <v>8396640</v>
      </c>
      <c r="S4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0" s="135">
        <f ca="1">+IF(PROVEEDORES[[#This Row],[FECHA DE PAGO]]=0,TODAY()-PROVEEDORES[[#This Row],[FECHA DE FACTURACIÓN]]-PROVEEDORES[[#This Row],[PLAZO Días]],0)</f>
        <v>0</v>
      </c>
      <c r="U470" s="135">
        <f>+VLOOKUP(PROVEEDORES[[#This Row],[PROVEEDOR]],Terceros!$A:$D,4,FALSE)</f>
        <v>0</v>
      </c>
      <c r="V470" s="135">
        <f>+YEAR(PROVEEDORES[[#This Row],[FECHA DE FACTURACIÓN]])</f>
        <v>2023</v>
      </c>
      <c r="W470" s="135">
        <f>+MATCH(PROVEEDORES[[#This Row],[año facturado]],Retenciones!$1:$1,0)</f>
        <v>6</v>
      </c>
      <c r="X470" s="136">
        <f>+VLOOKUP(PROVEEDORES[[#This Row],[ID RETENCION]],Retenciones!$A$1:$O$25,PROVEEDORES[[#This Row],[indicador de columna]],FALSE)</f>
        <v>0</v>
      </c>
      <c r="Y470" s="137">
        <f>+VLOOKUP(PROVEEDORES[[#This Row],[ID RETENCION]],Retenciones!$A$1:$O$25,2,FALSE)</f>
        <v>0</v>
      </c>
      <c r="Z470" s="126" t="b">
        <f>+OR(COUNTIF(PROVEEDORES[[#This Row],[PROVEEDOR]],"*"&amp;'Palabra que no opera y Listas d'!$A$2&amp;"*"))</f>
        <v>0</v>
      </c>
    </row>
    <row r="471" spans="1:26" ht="27.75" customHeight="1" x14ac:dyDescent="0.25">
      <c r="A471" s="141" t="str">
        <f>+IF(PROVEEDORES[[#This Row],[FECHA DE PAGO]]=PROVEEDORES[[#This Row],[FECHA DE FACTURACIÓN]],"DE CONTADO","CRÉDITO")</f>
        <v>CRÉDITO</v>
      </c>
      <c r="B471" s="138" t="str">
        <f>+IF((PROVEEDORES[[#This Row],[FECHA DE PAGO]]-PROVEEDORES[[#This Row],[FECHA DE FACTURACIÓN]])&gt;PROVEEDORES[[#This Row],[PLAZO Días]],"PAGO VENCIDO")</f>
        <v>PAGO VENCIDO</v>
      </c>
      <c r="C471" s="138">
        <f>+VLOOKUP(PROVEEDORES[[#This Row],[PROVEEDOR]],TERCEROS_INFO[#All],2,FALSE)</f>
        <v>30</v>
      </c>
      <c r="D471" s="139">
        <f>+SUMIFS(PROVEEDORES[Total],PROVEEDORES[PROVEEDOR],PROVEEDORES[[#This Row],[PROVEEDOR]],PROVEEDORES[FECHA DE PAGO],"")</f>
        <v>1695707.16</v>
      </c>
      <c r="E471" s="140"/>
      <c r="F471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471" s="127">
        <v>45124</v>
      </c>
      <c r="H471" s="123" t="s">
        <v>194</v>
      </c>
      <c r="I471" s="127">
        <v>45090</v>
      </c>
      <c r="J471" s="124" t="s">
        <v>850</v>
      </c>
      <c r="K471" s="124" t="s">
        <v>1530</v>
      </c>
      <c r="L471" s="124"/>
      <c r="M471" s="125">
        <v>974525</v>
      </c>
      <c r="N471" s="148">
        <v>185159.75</v>
      </c>
      <c r="O471" s="148">
        <v>0</v>
      </c>
      <c r="P471" s="149">
        <v>0</v>
      </c>
      <c r="Q471" s="148">
        <v>0</v>
      </c>
      <c r="R471" s="150">
        <v>1159684.75</v>
      </c>
      <c r="S4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1" s="135">
        <f ca="1">+IF(PROVEEDORES[[#This Row],[FECHA DE PAGO]]=0,TODAY()-PROVEEDORES[[#This Row],[FECHA DE FACTURACIÓN]]-PROVEEDORES[[#This Row],[PLAZO Días]],0)</f>
        <v>0</v>
      </c>
      <c r="U471" s="135">
        <f>+VLOOKUP(PROVEEDORES[[#This Row],[PROVEEDOR]],Terceros!$A:$D,4,FALSE)</f>
        <v>0</v>
      </c>
      <c r="V471" s="135">
        <f>+YEAR(PROVEEDORES[[#This Row],[FECHA DE FACTURACIÓN]])</f>
        <v>2023</v>
      </c>
      <c r="W471" s="135">
        <f>+MATCH(PROVEEDORES[[#This Row],[año facturado]],Retenciones!$1:$1,0)</f>
        <v>6</v>
      </c>
      <c r="X471" s="136">
        <f>+VLOOKUP(PROVEEDORES[[#This Row],[ID RETENCION]],Retenciones!$A$1:$O$25,PROVEEDORES[[#This Row],[indicador de columna]],FALSE)</f>
        <v>0</v>
      </c>
      <c r="Y471" s="137">
        <f>+VLOOKUP(PROVEEDORES[[#This Row],[ID RETENCION]],Retenciones!$A$1:$O$25,2,FALSE)</f>
        <v>0</v>
      </c>
      <c r="Z471" s="126" t="b">
        <f>+OR(COUNTIF(PROVEEDORES[[#This Row],[PROVEEDOR]],"*"&amp;'Palabra que no opera y Listas d'!$A$2&amp;"*"))</f>
        <v>0</v>
      </c>
    </row>
    <row r="472" spans="1:26" ht="27.75" customHeight="1" x14ac:dyDescent="0.25">
      <c r="A472" s="141" t="str">
        <f>+IF(PROVEEDORES[[#This Row],[FECHA DE PAGO]]=PROVEEDORES[[#This Row],[FECHA DE FACTURACIÓN]],"DE CONTADO","CRÉDITO")</f>
        <v>CRÉDITO</v>
      </c>
      <c r="B472" s="138" t="str">
        <f>+IF((PROVEEDORES[[#This Row],[FECHA DE PAGO]]-PROVEEDORES[[#This Row],[FECHA DE FACTURACIÓN]])&gt;PROVEEDORES[[#This Row],[PLAZO Días]],"PAGO VENCIDO")</f>
        <v>PAGO VENCIDO</v>
      </c>
      <c r="C472" s="138">
        <f>+VLOOKUP(PROVEEDORES[[#This Row],[PROVEEDOR]],TERCEROS_INFO[#All],2,FALSE)</f>
        <v>30</v>
      </c>
      <c r="D472" s="139">
        <f>+SUMIFS(PROVEEDORES[Total],PROVEEDORES[PROVEEDOR],PROVEEDORES[[#This Row],[PROVEEDOR]],PROVEEDORES[FECHA DE PAGO],"")</f>
        <v>5581100</v>
      </c>
      <c r="E472" s="140"/>
      <c r="F472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472" s="127">
        <v>45124</v>
      </c>
      <c r="H472" s="123" t="s">
        <v>446</v>
      </c>
      <c r="I472" s="127">
        <v>45091</v>
      </c>
      <c r="J472" s="124" t="s">
        <v>875</v>
      </c>
      <c r="K472" s="124" t="s">
        <v>1530</v>
      </c>
      <c r="L472" s="124"/>
      <c r="M472" s="125">
        <v>930000</v>
      </c>
      <c r="N472" s="148">
        <v>176700</v>
      </c>
      <c r="O472" s="148">
        <v>0</v>
      </c>
      <c r="P472" s="149">
        <v>0</v>
      </c>
      <c r="Q472" s="148">
        <v>0</v>
      </c>
      <c r="R472" s="150">
        <v>1106700</v>
      </c>
      <c r="S4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2" s="135">
        <f ca="1">+IF(PROVEEDORES[[#This Row],[FECHA DE PAGO]]=0,TODAY()-PROVEEDORES[[#This Row],[FECHA DE FACTURACIÓN]]-PROVEEDORES[[#This Row],[PLAZO Días]],0)</f>
        <v>0</v>
      </c>
      <c r="U472" s="135">
        <f>+VLOOKUP(PROVEEDORES[[#This Row],[PROVEEDOR]],Terceros!$A:$D,4,FALSE)</f>
        <v>0</v>
      </c>
      <c r="V472" s="135">
        <f>+YEAR(PROVEEDORES[[#This Row],[FECHA DE FACTURACIÓN]])</f>
        <v>2023</v>
      </c>
      <c r="W472" s="135">
        <f>+MATCH(PROVEEDORES[[#This Row],[año facturado]],Retenciones!$1:$1,0)</f>
        <v>6</v>
      </c>
      <c r="X472" s="136">
        <f>+VLOOKUP(PROVEEDORES[[#This Row],[ID RETENCION]],Retenciones!$A$1:$O$25,PROVEEDORES[[#This Row],[indicador de columna]],FALSE)</f>
        <v>0</v>
      </c>
      <c r="Y472" s="137">
        <f>+VLOOKUP(PROVEEDORES[[#This Row],[ID RETENCION]],Retenciones!$A$1:$O$25,2,FALSE)</f>
        <v>0</v>
      </c>
      <c r="Z472" s="126" t="b">
        <f>+OR(COUNTIF(PROVEEDORES[[#This Row],[PROVEEDOR]],"*"&amp;'Palabra que no opera y Listas d'!$A$2&amp;"*"))</f>
        <v>0</v>
      </c>
    </row>
    <row r="473" spans="1:26" ht="27.75" customHeight="1" x14ac:dyDescent="0.25">
      <c r="A473" s="141" t="str">
        <f>+IF(PROVEEDORES[[#This Row],[FECHA DE PAGO]]=PROVEEDORES[[#This Row],[FECHA DE FACTURACIÓN]],"DE CONTADO","CRÉDITO")</f>
        <v>CRÉDITO</v>
      </c>
      <c r="B473" s="138" t="str">
        <f>+IF((PROVEEDORES[[#This Row],[FECHA DE PAGO]]-PROVEEDORES[[#This Row],[FECHA DE FACTURACIÓN]])&gt;PROVEEDORES[[#This Row],[PLAZO Días]],"PAGO VENCIDO")</f>
        <v>PAGO VENCIDO</v>
      </c>
      <c r="C473" s="138">
        <f>+VLOOKUP(PROVEEDORES[[#This Row],[PROVEEDOR]],TERCEROS_INFO[#All],2,FALSE)</f>
        <v>30</v>
      </c>
      <c r="D473" s="139">
        <f>+SUMIFS(PROVEEDORES[Total],PROVEEDORES[PROVEEDOR],PROVEEDORES[[#This Row],[PROVEEDOR]],PROVEEDORES[FECHA DE PAGO],"")</f>
        <v>5581100</v>
      </c>
      <c r="E473" s="140"/>
      <c r="F473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473" s="127">
        <v>45124</v>
      </c>
      <c r="H473" s="123" t="s">
        <v>446</v>
      </c>
      <c r="I473" s="127">
        <v>45093</v>
      </c>
      <c r="J473" s="124" t="s">
        <v>876</v>
      </c>
      <c r="K473" s="124" t="s">
        <v>1530</v>
      </c>
      <c r="L473" s="124"/>
      <c r="M473" s="125">
        <v>420000</v>
      </c>
      <c r="N473" s="148">
        <v>79800</v>
      </c>
      <c r="O473" s="148">
        <v>0</v>
      </c>
      <c r="P473" s="149">
        <v>0</v>
      </c>
      <c r="Q473" s="148">
        <v>0</v>
      </c>
      <c r="R473" s="150">
        <v>499800</v>
      </c>
      <c r="S4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3" s="135">
        <f ca="1">+IF(PROVEEDORES[[#This Row],[FECHA DE PAGO]]=0,TODAY()-PROVEEDORES[[#This Row],[FECHA DE FACTURACIÓN]]-PROVEEDORES[[#This Row],[PLAZO Días]],0)</f>
        <v>0</v>
      </c>
      <c r="U473" s="135">
        <f>+VLOOKUP(PROVEEDORES[[#This Row],[PROVEEDOR]],Terceros!$A:$D,4,FALSE)</f>
        <v>0</v>
      </c>
      <c r="V473" s="135">
        <f>+YEAR(PROVEEDORES[[#This Row],[FECHA DE FACTURACIÓN]])</f>
        <v>2023</v>
      </c>
      <c r="W473" s="135">
        <f>+MATCH(PROVEEDORES[[#This Row],[año facturado]],Retenciones!$1:$1,0)</f>
        <v>6</v>
      </c>
      <c r="X473" s="136">
        <f>+VLOOKUP(PROVEEDORES[[#This Row],[ID RETENCION]],Retenciones!$A$1:$O$25,PROVEEDORES[[#This Row],[indicador de columna]],FALSE)</f>
        <v>0</v>
      </c>
      <c r="Y473" s="137">
        <f>+VLOOKUP(PROVEEDORES[[#This Row],[ID RETENCION]],Retenciones!$A$1:$O$25,2,FALSE)</f>
        <v>0</v>
      </c>
      <c r="Z473" s="126" t="b">
        <f>+OR(COUNTIF(PROVEEDORES[[#This Row],[PROVEEDOR]],"*"&amp;'Palabra que no opera y Listas d'!$A$2&amp;"*"))</f>
        <v>0</v>
      </c>
    </row>
    <row r="474" spans="1:26" ht="27.75" customHeight="1" x14ac:dyDescent="0.25">
      <c r="A474" s="141" t="str">
        <f>+IF(PROVEEDORES[[#This Row],[FECHA DE PAGO]]=PROVEEDORES[[#This Row],[FECHA DE FACTURACIÓN]],"DE CONTADO","CRÉDITO")</f>
        <v>CRÉDITO</v>
      </c>
      <c r="B474" s="138" t="b">
        <f>+IF((PROVEEDORES[[#This Row],[FECHA DE PAGO]]-PROVEEDORES[[#This Row],[FECHA DE FACTURACIÓN]])&gt;PROVEEDORES[[#This Row],[PLAZO Días]],"PAGO VENCIDO")</f>
        <v>0</v>
      </c>
      <c r="C474" s="138">
        <f>+VLOOKUP(PROVEEDORES[[#This Row],[PROVEEDOR]],TERCEROS_INFO[#All],2,FALSE)</f>
        <v>60</v>
      </c>
      <c r="D474" s="139">
        <f>+SUMIFS(PROVEEDORES[Total],PROVEEDORES[PROVEEDOR],PROVEEDORES[[#This Row],[PROVEEDOR]],PROVEEDORES[FECHA DE PAGO],"")</f>
        <v>1730482</v>
      </c>
      <c r="E474" s="140"/>
      <c r="F474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4" s="127">
        <v>45124</v>
      </c>
      <c r="H474" s="123" t="s">
        <v>222</v>
      </c>
      <c r="I474" s="127">
        <v>45096</v>
      </c>
      <c r="J474" s="124">
        <v>1698</v>
      </c>
      <c r="K474" s="124" t="s">
        <v>1530</v>
      </c>
      <c r="L474" s="124"/>
      <c r="M474" s="125">
        <v>174000</v>
      </c>
      <c r="N474" s="148">
        <v>0</v>
      </c>
      <c r="O474" s="148">
        <v>0</v>
      </c>
      <c r="P474" s="149">
        <v>0</v>
      </c>
      <c r="Q474" s="148">
        <v>0</v>
      </c>
      <c r="R474" s="150">
        <v>174000</v>
      </c>
      <c r="S4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4" s="135">
        <f ca="1">+IF(PROVEEDORES[[#This Row],[FECHA DE PAGO]]=0,TODAY()-PROVEEDORES[[#This Row],[FECHA DE FACTURACIÓN]]-PROVEEDORES[[#This Row],[PLAZO Días]],0)</f>
        <v>0</v>
      </c>
      <c r="U474" s="135">
        <f>+VLOOKUP(PROVEEDORES[[#This Row],[PROVEEDOR]],Terceros!$A:$D,4,FALSE)</f>
        <v>0</v>
      </c>
      <c r="V474" s="135">
        <f>+YEAR(PROVEEDORES[[#This Row],[FECHA DE FACTURACIÓN]])</f>
        <v>2023</v>
      </c>
      <c r="W474" s="135">
        <f>+MATCH(PROVEEDORES[[#This Row],[año facturado]],Retenciones!$1:$1,0)</f>
        <v>6</v>
      </c>
      <c r="X474" s="136">
        <f>+VLOOKUP(PROVEEDORES[[#This Row],[ID RETENCION]],Retenciones!$A$1:$O$25,PROVEEDORES[[#This Row],[indicador de columna]],FALSE)</f>
        <v>0</v>
      </c>
      <c r="Y474" s="137">
        <f>+VLOOKUP(PROVEEDORES[[#This Row],[ID RETENCION]],Retenciones!$A$1:$O$25,2,FALSE)</f>
        <v>0</v>
      </c>
      <c r="Z474" s="126" t="b">
        <f>+OR(COUNTIF(PROVEEDORES[[#This Row],[PROVEEDOR]],"*"&amp;'Palabra que no opera y Listas d'!$A$2&amp;"*"))</f>
        <v>0</v>
      </c>
    </row>
    <row r="475" spans="1:26" ht="27.75" customHeight="1" x14ac:dyDescent="0.25">
      <c r="A475" s="141" t="str">
        <f>+IF(PROVEEDORES[[#This Row],[FECHA DE PAGO]]=PROVEEDORES[[#This Row],[FECHA DE FACTURACIÓN]],"DE CONTADO","CRÉDITO")</f>
        <v>CRÉDITO</v>
      </c>
      <c r="B475" s="138" t="b">
        <f>+IF((PROVEEDORES[[#This Row],[FECHA DE PAGO]]-PROVEEDORES[[#This Row],[FECHA DE FACTURACIÓN]])&gt;PROVEEDORES[[#This Row],[PLAZO Días]],"PAGO VENCIDO")</f>
        <v>0</v>
      </c>
      <c r="C475" s="138">
        <f>+VLOOKUP(PROVEEDORES[[#This Row],[PROVEEDOR]],TERCEROS_INFO[#All],2,FALSE)</f>
        <v>60</v>
      </c>
      <c r="D475" s="139">
        <f>+SUMIFS(PROVEEDORES[Total],PROVEEDORES[PROVEEDOR],PROVEEDORES[[#This Row],[PROVEEDOR]],PROVEEDORES[FECHA DE PAGO],"")</f>
        <v>1730482</v>
      </c>
      <c r="E475" s="140"/>
      <c r="F475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5" s="127">
        <v>45124</v>
      </c>
      <c r="H475" s="123" t="s">
        <v>222</v>
      </c>
      <c r="I475" s="127">
        <v>45096</v>
      </c>
      <c r="J475" s="124">
        <v>1699</v>
      </c>
      <c r="K475" s="124" t="s">
        <v>1530</v>
      </c>
      <c r="L475" s="124"/>
      <c r="M475" s="125">
        <v>174000</v>
      </c>
      <c r="N475" s="148">
        <v>0</v>
      </c>
      <c r="O475" s="148">
        <v>0</v>
      </c>
      <c r="P475" s="149">
        <v>0</v>
      </c>
      <c r="Q475" s="148">
        <v>0</v>
      </c>
      <c r="R475" s="150">
        <v>174000</v>
      </c>
      <c r="S4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5" s="135">
        <f ca="1">+IF(PROVEEDORES[[#This Row],[FECHA DE PAGO]]=0,TODAY()-PROVEEDORES[[#This Row],[FECHA DE FACTURACIÓN]]-PROVEEDORES[[#This Row],[PLAZO Días]],0)</f>
        <v>0</v>
      </c>
      <c r="U475" s="135">
        <f>+VLOOKUP(PROVEEDORES[[#This Row],[PROVEEDOR]],Terceros!$A:$D,4,FALSE)</f>
        <v>0</v>
      </c>
      <c r="V475" s="135">
        <f>+YEAR(PROVEEDORES[[#This Row],[FECHA DE FACTURACIÓN]])</f>
        <v>2023</v>
      </c>
      <c r="W475" s="135">
        <f>+MATCH(PROVEEDORES[[#This Row],[año facturado]],Retenciones!$1:$1,0)</f>
        <v>6</v>
      </c>
      <c r="X475" s="136">
        <f>+VLOOKUP(PROVEEDORES[[#This Row],[ID RETENCION]],Retenciones!$A$1:$O$25,PROVEEDORES[[#This Row],[indicador de columna]],FALSE)</f>
        <v>0</v>
      </c>
      <c r="Y475" s="137">
        <f>+VLOOKUP(PROVEEDORES[[#This Row],[ID RETENCION]],Retenciones!$A$1:$O$25,2,FALSE)</f>
        <v>0</v>
      </c>
      <c r="Z475" s="126" t="b">
        <f>+OR(COUNTIF(PROVEEDORES[[#This Row],[PROVEEDOR]],"*"&amp;'Palabra que no opera y Listas d'!$A$2&amp;"*"))</f>
        <v>0</v>
      </c>
    </row>
    <row r="476" spans="1:26" ht="27.75" customHeight="1" x14ac:dyDescent="0.25">
      <c r="A476" s="141" t="str">
        <f>+IF(PROVEEDORES[[#This Row],[FECHA DE PAGO]]=PROVEEDORES[[#This Row],[FECHA DE FACTURACIÓN]],"DE CONTADO","CRÉDITO")</f>
        <v>CRÉDITO</v>
      </c>
      <c r="B476" s="138" t="b">
        <f>+IF((PROVEEDORES[[#This Row],[FECHA DE PAGO]]-PROVEEDORES[[#This Row],[FECHA DE FACTURACIÓN]])&gt;PROVEEDORES[[#This Row],[PLAZO Días]],"PAGO VENCIDO")</f>
        <v>0</v>
      </c>
      <c r="C476" s="138">
        <f>+VLOOKUP(PROVEEDORES[[#This Row],[PROVEEDOR]],TERCEROS_INFO[#All],2,FALSE)</f>
        <v>60</v>
      </c>
      <c r="D476" s="139">
        <f>+SUMIFS(PROVEEDORES[Total],PROVEEDORES[PROVEEDOR],PROVEEDORES[[#This Row],[PROVEEDOR]],PROVEEDORES[FECHA DE PAGO],"")</f>
        <v>1730482</v>
      </c>
      <c r="E476" s="140"/>
      <c r="F476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6" s="127">
        <v>45124</v>
      </c>
      <c r="H476" s="123" t="s">
        <v>222</v>
      </c>
      <c r="I476" s="127">
        <v>45096</v>
      </c>
      <c r="J476" s="124">
        <v>1700</v>
      </c>
      <c r="K476" s="124" t="s">
        <v>1530</v>
      </c>
      <c r="L476" s="124"/>
      <c r="M476" s="125">
        <v>191400</v>
      </c>
      <c r="N476" s="148">
        <v>0</v>
      </c>
      <c r="O476" s="148">
        <v>0</v>
      </c>
      <c r="P476" s="149">
        <v>0</v>
      </c>
      <c r="Q476" s="148">
        <v>0</v>
      </c>
      <c r="R476" s="150">
        <v>191400</v>
      </c>
      <c r="S4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6" s="135">
        <f ca="1">+IF(PROVEEDORES[[#This Row],[FECHA DE PAGO]]=0,TODAY()-PROVEEDORES[[#This Row],[FECHA DE FACTURACIÓN]]-PROVEEDORES[[#This Row],[PLAZO Días]],0)</f>
        <v>0</v>
      </c>
      <c r="U476" s="135">
        <f>+VLOOKUP(PROVEEDORES[[#This Row],[PROVEEDOR]],Terceros!$A:$D,4,FALSE)</f>
        <v>0</v>
      </c>
      <c r="V476" s="135">
        <f>+YEAR(PROVEEDORES[[#This Row],[FECHA DE FACTURACIÓN]])</f>
        <v>2023</v>
      </c>
      <c r="W476" s="135">
        <f>+MATCH(PROVEEDORES[[#This Row],[año facturado]],Retenciones!$1:$1,0)</f>
        <v>6</v>
      </c>
      <c r="X476" s="136">
        <f>+VLOOKUP(PROVEEDORES[[#This Row],[ID RETENCION]],Retenciones!$A$1:$O$25,PROVEEDORES[[#This Row],[indicador de columna]],FALSE)</f>
        <v>0</v>
      </c>
      <c r="Y476" s="137">
        <f>+VLOOKUP(PROVEEDORES[[#This Row],[ID RETENCION]],Retenciones!$A$1:$O$25,2,FALSE)</f>
        <v>0</v>
      </c>
      <c r="Z476" s="126" t="b">
        <f>+OR(COUNTIF(PROVEEDORES[[#This Row],[PROVEEDOR]],"*"&amp;'Palabra que no opera y Listas d'!$A$2&amp;"*"))</f>
        <v>0</v>
      </c>
    </row>
    <row r="477" spans="1:26" ht="27.75" customHeight="1" x14ac:dyDescent="0.25">
      <c r="A477" s="141" t="str">
        <f>+IF(PROVEEDORES[[#This Row],[FECHA DE PAGO]]=PROVEEDORES[[#This Row],[FECHA DE FACTURACIÓN]],"DE CONTADO","CRÉDITO")</f>
        <v>CRÉDITO</v>
      </c>
      <c r="B477" s="138" t="b">
        <f>+IF((PROVEEDORES[[#This Row],[FECHA DE PAGO]]-PROVEEDORES[[#This Row],[FECHA DE FACTURACIÓN]])&gt;PROVEEDORES[[#This Row],[PLAZO Días]],"PAGO VENCIDO")</f>
        <v>0</v>
      </c>
      <c r="C477" s="138">
        <f>+VLOOKUP(PROVEEDORES[[#This Row],[PROVEEDOR]],TERCEROS_INFO[#All],2,FALSE)</f>
        <v>60</v>
      </c>
      <c r="D477" s="139">
        <f>+SUMIFS(PROVEEDORES[Total],PROVEEDORES[PROVEEDOR],PROVEEDORES[[#This Row],[PROVEEDOR]],PROVEEDORES[FECHA DE PAGO],"")</f>
        <v>1730482</v>
      </c>
      <c r="E477" s="140"/>
      <c r="F477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7" s="127">
        <v>45124</v>
      </c>
      <c r="H477" s="123" t="s">
        <v>222</v>
      </c>
      <c r="I477" s="127">
        <v>45096</v>
      </c>
      <c r="J477" s="124">
        <v>1701</v>
      </c>
      <c r="K477" s="124" t="s">
        <v>1530</v>
      </c>
      <c r="L477" s="124"/>
      <c r="M477" s="125">
        <v>191400</v>
      </c>
      <c r="N477" s="148">
        <v>0</v>
      </c>
      <c r="O477" s="148">
        <v>0</v>
      </c>
      <c r="P477" s="149">
        <v>0</v>
      </c>
      <c r="Q477" s="148">
        <v>0</v>
      </c>
      <c r="R477" s="150">
        <v>191400</v>
      </c>
      <c r="S4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7" s="135">
        <f ca="1">+IF(PROVEEDORES[[#This Row],[FECHA DE PAGO]]=0,TODAY()-PROVEEDORES[[#This Row],[FECHA DE FACTURACIÓN]]-PROVEEDORES[[#This Row],[PLAZO Días]],0)</f>
        <v>0</v>
      </c>
      <c r="U477" s="135">
        <f>+VLOOKUP(PROVEEDORES[[#This Row],[PROVEEDOR]],Terceros!$A:$D,4,FALSE)</f>
        <v>0</v>
      </c>
      <c r="V477" s="135">
        <f>+YEAR(PROVEEDORES[[#This Row],[FECHA DE FACTURACIÓN]])</f>
        <v>2023</v>
      </c>
      <c r="W477" s="135">
        <f>+MATCH(PROVEEDORES[[#This Row],[año facturado]],Retenciones!$1:$1,0)</f>
        <v>6</v>
      </c>
      <c r="X477" s="136">
        <f>+VLOOKUP(PROVEEDORES[[#This Row],[ID RETENCION]],Retenciones!$A$1:$O$25,PROVEEDORES[[#This Row],[indicador de columna]],FALSE)</f>
        <v>0</v>
      </c>
      <c r="Y477" s="137">
        <f>+VLOOKUP(PROVEEDORES[[#This Row],[ID RETENCION]],Retenciones!$A$1:$O$25,2,FALSE)</f>
        <v>0</v>
      </c>
      <c r="Z477" s="126" t="b">
        <f>+OR(COUNTIF(PROVEEDORES[[#This Row],[PROVEEDOR]],"*"&amp;'Palabra que no opera y Listas d'!$A$2&amp;"*"))</f>
        <v>0</v>
      </c>
    </row>
    <row r="478" spans="1:26" ht="27.75" customHeight="1" x14ac:dyDescent="0.25">
      <c r="A478" s="141" t="str">
        <f>+IF(PROVEEDORES[[#This Row],[FECHA DE PAGO]]=PROVEEDORES[[#This Row],[FECHA DE FACTURACIÓN]],"DE CONTADO","CRÉDITO")</f>
        <v>CRÉDITO</v>
      </c>
      <c r="B478" s="138" t="b">
        <f>+IF((PROVEEDORES[[#This Row],[FECHA DE PAGO]]-PROVEEDORES[[#This Row],[FECHA DE FACTURACIÓN]])&gt;PROVEEDORES[[#This Row],[PLAZO Días]],"PAGO VENCIDO")</f>
        <v>0</v>
      </c>
      <c r="C478" s="138">
        <f>+VLOOKUP(PROVEEDORES[[#This Row],[PROVEEDOR]],TERCEROS_INFO[#All],2,FALSE)</f>
        <v>45</v>
      </c>
      <c r="D478" s="139">
        <f>+SUMIFS(PROVEEDORES[Total],PROVEEDORES[PROVEEDOR],PROVEEDORES[[#This Row],[PROVEEDOR]],PROVEEDORES[FECHA DE PAGO],"")</f>
        <v>0</v>
      </c>
      <c r="E478" s="140"/>
      <c r="F478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8" s="127">
        <v>45124</v>
      </c>
      <c r="H478" s="123" t="s">
        <v>224</v>
      </c>
      <c r="I478" s="127">
        <v>45100</v>
      </c>
      <c r="J478" s="124">
        <v>1706</v>
      </c>
      <c r="K478" s="124" t="s">
        <v>1530</v>
      </c>
      <c r="L478" s="124"/>
      <c r="M478" s="125">
        <v>2781390</v>
      </c>
      <c r="N478" s="148">
        <v>0</v>
      </c>
      <c r="O478" s="148">
        <v>0</v>
      </c>
      <c r="P478" s="149">
        <v>0</v>
      </c>
      <c r="Q478" s="148">
        <v>0</v>
      </c>
      <c r="R478" s="150">
        <v>2781390</v>
      </c>
      <c r="S4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8" s="135">
        <f ca="1">+IF(PROVEEDORES[[#This Row],[FECHA DE PAGO]]=0,TODAY()-PROVEEDORES[[#This Row],[FECHA DE FACTURACIÓN]]-PROVEEDORES[[#This Row],[PLAZO Días]],0)</f>
        <v>0</v>
      </c>
      <c r="U478" s="135">
        <f>+VLOOKUP(PROVEEDORES[[#This Row],[PROVEEDOR]],Terceros!$A:$D,4,FALSE)</f>
        <v>0</v>
      </c>
      <c r="V478" s="135">
        <f>+YEAR(PROVEEDORES[[#This Row],[FECHA DE FACTURACIÓN]])</f>
        <v>2023</v>
      </c>
      <c r="W478" s="135">
        <f>+MATCH(PROVEEDORES[[#This Row],[año facturado]],Retenciones!$1:$1,0)</f>
        <v>6</v>
      </c>
      <c r="X478" s="136">
        <f>+VLOOKUP(PROVEEDORES[[#This Row],[ID RETENCION]],Retenciones!$A$1:$O$25,PROVEEDORES[[#This Row],[indicador de columna]],FALSE)</f>
        <v>0</v>
      </c>
      <c r="Y478" s="137">
        <f>+VLOOKUP(PROVEEDORES[[#This Row],[ID RETENCION]],Retenciones!$A$1:$O$25,2,FALSE)</f>
        <v>0</v>
      </c>
      <c r="Z478" s="126" t="b">
        <f>+OR(COUNTIF(PROVEEDORES[[#This Row],[PROVEEDOR]],"*"&amp;'Palabra que no opera y Listas d'!$A$2&amp;"*"))</f>
        <v>0</v>
      </c>
    </row>
    <row r="479" spans="1:26" ht="27.75" customHeight="1" x14ac:dyDescent="0.25">
      <c r="A479" s="141" t="str">
        <f>+IF(PROVEEDORES[[#This Row],[FECHA DE PAGO]]=PROVEEDORES[[#This Row],[FECHA DE FACTURACIÓN]],"DE CONTADO","CRÉDITO")</f>
        <v>CRÉDITO</v>
      </c>
      <c r="B479" s="138" t="b">
        <f>+IF((PROVEEDORES[[#This Row],[FECHA DE PAGO]]-PROVEEDORES[[#This Row],[FECHA DE FACTURACIÓN]])&gt;PROVEEDORES[[#This Row],[PLAZO Días]],"PAGO VENCIDO")</f>
        <v>0</v>
      </c>
      <c r="C479" s="138">
        <f>+VLOOKUP(PROVEEDORES[[#This Row],[PROVEEDOR]],TERCEROS_INFO[#All],2,FALSE)</f>
        <v>60</v>
      </c>
      <c r="D479" s="139">
        <f>+SUMIFS(PROVEEDORES[Total],PROVEEDORES[PROVEEDOR],PROVEEDORES[[#This Row],[PROVEEDOR]],PROVEEDORES[FECHA DE PAGO],"")</f>
        <v>1730482</v>
      </c>
      <c r="E479" s="140"/>
      <c r="F479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79" s="127">
        <v>45124</v>
      </c>
      <c r="H479" s="123" t="s">
        <v>222</v>
      </c>
      <c r="I479" s="127">
        <v>45107</v>
      </c>
      <c r="J479" s="124">
        <v>1715</v>
      </c>
      <c r="K479" s="124" t="s">
        <v>1530</v>
      </c>
      <c r="L479" s="124"/>
      <c r="M479" s="125">
        <v>226200</v>
      </c>
      <c r="N479" s="148">
        <v>0</v>
      </c>
      <c r="O479" s="148">
        <v>0</v>
      </c>
      <c r="P479" s="149">
        <v>0</v>
      </c>
      <c r="Q479" s="148">
        <v>0</v>
      </c>
      <c r="R479" s="150">
        <v>226200</v>
      </c>
      <c r="S4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79" s="135">
        <f ca="1">+IF(PROVEEDORES[[#This Row],[FECHA DE PAGO]]=0,TODAY()-PROVEEDORES[[#This Row],[FECHA DE FACTURACIÓN]]-PROVEEDORES[[#This Row],[PLAZO Días]],0)</f>
        <v>0</v>
      </c>
      <c r="U479" s="135">
        <f>+VLOOKUP(PROVEEDORES[[#This Row],[PROVEEDOR]],Terceros!$A:$D,4,FALSE)</f>
        <v>0</v>
      </c>
      <c r="V479" s="135">
        <f>+YEAR(PROVEEDORES[[#This Row],[FECHA DE FACTURACIÓN]])</f>
        <v>2023</v>
      </c>
      <c r="W479" s="135">
        <f>+MATCH(PROVEEDORES[[#This Row],[año facturado]],Retenciones!$1:$1,0)</f>
        <v>6</v>
      </c>
      <c r="X479" s="136">
        <f>+VLOOKUP(PROVEEDORES[[#This Row],[ID RETENCION]],Retenciones!$A$1:$O$25,PROVEEDORES[[#This Row],[indicador de columna]],FALSE)</f>
        <v>0</v>
      </c>
      <c r="Y479" s="137">
        <f>+VLOOKUP(PROVEEDORES[[#This Row],[ID RETENCION]],Retenciones!$A$1:$O$25,2,FALSE)</f>
        <v>0</v>
      </c>
      <c r="Z479" s="126" t="b">
        <f>+OR(COUNTIF(PROVEEDORES[[#This Row],[PROVEEDOR]],"*"&amp;'Palabra que no opera y Listas d'!$A$2&amp;"*"))</f>
        <v>0</v>
      </c>
    </row>
    <row r="480" spans="1:26" ht="27.75" customHeight="1" x14ac:dyDescent="0.25">
      <c r="A480" s="141" t="str">
        <f>+IF(PROVEEDORES[[#This Row],[FECHA DE PAGO]]=PROVEEDORES[[#This Row],[FECHA DE FACTURACIÓN]],"DE CONTADO","CRÉDITO")</f>
        <v>CRÉDITO</v>
      </c>
      <c r="B480" s="138" t="b">
        <f>+IF((PROVEEDORES[[#This Row],[FECHA DE PAGO]]-PROVEEDORES[[#This Row],[FECHA DE FACTURACIÓN]])&gt;PROVEEDORES[[#This Row],[PLAZO Días]],"PAGO VENCIDO")</f>
        <v>0</v>
      </c>
      <c r="C480" s="138">
        <f>+VLOOKUP(PROVEEDORES[[#This Row],[PROVEEDOR]],TERCEROS_INFO[#All],2,FALSE)</f>
        <v>60</v>
      </c>
      <c r="D480" s="139">
        <f>+SUMIFS(PROVEEDORES[Total],PROVEEDORES[PROVEEDOR],PROVEEDORES[[#This Row],[PROVEEDOR]],PROVEEDORES[FECHA DE PAGO],"")</f>
        <v>1730482</v>
      </c>
      <c r="E480" s="140"/>
      <c r="F480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480" s="127">
        <v>45124</v>
      </c>
      <c r="H480" s="123" t="s">
        <v>222</v>
      </c>
      <c r="I480" s="127">
        <v>45107</v>
      </c>
      <c r="J480" s="124">
        <v>1716</v>
      </c>
      <c r="K480" s="124" t="s">
        <v>1530</v>
      </c>
      <c r="L480" s="124"/>
      <c r="M480" s="125">
        <v>226200</v>
      </c>
      <c r="N480" s="148">
        <v>0</v>
      </c>
      <c r="O480" s="148">
        <v>0</v>
      </c>
      <c r="P480" s="149">
        <v>0</v>
      </c>
      <c r="Q480" s="148">
        <v>0</v>
      </c>
      <c r="R480" s="150">
        <v>226200</v>
      </c>
      <c r="S4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0" s="135">
        <f ca="1">+IF(PROVEEDORES[[#This Row],[FECHA DE PAGO]]=0,TODAY()-PROVEEDORES[[#This Row],[FECHA DE FACTURACIÓN]]-PROVEEDORES[[#This Row],[PLAZO Días]],0)</f>
        <v>0</v>
      </c>
      <c r="U480" s="135">
        <f>+VLOOKUP(PROVEEDORES[[#This Row],[PROVEEDOR]],Terceros!$A:$D,4,FALSE)</f>
        <v>0</v>
      </c>
      <c r="V480" s="135">
        <f>+YEAR(PROVEEDORES[[#This Row],[FECHA DE FACTURACIÓN]])</f>
        <v>2023</v>
      </c>
      <c r="W480" s="135">
        <f>+MATCH(PROVEEDORES[[#This Row],[año facturado]],Retenciones!$1:$1,0)</f>
        <v>6</v>
      </c>
      <c r="X480" s="136">
        <f>+VLOOKUP(PROVEEDORES[[#This Row],[ID RETENCION]],Retenciones!$A$1:$O$25,PROVEEDORES[[#This Row],[indicador de columna]],FALSE)</f>
        <v>0</v>
      </c>
      <c r="Y480" s="137">
        <f>+VLOOKUP(PROVEEDORES[[#This Row],[ID RETENCION]],Retenciones!$A$1:$O$25,2,FALSE)</f>
        <v>0</v>
      </c>
      <c r="Z480" s="126" t="b">
        <f>+OR(COUNTIF(PROVEEDORES[[#This Row],[PROVEEDOR]],"*"&amp;'Palabra que no opera y Listas d'!$A$2&amp;"*"))</f>
        <v>0</v>
      </c>
    </row>
    <row r="481" spans="1:26" ht="27.75" customHeight="1" x14ac:dyDescent="0.25">
      <c r="A481" s="141" t="str">
        <f>+IF(PROVEEDORES[[#This Row],[FECHA DE PAGO]]=PROVEEDORES[[#This Row],[FECHA DE FACTURACIÓN]],"DE CONTADO","CRÉDITO")</f>
        <v>CRÉDITO</v>
      </c>
      <c r="B481" s="138" t="b">
        <f>+IF((PROVEEDORES[[#This Row],[FECHA DE PAGO]]-PROVEEDORES[[#This Row],[FECHA DE FACTURACIÓN]])&gt;PROVEEDORES[[#This Row],[PLAZO Días]],"PAGO VENCIDO")</f>
        <v>0</v>
      </c>
      <c r="C481" s="138">
        <f>+VLOOKUP(PROVEEDORES[[#This Row],[PROVEEDOR]],TERCEROS_INFO[#All],2,FALSE)</f>
        <v>30</v>
      </c>
      <c r="D481" s="139">
        <f>+SUMIFS(PROVEEDORES[Total],PROVEEDORES[PROVEEDOR],PROVEEDORES[[#This Row],[PROVEEDOR]],PROVEEDORES[FECHA DE PAGO],"")</f>
        <v>0</v>
      </c>
      <c r="E481" s="140"/>
      <c r="F481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481" s="127">
        <v>45124</v>
      </c>
      <c r="H481" s="123" t="s">
        <v>373</v>
      </c>
      <c r="I481" s="127">
        <v>45109</v>
      </c>
      <c r="J481" s="124" t="s">
        <v>892</v>
      </c>
      <c r="K481" s="124" t="s">
        <v>1530</v>
      </c>
      <c r="L481" s="124"/>
      <c r="M481" s="125">
        <v>1840056</v>
      </c>
      <c r="N481" s="148">
        <v>0</v>
      </c>
      <c r="O481" s="148">
        <v>0</v>
      </c>
      <c r="P481" s="149">
        <v>0</v>
      </c>
      <c r="Q481" s="148">
        <v>0</v>
      </c>
      <c r="R481" s="150">
        <v>1840056</v>
      </c>
      <c r="S4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1" s="135">
        <f ca="1">+IF(PROVEEDORES[[#This Row],[FECHA DE PAGO]]=0,TODAY()-PROVEEDORES[[#This Row],[FECHA DE FACTURACIÓN]]-PROVEEDORES[[#This Row],[PLAZO Días]],0)</f>
        <v>0</v>
      </c>
      <c r="U481" s="135">
        <f>+VLOOKUP(PROVEEDORES[[#This Row],[PROVEEDOR]],Terceros!$A:$D,4,FALSE)</f>
        <v>0</v>
      </c>
      <c r="V481" s="135">
        <f>+YEAR(PROVEEDORES[[#This Row],[FECHA DE FACTURACIÓN]])</f>
        <v>2023</v>
      </c>
      <c r="W481" s="135">
        <f>+MATCH(PROVEEDORES[[#This Row],[año facturado]],Retenciones!$1:$1,0)</f>
        <v>6</v>
      </c>
      <c r="X481" s="136">
        <f>+VLOOKUP(PROVEEDORES[[#This Row],[ID RETENCION]],Retenciones!$A$1:$O$25,PROVEEDORES[[#This Row],[indicador de columna]],FALSE)</f>
        <v>0</v>
      </c>
      <c r="Y481" s="137">
        <f>+VLOOKUP(PROVEEDORES[[#This Row],[ID RETENCION]],Retenciones!$A$1:$O$25,2,FALSE)</f>
        <v>0</v>
      </c>
      <c r="Z481" s="126" t="b">
        <f>+OR(COUNTIF(PROVEEDORES[[#This Row],[PROVEEDOR]],"*"&amp;'Palabra que no opera y Listas d'!$A$2&amp;"*"))</f>
        <v>1</v>
      </c>
    </row>
    <row r="482" spans="1:26" ht="27.75" customHeight="1" x14ac:dyDescent="0.25">
      <c r="A482" s="141" t="str">
        <f>+IF(PROVEEDORES[[#This Row],[FECHA DE PAGO]]=PROVEEDORES[[#This Row],[FECHA DE FACTURACIÓN]],"DE CONTADO","CRÉDITO")</f>
        <v>CRÉDITO</v>
      </c>
      <c r="B482" s="138" t="b">
        <f>+IF((PROVEEDORES[[#This Row],[FECHA DE PAGO]]-PROVEEDORES[[#This Row],[FECHA DE FACTURACIÓN]])&gt;PROVEEDORES[[#This Row],[PLAZO Días]],"PAGO VENCIDO")</f>
        <v>0</v>
      </c>
      <c r="C482" s="138">
        <f>+VLOOKUP(PROVEEDORES[[#This Row],[PROVEEDOR]],TERCEROS_INFO[#All],2,FALSE)</f>
        <v>30</v>
      </c>
      <c r="D482" s="139">
        <f>+SUMIFS(PROVEEDORES[Total],PROVEEDORES[PROVEEDOR],PROVEEDORES[[#This Row],[PROVEEDOR]],PROVEEDORES[FECHA DE PAGO],"")</f>
        <v>0</v>
      </c>
      <c r="E482" s="140"/>
      <c r="F482" s="138">
        <f>+VLOOKUP(PROVEEDORES[[#This Row],[PROVEEDOR]],
                       Terceros!$A:$F,
                       5,
                       FALSE)</f>
        <v>0</v>
      </c>
      <c r="G482" s="127">
        <v>45124</v>
      </c>
      <c r="H482" s="123" t="s">
        <v>836</v>
      </c>
      <c r="I482" s="127">
        <v>45122</v>
      </c>
      <c r="J482" s="124">
        <v>4</v>
      </c>
      <c r="K482" s="124" t="s">
        <v>1530</v>
      </c>
      <c r="L482" s="124"/>
      <c r="M482" s="125">
        <v>369000</v>
      </c>
      <c r="N482" s="148">
        <v>0</v>
      </c>
      <c r="O482" s="148">
        <v>0</v>
      </c>
      <c r="P482" s="149">
        <v>0</v>
      </c>
      <c r="Q482" s="148">
        <v>0</v>
      </c>
      <c r="R482" s="150">
        <v>369000</v>
      </c>
      <c r="S4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2" s="135">
        <f ca="1">+IF(PROVEEDORES[[#This Row],[FECHA DE PAGO]]=0,TODAY()-PROVEEDORES[[#This Row],[FECHA DE FACTURACIÓN]]-PROVEEDORES[[#This Row],[PLAZO Días]],0)</f>
        <v>0</v>
      </c>
      <c r="U482" s="135">
        <f>+VLOOKUP(PROVEEDORES[[#This Row],[PROVEEDOR]],Terceros!$A:$D,4,FALSE)</f>
        <v>0</v>
      </c>
      <c r="V482" s="135">
        <f>+YEAR(PROVEEDORES[[#This Row],[FECHA DE FACTURACIÓN]])</f>
        <v>2023</v>
      </c>
      <c r="W482" s="135">
        <f>+MATCH(PROVEEDORES[[#This Row],[año facturado]],Retenciones!$1:$1,0)</f>
        <v>6</v>
      </c>
      <c r="X482" s="136">
        <f>+VLOOKUP(PROVEEDORES[[#This Row],[ID RETENCION]],Retenciones!$A$1:$O$25,PROVEEDORES[[#This Row],[indicador de columna]],FALSE)</f>
        <v>0</v>
      </c>
      <c r="Y482" s="137">
        <f>+VLOOKUP(PROVEEDORES[[#This Row],[ID RETENCION]],Retenciones!$A$1:$O$25,2,FALSE)</f>
        <v>0</v>
      </c>
      <c r="Z482" s="126" t="b">
        <f>+OR(COUNTIF(PROVEEDORES[[#This Row],[PROVEEDOR]],"*"&amp;'Palabra que no opera y Listas d'!$A$2&amp;"*"))</f>
        <v>0</v>
      </c>
    </row>
    <row r="483" spans="1:26" ht="27.75" customHeight="1" x14ac:dyDescent="0.25">
      <c r="A483" s="141" t="str">
        <f>+IF(PROVEEDORES[[#This Row],[FECHA DE PAGO]]=PROVEEDORES[[#This Row],[FECHA DE FACTURACIÓN]],"DE CONTADO","CRÉDITO")</f>
        <v>CRÉDITO</v>
      </c>
      <c r="B483" s="138" t="b">
        <f>+IF((PROVEEDORES[[#This Row],[FECHA DE PAGO]]-PROVEEDORES[[#This Row],[FECHA DE FACTURACIÓN]])&gt;PROVEEDORES[[#This Row],[PLAZO Días]],"PAGO VENCIDO")</f>
        <v>0</v>
      </c>
      <c r="C483" s="138">
        <f>+VLOOKUP(PROVEEDORES[[#This Row],[PROVEEDOR]],TERCEROS_INFO[#All],2,FALSE)</f>
        <v>30</v>
      </c>
      <c r="D483" s="139">
        <f>+SUMIFS(PROVEEDORES[Total],PROVEEDORES[PROVEEDOR],PROVEEDORES[[#This Row],[PROVEEDOR]],PROVEEDORES[FECHA DE PAGO],"")</f>
        <v>0</v>
      </c>
      <c r="E483" s="140"/>
      <c r="F483" s="138" t="str">
        <f>+VLOOKUP(PROVEEDORES[[#This Row],[PROVEEDOR]],
                       Terceros!$A:$F,
                       5,
                       FALSE)</f>
        <v xml:space="preserve">asistente@remarcalimitada.com;girlesa.ruiz@servipilas.com;joriescobar64@gmail.com
</v>
      </c>
      <c r="G483" s="127">
        <v>45125</v>
      </c>
      <c r="H483" s="123" t="s">
        <v>381</v>
      </c>
      <c r="I483" s="127">
        <v>45124</v>
      </c>
      <c r="J483" s="124" t="s">
        <v>901</v>
      </c>
      <c r="K483" s="124" t="s">
        <v>1530</v>
      </c>
      <c r="L483" s="124"/>
      <c r="M483" s="125">
        <v>1650000</v>
      </c>
      <c r="N483" s="148">
        <v>313500</v>
      </c>
      <c r="O483" s="148">
        <v>0</v>
      </c>
      <c r="P483" s="149">
        <v>0.11</v>
      </c>
      <c r="Q483" s="148">
        <v>181500</v>
      </c>
      <c r="R483" s="150">
        <v>1782000</v>
      </c>
      <c r="S4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3" s="135">
        <f ca="1">+IF(PROVEEDORES[[#This Row],[FECHA DE PAGO]]=0,TODAY()-PROVEEDORES[[#This Row],[FECHA DE FACTURACIÓN]]-PROVEEDORES[[#This Row],[PLAZO Días]],0)</f>
        <v>0</v>
      </c>
      <c r="U483" s="135" t="str">
        <f>+VLOOKUP(PROVEEDORES[[#This Row],[PROVEEDOR]],Terceros!$A:$D,4,FALSE)</f>
        <v>11% sin base</v>
      </c>
      <c r="V483" s="135">
        <f>+YEAR(PROVEEDORES[[#This Row],[FECHA DE FACTURACIÓN]])</f>
        <v>2023</v>
      </c>
      <c r="W483" s="135">
        <f>+MATCH(PROVEEDORES[[#This Row],[año facturado]],Retenciones!$1:$1,0)</f>
        <v>6</v>
      </c>
      <c r="X483" s="136">
        <f>+VLOOKUP(PROVEEDORES[[#This Row],[ID RETENCION]],Retenciones!$A$1:$O$25,PROVEEDORES[[#This Row],[indicador de columna]],FALSE)</f>
        <v>0</v>
      </c>
      <c r="Y483" s="137">
        <f>+VLOOKUP(PROVEEDORES[[#This Row],[ID RETENCION]],Retenciones!$A$1:$O$25,2,FALSE)</f>
        <v>0.11</v>
      </c>
      <c r="Z483" s="126" t="b">
        <f>+OR(COUNTIF(PROVEEDORES[[#This Row],[PROVEEDOR]],"*"&amp;'Palabra que no opera y Listas d'!$A$2&amp;"*"))</f>
        <v>1</v>
      </c>
    </row>
    <row r="484" spans="1:26" ht="27.75" customHeight="1" x14ac:dyDescent="0.25">
      <c r="A484" s="141" t="str">
        <f>+IF(PROVEEDORES[[#This Row],[FECHA DE PAGO]]=PROVEEDORES[[#This Row],[FECHA DE FACTURACIÓN]],"DE CONTADO","CRÉDITO")</f>
        <v>DE CONTADO</v>
      </c>
      <c r="B484" s="138" t="b">
        <f>+IF((PROVEEDORES[[#This Row],[FECHA DE PAGO]]-PROVEEDORES[[#This Row],[FECHA DE FACTURACIÓN]])&gt;PROVEEDORES[[#This Row],[PLAZO Días]],"PAGO VENCIDO")</f>
        <v>0</v>
      </c>
      <c r="C484" s="138">
        <f>+VLOOKUP(PROVEEDORES[[#This Row],[PROVEEDOR]],TERCEROS_INFO[#All],2,FALSE)</f>
        <v>30</v>
      </c>
      <c r="D484" s="139">
        <f>+SUMIFS(PROVEEDORES[Total],PROVEEDORES[PROVEEDOR],PROVEEDORES[[#This Row],[PROVEEDOR]],PROVEEDORES[FECHA DE PAGO],"")</f>
        <v>0</v>
      </c>
      <c r="E484" s="140"/>
      <c r="F484" s="138">
        <f>+VLOOKUP(PROVEEDORES[[#This Row],[PROVEEDOR]],
                       Terceros!$A:$F,
                       5,
                       FALSE)</f>
        <v>0</v>
      </c>
      <c r="G484" s="127">
        <v>45125</v>
      </c>
      <c r="H484" s="123" t="s">
        <v>291</v>
      </c>
      <c r="I484" s="127">
        <v>45125</v>
      </c>
      <c r="J484" s="124" t="s">
        <v>893</v>
      </c>
      <c r="K484" s="124" t="s">
        <v>1530</v>
      </c>
      <c r="L484" s="124"/>
      <c r="M484" s="125">
        <v>1431255</v>
      </c>
      <c r="N484" s="148">
        <v>271938.45</v>
      </c>
      <c r="O484" s="148">
        <v>0</v>
      </c>
      <c r="P484" s="149">
        <v>2.5000000000000001E-2</v>
      </c>
      <c r="Q484" s="148">
        <v>35781.375</v>
      </c>
      <c r="R484" s="150">
        <v>1667412.075</v>
      </c>
      <c r="S4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4" s="135">
        <f ca="1">+IF(PROVEEDORES[[#This Row],[FECHA DE PAGO]]=0,TODAY()-PROVEEDORES[[#This Row],[FECHA DE FACTURACIÓN]]-PROVEEDORES[[#This Row],[PLAZO Días]],0)</f>
        <v>0</v>
      </c>
      <c r="U484" s="135" t="str">
        <f>+VLOOKUP(PROVEEDORES[[#This Row],[PROVEEDOR]],Terceros!$A:$D,4,FALSE)</f>
        <v>2,5% con base</v>
      </c>
      <c r="V484" s="135">
        <f>+YEAR(PROVEEDORES[[#This Row],[FECHA DE FACTURACIÓN]])</f>
        <v>2023</v>
      </c>
      <c r="W484" s="135">
        <f>+MATCH(PROVEEDORES[[#This Row],[año facturado]],Retenciones!$1:$1,0)</f>
        <v>6</v>
      </c>
      <c r="X484" s="136">
        <f>+VLOOKUP(PROVEEDORES[[#This Row],[ID RETENCION]],Retenciones!$A$1:$O$25,PROVEEDORES[[#This Row],[indicador de columna]],FALSE)</f>
        <v>1145000</v>
      </c>
      <c r="Y484" s="137">
        <f>+VLOOKUP(PROVEEDORES[[#This Row],[ID RETENCION]],Retenciones!$A$1:$O$25,2,FALSE)</f>
        <v>2.5000000000000001E-2</v>
      </c>
      <c r="Z484" s="126" t="b">
        <f>+OR(COUNTIF(PROVEEDORES[[#This Row],[PROVEEDOR]],"*"&amp;'Palabra que no opera y Listas d'!$A$2&amp;"*"))</f>
        <v>0</v>
      </c>
    </row>
    <row r="485" spans="1:26" ht="27.75" customHeight="1" x14ac:dyDescent="0.25">
      <c r="A485" s="141" t="str">
        <f>+IF(PROVEEDORES[[#This Row],[FECHA DE PAGO]]=PROVEEDORES[[#This Row],[FECHA DE FACTURACIÓN]],"DE CONTADO","CRÉDITO")</f>
        <v>CRÉDITO</v>
      </c>
      <c r="B485" s="138" t="str">
        <f>+IF((PROVEEDORES[[#This Row],[FECHA DE PAGO]]-PROVEEDORES[[#This Row],[FECHA DE FACTURACIÓN]])&gt;PROVEEDORES[[#This Row],[PLAZO Días]],"PAGO VENCIDO")</f>
        <v>PAGO VENCIDO</v>
      </c>
      <c r="C485" s="138">
        <f>+VLOOKUP(PROVEEDORES[[#This Row],[PROVEEDOR]],TERCEROS_INFO[#All],2,FALSE)</f>
        <v>60</v>
      </c>
      <c r="D485" s="139">
        <f>+SUMIFS(PROVEEDORES[Total],PROVEEDORES[PROVEEDOR],PROVEEDORES[[#This Row],[PROVEEDOR]],PROVEEDORES[FECHA DE PAGO],"")</f>
        <v>0</v>
      </c>
      <c r="E485" s="140"/>
      <c r="F485" s="13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485" s="127">
        <v>45126</v>
      </c>
      <c r="H485" s="123" t="s">
        <v>221</v>
      </c>
      <c r="I485" s="127">
        <v>45057</v>
      </c>
      <c r="J485" s="124" t="s">
        <v>794</v>
      </c>
      <c r="K485" s="124" t="s">
        <v>1530</v>
      </c>
      <c r="L485" s="124"/>
      <c r="M485" s="125">
        <v>2302268</v>
      </c>
      <c r="N485" s="148">
        <v>437430.92</v>
      </c>
      <c r="O485" s="148">
        <v>0</v>
      </c>
      <c r="P485" s="149">
        <v>2.5000000000000001E-2</v>
      </c>
      <c r="Q485" s="148">
        <v>57556.700000000004</v>
      </c>
      <c r="R485" s="150">
        <v>2682142.2199999997</v>
      </c>
      <c r="S4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5" s="135">
        <f ca="1">+IF(PROVEEDORES[[#This Row],[FECHA DE PAGO]]=0,TODAY()-PROVEEDORES[[#This Row],[FECHA DE FACTURACIÓN]]-PROVEEDORES[[#This Row],[PLAZO Días]],0)</f>
        <v>0</v>
      </c>
      <c r="U485" s="135" t="str">
        <f>+VLOOKUP(PROVEEDORES[[#This Row],[PROVEEDOR]],Terceros!$A:$D,4,FALSE)</f>
        <v>2,5% con base</v>
      </c>
      <c r="V485" s="135">
        <f>+YEAR(PROVEEDORES[[#This Row],[FECHA DE FACTURACIÓN]])</f>
        <v>2023</v>
      </c>
      <c r="W485" s="135">
        <f>+MATCH(PROVEEDORES[[#This Row],[año facturado]],Retenciones!$1:$1,0)</f>
        <v>6</v>
      </c>
      <c r="X485" s="136">
        <f>+VLOOKUP(PROVEEDORES[[#This Row],[ID RETENCION]],Retenciones!$A$1:$O$25,PROVEEDORES[[#This Row],[indicador de columna]],FALSE)</f>
        <v>1145000</v>
      </c>
      <c r="Y485" s="137">
        <f>+VLOOKUP(PROVEEDORES[[#This Row],[ID RETENCION]],Retenciones!$A$1:$O$25,2,FALSE)</f>
        <v>2.5000000000000001E-2</v>
      </c>
      <c r="Z485" s="126" t="b">
        <f>+OR(COUNTIF(PROVEEDORES[[#This Row],[PROVEEDOR]],"*"&amp;'Palabra que no opera y Listas d'!$A$2&amp;"*"))</f>
        <v>0</v>
      </c>
    </row>
    <row r="486" spans="1:26" ht="27.75" customHeight="1" x14ac:dyDescent="0.25">
      <c r="A486" s="141" t="str">
        <f>+IF(PROVEEDORES[[#This Row],[FECHA DE PAGO]]=PROVEEDORES[[#This Row],[FECHA DE FACTURACIÓN]],"DE CONTADO","CRÉDITO")</f>
        <v>CRÉDITO</v>
      </c>
      <c r="B486" s="138" t="b">
        <f>+IF((PROVEEDORES[[#This Row],[FECHA DE PAGO]]-PROVEEDORES[[#This Row],[FECHA DE FACTURACIÓN]])&gt;PROVEEDORES[[#This Row],[PLAZO Días]],"PAGO VENCIDO")</f>
        <v>0</v>
      </c>
      <c r="C486" s="138">
        <f>+VLOOKUP(PROVEEDORES[[#This Row],[PROVEEDOR]],TERCEROS_INFO[#All],2,FALSE)</f>
        <v>30</v>
      </c>
      <c r="D486" s="139">
        <f>+SUMIFS(PROVEEDORES[Total],PROVEEDORES[PROVEEDOR],PROVEEDORES[[#This Row],[PROVEEDOR]],PROVEEDORES[FECHA DE PAGO],"")</f>
        <v>0</v>
      </c>
      <c r="E486" s="140"/>
      <c r="F486" s="138" t="str">
        <f>+VLOOKUP(PROVEEDORES[[#This Row],[PROVEEDOR]],
                       Terceros!$A:$F,
                       5,
                       FALSE)</f>
        <v>facturacion@losmolinos.com.co</v>
      </c>
      <c r="G486" s="127">
        <v>45126</v>
      </c>
      <c r="H486" s="123" t="s">
        <v>376</v>
      </c>
      <c r="I486" s="127">
        <v>45108</v>
      </c>
      <c r="J486" s="124" t="s">
        <v>894</v>
      </c>
      <c r="K486" s="124" t="s">
        <v>1530</v>
      </c>
      <c r="L486" s="124"/>
      <c r="M486" s="125">
        <v>318603</v>
      </c>
      <c r="N486" s="148">
        <v>0</v>
      </c>
      <c r="O486" s="148">
        <v>0</v>
      </c>
      <c r="P486" s="149">
        <v>0</v>
      </c>
      <c r="Q486" s="148">
        <v>0</v>
      </c>
      <c r="R486" s="150">
        <v>318603</v>
      </c>
      <c r="S4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6" s="135">
        <f ca="1">+IF(PROVEEDORES[[#This Row],[FECHA DE PAGO]]=0,TODAY()-PROVEEDORES[[#This Row],[FECHA DE FACTURACIÓN]]-PROVEEDORES[[#This Row],[PLAZO Días]],0)</f>
        <v>0</v>
      </c>
      <c r="U486" s="135">
        <f>+VLOOKUP(PROVEEDORES[[#This Row],[PROVEEDOR]],Terceros!$A:$D,4,FALSE)</f>
        <v>0</v>
      </c>
      <c r="V486" s="135">
        <f>+YEAR(PROVEEDORES[[#This Row],[FECHA DE FACTURACIÓN]])</f>
        <v>2023</v>
      </c>
      <c r="W486" s="135">
        <f>+MATCH(PROVEEDORES[[#This Row],[año facturado]],Retenciones!$1:$1,0)</f>
        <v>6</v>
      </c>
      <c r="X486" s="136">
        <f>+VLOOKUP(PROVEEDORES[[#This Row],[ID RETENCION]],Retenciones!$A$1:$O$25,PROVEEDORES[[#This Row],[indicador de columna]],FALSE)</f>
        <v>0</v>
      </c>
      <c r="Y486" s="137">
        <f>+VLOOKUP(PROVEEDORES[[#This Row],[ID RETENCION]],Retenciones!$A$1:$O$25,2,FALSE)</f>
        <v>0</v>
      </c>
      <c r="Z486" s="126" t="b">
        <f>+OR(COUNTIF(PROVEEDORES[[#This Row],[PROVEEDOR]],"*"&amp;'Palabra que no opera y Listas d'!$A$2&amp;"*"))</f>
        <v>1</v>
      </c>
    </row>
    <row r="487" spans="1:26" ht="27.75" customHeight="1" x14ac:dyDescent="0.25">
      <c r="A487" s="141" t="str">
        <f>+IF(PROVEEDORES[[#This Row],[FECHA DE PAGO]]=PROVEEDORES[[#This Row],[FECHA DE FACTURACIÓN]],"DE CONTADO","CRÉDITO")</f>
        <v>CRÉDITO</v>
      </c>
      <c r="B487" s="138" t="str">
        <f>+IF((PROVEEDORES[[#This Row],[FECHA DE PAGO]]-PROVEEDORES[[#This Row],[FECHA DE FACTURACIÓN]])&gt;PROVEEDORES[[#This Row],[PLAZO Días]],"PAGO VENCIDO")</f>
        <v>PAGO VENCIDO</v>
      </c>
      <c r="C487" s="138">
        <f>+VLOOKUP(PROVEEDORES[[#This Row],[PROVEEDOR]],TERCEROS_INFO[#All],2,FALSE)</f>
        <v>30</v>
      </c>
      <c r="D487" s="139">
        <f>+SUMIFS(PROVEEDORES[Total],PROVEEDORES[PROVEEDOR],PROVEEDORES[[#This Row],[PROVEEDOR]],PROVEEDORES[FECHA DE PAGO],"")</f>
        <v>12628497</v>
      </c>
      <c r="E487" s="140"/>
      <c r="F487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487" s="127">
        <v>45128</v>
      </c>
      <c r="H487" s="123" t="s">
        <v>451</v>
      </c>
      <c r="I487" s="127">
        <v>45072</v>
      </c>
      <c r="J487" s="124" t="s">
        <v>815</v>
      </c>
      <c r="K487" s="124" t="s">
        <v>1530</v>
      </c>
      <c r="L487" s="124"/>
      <c r="M487" s="125">
        <v>470000</v>
      </c>
      <c r="N487" s="148">
        <v>89300</v>
      </c>
      <c r="O487" s="148">
        <v>0</v>
      </c>
      <c r="P487" s="149">
        <v>0</v>
      </c>
      <c r="Q487" s="148">
        <v>0</v>
      </c>
      <c r="R487" s="150">
        <v>559300</v>
      </c>
      <c r="S4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7" s="135">
        <f ca="1">+IF(PROVEEDORES[[#This Row],[FECHA DE PAGO]]=0,TODAY()-PROVEEDORES[[#This Row],[FECHA DE FACTURACIÓN]]-PROVEEDORES[[#This Row],[PLAZO Días]],0)</f>
        <v>0</v>
      </c>
      <c r="U487" s="135" t="str">
        <f>+VLOOKUP(PROVEEDORES[[#This Row],[PROVEEDOR]],Terceros!$A:$D,4,FALSE)</f>
        <v>2,5% con base</v>
      </c>
      <c r="V487" s="135">
        <f>+YEAR(PROVEEDORES[[#This Row],[FECHA DE FACTURACIÓN]])</f>
        <v>2023</v>
      </c>
      <c r="W487" s="135">
        <f>+MATCH(PROVEEDORES[[#This Row],[año facturado]],Retenciones!$1:$1,0)</f>
        <v>6</v>
      </c>
      <c r="X487" s="136">
        <f>+VLOOKUP(PROVEEDORES[[#This Row],[ID RETENCION]],Retenciones!$A$1:$O$25,PROVEEDORES[[#This Row],[indicador de columna]],FALSE)</f>
        <v>1145000</v>
      </c>
      <c r="Y487" s="137">
        <f>+VLOOKUP(PROVEEDORES[[#This Row],[ID RETENCION]],Retenciones!$A$1:$O$25,2,FALSE)</f>
        <v>2.5000000000000001E-2</v>
      </c>
      <c r="Z487" s="126" t="b">
        <f>+OR(COUNTIF(PROVEEDORES[[#This Row],[PROVEEDOR]],"*"&amp;'Palabra que no opera y Listas d'!$A$2&amp;"*"))</f>
        <v>0</v>
      </c>
    </row>
    <row r="488" spans="1:26" ht="27.75" customHeight="1" x14ac:dyDescent="0.25">
      <c r="A488" s="141" t="str">
        <f>+IF(PROVEEDORES[[#This Row],[FECHA DE PAGO]]=PROVEEDORES[[#This Row],[FECHA DE FACTURACIÓN]],"DE CONTADO","CRÉDITO")</f>
        <v>CRÉDITO</v>
      </c>
      <c r="B488" s="138" t="str">
        <f>+IF((PROVEEDORES[[#This Row],[FECHA DE PAGO]]-PROVEEDORES[[#This Row],[FECHA DE FACTURACIÓN]])&gt;PROVEEDORES[[#This Row],[PLAZO Días]],"PAGO VENCIDO")</f>
        <v>PAGO VENCIDO</v>
      </c>
      <c r="C488" s="138">
        <f>+VLOOKUP(PROVEEDORES[[#This Row],[PROVEEDOR]],TERCEROS_INFO[#All],2,FALSE)</f>
        <v>30</v>
      </c>
      <c r="D488" s="139">
        <f>+SUMIFS(PROVEEDORES[Total],PROVEEDORES[PROVEEDOR],PROVEEDORES[[#This Row],[PROVEEDOR]],PROVEEDORES[FECHA DE PAGO],"")</f>
        <v>5813868.5099999998</v>
      </c>
      <c r="E488" s="140"/>
      <c r="F488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488" s="127">
        <v>45128</v>
      </c>
      <c r="H488" s="123" t="s">
        <v>24</v>
      </c>
      <c r="I488" s="127">
        <v>45085</v>
      </c>
      <c r="J488" s="124">
        <v>41939</v>
      </c>
      <c r="K488" s="124" t="s">
        <v>504</v>
      </c>
      <c r="L488" s="124"/>
      <c r="M488" s="125">
        <v>2926800</v>
      </c>
      <c r="N488" s="148">
        <v>556092</v>
      </c>
      <c r="O488" s="148">
        <v>0</v>
      </c>
      <c r="P488" s="149">
        <v>2.5000000000000001E-2</v>
      </c>
      <c r="Q488" s="148">
        <v>73170</v>
      </c>
      <c r="R488" s="150">
        <v>3409722</v>
      </c>
      <c r="S4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8" s="135">
        <f ca="1">+IF(PROVEEDORES[[#This Row],[FECHA DE PAGO]]=0,TODAY()-PROVEEDORES[[#This Row],[FECHA DE FACTURACIÓN]]-PROVEEDORES[[#This Row],[PLAZO Días]],0)</f>
        <v>0</v>
      </c>
      <c r="U488" s="135" t="str">
        <f>+VLOOKUP(PROVEEDORES[[#This Row],[PROVEEDOR]],Terceros!$A:$D,4,FALSE)</f>
        <v>2,5% con base</v>
      </c>
      <c r="V488" s="135">
        <f>+YEAR(PROVEEDORES[[#This Row],[FECHA DE FACTURACIÓN]])</f>
        <v>2023</v>
      </c>
      <c r="W488" s="135">
        <f>+MATCH(PROVEEDORES[[#This Row],[año facturado]],Retenciones!$1:$1,0)</f>
        <v>6</v>
      </c>
      <c r="X488" s="136">
        <f>+VLOOKUP(PROVEEDORES[[#This Row],[ID RETENCION]],Retenciones!$A$1:$O$25,PROVEEDORES[[#This Row],[indicador de columna]],FALSE)</f>
        <v>1145000</v>
      </c>
      <c r="Y488" s="137">
        <f>+VLOOKUP(PROVEEDORES[[#This Row],[ID RETENCION]],Retenciones!$A$1:$O$25,2,FALSE)</f>
        <v>2.5000000000000001E-2</v>
      </c>
      <c r="Z488" s="126" t="b">
        <f>+OR(COUNTIF(PROVEEDORES[[#This Row],[PROVEEDOR]],"*"&amp;'Palabra que no opera y Listas d'!$A$2&amp;"*"))</f>
        <v>0</v>
      </c>
    </row>
    <row r="489" spans="1:26" ht="27.75" customHeight="1" x14ac:dyDescent="0.25">
      <c r="A489" s="141" t="str">
        <f>+IF(PROVEEDORES[[#This Row],[FECHA DE PAGO]]=PROVEEDORES[[#This Row],[FECHA DE FACTURACIÓN]],"DE CONTADO","CRÉDITO")</f>
        <v>CRÉDITO</v>
      </c>
      <c r="B489" s="138" t="str">
        <f>+IF((PROVEEDORES[[#This Row],[FECHA DE PAGO]]-PROVEEDORES[[#This Row],[FECHA DE FACTURACIÓN]])&gt;PROVEEDORES[[#This Row],[PLAZO Días]],"PAGO VENCIDO")</f>
        <v>PAGO VENCIDO</v>
      </c>
      <c r="C489" s="138">
        <f>+VLOOKUP(PROVEEDORES[[#This Row],[PROVEEDOR]],TERCEROS_INFO[#All],2,FALSE)</f>
        <v>30</v>
      </c>
      <c r="D489" s="139">
        <f>+SUMIFS(PROVEEDORES[Total],PROVEEDORES[PROVEEDOR],PROVEEDORES[[#This Row],[PROVEEDOR]],PROVEEDORES[FECHA DE PAGO],"")</f>
        <v>5813868.5099999998</v>
      </c>
      <c r="E489" s="140"/>
      <c r="F489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489" s="127">
        <v>45128</v>
      </c>
      <c r="H489" s="123" t="s">
        <v>24</v>
      </c>
      <c r="I489" s="127">
        <v>45090</v>
      </c>
      <c r="J489" s="124">
        <v>5041942</v>
      </c>
      <c r="K489" s="124" t="s">
        <v>504</v>
      </c>
      <c r="L489" s="124"/>
      <c r="M489" s="125">
        <v>4904750</v>
      </c>
      <c r="N489" s="148">
        <v>931902.5</v>
      </c>
      <c r="O489" s="148">
        <v>0</v>
      </c>
      <c r="P489" s="149">
        <v>2.5000000000000001E-2</v>
      </c>
      <c r="Q489" s="148">
        <v>122618.75</v>
      </c>
      <c r="R489" s="150">
        <v>5714033.75</v>
      </c>
      <c r="S4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89" s="135">
        <f ca="1">+IF(PROVEEDORES[[#This Row],[FECHA DE PAGO]]=0,TODAY()-PROVEEDORES[[#This Row],[FECHA DE FACTURACIÓN]]-PROVEEDORES[[#This Row],[PLAZO Días]],0)</f>
        <v>0</v>
      </c>
      <c r="U489" s="135" t="str">
        <f>+VLOOKUP(PROVEEDORES[[#This Row],[PROVEEDOR]],Terceros!$A:$D,4,FALSE)</f>
        <v>2,5% con base</v>
      </c>
      <c r="V489" s="135">
        <f>+YEAR(PROVEEDORES[[#This Row],[FECHA DE FACTURACIÓN]])</f>
        <v>2023</v>
      </c>
      <c r="W489" s="135">
        <f>+MATCH(PROVEEDORES[[#This Row],[año facturado]],Retenciones!$1:$1,0)</f>
        <v>6</v>
      </c>
      <c r="X489" s="136">
        <f>+VLOOKUP(PROVEEDORES[[#This Row],[ID RETENCION]],Retenciones!$A$1:$O$25,PROVEEDORES[[#This Row],[indicador de columna]],FALSE)</f>
        <v>1145000</v>
      </c>
      <c r="Y489" s="137">
        <f>+VLOOKUP(PROVEEDORES[[#This Row],[ID RETENCION]],Retenciones!$A$1:$O$25,2,FALSE)</f>
        <v>2.5000000000000001E-2</v>
      </c>
      <c r="Z489" s="126" t="b">
        <f>+OR(COUNTIF(PROVEEDORES[[#This Row],[PROVEEDOR]],"*"&amp;'Palabra que no opera y Listas d'!$A$2&amp;"*"))</f>
        <v>0</v>
      </c>
    </row>
    <row r="490" spans="1:26" ht="27.75" customHeight="1" x14ac:dyDescent="0.25">
      <c r="A490" s="141" t="str">
        <f>+IF(PROVEEDORES[[#This Row],[FECHA DE PAGO]]=PROVEEDORES[[#This Row],[FECHA DE FACTURACIÓN]],"DE CONTADO","CRÉDITO")</f>
        <v>CRÉDITO</v>
      </c>
      <c r="B490" s="138" t="str">
        <f>+IF((PROVEEDORES[[#This Row],[FECHA DE PAGO]]-PROVEEDORES[[#This Row],[FECHA DE FACTURACIÓN]])&gt;PROVEEDORES[[#This Row],[PLAZO Días]],"PAGO VENCIDO")</f>
        <v>PAGO VENCIDO</v>
      </c>
      <c r="C490" s="138">
        <f>+VLOOKUP(PROVEEDORES[[#This Row],[PROVEEDOR]],TERCEROS_INFO[#All],2,FALSE)</f>
        <v>30</v>
      </c>
      <c r="D490" s="139">
        <f>+SUMIFS(PROVEEDORES[Total],PROVEEDORES[PROVEEDOR],PROVEEDORES[[#This Row],[PROVEEDOR]],PROVEEDORES[FECHA DE PAGO],"")</f>
        <v>12628497</v>
      </c>
      <c r="E490" s="140"/>
      <c r="F490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490" s="127">
        <v>45128</v>
      </c>
      <c r="H490" s="123" t="s">
        <v>451</v>
      </c>
      <c r="I490" s="127">
        <v>45090</v>
      </c>
      <c r="J490" s="124" t="s">
        <v>851</v>
      </c>
      <c r="K490" s="124" t="s">
        <v>1530</v>
      </c>
      <c r="L490" s="124"/>
      <c r="M490" s="125">
        <v>2058355</v>
      </c>
      <c r="N490" s="148">
        <v>391087.45</v>
      </c>
      <c r="O490" s="148">
        <v>0</v>
      </c>
      <c r="P490" s="149">
        <v>2.5000000000000001E-2</v>
      </c>
      <c r="Q490" s="148">
        <v>51458.875</v>
      </c>
      <c r="R490" s="150">
        <v>2397983.5750000002</v>
      </c>
      <c r="S4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0" s="135">
        <f ca="1">+IF(PROVEEDORES[[#This Row],[FECHA DE PAGO]]=0,TODAY()-PROVEEDORES[[#This Row],[FECHA DE FACTURACIÓN]]-PROVEEDORES[[#This Row],[PLAZO Días]],0)</f>
        <v>0</v>
      </c>
      <c r="U490" s="135" t="str">
        <f>+VLOOKUP(PROVEEDORES[[#This Row],[PROVEEDOR]],Terceros!$A:$D,4,FALSE)</f>
        <v>2,5% con base</v>
      </c>
      <c r="V490" s="135">
        <f>+YEAR(PROVEEDORES[[#This Row],[FECHA DE FACTURACIÓN]])</f>
        <v>2023</v>
      </c>
      <c r="W490" s="135">
        <f>+MATCH(PROVEEDORES[[#This Row],[año facturado]],Retenciones!$1:$1,0)</f>
        <v>6</v>
      </c>
      <c r="X490" s="136">
        <f>+VLOOKUP(PROVEEDORES[[#This Row],[ID RETENCION]],Retenciones!$A$1:$O$25,PROVEEDORES[[#This Row],[indicador de columna]],FALSE)</f>
        <v>1145000</v>
      </c>
      <c r="Y490" s="137">
        <f>+VLOOKUP(PROVEEDORES[[#This Row],[ID RETENCION]],Retenciones!$A$1:$O$25,2,FALSE)</f>
        <v>2.5000000000000001E-2</v>
      </c>
      <c r="Z490" s="126" t="b">
        <f>+OR(COUNTIF(PROVEEDORES[[#This Row],[PROVEEDOR]],"*"&amp;'Palabra que no opera y Listas d'!$A$2&amp;"*"))</f>
        <v>0</v>
      </c>
    </row>
    <row r="491" spans="1:26" ht="27.75" customHeight="1" x14ac:dyDescent="0.25">
      <c r="A491" s="141" t="str">
        <f>+IF(PROVEEDORES[[#This Row],[FECHA DE PAGO]]=PROVEEDORES[[#This Row],[FECHA DE FACTURACIÓN]],"DE CONTADO","CRÉDITO")</f>
        <v>CRÉDITO</v>
      </c>
      <c r="B491" s="138" t="str">
        <f>+IF((PROVEEDORES[[#This Row],[FECHA DE PAGO]]-PROVEEDORES[[#This Row],[FECHA DE FACTURACIÓN]])&gt;PROVEEDORES[[#This Row],[PLAZO Días]],"PAGO VENCIDO")</f>
        <v>PAGO VENCIDO</v>
      </c>
      <c r="C491" s="138">
        <f>+VLOOKUP(PROVEEDORES[[#This Row],[PROVEEDOR]],TERCEROS_INFO[#All],2,FALSE)</f>
        <v>30</v>
      </c>
      <c r="D491" s="139">
        <f>+SUMIFS(PROVEEDORES[Total],PROVEEDORES[PROVEEDOR],PROVEEDORES[[#This Row],[PROVEEDOR]],PROVEEDORES[FECHA DE PAGO],"")</f>
        <v>4466504.835</v>
      </c>
      <c r="E491" s="140"/>
      <c r="F491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491" s="127">
        <v>45128</v>
      </c>
      <c r="H491" s="123" t="s">
        <v>18</v>
      </c>
      <c r="I491" s="127">
        <v>45093</v>
      </c>
      <c r="J491" s="124" t="s">
        <v>855</v>
      </c>
      <c r="K491" s="124" t="s">
        <v>1530</v>
      </c>
      <c r="L491" s="124"/>
      <c r="M491" s="125">
        <v>2002181</v>
      </c>
      <c r="N491" s="148">
        <v>380414.39</v>
      </c>
      <c r="O491" s="148">
        <v>0</v>
      </c>
      <c r="P491" s="149">
        <v>2.5000000000000001E-2</v>
      </c>
      <c r="Q491" s="148">
        <v>50054.525000000001</v>
      </c>
      <c r="R491" s="150">
        <v>2332540.8650000002</v>
      </c>
      <c r="S4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1" s="135">
        <f ca="1">+IF(PROVEEDORES[[#This Row],[FECHA DE PAGO]]=0,TODAY()-PROVEEDORES[[#This Row],[FECHA DE FACTURACIÓN]]-PROVEEDORES[[#This Row],[PLAZO Días]],0)</f>
        <v>0</v>
      </c>
      <c r="U491" s="135" t="str">
        <f>+VLOOKUP(PROVEEDORES[[#This Row],[PROVEEDOR]],Terceros!$A:$D,4,FALSE)</f>
        <v>2,5% con base</v>
      </c>
      <c r="V491" s="135">
        <f>+YEAR(PROVEEDORES[[#This Row],[FECHA DE FACTURACIÓN]])</f>
        <v>2023</v>
      </c>
      <c r="W491" s="135">
        <f>+MATCH(PROVEEDORES[[#This Row],[año facturado]],Retenciones!$1:$1,0)</f>
        <v>6</v>
      </c>
      <c r="X491" s="136">
        <f>+VLOOKUP(PROVEEDORES[[#This Row],[ID RETENCION]],Retenciones!$A$1:$O$25,PROVEEDORES[[#This Row],[indicador de columna]],FALSE)</f>
        <v>1145000</v>
      </c>
      <c r="Y491" s="137">
        <f>+VLOOKUP(PROVEEDORES[[#This Row],[ID RETENCION]],Retenciones!$A$1:$O$25,2,FALSE)</f>
        <v>2.5000000000000001E-2</v>
      </c>
      <c r="Z491" s="126" t="b">
        <f>+OR(COUNTIF(PROVEEDORES[[#This Row],[PROVEEDOR]],"*"&amp;'Palabra que no opera y Listas d'!$A$2&amp;"*"))</f>
        <v>0</v>
      </c>
    </row>
    <row r="492" spans="1:26" ht="27.75" customHeight="1" x14ac:dyDescent="0.25">
      <c r="A492" s="141" t="str">
        <f>+IF(PROVEEDORES[[#This Row],[FECHA DE PAGO]]=PROVEEDORES[[#This Row],[FECHA DE FACTURACIÓN]],"DE CONTADO","CRÉDITO")</f>
        <v>CRÉDITO</v>
      </c>
      <c r="B492" s="138" t="str">
        <f>+IF((PROVEEDORES[[#This Row],[FECHA DE PAGO]]-PROVEEDORES[[#This Row],[FECHA DE FACTURACIÓN]])&gt;PROVEEDORES[[#This Row],[PLAZO Días]],"PAGO VENCIDO")</f>
        <v>PAGO VENCIDO</v>
      </c>
      <c r="C492" s="138">
        <f>+VLOOKUP(PROVEEDORES[[#This Row],[PROVEEDOR]],TERCEROS_INFO[#All],2,FALSE)</f>
        <v>30</v>
      </c>
      <c r="D492" s="139">
        <f>+SUMIFS(PROVEEDORES[Total],PROVEEDORES[PROVEEDOR],PROVEEDORES[[#This Row],[PROVEEDOR]],PROVEEDORES[FECHA DE PAGO],"")</f>
        <v>12628497</v>
      </c>
      <c r="E492" s="140"/>
      <c r="F492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492" s="127">
        <v>45128</v>
      </c>
      <c r="H492" s="123" t="s">
        <v>451</v>
      </c>
      <c r="I492" s="127">
        <v>45093</v>
      </c>
      <c r="J492" s="124" t="s">
        <v>852</v>
      </c>
      <c r="K492" s="124" t="s">
        <v>1530</v>
      </c>
      <c r="L492" s="124"/>
      <c r="M492" s="125">
        <v>1260000</v>
      </c>
      <c r="N492" s="148">
        <v>239400</v>
      </c>
      <c r="O492" s="148">
        <v>0</v>
      </c>
      <c r="P492" s="149">
        <v>2.5000000000000001E-2</v>
      </c>
      <c r="Q492" s="148">
        <v>31500</v>
      </c>
      <c r="R492" s="150">
        <v>1467900</v>
      </c>
      <c r="S4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2" s="135">
        <f ca="1">+IF(PROVEEDORES[[#This Row],[FECHA DE PAGO]]=0,TODAY()-PROVEEDORES[[#This Row],[FECHA DE FACTURACIÓN]]-PROVEEDORES[[#This Row],[PLAZO Días]],0)</f>
        <v>0</v>
      </c>
      <c r="U492" s="135" t="str">
        <f>+VLOOKUP(PROVEEDORES[[#This Row],[PROVEEDOR]],Terceros!$A:$D,4,FALSE)</f>
        <v>2,5% con base</v>
      </c>
      <c r="V492" s="135">
        <f>+YEAR(PROVEEDORES[[#This Row],[FECHA DE FACTURACIÓN]])</f>
        <v>2023</v>
      </c>
      <c r="W492" s="135">
        <f>+MATCH(PROVEEDORES[[#This Row],[año facturado]],Retenciones!$1:$1,0)</f>
        <v>6</v>
      </c>
      <c r="X492" s="136">
        <f>+VLOOKUP(PROVEEDORES[[#This Row],[ID RETENCION]],Retenciones!$A$1:$O$25,PROVEEDORES[[#This Row],[indicador de columna]],FALSE)</f>
        <v>1145000</v>
      </c>
      <c r="Y492" s="137">
        <f>+VLOOKUP(PROVEEDORES[[#This Row],[ID RETENCION]],Retenciones!$A$1:$O$25,2,FALSE)</f>
        <v>2.5000000000000001E-2</v>
      </c>
      <c r="Z492" s="126" t="b">
        <f>+OR(COUNTIF(PROVEEDORES[[#This Row],[PROVEEDOR]],"*"&amp;'Palabra que no opera y Listas d'!$A$2&amp;"*"))</f>
        <v>0</v>
      </c>
    </row>
    <row r="493" spans="1:26" ht="27.75" customHeight="1" x14ac:dyDescent="0.25">
      <c r="A493" s="141" t="str">
        <f>+IF(PROVEEDORES[[#This Row],[FECHA DE PAGO]]=PROVEEDORES[[#This Row],[FECHA DE FACTURACIÓN]],"DE CONTADO","CRÉDITO")</f>
        <v>CRÉDITO</v>
      </c>
      <c r="B493" s="138" t="str">
        <f>+IF((PROVEEDORES[[#This Row],[FECHA DE PAGO]]-PROVEEDORES[[#This Row],[FECHA DE FACTURACIÓN]])&gt;PROVEEDORES[[#This Row],[PLAZO Días]],"PAGO VENCIDO")</f>
        <v>PAGO VENCIDO</v>
      </c>
      <c r="C493" s="138">
        <f>+VLOOKUP(PROVEEDORES[[#This Row],[PROVEEDOR]],TERCEROS_INFO[#All],2,FALSE)</f>
        <v>30</v>
      </c>
      <c r="D493" s="139">
        <f>+SUMIFS(PROVEEDORES[Total],PROVEEDORES[PROVEEDOR],PROVEEDORES[[#This Row],[PROVEEDOR]],PROVEEDORES[FECHA DE PAGO],"")</f>
        <v>12628497</v>
      </c>
      <c r="E493" s="140"/>
      <c r="F493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493" s="127">
        <v>45128</v>
      </c>
      <c r="H493" s="123" t="s">
        <v>451</v>
      </c>
      <c r="I493" s="127">
        <v>45093</v>
      </c>
      <c r="J493" s="124" t="s">
        <v>853</v>
      </c>
      <c r="K493" s="124" t="s">
        <v>1530</v>
      </c>
      <c r="L493" s="124"/>
      <c r="M493" s="125">
        <v>776000</v>
      </c>
      <c r="N493" s="148">
        <v>147440</v>
      </c>
      <c r="O493" s="148">
        <v>0</v>
      </c>
      <c r="P493" s="149">
        <v>0</v>
      </c>
      <c r="Q493" s="148">
        <v>0</v>
      </c>
      <c r="R493" s="150">
        <v>923440</v>
      </c>
      <c r="S4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3" s="135">
        <f ca="1">+IF(PROVEEDORES[[#This Row],[FECHA DE PAGO]]=0,TODAY()-PROVEEDORES[[#This Row],[FECHA DE FACTURACIÓN]]-PROVEEDORES[[#This Row],[PLAZO Días]],0)</f>
        <v>0</v>
      </c>
      <c r="U493" s="135" t="str">
        <f>+VLOOKUP(PROVEEDORES[[#This Row],[PROVEEDOR]],Terceros!$A:$D,4,FALSE)</f>
        <v>2,5% con base</v>
      </c>
      <c r="V493" s="135">
        <f>+YEAR(PROVEEDORES[[#This Row],[FECHA DE FACTURACIÓN]])</f>
        <v>2023</v>
      </c>
      <c r="W493" s="135">
        <f>+MATCH(PROVEEDORES[[#This Row],[año facturado]],Retenciones!$1:$1,0)</f>
        <v>6</v>
      </c>
      <c r="X493" s="136">
        <f>+VLOOKUP(PROVEEDORES[[#This Row],[ID RETENCION]],Retenciones!$A$1:$O$25,PROVEEDORES[[#This Row],[indicador de columna]],FALSE)</f>
        <v>1145000</v>
      </c>
      <c r="Y493" s="137">
        <f>+VLOOKUP(PROVEEDORES[[#This Row],[ID RETENCION]],Retenciones!$A$1:$O$25,2,FALSE)</f>
        <v>2.5000000000000001E-2</v>
      </c>
      <c r="Z493" s="126" t="b">
        <f>+OR(COUNTIF(PROVEEDORES[[#This Row],[PROVEEDOR]],"*"&amp;'Palabra que no opera y Listas d'!$A$2&amp;"*"))</f>
        <v>0</v>
      </c>
    </row>
    <row r="494" spans="1:26" ht="27.75" customHeight="1" x14ac:dyDescent="0.25">
      <c r="A494" s="141" t="str">
        <f>+IF(PROVEEDORES[[#This Row],[FECHA DE PAGO]]=PROVEEDORES[[#This Row],[FECHA DE FACTURACIÓN]],"DE CONTADO","CRÉDITO")</f>
        <v>CRÉDITO</v>
      </c>
      <c r="B494" s="138" t="b">
        <f>+IF((PROVEEDORES[[#This Row],[FECHA DE PAGO]]-PROVEEDORES[[#This Row],[FECHA DE FACTURACIÓN]])&gt;PROVEEDORES[[#This Row],[PLAZO Días]],"PAGO VENCIDO")</f>
        <v>0</v>
      </c>
      <c r="C494" s="138">
        <f>+VLOOKUP(PROVEEDORES[[#This Row],[PROVEEDOR]],TERCEROS_INFO[#All],2,FALSE)</f>
        <v>30</v>
      </c>
      <c r="D494" s="139">
        <f>+SUMIFS(PROVEEDORES[Total],PROVEEDORES[PROVEEDOR],PROVEEDORES[[#This Row],[PROVEEDOR]],PROVEEDORES[FECHA DE PAGO],"")</f>
        <v>12628497</v>
      </c>
      <c r="E494" s="140"/>
      <c r="F494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494" s="127">
        <v>45128</v>
      </c>
      <c r="H494" s="123" t="s">
        <v>451</v>
      </c>
      <c r="I494" s="127">
        <v>45100</v>
      </c>
      <c r="J494" s="124" t="s">
        <v>880</v>
      </c>
      <c r="K494" s="124" t="s">
        <v>1530</v>
      </c>
      <c r="L494" s="124"/>
      <c r="M494" s="125">
        <v>252000</v>
      </c>
      <c r="N494" s="148">
        <v>47880</v>
      </c>
      <c r="O494" s="148">
        <v>0</v>
      </c>
      <c r="P494" s="149">
        <v>0</v>
      </c>
      <c r="Q494" s="148">
        <v>0</v>
      </c>
      <c r="R494" s="150">
        <v>299880</v>
      </c>
      <c r="S4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4" s="135">
        <f ca="1">+IF(PROVEEDORES[[#This Row],[FECHA DE PAGO]]=0,TODAY()-PROVEEDORES[[#This Row],[FECHA DE FACTURACIÓN]]-PROVEEDORES[[#This Row],[PLAZO Días]],0)</f>
        <v>0</v>
      </c>
      <c r="U494" s="135" t="str">
        <f>+VLOOKUP(PROVEEDORES[[#This Row],[PROVEEDOR]],Terceros!$A:$D,4,FALSE)</f>
        <v>2,5% con base</v>
      </c>
      <c r="V494" s="135">
        <f>+YEAR(PROVEEDORES[[#This Row],[FECHA DE FACTURACIÓN]])</f>
        <v>2023</v>
      </c>
      <c r="W494" s="135">
        <f>+MATCH(PROVEEDORES[[#This Row],[año facturado]],Retenciones!$1:$1,0)</f>
        <v>6</v>
      </c>
      <c r="X494" s="136">
        <f>+VLOOKUP(PROVEEDORES[[#This Row],[ID RETENCION]],Retenciones!$A$1:$O$25,PROVEEDORES[[#This Row],[indicador de columna]],FALSE)</f>
        <v>1145000</v>
      </c>
      <c r="Y494" s="137">
        <f>+VLOOKUP(PROVEEDORES[[#This Row],[ID RETENCION]],Retenciones!$A$1:$O$25,2,FALSE)</f>
        <v>2.5000000000000001E-2</v>
      </c>
      <c r="Z494" s="126" t="b">
        <f>+OR(COUNTIF(PROVEEDORES[[#This Row],[PROVEEDOR]],"*"&amp;'Palabra que no opera y Listas d'!$A$2&amp;"*"))</f>
        <v>0</v>
      </c>
    </row>
    <row r="495" spans="1:26" ht="27.75" customHeight="1" x14ac:dyDescent="0.25">
      <c r="A495" s="141" t="str">
        <f>+IF(PROVEEDORES[[#This Row],[FECHA DE PAGO]]=PROVEEDORES[[#This Row],[FECHA DE FACTURACIÓN]],"DE CONTADO","CRÉDITO")</f>
        <v>CRÉDITO</v>
      </c>
      <c r="B495" s="138" t="b">
        <f>+IF((PROVEEDORES[[#This Row],[FECHA DE PAGO]]-PROVEEDORES[[#This Row],[FECHA DE FACTURACIÓN]])&gt;PROVEEDORES[[#This Row],[PLAZO Días]],"PAGO VENCIDO")</f>
        <v>0</v>
      </c>
      <c r="C495" s="138">
        <f>+VLOOKUP(PROVEEDORES[[#This Row],[PROVEEDOR]],TERCEROS_INFO[#All],2,FALSE)</f>
        <v>30</v>
      </c>
      <c r="D495" s="139">
        <f>+SUMIFS(PROVEEDORES[Total],PROVEEDORES[PROVEEDOR],PROVEEDORES[[#This Row],[PROVEEDOR]],PROVEEDORES[FECHA DE PAGO],"")</f>
        <v>0</v>
      </c>
      <c r="E495" s="140"/>
      <c r="F495" s="138" t="str">
        <f>+VLOOKUP(PROVEEDORES[[#This Row],[PROVEEDOR]],
                       Terceros!$A:$F,
                       5,
                       FALSE)</f>
        <v>contabilidad@comsistel.com.co;girlesa.ruiz@servipilas.com;joriescobar64@gmail.com</v>
      </c>
      <c r="G495" s="127">
        <v>45128</v>
      </c>
      <c r="H495" s="123" t="s">
        <v>207</v>
      </c>
      <c r="I495" s="127">
        <v>45126</v>
      </c>
      <c r="J495" s="124" t="s">
        <v>895</v>
      </c>
      <c r="K495" s="124" t="s">
        <v>1530</v>
      </c>
      <c r="L495" s="124"/>
      <c r="M495" s="125">
        <v>2030000</v>
      </c>
      <c r="N495" s="148">
        <v>385700</v>
      </c>
      <c r="O495" s="148">
        <v>0</v>
      </c>
      <c r="P495" s="149">
        <v>2.5000000000000001E-2</v>
      </c>
      <c r="Q495" s="148">
        <v>50750</v>
      </c>
      <c r="R495" s="150">
        <v>2364950</v>
      </c>
      <c r="S4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5" s="135">
        <f ca="1">+IF(PROVEEDORES[[#This Row],[FECHA DE PAGO]]=0,TODAY()-PROVEEDORES[[#This Row],[FECHA DE FACTURACIÓN]]-PROVEEDORES[[#This Row],[PLAZO Días]],0)</f>
        <v>0</v>
      </c>
      <c r="U495" s="135" t="str">
        <f>+VLOOKUP(PROVEEDORES[[#This Row],[PROVEEDOR]],Terceros!$A:$D,4,FALSE)</f>
        <v>2,5% con base</v>
      </c>
      <c r="V495" s="135">
        <f>+YEAR(PROVEEDORES[[#This Row],[FECHA DE FACTURACIÓN]])</f>
        <v>2023</v>
      </c>
      <c r="W495" s="135">
        <f>+MATCH(PROVEEDORES[[#This Row],[año facturado]],Retenciones!$1:$1,0)</f>
        <v>6</v>
      </c>
      <c r="X495" s="136">
        <f>+VLOOKUP(PROVEEDORES[[#This Row],[ID RETENCION]],Retenciones!$A$1:$O$25,PROVEEDORES[[#This Row],[indicador de columna]],FALSE)</f>
        <v>1145000</v>
      </c>
      <c r="Y495" s="137">
        <f>+VLOOKUP(PROVEEDORES[[#This Row],[ID RETENCION]],Retenciones!$A$1:$O$25,2,FALSE)</f>
        <v>2.5000000000000001E-2</v>
      </c>
      <c r="Z495" s="126" t="b">
        <f>+OR(COUNTIF(PROVEEDORES[[#This Row],[PROVEEDOR]],"*"&amp;'Palabra que no opera y Listas d'!$A$2&amp;"*"))</f>
        <v>0</v>
      </c>
    </row>
    <row r="496" spans="1:26" ht="27.75" customHeight="1" x14ac:dyDescent="0.25">
      <c r="A496" s="141" t="str">
        <f>+IF(PROVEEDORES[[#This Row],[FECHA DE PAGO]]=PROVEEDORES[[#This Row],[FECHA DE FACTURACIÓN]],"DE CONTADO","CRÉDITO")</f>
        <v>DE CONTADO</v>
      </c>
      <c r="B496" s="138" t="b">
        <f>+IF((PROVEEDORES[[#This Row],[FECHA DE PAGO]]-PROVEEDORES[[#This Row],[FECHA DE FACTURACIÓN]])&gt;PROVEEDORES[[#This Row],[PLAZO Días]],"PAGO VENCIDO")</f>
        <v>0</v>
      </c>
      <c r="C496" s="138">
        <f>+VLOOKUP(PROVEEDORES[[#This Row],[PROVEEDOR]],TERCEROS_INFO[#All],2,FALSE)</f>
        <v>30</v>
      </c>
      <c r="D496" s="139">
        <f>+SUMIFS(PROVEEDORES[Total],PROVEEDORES[PROVEEDOR],PROVEEDORES[[#This Row],[PROVEEDOR]],PROVEEDORES[FECHA DE PAGO],"")</f>
        <v>4316000</v>
      </c>
      <c r="E496" s="140"/>
      <c r="F496" s="138" t="str">
        <f>+VLOOKUP(PROVEEDORES[[#This Row],[PROVEEDOR]],
                       Terceros!$A:$F,
                       5,
                       FALSE)</f>
        <v/>
      </c>
      <c r="G496" s="127">
        <v>45128</v>
      </c>
      <c r="H496" s="123" t="s">
        <v>1812</v>
      </c>
      <c r="I496" s="127">
        <v>45128</v>
      </c>
      <c r="J496" s="124" t="s">
        <v>943</v>
      </c>
      <c r="K496" s="124" t="s">
        <v>1530</v>
      </c>
      <c r="L496" s="124"/>
      <c r="M496" s="125">
        <v>263800</v>
      </c>
      <c r="N496" s="148">
        <v>0</v>
      </c>
      <c r="O496" s="148">
        <v>0</v>
      </c>
      <c r="P496" s="149">
        <v>0</v>
      </c>
      <c r="Q496" s="148">
        <v>0</v>
      </c>
      <c r="R496" s="150">
        <v>263800</v>
      </c>
      <c r="S4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6" s="135">
        <f ca="1">+IF(PROVEEDORES[[#This Row],[FECHA DE PAGO]]=0,TODAY()-PROVEEDORES[[#This Row],[FECHA DE FACTURACIÓN]]-PROVEEDORES[[#This Row],[PLAZO Días]],0)</f>
        <v>0</v>
      </c>
      <c r="U496" s="135">
        <f>+VLOOKUP(PROVEEDORES[[#This Row],[PROVEEDOR]],Terceros!$A:$D,4,FALSE)</f>
        <v>0</v>
      </c>
      <c r="V496" s="135">
        <f>+YEAR(PROVEEDORES[[#This Row],[FECHA DE FACTURACIÓN]])</f>
        <v>2023</v>
      </c>
      <c r="W496" s="135">
        <f>+MATCH(PROVEEDORES[[#This Row],[año facturado]],Retenciones!$1:$1,0)</f>
        <v>6</v>
      </c>
      <c r="X496" s="136">
        <f>+VLOOKUP(PROVEEDORES[[#This Row],[ID RETENCION]],Retenciones!$A$1:$O$25,PROVEEDORES[[#This Row],[indicador de columna]],FALSE)</f>
        <v>0</v>
      </c>
      <c r="Y496" s="137">
        <f>+VLOOKUP(PROVEEDORES[[#This Row],[ID RETENCION]],Retenciones!$A$1:$O$25,2,FALSE)</f>
        <v>0</v>
      </c>
      <c r="Z496" s="126" t="b">
        <f>+OR(COUNTIF(PROVEEDORES[[#This Row],[PROVEEDOR]],"*"&amp;'Palabra que no opera y Listas d'!$A$2&amp;"*"))</f>
        <v>0</v>
      </c>
    </row>
    <row r="497" spans="1:26" ht="27.75" customHeight="1" x14ac:dyDescent="0.25">
      <c r="A497" s="141" t="str">
        <f>+IF(PROVEEDORES[[#This Row],[FECHA DE PAGO]]=PROVEEDORES[[#This Row],[FECHA DE FACTURACIÓN]],"DE CONTADO","CRÉDITO")</f>
        <v>CRÉDITO</v>
      </c>
      <c r="B497" s="138" t="b">
        <f>+IF((PROVEEDORES[[#This Row],[FECHA DE PAGO]]-PROVEEDORES[[#This Row],[FECHA DE FACTURACIÓN]])&gt;PROVEEDORES[[#This Row],[PLAZO Días]],"PAGO VENCIDO")</f>
        <v>0</v>
      </c>
      <c r="C497" s="138">
        <f>+VLOOKUP(PROVEEDORES[[#This Row],[PROVEEDOR]],TERCEROS_INFO[#All],2,FALSE)</f>
        <v>30</v>
      </c>
      <c r="D497" s="139">
        <f>+SUMIFS(PROVEEDORES[Total],PROVEEDORES[PROVEEDOR],PROVEEDORES[[#This Row],[PROVEEDOR]],PROVEEDORES[FECHA DE PAGO],"")</f>
        <v>0</v>
      </c>
      <c r="E497" s="140"/>
      <c r="F497" s="138" t="str">
        <f>+VLOOKUP(PROVEEDORES[[#This Row],[PROVEEDOR]],
                       Terceros!$A:$F,
                       5,
                       FALSE)</f>
        <v/>
      </c>
      <c r="G497" s="127">
        <v>45129</v>
      </c>
      <c r="H497" s="123" t="s">
        <v>481</v>
      </c>
      <c r="I497" s="127">
        <v>45128</v>
      </c>
      <c r="J497" s="124" t="s">
        <v>934</v>
      </c>
      <c r="K497" s="124" t="s">
        <v>1530</v>
      </c>
      <c r="L497" s="124"/>
      <c r="M497" s="125">
        <v>1600000</v>
      </c>
      <c r="N497" s="148">
        <v>0</v>
      </c>
      <c r="O497" s="148">
        <v>0</v>
      </c>
      <c r="P497" s="149">
        <v>0</v>
      </c>
      <c r="Q497" s="148">
        <v>0</v>
      </c>
      <c r="R497" s="150">
        <v>1600000</v>
      </c>
      <c r="S4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7" s="135">
        <f ca="1">+IF(PROVEEDORES[[#This Row],[FECHA DE PAGO]]=0,TODAY()-PROVEEDORES[[#This Row],[FECHA DE FACTURACIÓN]]-PROVEEDORES[[#This Row],[PLAZO Días]],0)</f>
        <v>0</v>
      </c>
      <c r="U497" s="135">
        <f>+VLOOKUP(PROVEEDORES[[#This Row],[PROVEEDOR]],Terceros!$A:$D,4,FALSE)</f>
        <v>0</v>
      </c>
      <c r="V497" s="135">
        <f>+YEAR(PROVEEDORES[[#This Row],[FECHA DE FACTURACIÓN]])</f>
        <v>2023</v>
      </c>
      <c r="W497" s="135">
        <f>+MATCH(PROVEEDORES[[#This Row],[año facturado]],Retenciones!$1:$1,0)</f>
        <v>6</v>
      </c>
      <c r="X497" s="136">
        <f>+VLOOKUP(PROVEEDORES[[#This Row],[ID RETENCION]],Retenciones!$A$1:$O$25,PROVEEDORES[[#This Row],[indicador de columna]],FALSE)</f>
        <v>0</v>
      </c>
      <c r="Y497" s="137">
        <f>+VLOOKUP(PROVEEDORES[[#This Row],[ID RETENCION]],Retenciones!$A$1:$O$25,2,FALSE)</f>
        <v>0</v>
      </c>
      <c r="Z497" s="126" t="b">
        <f>+OR(COUNTIF(PROVEEDORES[[#This Row],[PROVEEDOR]],"*"&amp;'Palabra que no opera y Listas d'!$A$2&amp;"*"))</f>
        <v>0</v>
      </c>
    </row>
    <row r="498" spans="1:26" ht="27.75" customHeight="1" x14ac:dyDescent="0.25">
      <c r="A498" s="141" t="str">
        <f>+IF(PROVEEDORES[[#This Row],[FECHA DE PAGO]]=PROVEEDORES[[#This Row],[FECHA DE FACTURACIÓN]],"DE CONTADO","CRÉDITO")</f>
        <v>CRÉDITO</v>
      </c>
      <c r="B498" s="138" t="b">
        <f>+IF((PROVEEDORES[[#This Row],[FECHA DE PAGO]]-PROVEEDORES[[#This Row],[FECHA DE FACTURACIÓN]])&gt;PROVEEDORES[[#This Row],[PLAZO Días]],"PAGO VENCIDO")</f>
        <v>0</v>
      </c>
      <c r="C498" s="138">
        <f>+VLOOKUP(PROVEEDORES[[#This Row],[PROVEEDOR]],TERCEROS_INFO[#All],2,FALSE)</f>
        <v>30</v>
      </c>
      <c r="D498" s="139">
        <f>+SUMIFS(PROVEEDORES[Total],PROVEEDORES[PROVEEDOR],PROVEEDORES[[#This Row],[PROVEEDOR]],PROVEEDORES[FECHA DE PAGO],"")</f>
        <v>0</v>
      </c>
      <c r="E498" s="140"/>
      <c r="F498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498" s="127">
        <v>45131</v>
      </c>
      <c r="H498" s="123" t="s">
        <v>382</v>
      </c>
      <c r="I498" s="127">
        <v>45108</v>
      </c>
      <c r="J498" s="124" t="s">
        <v>903</v>
      </c>
      <c r="K498" s="124" t="s">
        <v>1530</v>
      </c>
      <c r="L498" s="124"/>
      <c r="M498" s="125">
        <v>914023</v>
      </c>
      <c r="N498" s="148">
        <v>0</v>
      </c>
      <c r="O498" s="148">
        <v>0</v>
      </c>
      <c r="P498" s="149">
        <v>0</v>
      </c>
      <c r="Q498" s="148">
        <v>0</v>
      </c>
      <c r="R498" s="150">
        <v>914023</v>
      </c>
      <c r="S4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8" s="135">
        <f ca="1">+IF(PROVEEDORES[[#This Row],[FECHA DE PAGO]]=0,TODAY()-PROVEEDORES[[#This Row],[FECHA DE FACTURACIÓN]]-PROVEEDORES[[#This Row],[PLAZO Días]],0)</f>
        <v>0</v>
      </c>
      <c r="U498" s="135">
        <f>+VLOOKUP(PROVEEDORES[[#This Row],[PROVEEDOR]],Terceros!$A:$D,4,FALSE)</f>
        <v>0</v>
      </c>
      <c r="V498" s="135">
        <f>+YEAR(PROVEEDORES[[#This Row],[FECHA DE FACTURACIÓN]])</f>
        <v>2023</v>
      </c>
      <c r="W498" s="135">
        <f>+MATCH(PROVEEDORES[[#This Row],[año facturado]],Retenciones!$1:$1,0)</f>
        <v>6</v>
      </c>
      <c r="X498" s="136">
        <f>+VLOOKUP(PROVEEDORES[[#This Row],[ID RETENCION]],Retenciones!$A$1:$O$25,PROVEEDORES[[#This Row],[indicador de columna]],FALSE)</f>
        <v>0</v>
      </c>
      <c r="Y498" s="137">
        <f>+VLOOKUP(PROVEEDORES[[#This Row],[ID RETENCION]],Retenciones!$A$1:$O$25,2,FALSE)</f>
        <v>0</v>
      </c>
      <c r="Z498" s="126" t="b">
        <f>+OR(COUNTIF(PROVEEDORES[[#This Row],[PROVEEDOR]],"*"&amp;'Palabra que no opera y Listas d'!$A$2&amp;"*"))</f>
        <v>1</v>
      </c>
    </row>
    <row r="499" spans="1:26" ht="27.75" customHeight="1" x14ac:dyDescent="0.25">
      <c r="A499" s="141" t="str">
        <f>+IF(PROVEEDORES[[#This Row],[FECHA DE PAGO]]=PROVEEDORES[[#This Row],[FECHA DE FACTURACIÓN]],"DE CONTADO","CRÉDITO")</f>
        <v>CRÉDITO</v>
      </c>
      <c r="B499" s="138" t="b">
        <f>+IF((PROVEEDORES[[#This Row],[FECHA DE PAGO]]-PROVEEDORES[[#This Row],[FECHA DE FACTURACIÓN]])&gt;PROVEEDORES[[#This Row],[PLAZO Días]],"PAGO VENCIDO")</f>
        <v>0</v>
      </c>
      <c r="C499" s="138">
        <f>+VLOOKUP(PROVEEDORES[[#This Row],[PROVEEDOR]],TERCEROS_INFO[#All],2,FALSE)</f>
        <v>30</v>
      </c>
      <c r="D499" s="139">
        <f>+SUMIFS(PROVEEDORES[Total],PROVEEDORES[PROVEEDOR],PROVEEDORES[[#This Row],[PROVEEDOR]],PROVEEDORES[FECHA DE PAGO],"")</f>
        <v>0</v>
      </c>
      <c r="E499" s="140"/>
      <c r="F499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499" s="127">
        <v>45131</v>
      </c>
      <c r="H499" s="123" t="s">
        <v>382</v>
      </c>
      <c r="I499" s="127">
        <v>45108</v>
      </c>
      <c r="J499" s="124" t="s">
        <v>904</v>
      </c>
      <c r="K499" s="124" t="s">
        <v>1530</v>
      </c>
      <c r="L499" s="124"/>
      <c r="M499" s="125">
        <v>934363</v>
      </c>
      <c r="N499" s="148">
        <v>0</v>
      </c>
      <c r="O499" s="148">
        <v>0</v>
      </c>
      <c r="P499" s="149">
        <v>0</v>
      </c>
      <c r="Q499" s="148">
        <v>0</v>
      </c>
      <c r="R499" s="150">
        <v>934363</v>
      </c>
      <c r="S4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499" s="135">
        <f ca="1">+IF(PROVEEDORES[[#This Row],[FECHA DE PAGO]]=0,TODAY()-PROVEEDORES[[#This Row],[FECHA DE FACTURACIÓN]]-PROVEEDORES[[#This Row],[PLAZO Días]],0)</f>
        <v>0</v>
      </c>
      <c r="U499" s="135">
        <f>+VLOOKUP(PROVEEDORES[[#This Row],[PROVEEDOR]],Terceros!$A:$D,4,FALSE)</f>
        <v>0</v>
      </c>
      <c r="V499" s="135">
        <f>+YEAR(PROVEEDORES[[#This Row],[FECHA DE FACTURACIÓN]])</f>
        <v>2023</v>
      </c>
      <c r="W499" s="135">
        <f>+MATCH(PROVEEDORES[[#This Row],[año facturado]],Retenciones!$1:$1,0)</f>
        <v>6</v>
      </c>
      <c r="X499" s="136">
        <f>+VLOOKUP(PROVEEDORES[[#This Row],[ID RETENCION]],Retenciones!$A$1:$O$25,PROVEEDORES[[#This Row],[indicador de columna]],FALSE)</f>
        <v>0</v>
      </c>
      <c r="Y499" s="137">
        <f>+VLOOKUP(PROVEEDORES[[#This Row],[ID RETENCION]],Retenciones!$A$1:$O$25,2,FALSE)</f>
        <v>0</v>
      </c>
      <c r="Z499" s="126" t="b">
        <f>+OR(COUNTIF(PROVEEDORES[[#This Row],[PROVEEDOR]],"*"&amp;'Palabra que no opera y Listas d'!$A$2&amp;"*"))</f>
        <v>1</v>
      </c>
    </row>
    <row r="500" spans="1:26" ht="27.75" customHeight="1" x14ac:dyDescent="0.25">
      <c r="A500" s="141" t="str">
        <f>+IF(PROVEEDORES[[#This Row],[FECHA DE PAGO]]=PROVEEDORES[[#This Row],[FECHA DE FACTURACIÓN]],"DE CONTADO","CRÉDITO")</f>
        <v>CRÉDITO</v>
      </c>
      <c r="B500" s="138" t="b">
        <f>+IF((PROVEEDORES[[#This Row],[FECHA DE PAGO]]-PROVEEDORES[[#This Row],[FECHA DE FACTURACIÓN]])&gt;PROVEEDORES[[#This Row],[PLAZO Días]],"PAGO VENCIDO")</f>
        <v>0</v>
      </c>
      <c r="C500" s="138">
        <f>+VLOOKUP(PROVEEDORES[[#This Row],[PROVEEDOR]],TERCEROS_INFO[#All],2,FALSE)</f>
        <v>30</v>
      </c>
      <c r="D500" s="139">
        <f>+SUMIFS(PROVEEDORES[Total],PROVEEDORES[PROVEEDOR],PROVEEDORES[[#This Row],[PROVEEDOR]],PROVEEDORES[FECHA DE PAGO],"")</f>
        <v>0</v>
      </c>
      <c r="E500" s="140"/>
      <c r="F500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500" s="127">
        <v>45131</v>
      </c>
      <c r="H500" s="123" t="s">
        <v>380</v>
      </c>
      <c r="I500" s="127">
        <v>45117</v>
      </c>
      <c r="J500" s="124" t="s">
        <v>905</v>
      </c>
      <c r="K500" s="124" t="s">
        <v>1530</v>
      </c>
      <c r="L500" s="124"/>
      <c r="M500" s="125">
        <v>3456200</v>
      </c>
      <c r="N500" s="148">
        <v>0</v>
      </c>
      <c r="O500" s="148">
        <v>0</v>
      </c>
      <c r="P500" s="149">
        <v>3.5000000000000003E-2</v>
      </c>
      <c r="Q500" s="148">
        <v>120967.00000000001</v>
      </c>
      <c r="R500" s="150">
        <v>3335233</v>
      </c>
      <c r="S5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0" s="135">
        <f ca="1">+IF(PROVEEDORES[[#This Row],[FECHA DE PAGO]]=0,TODAY()-PROVEEDORES[[#This Row],[FECHA DE FACTURACIÓN]]-PROVEEDORES[[#This Row],[PLAZO Días]],0)</f>
        <v>0</v>
      </c>
      <c r="U500" s="135" t="str">
        <f>+VLOOKUP(PROVEEDORES[[#This Row],[PROVEEDOR]],Terceros!$A:$D,4,FALSE)</f>
        <v>3,5% sin base</v>
      </c>
      <c r="V500" s="135">
        <f>+YEAR(PROVEEDORES[[#This Row],[FECHA DE FACTURACIÓN]])</f>
        <v>2023</v>
      </c>
      <c r="W500" s="135">
        <f>+MATCH(PROVEEDORES[[#This Row],[año facturado]],Retenciones!$1:$1,0)</f>
        <v>6</v>
      </c>
      <c r="X500" s="136">
        <f>+VLOOKUP(PROVEEDORES[[#This Row],[ID RETENCION]],Retenciones!$A$1:$O$25,PROVEEDORES[[#This Row],[indicador de columna]],FALSE)</f>
        <v>0</v>
      </c>
      <c r="Y500" s="137">
        <f>+VLOOKUP(PROVEEDORES[[#This Row],[ID RETENCION]],Retenciones!$A$1:$O$25,2,FALSE)</f>
        <v>3.5000000000000003E-2</v>
      </c>
      <c r="Z500" s="126" t="b">
        <f>+OR(COUNTIF(PROVEEDORES[[#This Row],[PROVEEDOR]],"*"&amp;'Palabra que no opera y Listas d'!$A$2&amp;"*"))</f>
        <v>1</v>
      </c>
    </row>
    <row r="501" spans="1:26" ht="27.75" customHeight="1" x14ac:dyDescent="0.25">
      <c r="A501" s="141" t="str">
        <f>+IF(PROVEEDORES[[#This Row],[FECHA DE PAGO]]=PROVEEDORES[[#This Row],[FECHA DE FACTURACIÓN]],"DE CONTADO","CRÉDITO")</f>
        <v>DE CONTADO</v>
      </c>
      <c r="B501" s="138" t="b">
        <f>+IF((PROVEEDORES[[#This Row],[FECHA DE PAGO]]-PROVEEDORES[[#This Row],[FECHA DE FACTURACIÓN]])&gt;PROVEEDORES[[#This Row],[PLAZO Días]],"PAGO VENCIDO")</f>
        <v>0</v>
      </c>
      <c r="C501" s="138">
        <f>+VLOOKUP(PROVEEDORES[[#This Row],[PROVEEDOR]],TERCEROS_INFO[#All],2,FALSE)</f>
        <v>30</v>
      </c>
      <c r="D501" s="139">
        <f>+SUMIFS(PROVEEDORES[Total],PROVEEDORES[PROVEEDOR],PROVEEDORES[[#This Row],[PROVEEDOR]],PROVEEDORES[FECHA DE PAGO],"")</f>
        <v>0</v>
      </c>
      <c r="E501" s="140"/>
      <c r="F501" s="138" t="str">
        <f>+VLOOKUP(PROVEEDORES[[#This Row],[PROVEEDOR]],
                       Terceros!$A:$F,
                       5,
                       FALSE)</f>
        <v/>
      </c>
      <c r="G501" s="127">
        <v>45131</v>
      </c>
      <c r="H501" s="123" t="s">
        <v>525</v>
      </c>
      <c r="I501" s="127">
        <v>45131</v>
      </c>
      <c r="J501" s="124" t="s">
        <v>926</v>
      </c>
      <c r="K501" s="124" t="s">
        <v>1530</v>
      </c>
      <c r="L501" s="124"/>
      <c r="M501" s="125">
        <v>280000</v>
      </c>
      <c r="N501" s="148">
        <v>0</v>
      </c>
      <c r="O501" s="148">
        <v>0</v>
      </c>
      <c r="P501" s="149">
        <v>0</v>
      </c>
      <c r="Q501" s="148">
        <v>0</v>
      </c>
      <c r="R501" s="150">
        <v>280000</v>
      </c>
      <c r="S5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1" s="135">
        <f ca="1">+IF(PROVEEDORES[[#This Row],[FECHA DE PAGO]]=0,TODAY()-PROVEEDORES[[#This Row],[FECHA DE FACTURACIÓN]]-PROVEEDORES[[#This Row],[PLAZO Días]],0)</f>
        <v>0</v>
      </c>
      <c r="U501" s="135">
        <f>+VLOOKUP(PROVEEDORES[[#This Row],[PROVEEDOR]],Terceros!$A:$D,4,FALSE)</f>
        <v>0</v>
      </c>
      <c r="V501" s="135">
        <f>+YEAR(PROVEEDORES[[#This Row],[FECHA DE FACTURACIÓN]])</f>
        <v>2023</v>
      </c>
      <c r="W501" s="135">
        <f>+MATCH(PROVEEDORES[[#This Row],[año facturado]],Retenciones!$1:$1,0)</f>
        <v>6</v>
      </c>
      <c r="X501" s="136">
        <f>+VLOOKUP(PROVEEDORES[[#This Row],[ID RETENCION]],Retenciones!$A$1:$O$25,PROVEEDORES[[#This Row],[indicador de columna]],FALSE)</f>
        <v>0</v>
      </c>
      <c r="Y501" s="137">
        <f>+VLOOKUP(PROVEEDORES[[#This Row],[ID RETENCION]],Retenciones!$A$1:$O$25,2,FALSE)</f>
        <v>0</v>
      </c>
      <c r="Z501" s="126" t="b">
        <f>+OR(COUNTIF(PROVEEDORES[[#This Row],[PROVEEDOR]],"*"&amp;'Palabra que no opera y Listas d'!$A$2&amp;"*"))</f>
        <v>0</v>
      </c>
    </row>
    <row r="502" spans="1:26" ht="27.75" customHeight="1" x14ac:dyDescent="0.25">
      <c r="A502" s="141" t="str">
        <f>+IF(PROVEEDORES[[#This Row],[FECHA DE PAGO]]=PROVEEDORES[[#This Row],[FECHA DE FACTURACIÓN]],"DE CONTADO","CRÉDITO")</f>
        <v>CRÉDITO</v>
      </c>
      <c r="B502" s="138" t="str">
        <f>+IF((PROVEEDORES[[#This Row],[FECHA DE PAGO]]-PROVEEDORES[[#This Row],[FECHA DE FACTURACIÓN]])&gt;PROVEEDORES[[#This Row],[PLAZO Días]],"PAGO VENCIDO")</f>
        <v>PAGO VENCIDO</v>
      </c>
      <c r="C502" s="138">
        <f>+VLOOKUP(PROVEEDORES[[#This Row],[PROVEEDOR]],TERCEROS_INFO[#All],2,FALSE)</f>
        <v>45</v>
      </c>
      <c r="D502" s="139">
        <f>+SUMIFS(PROVEEDORES[Total],PROVEEDORES[PROVEEDOR],PROVEEDORES[[#This Row],[PROVEEDOR]],PROVEEDORES[FECHA DE PAGO],"")</f>
        <v>2446500</v>
      </c>
      <c r="E502" s="140"/>
      <c r="F502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502" s="127">
        <v>45132</v>
      </c>
      <c r="H502" s="123" t="s">
        <v>10</v>
      </c>
      <c r="I502" s="127">
        <v>45085</v>
      </c>
      <c r="J502" s="124" t="s">
        <v>829</v>
      </c>
      <c r="K502" s="124" t="s">
        <v>1530</v>
      </c>
      <c r="L502" s="124"/>
      <c r="M502" s="125">
        <v>1265000</v>
      </c>
      <c r="N502" s="148">
        <v>240350</v>
      </c>
      <c r="O502" s="148">
        <v>0</v>
      </c>
      <c r="P502" s="149">
        <v>2.5000000000000001E-2</v>
      </c>
      <c r="Q502" s="148">
        <v>31625</v>
      </c>
      <c r="R502" s="150">
        <v>1473725</v>
      </c>
      <c r="S5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2" s="135">
        <f ca="1">+IF(PROVEEDORES[[#This Row],[FECHA DE PAGO]]=0,TODAY()-PROVEEDORES[[#This Row],[FECHA DE FACTURACIÓN]]-PROVEEDORES[[#This Row],[PLAZO Días]],0)</f>
        <v>0</v>
      </c>
      <c r="U502" s="135" t="str">
        <f>+VLOOKUP(PROVEEDORES[[#This Row],[PROVEEDOR]],Terceros!$A:$D,4,FALSE)</f>
        <v>2,5% con base</v>
      </c>
      <c r="V502" s="135">
        <f>+YEAR(PROVEEDORES[[#This Row],[FECHA DE FACTURACIÓN]])</f>
        <v>2023</v>
      </c>
      <c r="W502" s="135">
        <f>+MATCH(PROVEEDORES[[#This Row],[año facturado]],Retenciones!$1:$1,0)</f>
        <v>6</v>
      </c>
      <c r="X502" s="136">
        <f>+VLOOKUP(PROVEEDORES[[#This Row],[ID RETENCION]],Retenciones!$A$1:$O$25,PROVEEDORES[[#This Row],[indicador de columna]],FALSE)</f>
        <v>1145000</v>
      </c>
      <c r="Y502" s="137">
        <f>+VLOOKUP(PROVEEDORES[[#This Row],[ID RETENCION]],Retenciones!$A$1:$O$25,2,FALSE)</f>
        <v>2.5000000000000001E-2</v>
      </c>
      <c r="Z502" s="126" t="b">
        <f>+OR(COUNTIF(PROVEEDORES[[#This Row],[PROVEEDOR]],"*"&amp;'Palabra que no opera y Listas d'!$A$2&amp;"*"))</f>
        <v>0</v>
      </c>
    </row>
    <row r="503" spans="1:26" ht="27.75" customHeight="1" x14ac:dyDescent="0.25">
      <c r="A503" s="141" t="str">
        <f>+IF(PROVEEDORES[[#This Row],[FECHA DE PAGO]]=PROVEEDORES[[#This Row],[FECHA DE FACTURACIÓN]],"DE CONTADO","CRÉDITO")</f>
        <v>CRÉDITO</v>
      </c>
      <c r="B503" s="138" t="b">
        <f>+IF((PROVEEDORES[[#This Row],[FECHA DE PAGO]]-PROVEEDORES[[#This Row],[FECHA DE FACTURACIÓN]])&gt;PROVEEDORES[[#This Row],[PLAZO Días]],"PAGO VENCIDO")</f>
        <v>0</v>
      </c>
      <c r="C503" s="138">
        <f>+VLOOKUP(PROVEEDORES[[#This Row],[PROVEEDOR]],TERCEROS_INFO[#All],2,FALSE)</f>
        <v>30</v>
      </c>
      <c r="D503" s="139">
        <f>+SUMIFS(PROVEEDORES[Total],PROVEEDORES[PROVEEDOR],PROVEEDORES[[#This Row],[PROVEEDOR]],PROVEEDORES[FECHA DE PAGO],"")</f>
        <v>0</v>
      </c>
      <c r="E503" s="140"/>
      <c r="F503" s="138" t="str">
        <f>+VLOOKUP(PROVEEDORES[[#This Row],[PROVEEDOR]],
                       Terceros!$A:$F,
                       5,
                       FALSE)</f>
        <v/>
      </c>
      <c r="G503" s="127">
        <v>45132</v>
      </c>
      <c r="H503" s="123" t="s">
        <v>525</v>
      </c>
      <c r="I503" s="127">
        <v>45131</v>
      </c>
      <c r="J503" s="124" t="s">
        <v>927</v>
      </c>
      <c r="K503" s="124" t="s">
        <v>1530</v>
      </c>
      <c r="L503" s="124"/>
      <c r="M503" s="125">
        <v>330000</v>
      </c>
      <c r="N503" s="148">
        <v>0</v>
      </c>
      <c r="O503" s="148">
        <v>0</v>
      </c>
      <c r="P503" s="149">
        <v>0</v>
      </c>
      <c r="Q503" s="148">
        <v>0</v>
      </c>
      <c r="R503" s="150">
        <v>330000</v>
      </c>
      <c r="S5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3" s="135">
        <f ca="1">+IF(PROVEEDORES[[#This Row],[FECHA DE PAGO]]=0,TODAY()-PROVEEDORES[[#This Row],[FECHA DE FACTURACIÓN]]-PROVEEDORES[[#This Row],[PLAZO Días]],0)</f>
        <v>0</v>
      </c>
      <c r="U503" s="135">
        <f>+VLOOKUP(PROVEEDORES[[#This Row],[PROVEEDOR]],Terceros!$A:$D,4,FALSE)</f>
        <v>0</v>
      </c>
      <c r="V503" s="135">
        <f>+YEAR(PROVEEDORES[[#This Row],[FECHA DE FACTURACIÓN]])</f>
        <v>2023</v>
      </c>
      <c r="W503" s="135">
        <f>+MATCH(PROVEEDORES[[#This Row],[año facturado]],Retenciones!$1:$1,0)</f>
        <v>6</v>
      </c>
      <c r="X503" s="136">
        <f>+VLOOKUP(PROVEEDORES[[#This Row],[ID RETENCION]],Retenciones!$A$1:$O$25,PROVEEDORES[[#This Row],[indicador de columna]],FALSE)</f>
        <v>0</v>
      </c>
      <c r="Y503" s="137">
        <f>+VLOOKUP(PROVEEDORES[[#This Row],[ID RETENCION]],Retenciones!$A$1:$O$25,2,FALSE)</f>
        <v>0</v>
      </c>
      <c r="Z503" s="126" t="b">
        <f>+OR(COUNTIF(PROVEEDORES[[#This Row],[PROVEEDOR]],"*"&amp;'Palabra que no opera y Listas d'!$A$2&amp;"*"))</f>
        <v>0</v>
      </c>
    </row>
    <row r="504" spans="1:26" ht="27.75" customHeight="1" x14ac:dyDescent="0.25">
      <c r="A504" s="141" t="str">
        <f>+IF(PROVEEDORES[[#This Row],[FECHA DE PAGO]]=PROVEEDORES[[#This Row],[FECHA DE FACTURACIÓN]],"DE CONTADO","CRÉDITO")</f>
        <v>CRÉDITO</v>
      </c>
      <c r="B504" s="138" t="str">
        <f>+IF((PROVEEDORES[[#This Row],[FECHA DE PAGO]]-PROVEEDORES[[#This Row],[FECHA DE FACTURACIÓN]])&gt;PROVEEDORES[[#This Row],[PLAZO Días]],"PAGO VENCIDO")</f>
        <v>PAGO VENCIDO</v>
      </c>
      <c r="C504" s="138">
        <f>+VLOOKUP(PROVEEDORES[[#This Row],[PROVEEDOR]],TERCEROS_INFO[#All],2,FALSE)</f>
        <v>60</v>
      </c>
      <c r="D504" s="139">
        <f>+SUMIFS(PROVEEDORES[Total],PROVEEDORES[PROVEEDOR],PROVEEDORES[[#This Row],[PROVEEDOR]],PROVEEDORES[FECHA DE PAGO],"")</f>
        <v>50353355.590000004</v>
      </c>
      <c r="E504" s="140"/>
      <c r="F504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504" s="127">
        <v>45133</v>
      </c>
      <c r="H504" s="123" t="s">
        <v>9</v>
      </c>
      <c r="I504" s="127">
        <v>45034</v>
      </c>
      <c r="J504" s="124" t="s">
        <v>746</v>
      </c>
      <c r="K504" s="124" t="s">
        <v>1530</v>
      </c>
      <c r="L504" s="124"/>
      <c r="M504" s="125">
        <v>25848261</v>
      </c>
      <c r="N504" s="148">
        <v>4911169.59</v>
      </c>
      <c r="O504" s="148">
        <v>0</v>
      </c>
      <c r="P504" s="149">
        <v>2.5000000000000001E-2</v>
      </c>
      <c r="Q504" s="148">
        <v>646206.52500000002</v>
      </c>
      <c r="R504" s="150">
        <v>30113224.065000001</v>
      </c>
      <c r="S5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4" s="135">
        <f ca="1">+IF(PROVEEDORES[[#This Row],[FECHA DE PAGO]]=0,TODAY()-PROVEEDORES[[#This Row],[FECHA DE FACTURACIÓN]]-PROVEEDORES[[#This Row],[PLAZO Días]],0)</f>
        <v>0</v>
      </c>
      <c r="U504" s="135" t="str">
        <f>+VLOOKUP(PROVEEDORES[[#This Row],[PROVEEDOR]],Terceros!$A:$D,4,FALSE)</f>
        <v>2,5% con base</v>
      </c>
      <c r="V504" s="135">
        <f>+YEAR(PROVEEDORES[[#This Row],[FECHA DE FACTURACIÓN]])</f>
        <v>2023</v>
      </c>
      <c r="W504" s="135">
        <f>+MATCH(PROVEEDORES[[#This Row],[año facturado]],Retenciones!$1:$1,0)</f>
        <v>6</v>
      </c>
      <c r="X504" s="136">
        <f>+VLOOKUP(PROVEEDORES[[#This Row],[ID RETENCION]],Retenciones!$A$1:$O$25,PROVEEDORES[[#This Row],[indicador de columna]],FALSE)</f>
        <v>1145000</v>
      </c>
      <c r="Y504" s="137">
        <f>+VLOOKUP(PROVEEDORES[[#This Row],[ID RETENCION]],Retenciones!$A$1:$O$25,2,FALSE)</f>
        <v>2.5000000000000001E-2</v>
      </c>
      <c r="Z504" s="126" t="b">
        <f>+OR(COUNTIF(PROVEEDORES[[#This Row],[PROVEEDOR]],"*"&amp;'Palabra que no opera y Listas d'!$A$2&amp;"*"))</f>
        <v>0</v>
      </c>
    </row>
    <row r="505" spans="1:26" ht="27.75" customHeight="1" x14ac:dyDescent="0.25">
      <c r="A505" s="141" t="str">
        <f>+IF(PROVEEDORES[[#This Row],[FECHA DE PAGO]]=PROVEEDORES[[#This Row],[FECHA DE FACTURACIÓN]],"DE CONTADO","CRÉDITO")</f>
        <v>CRÉDITO</v>
      </c>
      <c r="B505" s="138" t="str">
        <f>+IF((PROVEEDORES[[#This Row],[FECHA DE PAGO]]-PROVEEDORES[[#This Row],[FECHA DE FACTURACIÓN]])&gt;PROVEEDORES[[#This Row],[PLAZO Días]],"PAGO VENCIDO")</f>
        <v>PAGO VENCIDO</v>
      </c>
      <c r="C505" s="138">
        <f>+VLOOKUP(PROVEEDORES[[#This Row],[PROVEEDOR]],TERCEROS_INFO[#All],2,FALSE)</f>
        <v>60</v>
      </c>
      <c r="D505" s="139">
        <f>+SUMIFS(PROVEEDORES[Total],PROVEEDORES[PROVEEDOR],PROVEEDORES[[#This Row],[PROVEEDOR]],PROVEEDORES[FECHA DE PAGO],"")</f>
        <v>50353355.590000004</v>
      </c>
      <c r="E505" s="140"/>
      <c r="F505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505" s="127">
        <v>45133</v>
      </c>
      <c r="H505" s="123" t="s">
        <v>9</v>
      </c>
      <c r="I505" s="127">
        <v>45054</v>
      </c>
      <c r="J505" s="124" t="s">
        <v>802</v>
      </c>
      <c r="K505" s="124" t="s">
        <v>1530</v>
      </c>
      <c r="L505" s="124"/>
      <c r="M505" s="125">
        <v>-446120</v>
      </c>
      <c r="N505" s="148">
        <v>-84762.8</v>
      </c>
      <c r="O505" s="148">
        <v>0</v>
      </c>
      <c r="P505" s="149">
        <v>0</v>
      </c>
      <c r="Q505" s="148">
        <v>0</v>
      </c>
      <c r="R505" s="150">
        <v>-530882.80000000005</v>
      </c>
      <c r="S5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5" s="135">
        <f ca="1">+IF(PROVEEDORES[[#This Row],[FECHA DE PAGO]]=0,TODAY()-PROVEEDORES[[#This Row],[FECHA DE FACTURACIÓN]]-PROVEEDORES[[#This Row],[PLAZO Días]],0)</f>
        <v>0</v>
      </c>
      <c r="U505" s="135" t="str">
        <f>+VLOOKUP(PROVEEDORES[[#This Row],[PROVEEDOR]],Terceros!$A:$D,4,FALSE)</f>
        <v>2,5% con base</v>
      </c>
      <c r="V505" s="135">
        <f>+YEAR(PROVEEDORES[[#This Row],[FECHA DE FACTURACIÓN]])</f>
        <v>2023</v>
      </c>
      <c r="W505" s="135">
        <f>+MATCH(PROVEEDORES[[#This Row],[año facturado]],Retenciones!$1:$1,0)</f>
        <v>6</v>
      </c>
      <c r="X505" s="136">
        <f>+VLOOKUP(PROVEEDORES[[#This Row],[ID RETENCION]],Retenciones!$A$1:$O$25,PROVEEDORES[[#This Row],[indicador de columna]],FALSE)</f>
        <v>1145000</v>
      </c>
      <c r="Y505" s="137">
        <f>+VLOOKUP(PROVEEDORES[[#This Row],[ID RETENCION]],Retenciones!$A$1:$O$25,2,FALSE)</f>
        <v>2.5000000000000001E-2</v>
      </c>
      <c r="Z505" s="126" t="b">
        <f>+OR(COUNTIF(PROVEEDORES[[#This Row],[PROVEEDOR]],"*"&amp;'Palabra que no opera y Listas d'!$A$2&amp;"*"))</f>
        <v>0</v>
      </c>
    </row>
    <row r="506" spans="1:26" ht="27.75" customHeight="1" x14ac:dyDescent="0.25">
      <c r="A506" s="141" t="str">
        <f>+IF(PROVEEDORES[[#This Row],[FECHA DE PAGO]]=PROVEEDORES[[#This Row],[FECHA DE FACTURACIÓN]],"DE CONTADO","CRÉDITO")</f>
        <v>CRÉDITO</v>
      </c>
      <c r="B506" s="138" t="str">
        <f>+IF((PROVEEDORES[[#This Row],[FECHA DE PAGO]]-PROVEEDORES[[#This Row],[FECHA DE FACTURACIÓN]])&gt;PROVEEDORES[[#This Row],[PLAZO Días]],"PAGO VENCIDO")</f>
        <v>PAGO VENCIDO</v>
      </c>
      <c r="C506" s="138">
        <f>+VLOOKUP(PROVEEDORES[[#This Row],[PROVEEDOR]],TERCEROS_INFO[#All],2,FALSE)</f>
        <v>30</v>
      </c>
      <c r="D506" s="139">
        <f>+SUMIFS(PROVEEDORES[Total],PROVEEDORES[PROVEEDOR],PROVEEDORES[[#This Row],[PROVEEDOR]],PROVEEDORES[FECHA DE PAGO],"")</f>
        <v>0</v>
      </c>
      <c r="E506" s="140"/>
      <c r="F506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506" s="127">
        <v>45133</v>
      </c>
      <c r="H506" s="123" t="s">
        <v>1865</v>
      </c>
      <c r="I506" s="127">
        <v>45056</v>
      </c>
      <c r="J506" s="124" t="s">
        <v>776</v>
      </c>
      <c r="K506" s="124" t="s">
        <v>1530</v>
      </c>
      <c r="L506" s="124"/>
      <c r="M506" s="125">
        <v>0</v>
      </c>
      <c r="N506" s="148">
        <v>0</v>
      </c>
      <c r="O506" s="148">
        <v>0</v>
      </c>
      <c r="P506" s="149">
        <v>0</v>
      </c>
      <c r="Q506" s="148">
        <v>0</v>
      </c>
      <c r="R506" s="150">
        <v>0</v>
      </c>
      <c r="S5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6" s="135">
        <f ca="1">+IF(PROVEEDORES[[#This Row],[FECHA DE PAGO]]=0,TODAY()-PROVEEDORES[[#This Row],[FECHA DE FACTURACIÓN]]-PROVEEDORES[[#This Row],[PLAZO Días]],0)</f>
        <v>0</v>
      </c>
      <c r="U506" s="135">
        <f>+VLOOKUP(PROVEEDORES[[#This Row],[PROVEEDOR]],Terceros!$A:$D,4,FALSE)</f>
        <v>0</v>
      </c>
      <c r="V506" s="135">
        <f>+YEAR(PROVEEDORES[[#This Row],[FECHA DE FACTURACIÓN]])</f>
        <v>2023</v>
      </c>
      <c r="W506" s="135">
        <f>+MATCH(PROVEEDORES[[#This Row],[año facturado]],Retenciones!$1:$1,0)</f>
        <v>6</v>
      </c>
      <c r="X506" s="136">
        <f>+VLOOKUP(PROVEEDORES[[#This Row],[ID RETENCION]],Retenciones!$A$1:$O$25,PROVEEDORES[[#This Row],[indicador de columna]],FALSE)</f>
        <v>0</v>
      </c>
      <c r="Y506" s="137">
        <f>+VLOOKUP(PROVEEDORES[[#This Row],[ID RETENCION]],Retenciones!$A$1:$O$25,2,FALSE)</f>
        <v>0</v>
      </c>
      <c r="Z506" s="126" t="b">
        <f>+OR(COUNTIF(PROVEEDORES[[#This Row],[PROVEEDOR]],"*"&amp;'Palabra que no opera y Listas d'!$A$2&amp;"*"))</f>
        <v>0</v>
      </c>
    </row>
    <row r="507" spans="1:26" ht="27.75" customHeight="1" x14ac:dyDescent="0.25">
      <c r="A507" s="141" t="str">
        <f>+IF(PROVEEDORES[[#This Row],[FECHA DE PAGO]]=PROVEEDORES[[#This Row],[FECHA DE FACTURACIÓN]],"DE CONTADO","CRÉDITO")</f>
        <v>CRÉDITO</v>
      </c>
      <c r="B507" s="138" t="str">
        <f>+IF((PROVEEDORES[[#This Row],[FECHA DE PAGO]]-PROVEEDORES[[#This Row],[FECHA DE FACTURACIÓN]])&gt;PROVEEDORES[[#This Row],[PLAZO Días]],"PAGO VENCIDO")</f>
        <v>PAGO VENCIDO</v>
      </c>
      <c r="C507" s="138">
        <f>+VLOOKUP(PROVEEDORES[[#This Row],[PROVEEDOR]],TERCEROS_INFO[#All],2,FALSE)</f>
        <v>30</v>
      </c>
      <c r="D507" s="139">
        <f>+SUMIFS(PROVEEDORES[Total],PROVEEDORES[PROVEEDOR],PROVEEDORES[[#This Row],[PROVEEDOR]],PROVEEDORES[FECHA DE PAGO],"")</f>
        <v>0</v>
      </c>
      <c r="E507" s="140"/>
      <c r="F507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507" s="127">
        <v>45133</v>
      </c>
      <c r="H507" s="123" t="s">
        <v>1865</v>
      </c>
      <c r="I507" s="127">
        <v>45056</v>
      </c>
      <c r="J507" s="124" t="s">
        <v>777</v>
      </c>
      <c r="K507" s="124" t="s">
        <v>1530</v>
      </c>
      <c r="L507" s="124"/>
      <c r="M507" s="125">
        <v>216983</v>
      </c>
      <c r="N507" s="148">
        <v>0</v>
      </c>
      <c r="O507" s="148">
        <v>0</v>
      </c>
      <c r="P507" s="149">
        <v>0</v>
      </c>
      <c r="Q507" s="148">
        <v>0</v>
      </c>
      <c r="R507" s="150">
        <v>216983</v>
      </c>
      <c r="S5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7" s="135">
        <f ca="1">+IF(PROVEEDORES[[#This Row],[FECHA DE PAGO]]=0,TODAY()-PROVEEDORES[[#This Row],[FECHA DE FACTURACIÓN]]-PROVEEDORES[[#This Row],[PLAZO Días]],0)</f>
        <v>0</v>
      </c>
      <c r="U507" s="135">
        <f>+VLOOKUP(PROVEEDORES[[#This Row],[PROVEEDOR]],Terceros!$A:$D,4,FALSE)</f>
        <v>0</v>
      </c>
      <c r="V507" s="135">
        <f>+YEAR(PROVEEDORES[[#This Row],[FECHA DE FACTURACIÓN]])</f>
        <v>2023</v>
      </c>
      <c r="W507" s="135">
        <f>+MATCH(PROVEEDORES[[#This Row],[año facturado]],Retenciones!$1:$1,0)</f>
        <v>6</v>
      </c>
      <c r="X507" s="136">
        <f>+VLOOKUP(PROVEEDORES[[#This Row],[ID RETENCION]],Retenciones!$A$1:$O$25,PROVEEDORES[[#This Row],[indicador de columna]],FALSE)</f>
        <v>0</v>
      </c>
      <c r="Y507" s="137">
        <f>+VLOOKUP(PROVEEDORES[[#This Row],[ID RETENCION]],Retenciones!$A$1:$O$25,2,FALSE)</f>
        <v>0</v>
      </c>
      <c r="Z507" s="126" t="b">
        <f>+OR(COUNTIF(PROVEEDORES[[#This Row],[PROVEEDOR]],"*"&amp;'Palabra que no opera y Listas d'!$A$2&amp;"*"))</f>
        <v>0</v>
      </c>
    </row>
    <row r="508" spans="1:26" ht="27.75" customHeight="1" x14ac:dyDescent="0.25">
      <c r="A508" s="141" t="str">
        <f>+IF(PROVEEDORES[[#This Row],[FECHA DE PAGO]]=PROVEEDORES[[#This Row],[FECHA DE FACTURACIÓN]],"DE CONTADO","CRÉDITO")</f>
        <v>CRÉDITO</v>
      </c>
      <c r="B508" s="138" t="str">
        <f>+IF((PROVEEDORES[[#This Row],[FECHA DE PAGO]]-PROVEEDORES[[#This Row],[FECHA DE FACTURACIÓN]])&gt;PROVEEDORES[[#This Row],[PLAZO Días]],"PAGO VENCIDO")</f>
        <v>PAGO VENCIDO</v>
      </c>
      <c r="C508" s="138">
        <f>+VLOOKUP(PROVEEDORES[[#This Row],[PROVEEDOR]],TERCEROS_INFO[#All],2,FALSE)</f>
        <v>30</v>
      </c>
      <c r="D508" s="139">
        <f>+SUMIFS(PROVEEDORES[Total],PROVEEDORES[PROVEEDOR],PROVEEDORES[[#This Row],[PROVEEDOR]],PROVEEDORES[FECHA DE PAGO],"")</f>
        <v>0</v>
      </c>
      <c r="E508" s="140"/>
      <c r="F508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508" s="127">
        <v>45133</v>
      </c>
      <c r="H508" s="123" t="s">
        <v>1865</v>
      </c>
      <c r="I508" s="127">
        <v>45061</v>
      </c>
      <c r="J508" s="124" t="s">
        <v>791</v>
      </c>
      <c r="K508" s="124" t="s">
        <v>1530</v>
      </c>
      <c r="L508" s="124"/>
      <c r="M508" s="125">
        <v>0</v>
      </c>
      <c r="N508" s="148">
        <v>0</v>
      </c>
      <c r="O508" s="148">
        <v>0</v>
      </c>
      <c r="P508" s="149">
        <v>0</v>
      </c>
      <c r="Q508" s="148">
        <v>0</v>
      </c>
      <c r="R508" s="150">
        <v>0</v>
      </c>
      <c r="S5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8" s="135">
        <f ca="1">+IF(PROVEEDORES[[#This Row],[FECHA DE PAGO]]=0,TODAY()-PROVEEDORES[[#This Row],[FECHA DE FACTURACIÓN]]-PROVEEDORES[[#This Row],[PLAZO Días]],0)</f>
        <v>0</v>
      </c>
      <c r="U508" s="135">
        <f>+VLOOKUP(PROVEEDORES[[#This Row],[PROVEEDOR]],Terceros!$A:$D,4,FALSE)</f>
        <v>0</v>
      </c>
      <c r="V508" s="135">
        <f>+YEAR(PROVEEDORES[[#This Row],[FECHA DE FACTURACIÓN]])</f>
        <v>2023</v>
      </c>
      <c r="W508" s="135">
        <f>+MATCH(PROVEEDORES[[#This Row],[año facturado]],Retenciones!$1:$1,0)</f>
        <v>6</v>
      </c>
      <c r="X508" s="136">
        <f>+VLOOKUP(PROVEEDORES[[#This Row],[ID RETENCION]],Retenciones!$A$1:$O$25,PROVEEDORES[[#This Row],[indicador de columna]],FALSE)</f>
        <v>0</v>
      </c>
      <c r="Y508" s="137">
        <f>+VLOOKUP(PROVEEDORES[[#This Row],[ID RETENCION]],Retenciones!$A$1:$O$25,2,FALSE)</f>
        <v>0</v>
      </c>
      <c r="Z508" s="126" t="b">
        <f>+OR(COUNTIF(PROVEEDORES[[#This Row],[PROVEEDOR]],"*"&amp;'Palabra que no opera y Listas d'!$A$2&amp;"*"))</f>
        <v>0</v>
      </c>
    </row>
    <row r="509" spans="1:26" ht="27.75" customHeight="1" x14ac:dyDescent="0.25">
      <c r="A509" s="141" t="str">
        <f>+IF(PROVEEDORES[[#This Row],[FECHA DE PAGO]]=PROVEEDORES[[#This Row],[FECHA DE FACTURACIÓN]],"DE CONTADO","CRÉDITO")</f>
        <v>CRÉDITO</v>
      </c>
      <c r="B509" s="138" t="str">
        <f>+IF((PROVEEDORES[[#This Row],[FECHA DE PAGO]]-PROVEEDORES[[#This Row],[FECHA DE FACTURACIÓN]])&gt;PROVEEDORES[[#This Row],[PLAZO Días]],"PAGO VENCIDO")</f>
        <v>PAGO VENCIDO</v>
      </c>
      <c r="C509" s="138">
        <f>+VLOOKUP(PROVEEDORES[[#This Row],[PROVEEDOR]],TERCEROS_INFO[#All],2,FALSE)</f>
        <v>30</v>
      </c>
      <c r="D509" s="139">
        <f>+SUMIFS(PROVEEDORES[Total],PROVEEDORES[PROVEEDOR],PROVEEDORES[[#This Row],[PROVEEDOR]],PROVEEDORES[FECHA DE PAGO],"")</f>
        <v>0</v>
      </c>
      <c r="E509" s="140"/>
      <c r="F509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509" s="127">
        <v>45133</v>
      </c>
      <c r="H509" s="123" t="s">
        <v>1865</v>
      </c>
      <c r="I509" s="127">
        <v>45061</v>
      </c>
      <c r="J509" s="124" t="s">
        <v>792</v>
      </c>
      <c r="K509" s="124" t="s">
        <v>1530</v>
      </c>
      <c r="L509" s="124"/>
      <c r="M509" s="125">
        <v>0</v>
      </c>
      <c r="N509" s="148">
        <v>0</v>
      </c>
      <c r="O509" s="148">
        <v>0</v>
      </c>
      <c r="P509" s="149">
        <v>0</v>
      </c>
      <c r="Q509" s="148">
        <v>0</v>
      </c>
      <c r="R509" s="150">
        <v>0</v>
      </c>
      <c r="S5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09" s="135">
        <f ca="1">+IF(PROVEEDORES[[#This Row],[FECHA DE PAGO]]=0,TODAY()-PROVEEDORES[[#This Row],[FECHA DE FACTURACIÓN]]-PROVEEDORES[[#This Row],[PLAZO Días]],0)</f>
        <v>0</v>
      </c>
      <c r="U509" s="135">
        <f>+VLOOKUP(PROVEEDORES[[#This Row],[PROVEEDOR]],Terceros!$A:$D,4,FALSE)</f>
        <v>0</v>
      </c>
      <c r="V509" s="135">
        <f>+YEAR(PROVEEDORES[[#This Row],[FECHA DE FACTURACIÓN]])</f>
        <v>2023</v>
      </c>
      <c r="W509" s="135">
        <f>+MATCH(PROVEEDORES[[#This Row],[año facturado]],Retenciones!$1:$1,0)</f>
        <v>6</v>
      </c>
      <c r="X509" s="136">
        <f>+VLOOKUP(PROVEEDORES[[#This Row],[ID RETENCION]],Retenciones!$A$1:$O$25,PROVEEDORES[[#This Row],[indicador de columna]],FALSE)</f>
        <v>0</v>
      </c>
      <c r="Y509" s="137">
        <f>+VLOOKUP(PROVEEDORES[[#This Row],[ID RETENCION]],Retenciones!$A$1:$O$25,2,FALSE)</f>
        <v>0</v>
      </c>
      <c r="Z509" s="126" t="b">
        <f>+OR(COUNTIF(PROVEEDORES[[#This Row],[PROVEEDOR]],"*"&amp;'Palabra que no opera y Listas d'!$A$2&amp;"*"))</f>
        <v>0</v>
      </c>
    </row>
    <row r="510" spans="1:26" ht="27.75" customHeight="1" x14ac:dyDescent="0.25">
      <c r="A510" s="141" t="str">
        <f>+IF(PROVEEDORES[[#This Row],[FECHA DE PAGO]]=PROVEEDORES[[#This Row],[FECHA DE FACTURACIÓN]],"DE CONTADO","CRÉDITO")</f>
        <v>CRÉDITO</v>
      </c>
      <c r="B510" s="138" t="str">
        <f>+IF((PROVEEDORES[[#This Row],[FECHA DE PAGO]]-PROVEEDORES[[#This Row],[FECHA DE FACTURACIÓN]])&gt;PROVEEDORES[[#This Row],[PLAZO Días]],"PAGO VENCIDO")</f>
        <v>PAGO VENCIDO</v>
      </c>
      <c r="C510" s="138">
        <f>+VLOOKUP(PROVEEDORES[[#This Row],[PROVEEDOR]],TERCEROS_INFO[#All],2,FALSE)</f>
        <v>30</v>
      </c>
      <c r="D510" s="139">
        <f>+SUMIFS(PROVEEDORES[Total],PROVEEDORES[PROVEEDOR],PROVEEDORES[[#This Row],[PROVEEDOR]],PROVEEDORES[FECHA DE PAGO],"")</f>
        <v>0</v>
      </c>
      <c r="E510" s="140"/>
      <c r="F510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510" s="127">
        <v>45133</v>
      </c>
      <c r="H510" s="123" t="s">
        <v>1865</v>
      </c>
      <c r="I510" s="127">
        <v>45061</v>
      </c>
      <c r="J510" s="124" t="s">
        <v>793</v>
      </c>
      <c r="K510" s="124" t="s">
        <v>1530</v>
      </c>
      <c r="L510" s="124"/>
      <c r="M510" s="125">
        <v>-188821</v>
      </c>
      <c r="N510" s="148">
        <v>0</v>
      </c>
      <c r="O510" s="148">
        <v>0</v>
      </c>
      <c r="P510" s="149">
        <v>0</v>
      </c>
      <c r="Q510" s="148">
        <v>0</v>
      </c>
      <c r="R510" s="150">
        <v>-188821</v>
      </c>
      <c r="S5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0" s="135">
        <f ca="1">+IF(PROVEEDORES[[#This Row],[FECHA DE PAGO]]=0,TODAY()-PROVEEDORES[[#This Row],[FECHA DE FACTURACIÓN]]-PROVEEDORES[[#This Row],[PLAZO Días]],0)</f>
        <v>0</v>
      </c>
      <c r="U510" s="135">
        <f>+VLOOKUP(PROVEEDORES[[#This Row],[PROVEEDOR]],Terceros!$A:$D,4,FALSE)</f>
        <v>0</v>
      </c>
      <c r="V510" s="135">
        <f>+YEAR(PROVEEDORES[[#This Row],[FECHA DE FACTURACIÓN]])</f>
        <v>2023</v>
      </c>
      <c r="W510" s="135">
        <f>+MATCH(PROVEEDORES[[#This Row],[año facturado]],Retenciones!$1:$1,0)</f>
        <v>6</v>
      </c>
      <c r="X510" s="136">
        <f>+VLOOKUP(PROVEEDORES[[#This Row],[ID RETENCION]],Retenciones!$A$1:$O$25,PROVEEDORES[[#This Row],[indicador de columna]],FALSE)</f>
        <v>0</v>
      </c>
      <c r="Y510" s="137">
        <f>+VLOOKUP(PROVEEDORES[[#This Row],[ID RETENCION]],Retenciones!$A$1:$O$25,2,FALSE)</f>
        <v>0</v>
      </c>
      <c r="Z510" s="126" t="b">
        <f>+OR(COUNTIF(PROVEEDORES[[#This Row],[PROVEEDOR]],"*"&amp;'Palabra que no opera y Listas d'!$A$2&amp;"*"))</f>
        <v>0</v>
      </c>
    </row>
    <row r="511" spans="1:26" ht="27.75" customHeight="1" x14ac:dyDescent="0.25">
      <c r="A511" s="141" t="str">
        <f>+IF(PROVEEDORES[[#This Row],[FECHA DE PAGO]]=PROVEEDORES[[#This Row],[FECHA DE FACTURACIÓN]],"DE CONTADO","CRÉDITO")</f>
        <v>CRÉDITO</v>
      </c>
      <c r="B511" s="138" t="str">
        <f>+IF((PROVEEDORES[[#This Row],[FECHA DE PAGO]]-PROVEEDORES[[#This Row],[FECHA DE FACTURACIÓN]])&gt;PROVEEDORES[[#This Row],[PLAZO Días]],"PAGO VENCIDO")</f>
        <v>PAGO VENCIDO</v>
      </c>
      <c r="C511" s="138">
        <f>+VLOOKUP(PROVEEDORES[[#This Row],[PROVEEDOR]],TERCEROS_INFO[#All],2,FALSE)</f>
        <v>30</v>
      </c>
      <c r="D511" s="139">
        <f>+SUMIFS(PROVEEDORES[Total],PROVEEDORES[PROVEEDOR],PROVEEDORES[[#This Row],[PROVEEDOR]],PROVEEDORES[FECHA DE PAGO],"")</f>
        <v>0</v>
      </c>
      <c r="E511" s="140"/>
      <c r="F511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511" s="127">
        <v>45133</v>
      </c>
      <c r="H511" s="123" t="s">
        <v>1863</v>
      </c>
      <c r="I511" s="127">
        <v>45099</v>
      </c>
      <c r="J511" s="124" t="s">
        <v>846</v>
      </c>
      <c r="K511" s="124" t="s">
        <v>1530</v>
      </c>
      <c r="L511" s="124"/>
      <c r="M511" s="125">
        <v>0</v>
      </c>
      <c r="N511" s="148">
        <v>0</v>
      </c>
      <c r="O511" s="148">
        <v>0</v>
      </c>
      <c r="P511" s="149">
        <v>0</v>
      </c>
      <c r="Q511" s="148">
        <v>0</v>
      </c>
      <c r="R511" s="150">
        <v>0</v>
      </c>
      <c r="S5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1" s="135">
        <f ca="1">+IF(PROVEEDORES[[#This Row],[FECHA DE PAGO]]=0,TODAY()-PROVEEDORES[[#This Row],[FECHA DE FACTURACIÓN]]-PROVEEDORES[[#This Row],[PLAZO Días]],0)</f>
        <v>0</v>
      </c>
      <c r="U511" s="135">
        <f>+VLOOKUP(PROVEEDORES[[#This Row],[PROVEEDOR]],Terceros!$A:$D,4,FALSE)</f>
        <v>0</v>
      </c>
      <c r="V511" s="135">
        <f>+YEAR(PROVEEDORES[[#This Row],[FECHA DE FACTURACIÓN]])</f>
        <v>2023</v>
      </c>
      <c r="W511" s="135">
        <f>+MATCH(PROVEEDORES[[#This Row],[año facturado]],Retenciones!$1:$1,0)</f>
        <v>6</v>
      </c>
      <c r="X511" s="136">
        <f>+VLOOKUP(PROVEEDORES[[#This Row],[ID RETENCION]],Retenciones!$A$1:$O$25,PROVEEDORES[[#This Row],[indicador de columna]],FALSE)</f>
        <v>0</v>
      </c>
      <c r="Y511" s="137">
        <f>+VLOOKUP(PROVEEDORES[[#This Row],[ID RETENCION]],Retenciones!$A$1:$O$25,2,FALSE)</f>
        <v>0</v>
      </c>
      <c r="Z511" s="126" t="b">
        <f>+OR(COUNTIF(PROVEEDORES[[#This Row],[PROVEEDOR]],"*"&amp;'Palabra que no opera y Listas d'!$A$2&amp;"*"))</f>
        <v>0</v>
      </c>
    </row>
    <row r="512" spans="1:26" ht="27.75" customHeight="1" x14ac:dyDescent="0.25">
      <c r="A512" s="141" t="str">
        <f>+IF(PROVEEDORES[[#This Row],[FECHA DE PAGO]]=PROVEEDORES[[#This Row],[FECHA DE FACTURACIÓN]],"DE CONTADO","CRÉDITO")</f>
        <v>CRÉDITO</v>
      </c>
      <c r="B512" s="138" t="str">
        <f>+IF((PROVEEDORES[[#This Row],[FECHA DE PAGO]]-PROVEEDORES[[#This Row],[FECHA DE FACTURACIÓN]])&gt;PROVEEDORES[[#This Row],[PLAZO Días]],"PAGO VENCIDO")</f>
        <v>PAGO VENCIDO</v>
      </c>
      <c r="C512" s="138">
        <f>+VLOOKUP(PROVEEDORES[[#This Row],[PROVEEDOR]],TERCEROS_INFO[#All],2,FALSE)</f>
        <v>30</v>
      </c>
      <c r="D512" s="139">
        <f>+SUMIFS(PROVEEDORES[Total],PROVEEDORES[PROVEEDOR],PROVEEDORES[[#This Row],[PROVEEDOR]],PROVEEDORES[FECHA DE PAGO],"")</f>
        <v>0</v>
      </c>
      <c r="E512" s="140"/>
      <c r="F512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512" s="127">
        <v>45133</v>
      </c>
      <c r="H512" s="123" t="s">
        <v>1863</v>
      </c>
      <c r="I512" s="127">
        <v>45099</v>
      </c>
      <c r="J512" s="124" t="s">
        <v>847</v>
      </c>
      <c r="K512" s="124" t="s">
        <v>1530</v>
      </c>
      <c r="L512" s="124"/>
      <c r="M512" s="125">
        <v>116984</v>
      </c>
      <c r="N512" s="148">
        <v>0</v>
      </c>
      <c r="O512" s="148">
        <v>0</v>
      </c>
      <c r="P512" s="149">
        <v>0</v>
      </c>
      <c r="Q512" s="148">
        <v>0</v>
      </c>
      <c r="R512" s="150">
        <v>116984</v>
      </c>
      <c r="S5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2" s="135">
        <f ca="1">+IF(PROVEEDORES[[#This Row],[FECHA DE PAGO]]=0,TODAY()-PROVEEDORES[[#This Row],[FECHA DE FACTURACIÓN]]-PROVEEDORES[[#This Row],[PLAZO Días]],0)</f>
        <v>0</v>
      </c>
      <c r="U512" s="135">
        <f>+VLOOKUP(PROVEEDORES[[#This Row],[PROVEEDOR]],Terceros!$A:$D,4,FALSE)</f>
        <v>0</v>
      </c>
      <c r="V512" s="135">
        <f>+YEAR(PROVEEDORES[[#This Row],[FECHA DE FACTURACIÓN]])</f>
        <v>2023</v>
      </c>
      <c r="W512" s="135">
        <f>+MATCH(PROVEEDORES[[#This Row],[año facturado]],Retenciones!$1:$1,0)</f>
        <v>6</v>
      </c>
      <c r="X512" s="136">
        <f>+VLOOKUP(PROVEEDORES[[#This Row],[ID RETENCION]],Retenciones!$A$1:$O$25,PROVEEDORES[[#This Row],[indicador de columna]],FALSE)</f>
        <v>0</v>
      </c>
      <c r="Y512" s="137">
        <f>+VLOOKUP(PROVEEDORES[[#This Row],[ID RETENCION]],Retenciones!$A$1:$O$25,2,FALSE)</f>
        <v>0</v>
      </c>
      <c r="Z512" s="126" t="b">
        <f>+OR(COUNTIF(PROVEEDORES[[#This Row],[PROVEEDOR]],"*"&amp;'Palabra que no opera y Listas d'!$A$2&amp;"*"))</f>
        <v>0</v>
      </c>
    </row>
    <row r="513" spans="1:26" ht="27.75" customHeight="1" x14ac:dyDescent="0.25">
      <c r="A513" s="141" t="str">
        <f>+IF(PROVEEDORES[[#This Row],[FECHA DE PAGO]]=PROVEEDORES[[#This Row],[FECHA DE FACTURACIÓN]],"DE CONTADO","CRÉDITO")</f>
        <v>CRÉDITO</v>
      </c>
      <c r="B513" s="138" t="str">
        <f>+IF((PROVEEDORES[[#This Row],[FECHA DE PAGO]]-PROVEEDORES[[#This Row],[FECHA DE FACTURACIÓN]])&gt;PROVEEDORES[[#This Row],[PLAZO Días]],"PAGO VENCIDO")</f>
        <v>PAGO VENCIDO</v>
      </c>
      <c r="C513" s="138">
        <f>+VLOOKUP(PROVEEDORES[[#This Row],[PROVEEDOR]],TERCEROS_INFO[#All],2,FALSE)</f>
        <v>30</v>
      </c>
      <c r="D513" s="139">
        <f>+SUMIFS(PROVEEDORES[Total],PROVEEDORES[PROVEEDOR],PROVEEDORES[[#This Row],[PROVEEDOR]],PROVEEDORES[FECHA DE PAGO],"")</f>
        <v>0</v>
      </c>
      <c r="E513" s="140"/>
      <c r="F513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513" s="127">
        <v>45133</v>
      </c>
      <c r="H513" s="123" t="s">
        <v>1865</v>
      </c>
      <c r="I513" s="127">
        <v>45099</v>
      </c>
      <c r="J513" s="124" t="s">
        <v>837</v>
      </c>
      <c r="K513" s="124" t="s">
        <v>1530</v>
      </c>
      <c r="L513" s="124"/>
      <c r="M513" s="125">
        <v>0</v>
      </c>
      <c r="N513" s="148">
        <v>0</v>
      </c>
      <c r="O513" s="148">
        <v>0</v>
      </c>
      <c r="P513" s="149">
        <v>0</v>
      </c>
      <c r="Q513" s="148">
        <v>0</v>
      </c>
      <c r="R513" s="150">
        <v>0</v>
      </c>
      <c r="S5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3" s="135">
        <f ca="1">+IF(PROVEEDORES[[#This Row],[FECHA DE PAGO]]=0,TODAY()-PROVEEDORES[[#This Row],[FECHA DE FACTURACIÓN]]-PROVEEDORES[[#This Row],[PLAZO Días]],0)</f>
        <v>0</v>
      </c>
      <c r="U513" s="135">
        <f>+VLOOKUP(PROVEEDORES[[#This Row],[PROVEEDOR]],Terceros!$A:$D,4,FALSE)</f>
        <v>0</v>
      </c>
      <c r="V513" s="135">
        <f>+YEAR(PROVEEDORES[[#This Row],[FECHA DE FACTURACIÓN]])</f>
        <v>2023</v>
      </c>
      <c r="W513" s="135">
        <f>+MATCH(PROVEEDORES[[#This Row],[año facturado]],Retenciones!$1:$1,0)</f>
        <v>6</v>
      </c>
      <c r="X513" s="136">
        <f>+VLOOKUP(PROVEEDORES[[#This Row],[ID RETENCION]],Retenciones!$A$1:$O$25,PROVEEDORES[[#This Row],[indicador de columna]],FALSE)</f>
        <v>0</v>
      </c>
      <c r="Y513" s="137">
        <f>+VLOOKUP(PROVEEDORES[[#This Row],[ID RETENCION]],Retenciones!$A$1:$O$25,2,FALSE)</f>
        <v>0</v>
      </c>
      <c r="Z513" s="126" t="b">
        <f>+OR(COUNTIF(PROVEEDORES[[#This Row],[PROVEEDOR]],"*"&amp;'Palabra que no opera y Listas d'!$A$2&amp;"*"))</f>
        <v>0</v>
      </c>
    </row>
    <row r="514" spans="1:26" ht="27.75" customHeight="1" x14ac:dyDescent="0.25">
      <c r="A514" s="141" t="str">
        <f>+IF(PROVEEDORES[[#This Row],[FECHA DE PAGO]]=PROVEEDORES[[#This Row],[FECHA DE FACTURACIÓN]],"DE CONTADO","CRÉDITO")</f>
        <v>CRÉDITO</v>
      </c>
      <c r="B514" s="138" t="str">
        <f>+IF((PROVEEDORES[[#This Row],[FECHA DE PAGO]]-PROVEEDORES[[#This Row],[FECHA DE FACTURACIÓN]])&gt;PROVEEDORES[[#This Row],[PLAZO Días]],"PAGO VENCIDO")</f>
        <v>PAGO VENCIDO</v>
      </c>
      <c r="C514" s="138">
        <f>+VLOOKUP(PROVEEDORES[[#This Row],[PROVEEDOR]],TERCEROS_INFO[#All],2,FALSE)</f>
        <v>30</v>
      </c>
      <c r="D514" s="139">
        <f>+SUMIFS(PROVEEDORES[Total],PROVEEDORES[PROVEEDOR],PROVEEDORES[[#This Row],[PROVEEDOR]],PROVEEDORES[FECHA DE PAGO],"")</f>
        <v>0</v>
      </c>
      <c r="E514" s="140"/>
      <c r="F514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514" s="127">
        <v>45133</v>
      </c>
      <c r="H514" s="123" t="s">
        <v>1865</v>
      </c>
      <c r="I514" s="127">
        <v>45099</v>
      </c>
      <c r="J514" s="124" t="s">
        <v>839</v>
      </c>
      <c r="K514" s="124" t="s">
        <v>1530</v>
      </c>
      <c r="L514" s="124"/>
      <c r="M514" s="125">
        <v>142484</v>
      </c>
      <c r="N514" s="148">
        <v>0</v>
      </c>
      <c r="O514" s="148">
        <v>0</v>
      </c>
      <c r="P514" s="149">
        <v>0</v>
      </c>
      <c r="Q514" s="148">
        <v>0</v>
      </c>
      <c r="R514" s="150">
        <v>142484</v>
      </c>
      <c r="S5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4" s="135">
        <f ca="1">+IF(PROVEEDORES[[#This Row],[FECHA DE PAGO]]=0,TODAY()-PROVEEDORES[[#This Row],[FECHA DE FACTURACIÓN]]-PROVEEDORES[[#This Row],[PLAZO Días]],0)</f>
        <v>0</v>
      </c>
      <c r="U514" s="135">
        <f>+VLOOKUP(PROVEEDORES[[#This Row],[PROVEEDOR]],Terceros!$A:$D,4,FALSE)</f>
        <v>0</v>
      </c>
      <c r="V514" s="135">
        <f>+YEAR(PROVEEDORES[[#This Row],[FECHA DE FACTURACIÓN]])</f>
        <v>2023</v>
      </c>
      <c r="W514" s="135">
        <f>+MATCH(PROVEEDORES[[#This Row],[año facturado]],Retenciones!$1:$1,0)</f>
        <v>6</v>
      </c>
      <c r="X514" s="136">
        <f>+VLOOKUP(PROVEEDORES[[#This Row],[ID RETENCION]],Retenciones!$A$1:$O$25,PROVEEDORES[[#This Row],[indicador de columna]],FALSE)</f>
        <v>0</v>
      </c>
      <c r="Y514" s="137">
        <f>+VLOOKUP(PROVEEDORES[[#This Row],[ID RETENCION]],Retenciones!$A$1:$O$25,2,FALSE)</f>
        <v>0</v>
      </c>
      <c r="Z514" s="126" t="b">
        <f>+OR(COUNTIF(PROVEEDORES[[#This Row],[PROVEEDOR]],"*"&amp;'Palabra que no opera y Listas d'!$A$2&amp;"*"))</f>
        <v>0</v>
      </c>
    </row>
    <row r="515" spans="1:26" ht="27.75" customHeight="1" x14ac:dyDescent="0.25">
      <c r="A515" s="141" t="str">
        <f>+IF(PROVEEDORES[[#This Row],[FECHA DE PAGO]]=PROVEEDORES[[#This Row],[FECHA DE FACTURACIÓN]],"DE CONTADO","CRÉDITO")</f>
        <v>CRÉDITO</v>
      </c>
      <c r="B515" s="138" t="b">
        <f>+IF((PROVEEDORES[[#This Row],[FECHA DE PAGO]]-PROVEEDORES[[#This Row],[FECHA DE FACTURACIÓN]])&gt;PROVEEDORES[[#This Row],[PLAZO Días]],"PAGO VENCIDO")</f>
        <v>0</v>
      </c>
      <c r="C515" s="138">
        <f>+VLOOKUP(PROVEEDORES[[#This Row],[PROVEEDOR]],TERCEROS_INFO[#All],2,FALSE)</f>
        <v>60</v>
      </c>
      <c r="D515" s="139">
        <f>+SUMIFS(PROVEEDORES[Total],PROVEEDORES[PROVEEDOR],PROVEEDORES[[#This Row],[PROVEEDOR]],PROVEEDORES[FECHA DE PAGO],"")</f>
        <v>50353355.590000004</v>
      </c>
      <c r="E515" s="140"/>
      <c r="F515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515" s="127">
        <v>45133</v>
      </c>
      <c r="H515" s="123" t="s">
        <v>9</v>
      </c>
      <c r="I515" s="127">
        <v>45111</v>
      </c>
      <c r="J515" s="124" t="s">
        <v>598</v>
      </c>
      <c r="K515" s="124" t="s">
        <v>1530</v>
      </c>
      <c r="L515" s="124"/>
      <c r="M515" s="125">
        <v>-8403361</v>
      </c>
      <c r="N515" s="148">
        <v>-1596638.59</v>
      </c>
      <c r="O515" s="148">
        <v>0</v>
      </c>
      <c r="P515" s="149">
        <v>0</v>
      </c>
      <c r="Q515" s="148">
        <v>0</v>
      </c>
      <c r="R515" s="150">
        <v>-9999999.5899999999</v>
      </c>
      <c r="S5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5" s="135">
        <f ca="1">+IF(PROVEEDORES[[#This Row],[FECHA DE PAGO]]=0,TODAY()-PROVEEDORES[[#This Row],[FECHA DE FACTURACIÓN]]-PROVEEDORES[[#This Row],[PLAZO Días]],0)</f>
        <v>0</v>
      </c>
      <c r="U515" s="135" t="str">
        <f>+VLOOKUP(PROVEEDORES[[#This Row],[PROVEEDOR]],Terceros!$A:$D,4,FALSE)</f>
        <v>2,5% con base</v>
      </c>
      <c r="V515" s="135">
        <f>+YEAR(PROVEEDORES[[#This Row],[FECHA DE FACTURACIÓN]])</f>
        <v>2023</v>
      </c>
      <c r="W515" s="135">
        <f>+MATCH(PROVEEDORES[[#This Row],[año facturado]],Retenciones!$1:$1,0)</f>
        <v>6</v>
      </c>
      <c r="X515" s="136">
        <f>+VLOOKUP(PROVEEDORES[[#This Row],[ID RETENCION]],Retenciones!$A$1:$O$25,PROVEEDORES[[#This Row],[indicador de columna]],FALSE)</f>
        <v>1145000</v>
      </c>
      <c r="Y515" s="137">
        <f>+VLOOKUP(PROVEEDORES[[#This Row],[ID RETENCION]],Retenciones!$A$1:$O$25,2,FALSE)</f>
        <v>2.5000000000000001E-2</v>
      </c>
      <c r="Z515" s="126" t="b">
        <f>+OR(COUNTIF(PROVEEDORES[[#This Row],[PROVEEDOR]],"*"&amp;'Palabra que no opera y Listas d'!$A$2&amp;"*"))</f>
        <v>0</v>
      </c>
    </row>
    <row r="516" spans="1:26" ht="27.75" customHeight="1" x14ac:dyDescent="0.25">
      <c r="A516" s="141" t="str">
        <f>+IF(PROVEEDORES[[#This Row],[FECHA DE PAGO]]=PROVEEDORES[[#This Row],[FECHA DE FACTURACIÓN]],"DE CONTADO","CRÉDITO")</f>
        <v>CRÉDITO</v>
      </c>
      <c r="B516" s="138" t="b">
        <f>+IF((PROVEEDORES[[#This Row],[FECHA DE PAGO]]-PROVEEDORES[[#This Row],[FECHA DE FACTURACIÓN]])&gt;PROVEEDORES[[#This Row],[PLAZO Días]],"PAGO VENCIDO")</f>
        <v>0</v>
      </c>
      <c r="C516" s="138">
        <f>+VLOOKUP(PROVEEDORES[[#This Row],[PROVEEDOR]],TERCEROS_INFO[#All],2,FALSE)</f>
        <v>30</v>
      </c>
      <c r="D516" s="139">
        <f>+SUMIFS(PROVEEDORES[Total],PROVEEDORES[PROVEEDOR],PROVEEDORES[[#This Row],[PROVEEDOR]],PROVEEDORES[FECHA DE PAGO],"")</f>
        <v>0</v>
      </c>
      <c r="E516" s="140"/>
      <c r="F516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516" s="127">
        <v>45133</v>
      </c>
      <c r="H516" s="123" t="s">
        <v>1865</v>
      </c>
      <c r="I516" s="127">
        <v>45128</v>
      </c>
      <c r="J516" s="124">
        <v>652</v>
      </c>
      <c r="K516" s="124" t="s">
        <v>1530</v>
      </c>
      <c r="L516" s="124"/>
      <c r="M516" s="125">
        <v>0</v>
      </c>
      <c r="N516" s="148">
        <v>0</v>
      </c>
      <c r="O516" s="148">
        <v>0</v>
      </c>
      <c r="P516" s="149">
        <v>0</v>
      </c>
      <c r="Q516" s="148">
        <v>0</v>
      </c>
      <c r="R516" s="150">
        <v>0</v>
      </c>
      <c r="S5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6" s="135">
        <f ca="1">+IF(PROVEEDORES[[#This Row],[FECHA DE PAGO]]=0,TODAY()-PROVEEDORES[[#This Row],[FECHA DE FACTURACIÓN]]-PROVEEDORES[[#This Row],[PLAZO Días]],0)</f>
        <v>0</v>
      </c>
      <c r="U516" s="135">
        <f>+VLOOKUP(PROVEEDORES[[#This Row],[PROVEEDOR]],Terceros!$A:$D,4,FALSE)</f>
        <v>0</v>
      </c>
      <c r="V516" s="135">
        <f>+YEAR(PROVEEDORES[[#This Row],[FECHA DE FACTURACIÓN]])</f>
        <v>2023</v>
      </c>
      <c r="W516" s="135">
        <f>+MATCH(PROVEEDORES[[#This Row],[año facturado]],Retenciones!$1:$1,0)</f>
        <v>6</v>
      </c>
      <c r="X516" s="136">
        <f>+VLOOKUP(PROVEEDORES[[#This Row],[ID RETENCION]],Retenciones!$A$1:$O$25,PROVEEDORES[[#This Row],[indicador de columna]],FALSE)</f>
        <v>0</v>
      </c>
      <c r="Y516" s="137">
        <f>+VLOOKUP(PROVEEDORES[[#This Row],[ID RETENCION]],Retenciones!$A$1:$O$25,2,FALSE)</f>
        <v>0</v>
      </c>
      <c r="Z516" s="126" t="b">
        <f>+OR(COUNTIF(PROVEEDORES[[#This Row],[PROVEEDOR]],"*"&amp;'Palabra que no opera y Listas d'!$A$2&amp;"*"))</f>
        <v>0</v>
      </c>
    </row>
    <row r="517" spans="1:26" ht="27.75" customHeight="1" x14ac:dyDescent="0.25">
      <c r="A517" s="141" t="str">
        <f>+IF(PROVEEDORES[[#This Row],[FECHA DE PAGO]]=PROVEEDORES[[#This Row],[FECHA DE FACTURACIÓN]],"DE CONTADO","CRÉDITO")</f>
        <v>CRÉDITO</v>
      </c>
      <c r="B517" s="138" t="b">
        <f>+IF((PROVEEDORES[[#This Row],[FECHA DE PAGO]]-PROVEEDORES[[#This Row],[FECHA DE FACTURACIÓN]])&gt;PROVEEDORES[[#This Row],[PLAZO Días]],"PAGO VENCIDO")</f>
        <v>0</v>
      </c>
      <c r="C517" s="138">
        <f>+VLOOKUP(PROVEEDORES[[#This Row],[PROVEEDOR]],TERCEROS_INFO[#All],2,FALSE)</f>
        <v>30</v>
      </c>
      <c r="D517" s="139">
        <f>+SUMIFS(PROVEEDORES[Total],PROVEEDORES[PROVEEDOR],PROVEEDORES[[#This Row],[PROVEEDOR]],PROVEEDORES[FECHA DE PAGO],"")</f>
        <v>0</v>
      </c>
      <c r="E517" s="140"/>
      <c r="F517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517" s="127">
        <v>45133</v>
      </c>
      <c r="H517" s="123" t="s">
        <v>1865</v>
      </c>
      <c r="I517" s="127">
        <v>45128</v>
      </c>
      <c r="J517" s="124">
        <v>653</v>
      </c>
      <c r="K517" s="124" t="s">
        <v>1530</v>
      </c>
      <c r="L517" s="124"/>
      <c r="M517" s="125">
        <v>527</v>
      </c>
      <c r="N517" s="148">
        <v>0</v>
      </c>
      <c r="O517" s="148">
        <v>0</v>
      </c>
      <c r="P517" s="149">
        <v>0</v>
      </c>
      <c r="Q517" s="148">
        <v>0</v>
      </c>
      <c r="R517" s="150">
        <v>527</v>
      </c>
      <c r="S5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7" s="135">
        <f ca="1">+IF(PROVEEDORES[[#This Row],[FECHA DE PAGO]]=0,TODAY()-PROVEEDORES[[#This Row],[FECHA DE FACTURACIÓN]]-PROVEEDORES[[#This Row],[PLAZO Días]],0)</f>
        <v>0</v>
      </c>
      <c r="U517" s="135">
        <f>+VLOOKUP(PROVEEDORES[[#This Row],[PROVEEDOR]],Terceros!$A:$D,4,FALSE)</f>
        <v>0</v>
      </c>
      <c r="V517" s="135">
        <f>+YEAR(PROVEEDORES[[#This Row],[FECHA DE FACTURACIÓN]])</f>
        <v>2023</v>
      </c>
      <c r="W517" s="135">
        <f>+MATCH(PROVEEDORES[[#This Row],[año facturado]],Retenciones!$1:$1,0)</f>
        <v>6</v>
      </c>
      <c r="X517" s="136">
        <f>+VLOOKUP(PROVEEDORES[[#This Row],[ID RETENCION]],Retenciones!$A$1:$O$25,PROVEEDORES[[#This Row],[indicador de columna]],FALSE)</f>
        <v>0</v>
      </c>
      <c r="Y517" s="137">
        <f>+VLOOKUP(PROVEEDORES[[#This Row],[ID RETENCION]],Retenciones!$A$1:$O$25,2,FALSE)</f>
        <v>0</v>
      </c>
      <c r="Z517" s="126" t="b">
        <f>+OR(COUNTIF(PROVEEDORES[[#This Row],[PROVEEDOR]],"*"&amp;'Palabra que no opera y Listas d'!$A$2&amp;"*"))</f>
        <v>0</v>
      </c>
    </row>
    <row r="518" spans="1:26" ht="27.75" customHeight="1" x14ac:dyDescent="0.25">
      <c r="A518" s="141" t="str">
        <f>+IF(PROVEEDORES[[#This Row],[FECHA DE PAGO]]=PROVEEDORES[[#This Row],[FECHA DE FACTURACIÓN]],"DE CONTADO","CRÉDITO")</f>
        <v>CRÉDITO</v>
      </c>
      <c r="B518" s="138" t="str">
        <f>+IF((PROVEEDORES[[#This Row],[FECHA DE PAGO]]-PROVEEDORES[[#This Row],[FECHA DE FACTURACIÓN]])&gt;PROVEEDORES[[#This Row],[PLAZO Días]],"PAGO VENCIDO")</f>
        <v>PAGO VENCIDO</v>
      </c>
      <c r="C518" s="138">
        <f>+VLOOKUP(PROVEEDORES[[#This Row],[PROVEEDOR]],TERCEROS_INFO[#All],2,FALSE)</f>
        <v>30</v>
      </c>
      <c r="D518" s="139">
        <f>+SUMIFS(PROVEEDORES[Total],PROVEEDORES[PROVEEDOR],PROVEEDORES[[#This Row],[PROVEEDOR]],PROVEEDORES[FECHA DE PAGO],"")</f>
        <v>0</v>
      </c>
      <c r="E518" s="140"/>
      <c r="F518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18" s="127">
        <v>45134</v>
      </c>
      <c r="H518" s="123" t="s">
        <v>360</v>
      </c>
      <c r="I518" s="127">
        <v>45075</v>
      </c>
      <c r="J518" s="124" t="s">
        <v>940</v>
      </c>
      <c r="K518" s="124" t="s">
        <v>1530</v>
      </c>
      <c r="L518" s="124"/>
      <c r="M518" s="125">
        <v>1586135</v>
      </c>
      <c r="N518" s="148">
        <v>301365.65000000002</v>
      </c>
      <c r="O518" s="148">
        <v>0</v>
      </c>
      <c r="P518" s="149">
        <v>0</v>
      </c>
      <c r="Q518" s="148">
        <v>0</v>
      </c>
      <c r="R518" s="150">
        <v>1887500.65</v>
      </c>
      <c r="S5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8" s="135">
        <f ca="1">+IF(PROVEEDORES[[#This Row],[FECHA DE PAGO]]=0,TODAY()-PROVEEDORES[[#This Row],[FECHA DE FACTURACIÓN]]-PROVEEDORES[[#This Row],[PLAZO Días]],0)</f>
        <v>0</v>
      </c>
      <c r="U518" s="135">
        <f>+VLOOKUP(PROVEEDORES[[#This Row],[PROVEEDOR]],Terceros!$A:$D,4,FALSE)</f>
        <v>0</v>
      </c>
      <c r="V518" s="135">
        <f>+YEAR(PROVEEDORES[[#This Row],[FECHA DE FACTURACIÓN]])</f>
        <v>2023</v>
      </c>
      <c r="W518" s="135">
        <f>+MATCH(PROVEEDORES[[#This Row],[año facturado]],Retenciones!$1:$1,0)</f>
        <v>6</v>
      </c>
      <c r="X518" s="136">
        <f>+VLOOKUP(PROVEEDORES[[#This Row],[ID RETENCION]],Retenciones!$A$1:$O$25,PROVEEDORES[[#This Row],[indicador de columna]],FALSE)</f>
        <v>0</v>
      </c>
      <c r="Y518" s="137">
        <f>+VLOOKUP(PROVEEDORES[[#This Row],[ID RETENCION]],Retenciones!$A$1:$O$25,2,FALSE)</f>
        <v>0</v>
      </c>
      <c r="Z518" s="126" t="b">
        <f>+OR(COUNTIF(PROVEEDORES[[#This Row],[PROVEEDOR]],"*"&amp;'Palabra que no opera y Listas d'!$A$2&amp;"*"))</f>
        <v>1</v>
      </c>
    </row>
    <row r="519" spans="1:26" ht="27.75" customHeight="1" x14ac:dyDescent="0.25">
      <c r="A519" s="141" t="str">
        <f>+IF(PROVEEDORES[[#This Row],[FECHA DE PAGO]]=PROVEEDORES[[#This Row],[FECHA DE FACTURACIÓN]],"DE CONTADO","CRÉDITO")</f>
        <v>CRÉDITO</v>
      </c>
      <c r="B519" s="138" t="str">
        <f>+IF((PROVEEDORES[[#This Row],[FECHA DE PAGO]]-PROVEEDORES[[#This Row],[FECHA DE FACTURACIÓN]])&gt;PROVEEDORES[[#This Row],[PLAZO Días]],"PAGO VENCIDO")</f>
        <v>PAGO VENCIDO</v>
      </c>
      <c r="C519" s="138">
        <f>+VLOOKUP(PROVEEDORES[[#This Row],[PROVEEDOR]],TERCEROS_INFO[#All],2,FALSE)</f>
        <v>30</v>
      </c>
      <c r="D519" s="139">
        <f>+SUMIFS(PROVEEDORES[Total],PROVEEDORES[PROVEEDOR],PROVEEDORES[[#This Row],[PROVEEDOR]],PROVEEDORES[FECHA DE PAGO],"")</f>
        <v>0</v>
      </c>
      <c r="E519" s="140"/>
      <c r="F519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519" s="127">
        <v>45134</v>
      </c>
      <c r="H519" s="123" t="s">
        <v>360</v>
      </c>
      <c r="I519" s="127">
        <v>45075</v>
      </c>
      <c r="J519" s="124" t="s">
        <v>941</v>
      </c>
      <c r="K519" s="124" t="s">
        <v>1530</v>
      </c>
      <c r="L519" s="124"/>
      <c r="M519" s="125">
        <v>2254875</v>
      </c>
      <c r="N519" s="148">
        <v>428426.25</v>
      </c>
      <c r="O519" s="148">
        <v>0</v>
      </c>
      <c r="P519" s="149">
        <v>0</v>
      </c>
      <c r="Q519" s="148">
        <v>0</v>
      </c>
      <c r="R519" s="150">
        <v>2683301.25</v>
      </c>
      <c r="S5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19" s="135">
        <f ca="1">+IF(PROVEEDORES[[#This Row],[FECHA DE PAGO]]=0,TODAY()-PROVEEDORES[[#This Row],[FECHA DE FACTURACIÓN]]-PROVEEDORES[[#This Row],[PLAZO Días]],0)</f>
        <v>0</v>
      </c>
      <c r="U519" s="135">
        <f>+VLOOKUP(PROVEEDORES[[#This Row],[PROVEEDOR]],Terceros!$A:$D,4,FALSE)</f>
        <v>0</v>
      </c>
      <c r="V519" s="135">
        <f>+YEAR(PROVEEDORES[[#This Row],[FECHA DE FACTURACIÓN]])</f>
        <v>2023</v>
      </c>
      <c r="W519" s="135">
        <f>+MATCH(PROVEEDORES[[#This Row],[año facturado]],Retenciones!$1:$1,0)</f>
        <v>6</v>
      </c>
      <c r="X519" s="136">
        <f>+VLOOKUP(PROVEEDORES[[#This Row],[ID RETENCION]],Retenciones!$A$1:$O$25,PROVEEDORES[[#This Row],[indicador de columna]],FALSE)</f>
        <v>0</v>
      </c>
      <c r="Y519" s="137">
        <f>+VLOOKUP(PROVEEDORES[[#This Row],[ID RETENCION]],Retenciones!$A$1:$O$25,2,FALSE)</f>
        <v>0</v>
      </c>
      <c r="Z519" s="126" t="b">
        <f>+OR(COUNTIF(PROVEEDORES[[#This Row],[PROVEEDOR]],"*"&amp;'Palabra que no opera y Listas d'!$A$2&amp;"*"))</f>
        <v>1</v>
      </c>
    </row>
    <row r="520" spans="1:26" ht="27.75" customHeight="1" x14ac:dyDescent="0.25">
      <c r="A520" s="141" t="str">
        <f>+IF(PROVEEDORES[[#This Row],[FECHA DE PAGO]]=PROVEEDORES[[#This Row],[FECHA DE FACTURACIÓN]],"DE CONTADO","CRÉDITO")</f>
        <v>CRÉDITO</v>
      </c>
      <c r="B520" s="138" t="str">
        <f>+IF((PROVEEDORES[[#This Row],[FECHA DE PAGO]]-PROVEEDORES[[#This Row],[FECHA DE FACTURACIÓN]])&gt;PROVEEDORES[[#This Row],[PLAZO Días]],"PAGO VENCIDO")</f>
        <v>PAGO VENCIDO</v>
      </c>
      <c r="C520" s="138">
        <f>+VLOOKUP(PROVEEDORES[[#This Row],[PROVEEDOR]],TERCEROS_INFO[#All],2,FALSE)</f>
        <v>30</v>
      </c>
      <c r="D520" s="139">
        <f>+SUMIFS(PROVEEDORES[Total],PROVEEDORES[PROVEEDOR],PROVEEDORES[[#This Row],[PROVEEDOR]],PROVEEDORES[FECHA DE PAGO],"")</f>
        <v>0</v>
      </c>
      <c r="E520" s="140"/>
      <c r="F520" s="138">
        <f>+VLOOKUP(PROVEEDORES[[#This Row],[PROVEEDOR]],
                       Terceros!$A:$F,
                       5,
                       FALSE)</f>
        <v>0</v>
      </c>
      <c r="G520" s="127">
        <v>45134</v>
      </c>
      <c r="H520" s="123" t="s">
        <v>475</v>
      </c>
      <c r="I520" s="127">
        <v>45079</v>
      </c>
      <c r="J520" s="124" t="s">
        <v>869</v>
      </c>
      <c r="K520" s="124" t="s">
        <v>1530</v>
      </c>
      <c r="L520" s="124"/>
      <c r="M520" s="125">
        <v>2046000</v>
      </c>
      <c r="N520" s="148">
        <v>0</v>
      </c>
      <c r="O520" s="148">
        <v>0</v>
      </c>
      <c r="P520" s="149">
        <v>0</v>
      </c>
      <c r="Q520" s="148">
        <v>0</v>
      </c>
      <c r="R520" s="150">
        <v>2046000</v>
      </c>
      <c r="S5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0" s="135">
        <f ca="1">+IF(PROVEEDORES[[#This Row],[FECHA DE PAGO]]=0,TODAY()-PROVEEDORES[[#This Row],[FECHA DE FACTURACIÓN]]-PROVEEDORES[[#This Row],[PLAZO Días]],0)</f>
        <v>0</v>
      </c>
      <c r="U520" s="135">
        <f>+VLOOKUP(PROVEEDORES[[#This Row],[PROVEEDOR]],Terceros!$A:$D,4,FALSE)</f>
        <v>0</v>
      </c>
      <c r="V520" s="135">
        <f>+YEAR(PROVEEDORES[[#This Row],[FECHA DE FACTURACIÓN]])</f>
        <v>2023</v>
      </c>
      <c r="W520" s="135">
        <f>+MATCH(PROVEEDORES[[#This Row],[año facturado]],Retenciones!$1:$1,0)</f>
        <v>6</v>
      </c>
      <c r="X520" s="136">
        <f>+VLOOKUP(PROVEEDORES[[#This Row],[ID RETENCION]],Retenciones!$A$1:$O$25,PROVEEDORES[[#This Row],[indicador de columna]],FALSE)</f>
        <v>0</v>
      </c>
      <c r="Y520" s="137">
        <f>+VLOOKUP(PROVEEDORES[[#This Row],[ID RETENCION]],Retenciones!$A$1:$O$25,2,FALSE)</f>
        <v>0</v>
      </c>
      <c r="Z520" s="126" t="b">
        <f>+OR(COUNTIF(PROVEEDORES[[#This Row],[PROVEEDOR]],"*"&amp;'Palabra que no opera y Listas d'!$A$2&amp;"*"))</f>
        <v>0</v>
      </c>
    </row>
    <row r="521" spans="1:26" ht="27.75" customHeight="1" x14ac:dyDescent="0.25">
      <c r="A521" s="141" t="str">
        <f>+IF(PROVEEDORES[[#This Row],[FECHA DE PAGO]]=PROVEEDORES[[#This Row],[FECHA DE FACTURACIÓN]],"DE CONTADO","CRÉDITO")</f>
        <v>DE CONTADO</v>
      </c>
      <c r="B521" s="138" t="b">
        <f>+IF((PROVEEDORES[[#This Row],[FECHA DE PAGO]]-PROVEEDORES[[#This Row],[FECHA DE FACTURACIÓN]])&gt;PROVEEDORES[[#This Row],[PLAZO Días]],"PAGO VENCIDO")</f>
        <v>0</v>
      </c>
      <c r="C521" s="138">
        <f>+VLOOKUP(PROVEEDORES[[#This Row],[PROVEEDOR]],TERCEROS_INFO[#All],2,FALSE)</f>
        <v>30</v>
      </c>
      <c r="D521" s="139">
        <f>+SUMIFS(PROVEEDORES[Total],PROVEEDORES[PROVEEDOR],PROVEEDORES[[#This Row],[PROVEEDOR]],PROVEEDORES[FECHA DE PAGO],"")</f>
        <v>1350000</v>
      </c>
      <c r="E521" s="140"/>
      <c r="F521" s="138" t="str">
        <f>+VLOOKUP(PROVEEDORES[[#This Row],[PROVEEDOR]],
                       Terceros!$A:$F,
                       5,
                       FALSE)</f>
        <v/>
      </c>
      <c r="G521" s="127">
        <v>45136</v>
      </c>
      <c r="H521" s="123" t="s">
        <v>1807</v>
      </c>
      <c r="I521" s="127">
        <v>45136</v>
      </c>
      <c r="J521" s="124" t="s">
        <v>939</v>
      </c>
      <c r="K521" s="124" t="s">
        <v>1530</v>
      </c>
      <c r="L521" s="124"/>
      <c r="M521" s="125">
        <v>1470000</v>
      </c>
      <c r="N521" s="148">
        <v>0</v>
      </c>
      <c r="O521" s="148">
        <v>0</v>
      </c>
      <c r="P521" s="149">
        <v>0</v>
      </c>
      <c r="Q521" s="148">
        <v>0</v>
      </c>
      <c r="R521" s="150">
        <v>1470000</v>
      </c>
      <c r="S5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1" s="135">
        <f ca="1">+IF(PROVEEDORES[[#This Row],[FECHA DE PAGO]]=0,TODAY()-PROVEEDORES[[#This Row],[FECHA DE FACTURACIÓN]]-PROVEEDORES[[#This Row],[PLAZO Días]],0)</f>
        <v>0</v>
      </c>
      <c r="U521" s="135">
        <f>+VLOOKUP(PROVEEDORES[[#This Row],[PROVEEDOR]],Terceros!$A:$D,4,FALSE)</f>
        <v>0</v>
      </c>
      <c r="V521" s="135">
        <f>+YEAR(PROVEEDORES[[#This Row],[FECHA DE FACTURACIÓN]])</f>
        <v>2023</v>
      </c>
      <c r="W521" s="135">
        <f>+MATCH(PROVEEDORES[[#This Row],[año facturado]],Retenciones!$1:$1,0)</f>
        <v>6</v>
      </c>
      <c r="X521" s="136">
        <f>+VLOOKUP(PROVEEDORES[[#This Row],[ID RETENCION]],Retenciones!$A$1:$O$25,PROVEEDORES[[#This Row],[indicador de columna]],FALSE)</f>
        <v>0</v>
      </c>
      <c r="Y521" s="137">
        <f>+VLOOKUP(PROVEEDORES[[#This Row],[ID RETENCION]],Retenciones!$A$1:$O$25,2,FALSE)</f>
        <v>0</v>
      </c>
      <c r="Z521" s="126" t="b">
        <f>+OR(COUNTIF(PROVEEDORES[[#This Row],[PROVEEDOR]],"*"&amp;'Palabra que no opera y Listas d'!$A$2&amp;"*"))</f>
        <v>0</v>
      </c>
    </row>
    <row r="522" spans="1:26" ht="27.75" customHeight="1" x14ac:dyDescent="0.25">
      <c r="A522" s="141" t="str">
        <f>+IF(PROVEEDORES[[#This Row],[FECHA DE PAGO]]=PROVEEDORES[[#This Row],[FECHA DE FACTURACIÓN]],"DE CONTADO","CRÉDITO")</f>
        <v>DE CONTADO</v>
      </c>
      <c r="B522" s="138" t="b">
        <f>+IF((PROVEEDORES[[#This Row],[FECHA DE PAGO]]-PROVEEDORES[[#This Row],[FECHA DE FACTURACIÓN]])&gt;PROVEEDORES[[#This Row],[PLAZO Días]],"PAGO VENCIDO")</f>
        <v>0</v>
      </c>
      <c r="C522" s="138">
        <f>+VLOOKUP(PROVEEDORES[[#This Row],[PROVEEDOR]],TERCEROS_INFO[#All],2,FALSE)</f>
        <v>30</v>
      </c>
      <c r="D522" s="139">
        <f>+SUMIFS(PROVEEDORES[Total],PROVEEDORES[PROVEEDOR],PROVEEDORES[[#This Row],[PROVEEDOR]],PROVEEDORES[FECHA DE PAGO],"")</f>
        <v>0</v>
      </c>
      <c r="E522" s="140"/>
      <c r="F522" s="138">
        <f>+VLOOKUP(PROVEEDORES[[#This Row],[PROVEEDOR]],
                       Terceros!$A:$F,
                       5,
                       FALSE)</f>
        <v>0</v>
      </c>
      <c r="G522" s="127">
        <v>45138</v>
      </c>
      <c r="H522" s="123" t="s">
        <v>861</v>
      </c>
      <c r="I522" s="127">
        <v>45138</v>
      </c>
      <c r="J522" s="124">
        <v>5961</v>
      </c>
      <c r="K522" s="124" t="s">
        <v>1530</v>
      </c>
      <c r="L522" s="124"/>
      <c r="M522" s="125">
        <v>307000</v>
      </c>
      <c r="N522" s="148">
        <v>0</v>
      </c>
      <c r="O522" s="148">
        <v>0</v>
      </c>
      <c r="P522" s="149">
        <v>0</v>
      </c>
      <c r="Q522" s="148">
        <v>0</v>
      </c>
      <c r="R522" s="150">
        <v>307000</v>
      </c>
      <c r="S5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2" s="135">
        <f ca="1">+IF(PROVEEDORES[[#This Row],[FECHA DE PAGO]]=0,TODAY()-PROVEEDORES[[#This Row],[FECHA DE FACTURACIÓN]]-PROVEEDORES[[#This Row],[PLAZO Días]],0)</f>
        <v>0</v>
      </c>
      <c r="U522" s="135">
        <f>+VLOOKUP(PROVEEDORES[[#This Row],[PROVEEDOR]],Terceros!$A:$D,4,FALSE)</f>
        <v>0</v>
      </c>
      <c r="V522" s="135">
        <f>+YEAR(PROVEEDORES[[#This Row],[FECHA DE FACTURACIÓN]])</f>
        <v>2023</v>
      </c>
      <c r="W522" s="135">
        <f>+MATCH(PROVEEDORES[[#This Row],[año facturado]],Retenciones!$1:$1,0)</f>
        <v>6</v>
      </c>
      <c r="X522" s="136">
        <f>+VLOOKUP(PROVEEDORES[[#This Row],[ID RETENCION]],Retenciones!$A$1:$O$25,PROVEEDORES[[#This Row],[indicador de columna]],FALSE)</f>
        <v>0</v>
      </c>
      <c r="Y522" s="137">
        <f>+VLOOKUP(PROVEEDORES[[#This Row],[ID RETENCION]],Retenciones!$A$1:$O$25,2,FALSE)</f>
        <v>0</v>
      </c>
      <c r="Z522" s="126" t="b">
        <f>+OR(COUNTIF(PROVEEDORES[[#This Row],[PROVEEDOR]],"*"&amp;'Palabra que no opera y Listas d'!$A$2&amp;"*"))</f>
        <v>0</v>
      </c>
    </row>
    <row r="523" spans="1:26" ht="27.75" customHeight="1" x14ac:dyDescent="0.25">
      <c r="A523" s="141" t="str">
        <f>+IF(PROVEEDORES[[#This Row],[FECHA DE PAGO]]=PROVEEDORES[[#This Row],[FECHA DE FACTURACIÓN]],"DE CONTADO","CRÉDITO")</f>
        <v>CRÉDITO</v>
      </c>
      <c r="B523" s="138" t="str">
        <f>+IF((PROVEEDORES[[#This Row],[FECHA DE PAGO]]-PROVEEDORES[[#This Row],[FECHA DE FACTURACIÓN]])&gt;PROVEEDORES[[#This Row],[PLAZO Días]],"PAGO VENCIDO")</f>
        <v>PAGO VENCIDO</v>
      </c>
      <c r="C523" s="138">
        <f>+VLOOKUP(PROVEEDORES[[#This Row],[PROVEEDOR]],TERCEROS_INFO[#All],2,FALSE)</f>
        <v>30</v>
      </c>
      <c r="D523" s="139">
        <f>+SUMIFS(PROVEEDORES[Total],PROVEEDORES[PROVEEDOR],PROVEEDORES[[#This Row],[PROVEEDOR]],PROVEEDORES[FECHA DE PAGO],"")</f>
        <v>0</v>
      </c>
      <c r="E523" s="140"/>
      <c r="F523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523" s="127">
        <v>45139</v>
      </c>
      <c r="H523" s="123" t="s">
        <v>1820</v>
      </c>
      <c r="I523" s="127">
        <v>45057</v>
      </c>
      <c r="J523" s="124">
        <v>327168</v>
      </c>
      <c r="K523" s="124" t="s">
        <v>1530</v>
      </c>
      <c r="L523" s="124"/>
      <c r="M523" s="125">
        <v>27000</v>
      </c>
      <c r="N523" s="148">
        <v>0</v>
      </c>
      <c r="O523" s="148">
        <v>0</v>
      </c>
      <c r="P523" s="149">
        <v>0</v>
      </c>
      <c r="Q523" s="148">
        <v>0</v>
      </c>
      <c r="R523" s="150">
        <v>27000</v>
      </c>
      <c r="S5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3" s="135">
        <f ca="1">+IF(PROVEEDORES[[#This Row],[FECHA DE PAGO]]=0,TODAY()-PROVEEDORES[[#This Row],[FECHA DE FACTURACIÓN]]-PROVEEDORES[[#This Row],[PLAZO Días]],0)</f>
        <v>0</v>
      </c>
      <c r="U523" s="135">
        <f>+VLOOKUP(PROVEEDORES[[#This Row],[PROVEEDOR]],Terceros!$A:$D,4,FALSE)</f>
        <v>0</v>
      </c>
      <c r="V523" s="135">
        <f>+YEAR(PROVEEDORES[[#This Row],[FECHA DE FACTURACIÓN]])</f>
        <v>2023</v>
      </c>
      <c r="W523" s="135">
        <f>+MATCH(PROVEEDORES[[#This Row],[año facturado]],Retenciones!$1:$1,0)</f>
        <v>6</v>
      </c>
      <c r="X523" s="136">
        <f>+VLOOKUP(PROVEEDORES[[#This Row],[ID RETENCION]],Retenciones!$A$1:$O$25,PROVEEDORES[[#This Row],[indicador de columna]],FALSE)</f>
        <v>0</v>
      </c>
      <c r="Y523" s="137">
        <f>+VLOOKUP(PROVEEDORES[[#This Row],[ID RETENCION]],Retenciones!$A$1:$O$25,2,FALSE)</f>
        <v>0</v>
      </c>
      <c r="Z523" s="126" t="b">
        <f>+OR(COUNTIF(PROVEEDORES[[#This Row],[PROVEEDOR]],"*"&amp;'Palabra que no opera y Listas d'!$A$2&amp;"*"))</f>
        <v>0</v>
      </c>
    </row>
    <row r="524" spans="1:26" ht="27.75" customHeight="1" x14ac:dyDescent="0.25">
      <c r="A524" s="141" t="str">
        <f>+IF(PROVEEDORES[[#This Row],[FECHA DE PAGO]]=PROVEEDORES[[#This Row],[FECHA DE FACTURACIÓN]],"DE CONTADO","CRÉDITO")</f>
        <v>CRÉDITO</v>
      </c>
      <c r="B524" s="138" t="str">
        <f>+IF((PROVEEDORES[[#This Row],[FECHA DE PAGO]]-PROVEEDORES[[#This Row],[FECHA DE FACTURACIÓN]])&gt;PROVEEDORES[[#This Row],[PLAZO Días]],"PAGO VENCIDO")</f>
        <v>PAGO VENCIDO</v>
      </c>
      <c r="C524" s="138">
        <f>+VLOOKUP(PROVEEDORES[[#This Row],[PROVEEDOR]],TERCEROS_INFO[#All],2,FALSE)</f>
        <v>30</v>
      </c>
      <c r="D524" s="139">
        <f>+SUMIFS(PROVEEDORES[Total],PROVEEDORES[PROVEEDOR],PROVEEDORES[[#This Row],[PROVEEDOR]],PROVEEDORES[FECHA DE PAGO],"")</f>
        <v>1460000.29</v>
      </c>
      <c r="E524" s="140"/>
      <c r="F524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524" s="127">
        <v>45139</v>
      </c>
      <c r="H524" s="123" t="s">
        <v>131</v>
      </c>
      <c r="I524" s="127">
        <v>45057</v>
      </c>
      <c r="J524" s="124" t="s">
        <v>800</v>
      </c>
      <c r="K524" s="124" t="s">
        <v>1530</v>
      </c>
      <c r="L524" s="124"/>
      <c r="M524" s="125">
        <v>3564706</v>
      </c>
      <c r="N524" s="148">
        <v>677294.14</v>
      </c>
      <c r="O524" s="148">
        <v>0</v>
      </c>
      <c r="P524" s="149">
        <v>2.5000000000000001E-2</v>
      </c>
      <c r="Q524" s="148">
        <v>89117.650000000009</v>
      </c>
      <c r="R524" s="150">
        <v>4152882.4899999998</v>
      </c>
      <c r="S5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4" s="135">
        <f ca="1">+IF(PROVEEDORES[[#This Row],[FECHA DE PAGO]]=0,TODAY()-PROVEEDORES[[#This Row],[FECHA DE FACTURACIÓN]]-PROVEEDORES[[#This Row],[PLAZO Días]],0)</f>
        <v>0</v>
      </c>
      <c r="U524" s="135" t="str">
        <f>+VLOOKUP(PROVEEDORES[[#This Row],[PROVEEDOR]],Terceros!$A:$D,4,FALSE)</f>
        <v>2,5% con base</v>
      </c>
      <c r="V524" s="135">
        <f>+YEAR(PROVEEDORES[[#This Row],[FECHA DE FACTURACIÓN]])</f>
        <v>2023</v>
      </c>
      <c r="W524" s="135">
        <f>+MATCH(PROVEEDORES[[#This Row],[año facturado]],Retenciones!$1:$1,0)</f>
        <v>6</v>
      </c>
      <c r="X524" s="136">
        <f>+VLOOKUP(PROVEEDORES[[#This Row],[ID RETENCION]],Retenciones!$A$1:$O$25,PROVEEDORES[[#This Row],[indicador de columna]],FALSE)</f>
        <v>1145000</v>
      </c>
      <c r="Y524" s="137">
        <f>+VLOOKUP(PROVEEDORES[[#This Row],[ID RETENCION]],Retenciones!$A$1:$O$25,2,FALSE)</f>
        <v>2.5000000000000001E-2</v>
      </c>
      <c r="Z524" s="126" t="b">
        <f>+OR(COUNTIF(PROVEEDORES[[#This Row],[PROVEEDOR]],"*"&amp;'Palabra que no opera y Listas d'!$A$2&amp;"*"))</f>
        <v>0</v>
      </c>
    </row>
    <row r="525" spans="1:26" ht="27.75" customHeight="1" x14ac:dyDescent="0.25">
      <c r="A525" s="141" t="str">
        <f>+IF(PROVEEDORES[[#This Row],[FECHA DE PAGO]]=PROVEEDORES[[#This Row],[FECHA DE FACTURACIÓN]],"DE CONTADO","CRÉDITO")</f>
        <v>CRÉDITO</v>
      </c>
      <c r="B525" s="138" t="str">
        <f>+IF((PROVEEDORES[[#This Row],[FECHA DE PAGO]]-PROVEEDORES[[#This Row],[FECHA DE FACTURACIÓN]])&gt;PROVEEDORES[[#This Row],[PLAZO Días]],"PAGO VENCIDO")</f>
        <v>PAGO VENCIDO</v>
      </c>
      <c r="C525" s="138">
        <f>+VLOOKUP(PROVEEDORES[[#This Row],[PROVEEDOR]],TERCEROS_INFO[#All],2,FALSE)</f>
        <v>30</v>
      </c>
      <c r="D525" s="139">
        <f>+SUMIFS(PROVEEDORES[Total],PROVEEDORES[PROVEEDOR],PROVEEDORES[[#This Row],[PROVEEDOR]],PROVEEDORES[FECHA DE PAGO],"")</f>
        <v>3130000</v>
      </c>
      <c r="E525" s="140"/>
      <c r="F525" s="138">
        <f>+VLOOKUP(PROVEEDORES[[#This Row],[PROVEEDOR]],
                       Terceros!$A:$F,
                       5,
                       FALSE)</f>
        <v>0</v>
      </c>
      <c r="G525" s="127">
        <v>45139</v>
      </c>
      <c r="H525" s="123" t="s">
        <v>472</v>
      </c>
      <c r="I525" s="127">
        <v>45091</v>
      </c>
      <c r="J525" s="124">
        <v>2011</v>
      </c>
      <c r="K525" s="124" t="s">
        <v>1530</v>
      </c>
      <c r="L525" s="124"/>
      <c r="M525" s="125">
        <v>205000</v>
      </c>
      <c r="N525" s="148">
        <v>0</v>
      </c>
      <c r="O525" s="148">
        <v>0</v>
      </c>
      <c r="P525" s="149">
        <v>0</v>
      </c>
      <c r="Q525" s="148">
        <v>0</v>
      </c>
      <c r="R525" s="150">
        <v>205000</v>
      </c>
      <c r="S5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5" s="135">
        <f ca="1">+IF(PROVEEDORES[[#This Row],[FECHA DE PAGO]]=0,TODAY()-PROVEEDORES[[#This Row],[FECHA DE FACTURACIÓN]]-PROVEEDORES[[#This Row],[PLAZO Días]],0)</f>
        <v>0</v>
      </c>
      <c r="U525" s="135">
        <f>+VLOOKUP(PROVEEDORES[[#This Row],[PROVEEDOR]],Terceros!$A:$D,4,FALSE)</f>
        <v>0</v>
      </c>
      <c r="V525" s="135">
        <f>+YEAR(PROVEEDORES[[#This Row],[FECHA DE FACTURACIÓN]])</f>
        <v>2023</v>
      </c>
      <c r="W525" s="135">
        <f>+MATCH(PROVEEDORES[[#This Row],[año facturado]],Retenciones!$1:$1,0)</f>
        <v>6</v>
      </c>
      <c r="X525" s="136">
        <f>+VLOOKUP(PROVEEDORES[[#This Row],[ID RETENCION]],Retenciones!$A$1:$O$25,PROVEEDORES[[#This Row],[indicador de columna]],FALSE)</f>
        <v>0</v>
      </c>
      <c r="Y525" s="137">
        <f>+VLOOKUP(PROVEEDORES[[#This Row],[ID RETENCION]],Retenciones!$A$1:$O$25,2,FALSE)</f>
        <v>0</v>
      </c>
      <c r="Z525" s="126" t="b">
        <f>+OR(COUNTIF(PROVEEDORES[[#This Row],[PROVEEDOR]],"*"&amp;'Palabra que no opera y Listas d'!$A$2&amp;"*"))</f>
        <v>0</v>
      </c>
    </row>
    <row r="526" spans="1:26" ht="27.75" customHeight="1" x14ac:dyDescent="0.25">
      <c r="A526" s="141" t="str">
        <f>+IF(PROVEEDORES[[#This Row],[FECHA DE PAGO]]=PROVEEDORES[[#This Row],[FECHA DE FACTURACIÓN]],"DE CONTADO","CRÉDITO")</f>
        <v>CRÉDITO</v>
      </c>
      <c r="B526" s="138" t="str">
        <f>+IF((PROVEEDORES[[#This Row],[FECHA DE PAGO]]-PROVEEDORES[[#This Row],[FECHA DE FACTURACIÓN]])&gt;PROVEEDORES[[#This Row],[PLAZO Días]],"PAGO VENCIDO")</f>
        <v>PAGO VENCIDO</v>
      </c>
      <c r="C526" s="138">
        <f>+VLOOKUP(PROVEEDORES[[#This Row],[PROVEEDOR]],TERCEROS_INFO[#All],2,FALSE)</f>
        <v>30</v>
      </c>
      <c r="D526" s="139">
        <f>+SUMIFS(PROVEEDORES[Total],PROVEEDORES[PROVEEDOR],PROVEEDORES[[#This Row],[PROVEEDOR]],PROVEEDORES[FECHA DE PAGO],"")</f>
        <v>1460000.29</v>
      </c>
      <c r="E526" s="140"/>
      <c r="F526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526" s="127">
        <v>45139</v>
      </c>
      <c r="H526" s="123" t="s">
        <v>131</v>
      </c>
      <c r="I526" s="127">
        <v>45094</v>
      </c>
      <c r="J526" s="124" t="s">
        <v>849</v>
      </c>
      <c r="K526" s="124" t="s">
        <v>1530</v>
      </c>
      <c r="L526" s="124"/>
      <c r="M526" s="125">
        <v>537815</v>
      </c>
      <c r="N526" s="148">
        <v>102184.85</v>
      </c>
      <c r="O526" s="148">
        <v>0</v>
      </c>
      <c r="P526" s="149">
        <v>0</v>
      </c>
      <c r="Q526" s="148">
        <v>0</v>
      </c>
      <c r="R526" s="150">
        <v>639999.85</v>
      </c>
      <c r="S5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6" s="135">
        <f ca="1">+IF(PROVEEDORES[[#This Row],[FECHA DE PAGO]]=0,TODAY()-PROVEEDORES[[#This Row],[FECHA DE FACTURACIÓN]]-PROVEEDORES[[#This Row],[PLAZO Días]],0)</f>
        <v>0</v>
      </c>
      <c r="U526" s="135" t="str">
        <f>+VLOOKUP(PROVEEDORES[[#This Row],[PROVEEDOR]],Terceros!$A:$D,4,FALSE)</f>
        <v>2,5% con base</v>
      </c>
      <c r="V526" s="135">
        <f>+YEAR(PROVEEDORES[[#This Row],[FECHA DE FACTURACIÓN]])</f>
        <v>2023</v>
      </c>
      <c r="W526" s="135">
        <f>+MATCH(PROVEEDORES[[#This Row],[año facturado]],Retenciones!$1:$1,0)</f>
        <v>6</v>
      </c>
      <c r="X526" s="136">
        <f>+VLOOKUP(PROVEEDORES[[#This Row],[ID RETENCION]],Retenciones!$A$1:$O$25,PROVEEDORES[[#This Row],[indicador de columna]],FALSE)</f>
        <v>1145000</v>
      </c>
      <c r="Y526" s="137">
        <f>+VLOOKUP(PROVEEDORES[[#This Row],[ID RETENCION]],Retenciones!$A$1:$O$25,2,FALSE)</f>
        <v>2.5000000000000001E-2</v>
      </c>
      <c r="Z526" s="126" t="b">
        <f>+OR(COUNTIF(PROVEEDORES[[#This Row],[PROVEEDOR]],"*"&amp;'Palabra que no opera y Listas d'!$A$2&amp;"*"))</f>
        <v>0</v>
      </c>
    </row>
    <row r="527" spans="1:26" ht="27.75" customHeight="1" x14ac:dyDescent="0.25">
      <c r="A527" s="141" t="str">
        <f>+IF(PROVEEDORES[[#This Row],[FECHA DE PAGO]]=PROVEEDORES[[#This Row],[FECHA DE FACTURACIÓN]],"DE CONTADO","CRÉDITO")</f>
        <v>CRÉDITO</v>
      </c>
      <c r="B527" s="138" t="str">
        <f>+IF((PROVEEDORES[[#This Row],[FECHA DE PAGO]]-PROVEEDORES[[#This Row],[FECHA DE FACTURACIÓN]])&gt;PROVEEDORES[[#This Row],[PLAZO Días]],"PAGO VENCIDO")</f>
        <v>PAGO VENCIDO</v>
      </c>
      <c r="C527" s="138">
        <f>+VLOOKUP(PROVEEDORES[[#This Row],[PROVEEDOR]],TERCEROS_INFO[#All],2,FALSE)</f>
        <v>30</v>
      </c>
      <c r="D527" s="139">
        <f>+SUMIFS(PROVEEDORES[Total],PROVEEDORES[PROVEEDOR],PROVEEDORES[[#This Row],[PROVEEDOR]],PROVEEDORES[FECHA DE PAGO],"")</f>
        <v>5427539.2800000003</v>
      </c>
      <c r="E527" s="140"/>
      <c r="F527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527" s="127">
        <v>45139</v>
      </c>
      <c r="H527" s="123" t="s">
        <v>11</v>
      </c>
      <c r="I527" s="127">
        <v>45098</v>
      </c>
      <c r="J527" s="124" t="s">
        <v>885</v>
      </c>
      <c r="K527" s="124" t="s">
        <v>1530</v>
      </c>
      <c r="L527" s="124"/>
      <c r="M527" s="125">
        <v>2480677</v>
      </c>
      <c r="N527" s="148">
        <v>471328.63</v>
      </c>
      <c r="O527" s="148">
        <v>0</v>
      </c>
      <c r="P527" s="149">
        <v>2.5000000000000001E-2</v>
      </c>
      <c r="Q527" s="148">
        <v>62016.925000000003</v>
      </c>
      <c r="R527" s="150">
        <v>2889988.7050000001</v>
      </c>
      <c r="S5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7" s="135">
        <f ca="1">+IF(PROVEEDORES[[#This Row],[FECHA DE PAGO]]=0,TODAY()-PROVEEDORES[[#This Row],[FECHA DE FACTURACIÓN]]-PROVEEDORES[[#This Row],[PLAZO Días]],0)</f>
        <v>0</v>
      </c>
      <c r="U527" s="135" t="str">
        <f>+VLOOKUP(PROVEEDORES[[#This Row],[PROVEEDOR]],Terceros!$A:$D,4,FALSE)</f>
        <v>2,5% con base</v>
      </c>
      <c r="V527" s="135">
        <f>+YEAR(PROVEEDORES[[#This Row],[FECHA DE FACTURACIÓN]])</f>
        <v>2023</v>
      </c>
      <c r="W527" s="135">
        <f>+MATCH(PROVEEDORES[[#This Row],[año facturado]],Retenciones!$1:$1,0)</f>
        <v>6</v>
      </c>
      <c r="X527" s="136">
        <f>+VLOOKUP(PROVEEDORES[[#This Row],[ID RETENCION]],Retenciones!$A$1:$O$25,PROVEEDORES[[#This Row],[indicador de columna]],FALSE)</f>
        <v>1145000</v>
      </c>
      <c r="Y527" s="137">
        <f>+VLOOKUP(PROVEEDORES[[#This Row],[ID RETENCION]],Retenciones!$A$1:$O$25,2,FALSE)</f>
        <v>2.5000000000000001E-2</v>
      </c>
      <c r="Z527" s="126" t="b">
        <f>+OR(COUNTIF(PROVEEDORES[[#This Row],[PROVEEDOR]],"*"&amp;'Palabra que no opera y Listas d'!$A$2&amp;"*"))</f>
        <v>0</v>
      </c>
    </row>
    <row r="528" spans="1:26" ht="27.75" customHeight="1" x14ac:dyDescent="0.25">
      <c r="A528" s="141" t="str">
        <f>+IF(PROVEEDORES[[#This Row],[FECHA DE PAGO]]=PROVEEDORES[[#This Row],[FECHA DE FACTURACIÓN]],"DE CONTADO","CRÉDITO")</f>
        <v>CRÉDITO</v>
      </c>
      <c r="B528" s="138" t="str">
        <f>+IF((PROVEEDORES[[#This Row],[FECHA DE PAGO]]-PROVEEDORES[[#This Row],[FECHA DE FACTURACIÓN]])&gt;PROVEEDORES[[#This Row],[PLAZO Días]],"PAGO VENCIDO")</f>
        <v>PAGO VENCIDO</v>
      </c>
      <c r="C528" s="138">
        <f>+VLOOKUP(PROVEEDORES[[#This Row],[PROVEEDOR]],TERCEROS_INFO[#All],2,FALSE)</f>
        <v>30</v>
      </c>
      <c r="D528" s="139">
        <f>+SUMIFS(PROVEEDORES[Total],PROVEEDORES[PROVEEDOR],PROVEEDORES[[#This Row],[PROVEEDOR]],PROVEEDORES[FECHA DE PAGO],"")</f>
        <v>5427539.2800000003</v>
      </c>
      <c r="E528" s="140"/>
      <c r="F528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528" s="127">
        <v>45139</v>
      </c>
      <c r="H528" s="123" t="s">
        <v>11</v>
      </c>
      <c r="I528" s="127">
        <v>45105</v>
      </c>
      <c r="J528" s="124" t="s">
        <v>884</v>
      </c>
      <c r="K528" s="124" t="s">
        <v>1530</v>
      </c>
      <c r="L528" s="124"/>
      <c r="M528" s="125">
        <v>3882360</v>
      </c>
      <c r="N528" s="148">
        <v>737648.4</v>
      </c>
      <c r="O528" s="148">
        <v>0</v>
      </c>
      <c r="P528" s="149">
        <v>2.5000000000000001E-2</v>
      </c>
      <c r="Q528" s="148">
        <v>97059</v>
      </c>
      <c r="R528" s="150">
        <v>4522949.4000000004</v>
      </c>
      <c r="S5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8" s="135">
        <f ca="1">+IF(PROVEEDORES[[#This Row],[FECHA DE PAGO]]=0,TODAY()-PROVEEDORES[[#This Row],[FECHA DE FACTURACIÓN]]-PROVEEDORES[[#This Row],[PLAZO Días]],0)</f>
        <v>0</v>
      </c>
      <c r="U528" s="135" t="str">
        <f>+VLOOKUP(PROVEEDORES[[#This Row],[PROVEEDOR]],Terceros!$A:$D,4,FALSE)</f>
        <v>2,5% con base</v>
      </c>
      <c r="V528" s="135">
        <f>+YEAR(PROVEEDORES[[#This Row],[FECHA DE FACTURACIÓN]])</f>
        <v>2023</v>
      </c>
      <c r="W528" s="135">
        <f>+MATCH(PROVEEDORES[[#This Row],[año facturado]],Retenciones!$1:$1,0)</f>
        <v>6</v>
      </c>
      <c r="X528" s="136">
        <f>+VLOOKUP(PROVEEDORES[[#This Row],[ID RETENCION]],Retenciones!$A$1:$O$25,PROVEEDORES[[#This Row],[indicador de columna]],FALSE)</f>
        <v>1145000</v>
      </c>
      <c r="Y528" s="137">
        <f>+VLOOKUP(PROVEEDORES[[#This Row],[ID RETENCION]],Retenciones!$A$1:$O$25,2,FALSE)</f>
        <v>2.5000000000000001E-2</v>
      </c>
      <c r="Z528" s="126" t="b">
        <f>+OR(COUNTIF(PROVEEDORES[[#This Row],[PROVEEDOR]],"*"&amp;'Palabra que no opera y Listas d'!$A$2&amp;"*"))</f>
        <v>0</v>
      </c>
    </row>
    <row r="529" spans="1:26" ht="27.75" customHeight="1" x14ac:dyDescent="0.25">
      <c r="A529" s="141" t="str">
        <f>+IF(PROVEEDORES[[#This Row],[FECHA DE PAGO]]=PROVEEDORES[[#This Row],[FECHA DE FACTURACIÓN]],"DE CONTADO","CRÉDITO")</f>
        <v>CRÉDITO</v>
      </c>
      <c r="B529" s="138" t="b">
        <f>+IF((PROVEEDORES[[#This Row],[FECHA DE PAGO]]-PROVEEDORES[[#This Row],[FECHA DE FACTURACIÓN]])&gt;PROVEEDORES[[#This Row],[PLAZO Días]],"PAGO VENCIDO")</f>
        <v>0</v>
      </c>
      <c r="C529" s="138">
        <f>+VLOOKUP(PROVEEDORES[[#This Row],[PROVEEDOR]],TERCEROS_INFO[#All],2,FALSE)</f>
        <v>30</v>
      </c>
      <c r="D529" s="139">
        <f>+SUMIFS(PROVEEDORES[Total],PROVEEDORES[PROVEEDOR],PROVEEDORES[[#This Row],[PROVEEDOR]],PROVEEDORES[FECHA DE PAGO],"")</f>
        <v>0</v>
      </c>
      <c r="E529" s="140"/>
      <c r="F529" s="138">
        <f>+VLOOKUP(PROVEEDORES[[#This Row],[PROVEEDOR]],
                       Terceros!$A:$F,
                       5,
                       FALSE)</f>
        <v>0</v>
      </c>
      <c r="G529" s="127">
        <v>45139</v>
      </c>
      <c r="H529" s="123" t="s">
        <v>1805</v>
      </c>
      <c r="I529" s="127">
        <v>45112</v>
      </c>
      <c r="J529" s="124" t="s">
        <v>928</v>
      </c>
      <c r="K529" s="124" t="s">
        <v>1530</v>
      </c>
      <c r="L529" s="124"/>
      <c r="M529" s="125">
        <v>504000</v>
      </c>
      <c r="N529" s="148">
        <v>0</v>
      </c>
      <c r="O529" s="148">
        <v>0</v>
      </c>
      <c r="P529" s="149">
        <v>0</v>
      </c>
      <c r="Q529" s="148">
        <v>0</v>
      </c>
      <c r="R529" s="150">
        <v>504000</v>
      </c>
      <c r="S5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29" s="135">
        <f ca="1">+IF(PROVEEDORES[[#This Row],[FECHA DE PAGO]]=0,TODAY()-PROVEEDORES[[#This Row],[FECHA DE FACTURACIÓN]]-PROVEEDORES[[#This Row],[PLAZO Días]],0)</f>
        <v>0</v>
      </c>
      <c r="U529" s="135">
        <f>+VLOOKUP(PROVEEDORES[[#This Row],[PROVEEDOR]],Terceros!$A:$D,4,FALSE)</f>
        <v>0</v>
      </c>
      <c r="V529" s="135">
        <f>+YEAR(PROVEEDORES[[#This Row],[FECHA DE FACTURACIÓN]])</f>
        <v>2023</v>
      </c>
      <c r="W529" s="135">
        <f>+MATCH(PROVEEDORES[[#This Row],[año facturado]],Retenciones!$1:$1,0)</f>
        <v>6</v>
      </c>
      <c r="X529" s="136">
        <f>+VLOOKUP(PROVEEDORES[[#This Row],[ID RETENCION]],Retenciones!$A$1:$O$25,PROVEEDORES[[#This Row],[indicador de columna]],FALSE)</f>
        <v>0</v>
      </c>
      <c r="Y529" s="137">
        <f>+VLOOKUP(PROVEEDORES[[#This Row],[ID RETENCION]],Retenciones!$A$1:$O$25,2,FALSE)</f>
        <v>0</v>
      </c>
      <c r="Z529" s="126" t="b">
        <f>+OR(COUNTIF(PROVEEDORES[[#This Row],[PROVEEDOR]],"*"&amp;'Palabra que no opera y Listas d'!$A$2&amp;"*"))</f>
        <v>0</v>
      </c>
    </row>
    <row r="530" spans="1:26" ht="27.75" customHeight="1" x14ac:dyDescent="0.25">
      <c r="A530" s="141" t="str">
        <f>+IF(PROVEEDORES[[#This Row],[FECHA DE PAGO]]=PROVEEDORES[[#This Row],[FECHA DE FACTURACIÓN]],"DE CONTADO","CRÉDITO")</f>
        <v>CRÉDITO</v>
      </c>
      <c r="B530" s="138" t="str">
        <f>+IF((PROVEEDORES[[#This Row],[FECHA DE PAGO]]-PROVEEDORES[[#This Row],[FECHA DE FACTURACIÓN]])&gt;PROVEEDORES[[#This Row],[PLAZO Días]],"PAGO VENCIDO")</f>
        <v>PAGO VENCIDO</v>
      </c>
      <c r="C530" s="138">
        <f>+VLOOKUP(PROVEEDORES[[#This Row],[PROVEEDOR]],TERCEROS_INFO[#All],2,FALSE)</f>
        <v>90</v>
      </c>
      <c r="D530" s="139">
        <f>+SUMIFS(PROVEEDORES[Total],PROVEEDORES[PROVEEDOR],PROVEEDORES[[#This Row],[PROVEEDOR]],PROVEEDORES[FECHA DE PAGO],"")</f>
        <v>17710735.315650001</v>
      </c>
      <c r="E530" s="140"/>
      <c r="F530" s="13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530" s="127">
        <v>45140</v>
      </c>
      <c r="H530" s="123" t="s">
        <v>12</v>
      </c>
      <c r="I530" s="127">
        <v>45030</v>
      </c>
      <c r="J530" s="124" t="s">
        <v>707</v>
      </c>
      <c r="K530" s="124" t="s">
        <v>1530</v>
      </c>
      <c r="L530" s="124"/>
      <c r="M530" s="125">
        <v>15915968</v>
      </c>
      <c r="N530" s="148">
        <v>3024033.92</v>
      </c>
      <c r="O530" s="148">
        <v>0</v>
      </c>
      <c r="P530" s="149">
        <v>2.5000000000000001E-2</v>
      </c>
      <c r="Q530" s="148">
        <v>397899.2</v>
      </c>
      <c r="R530" s="150">
        <v>18542102.720000003</v>
      </c>
      <c r="S5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0" s="135">
        <f ca="1">+IF(PROVEEDORES[[#This Row],[FECHA DE PAGO]]=0,TODAY()-PROVEEDORES[[#This Row],[FECHA DE FACTURACIÓN]]-PROVEEDORES[[#This Row],[PLAZO Días]],0)</f>
        <v>0</v>
      </c>
      <c r="U530" s="135" t="str">
        <f>+VLOOKUP(PROVEEDORES[[#This Row],[PROVEEDOR]],Terceros!$A:$D,4,FALSE)</f>
        <v>2,5% con base</v>
      </c>
      <c r="V530" s="135">
        <f>+YEAR(PROVEEDORES[[#This Row],[FECHA DE FACTURACIÓN]])</f>
        <v>2023</v>
      </c>
      <c r="W530" s="135">
        <f>+MATCH(PROVEEDORES[[#This Row],[año facturado]],Retenciones!$1:$1,0)</f>
        <v>6</v>
      </c>
      <c r="X530" s="136">
        <f>+VLOOKUP(PROVEEDORES[[#This Row],[ID RETENCION]],Retenciones!$A$1:$O$25,PROVEEDORES[[#This Row],[indicador de columna]],FALSE)</f>
        <v>1145000</v>
      </c>
      <c r="Y530" s="137">
        <f>+VLOOKUP(PROVEEDORES[[#This Row],[ID RETENCION]],Retenciones!$A$1:$O$25,2,FALSE)</f>
        <v>2.5000000000000001E-2</v>
      </c>
      <c r="Z530" s="126" t="b">
        <f>+OR(COUNTIF(PROVEEDORES[[#This Row],[PROVEEDOR]],"*"&amp;'Palabra que no opera y Listas d'!$A$2&amp;"*"))</f>
        <v>0</v>
      </c>
    </row>
    <row r="531" spans="1:26" ht="27.75" customHeight="1" x14ac:dyDescent="0.25">
      <c r="A531" s="141" t="str">
        <f>+IF(PROVEEDORES[[#This Row],[FECHA DE PAGO]]=PROVEEDORES[[#This Row],[FECHA DE FACTURACIÓN]],"DE CONTADO","CRÉDITO")</f>
        <v>CRÉDITO</v>
      </c>
      <c r="B531" s="138" t="e">
        <f>+IF((PROVEEDORES[[#This Row],[FECHA DE PAGO]]-PROVEEDORES[[#This Row],[FECHA DE FACTURACIÓN]])&gt;PROVEEDORES[[#This Row],[PLAZO Días]],"PAGO VENCIDO")</f>
        <v>#N/A</v>
      </c>
      <c r="C531" s="138" t="e">
        <f>+VLOOKUP(PROVEEDORES[[#This Row],[PROVEEDOR]],TERCEROS_INFO[#All],2,FALSE)</f>
        <v>#N/A</v>
      </c>
      <c r="D531" s="139">
        <f>+SUMIFS(PROVEEDORES[Total],PROVEEDORES[PROVEEDOR],PROVEEDORES[[#This Row],[PROVEEDOR]],PROVEEDORES[FECHA DE PAGO],"")</f>
        <v>0</v>
      </c>
      <c r="E531" s="140"/>
      <c r="F531" s="138" t="e">
        <f>+VLOOKUP(PROVEEDORES[[#This Row],[PROVEEDOR]],
                       Terceros!$A:$F,
                       5,
                       FALSE)</f>
        <v>#N/A</v>
      </c>
      <c r="G531" s="127">
        <v>45140</v>
      </c>
      <c r="H531" s="123" t="s">
        <v>188</v>
      </c>
      <c r="I531" s="127">
        <v>45037</v>
      </c>
      <c r="J531" s="124" t="s">
        <v>735</v>
      </c>
      <c r="K531" s="124" t="s">
        <v>1530</v>
      </c>
      <c r="L531" s="124"/>
      <c r="M531" s="125">
        <v>6747647</v>
      </c>
      <c r="N531" s="148">
        <v>1282052.93</v>
      </c>
      <c r="O531" s="148">
        <v>0</v>
      </c>
      <c r="P531" s="149">
        <v>2.5000000000000001E-2</v>
      </c>
      <c r="Q531" s="148">
        <v>168691.17500000002</v>
      </c>
      <c r="R531" s="150">
        <v>7861008.7549999999</v>
      </c>
      <c r="S5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1" s="135">
        <f ca="1">+IF(PROVEEDORES[[#This Row],[FECHA DE PAGO]]=0,TODAY()-PROVEEDORES[[#This Row],[FECHA DE FACTURACIÓN]]-PROVEEDORES[[#This Row],[PLAZO Días]],0)</f>
        <v>0</v>
      </c>
      <c r="U531" s="135" t="e">
        <f>+VLOOKUP(PROVEEDORES[[#This Row],[PROVEEDOR]],Terceros!$A:$D,4,FALSE)</f>
        <v>#N/A</v>
      </c>
      <c r="V531" s="135">
        <f>+YEAR(PROVEEDORES[[#This Row],[FECHA DE FACTURACIÓN]])</f>
        <v>2023</v>
      </c>
      <c r="W531" s="135">
        <f>+MATCH(PROVEEDORES[[#This Row],[año facturado]],Retenciones!$1:$1,0)</f>
        <v>6</v>
      </c>
      <c r="X531" s="136" t="e">
        <f>+VLOOKUP(PROVEEDORES[[#This Row],[ID RETENCION]],Retenciones!$A$1:$O$25,PROVEEDORES[[#This Row],[indicador de columna]],FALSE)</f>
        <v>#N/A</v>
      </c>
      <c r="Y531" s="137" t="e">
        <f>+VLOOKUP(PROVEEDORES[[#This Row],[ID RETENCION]],Retenciones!$A$1:$O$25,2,FALSE)</f>
        <v>#N/A</v>
      </c>
      <c r="Z531" s="126" t="b">
        <f>+OR(COUNTIF(PROVEEDORES[[#This Row],[PROVEEDOR]],"*"&amp;'Palabra que no opera y Listas d'!$A$2&amp;"*"))</f>
        <v>0</v>
      </c>
    </row>
    <row r="532" spans="1:26" ht="27.75" customHeight="1" x14ac:dyDescent="0.25">
      <c r="A532" s="141" t="str">
        <f>+IF(PROVEEDORES[[#This Row],[FECHA DE PAGO]]=PROVEEDORES[[#This Row],[FECHA DE FACTURACIÓN]],"DE CONTADO","CRÉDITO")</f>
        <v>CRÉDITO</v>
      </c>
      <c r="B532" s="138" t="str">
        <f>+IF((PROVEEDORES[[#This Row],[FECHA DE PAGO]]-PROVEEDORES[[#This Row],[FECHA DE FACTURACIÓN]])&gt;PROVEEDORES[[#This Row],[PLAZO Días]],"PAGO VENCIDO")</f>
        <v>PAGO VENCIDO</v>
      </c>
      <c r="C532" s="138">
        <f>+VLOOKUP(PROVEEDORES[[#This Row],[PROVEEDOR]],TERCEROS_INFO[#All],2,FALSE)</f>
        <v>30</v>
      </c>
      <c r="D532" s="139">
        <f>+SUMIFS(PROVEEDORES[Total],PROVEEDORES[PROVEEDOR],PROVEEDORES[[#This Row],[PROVEEDOR]],PROVEEDORES[FECHA DE PAGO],"")</f>
        <v>0</v>
      </c>
      <c r="E532" s="140"/>
      <c r="F532" s="138" t="str">
        <f>+VLOOKUP(PROVEEDORES[[#This Row],[PROVEEDOR]],
                       Terceros!$A:$F,
                       5,
                       FALSE)</f>
        <v/>
      </c>
      <c r="G532" s="127">
        <v>45140</v>
      </c>
      <c r="H532" s="123" t="s">
        <v>1811</v>
      </c>
      <c r="I532" s="127">
        <v>45062</v>
      </c>
      <c r="J532" s="124" t="s">
        <v>781</v>
      </c>
      <c r="K532" s="124" t="s">
        <v>1530</v>
      </c>
      <c r="L532" s="124"/>
      <c r="M532" s="125">
        <v>2965000</v>
      </c>
      <c r="N532" s="148">
        <v>0</v>
      </c>
      <c r="O532" s="148">
        <v>0</v>
      </c>
      <c r="P532" s="149">
        <v>0</v>
      </c>
      <c r="Q532" s="148">
        <v>0</v>
      </c>
      <c r="R532" s="150">
        <v>2965000</v>
      </c>
      <c r="S5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2" s="135">
        <f ca="1">+IF(PROVEEDORES[[#This Row],[FECHA DE PAGO]]=0,TODAY()-PROVEEDORES[[#This Row],[FECHA DE FACTURACIÓN]]-PROVEEDORES[[#This Row],[PLAZO Días]],0)</f>
        <v>0</v>
      </c>
      <c r="U532" s="135">
        <f>+VLOOKUP(PROVEEDORES[[#This Row],[PROVEEDOR]],Terceros!$A:$D,4,FALSE)</f>
        <v>0</v>
      </c>
      <c r="V532" s="135">
        <f>+YEAR(PROVEEDORES[[#This Row],[FECHA DE FACTURACIÓN]])</f>
        <v>2023</v>
      </c>
      <c r="W532" s="135">
        <f>+MATCH(PROVEEDORES[[#This Row],[año facturado]],Retenciones!$1:$1,0)</f>
        <v>6</v>
      </c>
      <c r="X532" s="136">
        <f>+VLOOKUP(PROVEEDORES[[#This Row],[ID RETENCION]],Retenciones!$A$1:$O$25,PROVEEDORES[[#This Row],[indicador de columna]],FALSE)</f>
        <v>0</v>
      </c>
      <c r="Y532" s="137">
        <f>+VLOOKUP(PROVEEDORES[[#This Row],[ID RETENCION]],Retenciones!$A$1:$O$25,2,FALSE)</f>
        <v>0</v>
      </c>
      <c r="Z532" s="126" t="b">
        <f>+OR(COUNTIF(PROVEEDORES[[#This Row],[PROVEEDOR]],"*"&amp;'Palabra que no opera y Listas d'!$A$2&amp;"*"))</f>
        <v>0</v>
      </c>
    </row>
    <row r="533" spans="1:26" ht="27.75" customHeight="1" x14ac:dyDescent="0.25">
      <c r="A533" s="141" t="str">
        <f>+IF(PROVEEDORES[[#This Row],[FECHA DE PAGO]]=PROVEEDORES[[#This Row],[FECHA DE FACTURACIÓN]],"DE CONTADO","CRÉDITO")</f>
        <v>CRÉDITO</v>
      </c>
      <c r="B533" s="138" t="b">
        <f>+IF((PROVEEDORES[[#This Row],[FECHA DE PAGO]]-PROVEEDORES[[#This Row],[FECHA DE FACTURACIÓN]])&gt;PROVEEDORES[[#This Row],[PLAZO Días]],"PAGO VENCIDO")</f>
        <v>0</v>
      </c>
      <c r="C533" s="138">
        <f>+VLOOKUP(PROVEEDORES[[#This Row],[PROVEEDOR]],TERCEROS_INFO[#All],2,FALSE)</f>
        <v>30</v>
      </c>
      <c r="D533" s="139">
        <f>+SUMIFS(PROVEEDORES[Total],PROVEEDORES[PROVEEDOR],PROVEEDORES[[#This Row],[PROVEEDOR]],PROVEEDORES[FECHA DE PAGO],"")</f>
        <v>0</v>
      </c>
      <c r="E533" s="140"/>
      <c r="F533" s="138">
        <f>+VLOOKUP(PROVEEDORES[[#This Row],[PROVEEDOR]],
                       Terceros!$A:$F,
                       5,
                       FALSE)</f>
        <v>0</v>
      </c>
      <c r="G533" s="127">
        <v>45140</v>
      </c>
      <c r="H533" s="123" t="s">
        <v>836</v>
      </c>
      <c r="I533" s="127">
        <v>45138</v>
      </c>
      <c r="J533" s="124">
        <v>5</v>
      </c>
      <c r="K533" s="124" t="s">
        <v>1530</v>
      </c>
      <c r="L533" s="124"/>
      <c r="M533" s="125">
        <v>444000</v>
      </c>
      <c r="N533" s="148">
        <v>0</v>
      </c>
      <c r="O533" s="148">
        <v>0</v>
      </c>
      <c r="P533" s="149">
        <v>0</v>
      </c>
      <c r="Q533" s="148">
        <v>0</v>
      </c>
      <c r="R533" s="150">
        <v>444000</v>
      </c>
      <c r="S5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3" s="135">
        <f ca="1">+IF(PROVEEDORES[[#This Row],[FECHA DE PAGO]]=0,TODAY()-PROVEEDORES[[#This Row],[FECHA DE FACTURACIÓN]]-PROVEEDORES[[#This Row],[PLAZO Días]],0)</f>
        <v>0</v>
      </c>
      <c r="U533" s="135">
        <f>+VLOOKUP(PROVEEDORES[[#This Row],[PROVEEDOR]],Terceros!$A:$D,4,FALSE)</f>
        <v>0</v>
      </c>
      <c r="V533" s="135">
        <f>+YEAR(PROVEEDORES[[#This Row],[FECHA DE FACTURACIÓN]])</f>
        <v>2023</v>
      </c>
      <c r="W533" s="135">
        <f>+MATCH(PROVEEDORES[[#This Row],[año facturado]],Retenciones!$1:$1,0)</f>
        <v>6</v>
      </c>
      <c r="X533" s="136">
        <f>+VLOOKUP(PROVEEDORES[[#This Row],[ID RETENCION]],Retenciones!$A$1:$O$25,PROVEEDORES[[#This Row],[indicador de columna]],FALSE)</f>
        <v>0</v>
      </c>
      <c r="Y533" s="137">
        <f>+VLOOKUP(PROVEEDORES[[#This Row],[ID RETENCION]],Retenciones!$A$1:$O$25,2,FALSE)</f>
        <v>0</v>
      </c>
      <c r="Z533" s="126" t="b">
        <f>+OR(COUNTIF(PROVEEDORES[[#This Row],[PROVEEDOR]],"*"&amp;'Palabra que no opera y Listas d'!$A$2&amp;"*"))</f>
        <v>0</v>
      </c>
    </row>
    <row r="534" spans="1:26" ht="27.75" customHeight="1" x14ac:dyDescent="0.25">
      <c r="A534" s="141" t="str">
        <f>+IF(PROVEEDORES[[#This Row],[FECHA DE PAGO]]=PROVEEDORES[[#This Row],[FECHA DE FACTURACIÓN]],"DE CONTADO","CRÉDITO")</f>
        <v>CRÉDITO</v>
      </c>
      <c r="B534" s="138" t="b">
        <f>+IF((PROVEEDORES[[#This Row],[FECHA DE PAGO]]-PROVEEDORES[[#This Row],[FECHA DE FACTURACIÓN]])&gt;PROVEEDORES[[#This Row],[PLAZO Días]],"PAGO VENCIDO")</f>
        <v>0</v>
      </c>
      <c r="C534" s="138">
        <f>+VLOOKUP(PROVEEDORES[[#This Row],[PROVEEDOR]],TERCEROS_INFO[#All],2,FALSE)</f>
        <v>30</v>
      </c>
      <c r="D534" s="139">
        <f>+SUMIFS(PROVEEDORES[Total],PROVEEDORES[PROVEEDOR],PROVEEDORES[[#This Row],[PROVEEDOR]],PROVEEDORES[FECHA DE PAGO],"")</f>
        <v>0</v>
      </c>
      <c r="E534" s="140"/>
      <c r="F534" s="138" t="str">
        <f>+VLOOKUP(PROVEEDORES[[#This Row],[PROVEEDOR]],
                       Terceros!$A:$F,
                       5,
                       FALSE)</f>
        <v/>
      </c>
      <c r="G534" s="127">
        <v>45140</v>
      </c>
      <c r="H534" s="123" t="s">
        <v>481</v>
      </c>
      <c r="I534" s="127">
        <v>45139</v>
      </c>
      <c r="J534" s="124" t="s">
        <v>963</v>
      </c>
      <c r="K534" s="124" t="s">
        <v>1530</v>
      </c>
      <c r="L534" s="124"/>
      <c r="M534" s="125">
        <v>10615000</v>
      </c>
      <c r="N534" s="148">
        <v>0</v>
      </c>
      <c r="O534" s="148">
        <v>0</v>
      </c>
      <c r="P534" s="149">
        <v>0</v>
      </c>
      <c r="Q534" s="148">
        <v>0</v>
      </c>
      <c r="R534" s="150">
        <v>10615000</v>
      </c>
      <c r="S5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4" s="135">
        <f ca="1">+IF(PROVEEDORES[[#This Row],[FECHA DE PAGO]]=0,TODAY()-PROVEEDORES[[#This Row],[FECHA DE FACTURACIÓN]]-PROVEEDORES[[#This Row],[PLAZO Días]],0)</f>
        <v>0</v>
      </c>
      <c r="U534" s="135">
        <f>+VLOOKUP(PROVEEDORES[[#This Row],[PROVEEDOR]],Terceros!$A:$D,4,FALSE)</f>
        <v>0</v>
      </c>
      <c r="V534" s="135">
        <f>+YEAR(PROVEEDORES[[#This Row],[FECHA DE FACTURACIÓN]])</f>
        <v>2023</v>
      </c>
      <c r="W534" s="135">
        <f>+MATCH(PROVEEDORES[[#This Row],[año facturado]],Retenciones!$1:$1,0)</f>
        <v>6</v>
      </c>
      <c r="X534" s="136">
        <f>+VLOOKUP(PROVEEDORES[[#This Row],[ID RETENCION]],Retenciones!$A$1:$O$25,PROVEEDORES[[#This Row],[indicador de columna]],FALSE)</f>
        <v>0</v>
      </c>
      <c r="Y534" s="137">
        <f>+VLOOKUP(PROVEEDORES[[#This Row],[ID RETENCION]],Retenciones!$A$1:$O$25,2,FALSE)</f>
        <v>0</v>
      </c>
      <c r="Z534" s="126" t="b">
        <f>+OR(COUNTIF(PROVEEDORES[[#This Row],[PROVEEDOR]],"*"&amp;'Palabra que no opera y Listas d'!$A$2&amp;"*"))</f>
        <v>0</v>
      </c>
    </row>
    <row r="535" spans="1:26" ht="27.75" customHeight="1" x14ac:dyDescent="0.25">
      <c r="A535" s="141" t="str">
        <f>+IF(PROVEEDORES[[#This Row],[FECHA DE PAGO]]=PROVEEDORES[[#This Row],[FECHA DE FACTURACIÓN]],"DE CONTADO","CRÉDITO")</f>
        <v>DE CONTADO</v>
      </c>
      <c r="B535" s="138" t="b">
        <f>+IF((PROVEEDORES[[#This Row],[FECHA DE PAGO]]-PROVEEDORES[[#This Row],[FECHA DE FACTURACIÓN]])&gt;PROVEEDORES[[#This Row],[PLAZO Días]],"PAGO VENCIDO")</f>
        <v>0</v>
      </c>
      <c r="C535" s="138">
        <f>+VLOOKUP(PROVEEDORES[[#This Row],[PROVEEDOR]],TERCEROS_INFO[#All],2,FALSE)</f>
        <v>30</v>
      </c>
      <c r="D535" s="139">
        <f>+SUMIFS(PROVEEDORES[Total],PROVEEDORES[PROVEEDOR],PROVEEDORES[[#This Row],[PROVEEDOR]],PROVEEDORES[FECHA DE PAGO],"")</f>
        <v>0</v>
      </c>
      <c r="E535" s="140"/>
      <c r="F535" s="138" t="str">
        <f>+VLOOKUP(PROVEEDORES[[#This Row],[PROVEEDOR]],
                       Terceros!$A:$F,
                       5,
                       FALSE)</f>
        <v/>
      </c>
      <c r="G535" s="127">
        <v>45140</v>
      </c>
      <c r="H535" s="123" t="s">
        <v>36</v>
      </c>
      <c r="I535" s="127">
        <v>45140</v>
      </c>
      <c r="J535" s="124" t="s">
        <v>947</v>
      </c>
      <c r="K535" s="124" t="s">
        <v>1530</v>
      </c>
      <c r="L535" s="124"/>
      <c r="M535" s="125">
        <v>160710</v>
      </c>
      <c r="N535" s="148">
        <v>30534.9</v>
      </c>
      <c r="O535" s="148">
        <v>0</v>
      </c>
      <c r="P535" s="149">
        <v>0</v>
      </c>
      <c r="Q535" s="148">
        <v>0</v>
      </c>
      <c r="R535" s="150">
        <v>191244.9</v>
      </c>
      <c r="S5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5" s="135">
        <f ca="1">+IF(PROVEEDORES[[#This Row],[FECHA DE PAGO]]=0,TODAY()-PROVEEDORES[[#This Row],[FECHA DE FACTURACIÓN]]-PROVEEDORES[[#This Row],[PLAZO Días]],0)</f>
        <v>0</v>
      </c>
      <c r="U535" s="135" t="str">
        <f>+VLOOKUP(PROVEEDORES[[#This Row],[PROVEEDOR]],Terceros!$A:$D,4,FALSE)</f>
        <v>2,5% con base</v>
      </c>
      <c r="V535" s="135">
        <f>+YEAR(PROVEEDORES[[#This Row],[FECHA DE FACTURACIÓN]])</f>
        <v>2023</v>
      </c>
      <c r="W535" s="135">
        <f>+MATCH(PROVEEDORES[[#This Row],[año facturado]],Retenciones!$1:$1,0)</f>
        <v>6</v>
      </c>
      <c r="X535" s="136">
        <f>+VLOOKUP(PROVEEDORES[[#This Row],[ID RETENCION]],Retenciones!$A$1:$O$25,PROVEEDORES[[#This Row],[indicador de columna]],FALSE)</f>
        <v>1145000</v>
      </c>
      <c r="Y535" s="137">
        <f>+VLOOKUP(PROVEEDORES[[#This Row],[ID RETENCION]],Retenciones!$A$1:$O$25,2,FALSE)</f>
        <v>2.5000000000000001E-2</v>
      </c>
      <c r="Z535" s="126" t="b">
        <f>+OR(COUNTIF(PROVEEDORES[[#This Row],[PROVEEDOR]],"*"&amp;'Palabra que no opera y Listas d'!$A$2&amp;"*"))</f>
        <v>0</v>
      </c>
    </row>
    <row r="536" spans="1:26" ht="27.75" customHeight="1" x14ac:dyDescent="0.25">
      <c r="A536" s="141" t="str">
        <f>+IF(PROVEEDORES[[#This Row],[FECHA DE PAGO]]=PROVEEDORES[[#This Row],[FECHA DE FACTURACIÓN]],"DE CONTADO","CRÉDITO")</f>
        <v>CRÉDITO</v>
      </c>
      <c r="B536" s="138" t="b">
        <f>+IF((PROVEEDORES[[#This Row],[FECHA DE PAGO]]-PROVEEDORES[[#This Row],[FECHA DE FACTURACIÓN]])&gt;PROVEEDORES[[#This Row],[PLAZO Días]],"PAGO VENCIDO")</f>
        <v>0</v>
      </c>
      <c r="C536" s="138">
        <f>+VLOOKUP(PROVEEDORES[[#This Row],[PROVEEDOR]],TERCEROS_INFO[#All],2,FALSE)</f>
        <v>30</v>
      </c>
      <c r="D536" s="139">
        <f>+SUMIFS(PROVEEDORES[Total],PROVEEDORES[PROVEEDOR],PROVEEDORES[[#This Row],[PROVEEDOR]],PROVEEDORES[FECHA DE PAGO],"")</f>
        <v>0</v>
      </c>
      <c r="E536" s="140"/>
      <c r="F536" s="138" t="str">
        <f>+VLOOKUP(PROVEEDORES[[#This Row],[PROVEEDOR]],
                       Terceros!$A:$F,
                       5,
                       FALSE)</f>
        <v/>
      </c>
      <c r="G536" s="127">
        <v>45141</v>
      </c>
      <c r="H536" s="123" t="s">
        <v>481</v>
      </c>
      <c r="I536" s="127">
        <v>45140</v>
      </c>
      <c r="J536" s="124" t="s">
        <v>966</v>
      </c>
      <c r="K536" s="124" t="s">
        <v>1530</v>
      </c>
      <c r="L536" s="124"/>
      <c r="M536" s="125">
        <v>918000</v>
      </c>
      <c r="N536" s="148">
        <v>0</v>
      </c>
      <c r="O536" s="148">
        <v>0</v>
      </c>
      <c r="P536" s="149">
        <v>0</v>
      </c>
      <c r="Q536" s="148">
        <v>0</v>
      </c>
      <c r="R536" s="150">
        <v>918000</v>
      </c>
      <c r="S5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6" s="135">
        <f ca="1">+IF(PROVEEDORES[[#This Row],[FECHA DE PAGO]]=0,TODAY()-PROVEEDORES[[#This Row],[FECHA DE FACTURACIÓN]]-PROVEEDORES[[#This Row],[PLAZO Días]],0)</f>
        <v>0</v>
      </c>
      <c r="U536" s="135">
        <f>+VLOOKUP(PROVEEDORES[[#This Row],[PROVEEDOR]],Terceros!$A:$D,4,FALSE)</f>
        <v>0</v>
      </c>
      <c r="V536" s="135">
        <f>+YEAR(PROVEEDORES[[#This Row],[FECHA DE FACTURACIÓN]])</f>
        <v>2023</v>
      </c>
      <c r="W536" s="135">
        <f>+MATCH(PROVEEDORES[[#This Row],[año facturado]],Retenciones!$1:$1,0)</f>
        <v>6</v>
      </c>
      <c r="X536" s="136">
        <f>+VLOOKUP(PROVEEDORES[[#This Row],[ID RETENCION]],Retenciones!$A$1:$O$25,PROVEEDORES[[#This Row],[indicador de columna]],FALSE)</f>
        <v>0</v>
      </c>
      <c r="Y536" s="137">
        <f>+VLOOKUP(PROVEEDORES[[#This Row],[ID RETENCION]],Retenciones!$A$1:$O$25,2,FALSE)</f>
        <v>0</v>
      </c>
      <c r="Z536" s="126" t="b">
        <f>+OR(COUNTIF(PROVEEDORES[[#This Row],[PROVEEDOR]],"*"&amp;'Palabra que no opera y Listas d'!$A$2&amp;"*"))</f>
        <v>0</v>
      </c>
    </row>
    <row r="537" spans="1:26" ht="27.75" customHeight="1" x14ac:dyDescent="0.25">
      <c r="A537" s="141" t="str">
        <f>+IF(PROVEEDORES[[#This Row],[FECHA DE PAGO]]=PROVEEDORES[[#This Row],[FECHA DE FACTURACIÓN]],"DE CONTADO","CRÉDITO")</f>
        <v>DE CONTADO</v>
      </c>
      <c r="B537" s="138" t="b">
        <f>+IF((PROVEEDORES[[#This Row],[FECHA DE PAGO]]-PROVEEDORES[[#This Row],[FECHA DE FACTURACIÓN]])&gt;PROVEEDORES[[#This Row],[PLAZO Días]],"PAGO VENCIDO")</f>
        <v>0</v>
      </c>
      <c r="C537" s="138">
        <f>+VLOOKUP(PROVEEDORES[[#This Row],[PROVEEDOR]],TERCEROS_INFO[#All],2,FALSE)</f>
        <v>30</v>
      </c>
      <c r="D537" s="139">
        <f>+SUMIFS(PROVEEDORES[Total],PROVEEDORES[PROVEEDOR],PROVEEDORES[[#This Row],[PROVEEDOR]],PROVEEDORES[FECHA DE PAGO],"")</f>
        <v>1350000</v>
      </c>
      <c r="E537" s="140"/>
      <c r="F537" s="138" t="str">
        <f>+VLOOKUP(PROVEEDORES[[#This Row],[PROVEEDOR]],
                       Terceros!$A:$F,
                       5,
                       FALSE)</f>
        <v/>
      </c>
      <c r="G537" s="127">
        <v>45141</v>
      </c>
      <c r="H537" s="123" t="s">
        <v>1807</v>
      </c>
      <c r="I537" s="127">
        <v>45141</v>
      </c>
      <c r="J537" s="124" t="s">
        <v>946</v>
      </c>
      <c r="K537" s="124" t="s">
        <v>1530</v>
      </c>
      <c r="L537" s="124"/>
      <c r="M537" s="125">
        <v>290000</v>
      </c>
      <c r="N537" s="148">
        <v>0</v>
      </c>
      <c r="O537" s="148">
        <v>0</v>
      </c>
      <c r="P537" s="149">
        <v>0</v>
      </c>
      <c r="Q537" s="148">
        <v>0</v>
      </c>
      <c r="R537" s="150">
        <v>290000</v>
      </c>
      <c r="S5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7" s="135">
        <f ca="1">+IF(PROVEEDORES[[#This Row],[FECHA DE PAGO]]=0,TODAY()-PROVEEDORES[[#This Row],[FECHA DE FACTURACIÓN]]-PROVEEDORES[[#This Row],[PLAZO Días]],0)</f>
        <v>0</v>
      </c>
      <c r="U537" s="135">
        <f>+VLOOKUP(PROVEEDORES[[#This Row],[PROVEEDOR]],Terceros!$A:$D,4,FALSE)</f>
        <v>0</v>
      </c>
      <c r="V537" s="135">
        <f>+YEAR(PROVEEDORES[[#This Row],[FECHA DE FACTURACIÓN]])</f>
        <v>2023</v>
      </c>
      <c r="W537" s="135">
        <f>+MATCH(PROVEEDORES[[#This Row],[año facturado]],Retenciones!$1:$1,0)</f>
        <v>6</v>
      </c>
      <c r="X537" s="136">
        <f>+VLOOKUP(PROVEEDORES[[#This Row],[ID RETENCION]],Retenciones!$A$1:$O$25,PROVEEDORES[[#This Row],[indicador de columna]],FALSE)</f>
        <v>0</v>
      </c>
      <c r="Y537" s="137">
        <f>+VLOOKUP(PROVEEDORES[[#This Row],[ID RETENCION]],Retenciones!$A$1:$O$25,2,FALSE)</f>
        <v>0</v>
      </c>
      <c r="Z537" s="126" t="b">
        <f>+OR(COUNTIF(PROVEEDORES[[#This Row],[PROVEEDOR]],"*"&amp;'Palabra que no opera y Listas d'!$A$2&amp;"*"))</f>
        <v>0</v>
      </c>
    </row>
    <row r="538" spans="1:26" ht="27.75" customHeight="1" x14ac:dyDescent="0.25">
      <c r="A538" s="141" t="str">
        <f>+IF(PROVEEDORES[[#This Row],[FECHA DE PAGO]]=PROVEEDORES[[#This Row],[FECHA DE FACTURACIÓN]],"DE CONTADO","CRÉDITO")</f>
        <v>CRÉDITO</v>
      </c>
      <c r="B538" s="138" t="str">
        <f>+IF((PROVEEDORES[[#This Row],[FECHA DE PAGO]]-PROVEEDORES[[#This Row],[FECHA DE FACTURACIÓN]])&gt;PROVEEDORES[[#This Row],[PLAZO Días]],"PAGO VENCIDO")</f>
        <v>PAGO VENCIDO</v>
      </c>
      <c r="C538" s="138">
        <f>+VLOOKUP(PROVEEDORES[[#This Row],[PROVEEDOR]],TERCEROS_INFO[#All],2,FALSE)</f>
        <v>30</v>
      </c>
      <c r="D538" s="139">
        <f>+SUMIFS(PROVEEDORES[Total],PROVEEDORES[PROVEEDOR],PROVEEDORES[[#This Row],[PROVEEDOR]],PROVEEDORES[FECHA DE PAGO],"")</f>
        <v>5581100</v>
      </c>
      <c r="E538" s="140"/>
      <c r="F538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538" s="127">
        <v>45142</v>
      </c>
      <c r="H538" s="123" t="s">
        <v>446</v>
      </c>
      <c r="I538" s="127">
        <v>45101</v>
      </c>
      <c r="J538" s="124" t="s">
        <v>878</v>
      </c>
      <c r="K538" s="124" t="s">
        <v>1530</v>
      </c>
      <c r="L538" s="124"/>
      <c r="M538" s="125">
        <v>7560000</v>
      </c>
      <c r="N538" s="148">
        <v>1436400</v>
      </c>
      <c r="O538" s="148">
        <v>0</v>
      </c>
      <c r="P538" s="149">
        <v>0</v>
      </c>
      <c r="Q538" s="148">
        <v>0</v>
      </c>
      <c r="R538" s="150">
        <v>8996400</v>
      </c>
      <c r="S5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8" s="135">
        <f ca="1">+IF(PROVEEDORES[[#This Row],[FECHA DE PAGO]]=0,TODAY()-PROVEEDORES[[#This Row],[FECHA DE FACTURACIÓN]]-PROVEEDORES[[#This Row],[PLAZO Días]],0)</f>
        <v>0</v>
      </c>
      <c r="U538" s="135">
        <f>+VLOOKUP(PROVEEDORES[[#This Row],[PROVEEDOR]],Terceros!$A:$D,4,FALSE)</f>
        <v>0</v>
      </c>
      <c r="V538" s="135">
        <f>+YEAR(PROVEEDORES[[#This Row],[FECHA DE FACTURACIÓN]])</f>
        <v>2023</v>
      </c>
      <c r="W538" s="135">
        <f>+MATCH(PROVEEDORES[[#This Row],[año facturado]],Retenciones!$1:$1,0)</f>
        <v>6</v>
      </c>
      <c r="X538" s="136">
        <f>+VLOOKUP(PROVEEDORES[[#This Row],[ID RETENCION]],Retenciones!$A$1:$O$25,PROVEEDORES[[#This Row],[indicador de columna]],FALSE)</f>
        <v>0</v>
      </c>
      <c r="Y538" s="137">
        <f>+VLOOKUP(PROVEEDORES[[#This Row],[ID RETENCION]],Retenciones!$A$1:$O$25,2,FALSE)</f>
        <v>0</v>
      </c>
      <c r="Z538" s="126" t="b">
        <f>+OR(COUNTIF(PROVEEDORES[[#This Row],[PROVEEDOR]],"*"&amp;'Palabra que no opera y Listas d'!$A$2&amp;"*"))</f>
        <v>0</v>
      </c>
    </row>
    <row r="539" spans="1:26" ht="27.75" customHeight="1" x14ac:dyDescent="0.25">
      <c r="A539" s="141" t="str">
        <f>+IF(PROVEEDORES[[#This Row],[FECHA DE PAGO]]=PROVEEDORES[[#This Row],[FECHA DE FACTURACIÓN]],"DE CONTADO","CRÉDITO")</f>
        <v>CRÉDITO</v>
      </c>
      <c r="B539" s="138" t="str">
        <f>+IF((PROVEEDORES[[#This Row],[FECHA DE PAGO]]-PROVEEDORES[[#This Row],[FECHA DE FACTURACIÓN]])&gt;PROVEEDORES[[#This Row],[PLAZO Días]],"PAGO VENCIDO")</f>
        <v>PAGO VENCIDO</v>
      </c>
      <c r="C539" s="138">
        <f>+VLOOKUP(PROVEEDORES[[#This Row],[PROVEEDOR]],TERCEROS_INFO[#All],2,FALSE)</f>
        <v>30</v>
      </c>
      <c r="D539" s="139">
        <f>+SUMIFS(PROVEEDORES[Total],PROVEEDORES[PROVEEDOR],PROVEEDORES[[#This Row],[PROVEEDOR]],PROVEEDORES[FECHA DE PAGO],"")</f>
        <v>5581100</v>
      </c>
      <c r="E539" s="140"/>
      <c r="F539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539" s="127">
        <v>45142</v>
      </c>
      <c r="H539" s="123" t="s">
        <v>446</v>
      </c>
      <c r="I539" s="127">
        <v>45104</v>
      </c>
      <c r="J539" s="124" t="s">
        <v>877</v>
      </c>
      <c r="K539" s="124" t="s">
        <v>1530</v>
      </c>
      <c r="L539" s="124"/>
      <c r="M539" s="125">
        <v>3240000</v>
      </c>
      <c r="N539" s="148">
        <v>615600</v>
      </c>
      <c r="O539" s="148">
        <v>0</v>
      </c>
      <c r="P539" s="149">
        <v>0</v>
      </c>
      <c r="Q539" s="148">
        <v>0</v>
      </c>
      <c r="R539" s="150">
        <v>3855600</v>
      </c>
      <c r="S5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39" s="135">
        <f ca="1">+IF(PROVEEDORES[[#This Row],[FECHA DE PAGO]]=0,TODAY()-PROVEEDORES[[#This Row],[FECHA DE FACTURACIÓN]]-PROVEEDORES[[#This Row],[PLAZO Días]],0)</f>
        <v>0</v>
      </c>
      <c r="U539" s="135">
        <f>+VLOOKUP(PROVEEDORES[[#This Row],[PROVEEDOR]],Terceros!$A:$D,4,FALSE)</f>
        <v>0</v>
      </c>
      <c r="V539" s="135">
        <f>+YEAR(PROVEEDORES[[#This Row],[FECHA DE FACTURACIÓN]])</f>
        <v>2023</v>
      </c>
      <c r="W539" s="135">
        <f>+MATCH(PROVEEDORES[[#This Row],[año facturado]],Retenciones!$1:$1,0)</f>
        <v>6</v>
      </c>
      <c r="X539" s="136">
        <f>+VLOOKUP(PROVEEDORES[[#This Row],[ID RETENCION]],Retenciones!$A$1:$O$25,PROVEEDORES[[#This Row],[indicador de columna]],FALSE)</f>
        <v>0</v>
      </c>
      <c r="Y539" s="137">
        <f>+VLOOKUP(PROVEEDORES[[#This Row],[ID RETENCION]],Retenciones!$A$1:$O$25,2,FALSE)</f>
        <v>0</v>
      </c>
      <c r="Z539" s="126" t="b">
        <f>+OR(COUNTIF(PROVEEDORES[[#This Row],[PROVEEDOR]],"*"&amp;'Palabra que no opera y Listas d'!$A$2&amp;"*"))</f>
        <v>0</v>
      </c>
    </row>
    <row r="540" spans="1:26" ht="27.75" customHeight="1" x14ac:dyDescent="0.25">
      <c r="A540" s="141" t="str">
        <f>+IF(PROVEEDORES[[#This Row],[FECHA DE PAGO]]=PROVEEDORES[[#This Row],[FECHA DE FACTURACIÓN]],"DE CONTADO","CRÉDITO")</f>
        <v>CRÉDITO</v>
      </c>
      <c r="B540" s="138" t="b">
        <f>+IF((PROVEEDORES[[#This Row],[FECHA DE PAGO]]-PROVEEDORES[[#This Row],[FECHA DE FACTURACIÓN]])&gt;PROVEEDORES[[#This Row],[PLAZO Días]],"PAGO VENCIDO")</f>
        <v>0</v>
      </c>
      <c r="C540" s="138">
        <f>+VLOOKUP(PROVEEDORES[[#This Row],[PROVEEDOR]],TERCEROS_INFO[#All],2,FALSE)</f>
        <v>30</v>
      </c>
      <c r="D540" s="139">
        <f>+SUMIFS(PROVEEDORES[Total],PROVEEDORES[PROVEEDOR],PROVEEDORES[[#This Row],[PROVEEDOR]],PROVEEDORES[FECHA DE PAGO],"")</f>
        <v>0</v>
      </c>
      <c r="E540" s="140"/>
      <c r="F540" s="138" t="str">
        <f>+VLOOKUP(PROVEEDORES[[#This Row],[PROVEEDOR]],
                       Terceros!$A:$F,
                       5,
                       FALSE)</f>
        <v/>
      </c>
      <c r="G540" s="127">
        <v>45142</v>
      </c>
      <c r="H540" s="123" t="s">
        <v>1803</v>
      </c>
      <c r="I540" s="127">
        <v>45141</v>
      </c>
      <c r="J540" s="124" t="s">
        <v>964</v>
      </c>
      <c r="K540" s="124" t="s">
        <v>1530</v>
      </c>
      <c r="L540" s="124"/>
      <c r="M540" s="125">
        <v>2713360</v>
      </c>
      <c r="N540" s="148">
        <v>0</v>
      </c>
      <c r="O540" s="148">
        <v>0</v>
      </c>
      <c r="P540" s="149">
        <v>0</v>
      </c>
      <c r="Q540" s="148">
        <v>0</v>
      </c>
      <c r="R540" s="150">
        <v>2713360</v>
      </c>
      <c r="S5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0" s="135">
        <f ca="1">+IF(PROVEEDORES[[#This Row],[FECHA DE PAGO]]=0,TODAY()-PROVEEDORES[[#This Row],[FECHA DE FACTURACIÓN]]-PROVEEDORES[[#This Row],[PLAZO Días]],0)</f>
        <v>0</v>
      </c>
      <c r="U540" s="135">
        <f>+VLOOKUP(PROVEEDORES[[#This Row],[PROVEEDOR]],Terceros!$A:$D,4,FALSE)</f>
        <v>0</v>
      </c>
      <c r="V540" s="135">
        <f>+YEAR(PROVEEDORES[[#This Row],[FECHA DE FACTURACIÓN]])</f>
        <v>2023</v>
      </c>
      <c r="W540" s="135">
        <f>+MATCH(PROVEEDORES[[#This Row],[año facturado]],Retenciones!$1:$1,0)</f>
        <v>6</v>
      </c>
      <c r="X540" s="136">
        <f>+VLOOKUP(PROVEEDORES[[#This Row],[ID RETENCION]],Retenciones!$A$1:$O$25,PROVEEDORES[[#This Row],[indicador de columna]],FALSE)</f>
        <v>0</v>
      </c>
      <c r="Y540" s="137">
        <f>+VLOOKUP(PROVEEDORES[[#This Row],[ID RETENCION]],Retenciones!$A$1:$O$25,2,FALSE)</f>
        <v>0</v>
      </c>
      <c r="Z540" s="126" t="b">
        <f>+OR(COUNTIF(PROVEEDORES[[#This Row],[PROVEEDOR]],"*"&amp;'Palabra que no opera y Listas d'!$A$2&amp;"*"))</f>
        <v>0</v>
      </c>
    </row>
    <row r="541" spans="1:26" ht="27.75" customHeight="1" x14ac:dyDescent="0.25">
      <c r="A541" s="141" t="str">
        <f>+IF(PROVEEDORES[[#This Row],[FECHA DE PAGO]]=PROVEEDORES[[#This Row],[FECHA DE FACTURACIÓN]],"DE CONTADO","CRÉDITO")</f>
        <v>DE CONTADO</v>
      </c>
      <c r="B541" s="138" t="b">
        <f>+IF((PROVEEDORES[[#This Row],[FECHA DE PAGO]]-PROVEEDORES[[#This Row],[FECHA DE FACTURACIÓN]])&gt;PROVEEDORES[[#This Row],[PLAZO Días]],"PAGO VENCIDO")</f>
        <v>0</v>
      </c>
      <c r="C541" s="138">
        <f>+VLOOKUP(PROVEEDORES[[#This Row],[PROVEEDOR]],TERCEROS_INFO[#All],2,FALSE)</f>
        <v>30</v>
      </c>
      <c r="D541" s="139">
        <f>+SUMIFS(PROVEEDORES[Total],PROVEEDORES[PROVEEDOR],PROVEEDORES[[#This Row],[PROVEEDOR]],PROVEEDORES[FECHA DE PAGO],"")</f>
        <v>1149500</v>
      </c>
      <c r="E541" s="140"/>
      <c r="F541" s="138" t="str">
        <f>+VLOOKUP(PROVEEDORES[[#This Row],[PROVEEDOR]],
                       Terceros!$A:$F,
                       5,
                       FALSE)</f>
        <v/>
      </c>
      <c r="G541" s="127">
        <v>45143</v>
      </c>
      <c r="H541" s="123" t="s">
        <v>1822</v>
      </c>
      <c r="I541" s="127">
        <v>45143</v>
      </c>
      <c r="J541" s="124">
        <v>50823</v>
      </c>
      <c r="K541" s="124" t="s">
        <v>1530</v>
      </c>
      <c r="L541" s="124"/>
      <c r="M541" s="125">
        <v>1263500</v>
      </c>
      <c r="N541" s="148">
        <v>0</v>
      </c>
      <c r="O541" s="148">
        <v>0</v>
      </c>
      <c r="P541" s="149">
        <v>0</v>
      </c>
      <c r="Q541" s="148">
        <v>0</v>
      </c>
      <c r="R541" s="150">
        <v>1263500</v>
      </c>
      <c r="S5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1" s="135">
        <f ca="1">+IF(PROVEEDORES[[#This Row],[FECHA DE PAGO]]=0,TODAY()-PROVEEDORES[[#This Row],[FECHA DE FACTURACIÓN]]-PROVEEDORES[[#This Row],[PLAZO Días]],0)</f>
        <v>0</v>
      </c>
      <c r="U541" s="135">
        <f>+VLOOKUP(PROVEEDORES[[#This Row],[PROVEEDOR]],Terceros!$A:$D,4,FALSE)</f>
        <v>0</v>
      </c>
      <c r="V541" s="135">
        <f>+YEAR(PROVEEDORES[[#This Row],[FECHA DE FACTURACIÓN]])</f>
        <v>2023</v>
      </c>
      <c r="W541" s="135">
        <f>+MATCH(PROVEEDORES[[#This Row],[año facturado]],Retenciones!$1:$1,0)</f>
        <v>6</v>
      </c>
      <c r="X541" s="136">
        <f>+VLOOKUP(PROVEEDORES[[#This Row],[ID RETENCION]],Retenciones!$A$1:$O$25,PROVEEDORES[[#This Row],[indicador de columna]],FALSE)</f>
        <v>0</v>
      </c>
      <c r="Y541" s="137">
        <f>+VLOOKUP(PROVEEDORES[[#This Row],[ID RETENCION]],Retenciones!$A$1:$O$25,2,FALSE)</f>
        <v>0</v>
      </c>
      <c r="Z541" s="126" t="b">
        <f>+OR(COUNTIF(PROVEEDORES[[#This Row],[PROVEEDOR]],"*"&amp;'Palabra que no opera y Listas d'!$A$2&amp;"*"))</f>
        <v>0</v>
      </c>
    </row>
    <row r="542" spans="1:26" ht="27.75" customHeight="1" x14ac:dyDescent="0.25">
      <c r="A542" s="141" t="str">
        <f>+IF(PROVEEDORES[[#This Row],[FECHA DE PAGO]]=PROVEEDORES[[#This Row],[FECHA DE FACTURACIÓN]],"DE CONTADO","CRÉDITO")</f>
        <v>DE CONTADO</v>
      </c>
      <c r="B542" s="138" t="b">
        <f>+IF((PROVEEDORES[[#This Row],[FECHA DE PAGO]]-PROVEEDORES[[#This Row],[FECHA DE FACTURACIÓN]])&gt;PROVEEDORES[[#This Row],[PLAZO Días]],"PAGO VENCIDO")</f>
        <v>0</v>
      </c>
      <c r="C542" s="138">
        <f>+VLOOKUP(PROVEEDORES[[#This Row],[PROVEEDOR]],TERCEROS_INFO[#All],2,FALSE)</f>
        <v>30</v>
      </c>
      <c r="D542" s="139">
        <f>+SUMIFS(PROVEEDORES[Total],PROVEEDORES[PROVEEDOR],PROVEEDORES[[#This Row],[PROVEEDOR]],PROVEEDORES[FECHA DE PAGO],"")</f>
        <v>0</v>
      </c>
      <c r="E542" s="140"/>
      <c r="F542" s="138" t="str">
        <f>+VLOOKUP(PROVEEDORES[[#This Row],[PROVEEDOR]],
                       Terceros!$A:$F,
                       5,
                       FALSE)</f>
        <v/>
      </c>
      <c r="G542" s="127">
        <v>45144</v>
      </c>
      <c r="H542" s="123" t="s">
        <v>1821</v>
      </c>
      <c r="I542" s="127">
        <v>45144</v>
      </c>
      <c r="J542" s="124" t="s">
        <v>965</v>
      </c>
      <c r="K542" s="124" t="s">
        <v>1530</v>
      </c>
      <c r="L542" s="124"/>
      <c r="M542" s="125">
        <v>680000</v>
      </c>
      <c r="N542" s="148">
        <v>0</v>
      </c>
      <c r="O542" s="148">
        <v>0</v>
      </c>
      <c r="P542" s="149">
        <v>0</v>
      </c>
      <c r="Q542" s="148">
        <v>0</v>
      </c>
      <c r="R542" s="150">
        <v>680000</v>
      </c>
      <c r="S5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2" s="135">
        <f ca="1">+IF(PROVEEDORES[[#This Row],[FECHA DE PAGO]]=0,TODAY()-PROVEEDORES[[#This Row],[FECHA DE FACTURACIÓN]]-PROVEEDORES[[#This Row],[PLAZO Días]],0)</f>
        <v>0</v>
      </c>
      <c r="U542" s="135">
        <f>+VLOOKUP(PROVEEDORES[[#This Row],[PROVEEDOR]],Terceros!$A:$D,4,FALSE)</f>
        <v>0</v>
      </c>
      <c r="V542" s="135">
        <f>+YEAR(PROVEEDORES[[#This Row],[FECHA DE FACTURACIÓN]])</f>
        <v>2023</v>
      </c>
      <c r="W542" s="135">
        <f>+MATCH(PROVEEDORES[[#This Row],[año facturado]],Retenciones!$1:$1,0)</f>
        <v>6</v>
      </c>
      <c r="X542" s="136">
        <f>+VLOOKUP(PROVEEDORES[[#This Row],[ID RETENCION]],Retenciones!$A$1:$O$25,PROVEEDORES[[#This Row],[indicador de columna]],FALSE)</f>
        <v>0</v>
      </c>
      <c r="Y542" s="137">
        <f>+VLOOKUP(PROVEEDORES[[#This Row],[ID RETENCION]],Retenciones!$A$1:$O$25,2,FALSE)</f>
        <v>0</v>
      </c>
      <c r="Z542" s="126" t="b">
        <f>+OR(COUNTIF(PROVEEDORES[[#This Row],[PROVEEDOR]],"*"&amp;'Palabra que no opera y Listas d'!$A$2&amp;"*"))</f>
        <v>0</v>
      </c>
    </row>
    <row r="543" spans="1:26" ht="27.75" customHeight="1" x14ac:dyDescent="0.25">
      <c r="A543" s="141" t="str">
        <f>+IF(PROVEEDORES[[#This Row],[FECHA DE PAGO]]=PROVEEDORES[[#This Row],[FECHA DE FACTURACIÓN]],"DE CONTADO","CRÉDITO")</f>
        <v>CRÉDITO</v>
      </c>
      <c r="B543" s="138" t="str">
        <f>+IF((PROVEEDORES[[#This Row],[FECHA DE PAGO]]-PROVEEDORES[[#This Row],[FECHA DE FACTURACIÓN]])&gt;PROVEEDORES[[#This Row],[PLAZO Días]],"PAGO VENCIDO")</f>
        <v>PAGO VENCIDO</v>
      </c>
      <c r="C543" s="138">
        <f>+VLOOKUP(PROVEEDORES[[#This Row],[PROVEEDOR]],TERCEROS_INFO[#All],2,FALSE)</f>
        <v>30</v>
      </c>
      <c r="D543" s="139">
        <f>+SUMIFS(PROVEEDORES[Total],PROVEEDORES[PROVEEDOR],PROVEEDORES[[#This Row],[PROVEEDOR]],PROVEEDORES[FECHA DE PAGO],"")</f>
        <v>0</v>
      </c>
      <c r="E543" s="140"/>
      <c r="F543" s="138" t="str">
        <f>+VLOOKUP(PROVEEDORES[[#This Row],[PROVEEDOR]],
                       Terceros!$A:$F,
                       5,
                       FALSE)</f>
        <v/>
      </c>
      <c r="G543" s="127">
        <v>45146</v>
      </c>
      <c r="H543" s="123" t="s">
        <v>1811</v>
      </c>
      <c r="I543" s="127">
        <v>45070</v>
      </c>
      <c r="J543" s="124" t="s">
        <v>859</v>
      </c>
      <c r="K543" s="124" t="s">
        <v>1530</v>
      </c>
      <c r="L543" s="124"/>
      <c r="M543" s="125">
        <v>250000</v>
      </c>
      <c r="N543" s="148">
        <v>0</v>
      </c>
      <c r="O543" s="148">
        <v>0</v>
      </c>
      <c r="P543" s="149">
        <v>0</v>
      </c>
      <c r="Q543" s="148">
        <v>0</v>
      </c>
      <c r="R543" s="150">
        <v>250000</v>
      </c>
      <c r="S5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3" s="135">
        <f ca="1">+IF(PROVEEDORES[[#This Row],[FECHA DE PAGO]]=0,TODAY()-PROVEEDORES[[#This Row],[FECHA DE FACTURACIÓN]]-PROVEEDORES[[#This Row],[PLAZO Días]],0)</f>
        <v>0</v>
      </c>
      <c r="U543" s="135">
        <f>+VLOOKUP(PROVEEDORES[[#This Row],[PROVEEDOR]],Terceros!$A:$D,4,FALSE)</f>
        <v>0</v>
      </c>
      <c r="V543" s="135">
        <f>+YEAR(PROVEEDORES[[#This Row],[FECHA DE FACTURACIÓN]])</f>
        <v>2023</v>
      </c>
      <c r="W543" s="135">
        <f>+MATCH(PROVEEDORES[[#This Row],[año facturado]],Retenciones!$1:$1,0)</f>
        <v>6</v>
      </c>
      <c r="X543" s="136">
        <f>+VLOOKUP(PROVEEDORES[[#This Row],[ID RETENCION]],Retenciones!$A$1:$O$25,PROVEEDORES[[#This Row],[indicador de columna]],FALSE)</f>
        <v>0</v>
      </c>
      <c r="Y543" s="137">
        <f>+VLOOKUP(PROVEEDORES[[#This Row],[ID RETENCION]],Retenciones!$A$1:$O$25,2,FALSE)</f>
        <v>0</v>
      </c>
      <c r="Z543" s="126" t="b">
        <f>+OR(COUNTIF(PROVEEDORES[[#This Row],[PROVEEDOR]],"*"&amp;'Palabra que no opera y Listas d'!$A$2&amp;"*"))</f>
        <v>0</v>
      </c>
    </row>
    <row r="544" spans="1:26" ht="27.75" customHeight="1" x14ac:dyDescent="0.25">
      <c r="A544" s="141" t="str">
        <f>+IF(PROVEEDORES[[#This Row],[FECHA DE PAGO]]=PROVEEDORES[[#This Row],[FECHA DE FACTURACIÓN]],"DE CONTADO","CRÉDITO")</f>
        <v>CRÉDITO</v>
      </c>
      <c r="B544" s="138" t="str">
        <f>+IF((PROVEEDORES[[#This Row],[FECHA DE PAGO]]-PROVEEDORES[[#This Row],[FECHA DE FACTURACIÓN]])&gt;PROVEEDORES[[#This Row],[PLAZO Días]],"PAGO VENCIDO")</f>
        <v>PAGO VENCIDO</v>
      </c>
      <c r="C544" s="138">
        <f>+VLOOKUP(PROVEEDORES[[#This Row],[PROVEEDOR]],TERCEROS_INFO[#All],2,FALSE)</f>
        <v>30</v>
      </c>
      <c r="D544" s="139">
        <f>+SUMIFS(PROVEEDORES[Total],PROVEEDORES[PROVEEDOR],PROVEEDORES[[#This Row],[PROVEEDOR]],PROVEEDORES[FECHA DE PAGO],"")</f>
        <v>0</v>
      </c>
      <c r="E544" s="140"/>
      <c r="F544" s="138" t="str">
        <f>+VLOOKUP(PROVEEDORES[[#This Row],[PROVEEDOR]],
                       Terceros!$A:$F,
                       5,
                       FALSE)</f>
        <v/>
      </c>
      <c r="G544" s="127">
        <v>45146</v>
      </c>
      <c r="H544" s="123" t="s">
        <v>1811</v>
      </c>
      <c r="I544" s="127">
        <v>45070</v>
      </c>
      <c r="J544" s="124" t="s">
        <v>806</v>
      </c>
      <c r="K544" s="124" t="s">
        <v>1530</v>
      </c>
      <c r="L544" s="124"/>
      <c r="M544" s="125">
        <v>2777500</v>
      </c>
      <c r="N544" s="148">
        <v>0</v>
      </c>
      <c r="O544" s="148">
        <v>0</v>
      </c>
      <c r="P544" s="149">
        <v>0</v>
      </c>
      <c r="Q544" s="148">
        <v>0</v>
      </c>
      <c r="R544" s="150">
        <v>2777500</v>
      </c>
      <c r="S5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4" s="135">
        <f ca="1">+IF(PROVEEDORES[[#This Row],[FECHA DE PAGO]]=0,TODAY()-PROVEEDORES[[#This Row],[FECHA DE FACTURACIÓN]]-PROVEEDORES[[#This Row],[PLAZO Días]],0)</f>
        <v>0</v>
      </c>
      <c r="U544" s="135">
        <f>+VLOOKUP(PROVEEDORES[[#This Row],[PROVEEDOR]],Terceros!$A:$D,4,FALSE)</f>
        <v>0</v>
      </c>
      <c r="V544" s="135">
        <f>+YEAR(PROVEEDORES[[#This Row],[FECHA DE FACTURACIÓN]])</f>
        <v>2023</v>
      </c>
      <c r="W544" s="135">
        <f>+MATCH(PROVEEDORES[[#This Row],[año facturado]],Retenciones!$1:$1,0)</f>
        <v>6</v>
      </c>
      <c r="X544" s="136">
        <f>+VLOOKUP(PROVEEDORES[[#This Row],[ID RETENCION]],Retenciones!$A$1:$O$25,PROVEEDORES[[#This Row],[indicador de columna]],FALSE)</f>
        <v>0</v>
      </c>
      <c r="Y544" s="137">
        <f>+VLOOKUP(PROVEEDORES[[#This Row],[ID RETENCION]],Retenciones!$A$1:$O$25,2,FALSE)</f>
        <v>0</v>
      </c>
      <c r="Z544" s="126" t="b">
        <f>+OR(COUNTIF(PROVEEDORES[[#This Row],[PROVEEDOR]],"*"&amp;'Palabra que no opera y Listas d'!$A$2&amp;"*"))</f>
        <v>0</v>
      </c>
    </row>
    <row r="545" spans="1:26" ht="27.75" customHeight="1" x14ac:dyDescent="0.25">
      <c r="A545" s="141" t="str">
        <f>+IF(PROVEEDORES[[#This Row],[FECHA DE PAGO]]=PROVEEDORES[[#This Row],[FECHA DE FACTURACIÓN]],"DE CONTADO","CRÉDITO")</f>
        <v>CRÉDITO</v>
      </c>
      <c r="B545" s="138" t="str">
        <f>+IF((PROVEEDORES[[#This Row],[FECHA DE PAGO]]-PROVEEDORES[[#This Row],[FECHA DE FACTURACIÓN]])&gt;PROVEEDORES[[#This Row],[PLAZO Días]],"PAGO VENCIDO")</f>
        <v>PAGO VENCIDO</v>
      </c>
      <c r="C545" s="138">
        <f>+VLOOKUP(PROVEEDORES[[#This Row],[PROVEEDOR]],TERCEROS_INFO[#All],2,FALSE)</f>
        <v>30</v>
      </c>
      <c r="D545" s="139">
        <f>+SUMIFS(PROVEEDORES[Total],PROVEEDORES[PROVEEDOR],PROVEEDORES[[#This Row],[PROVEEDOR]],PROVEEDORES[FECHA DE PAGO],"")</f>
        <v>0</v>
      </c>
      <c r="E545" s="140"/>
      <c r="F545" s="138">
        <f>+VLOOKUP(PROVEEDORES[[#This Row],[PROVEEDOR]],
                       Terceros!$A:$F,
                       5,
                       FALSE)</f>
        <v>0</v>
      </c>
      <c r="G545" s="127">
        <v>45146</v>
      </c>
      <c r="H545" s="123" t="s">
        <v>861</v>
      </c>
      <c r="I545" s="127">
        <v>45098</v>
      </c>
      <c r="J545" s="124">
        <v>5846</v>
      </c>
      <c r="K545" s="124" t="s">
        <v>1530</v>
      </c>
      <c r="L545" s="124"/>
      <c r="M545" s="125">
        <v>1167100</v>
      </c>
      <c r="N545" s="148">
        <v>0</v>
      </c>
      <c r="O545" s="148">
        <v>0</v>
      </c>
      <c r="P545" s="149">
        <v>0</v>
      </c>
      <c r="Q545" s="148">
        <v>0</v>
      </c>
      <c r="R545" s="150">
        <v>1167100</v>
      </c>
      <c r="S5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5" s="135">
        <f ca="1">+IF(PROVEEDORES[[#This Row],[FECHA DE PAGO]]=0,TODAY()-PROVEEDORES[[#This Row],[FECHA DE FACTURACIÓN]]-PROVEEDORES[[#This Row],[PLAZO Días]],0)</f>
        <v>0</v>
      </c>
      <c r="U545" s="135">
        <f>+VLOOKUP(PROVEEDORES[[#This Row],[PROVEEDOR]],Terceros!$A:$D,4,FALSE)</f>
        <v>0</v>
      </c>
      <c r="V545" s="135">
        <f>+YEAR(PROVEEDORES[[#This Row],[FECHA DE FACTURACIÓN]])</f>
        <v>2023</v>
      </c>
      <c r="W545" s="135">
        <f>+MATCH(PROVEEDORES[[#This Row],[año facturado]],Retenciones!$1:$1,0)</f>
        <v>6</v>
      </c>
      <c r="X545" s="136">
        <f>+VLOOKUP(PROVEEDORES[[#This Row],[ID RETENCION]],Retenciones!$A$1:$O$25,PROVEEDORES[[#This Row],[indicador de columna]],FALSE)</f>
        <v>0</v>
      </c>
      <c r="Y545" s="137">
        <f>+VLOOKUP(PROVEEDORES[[#This Row],[ID RETENCION]],Retenciones!$A$1:$O$25,2,FALSE)</f>
        <v>0</v>
      </c>
      <c r="Z545" s="126" t="b">
        <f>+OR(COUNTIF(PROVEEDORES[[#This Row],[PROVEEDOR]],"*"&amp;'Palabra que no opera y Listas d'!$A$2&amp;"*"))</f>
        <v>0</v>
      </c>
    </row>
    <row r="546" spans="1:26" ht="27.75" customHeight="1" x14ac:dyDescent="0.25">
      <c r="A546" s="141" t="str">
        <f>+IF(PROVEEDORES[[#This Row],[FECHA DE PAGO]]=PROVEEDORES[[#This Row],[FECHA DE FACTURACIÓN]],"DE CONTADO","CRÉDITO")</f>
        <v>CRÉDITO</v>
      </c>
      <c r="B546" s="138" t="str">
        <f>+IF((PROVEEDORES[[#This Row],[FECHA DE PAGO]]-PROVEEDORES[[#This Row],[FECHA DE FACTURACIÓN]])&gt;PROVEEDORES[[#This Row],[PLAZO Días]],"PAGO VENCIDO")</f>
        <v>PAGO VENCIDO</v>
      </c>
      <c r="C546" s="138">
        <f>+VLOOKUP(PROVEEDORES[[#This Row],[PROVEEDOR]],TERCEROS_INFO[#All],2,FALSE)</f>
        <v>30</v>
      </c>
      <c r="D546" s="139">
        <f>+SUMIFS(PROVEEDORES[Total],PROVEEDORES[PROVEEDOR],PROVEEDORES[[#This Row],[PROVEEDOR]],PROVEEDORES[FECHA DE PAGO],"")</f>
        <v>0</v>
      </c>
      <c r="E546" s="140"/>
      <c r="F546" s="138" t="str">
        <f>+VLOOKUP(PROVEEDORES[[#This Row],[PROVEEDOR]],
                       Terceros!$A:$F,
                       5,
                       FALSE)</f>
        <v/>
      </c>
      <c r="G546" s="127">
        <v>45147</v>
      </c>
      <c r="H546" s="123" t="s">
        <v>1149</v>
      </c>
      <c r="I546" s="127">
        <v>45083</v>
      </c>
      <c r="J546" s="124">
        <v>8725</v>
      </c>
      <c r="K546" s="124" t="s">
        <v>1530</v>
      </c>
      <c r="L546" s="124"/>
      <c r="M546" s="125">
        <v>3943000</v>
      </c>
      <c r="N546" s="148">
        <v>0</v>
      </c>
      <c r="O546" s="148">
        <v>0</v>
      </c>
      <c r="P546" s="149">
        <v>0</v>
      </c>
      <c r="Q546" s="148">
        <v>0</v>
      </c>
      <c r="R546" s="150">
        <v>3943000</v>
      </c>
      <c r="S5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6" s="135">
        <f ca="1">+IF(PROVEEDORES[[#This Row],[FECHA DE PAGO]]=0,TODAY()-PROVEEDORES[[#This Row],[FECHA DE FACTURACIÓN]]-PROVEEDORES[[#This Row],[PLAZO Días]],0)</f>
        <v>0</v>
      </c>
      <c r="U546" s="135">
        <f>+VLOOKUP(PROVEEDORES[[#This Row],[PROVEEDOR]],Terceros!$A:$D,4,FALSE)</f>
        <v>0</v>
      </c>
      <c r="V546" s="135">
        <f>+YEAR(PROVEEDORES[[#This Row],[FECHA DE FACTURACIÓN]])</f>
        <v>2023</v>
      </c>
      <c r="W546" s="135">
        <f>+MATCH(PROVEEDORES[[#This Row],[año facturado]],Retenciones!$1:$1,0)</f>
        <v>6</v>
      </c>
      <c r="X546" s="136">
        <f>+VLOOKUP(PROVEEDORES[[#This Row],[ID RETENCION]],Retenciones!$A$1:$O$25,PROVEEDORES[[#This Row],[indicador de columna]],FALSE)</f>
        <v>0</v>
      </c>
      <c r="Y546" s="137">
        <f>+VLOOKUP(PROVEEDORES[[#This Row],[ID RETENCION]],Retenciones!$A$1:$O$25,2,FALSE)</f>
        <v>0</v>
      </c>
      <c r="Z546" s="126" t="b">
        <f>+OR(COUNTIF(PROVEEDORES[[#This Row],[PROVEEDOR]],"*"&amp;'Palabra que no opera y Listas d'!$A$2&amp;"*"))</f>
        <v>0</v>
      </c>
    </row>
    <row r="547" spans="1:26" ht="27.75" customHeight="1" x14ac:dyDescent="0.25">
      <c r="A547" s="141" t="str">
        <f>+IF(PROVEEDORES[[#This Row],[FECHA DE PAGO]]=PROVEEDORES[[#This Row],[FECHA DE FACTURACIÓN]],"DE CONTADO","CRÉDITO")</f>
        <v>CRÉDITO</v>
      </c>
      <c r="B547" s="138" t="str">
        <f>+IF((PROVEEDORES[[#This Row],[FECHA DE PAGO]]-PROVEEDORES[[#This Row],[FECHA DE FACTURACIÓN]])&gt;PROVEEDORES[[#This Row],[PLAZO Días]],"PAGO VENCIDO")</f>
        <v>PAGO VENCIDO</v>
      </c>
      <c r="C547" s="138">
        <f>+VLOOKUP(PROVEEDORES[[#This Row],[PROVEEDOR]],TERCEROS_INFO[#All],2,FALSE)</f>
        <v>30</v>
      </c>
      <c r="D547" s="139">
        <f>+SUMIFS(PROVEEDORES[Total],PROVEEDORES[PROVEEDOR],PROVEEDORES[[#This Row],[PROVEEDOR]],PROVEEDORES[FECHA DE PAGO],"")</f>
        <v>0</v>
      </c>
      <c r="E547" s="140"/>
      <c r="F547" s="13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547" s="127">
        <v>45148</v>
      </c>
      <c r="H547" s="123" t="s">
        <v>499</v>
      </c>
      <c r="I547" s="127">
        <v>45113</v>
      </c>
      <c r="J547" s="124" t="s">
        <v>929</v>
      </c>
      <c r="K547" s="124" t="s">
        <v>1530</v>
      </c>
      <c r="L547" s="124"/>
      <c r="M547" s="125">
        <v>275000</v>
      </c>
      <c r="N547" s="148">
        <v>0</v>
      </c>
      <c r="O547" s="148">
        <v>0</v>
      </c>
      <c r="P547" s="149">
        <v>0</v>
      </c>
      <c r="Q547" s="148">
        <v>0</v>
      </c>
      <c r="R547" s="150">
        <v>275000</v>
      </c>
      <c r="S5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7" s="135">
        <f ca="1">+IF(PROVEEDORES[[#This Row],[FECHA DE PAGO]]=0,TODAY()-PROVEEDORES[[#This Row],[FECHA DE FACTURACIÓN]]-PROVEEDORES[[#This Row],[PLAZO Días]],0)</f>
        <v>0</v>
      </c>
      <c r="U547" s="135">
        <f>+VLOOKUP(PROVEEDORES[[#This Row],[PROVEEDOR]],Terceros!$A:$D,4,FALSE)</f>
        <v>0</v>
      </c>
      <c r="V547" s="135">
        <f>+YEAR(PROVEEDORES[[#This Row],[FECHA DE FACTURACIÓN]])</f>
        <v>2023</v>
      </c>
      <c r="W547" s="135">
        <f>+MATCH(PROVEEDORES[[#This Row],[año facturado]],Retenciones!$1:$1,0)</f>
        <v>6</v>
      </c>
      <c r="X547" s="136">
        <f>+VLOOKUP(PROVEEDORES[[#This Row],[ID RETENCION]],Retenciones!$A$1:$O$25,PROVEEDORES[[#This Row],[indicador de columna]],FALSE)</f>
        <v>0</v>
      </c>
      <c r="Y547" s="137">
        <f>+VLOOKUP(PROVEEDORES[[#This Row],[ID RETENCION]],Retenciones!$A$1:$O$25,2,FALSE)</f>
        <v>0</v>
      </c>
      <c r="Z547" s="126" t="b">
        <f>+OR(COUNTIF(PROVEEDORES[[#This Row],[PROVEEDOR]],"*"&amp;'Palabra que no opera y Listas d'!$A$2&amp;"*"))</f>
        <v>0</v>
      </c>
    </row>
    <row r="548" spans="1:26" ht="27.75" customHeight="1" x14ac:dyDescent="0.25">
      <c r="A548" s="141" t="str">
        <f>+IF(PROVEEDORES[[#This Row],[FECHA DE PAGO]]=PROVEEDORES[[#This Row],[FECHA DE FACTURACIÓN]],"DE CONTADO","CRÉDITO")</f>
        <v>CRÉDITO</v>
      </c>
      <c r="B548" s="138" t="str">
        <f>+IF((PROVEEDORES[[#This Row],[FECHA DE PAGO]]-PROVEEDORES[[#This Row],[FECHA DE FACTURACIÓN]])&gt;PROVEEDORES[[#This Row],[PLAZO Días]],"PAGO VENCIDO")</f>
        <v>PAGO VENCIDO</v>
      </c>
      <c r="C548" s="138">
        <f>+VLOOKUP(PROVEEDORES[[#This Row],[PROVEEDOR]],TERCEROS_INFO[#All],2,FALSE)</f>
        <v>30</v>
      </c>
      <c r="D548" s="139">
        <f>+SUMIFS(PROVEEDORES[Total],PROVEEDORES[PROVEEDOR],PROVEEDORES[[#This Row],[PROVEEDOR]],PROVEEDORES[FECHA DE PAGO],"")</f>
        <v>4316000</v>
      </c>
      <c r="E548" s="140"/>
      <c r="F548" s="138" t="str">
        <f>+VLOOKUP(PROVEEDORES[[#This Row],[PROVEEDOR]],
                       Terceros!$A:$F,
                       5,
                       FALSE)</f>
        <v/>
      </c>
      <c r="G548" s="127">
        <v>45148</v>
      </c>
      <c r="H548" s="123" t="s">
        <v>1812</v>
      </c>
      <c r="I548" s="127">
        <v>45113</v>
      </c>
      <c r="J548" s="124" t="s">
        <v>930</v>
      </c>
      <c r="K548" s="124" t="s">
        <v>1530</v>
      </c>
      <c r="L548" s="124"/>
      <c r="M548" s="125">
        <v>1708000</v>
      </c>
      <c r="N548" s="148">
        <v>0</v>
      </c>
      <c r="O548" s="148">
        <v>0</v>
      </c>
      <c r="P548" s="149">
        <v>0</v>
      </c>
      <c r="Q548" s="148">
        <v>0</v>
      </c>
      <c r="R548" s="150">
        <v>1708000</v>
      </c>
      <c r="S5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8" s="135">
        <f ca="1">+IF(PROVEEDORES[[#This Row],[FECHA DE PAGO]]=0,TODAY()-PROVEEDORES[[#This Row],[FECHA DE FACTURACIÓN]]-PROVEEDORES[[#This Row],[PLAZO Días]],0)</f>
        <v>0</v>
      </c>
      <c r="U548" s="135">
        <f>+VLOOKUP(PROVEEDORES[[#This Row],[PROVEEDOR]],Terceros!$A:$D,4,FALSE)</f>
        <v>0</v>
      </c>
      <c r="V548" s="135">
        <f>+YEAR(PROVEEDORES[[#This Row],[FECHA DE FACTURACIÓN]])</f>
        <v>2023</v>
      </c>
      <c r="W548" s="135">
        <f>+MATCH(PROVEEDORES[[#This Row],[año facturado]],Retenciones!$1:$1,0)</f>
        <v>6</v>
      </c>
      <c r="X548" s="136">
        <f>+VLOOKUP(PROVEEDORES[[#This Row],[ID RETENCION]],Retenciones!$A$1:$O$25,PROVEEDORES[[#This Row],[indicador de columna]],FALSE)</f>
        <v>0</v>
      </c>
      <c r="Y548" s="137">
        <f>+VLOOKUP(PROVEEDORES[[#This Row],[ID RETENCION]],Retenciones!$A$1:$O$25,2,FALSE)</f>
        <v>0</v>
      </c>
      <c r="Z548" s="126" t="b">
        <f>+OR(COUNTIF(PROVEEDORES[[#This Row],[PROVEEDOR]],"*"&amp;'Palabra que no opera y Listas d'!$A$2&amp;"*"))</f>
        <v>0</v>
      </c>
    </row>
    <row r="549" spans="1:26" ht="27.75" customHeight="1" x14ac:dyDescent="0.25">
      <c r="A549" s="141" t="str">
        <f>+IF(PROVEEDORES[[#This Row],[FECHA DE PAGO]]=PROVEEDORES[[#This Row],[FECHA DE FACTURACIÓN]],"DE CONTADO","CRÉDITO")</f>
        <v>CRÉDITO</v>
      </c>
      <c r="B549" s="138" t="b">
        <f>+IF((PROVEEDORES[[#This Row],[FECHA DE PAGO]]-PROVEEDORES[[#This Row],[FECHA DE FACTURACIÓN]])&gt;PROVEEDORES[[#This Row],[PLAZO Días]],"PAGO VENCIDO")</f>
        <v>0</v>
      </c>
      <c r="C549" s="138">
        <f>+VLOOKUP(PROVEEDORES[[#This Row],[PROVEEDOR]],TERCEROS_INFO[#All],2,FALSE)</f>
        <v>30</v>
      </c>
      <c r="D549" s="139">
        <f>+SUMIFS(PROVEEDORES[Total],PROVEEDORES[PROVEEDOR],PROVEEDORES[[#This Row],[PROVEEDOR]],PROVEEDORES[FECHA DE PAGO],"")</f>
        <v>0</v>
      </c>
      <c r="E549" s="140"/>
      <c r="F549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49" s="127">
        <v>45148</v>
      </c>
      <c r="H549" s="123" t="s">
        <v>368</v>
      </c>
      <c r="I549" s="127">
        <v>45139</v>
      </c>
      <c r="J549" s="124" t="s">
        <v>960</v>
      </c>
      <c r="K549" s="124" t="s">
        <v>1530</v>
      </c>
      <c r="L549" s="124"/>
      <c r="M549" s="125">
        <v>908172</v>
      </c>
      <c r="N549" s="148">
        <v>172552.68</v>
      </c>
      <c r="O549" s="148">
        <v>0</v>
      </c>
      <c r="P549" s="149">
        <v>0</v>
      </c>
      <c r="Q549" s="148">
        <v>0</v>
      </c>
      <c r="R549" s="150">
        <v>1080724.68</v>
      </c>
      <c r="S5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49" s="135">
        <f ca="1">+IF(PROVEEDORES[[#This Row],[FECHA DE PAGO]]=0,TODAY()-PROVEEDORES[[#This Row],[FECHA DE FACTURACIÓN]]-PROVEEDORES[[#This Row],[PLAZO Días]],0)</f>
        <v>0</v>
      </c>
      <c r="U549" s="135">
        <f>+VLOOKUP(PROVEEDORES[[#This Row],[PROVEEDOR]],Terceros!$A:$D,4,FALSE)</f>
        <v>0</v>
      </c>
      <c r="V549" s="135">
        <f>+YEAR(PROVEEDORES[[#This Row],[FECHA DE FACTURACIÓN]])</f>
        <v>2023</v>
      </c>
      <c r="W549" s="135">
        <f>+MATCH(PROVEEDORES[[#This Row],[año facturado]],Retenciones!$1:$1,0)</f>
        <v>6</v>
      </c>
      <c r="X549" s="136">
        <f>+VLOOKUP(PROVEEDORES[[#This Row],[ID RETENCION]],Retenciones!$A$1:$O$25,PROVEEDORES[[#This Row],[indicador de columna]],FALSE)</f>
        <v>0</v>
      </c>
      <c r="Y549" s="137">
        <f>+VLOOKUP(PROVEEDORES[[#This Row],[ID RETENCION]],Retenciones!$A$1:$O$25,2,FALSE)</f>
        <v>0</v>
      </c>
      <c r="Z549" s="126" t="b">
        <f>+OR(COUNTIF(PROVEEDORES[[#This Row],[PROVEEDOR]],"*"&amp;'Palabra que no opera y Listas d'!$A$2&amp;"*"))</f>
        <v>1</v>
      </c>
    </row>
    <row r="550" spans="1:26" ht="27.75" customHeight="1" x14ac:dyDescent="0.25">
      <c r="A550" s="141" t="str">
        <f>+IF(PROVEEDORES[[#This Row],[FECHA DE PAGO]]=PROVEEDORES[[#This Row],[FECHA DE FACTURACIÓN]],"DE CONTADO","CRÉDITO")</f>
        <v>CRÉDITO</v>
      </c>
      <c r="B550" s="138" t="b">
        <f>+IF((PROVEEDORES[[#This Row],[FECHA DE PAGO]]-PROVEEDORES[[#This Row],[FECHA DE FACTURACIÓN]])&gt;PROVEEDORES[[#This Row],[PLAZO Días]],"PAGO VENCIDO")</f>
        <v>0</v>
      </c>
      <c r="C550" s="138">
        <f>+VLOOKUP(PROVEEDORES[[#This Row],[PROVEEDOR]],TERCEROS_INFO[#All],2,FALSE)</f>
        <v>30</v>
      </c>
      <c r="D550" s="139">
        <f>+SUMIFS(PROVEEDORES[Total],PROVEEDORES[PROVEEDOR],PROVEEDORES[[#This Row],[PROVEEDOR]],PROVEEDORES[FECHA DE PAGO],"")</f>
        <v>0</v>
      </c>
      <c r="E550" s="140"/>
      <c r="F550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550" s="127">
        <v>45148</v>
      </c>
      <c r="H550" s="123" t="s">
        <v>368</v>
      </c>
      <c r="I550" s="127">
        <v>45139</v>
      </c>
      <c r="J550" s="124" t="s">
        <v>959</v>
      </c>
      <c r="K550" s="124" t="s">
        <v>1530</v>
      </c>
      <c r="L550" s="124"/>
      <c r="M550" s="125">
        <v>3792544</v>
      </c>
      <c r="N550" s="148">
        <v>720583.36</v>
      </c>
      <c r="O550" s="148">
        <v>0</v>
      </c>
      <c r="P550" s="149">
        <v>0</v>
      </c>
      <c r="Q550" s="148">
        <v>0</v>
      </c>
      <c r="R550" s="150">
        <v>4513127.3600000003</v>
      </c>
      <c r="S5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0" s="135">
        <f ca="1">+IF(PROVEEDORES[[#This Row],[FECHA DE PAGO]]=0,TODAY()-PROVEEDORES[[#This Row],[FECHA DE FACTURACIÓN]]-PROVEEDORES[[#This Row],[PLAZO Días]],0)</f>
        <v>0</v>
      </c>
      <c r="U550" s="135">
        <f>+VLOOKUP(PROVEEDORES[[#This Row],[PROVEEDOR]],Terceros!$A:$D,4,FALSE)</f>
        <v>0</v>
      </c>
      <c r="V550" s="135">
        <f>+YEAR(PROVEEDORES[[#This Row],[FECHA DE FACTURACIÓN]])</f>
        <v>2023</v>
      </c>
      <c r="W550" s="135">
        <f>+MATCH(PROVEEDORES[[#This Row],[año facturado]],Retenciones!$1:$1,0)</f>
        <v>6</v>
      </c>
      <c r="X550" s="136">
        <f>+VLOOKUP(PROVEEDORES[[#This Row],[ID RETENCION]],Retenciones!$A$1:$O$25,PROVEEDORES[[#This Row],[indicador de columna]],FALSE)</f>
        <v>0</v>
      </c>
      <c r="Y550" s="137">
        <f>+VLOOKUP(PROVEEDORES[[#This Row],[ID RETENCION]],Retenciones!$A$1:$O$25,2,FALSE)</f>
        <v>0</v>
      </c>
      <c r="Z550" s="126" t="b">
        <f>+OR(COUNTIF(PROVEEDORES[[#This Row],[PROVEEDOR]],"*"&amp;'Palabra que no opera y Listas d'!$A$2&amp;"*"))</f>
        <v>1</v>
      </c>
    </row>
    <row r="551" spans="1:26" ht="27.75" customHeight="1" x14ac:dyDescent="0.25">
      <c r="A551" s="141" t="str">
        <f>+IF(PROVEEDORES[[#This Row],[FECHA DE PAGO]]=PROVEEDORES[[#This Row],[FECHA DE FACTURACIÓN]],"DE CONTADO","CRÉDITO")</f>
        <v>CRÉDITO</v>
      </c>
      <c r="B551" s="138" t="b">
        <f>+IF((PROVEEDORES[[#This Row],[FECHA DE PAGO]]-PROVEEDORES[[#This Row],[FECHA DE FACTURACIÓN]])&gt;PROVEEDORES[[#This Row],[PLAZO Días]],"PAGO VENCIDO")</f>
        <v>0</v>
      </c>
      <c r="C551" s="138">
        <f>+VLOOKUP(PROVEEDORES[[#This Row],[PROVEEDOR]],TERCEROS_INFO[#All],2,FALSE)</f>
        <v>30</v>
      </c>
      <c r="D551" s="139">
        <f>+SUMIFS(PROVEEDORES[Total],PROVEEDORES[PROVEEDOR],PROVEEDORES[[#This Row],[PROVEEDOR]],PROVEEDORES[FECHA DE PAGO],"")</f>
        <v>0</v>
      </c>
      <c r="E551" s="140"/>
      <c r="F551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551" s="127">
        <v>45148</v>
      </c>
      <c r="H551" s="123" t="s">
        <v>383</v>
      </c>
      <c r="I551" s="127">
        <v>45139</v>
      </c>
      <c r="J551" s="124" t="s">
        <v>982</v>
      </c>
      <c r="K551" s="124" t="s">
        <v>1530</v>
      </c>
      <c r="L551" s="124"/>
      <c r="M551" s="125">
        <v>3935776</v>
      </c>
      <c r="N551" s="148">
        <v>747797.44000000006</v>
      </c>
      <c r="O551" s="148">
        <v>0</v>
      </c>
      <c r="P551" s="149">
        <v>3.5000000000000003E-2</v>
      </c>
      <c r="Q551" s="148">
        <v>137752.16</v>
      </c>
      <c r="R551" s="150">
        <v>4545821.28</v>
      </c>
      <c r="S5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1" s="135">
        <f ca="1">+IF(PROVEEDORES[[#This Row],[FECHA DE PAGO]]=0,TODAY()-PROVEEDORES[[#This Row],[FECHA DE FACTURACIÓN]]-PROVEEDORES[[#This Row],[PLAZO Días]],0)</f>
        <v>0</v>
      </c>
      <c r="U551" s="135" t="str">
        <f>+VLOOKUP(PROVEEDORES[[#This Row],[PROVEEDOR]],Terceros!$A:$D,4,FALSE)</f>
        <v>3,5% sin base</v>
      </c>
      <c r="V551" s="135">
        <f>+YEAR(PROVEEDORES[[#This Row],[FECHA DE FACTURACIÓN]])</f>
        <v>2023</v>
      </c>
      <c r="W551" s="135">
        <f>+MATCH(PROVEEDORES[[#This Row],[año facturado]],Retenciones!$1:$1,0)</f>
        <v>6</v>
      </c>
      <c r="X551" s="136">
        <f>+VLOOKUP(PROVEEDORES[[#This Row],[ID RETENCION]],Retenciones!$A$1:$O$25,PROVEEDORES[[#This Row],[indicador de columna]],FALSE)</f>
        <v>0</v>
      </c>
      <c r="Y551" s="137">
        <f>+VLOOKUP(PROVEEDORES[[#This Row],[ID RETENCION]],Retenciones!$A$1:$O$25,2,FALSE)</f>
        <v>3.5000000000000003E-2</v>
      </c>
      <c r="Z551" s="126" t="b">
        <f>+OR(COUNTIF(PROVEEDORES[[#This Row],[PROVEEDOR]],"*"&amp;'Palabra que no opera y Listas d'!$A$2&amp;"*"))</f>
        <v>1</v>
      </c>
    </row>
    <row r="552" spans="1:26" ht="27.75" customHeight="1" x14ac:dyDescent="0.25">
      <c r="A552" s="141" t="str">
        <f>+IF(PROVEEDORES[[#This Row],[FECHA DE PAGO]]=PROVEEDORES[[#This Row],[FECHA DE FACTURACIÓN]],"DE CONTADO","CRÉDITO")</f>
        <v>CRÉDITO</v>
      </c>
      <c r="B552" s="138" t="b">
        <f>+IF((PROVEEDORES[[#This Row],[FECHA DE PAGO]]-PROVEEDORES[[#This Row],[FECHA DE FACTURACIÓN]])&gt;PROVEEDORES[[#This Row],[PLAZO Días]],"PAGO VENCIDO")</f>
        <v>0</v>
      </c>
      <c r="C552" s="138">
        <f>+VLOOKUP(PROVEEDORES[[#This Row],[PROVEEDOR]],TERCEROS_INFO[#All],2,FALSE)</f>
        <v>10</v>
      </c>
      <c r="D552" s="139">
        <f>+SUMIFS(PROVEEDORES[Total],PROVEEDORES[PROVEEDOR],PROVEEDORES[[#This Row],[PROVEEDOR]],PROVEEDORES[FECHA DE PAGO],"")</f>
        <v>0</v>
      </c>
      <c r="E552" s="140"/>
      <c r="F552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552" s="127">
        <v>45149</v>
      </c>
      <c r="H552" s="123" t="s">
        <v>482</v>
      </c>
      <c r="I552" s="127">
        <v>45139</v>
      </c>
      <c r="J552" s="124" t="s">
        <v>984</v>
      </c>
      <c r="K552" s="124" t="s">
        <v>1530</v>
      </c>
      <c r="L552" s="124"/>
      <c r="M552" s="125">
        <v>5350576</v>
      </c>
      <c r="N552" s="148">
        <v>1016609.4400000001</v>
      </c>
      <c r="O552" s="148">
        <v>0</v>
      </c>
      <c r="P552" s="149">
        <v>0</v>
      </c>
      <c r="Q552" s="148">
        <v>0</v>
      </c>
      <c r="R552" s="150">
        <v>6367185.4400000004</v>
      </c>
      <c r="S5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2" s="135">
        <f ca="1">+IF(PROVEEDORES[[#This Row],[FECHA DE PAGO]]=0,TODAY()-PROVEEDORES[[#This Row],[FECHA DE FACTURACIÓN]]-PROVEEDORES[[#This Row],[PLAZO Días]],0)</f>
        <v>0</v>
      </c>
      <c r="U552" s="135">
        <f>+VLOOKUP(PROVEEDORES[[#This Row],[PROVEEDOR]],Terceros!$A:$D,4,FALSE)</f>
        <v>0</v>
      </c>
      <c r="V552" s="135">
        <f>+YEAR(PROVEEDORES[[#This Row],[FECHA DE FACTURACIÓN]])</f>
        <v>2023</v>
      </c>
      <c r="W552" s="135">
        <f>+MATCH(PROVEEDORES[[#This Row],[año facturado]],Retenciones!$1:$1,0)</f>
        <v>6</v>
      </c>
      <c r="X552" s="136">
        <f>+VLOOKUP(PROVEEDORES[[#This Row],[ID RETENCION]],Retenciones!$A$1:$O$25,PROVEEDORES[[#This Row],[indicador de columna]],FALSE)</f>
        <v>0</v>
      </c>
      <c r="Y552" s="137">
        <f>+VLOOKUP(PROVEEDORES[[#This Row],[ID RETENCION]],Retenciones!$A$1:$O$25,2,FALSE)</f>
        <v>0</v>
      </c>
      <c r="Z552" s="126" t="b">
        <f>+OR(COUNTIF(PROVEEDORES[[#This Row],[PROVEEDOR]],"*"&amp;'Palabra que no opera y Listas d'!$A$2&amp;"*"))</f>
        <v>1</v>
      </c>
    </row>
    <row r="553" spans="1:26" ht="27.75" customHeight="1" x14ac:dyDescent="0.25">
      <c r="A553" s="141" t="str">
        <f>+IF(PROVEEDORES[[#This Row],[FECHA DE PAGO]]=PROVEEDORES[[#This Row],[FECHA DE FACTURACIÓN]],"DE CONTADO","CRÉDITO")</f>
        <v>CRÉDITO</v>
      </c>
      <c r="B553" s="138" t="b">
        <f>+IF((PROVEEDORES[[#This Row],[FECHA DE PAGO]]-PROVEEDORES[[#This Row],[FECHA DE FACTURACIÓN]])&gt;PROVEEDORES[[#This Row],[PLAZO Días]],"PAGO VENCIDO")</f>
        <v>0</v>
      </c>
      <c r="C553" s="138">
        <f>+VLOOKUP(PROVEEDORES[[#This Row],[PROVEEDOR]],TERCEROS_INFO[#All],2,FALSE)</f>
        <v>30</v>
      </c>
      <c r="D553" s="139">
        <f>+SUMIFS(PROVEEDORES[Total],PROVEEDORES[PROVEEDOR],PROVEEDORES[[#This Row],[PROVEEDOR]],PROVEEDORES[FECHA DE PAGO],"")</f>
        <v>0</v>
      </c>
      <c r="E553" s="140"/>
      <c r="F553" s="138" t="str">
        <f>+VLOOKUP(PROVEEDORES[[#This Row],[PROVEEDOR]],
                       Terceros!$A:$F,
                       5,
                       FALSE)</f>
        <v/>
      </c>
      <c r="G553" s="127">
        <v>45150</v>
      </c>
      <c r="H553" s="123" t="s">
        <v>481</v>
      </c>
      <c r="I553" s="127">
        <v>45149</v>
      </c>
      <c r="J553" s="124" t="s">
        <v>968</v>
      </c>
      <c r="K553" s="124" t="s">
        <v>1530</v>
      </c>
      <c r="L553" s="124"/>
      <c r="M553" s="125">
        <v>3395000</v>
      </c>
      <c r="N553" s="148">
        <v>0</v>
      </c>
      <c r="O553" s="148">
        <v>0</v>
      </c>
      <c r="P553" s="149">
        <v>0</v>
      </c>
      <c r="Q553" s="148">
        <v>0</v>
      </c>
      <c r="R553" s="150">
        <v>3395000</v>
      </c>
      <c r="S5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3" s="135">
        <f ca="1">+IF(PROVEEDORES[[#This Row],[FECHA DE PAGO]]=0,TODAY()-PROVEEDORES[[#This Row],[FECHA DE FACTURACIÓN]]-PROVEEDORES[[#This Row],[PLAZO Días]],0)</f>
        <v>0</v>
      </c>
      <c r="U553" s="135">
        <f>+VLOOKUP(PROVEEDORES[[#This Row],[PROVEEDOR]],Terceros!$A:$D,4,FALSE)</f>
        <v>0</v>
      </c>
      <c r="V553" s="135">
        <f>+YEAR(PROVEEDORES[[#This Row],[FECHA DE FACTURACIÓN]])</f>
        <v>2023</v>
      </c>
      <c r="W553" s="135">
        <f>+MATCH(PROVEEDORES[[#This Row],[año facturado]],Retenciones!$1:$1,0)</f>
        <v>6</v>
      </c>
      <c r="X553" s="136">
        <f>+VLOOKUP(PROVEEDORES[[#This Row],[ID RETENCION]],Retenciones!$A$1:$O$25,PROVEEDORES[[#This Row],[indicador de columna]],FALSE)</f>
        <v>0</v>
      </c>
      <c r="Y553" s="137">
        <f>+VLOOKUP(PROVEEDORES[[#This Row],[ID RETENCION]],Retenciones!$A$1:$O$25,2,FALSE)</f>
        <v>0</v>
      </c>
      <c r="Z553" s="126" t="b">
        <f>+OR(COUNTIF(PROVEEDORES[[#This Row],[PROVEEDOR]],"*"&amp;'Palabra que no opera y Listas d'!$A$2&amp;"*"))</f>
        <v>0</v>
      </c>
    </row>
    <row r="554" spans="1:26" ht="27.75" customHeight="1" x14ac:dyDescent="0.25">
      <c r="A554" s="141" t="str">
        <f>+IF(PROVEEDORES[[#This Row],[FECHA DE PAGO]]=PROVEEDORES[[#This Row],[FECHA DE FACTURACIÓN]],"DE CONTADO","CRÉDITO")</f>
        <v>CRÉDITO</v>
      </c>
      <c r="B554" s="138" t="str">
        <f>+IF((PROVEEDORES[[#This Row],[FECHA DE PAGO]]-PROVEEDORES[[#This Row],[FECHA DE FACTURACIÓN]])&gt;PROVEEDORES[[#This Row],[PLAZO Días]],"PAGO VENCIDO")</f>
        <v>PAGO VENCIDO</v>
      </c>
      <c r="C554" s="138">
        <f>+VLOOKUP(PROVEEDORES[[#This Row],[PROVEEDOR]],TERCEROS_INFO[#All],2,FALSE)</f>
        <v>30</v>
      </c>
      <c r="D554" s="139">
        <f>+SUMIFS(PROVEEDORES[Total],PROVEEDORES[PROVEEDOR],PROVEEDORES[[#This Row],[PROVEEDOR]],PROVEEDORES[FECHA DE PAGO],"")</f>
        <v>4466504.835</v>
      </c>
      <c r="E554" s="140"/>
      <c r="F554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554" s="127">
        <v>45152</v>
      </c>
      <c r="H554" s="123" t="s">
        <v>18</v>
      </c>
      <c r="I554" s="127">
        <v>45105</v>
      </c>
      <c r="J554" s="124" t="s">
        <v>874</v>
      </c>
      <c r="K554" s="124" t="s">
        <v>1530</v>
      </c>
      <c r="L554" s="124"/>
      <c r="M554" s="125">
        <v>3317231</v>
      </c>
      <c r="N554" s="148">
        <v>630273.89</v>
      </c>
      <c r="O554" s="148">
        <v>0</v>
      </c>
      <c r="P554" s="149">
        <v>2.5000000000000001E-2</v>
      </c>
      <c r="Q554" s="148">
        <v>82930.775000000009</v>
      </c>
      <c r="R554" s="150">
        <v>3864574.1150000002</v>
      </c>
      <c r="S5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4" s="135">
        <f ca="1">+IF(PROVEEDORES[[#This Row],[FECHA DE PAGO]]=0,TODAY()-PROVEEDORES[[#This Row],[FECHA DE FACTURACIÓN]]-PROVEEDORES[[#This Row],[PLAZO Días]],0)</f>
        <v>0</v>
      </c>
      <c r="U554" s="135" t="str">
        <f>+VLOOKUP(PROVEEDORES[[#This Row],[PROVEEDOR]],Terceros!$A:$D,4,FALSE)</f>
        <v>2,5% con base</v>
      </c>
      <c r="V554" s="135">
        <f>+YEAR(PROVEEDORES[[#This Row],[FECHA DE FACTURACIÓN]])</f>
        <v>2023</v>
      </c>
      <c r="W554" s="135">
        <f>+MATCH(PROVEEDORES[[#This Row],[año facturado]],Retenciones!$1:$1,0)</f>
        <v>6</v>
      </c>
      <c r="X554" s="136">
        <f>+VLOOKUP(PROVEEDORES[[#This Row],[ID RETENCION]],Retenciones!$A$1:$O$25,PROVEEDORES[[#This Row],[indicador de columna]],FALSE)</f>
        <v>1145000</v>
      </c>
      <c r="Y554" s="137">
        <f>+VLOOKUP(PROVEEDORES[[#This Row],[ID RETENCION]],Retenciones!$A$1:$O$25,2,FALSE)</f>
        <v>2.5000000000000001E-2</v>
      </c>
      <c r="Z554" s="126" t="b">
        <f>+OR(COUNTIF(PROVEEDORES[[#This Row],[PROVEEDOR]],"*"&amp;'Palabra que no opera y Listas d'!$A$2&amp;"*"))</f>
        <v>0</v>
      </c>
    </row>
    <row r="555" spans="1:26" ht="27.75" customHeight="1" x14ac:dyDescent="0.25">
      <c r="A555" s="141" t="str">
        <f>+IF(PROVEEDORES[[#This Row],[FECHA DE PAGO]]=PROVEEDORES[[#This Row],[FECHA DE FACTURACIÓN]],"DE CONTADO","CRÉDITO")</f>
        <v>CRÉDITO</v>
      </c>
      <c r="B555" s="138" t="str">
        <f>+IF((PROVEEDORES[[#This Row],[FECHA DE PAGO]]-PROVEEDORES[[#This Row],[FECHA DE FACTURACIÓN]])&gt;PROVEEDORES[[#This Row],[PLAZO Días]],"PAGO VENCIDO")</f>
        <v>PAGO VENCIDO</v>
      </c>
      <c r="C555" s="138">
        <f>+VLOOKUP(PROVEEDORES[[#This Row],[PROVEEDOR]],TERCEROS_INFO[#All],2,FALSE)</f>
        <v>30</v>
      </c>
      <c r="D555" s="139">
        <f>+SUMIFS(PROVEEDORES[Total],PROVEEDORES[PROVEEDOR],PROVEEDORES[[#This Row],[PROVEEDOR]],PROVEEDORES[FECHA DE PAGO],"")</f>
        <v>8456975.129999999</v>
      </c>
      <c r="E555" s="140"/>
      <c r="F555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555" s="127">
        <v>45152</v>
      </c>
      <c r="H555" s="123" t="s">
        <v>1464</v>
      </c>
      <c r="I555" s="127">
        <v>45106</v>
      </c>
      <c r="J555" s="124" t="s">
        <v>871</v>
      </c>
      <c r="K555" s="124" t="s">
        <v>1530</v>
      </c>
      <c r="L555" s="124"/>
      <c r="M555" s="125">
        <v>1848738</v>
      </c>
      <c r="N555" s="148">
        <v>351260.22000000003</v>
      </c>
      <c r="O555" s="148">
        <v>0</v>
      </c>
      <c r="P555" s="149">
        <v>2.5000000000000001E-2</v>
      </c>
      <c r="Q555" s="148">
        <v>46218.450000000004</v>
      </c>
      <c r="R555" s="150">
        <v>2153779.77</v>
      </c>
      <c r="S5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5" s="135">
        <f ca="1">+IF(PROVEEDORES[[#This Row],[FECHA DE PAGO]]=0,TODAY()-PROVEEDORES[[#This Row],[FECHA DE FACTURACIÓN]]-PROVEEDORES[[#This Row],[PLAZO Días]],0)</f>
        <v>0</v>
      </c>
      <c r="U555" s="135" t="str">
        <f>+VLOOKUP(PROVEEDORES[[#This Row],[PROVEEDOR]],Terceros!$A:$D,4,FALSE)</f>
        <v>2,5% con base</v>
      </c>
      <c r="V555" s="135">
        <f>+YEAR(PROVEEDORES[[#This Row],[FECHA DE FACTURACIÓN]])</f>
        <v>2023</v>
      </c>
      <c r="W555" s="135">
        <f>+MATCH(PROVEEDORES[[#This Row],[año facturado]],Retenciones!$1:$1,0)</f>
        <v>6</v>
      </c>
      <c r="X555" s="136">
        <f>+VLOOKUP(PROVEEDORES[[#This Row],[ID RETENCION]],Retenciones!$A$1:$O$25,PROVEEDORES[[#This Row],[indicador de columna]],FALSE)</f>
        <v>1145000</v>
      </c>
      <c r="Y555" s="137">
        <f>+VLOOKUP(PROVEEDORES[[#This Row],[ID RETENCION]],Retenciones!$A$1:$O$25,2,FALSE)</f>
        <v>2.5000000000000001E-2</v>
      </c>
      <c r="Z555" s="126" t="b">
        <f>+OR(COUNTIF(PROVEEDORES[[#This Row],[PROVEEDOR]],"*"&amp;'Palabra que no opera y Listas d'!$A$2&amp;"*"))</f>
        <v>0</v>
      </c>
    </row>
    <row r="556" spans="1:26" ht="27.75" customHeight="1" x14ac:dyDescent="0.25">
      <c r="A556" s="141" t="str">
        <f>+IF(PROVEEDORES[[#This Row],[FECHA DE PAGO]]=PROVEEDORES[[#This Row],[FECHA DE FACTURACIÓN]],"DE CONTADO","CRÉDITO")</f>
        <v>CRÉDITO</v>
      </c>
      <c r="B556" s="138" t="b">
        <f>+IF((PROVEEDORES[[#This Row],[FECHA DE PAGO]]-PROVEEDORES[[#This Row],[FECHA DE FACTURACIÓN]])&gt;PROVEEDORES[[#This Row],[PLAZO Días]],"PAGO VENCIDO")</f>
        <v>0</v>
      </c>
      <c r="C556" s="138">
        <f>+VLOOKUP(PROVEEDORES[[#This Row],[PROVEEDOR]],TERCEROS_INFO[#All],2,FALSE)</f>
        <v>45</v>
      </c>
      <c r="D556" s="139">
        <f>+SUMIFS(PROVEEDORES[Total],PROVEEDORES[PROVEEDOR],PROVEEDORES[[#This Row],[PROVEEDOR]],PROVEEDORES[FECHA DE PAGO],"")</f>
        <v>0</v>
      </c>
      <c r="E556" s="140"/>
      <c r="F556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56" s="127">
        <v>45152</v>
      </c>
      <c r="H556" s="123" t="s">
        <v>224</v>
      </c>
      <c r="I556" s="127">
        <v>45120</v>
      </c>
      <c r="J556" s="124">
        <v>1718</v>
      </c>
      <c r="K556" s="124" t="s">
        <v>1530</v>
      </c>
      <c r="L556" s="124"/>
      <c r="M556" s="125">
        <v>2759750</v>
      </c>
      <c r="N556" s="148">
        <v>0</v>
      </c>
      <c r="O556" s="148">
        <v>0</v>
      </c>
      <c r="P556" s="149">
        <v>0</v>
      </c>
      <c r="Q556" s="148">
        <v>0</v>
      </c>
      <c r="R556" s="150">
        <v>2759750</v>
      </c>
      <c r="S5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6" s="135">
        <f ca="1">+IF(PROVEEDORES[[#This Row],[FECHA DE PAGO]]=0,TODAY()-PROVEEDORES[[#This Row],[FECHA DE FACTURACIÓN]]-PROVEEDORES[[#This Row],[PLAZO Días]],0)</f>
        <v>0</v>
      </c>
      <c r="U556" s="135">
        <f>+VLOOKUP(PROVEEDORES[[#This Row],[PROVEEDOR]],Terceros!$A:$D,4,FALSE)</f>
        <v>0</v>
      </c>
      <c r="V556" s="135">
        <f>+YEAR(PROVEEDORES[[#This Row],[FECHA DE FACTURACIÓN]])</f>
        <v>2023</v>
      </c>
      <c r="W556" s="135">
        <f>+MATCH(PROVEEDORES[[#This Row],[año facturado]],Retenciones!$1:$1,0)</f>
        <v>6</v>
      </c>
      <c r="X556" s="136">
        <f>+VLOOKUP(PROVEEDORES[[#This Row],[ID RETENCION]],Retenciones!$A$1:$O$25,PROVEEDORES[[#This Row],[indicador de columna]],FALSE)</f>
        <v>0</v>
      </c>
      <c r="Y556" s="137">
        <f>+VLOOKUP(PROVEEDORES[[#This Row],[ID RETENCION]],Retenciones!$A$1:$O$25,2,FALSE)</f>
        <v>0</v>
      </c>
      <c r="Z556" s="126" t="b">
        <f>+OR(COUNTIF(PROVEEDORES[[#This Row],[PROVEEDOR]],"*"&amp;'Palabra que no opera y Listas d'!$A$2&amp;"*"))</f>
        <v>0</v>
      </c>
    </row>
    <row r="557" spans="1:26" ht="27.75" customHeight="1" x14ac:dyDescent="0.25">
      <c r="A557" s="141" t="str">
        <f>+IF(PROVEEDORES[[#This Row],[FECHA DE PAGO]]=PROVEEDORES[[#This Row],[FECHA DE FACTURACIÓN]],"DE CONTADO","CRÉDITO")</f>
        <v>CRÉDITO</v>
      </c>
      <c r="B557" s="138" t="b">
        <f>+IF((PROVEEDORES[[#This Row],[FECHA DE PAGO]]-PROVEEDORES[[#This Row],[FECHA DE FACTURACIÓN]])&gt;PROVEEDORES[[#This Row],[PLAZO Días]],"PAGO VENCIDO")</f>
        <v>0</v>
      </c>
      <c r="C557" s="138">
        <f>+VLOOKUP(PROVEEDORES[[#This Row],[PROVEEDOR]],TERCEROS_INFO[#All],2,FALSE)</f>
        <v>60</v>
      </c>
      <c r="D557" s="139">
        <f>+SUMIFS(PROVEEDORES[Total],PROVEEDORES[PROVEEDOR],PROVEEDORES[[#This Row],[PROVEEDOR]],PROVEEDORES[FECHA DE PAGO],"")</f>
        <v>1730482</v>
      </c>
      <c r="E557" s="140"/>
      <c r="F557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57" s="127">
        <v>45152</v>
      </c>
      <c r="H557" s="123" t="s">
        <v>222</v>
      </c>
      <c r="I557" s="127">
        <v>45124</v>
      </c>
      <c r="J557" s="124">
        <v>1729</v>
      </c>
      <c r="K557" s="124" t="s">
        <v>1530</v>
      </c>
      <c r="L557" s="124"/>
      <c r="M557" s="125">
        <v>381800</v>
      </c>
      <c r="N557" s="148">
        <v>0</v>
      </c>
      <c r="O557" s="148">
        <v>0</v>
      </c>
      <c r="P557" s="149">
        <v>0</v>
      </c>
      <c r="Q557" s="148">
        <v>0</v>
      </c>
      <c r="R557" s="150">
        <v>381800</v>
      </c>
      <c r="S5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7" s="135">
        <f ca="1">+IF(PROVEEDORES[[#This Row],[FECHA DE PAGO]]=0,TODAY()-PROVEEDORES[[#This Row],[FECHA DE FACTURACIÓN]]-PROVEEDORES[[#This Row],[PLAZO Días]],0)</f>
        <v>0</v>
      </c>
      <c r="U557" s="135">
        <f>+VLOOKUP(PROVEEDORES[[#This Row],[PROVEEDOR]],Terceros!$A:$D,4,FALSE)</f>
        <v>0</v>
      </c>
      <c r="V557" s="135">
        <f>+YEAR(PROVEEDORES[[#This Row],[FECHA DE FACTURACIÓN]])</f>
        <v>2023</v>
      </c>
      <c r="W557" s="135">
        <f>+MATCH(PROVEEDORES[[#This Row],[año facturado]],Retenciones!$1:$1,0)</f>
        <v>6</v>
      </c>
      <c r="X557" s="136">
        <f>+VLOOKUP(PROVEEDORES[[#This Row],[ID RETENCION]],Retenciones!$A$1:$O$25,PROVEEDORES[[#This Row],[indicador de columna]],FALSE)</f>
        <v>0</v>
      </c>
      <c r="Y557" s="137">
        <f>+VLOOKUP(PROVEEDORES[[#This Row],[ID RETENCION]],Retenciones!$A$1:$O$25,2,FALSE)</f>
        <v>0</v>
      </c>
      <c r="Z557" s="126" t="b">
        <f>+OR(COUNTIF(PROVEEDORES[[#This Row],[PROVEEDOR]],"*"&amp;'Palabra que no opera y Listas d'!$A$2&amp;"*"))</f>
        <v>0</v>
      </c>
    </row>
    <row r="558" spans="1:26" ht="27.75" customHeight="1" x14ac:dyDescent="0.25">
      <c r="A558" s="141" t="str">
        <f>+IF(PROVEEDORES[[#This Row],[FECHA DE PAGO]]=PROVEEDORES[[#This Row],[FECHA DE FACTURACIÓN]],"DE CONTADO","CRÉDITO")</f>
        <v>CRÉDITO</v>
      </c>
      <c r="B558" s="138" t="b">
        <f>+IF((PROVEEDORES[[#This Row],[FECHA DE PAGO]]-PROVEEDORES[[#This Row],[FECHA DE FACTURACIÓN]])&gt;PROVEEDORES[[#This Row],[PLAZO Días]],"PAGO VENCIDO")</f>
        <v>0</v>
      </c>
      <c r="C558" s="138">
        <f>+VLOOKUP(PROVEEDORES[[#This Row],[PROVEEDOR]],TERCEROS_INFO[#All],2,FALSE)</f>
        <v>60</v>
      </c>
      <c r="D558" s="139">
        <f>+SUMIFS(PROVEEDORES[Total],PROVEEDORES[PROVEEDOR],PROVEEDORES[[#This Row],[PROVEEDOR]],PROVEEDORES[FECHA DE PAGO],"")</f>
        <v>1730482</v>
      </c>
      <c r="E558" s="140"/>
      <c r="F558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58" s="127">
        <v>45152</v>
      </c>
      <c r="H558" s="123" t="s">
        <v>222</v>
      </c>
      <c r="I558" s="127">
        <v>45124</v>
      </c>
      <c r="J558" s="124">
        <v>1730</v>
      </c>
      <c r="K558" s="124" t="s">
        <v>1530</v>
      </c>
      <c r="L558" s="124"/>
      <c r="M558" s="125">
        <v>215800</v>
      </c>
      <c r="N558" s="148">
        <v>0</v>
      </c>
      <c r="O558" s="148">
        <v>0</v>
      </c>
      <c r="P558" s="149">
        <v>0</v>
      </c>
      <c r="Q558" s="148">
        <v>0</v>
      </c>
      <c r="R558" s="150">
        <v>215800</v>
      </c>
      <c r="S5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8" s="135">
        <f ca="1">+IF(PROVEEDORES[[#This Row],[FECHA DE PAGO]]=0,TODAY()-PROVEEDORES[[#This Row],[FECHA DE FACTURACIÓN]]-PROVEEDORES[[#This Row],[PLAZO Días]],0)</f>
        <v>0</v>
      </c>
      <c r="U558" s="135">
        <f>+VLOOKUP(PROVEEDORES[[#This Row],[PROVEEDOR]],Terceros!$A:$D,4,FALSE)</f>
        <v>0</v>
      </c>
      <c r="V558" s="135">
        <f>+YEAR(PROVEEDORES[[#This Row],[FECHA DE FACTURACIÓN]])</f>
        <v>2023</v>
      </c>
      <c r="W558" s="135">
        <f>+MATCH(PROVEEDORES[[#This Row],[año facturado]],Retenciones!$1:$1,0)</f>
        <v>6</v>
      </c>
      <c r="X558" s="136">
        <f>+VLOOKUP(PROVEEDORES[[#This Row],[ID RETENCION]],Retenciones!$A$1:$O$25,PROVEEDORES[[#This Row],[indicador de columna]],FALSE)</f>
        <v>0</v>
      </c>
      <c r="Y558" s="137">
        <f>+VLOOKUP(PROVEEDORES[[#This Row],[ID RETENCION]],Retenciones!$A$1:$O$25,2,FALSE)</f>
        <v>0</v>
      </c>
      <c r="Z558" s="126" t="b">
        <f>+OR(COUNTIF(PROVEEDORES[[#This Row],[PROVEEDOR]],"*"&amp;'Palabra que no opera y Listas d'!$A$2&amp;"*"))</f>
        <v>0</v>
      </c>
    </row>
    <row r="559" spans="1:26" ht="27.75" customHeight="1" x14ac:dyDescent="0.25">
      <c r="A559" s="141" t="str">
        <f>+IF(PROVEEDORES[[#This Row],[FECHA DE PAGO]]=PROVEEDORES[[#This Row],[FECHA DE FACTURACIÓN]],"DE CONTADO","CRÉDITO")</f>
        <v>CRÉDITO</v>
      </c>
      <c r="B559" s="138" t="b">
        <f>+IF((PROVEEDORES[[#This Row],[FECHA DE PAGO]]-PROVEEDORES[[#This Row],[FECHA DE FACTURACIÓN]])&gt;PROVEEDORES[[#This Row],[PLAZO Días]],"PAGO VENCIDO")</f>
        <v>0</v>
      </c>
      <c r="C559" s="138">
        <f>+VLOOKUP(PROVEEDORES[[#This Row],[PROVEEDOR]],TERCEROS_INFO[#All],2,FALSE)</f>
        <v>60</v>
      </c>
      <c r="D559" s="139">
        <f>+SUMIFS(PROVEEDORES[Total],PROVEEDORES[PROVEEDOR],PROVEEDORES[[#This Row],[PROVEEDOR]],PROVEEDORES[FECHA DE PAGO],"")</f>
        <v>1730482</v>
      </c>
      <c r="E559" s="140"/>
      <c r="F559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59" s="127">
        <v>45152</v>
      </c>
      <c r="H559" s="123" t="s">
        <v>222</v>
      </c>
      <c r="I559" s="127">
        <v>45124</v>
      </c>
      <c r="J559" s="124">
        <v>1731</v>
      </c>
      <c r="K559" s="124" t="s">
        <v>1530</v>
      </c>
      <c r="L559" s="124"/>
      <c r="M559" s="125">
        <v>315400</v>
      </c>
      <c r="N559" s="148">
        <v>0</v>
      </c>
      <c r="O559" s="148">
        <v>0</v>
      </c>
      <c r="P559" s="149">
        <v>0</v>
      </c>
      <c r="Q559" s="148">
        <v>0</v>
      </c>
      <c r="R559" s="150">
        <v>315400</v>
      </c>
      <c r="S5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59" s="135">
        <f ca="1">+IF(PROVEEDORES[[#This Row],[FECHA DE PAGO]]=0,TODAY()-PROVEEDORES[[#This Row],[FECHA DE FACTURACIÓN]]-PROVEEDORES[[#This Row],[PLAZO Días]],0)</f>
        <v>0</v>
      </c>
      <c r="U559" s="135">
        <f>+VLOOKUP(PROVEEDORES[[#This Row],[PROVEEDOR]],Terceros!$A:$D,4,FALSE)</f>
        <v>0</v>
      </c>
      <c r="V559" s="135">
        <f>+YEAR(PROVEEDORES[[#This Row],[FECHA DE FACTURACIÓN]])</f>
        <v>2023</v>
      </c>
      <c r="W559" s="135">
        <f>+MATCH(PROVEEDORES[[#This Row],[año facturado]],Retenciones!$1:$1,0)</f>
        <v>6</v>
      </c>
      <c r="X559" s="136">
        <f>+VLOOKUP(PROVEEDORES[[#This Row],[ID RETENCION]],Retenciones!$A$1:$O$25,PROVEEDORES[[#This Row],[indicador de columna]],FALSE)</f>
        <v>0</v>
      </c>
      <c r="Y559" s="137">
        <f>+VLOOKUP(PROVEEDORES[[#This Row],[ID RETENCION]],Retenciones!$A$1:$O$25,2,FALSE)</f>
        <v>0</v>
      </c>
      <c r="Z559" s="126" t="b">
        <f>+OR(COUNTIF(PROVEEDORES[[#This Row],[PROVEEDOR]],"*"&amp;'Palabra que no opera y Listas d'!$A$2&amp;"*"))</f>
        <v>0</v>
      </c>
    </row>
    <row r="560" spans="1:26" ht="27.75" customHeight="1" x14ac:dyDescent="0.25">
      <c r="A560" s="141" t="str">
        <f>+IF(PROVEEDORES[[#This Row],[FECHA DE PAGO]]=PROVEEDORES[[#This Row],[FECHA DE FACTURACIÓN]],"DE CONTADO","CRÉDITO")</f>
        <v>CRÉDITO</v>
      </c>
      <c r="B560" s="138" t="b">
        <f>+IF((PROVEEDORES[[#This Row],[FECHA DE PAGO]]-PROVEEDORES[[#This Row],[FECHA DE FACTURACIÓN]])&gt;PROVEEDORES[[#This Row],[PLAZO Días]],"PAGO VENCIDO")</f>
        <v>0</v>
      </c>
      <c r="C560" s="138">
        <f>+VLOOKUP(PROVEEDORES[[#This Row],[PROVEEDOR]],TERCEROS_INFO[#All],2,FALSE)</f>
        <v>60</v>
      </c>
      <c r="D560" s="139">
        <f>+SUMIFS(PROVEEDORES[Total],PROVEEDORES[PROVEEDOR],PROVEEDORES[[#This Row],[PROVEEDOR]],PROVEEDORES[FECHA DE PAGO],"")</f>
        <v>1730482</v>
      </c>
      <c r="E560" s="140"/>
      <c r="F560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60" s="127">
        <v>45152</v>
      </c>
      <c r="H560" s="123" t="s">
        <v>222</v>
      </c>
      <c r="I560" s="127">
        <v>45124</v>
      </c>
      <c r="J560" s="124">
        <v>1732</v>
      </c>
      <c r="K560" s="124" t="s">
        <v>1530</v>
      </c>
      <c r="L560" s="124"/>
      <c r="M560" s="125">
        <v>232400</v>
      </c>
      <c r="N560" s="148">
        <v>0</v>
      </c>
      <c r="O560" s="148">
        <v>0</v>
      </c>
      <c r="P560" s="149">
        <v>0</v>
      </c>
      <c r="Q560" s="148">
        <v>0</v>
      </c>
      <c r="R560" s="150">
        <v>232400</v>
      </c>
      <c r="S5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0" s="135">
        <f ca="1">+IF(PROVEEDORES[[#This Row],[FECHA DE PAGO]]=0,TODAY()-PROVEEDORES[[#This Row],[FECHA DE FACTURACIÓN]]-PROVEEDORES[[#This Row],[PLAZO Días]],0)</f>
        <v>0</v>
      </c>
      <c r="U560" s="135">
        <f>+VLOOKUP(PROVEEDORES[[#This Row],[PROVEEDOR]],Terceros!$A:$D,4,FALSE)</f>
        <v>0</v>
      </c>
      <c r="V560" s="135">
        <f>+YEAR(PROVEEDORES[[#This Row],[FECHA DE FACTURACIÓN]])</f>
        <v>2023</v>
      </c>
      <c r="W560" s="135">
        <f>+MATCH(PROVEEDORES[[#This Row],[año facturado]],Retenciones!$1:$1,0)</f>
        <v>6</v>
      </c>
      <c r="X560" s="136">
        <f>+VLOOKUP(PROVEEDORES[[#This Row],[ID RETENCION]],Retenciones!$A$1:$O$25,PROVEEDORES[[#This Row],[indicador de columna]],FALSE)</f>
        <v>0</v>
      </c>
      <c r="Y560" s="137">
        <f>+VLOOKUP(PROVEEDORES[[#This Row],[ID RETENCION]],Retenciones!$A$1:$O$25,2,FALSE)</f>
        <v>0</v>
      </c>
      <c r="Z560" s="126" t="b">
        <f>+OR(COUNTIF(PROVEEDORES[[#This Row],[PROVEEDOR]],"*"&amp;'Palabra que no opera y Listas d'!$A$2&amp;"*"))</f>
        <v>0</v>
      </c>
    </row>
    <row r="561" spans="1:26" ht="27.75" customHeight="1" x14ac:dyDescent="0.25">
      <c r="A561" s="141" t="str">
        <f>+IF(PROVEEDORES[[#This Row],[FECHA DE PAGO]]=PROVEEDORES[[#This Row],[FECHA DE FACTURACIÓN]],"DE CONTADO","CRÉDITO")</f>
        <v>CRÉDITO</v>
      </c>
      <c r="B561" s="138" t="b">
        <f>+IF((PROVEEDORES[[#This Row],[FECHA DE PAGO]]-PROVEEDORES[[#This Row],[FECHA DE FACTURACIÓN]])&gt;PROVEEDORES[[#This Row],[PLAZO Días]],"PAGO VENCIDO")</f>
        <v>0</v>
      </c>
      <c r="C561" s="138">
        <f>+VLOOKUP(PROVEEDORES[[#This Row],[PROVEEDOR]],TERCEROS_INFO[#All],2,FALSE)</f>
        <v>60</v>
      </c>
      <c r="D561" s="139">
        <f>+SUMIFS(PROVEEDORES[Total],PROVEEDORES[PROVEEDOR],PROVEEDORES[[#This Row],[PROVEEDOR]],PROVEEDORES[FECHA DE PAGO],"")</f>
        <v>1730482</v>
      </c>
      <c r="E561" s="140"/>
      <c r="F561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61" s="127">
        <v>45152</v>
      </c>
      <c r="H561" s="123" t="s">
        <v>222</v>
      </c>
      <c r="I561" s="127">
        <v>45126</v>
      </c>
      <c r="J561" s="124">
        <v>1735</v>
      </c>
      <c r="K561" s="124" t="s">
        <v>1530</v>
      </c>
      <c r="L561" s="124"/>
      <c r="M561" s="125">
        <v>249000</v>
      </c>
      <c r="N561" s="148">
        <v>0</v>
      </c>
      <c r="O561" s="148">
        <v>0</v>
      </c>
      <c r="P561" s="149">
        <v>0</v>
      </c>
      <c r="Q561" s="148">
        <v>0</v>
      </c>
      <c r="R561" s="150">
        <v>249000</v>
      </c>
      <c r="S5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1" s="135">
        <f ca="1">+IF(PROVEEDORES[[#This Row],[FECHA DE PAGO]]=0,TODAY()-PROVEEDORES[[#This Row],[FECHA DE FACTURACIÓN]]-PROVEEDORES[[#This Row],[PLAZO Días]],0)</f>
        <v>0</v>
      </c>
      <c r="U561" s="135">
        <f>+VLOOKUP(PROVEEDORES[[#This Row],[PROVEEDOR]],Terceros!$A:$D,4,FALSE)</f>
        <v>0</v>
      </c>
      <c r="V561" s="135">
        <f>+YEAR(PROVEEDORES[[#This Row],[FECHA DE FACTURACIÓN]])</f>
        <v>2023</v>
      </c>
      <c r="W561" s="135">
        <f>+MATCH(PROVEEDORES[[#This Row],[año facturado]],Retenciones!$1:$1,0)</f>
        <v>6</v>
      </c>
      <c r="X561" s="136">
        <f>+VLOOKUP(PROVEEDORES[[#This Row],[ID RETENCION]],Retenciones!$A$1:$O$25,PROVEEDORES[[#This Row],[indicador de columna]],FALSE)</f>
        <v>0</v>
      </c>
      <c r="Y561" s="137">
        <f>+VLOOKUP(PROVEEDORES[[#This Row],[ID RETENCION]],Retenciones!$A$1:$O$25,2,FALSE)</f>
        <v>0</v>
      </c>
      <c r="Z561" s="126" t="b">
        <f>+OR(COUNTIF(PROVEEDORES[[#This Row],[PROVEEDOR]],"*"&amp;'Palabra que no opera y Listas d'!$A$2&amp;"*"))</f>
        <v>0</v>
      </c>
    </row>
    <row r="562" spans="1:26" ht="27.75" customHeight="1" x14ac:dyDescent="0.25">
      <c r="A562" s="141" t="str">
        <f>+IF(PROVEEDORES[[#This Row],[FECHA DE PAGO]]=PROVEEDORES[[#This Row],[FECHA DE FACTURACIÓN]],"DE CONTADO","CRÉDITO")</f>
        <v>CRÉDITO</v>
      </c>
      <c r="B562" s="138" t="b">
        <f>+IF((PROVEEDORES[[#This Row],[FECHA DE PAGO]]-PROVEEDORES[[#This Row],[FECHA DE FACTURACIÓN]])&gt;PROVEEDORES[[#This Row],[PLAZO Días]],"PAGO VENCIDO")</f>
        <v>0</v>
      </c>
      <c r="C562" s="138">
        <f>+VLOOKUP(PROVEEDORES[[#This Row],[PROVEEDOR]],TERCEROS_INFO[#All],2,FALSE)</f>
        <v>60</v>
      </c>
      <c r="D562" s="139">
        <f>+SUMIFS(PROVEEDORES[Total],PROVEEDORES[PROVEEDOR],PROVEEDORES[[#This Row],[PROVEEDOR]],PROVEEDORES[FECHA DE PAGO],"")</f>
        <v>1730482</v>
      </c>
      <c r="E562" s="140"/>
      <c r="F562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62" s="127">
        <v>45152</v>
      </c>
      <c r="H562" s="123" t="s">
        <v>222</v>
      </c>
      <c r="I562" s="127">
        <v>45126</v>
      </c>
      <c r="J562" s="124">
        <v>1736</v>
      </c>
      <c r="K562" s="124" t="s">
        <v>1530</v>
      </c>
      <c r="L562" s="124"/>
      <c r="M562" s="125">
        <v>232400</v>
      </c>
      <c r="N562" s="148">
        <v>0</v>
      </c>
      <c r="O562" s="148">
        <v>0</v>
      </c>
      <c r="P562" s="149">
        <v>0</v>
      </c>
      <c r="Q562" s="148">
        <v>0</v>
      </c>
      <c r="R562" s="150">
        <v>232400</v>
      </c>
      <c r="S5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2" s="135">
        <f ca="1">+IF(PROVEEDORES[[#This Row],[FECHA DE PAGO]]=0,TODAY()-PROVEEDORES[[#This Row],[FECHA DE FACTURACIÓN]]-PROVEEDORES[[#This Row],[PLAZO Días]],0)</f>
        <v>0</v>
      </c>
      <c r="U562" s="135">
        <f>+VLOOKUP(PROVEEDORES[[#This Row],[PROVEEDOR]],Terceros!$A:$D,4,FALSE)</f>
        <v>0</v>
      </c>
      <c r="V562" s="135">
        <f>+YEAR(PROVEEDORES[[#This Row],[FECHA DE FACTURACIÓN]])</f>
        <v>2023</v>
      </c>
      <c r="W562" s="135">
        <f>+MATCH(PROVEEDORES[[#This Row],[año facturado]],Retenciones!$1:$1,0)</f>
        <v>6</v>
      </c>
      <c r="X562" s="136">
        <f>+VLOOKUP(PROVEEDORES[[#This Row],[ID RETENCION]],Retenciones!$A$1:$O$25,PROVEEDORES[[#This Row],[indicador de columna]],FALSE)</f>
        <v>0</v>
      </c>
      <c r="Y562" s="137">
        <f>+VLOOKUP(PROVEEDORES[[#This Row],[ID RETENCION]],Retenciones!$A$1:$O$25,2,FALSE)</f>
        <v>0</v>
      </c>
      <c r="Z562" s="126" t="b">
        <f>+OR(COUNTIF(PROVEEDORES[[#This Row],[PROVEEDOR]],"*"&amp;'Palabra que no opera y Listas d'!$A$2&amp;"*"))</f>
        <v>0</v>
      </c>
    </row>
    <row r="563" spans="1:26" ht="27.75" customHeight="1" x14ac:dyDescent="0.25">
      <c r="A563" s="141" t="str">
        <f>+IF(PROVEEDORES[[#This Row],[FECHA DE PAGO]]=PROVEEDORES[[#This Row],[FECHA DE FACTURACIÓN]],"DE CONTADO","CRÉDITO")</f>
        <v>CRÉDITO</v>
      </c>
      <c r="B563" s="138" t="b">
        <f>+IF((PROVEEDORES[[#This Row],[FECHA DE PAGO]]-PROVEEDORES[[#This Row],[FECHA DE FACTURACIÓN]])&gt;PROVEEDORES[[#This Row],[PLAZO Días]],"PAGO VENCIDO")</f>
        <v>0</v>
      </c>
      <c r="C563" s="138">
        <f>+VLOOKUP(PROVEEDORES[[#This Row],[PROVEEDOR]],TERCEROS_INFO[#All],2,FALSE)</f>
        <v>60</v>
      </c>
      <c r="D563" s="139">
        <f>+SUMIFS(PROVEEDORES[Total],PROVEEDORES[PROVEEDOR],PROVEEDORES[[#This Row],[PROVEEDOR]],PROVEEDORES[FECHA DE PAGO],"")</f>
        <v>1730482</v>
      </c>
      <c r="E563" s="140"/>
      <c r="F563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63" s="127">
        <v>45152</v>
      </c>
      <c r="H563" s="123" t="s">
        <v>222</v>
      </c>
      <c r="I563" s="127">
        <v>45126</v>
      </c>
      <c r="J563" s="124">
        <v>1737</v>
      </c>
      <c r="K563" s="124" t="s">
        <v>1530</v>
      </c>
      <c r="L563" s="124"/>
      <c r="M563" s="125">
        <v>232400</v>
      </c>
      <c r="N563" s="148">
        <v>0</v>
      </c>
      <c r="O563" s="148">
        <v>0</v>
      </c>
      <c r="P563" s="149">
        <v>0</v>
      </c>
      <c r="Q563" s="148">
        <v>0</v>
      </c>
      <c r="R563" s="150">
        <v>232400</v>
      </c>
      <c r="S5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3" s="135">
        <f ca="1">+IF(PROVEEDORES[[#This Row],[FECHA DE PAGO]]=0,TODAY()-PROVEEDORES[[#This Row],[FECHA DE FACTURACIÓN]]-PROVEEDORES[[#This Row],[PLAZO Días]],0)</f>
        <v>0</v>
      </c>
      <c r="U563" s="135">
        <f>+VLOOKUP(PROVEEDORES[[#This Row],[PROVEEDOR]],Terceros!$A:$D,4,FALSE)</f>
        <v>0</v>
      </c>
      <c r="V563" s="135">
        <f>+YEAR(PROVEEDORES[[#This Row],[FECHA DE FACTURACIÓN]])</f>
        <v>2023</v>
      </c>
      <c r="W563" s="135">
        <f>+MATCH(PROVEEDORES[[#This Row],[año facturado]],Retenciones!$1:$1,0)</f>
        <v>6</v>
      </c>
      <c r="X563" s="136">
        <f>+VLOOKUP(PROVEEDORES[[#This Row],[ID RETENCION]],Retenciones!$A$1:$O$25,PROVEEDORES[[#This Row],[indicador de columna]],FALSE)</f>
        <v>0</v>
      </c>
      <c r="Y563" s="137">
        <f>+VLOOKUP(PROVEEDORES[[#This Row],[ID RETENCION]],Retenciones!$A$1:$O$25,2,FALSE)</f>
        <v>0</v>
      </c>
      <c r="Z563" s="126" t="b">
        <f>+OR(COUNTIF(PROVEEDORES[[#This Row],[PROVEEDOR]],"*"&amp;'Palabra que no opera y Listas d'!$A$2&amp;"*"))</f>
        <v>0</v>
      </c>
    </row>
    <row r="564" spans="1:26" ht="27.75" customHeight="1" x14ac:dyDescent="0.25">
      <c r="A564" s="141" t="str">
        <f>+IF(PROVEEDORES[[#This Row],[FECHA DE PAGO]]=PROVEEDORES[[#This Row],[FECHA DE FACTURACIÓN]],"DE CONTADO","CRÉDITO")</f>
        <v>CRÉDITO</v>
      </c>
      <c r="B564" s="138" t="b">
        <f>+IF((PROVEEDORES[[#This Row],[FECHA DE PAGO]]-PROVEEDORES[[#This Row],[FECHA DE FACTURACIÓN]])&gt;PROVEEDORES[[#This Row],[PLAZO Días]],"PAGO VENCIDO")</f>
        <v>0</v>
      </c>
      <c r="C564" s="138">
        <f>+VLOOKUP(PROVEEDORES[[#This Row],[PROVEEDOR]],TERCEROS_INFO[#All],2,FALSE)</f>
        <v>60</v>
      </c>
      <c r="D564" s="139">
        <f>+SUMIFS(PROVEEDORES[Total],PROVEEDORES[PROVEEDOR],PROVEEDORES[[#This Row],[PROVEEDOR]],PROVEEDORES[FECHA DE PAGO],"")</f>
        <v>1730482</v>
      </c>
      <c r="E564" s="140"/>
      <c r="F564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64" s="127">
        <v>45152</v>
      </c>
      <c r="H564" s="123" t="s">
        <v>222</v>
      </c>
      <c r="I564" s="127">
        <v>45126</v>
      </c>
      <c r="J564" s="124">
        <v>1738</v>
      </c>
      <c r="K564" s="124" t="s">
        <v>1530</v>
      </c>
      <c r="L564" s="124"/>
      <c r="M564" s="125">
        <v>232400</v>
      </c>
      <c r="N564" s="148">
        <v>0</v>
      </c>
      <c r="O564" s="148">
        <v>0</v>
      </c>
      <c r="P564" s="149">
        <v>0</v>
      </c>
      <c r="Q564" s="148">
        <v>0</v>
      </c>
      <c r="R564" s="150">
        <v>232400</v>
      </c>
      <c r="S5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4" s="135">
        <f ca="1">+IF(PROVEEDORES[[#This Row],[FECHA DE PAGO]]=0,TODAY()-PROVEEDORES[[#This Row],[FECHA DE FACTURACIÓN]]-PROVEEDORES[[#This Row],[PLAZO Días]],0)</f>
        <v>0</v>
      </c>
      <c r="U564" s="135">
        <f>+VLOOKUP(PROVEEDORES[[#This Row],[PROVEEDOR]],Terceros!$A:$D,4,FALSE)</f>
        <v>0</v>
      </c>
      <c r="V564" s="135">
        <f>+YEAR(PROVEEDORES[[#This Row],[FECHA DE FACTURACIÓN]])</f>
        <v>2023</v>
      </c>
      <c r="W564" s="135">
        <f>+MATCH(PROVEEDORES[[#This Row],[año facturado]],Retenciones!$1:$1,0)</f>
        <v>6</v>
      </c>
      <c r="X564" s="136">
        <f>+VLOOKUP(PROVEEDORES[[#This Row],[ID RETENCION]],Retenciones!$A$1:$O$25,PROVEEDORES[[#This Row],[indicador de columna]],FALSE)</f>
        <v>0</v>
      </c>
      <c r="Y564" s="137">
        <f>+VLOOKUP(PROVEEDORES[[#This Row],[ID RETENCION]],Retenciones!$A$1:$O$25,2,FALSE)</f>
        <v>0</v>
      </c>
      <c r="Z564" s="126" t="b">
        <f>+OR(COUNTIF(PROVEEDORES[[#This Row],[PROVEEDOR]],"*"&amp;'Palabra que no opera y Listas d'!$A$2&amp;"*"))</f>
        <v>0</v>
      </c>
    </row>
    <row r="565" spans="1:26" ht="27.75" customHeight="1" x14ac:dyDescent="0.25">
      <c r="A565" s="141" t="str">
        <f>+IF(PROVEEDORES[[#This Row],[FECHA DE PAGO]]=PROVEEDORES[[#This Row],[FECHA DE FACTURACIÓN]],"DE CONTADO","CRÉDITO")</f>
        <v>CRÉDITO</v>
      </c>
      <c r="B565" s="138" t="b">
        <f>+IF((PROVEEDORES[[#This Row],[FECHA DE PAGO]]-PROVEEDORES[[#This Row],[FECHA DE FACTURACIÓN]])&gt;PROVEEDORES[[#This Row],[PLAZO Días]],"PAGO VENCIDO")</f>
        <v>0</v>
      </c>
      <c r="C565" s="138">
        <f>+VLOOKUP(PROVEEDORES[[#This Row],[PROVEEDOR]],TERCEROS_INFO[#All],2,FALSE)</f>
        <v>60</v>
      </c>
      <c r="D565" s="139">
        <f>+SUMIFS(PROVEEDORES[Total],PROVEEDORES[PROVEEDOR],PROVEEDORES[[#This Row],[PROVEEDOR]],PROVEEDORES[FECHA DE PAGO],"")</f>
        <v>1730482</v>
      </c>
      <c r="E565" s="140"/>
      <c r="F565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65" s="127">
        <v>45152</v>
      </c>
      <c r="H565" s="123" t="s">
        <v>222</v>
      </c>
      <c r="I565" s="127">
        <v>45134</v>
      </c>
      <c r="J565" s="124">
        <v>1741</v>
      </c>
      <c r="K565" s="124" t="s">
        <v>1530</v>
      </c>
      <c r="L565" s="124"/>
      <c r="M565" s="125">
        <v>381800</v>
      </c>
      <c r="N565" s="148">
        <v>0</v>
      </c>
      <c r="O565" s="148">
        <v>0</v>
      </c>
      <c r="P565" s="149">
        <v>0</v>
      </c>
      <c r="Q565" s="148">
        <v>0</v>
      </c>
      <c r="R565" s="150">
        <v>381800</v>
      </c>
      <c r="S5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5" s="135">
        <f ca="1">+IF(PROVEEDORES[[#This Row],[FECHA DE PAGO]]=0,TODAY()-PROVEEDORES[[#This Row],[FECHA DE FACTURACIÓN]]-PROVEEDORES[[#This Row],[PLAZO Días]],0)</f>
        <v>0</v>
      </c>
      <c r="U565" s="135">
        <f>+VLOOKUP(PROVEEDORES[[#This Row],[PROVEEDOR]],Terceros!$A:$D,4,FALSE)</f>
        <v>0</v>
      </c>
      <c r="V565" s="135">
        <f>+YEAR(PROVEEDORES[[#This Row],[FECHA DE FACTURACIÓN]])</f>
        <v>2023</v>
      </c>
      <c r="W565" s="135">
        <f>+MATCH(PROVEEDORES[[#This Row],[año facturado]],Retenciones!$1:$1,0)</f>
        <v>6</v>
      </c>
      <c r="X565" s="136">
        <f>+VLOOKUP(PROVEEDORES[[#This Row],[ID RETENCION]],Retenciones!$A$1:$O$25,PROVEEDORES[[#This Row],[indicador de columna]],FALSE)</f>
        <v>0</v>
      </c>
      <c r="Y565" s="137">
        <f>+VLOOKUP(PROVEEDORES[[#This Row],[ID RETENCION]],Retenciones!$A$1:$O$25,2,FALSE)</f>
        <v>0</v>
      </c>
      <c r="Z565" s="126" t="b">
        <f>+OR(COUNTIF(PROVEEDORES[[#This Row],[PROVEEDOR]],"*"&amp;'Palabra que no opera y Listas d'!$A$2&amp;"*"))</f>
        <v>0</v>
      </c>
    </row>
    <row r="566" spans="1:26" ht="27.75" customHeight="1" x14ac:dyDescent="0.25">
      <c r="A566" s="141" t="str">
        <f>+IF(PROVEEDORES[[#This Row],[FECHA DE PAGO]]=PROVEEDORES[[#This Row],[FECHA DE FACTURACIÓN]],"DE CONTADO","CRÉDITO")</f>
        <v>CRÉDITO</v>
      </c>
      <c r="B566" s="138" t="b">
        <f>+IF((PROVEEDORES[[#This Row],[FECHA DE PAGO]]-PROVEEDORES[[#This Row],[FECHA DE FACTURACIÓN]])&gt;PROVEEDORES[[#This Row],[PLAZO Días]],"PAGO VENCIDO")</f>
        <v>0</v>
      </c>
      <c r="C566" s="138">
        <f>+VLOOKUP(PROVEEDORES[[#This Row],[PROVEEDOR]],TERCEROS_INFO[#All],2,FALSE)</f>
        <v>60</v>
      </c>
      <c r="D566" s="139">
        <f>+SUMIFS(PROVEEDORES[Total],PROVEEDORES[PROVEEDOR],PROVEEDORES[[#This Row],[PROVEEDOR]],PROVEEDORES[FECHA DE PAGO],"")</f>
        <v>1730482</v>
      </c>
      <c r="E566" s="140"/>
      <c r="F566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66" s="127">
        <v>45152</v>
      </c>
      <c r="H566" s="123" t="s">
        <v>222</v>
      </c>
      <c r="I566" s="127">
        <v>45134</v>
      </c>
      <c r="J566" s="124">
        <v>1742</v>
      </c>
      <c r="K566" s="124" t="s">
        <v>1530</v>
      </c>
      <c r="L566" s="124"/>
      <c r="M566" s="125">
        <v>381800</v>
      </c>
      <c r="N566" s="148">
        <v>0</v>
      </c>
      <c r="O566" s="148">
        <v>0</v>
      </c>
      <c r="P566" s="149">
        <v>0</v>
      </c>
      <c r="Q566" s="148">
        <v>0</v>
      </c>
      <c r="R566" s="150">
        <v>381800</v>
      </c>
      <c r="S5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6" s="135">
        <f ca="1">+IF(PROVEEDORES[[#This Row],[FECHA DE PAGO]]=0,TODAY()-PROVEEDORES[[#This Row],[FECHA DE FACTURACIÓN]]-PROVEEDORES[[#This Row],[PLAZO Días]],0)</f>
        <v>0</v>
      </c>
      <c r="U566" s="135">
        <f>+VLOOKUP(PROVEEDORES[[#This Row],[PROVEEDOR]],Terceros!$A:$D,4,FALSE)</f>
        <v>0</v>
      </c>
      <c r="V566" s="135">
        <f>+YEAR(PROVEEDORES[[#This Row],[FECHA DE FACTURACIÓN]])</f>
        <v>2023</v>
      </c>
      <c r="W566" s="135">
        <f>+MATCH(PROVEEDORES[[#This Row],[año facturado]],Retenciones!$1:$1,0)</f>
        <v>6</v>
      </c>
      <c r="X566" s="136">
        <f>+VLOOKUP(PROVEEDORES[[#This Row],[ID RETENCION]],Retenciones!$A$1:$O$25,PROVEEDORES[[#This Row],[indicador de columna]],FALSE)</f>
        <v>0</v>
      </c>
      <c r="Y566" s="137">
        <f>+VLOOKUP(PROVEEDORES[[#This Row],[ID RETENCION]],Retenciones!$A$1:$O$25,2,FALSE)</f>
        <v>0</v>
      </c>
      <c r="Z566" s="126" t="b">
        <f>+OR(COUNTIF(PROVEEDORES[[#This Row],[PROVEEDOR]],"*"&amp;'Palabra que no opera y Listas d'!$A$2&amp;"*"))</f>
        <v>0</v>
      </c>
    </row>
    <row r="567" spans="1:26" ht="27.75" customHeight="1" x14ac:dyDescent="0.25">
      <c r="A567" s="141" t="str">
        <f>+IF(PROVEEDORES[[#This Row],[FECHA DE PAGO]]=PROVEEDORES[[#This Row],[FECHA DE FACTURACIÓN]],"DE CONTADO","CRÉDITO")</f>
        <v>CRÉDITO</v>
      </c>
      <c r="B567" s="138" t="b">
        <f>+IF((PROVEEDORES[[#This Row],[FECHA DE PAGO]]-PROVEEDORES[[#This Row],[FECHA DE FACTURACIÓN]])&gt;PROVEEDORES[[#This Row],[PLAZO Días]],"PAGO VENCIDO")</f>
        <v>0</v>
      </c>
      <c r="C567" s="138">
        <f>+VLOOKUP(PROVEEDORES[[#This Row],[PROVEEDOR]],TERCEROS_INFO[#All],2,FALSE)</f>
        <v>60</v>
      </c>
      <c r="D567" s="139">
        <f>+SUMIFS(PROVEEDORES[Total],PROVEEDORES[PROVEEDOR],PROVEEDORES[[#This Row],[PROVEEDOR]],PROVEEDORES[FECHA DE PAGO],"")</f>
        <v>1730482</v>
      </c>
      <c r="E567" s="140"/>
      <c r="F567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67" s="127">
        <v>45152</v>
      </c>
      <c r="H567" s="123" t="s">
        <v>222</v>
      </c>
      <c r="I567" s="127">
        <v>45134</v>
      </c>
      <c r="J567" s="124">
        <v>1743</v>
      </c>
      <c r="K567" s="124" t="s">
        <v>1530</v>
      </c>
      <c r="L567" s="124"/>
      <c r="M567" s="125">
        <v>166000</v>
      </c>
      <c r="N567" s="148">
        <v>0</v>
      </c>
      <c r="O567" s="148">
        <v>0</v>
      </c>
      <c r="P567" s="149">
        <v>0</v>
      </c>
      <c r="Q567" s="148">
        <v>0</v>
      </c>
      <c r="R567" s="150">
        <v>166000</v>
      </c>
      <c r="S5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7" s="135">
        <f ca="1">+IF(PROVEEDORES[[#This Row],[FECHA DE PAGO]]=0,TODAY()-PROVEEDORES[[#This Row],[FECHA DE FACTURACIÓN]]-PROVEEDORES[[#This Row],[PLAZO Días]],0)</f>
        <v>0</v>
      </c>
      <c r="U567" s="135">
        <f>+VLOOKUP(PROVEEDORES[[#This Row],[PROVEEDOR]],Terceros!$A:$D,4,FALSE)</f>
        <v>0</v>
      </c>
      <c r="V567" s="135">
        <f>+YEAR(PROVEEDORES[[#This Row],[FECHA DE FACTURACIÓN]])</f>
        <v>2023</v>
      </c>
      <c r="W567" s="135">
        <f>+MATCH(PROVEEDORES[[#This Row],[año facturado]],Retenciones!$1:$1,0)</f>
        <v>6</v>
      </c>
      <c r="X567" s="136">
        <f>+VLOOKUP(PROVEEDORES[[#This Row],[ID RETENCION]],Retenciones!$A$1:$O$25,PROVEEDORES[[#This Row],[indicador de columna]],FALSE)</f>
        <v>0</v>
      </c>
      <c r="Y567" s="137">
        <f>+VLOOKUP(PROVEEDORES[[#This Row],[ID RETENCION]],Retenciones!$A$1:$O$25,2,FALSE)</f>
        <v>0</v>
      </c>
      <c r="Z567" s="126" t="b">
        <f>+OR(COUNTIF(PROVEEDORES[[#This Row],[PROVEEDOR]],"*"&amp;'Palabra que no opera y Listas d'!$A$2&amp;"*"))</f>
        <v>0</v>
      </c>
    </row>
    <row r="568" spans="1:26" ht="27.75" customHeight="1" x14ac:dyDescent="0.25">
      <c r="A568" s="141" t="str">
        <f>+IF(PROVEEDORES[[#This Row],[FECHA DE PAGO]]=PROVEEDORES[[#This Row],[FECHA DE FACTURACIÓN]],"DE CONTADO","CRÉDITO")</f>
        <v>CRÉDITO</v>
      </c>
      <c r="B568" s="138" t="b">
        <f>+IF((PROVEEDORES[[#This Row],[FECHA DE PAGO]]-PROVEEDORES[[#This Row],[FECHA DE FACTURACIÓN]])&gt;PROVEEDORES[[#This Row],[PLAZO Días]],"PAGO VENCIDO")</f>
        <v>0</v>
      </c>
      <c r="C568" s="138">
        <f>+VLOOKUP(PROVEEDORES[[#This Row],[PROVEEDOR]],TERCEROS_INFO[#All],2,FALSE)</f>
        <v>60</v>
      </c>
      <c r="D568" s="139">
        <f>+SUMIFS(PROVEEDORES[Total],PROVEEDORES[PROVEEDOR],PROVEEDORES[[#This Row],[PROVEEDOR]],PROVEEDORES[FECHA DE PAGO],"")</f>
        <v>1730482</v>
      </c>
      <c r="E568" s="140"/>
      <c r="F568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68" s="127">
        <v>45152</v>
      </c>
      <c r="H568" s="123" t="s">
        <v>222</v>
      </c>
      <c r="I568" s="127">
        <v>45134</v>
      </c>
      <c r="J568" s="124">
        <v>1744</v>
      </c>
      <c r="K568" s="124" t="s">
        <v>1530</v>
      </c>
      <c r="L568" s="124"/>
      <c r="M568" s="125">
        <v>166000</v>
      </c>
      <c r="N568" s="148">
        <v>0</v>
      </c>
      <c r="O568" s="148">
        <v>0</v>
      </c>
      <c r="P568" s="149">
        <v>0</v>
      </c>
      <c r="Q568" s="148">
        <v>0</v>
      </c>
      <c r="R568" s="150">
        <v>166000</v>
      </c>
      <c r="S5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8" s="135">
        <f ca="1">+IF(PROVEEDORES[[#This Row],[FECHA DE PAGO]]=0,TODAY()-PROVEEDORES[[#This Row],[FECHA DE FACTURACIÓN]]-PROVEEDORES[[#This Row],[PLAZO Días]],0)</f>
        <v>0</v>
      </c>
      <c r="U568" s="135">
        <f>+VLOOKUP(PROVEEDORES[[#This Row],[PROVEEDOR]],Terceros!$A:$D,4,FALSE)</f>
        <v>0</v>
      </c>
      <c r="V568" s="135">
        <f>+YEAR(PROVEEDORES[[#This Row],[FECHA DE FACTURACIÓN]])</f>
        <v>2023</v>
      </c>
      <c r="W568" s="135">
        <f>+MATCH(PROVEEDORES[[#This Row],[año facturado]],Retenciones!$1:$1,0)</f>
        <v>6</v>
      </c>
      <c r="X568" s="136">
        <f>+VLOOKUP(PROVEEDORES[[#This Row],[ID RETENCION]],Retenciones!$A$1:$O$25,PROVEEDORES[[#This Row],[indicador de columna]],FALSE)</f>
        <v>0</v>
      </c>
      <c r="Y568" s="137">
        <f>+VLOOKUP(PROVEEDORES[[#This Row],[ID RETENCION]],Retenciones!$A$1:$O$25,2,FALSE)</f>
        <v>0</v>
      </c>
      <c r="Z568" s="126" t="b">
        <f>+OR(COUNTIF(PROVEEDORES[[#This Row],[PROVEEDOR]],"*"&amp;'Palabra que no opera y Listas d'!$A$2&amp;"*"))</f>
        <v>0</v>
      </c>
    </row>
    <row r="569" spans="1:26" ht="27.75" customHeight="1" x14ac:dyDescent="0.25">
      <c r="A569" s="141" t="str">
        <f>+IF(PROVEEDORES[[#This Row],[FECHA DE PAGO]]=PROVEEDORES[[#This Row],[FECHA DE FACTURACIÓN]],"DE CONTADO","CRÉDITO")</f>
        <v>CRÉDITO</v>
      </c>
      <c r="B569" s="138" t="b">
        <f>+IF((PROVEEDORES[[#This Row],[FECHA DE PAGO]]-PROVEEDORES[[#This Row],[FECHA DE FACTURACIÓN]])&gt;PROVEEDORES[[#This Row],[PLAZO Días]],"PAGO VENCIDO")</f>
        <v>0</v>
      </c>
      <c r="C569" s="138">
        <f>+VLOOKUP(PROVEEDORES[[#This Row],[PROVEEDOR]],TERCEROS_INFO[#All],2,FALSE)</f>
        <v>30</v>
      </c>
      <c r="D569" s="139">
        <f>+SUMIFS(PROVEEDORES[Total],PROVEEDORES[PROVEEDOR],PROVEEDORES[[#This Row],[PROVEEDOR]],PROVEEDORES[FECHA DE PAGO],"")</f>
        <v>0</v>
      </c>
      <c r="E569" s="140"/>
      <c r="F569" s="138">
        <f>+VLOOKUP(PROVEEDORES[[#This Row],[PROVEEDOR]],
                       Terceros!$A:$F,
                       5,
                       FALSE)</f>
        <v>0</v>
      </c>
      <c r="G569" s="127">
        <v>45152</v>
      </c>
      <c r="H569" s="123" t="s">
        <v>1823</v>
      </c>
      <c r="I569" s="127">
        <v>45146</v>
      </c>
      <c r="J569" s="124" t="s">
        <v>598</v>
      </c>
      <c r="K569" s="124" t="s">
        <v>1530</v>
      </c>
      <c r="L569" s="124"/>
      <c r="M569" s="125">
        <v>-1149500</v>
      </c>
      <c r="N569" s="148">
        <v>0</v>
      </c>
      <c r="O569" s="148">
        <v>0</v>
      </c>
      <c r="P569" s="149">
        <v>0</v>
      </c>
      <c r="Q569" s="148">
        <v>0</v>
      </c>
      <c r="R569" s="150">
        <v>-1149500</v>
      </c>
      <c r="S5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69" s="135">
        <f ca="1">+IF(PROVEEDORES[[#This Row],[FECHA DE PAGO]]=0,TODAY()-PROVEEDORES[[#This Row],[FECHA DE FACTURACIÓN]]-PROVEEDORES[[#This Row],[PLAZO Días]],0)</f>
        <v>0</v>
      </c>
      <c r="U569" s="135">
        <f>+VLOOKUP(PROVEEDORES[[#This Row],[PROVEEDOR]],Terceros!$A:$D,4,FALSE)</f>
        <v>0</v>
      </c>
      <c r="V569" s="135">
        <f>+YEAR(PROVEEDORES[[#This Row],[FECHA DE FACTURACIÓN]])</f>
        <v>2023</v>
      </c>
      <c r="W569" s="135">
        <f>+MATCH(PROVEEDORES[[#This Row],[año facturado]],Retenciones!$1:$1,0)</f>
        <v>6</v>
      </c>
      <c r="X569" s="136">
        <f>+VLOOKUP(PROVEEDORES[[#This Row],[ID RETENCION]],Retenciones!$A$1:$O$25,PROVEEDORES[[#This Row],[indicador de columna]],FALSE)</f>
        <v>0</v>
      </c>
      <c r="Y569" s="137">
        <f>+VLOOKUP(PROVEEDORES[[#This Row],[ID RETENCION]],Retenciones!$A$1:$O$25,2,FALSE)</f>
        <v>0</v>
      </c>
      <c r="Z569" s="126" t="b">
        <f>+OR(COUNTIF(PROVEEDORES[[#This Row],[PROVEEDOR]],"*"&amp;'Palabra que no opera y Listas d'!$A$2&amp;"*"))</f>
        <v>0</v>
      </c>
    </row>
    <row r="570" spans="1:26" ht="27.75" customHeight="1" x14ac:dyDescent="0.25">
      <c r="A570" s="141" t="str">
        <f>+IF(PROVEEDORES[[#This Row],[FECHA DE PAGO]]=PROVEEDORES[[#This Row],[FECHA DE FACTURACIÓN]],"DE CONTADO","CRÉDITO")</f>
        <v>CRÉDITO</v>
      </c>
      <c r="B570" s="138" t="b">
        <f>+IF((PROVEEDORES[[#This Row],[FECHA DE PAGO]]-PROVEEDORES[[#This Row],[FECHA DE FACTURACIÓN]])&gt;PROVEEDORES[[#This Row],[PLAZO Días]],"PAGO VENCIDO")</f>
        <v>0</v>
      </c>
      <c r="C570" s="138">
        <f>+VLOOKUP(PROVEEDORES[[#This Row],[PROVEEDOR]],TERCEROS_INFO[#All],2,FALSE)</f>
        <v>60</v>
      </c>
      <c r="D570" s="139">
        <f>+SUMIFS(PROVEEDORES[Total],PROVEEDORES[PROVEEDOR],PROVEEDORES[[#This Row],[PROVEEDOR]],PROVEEDORES[FECHA DE PAGO],"")</f>
        <v>1730482</v>
      </c>
      <c r="E570" s="140"/>
      <c r="F570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0" s="127">
        <v>45152</v>
      </c>
      <c r="H570" s="123" t="s">
        <v>222</v>
      </c>
      <c r="I570" s="127">
        <v>45207</v>
      </c>
      <c r="J570" s="124">
        <v>1755</v>
      </c>
      <c r="K570" s="124" t="s">
        <v>1530</v>
      </c>
      <c r="L570" s="124"/>
      <c r="M570" s="125">
        <v>199200</v>
      </c>
      <c r="N570" s="148">
        <v>0</v>
      </c>
      <c r="O570" s="148">
        <v>0</v>
      </c>
      <c r="P570" s="149">
        <v>0</v>
      </c>
      <c r="Q570" s="148">
        <v>0</v>
      </c>
      <c r="R570" s="150">
        <v>199200</v>
      </c>
      <c r="S5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0" s="135">
        <f ca="1">+IF(PROVEEDORES[[#This Row],[FECHA DE PAGO]]=0,TODAY()-PROVEEDORES[[#This Row],[FECHA DE FACTURACIÓN]]-PROVEEDORES[[#This Row],[PLAZO Días]],0)</f>
        <v>0</v>
      </c>
      <c r="U570" s="135">
        <f>+VLOOKUP(PROVEEDORES[[#This Row],[PROVEEDOR]],Terceros!$A:$D,4,FALSE)</f>
        <v>0</v>
      </c>
      <c r="V570" s="135">
        <f>+YEAR(PROVEEDORES[[#This Row],[FECHA DE FACTURACIÓN]])</f>
        <v>2023</v>
      </c>
      <c r="W570" s="135">
        <f>+MATCH(PROVEEDORES[[#This Row],[año facturado]],Retenciones!$1:$1,0)</f>
        <v>6</v>
      </c>
      <c r="X570" s="136">
        <f>+VLOOKUP(PROVEEDORES[[#This Row],[ID RETENCION]],Retenciones!$A$1:$O$25,PROVEEDORES[[#This Row],[indicador de columna]],FALSE)</f>
        <v>0</v>
      </c>
      <c r="Y570" s="137">
        <f>+VLOOKUP(PROVEEDORES[[#This Row],[ID RETENCION]],Retenciones!$A$1:$O$25,2,FALSE)</f>
        <v>0</v>
      </c>
      <c r="Z570" s="126" t="b">
        <f>+OR(COUNTIF(PROVEEDORES[[#This Row],[PROVEEDOR]],"*"&amp;'Palabra que no opera y Listas d'!$A$2&amp;"*"))</f>
        <v>0</v>
      </c>
    </row>
    <row r="571" spans="1:26" ht="27.75" customHeight="1" x14ac:dyDescent="0.25">
      <c r="A571" s="141" t="str">
        <f>+IF(PROVEEDORES[[#This Row],[FECHA DE PAGO]]=PROVEEDORES[[#This Row],[FECHA DE FACTURACIÓN]],"DE CONTADO","CRÉDITO")</f>
        <v>CRÉDITO</v>
      </c>
      <c r="B571" s="138" t="b">
        <f>+IF((PROVEEDORES[[#This Row],[FECHA DE PAGO]]-PROVEEDORES[[#This Row],[FECHA DE FACTURACIÓN]])&gt;PROVEEDORES[[#This Row],[PLAZO Días]],"PAGO VENCIDO")</f>
        <v>0</v>
      </c>
      <c r="C571" s="138">
        <f>+VLOOKUP(PROVEEDORES[[#This Row],[PROVEEDOR]],TERCEROS_INFO[#All],2,FALSE)</f>
        <v>60</v>
      </c>
      <c r="D571" s="139">
        <f>+SUMIFS(PROVEEDORES[Total],PROVEEDORES[PROVEEDOR],PROVEEDORES[[#This Row],[PROVEEDOR]],PROVEEDORES[FECHA DE PAGO],"")</f>
        <v>1730482</v>
      </c>
      <c r="E571" s="140"/>
      <c r="F571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1" s="127">
        <v>45152</v>
      </c>
      <c r="H571" s="123" t="s">
        <v>222</v>
      </c>
      <c r="I571" s="127">
        <v>45207</v>
      </c>
      <c r="J571" s="124">
        <v>1756</v>
      </c>
      <c r="K571" s="124" t="s">
        <v>1530</v>
      </c>
      <c r="L571" s="124"/>
      <c r="M571" s="125">
        <v>166000</v>
      </c>
      <c r="N571" s="148">
        <v>0</v>
      </c>
      <c r="O571" s="148">
        <v>0</v>
      </c>
      <c r="P571" s="149">
        <v>0</v>
      </c>
      <c r="Q571" s="148">
        <v>0</v>
      </c>
      <c r="R571" s="150">
        <v>166000</v>
      </c>
      <c r="S5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1" s="135">
        <f ca="1">+IF(PROVEEDORES[[#This Row],[FECHA DE PAGO]]=0,TODAY()-PROVEEDORES[[#This Row],[FECHA DE FACTURACIÓN]]-PROVEEDORES[[#This Row],[PLAZO Días]],0)</f>
        <v>0</v>
      </c>
      <c r="U571" s="135">
        <f>+VLOOKUP(PROVEEDORES[[#This Row],[PROVEEDOR]],Terceros!$A:$D,4,FALSE)</f>
        <v>0</v>
      </c>
      <c r="V571" s="135">
        <f>+YEAR(PROVEEDORES[[#This Row],[FECHA DE FACTURACIÓN]])</f>
        <v>2023</v>
      </c>
      <c r="W571" s="135">
        <f>+MATCH(PROVEEDORES[[#This Row],[año facturado]],Retenciones!$1:$1,0)</f>
        <v>6</v>
      </c>
      <c r="X571" s="136">
        <f>+VLOOKUP(PROVEEDORES[[#This Row],[ID RETENCION]],Retenciones!$A$1:$O$25,PROVEEDORES[[#This Row],[indicador de columna]],FALSE)</f>
        <v>0</v>
      </c>
      <c r="Y571" s="137">
        <f>+VLOOKUP(PROVEEDORES[[#This Row],[ID RETENCION]],Retenciones!$A$1:$O$25,2,FALSE)</f>
        <v>0</v>
      </c>
      <c r="Z571" s="126" t="b">
        <f>+OR(COUNTIF(PROVEEDORES[[#This Row],[PROVEEDOR]],"*"&amp;'Palabra que no opera y Listas d'!$A$2&amp;"*"))</f>
        <v>0</v>
      </c>
    </row>
    <row r="572" spans="1:26" ht="27.75" customHeight="1" x14ac:dyDescent="0.25">
      <c r="A572" s="141" t="str">
        <f>+IF(PROVEEDORES[[#This Row],[FECHA DE PAGO]]=PROVEEDORES[[#This Row],[FECHA DE FACTURACIÓN]],"DE CONTADO","CRÉDITO")</f>
        <v>CRÉDITO</v>
      </c>
      <c r="B572" s="138" t="b">
        <f>+IF((PROVEEDORES[[#This Row],[FECHA DE PAGO]]-PROVEEDORES[[#This Row],[FECHA DE FACTURACIÓN]])&gt;PROVEEDORES[[#This Row],[PLAZO Días]],"PAGO VENCIDO")</f>
        <v>0</v>
      </c>
      <c r="C572" s="138">
        <f>+VLOOKUP(PROVEEDORES[[#This Row],[PROVEEDOR]],TERCEROS_INFO[#All],2,FALSE)</f>
        <v>60</v>
      </c>
      <c r="D572" s="139">
        <f>+SUMIFS(PROVEEDORES[Total],PROVEEDORES[PROVEEDOR],PROVEEDORES[[#This Row],[PROVEEDOR]],PROVEEDORES[FECHA DE PAGO],"")</f>
        <v>1730482</v>
      </c>
      <c r="E572" s="140"/>
      <c r="F572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2" s="127">
        <v>45152</v>
      </c>
      <c r="H572" s="123" t="s">
        <v>222</v>
      </c>
      <c r="I572" s="127">
        <v>45207</v>
      </c>
      <c r="J572" s="124">
        <v>1757</v>
      </c>
      <c r="K572" s="124" t="s">
        <v>1530</v>
      </c>
      <c r="L572" s="124"/>
      <c r="M572" s="125">
        <v>166000</v>
      </c>
      <c r="N572" s="148">
        <v>0</v>
      </c>
      <c r="O572" s="148">
        <v>0</v>
      </c>
      <c r="P572" s="149">
        <v>0</v>
      </c>
      <c r="Q572" s="148">
        <v>0</v>
      </c>
      <c r="R572" s="150">
        <v>166000</v>
      </c>
      <c r="S5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2" s="135">
        <f ca="1">+IF(PROVEEDORES[[#This Row],[FECHA DE PAGO]]=0,TODAY()-PROVEEDORES[[#This Row],[FECHA DE FACTURACIÓN]]-PROVEEDORES[[#This Row],[PLAZO Días]],0)</f>
        <v>0</v>
      </c>
      <c r="U572" s="135">
        <f>+VLOOKUP(PROVEEDORES[[#This Row],[PROVEEDOR]],Terceros!$A:$D,4,FALSE)</f>
        <v>0</v>
      </c>
      <c r="V572" s="135">
        <f>+YEAR(PROVEEDORES[[#This Row],[FECHA DE FACTURACIÓN]])</f>
        <v>2023</v>
      </c>
      <c r="W572" s="135">
        <f>+MATCH(PROVEEDORES[[#This Row],[año facturado]],Retenciones!$1:$1,0)</f>
        <v>6</v>
      </c>
      <c r="X572" s="136">
        <f>+VLOOKUP(PROVEEDORES[[#This Row],[ID RETENCION]],Retenciones!$A$1:$O$25,PROVEEDORES[[#This Row],[indicador de columna]],FALSE)</f>
        <v>0</v>
      </c>
      <c r="Y572" s="137">
        <f>+VLOOKUP(PROVEEDORES[[#This Row],[ID RETENCION]],Retenciones!$A$1:$O$25,2,FALSE)</f>
        <v>0</v>
      </c>
      <c r="Z572" s="126" t="b">
        <f>+OR(COUNTIF(PROVEEDORES[[#This Row],[PROVEEDOR]],"*"&amp;'Palabra que no opera y Listas d'!$A$2&amp;"*"))</f>
        <v>0</v>
      </c>
    </row>
    <row r="573" spans="1:26" ht="27.75" customHeight="1" x14ac:dyDescent="0.25">
      <c r="A573" s="141" t="str">
        <f>+IF(PROVEEDORES[[#This Row],[FECHA DE PAGO]]=PROVEEDORES[[#This Row],[FECHA DE FACTURACIÓN]],"DE CONTADO","CRÉDITO")</f>
        <v>CRÉDITO</v>
      </c>
      <c r="B573" s="138" t="b">
        <f>+IF((PROVEEDORES[[#This Row],[FECHA DE PAGO]]-PROVEEDORES[[#This Row],[FECHA DE FACTURACIÓN]])&gt;PROVEEDORES[[#This Row],[PLAZO Días]],"PAGO VENCIDO")</f>
        <v>0</v>
      </c>
      <c r="C573" s="138">
        <f>+VLOOKUP(PROVEEDORES[[#This Row],[PROVEEDOR]],TERCEROS_INFO[#All],2,FALSE)</f>
        <v>60</v>
      </c>
      <c r="D573" s="139">
        <f>+SUMIFS(PROVEEDORES[Total],PROVEEDORES[PROVEEDOR],PROVEEDORES[[#This Row],[PROVEEDOR]],PROVEEDORES[FECHA DE PAGO],"")</f>
        <v>1730482</v>
      </c>
      <c r="E573" s="140"/>
      <c r="F573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3" s="127">
        <v>45152</v>
      </c>
      <c r="H573" s="123" t="s">
        <v>222</v>
      </c>
      <c r="I573" s="127">
        <v>45207</v>
      </c>
      <c r="J573" s="124">
        <v>1758</v>
      </c>
      <c r="K573" s="124" t="s">
        <v>1530</v>
      </c>
      <c r="L573" s="124"/>
      <c r="M573" s="125">
        <v>166000</v>
      </c>
      <c r="N573" s="148">
        <v>0</v>
      </c>
      <c r="O573" s="148">
        <v>0</v>
      </c>
      <c r="P573" s="149">
        <v>0</v>
      </c>
      <c r="Q573" s="148">
        <v>0</v>
      </c>
      <c r="R573" s="150">
        <v>166000</v>
      </c>
      <c r="S5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3" s="135">
        <f ca="1">+IF(PROVEEDORES[[#This Row],[FECHA DE PAGO]]=0,TODAY()-PROVEEDORES[[#This Row],[FECHA DE FACTURACIÓN]]-PROVEEDORES[[#This Row],[PLAZO Días]],0)</f>
        <v>0</v>
      </c>
      <c r="U573" s="135">
        <f>+VLOOKUP(PROVEEDORES[[#This Row],[PROVEEDOR]],Terceros!$A:$D,4,FALSE)</f>
        <v>0</v>
      </c>
      <c r="V573" s="135">
        <f>+YEAR(PROVEEDORES[[#This Row],[FECHA DE FACTURACIÓN]])</f>
        <v>2023</v>
      </c>
      <c r="W573" s="135">
        <f>+MATCH(PROVEEDORES[[#This Row],[año facturado]],Retenciones!$1:$1,0)</f>
        <v>6</v>
      </c>
      <c r="X573" s="136">
        <f>+VLOOKUP(PROVEEDORES[[#This Row],[ID RETENCION]],Retenciones!$A$1:$O$25,PROVEEDORES[[#This Row],[indicador de columna]],FALSE)</f>
        <v>0</v>
      </c>
      <c r="Y573" s="137">
        <f>+VLOOKUP(PROVEEDORES[[#This Row],[ID RETENCION]],Retenciones!$A$1:$O$25,2,FALSE)</f>
        <v>0</v>
      </c>
      <c r="Z573" s="126" t="b">
        <f>+OR(COUNTIF(PROVEEDORES[[#This Row],[PROVEEDOR]],"*"&amp;'Palabra que no opera y Listas d'!$A$2&amp;"*"))</f>
        <v>0</v>
      </c>
    </row>
    <row r="574" spans="1:26" ht="27.75" customHeight="1" x14ac:dyDescent="0.25">
      <c r="A574" s="141" t="str">
        <f>+IF(PROVEEDORES[[#This Row],[FECHA DE PAGO]]=PROVEEDORES[[#This Row],[FECHA DE FACTURACIÓN]],"DE CONTADO","CRÉDITO")</f>
        <v>CRÉDITO</v>
      </c>
      <c r="B574" s="138" t="b">
        <f>+IF((PROVEEDORES[[#This Row],[FECHA DE PAGO]]-PROVEEDORES[[#This Row],[FECHA DE FACTURACIÓN]])&gt;PROVEEDORES[[#This Row],[PLAZO Días]],"PAGO VENCIDO")</f>
        <v>0</v>
      </c>
      <c r="C574" s="138">
        <f>+VLOOKUP(PROVEEDORES[[#This Row],[PROVEEDOR]],TERCEROS_INFO[#All],2,FALSE)</f>
        <v>60</v>
      </c>
      <c r="D574" s="139">
        <f>+SUMIFS(PROVEEDORES[Total],PROVEEDORES[PROVEEDOR],PROVEEDORES[[#This Row],[PROVEEDOR]],PROVEEDORES[FECHA DE PAGO],"")</f>
        <v>1730482</v>
      </c>
      <c r="E574" s="140"/>
      <c r="F574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4" s="127">
        <v>45152</v>
      </c>
      <c r="H574" s="123" t="s">
        <v>222</v>
      </c>
      <c r="I574" s="127">
        <v>45207</v>
      </c>
      <c r="J574" s="124">
        <v>1759</v>
      </c>
      <c r="K574" s="124" t="s">
        <v>1530</v>
      </c>
      <c r="L574" s="124"/>
      <c r="M574" s="125">
        <v>166000</v>
      </c>
      <c r="N574" s="148">
        <v>0</v>
      </c>
      <c r="O574" s="148">
        <v>0</v>
      </c>
      <c r="P574" s="149">
        <v>0</v>
      </c>
      <c r="Q574" s="148">
        <v>0</v>
      </c>
      <c r="R574" s="150">
        <v>166000</v>
      </c>
      <c r="S5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4" s="135">
        <f ca="1">+IF(PROVEEDORES[[#This Row],[FECHA DE PAGO]]=0,TODAY()-PROVEEDORES[[#This Row],[FECHA DE FACTURACIÓN]]-PROVEEDORES[[#This Row],[PLAZO Días]],0)</f>
        <v>0</v>
      </c>
      <c r="U574" s="135">
        <f>+VLOOKUP(PROVEEDORES[[#This Row],[PROVEEDOR]],Terceros!$A:$D,4,FALSE)</f>
        <v>0</v>
      </c>
      <c r="V574" s="135">
        <f>+YEAR(PROVEEDORES[[#This Row],[FECHA DE FACTURACIÓN]])</f>
        <v>2023</v>
      </c>
      <c r="W574" s="135">
        <f>+MATCH(PROVEEDORES[[#This Row],[año facturado]],Retenciones!$1:$1,0)</f>
        <v>6</v>
      </c>
      <c r="X574" s="136">
        <f>+VLOOKUP(PROVEEDORES[[#This Row],[ID RETENCION]],Retenciones!$A$1:$O$25,PROVEEDORES[[#This Row],[indicador de columna]],FALSE)</f>
        <v>0</v>
      </c>
      <c r="Y574" s="137">
        <f>+VLOOKUP(PROVEEDORES[[#This Row],[ID RETENCION]],Retenciones!$A$1:$O$25,2,FALSE)</f>
        <v>0</v>
      </c>
      <c r="Z574" s="126" t="b">
        <f>+OR(COUNTIF(PROVEEDORES[[#This Row],[PROVEEDOR]],"*"&amp;'Palabra que no opera y Listas d'!$A$2&amp;"*"))</f>
        <v>0</v>
      </c>
    </row>
    <row r="575" spans="1:26" ht="27.75" customHeight="1" x14ac:dyDescent="0.25">
      <c r="A575" s="141" t="str">
        <f>+IF(PROVEEDORES[[#This Row],[FECHA DE PAGO]]=PROVEEDORES[[#This Row],[FECHA DE FACTURACIÓN]],"DE CONTADO","CRÉDITO")</f>
        <v>CRÉDITO</v>
      </c>
      <c r="B575" s="138" t="b">
        <f>+IF((PROVEEDORES[[#This Row],[FECHA DE PAGO]]-PROVEEDORES[[#This Row],[FECHA DE FACTURACIÓN]])&gt;PROVEEDORES[[#This Row],[PLAZO Días]],"PAGO VENCIDO")</f>
        <v>0</v>
      </c>
      <c r="C575" s="138">
        <f>+VLOOKUP(PROVEEDORES[[#This Row],[PROVEEDOR]],TERCEROS_INFO[#All],2,FALSE)</f>
        <v>60</v>
      </c>
      <c r="D575" s="139">
        <f>+SUMIFS(PROVEEDORES[Total],PROVEEDORES[PROVEEDOR],PROVEEDORES[[#This Row],[PROVEEDOR]],PROVEEDORES[FECHA DE PAGO],"")</f>
        <v>1730482</v>
      </c>
      <c r="E575" s="140"/>
      <c r="F575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575" s="127">
        <v>45152</v>
      </c>
      <c r="H575" s="123" t="s">
        <v>222</v>
      </c>
      <c r="I575" s="127">
        <v>45207</v>
      </c>
      <c r="J575" s="124">
        <v>1760</v>
      </c>
      <c r="K575" s="124" t="s">
        <v>1530</v>
      </c>
      <c r="L575" s="124"/>
      <c r="M575" s="125">
        <v>166000</v>
      </c>
      <c r="N575" s="148">
        <v>0</v>
      </c>
      <c r="O575" s="148">
        <v>0</v>
      </c>
      <c r="P575" s="149">
        <v>0</v>
      </c>
      <c r="Q575" s="148">
        <v>0</v>
      </c>
      <c r="R575" s="150">
        <v>166000</v>
      </c>
      <c r="S5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5" s="135">
        <f ca="1">+IF(PROVEEDORES[[#This Row],[FECHA DE PAGO]]=0,TODAY()-PROVEEDORES[[#This Row],[FECHA DE FACTURACIÓN]]-PROVEEDORES[[#This Row],[PLAZO Días]],0)</f>
        <v>0</v>
      </c>
      <c r="U575" s="135">
        <f>+VLOOKUP(PROVEEDORES[[#This Row],[PROVEEDOR]],Terceros!$A:$D,4,FALSE)</f>
        <v>0</v>
      </c>
      <c r="V575" s="135">
        <f>+YEAR(PROVEEDORES[[#This Row],[FECHA DE FACTURACIÓN]])</f>
        <v>2023</v>
      </c>
      <c r="W575" s="135">
        <f>+MATCH(PROVEEDORES[[#This Row],[año facturado]],Retenciones!$1:$1,0)</f>
        <v>6</v>
      </c>
      <c r="X575" s="136">
        <f>+VLOOKUP(PROVEEDORES[[#This Row],[ID RETENCION]],Retenciones!$A$1:$O$25,PROVEEDORES[[#This Row],[indicador de columna]],FALSE)</f>
        <v>0</v>
      </c>
      <c r="Y575" s="137">
        <f>+VLOOKUP(PROVEEDORES[[#This Row],[ID RETENCION]],Retenciones!$A$1:$O$25,2,FALSE)</f>
        <v>0</v>
      </c>
      <c r="Z575" s="126" t="b">
        <f>+OR(COUNTIF(PROVEEDORES[[#This Row],[PROVEEDOR]],"*"&amp;'Palabra que no opera y Listas d'!$A$2&amp;"*"))</f>
        <v>0</v>
      </c>
    </row>
    <row r="576" spans="1:26" ht="27.75" customHeight="1" x14ac:dyDescent="0.25">
      <c r="A576" s="141" t="str">
        <f>+IF(PROVEEDORES[[#This Row],[FECHA DE PAGO]]=PROVEEDORES[[#This Row],[FECHA DE FACTURACIÓN]],"DE CONTADO","CRÉDITO")</f>
        <v>DE CONTADO</v>
      </c>
      <c r="B576" s="138" t="b">
        <f>+IF((PROVEEDORES[[#This Row],[FECHA DE PAGO]]-PROVEEDORES[[#This Row],[FECHA DE FACTURACIÓN]])&gt;PROVEEDORES[[#This Row],[PLAZO Días]],"PAGO VENCIDO")</f>
        <v>0</v>
      </c>
      <c r="C576" s="138">
        <f>+VLOOKUP(PROVEEDORES[[#This Row],[PROVEEDOR]],TERCEROS_INFO[#All],2,FALSE)</f>
        <v>0</v>
      </c>
      <c r="D576" s="139">
        <f>+SUMIFS(PROVEEDORES[Total],PROVEEDORES[PROVEEDOR],PROVEEDORES[[#This Row],[PROVEEDOR]],PROVEEDORES[FECHA DE PAGO],"")</f>
        <v>0</v>
      </c>
      <c r="E576" s="140"/>
      <c r="F576" s="138">
        <f>+VLOOKUP(PROVEEDORES[[#This Row],[PROVEEDOR]],
                       Terceros!$A:$F,
                       5,
                       FALSE)</f>
        <v>0</v>
      </c>
      <c r="G576" s="127">
        <v>45153</v>
      </c>
      <c r="H576" s="123" t="s">
        <v>976</v>
      </c>
      <c r="I576" s="127">
        <v>45153</v>
      </c>
      <c r="J576" s="124">
        <v>471</v>
      </c>
      <c r="K576" s="124" t="s">
        <v>1530</v>
      </c>
      <c r="L576" s="124"/>
      <c r="M576" s="125">
        <v>234000</v>
      </c>
      <c r="N576" s="148">
        <v>44460</v>
      </c>
      <c r="O576" s="148">
        <v>0</v>
      </c>
      <c r="P576" s="149">
        <v>0</v>
      </c>
      <c r="Q576" s="148">
        <v>0</v>
      </c>
      <c r="R576" s="150">
        <v>278460</v>
      </c>
      <c r="S5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6" s="135">
        <f ca="1">+IF(PROVEEDORES[[#This Row],[FECHA DE PAGO]]=0,TODAY()-PROVEEDORES[[#This Row],[FECHA DE FACTURACIÓN]]-PROVEEDORES[[#This Row],[PLAZO Días]],0)</f>
        <v>0</v>
      </c>
      <c r="U576" s="135" t="str">
        <f>+VLOOKUP(PROVEEDORES[[#This Row],[PROVEEDOR]],Terceros!$A:$D,4,FALSE)</f>
        <v>2,5% con base</v>
      </c>
      <c r="V576" s="135">
        <f>+YEAR(PROVEEDORES[[#This Row],[FECHA DE FACTURACIÓN]])</f>
        <v>2023</v>
      </c>
      <c r="W576" s="135">
        <f>+MATCH(PROVEEDORES[[#This Row],[año facturado]],Retenciones!$1:$1,0)</f>
        <v>6</v>
      </c>
      <c r="X576" s="136">
        <f>+VLOOKUP(PROVEEDORES[[#This Row],[ID RETENCION]],Retenciones!$A$1:$O$25,PROVEEDORES[[#This Row],[indicador de columna]],FALSE)</f>
        <v>1145000</v>
      </c>
      <c r="Y576" s="137">
        <f>+VLOOKUP(PROVEEDORES[[#This Row],[ID RETENCION]],Retenciones!$A$1:$O$25,2,FALSE)</f>
        <v>2.5000000000000001E-2</v>
      </c>
      <c r="Z576" s="126" t="b">
        <f>+OR(COUNTIF(PROVEEDORES[[#This Row],[PROVEEDOR]],"*"&amp;'Palabra que no opera y Listas d'!$A$2&amp;"*"))</f>
        <v>0</v>
      </c>
    </row>
    <row r="577" spans="1:26" ht="27.75" customHeight="1" x14ac:dyDescent="0.25">
      <c r="A577" s="141" t="str">
        <f>+IF(PROVEEDORES[[#This Row],[FECHA DE PAGO]]=PROVEEDORES[[#This Row],[FECHA DE FACTURACIÓN]],"DE CONTADO","CRÉDITO")</f>
        <v>CRÉDITO</v>
      </c>
      <c r="B577" s="138" t="b">
        <f>+IF((PROVEEDORES[[#This Row],[FECHA DE PAGO]]-PROVEEDORES[[#This Row],[FECHA DE FACTURACIÓN]])&gt;PROVEEDORES[[#This Row],[PLAZO Días]],"PAGO VENCIDO")</f>
        <v>0</v>
      </c>
      <c r="C577" s="138">
        <f>+VLOOKUP(PROVEEDORES[[#This Row],[PROVEEDOR]],TERCEROS_INFO[#All],2,FALSE)</f>
        <v>30</v>
      </c>
      <c r="D577" s="139">
        <f>+SUMIFS(PROVEEDORES[Total],PROVEEDORES[PROVEEDOR],PROVEEDORES[[#This Row],[PROVEEDOR]],PROVEEDORES[FECHA DE PAGO],"")</f>
        <v>0</v>
      </c>
      <c r="E577" s="140"/>
      <c r="F577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577" s="127">
        <v>45154</v>
      </c>
      <c r="H577" s="123" t="s">
        <v>394</v>
      </c>
      <c r="I577" s="127">
        <v>45139</v>
      </c>
      <c r="J577" s="124" t="s">
        <v>1038</v>
      </c>
      <c r="K577" s="124" t="s">
        <v>1530</v>
      </c>
      <c r="L577" s="124"/>
      <c r="M577" s="125">
        <v>243611</v>
      </c>
      <c r="N577" s="148">
        <v>46286.090000000004</v>
      </c>
      <c r="O577" s="148">
        <v>0</v>
      </c>
      <c r="P577" s="149">
        <v>3.5000000000000003E-2</v>
      </c>
      <c r="Q577" s="148">
        <v>8526.3850000000002</v>
      </c>
      <c r="R577" s="150">
        <v>281370.70500000002</v>
      </c>
      <c r="S5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7" s="135">
        <f ca="1">+IF(PROVEEDORES[[#This Row],[FECHA DE PAGO]]=0,TODAY()-PROVEEDORES[[#This Row],[FECHA DE FACTURACIÓN]]-PROVEEDORES[[#This Row],[PLAZO Días]],0)</f>
        <v>0</v>
      </c>
      <c r="U577" s="135" t="str">
        <f>+VLOOKUP(PROVEEDORES[[#This Row],[PROVEEDOR]],Terceros!$A:$D,4,FALSE)</f>
        <v>3,5% sin base</v>
      </c>
      <c r="V577" s="135">
        <f>+YEAR(PROVEEDORES[[#This Row],[FECHA DE FACTURACIÓN]])</f>
        <v>2023</v>
      </c>
      <c r="W577" s="135">
        <f>+MATCH(PROVEEDORES[[#This Row],[año facturado]],Retenciones!$1:$1,0)</f>
        <v>6</v>
      </c>
      <c r="X577" s="136">
        <f>+VLOOKUP(PROVEEDORES[[#This Row],[ID RETENCION]],Retenciones!$A$1:$O$25,PROVEEDORES[[#This Row],[indicador de columna]],FALSE)</f>
        <v>0</v>
      </c>
      <c r="Y577" s="137">
        <f>+VLOOKUP(PROVEEDORES[[#This Row],[ID RETENCION]],Retenciones!$A$1:$O$25,2,FALSE)</f>
        <v>3.5000000000000003E-2</v>
      </c>
      <c r="Z577" s="126" t="b">
        <f>+OR(COUNTIF(PROVEEDORES[[#This Row],[PROVEEDOR]],"*"&amp;'Palabra que no opera y Listas d'!$A$2&amp;"*"))</f>
        <v>1</v>
      </c>
    </row>
    <row r="578" spans="1:26" ht="27.75" customHeight="1" x14ac:dyDescent="0.25">
      <c r="A578" s="141" t="str">
        <f>+IF(PROVEEDORES[[#This Row],[FECHA DE PAGO]]=PROVEEDORES[[#This Row],[FECHA DE FACTURACIÓN]],"DE CONTADO","CRÉDITO")</f>
        <v>CRÉDITO</v>
      </c>
      <c r="B578" s="138" t="b">
        <f>+IF((PROVEEDORES[[#This Row],[FECHA DE PAGO]]-PROVEEDORES[[#This Row],[FECHA DE FACTURACIÓN]])&gt;PROVEEDORES[[#This Row],[PLAZO Días]],"PAGO VENCIDO")</f>
        <v>0</v>
      </c>
      <c r="C578" s="138">
        <f>+VLOOKUP(PROVEEDORES[[#This Row],[PROVEEDOR]],TERCEROS_INFO[#All],2,FALSE)</f>
        <v>30</v>
      </c>
      <c r="D578" s="139">
        <f>+SUMIFS(PROVEEDORES[Total],PROVEEDORES[PROVEEDOR],PROVEEDORES[[#This Row],[PROVEEDOR]],PROVEEDORES[FECHA DE PAGO],"")</f>
        <v>0</v>
      </c>
      <c r="E578" s="140"/>
      <c r="F578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578" s="127">
        <v>45154</v>
      </c>
      <c r="H578" s="123" t="s">
        <v>373</v>
      </c>
      <c r="I578" s="127">
        <v>45140</v>
      </c>
      <c r="J578" s="124" t="s">
        <v>977</v>
      </c>
      <c r="K578" s="124" t="s">
        <v>1530</v>
      </c>
      <c r="L578" s="124"/>
      <c r="M578" s="125">
        <v>1840056</v>
      </c>
      <c r="N578" s="148">
        <v>0</v>
      </c>
      <c r="O578" s="148">
        <v>0</v>
      </c>
      <c r="P578" s="149">
        <v>0</v>
      </c>
      <c r="Q578" s="148">
        <v>0</v>
      </c>
      <c r="R578" s="150">
        <v>1840056</v>
      </c>
      <c r="S5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8" s="135">
        <f ca="1">+IF(PROVEEDORES[[#This Row],[FECHA DE PAGO]]=0,TODAY()-PROVEEDORES[[#This Row],[FECHA DE FACTURACIÓN]]-PROVEEDORES[[#This Row],[PLAZO Días]],0)</f>
        <v>0</v>
      </c>
      <c r="U578" s="135">
        <f>+VLOOKUP(PROVEEDORES[[#This Row],[PROVEEDOR]],Terceros!$A:$D,4,FALSE)</f>
        <v>0</v>
      </c>
      <c r="V578" s="135">
        <f>+YEAR(PROVEEDORES[[#This Row],[FECHA DE FACTURACIÓN]])</f>
        <v>2023</v>
      </c>
      <c r="W578" s="135">
        <f>+MATCH(PROVEEDORES[[#This Row],[año facturado]],Retenciones!$1:$1,0)</f>
        <v>6</v>
      </c>
      <c r="X578" s="136">
        <f>+VLOOKUP(PROVEEDORES[[#This Row],[ID RETENCION]],Retenciones!$A$1:$O$25,PROVEEDORES[[#This Row],[indicador de columna]],FALSE)</f>
        <v>0</v>
      </c>
      <c r="Y578" s="137">
        <f>+VLOOKUP(PROVEEDORES[[#This Row],[ID RETENCION]],Retenciones!$A$1:$O$25,2,FALSE)</f>
        <v>0</v>
      </c>
      <c r="Z578" s="126" t="b">
        <f>+OR(COUNTIF(PROVEEDORES[[#This Row],[PROVEEDOR]],"*"&amp;'Palabra que no opera y Listas d'!$A$2&amp;"*"))</f>
        <v>1</v>
      </c>
    </row>
    <row r="579" spans="1:26" ht="27.75" customHeight="1" x14ac:dyDescent="0.25">
      <c r="A579" s="141" t="str">
        <f>+IF(PROVEEDORES[[#This Row],[FECHA DE PAGO]]=PROVEEDORES[[#This Row],[FECHA DE FACTURACIÓN]],"DE CONTADO","CRÉDITO")</f>
        <v>DE CONTADO</v>
      </c>
      <c r="B579" s="138" t="b">
        <f>+IF((PROVEEDORES[[#This Row],[FECHA DE PAGO]]-PROVEEDORES[[#This Row],[FECHA DE FACTURACIÓN]])&gt;PROVEEDORES[[#This Row],[PLAZO Días]],"PAGO VENCIDO")</f>
        <v>0</v>
      </c>
      <c r="C579" s="138">
        <f>+VLOOKUP(PROVEEDORES[[#This Row],[PROVEEDOR]],TERCEROS_INFO[#All],2,FALSE)</f>
        <v>30</v>
      </c>
      <c r="D579" s="139">
        <f>+SUMIFS(PROVEEDORES[Total],PROVEEDORES[PROVEEDOR],PROVEEDORES[[#This Row],[PROVEEDOR]],PROVEEDORES[FECHA DE PAGO],"")</f>
        <v>0</v>
      </c>
      <c r="E579" s="140"/>
      <c r="F579" s="138">
        <f>+VLOOKUP(PROVEEDORES[[#This Row],[PROVEEDOR]],
                       Terceros!$A:$F,
                       5,
                       FALSE)</f>
        <v>0</v>
      </c>
      <c r="G579" s="127">
        <v>45154</v>
      </c>
      <c r="H579" s="123" t="s">
        <v>898</v>
      </c>
      <c r="I579" s="127">
        <v>45154</v>
      </c>
      <c r="J579" s="124" t="s">
        <v>1033</v>
      </c>
      <c r="K579" s="124" t="s">
        <v>1530</v>
      </c>
      <c r="L579" s="124"/>
      <c r="M579" s="125">
        <v>216800</v>
      </c>
      <c r="N579" s="148">
        <v>0</v>
      </c>
      <c r="O579" s="148">
        <v>0</v>
      </c>
      <c r="P579" s="149">
        <v>0</v>
      </c>
      <c r="Q579" s="148">
        <v>0</v>
      </c>
      <c r="R579" s="150">
        <v>216800</v>
      </c>
      <c r="S5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79" s="135">
        <f ca="1">+IF(PROVEEDORES[[#This Row],[FECHA DE PAGO]]=0,TODAY()-PROVEEDORES[[#This Row],[FECHA DE FACTURACIÓN]]-PROVEEDORES[[#This Row],[PLAZO Días]],0)</f>
        <v>0</v>
      </c>
      <c r="U579" s="135">
        <f>+VLOOKUP(PROVEEDORES[[#This Row],[PROVEEDOR]],Terceros!$A:$D,4,FALSE)</f>
        <v>0</v>
      </c>
      <c r="V579" s="135">
        <f>+YEAR(PROVEEDORES[[#This Row],[FECHA DE FACTURACIÓN]])</f>
        <v>2023</v>
      </c>
      <c r="W579" s="135">
        <f>+MATCH(PROVEEDORES[[#This Row],[año facturado]],Retenciones!$1:$1,0)</f>
        <v>6</v>
      </c>
      <c r="X579" s="136">
        <f>+VLOOKUP(PROVEEDORES[[#This Row],[ID RETENCION]],Retenciones!$A$1:$O$25,PROVEEDORES[[#This Row],[indicador de columna]],FALSE)</f>
        <v>0</v>
      </c>
      <c r="Y579" s="137">
        <f>+VLOOKUP(PROVEEDORES[[#This Row],[ID RETENCION]],Retenciones!$A$1:$O$25,2,FALSE)</f>
        <v>0</v>
      </c>
      <c r="Z579" s="126" t="b">
        <f>+OR(COUNTIF(PROVEEDORES[[#This Row],[PROVEEDOR]],"*"&amp;'Palabra que no opera y Listas d'!$A$2&amp;"*"))</f>
        <v>0</v>
      </c>
    </row>
    <row r="580" spans="1:26" ht="27.75" customHeight="1" x14ac:dyDescent="0.25">
      <c r="A580" s="141" t="str">
        <f>+IF(PROVEEDORES[[#This Row],[FECHA DE PAGO]]=PROVEEDORES[[#This Row],[FECHA DE FACTURACIÓN]],"DE CONTADO","CRÉDITO")</f>
        <v>CRÉDITO</v>
      </c>
      <c r="B580" s="138" t="b">
        <f>+IF((PROVEEDORES[[#This Row],[FECHA DE PAGO]]-PROVEEDORES[[#This Row],[FECHA DE FACTURACIÓN]])&gt;PROVEEDORES[[#This Row],[PLAZO Días]],"PAGO VENCIDO")</f>
        <v>0</v>
      </c>
      <c r="C580" s="138">
        <f>+VLOOKUP(PROVEEDORES[[#This Row],[PROVEEDOR]],TERCEROS_INFO[#All],2,FALSE)</f>
        <v>30</v>
      </c>
      <c r="D580" s="139">
        <f>+SUMIFS(PROVEEDORES[Total],PROVEEDORES[PROVEEDOR],PROVEEDORES[[#This Row],[PROVEEDOR]],PROVEEDORES[FECHA DE PAGO],"")</f>
        <v>0</v>
      </c>
      <c r="E580" s="140"/>
      <c r="F580" s="138" t="str">
        <f>+VLOOKUP(PROVEEDORES[[#This Row],[PROVEEDOR]],
                       Terceros!$A:$F,
                       5,
                       FALSE)</f>
        <v/>
      </c>
      <c r="G580" s="127">
        <v>45155</v>
      </c>
      <c r="H580" s="123" t="s">
        <v>23</v>
      </c>
      <c r="I580" s="127">
        <v>45147</v>
      </c>
      <c r="J580" s="124">
        <v>90105</v>
      </c>
      <c r="K580" s="124" t="s">
        <v>1530</v>
      </c>
      <c r="L580" s="124"/>
      <c r="M580" s="125">
        <v>50292956.899999999</v>
      </c>
      <c r="N580" s="148">
        <v>0</v>
      </c>
      <c r="O580" s="148">
        <v>0</v>
      </c>
      <c r="P580" s="149">
        <v>0</v>
      </c>
      <c r="Q580" s="148">
        <v>0</v>
      </c>
      <c r="R580" s="150">
        <v>50292956.899999999</v>
      </c>
      <c r="S5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0" s="135">
        <f ca="1">+IF(PROVEEDORES[[#This Row],[FECHA DE PAGO]]=0,TODAY()-PROVEEDORES[[#This Row],[FECHA DE FACTURACIÓN]]-PROVEEDORES[[#This Row],[PLAZO Días]],0)</f>
        <v>0</v>
      </c>
      <c r="U580" s="135">
        <f>+VLOOKUP(PROVEEDORES[[#This Row],[PROVEEDOR]],Terceros!$A:$D,4,FALSE)</f>
        <v>0</v>
      </c>
      <c r="V580" s="135">
        <f>+YEAR(PROVEEDORES[[#This Row],[FECHA DE FACTURACIÓN]])</f>
        <v>2023</v>
      </c>
      <c r="W580" s="135">
        <f>+MATCH(PROVEEDORES[[#This Row],[año facturado]],Retenciones!$1:$1,0)</f>
        <v>6</v>
      </c>
      <c r="X580" s="136">
        <f>+VLOOKUP(PROVEEDORES[[#This Row],[ID RETENCION]],Retenciones!$A$1:$O$25,PROVEEDORES[[#This Row],[indicador de columna]],FALSE)</f>
        <v>0</v>
      </c>
      <c r="Y580" s="137">
        <f>+VLOOKUP(PROVEEDORES[[#This Row],[ID RETENCION]],Retenciones!$A$1:$O$25,2,FALSE)</f>
        <v>0</v>
      </c>
      <c r="Z580" s="126" t="b">
        <f>+OR(COUNTIF(PROVEEDORES[[#This Row],[PROVEEDOR]],"*"&amp;'Palabra que no opera y Listas d'!$A$2&amp;"*"))</f>
        <v>0</v>
      </c>
    </row>
    <row r="581" spans="1:26" ht="27.75" customHeight="1" x14ac:dyDescent="0.25">
      <c r="A581" s="141" t="str">
        <f>+IF(PROVEEDORES[[#This Row],[FECHA DE PAGO]]=PROVEEDORES[[#This Row],[FECHA DE FACTURACIÓN]],"DE CONTADO","CRÉDITO")</f>
        <v>CRÉDITO</v>
      </c>
      <c r="B581" s="138" t="b">
        <f>+IF((PROVEEDORES[[#This Row],[FECHA DE PAGO]]-PROVEEDORES[[#This Row],[FECHA DE FACTURACIÓN]])&gt;PROVEEDORES[[#This Row],[PLAZO Días]],"PAGO VENCIDO")</f>
        <v>0</v>
      </c>
      <c r="C581" s="138">
        <f>+VLOOKUP(PROVEEDORES[[#This Row],[PROVEEDOR]],TERCEROS_INFO[#All],2,FALSE)</f>
        <v>30</v>
      </c>
      <c r="D581" s="139">
        <f>+SUMIFS(PROVEEDORES[Total],PROVEEDORES[PROVEEDOR],PROVEEDORES[[#This Row],[PROVEEDOR]],PROVEEDORES[FECHA DE PAGO],"")</f>
        <v>0</v>
      </c>
      <c r="E581" s="140"/>
      <c r="F581" s="138" t="str">
        <f>+VLOOKUP(PROVEEDORES[[#This Row],[PROVEEDOR]],
                       Terceros!$A:$F,
                       5,
                       FALSE)</f>
        <v>facturacion@losmolinos.com.co</v>
      </c>
      <c r="G581" s="127">
        <v>45156</v>
      </c>
      <c r="H581" s="123" t="s">
        <v>376</v>
      </c>
      <c r="I581" s="127">
        <v>45139</v>
      </c>
      <c r="J581" s="124" t="s">
        <v>979</v>
      </c>
      <c r="K581" s="124" t="s">
        <v>1530</v>
      </c>
      <c r="L581" s="124"/>
      <c r="M581" s="125">
        <v>318603</v>
      </c>
      <c r="N581" s="148">
        <v>0</v>
      </c>
      <c r="O581" s="148">
        <v>0</v>
      </c>
      <c r="P581" s="149">
        <v>0</v>
      </c>
      <c r="Q581" s="148">
        <v>0</v>
      </c>
      <c r="R581" s="150">
        <v>318603</v>
      </c>
      <c r="S5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1" s="135">
        <f ca="1">+IF(PROVEEDORES[[#This Row],[FECHA DE PAGO]]=0,TODAY()-PROVEEDORES[[#This Row],[FECHA DE FACTURACIÓN]]-PROVEEDORES[[#This Row],[PLAZO Días]],0)</f>
        <v>0</v>
      </c>
      <c r="U581" s="135">
        <f>+VLOOKUP(PROVEEDORES[[#This Row],[PROVEEDOR]],Terceros!$A:$D,4,FALSE)</f>
        <v>0</v>
      </c>
      <c r="V581" s="135">
        <f>+YEAR(PROVEEDORES[[#This Row],[FECHA DE FACTURACIÓN]])</f>
        <v>2023</v>
      </c>
      <c r="W581" s="135">
        <f>+MATCH(PROVEEDORES[[#This Row],[año facturado]],Retenciones!$1:$1,0)</f>
        <v>6</v>
      </c>
      <c r="X581" s="136">
        <f>+VLOOKUP(PROVEEDORES[[#This Row],[ID RETENCION]],Retenciones!$A$1:$O$25,PROVEEDORES[[#This Row],[indicador de columna]],FALSE)</f>
        <v>0</v>
      </c>
      <c r="Y581" s="137">
        <f>+VLOOKUP(PROVEEDORES[[#This Row],[ID RETENCION]],Retenciones!$A$1:$O$25,2,FALSE)</f>
        <v>0</v>
      </c>
      <c r="Z581" s="126" t="b">
        <f>+OR(COUNTIF(PROVEEDORES[[#This Row],[PROVEEDOR]],"*"&amp;'Palabra que no opera y Listas d'!$A$2&amp;"*"))</f>
        <v>1</v>
      </c>
    </row>
    <row r="582" spans="1:26" ht="27.75" customHeight="1" x14ac:dyDescent="0.25">
      <c r="A582" s="141" t="str">
        <f>+IF(PROVEEDORES[[#This Row],[FECHA DE PAGO]]=PROVEEDORES[[#This Row],[FECHA DE FACTURACIÓN]],"DE CONTADO","CRÉDITO")</f>
        <v>DE CONTADO</v>
      </c>
      <c r="B582" s="138" t="b">
        <f>+IF((PROVEEDORES[[#This Row],[FECHA DE PAGO]]-PROVEEDORES[[#This Row],[FECHA DE FACTURACIÓN]])&gt;PROVEEDORES[[#This Row],[PLAZO Días]],"PAGO VENCIDO")</f>
        <v>0</v>
      </c>
      <c r="C582" s="138">
        <f>+VLOOKUP(PROVEEDORES[[#This Row],[PROVEEDOR]],TERCEROS_INFO[#All],2,FALSE)</f>
        <v>30</v>
      </c>
      <c r="D582" s="139">
        <f>+SUMIFS(PROVEEDORES[Total],PROVEEDORES[PROVEEDOR],PROVEEDORES[[#This Row],[PROVEEDOR]],PROVEEDORES[FECHA DE PAGO],"")</f>
        <v>0</v>
      </c>
      <c r="E582" s="140"/>
      <c r="F582" s="138" t="str">
        <f>+VLOOKUP(PROVEEDORES[[#This Row],[PROVEEDOR]],
                       Terceros!$A:$F,
                       5,
                       FALSE)</f>
        <v/>
      </c>
      <c r="G582" s="127">
        <v>45156</v>
      </c>
      <c r="H582" s="123" t="s">
        <v>36</v>
      </c>
      <c r="I582" s="127">
        <v>45156</v>
      </c>
      <c r="J582" s="124" t="s">
        <v>1000</v>
      </c>
      <c r="K582" s="124" t="s">
        <v>1530</v>
      </c>
      <c r="L582" s="124"/>
      <c r="M582" s="125">
        <v>18513</v>
      </c>
      <c r="N582" s="148">
        <v>3517.4700000000003</v>
      </c>
      <c r="O582" s="148">
        <v>0</v>
      </c>
      <c r="P582" s="149">
        <v>0</v>
      </c>
      <c r="Q582" s="148">
        <v>0</v>
      </c>
      <c r="R582" s="150">
        <v>22030.47</v>
      </c>
      <c r="S5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2" s="135">
        <f ca="1">+IF(PROVEEDORES[[#This Row],[FECHA DE PAGO]]=0,TODAY()-PROVEEDORES[[#This Row],[FECHA DE FACTURACIÓN]]-PROVEEDORES[[#This Row],[PLAZO Días]],0)</f>
        <v>0</v>
      </c>
      <c r="U582" s="135" t="str">
        <f>+VLOOKUP(PROVEEDORES[[#This Row],[PROVEEDOR]],Terceros!$A:$D,4,FALSE)</f>
        <v>2,5% con base</v>
      </c>
      <c r="V582" s="135">
        <f>+YEAR(PROVEEDORES[[#This Row],[FECHA DE FACTURACIÓN]])</f>
        <v>2023</v>
      </c>
      <c r="W582" s="135">
        <f>+MATCH(PROVEEDORES[[#This Row],[año facturado]],Retenciones!$1:$1,0)</f>
        <v>6</v>
      </c>
      <c r="X582" s="136">
        <f>+VLOOKUP(PROVEEDORES[[#This Row],[ID RETENCION]],Retenciones!$A$1:$O$25,PROVEEDORES[[#This Row],[indicador de columna]],FALSE)</f>
        <v>1145000</v>
      </c>
      <c r="Y582" s="137">
        <f>+VLOOKUP(PROVEEDORES[[#This Row],[ID RETENCION]],Retenciones!$A$1:$O$25,2,FALSE)</f>
        <v>2.5000000000000001E-2</v>
      </c>
      <c r="Z582" s="126" t="b">
        <f>+OR(COUNTIF(PROVEEDORES[[#This Row],[PROVEEDOR]],"*"&amp;'Palabra que no opera y Listas d'!$A$2&amp;"*"))</f>
        <v>0</v>
      </c>
    </row>
    <row r="583" spans="1:26" ht="27.75" customHeight="1" x14ac:dyDescent="0.25">
      <c r="A583" s="141" t="str">
        <f>+IF(PROVEEDORES[[#This Row],[FECHA DE PAGO]]=PROVEEDORES[[#This Row],[FECHA DE FACTURACIÓN]],"DE CONTADO","CRÉDITO")</f>
        <v>DE CONTADO</v>
      </c>
      <c r="B583" s="138" t="b">
        <f>+IF((PROVEEDORES[[#This Row],[FECHA DE PAGO]]-PROVEEDORES[[#This Row],[FECHA DE FACTURACIÓN]])&gt;PROVEEDORES[[#This Row],[PLAZO Días]],"PAGO VENCIDO")</f>
        <v>0</v>
      </c>
      <c r="C583" s="138">
        <f>+VLOOKUP(PROVEEDORES[[#This Row],[PROVEEDOR]],TERCEROS_INFO[#All],2,FALSE)</f>
        <v>30</v>
      </c>
      <c r="D583" s="139">
        <f>+SUMIFS(PROVEEDORES[Total],PROVEEDORES[PROVEEDOR],PROVEEDORES[[#This Row],[PROVEEDOR]],PROVEEDORES[FECHA DE PAGO],"")</f>
        <v>0</v>
      </c>
      <c r="E583" s="140"/>
      <c r="F583" s="138" t="str">
        <f>+VLOOKUP(PROVEEDORES[[#This Row],[PROVEEDOR]],
                       Terceros!$A:$F,
                       5,
                       FALSE)</f>
        <v/>
      </c>
      <c r="G583" s="127">
        <v>45157</v>
      </c>
      <c r="H583" s="123" t="s">
        <v>525</v>
      </c>
      <c r="I583" s="127">
        <v>45157</v>
      </c>
      <c r="J583" s="124" t="s">
        <v>994</v>
      </c>
      <c r="K583" s="124" t="s">
        <v>1530</v>
      </c>
      <c r="L583" s="124"/>
      <c r="M583" s="125">
        <v>50000</v>
      </c>
      <c r="N583" s="148">
        <v>0</v>
      </c>
      <c r="O583" s="148">
        <v>0</v>
      </c>
      <c r="P583" s="149">
        <v>0</v>
      </c>
      <c r="Q583" s="148">
        <v>0</v>
      </c>
      <c r="R583" s="150">
        <v>50000</v>
      </c>
      <c r="S5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3" s="135">
        <f ca="1">+IF(PROVEEDORES[[#This Row],[FECHA DE PAGO]]=0,TODAY()-PROVEEDORES[[#This Row],[FECHA DE FACTURACIÓN]]-PROVEEDORES[[#This Row],[PLAZO Días]],0)</f>
        <v>0</v>
      </c>
      <c r="U583" s="135">
        <f>+VLOOKUP(PROVEEDORES[[#This Row],[PROVEEDOR]],Terceros!$A:$D,4,FALSE)</f>
        <v>0</v>
      </c>
      <c r="V583" s="135">
        <f>+YEAR(PROVEEDORES[[#This Row],[FECHA DE FACTURACIÓN]])</f>
        <v>2023</v>
      </c>
      <c r="W583" s="135">
        <f>+MATCH(PROVEEDORES[[#This Row],[año facturado]],Retenciones!$1:$1,0)</f>
        <v>6</v>
      </c>
      <c r="X583" s="136">
        <f>+VLOOKUP(PROVEEDORES[[#This Row],[ID RETENCION]],Retenciones!$A$1:$O$25,PROVEEDORES[[#This Row],[indicador de columna]],FALSE)</f>
        <v>0</v>
      </c>
      <c r="Y583" s="137">
        <f>+VLOOKUP(PROVEEDORES[[#This Row],[ID RETENCION]],Retenciones!$A$1:$O$25,2,FALSE)</f>
        <v>0</v>
      </c>
      <c r="Z583" s="126" t="b">
        <f>+OR(COUNTIF(PROVEEDORES[[#This Row],[PROVEEDOR]],"*"&amp;'Palabra que no opera y Listas d'!$A$2&amp;"*"))</f>
        <v>0</v>
      </c>
    </row>
    <row r="584" spans="1:26" ht="27.75" customHeight="1" x14ac:dyDescent="0.25">
      <c r="A584" s="141" t="str">
        <f>+IF(PROVEEDORES[[#This Row],[FECHA DE PAGO]]=PROVEEDORES[[#This Row],[FECHA DE FACTURACIÓN]],"DE CONTADO","CRÉDITO")</f>
        <v>CRÉDITO</v>
      </c>
      <c r="B584" s="138" t="str">
        <f>+IF((PROVEEDORES[[#This Row],[FECHA DE PAGO]]-PROVEEDORES[[#This Row],[FECHA DE FACTURACIÓN]])&gt;PROVEEDORES[[#This Row],[PLAZO Días]],"PAGO VENCIDO")</f>
        <v>PAGO VENCIDO</v>
      </c>
      <c r="C584" s="138">
        <f>+VLOOKUP(PROVEEDORES[[#This Row],[PROVEEDOR]],TERCEROS_INFO[#All],2,FALSE)</f>
        <v>30</v>
      </c>
      <c r="D584" s="139">
        <f>+SUMIFS(PROVEEDORES[Total],PROVEEDORES[PROVEEDOR],PROVEEDORES[[#This Row],[PROVEEDOR]],PROVEEDORES[FECHA DE PAGO],"")</f>
        <v>2080356.81</v>
      </c>
      <c r="E584" s="140"/>
      <c r="F584" s="13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584" s="127">
        <v>45160</v>
      </c>
      <c r="H584" s="123" t="s">
        <v>31</v>
      </c>
      <c r="I584" s="127">
        <v>45100</v>
      </c>
      <c r="J584" s="124" t="s">
        <v>879</v>
      </c>
      <c r="K584" s="124" t="s">
        <v>1530</v>
      </c>
      <c r="L584" s="124"/>
      <c r="M584" s="125">
        <v>1119664</v>
      </c>
      <c r="N584" s="148">
        <v>212736.16</v>
      </c>
      <c r="O584" s="148">
        <v>0</v>
      </c>
      <c r="P584" s="149">
        <v>0</v>
      </c>
      <c r="Q584" s="148">
        <v>0</v>
      </c>
      <c r="R584" s="150">
        <v>1332400.1599999999</v>
      </c>
      <c r="S5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4" s="135">
        <f ca="1">+IF(PROVEEDORES[[#This Row],[FECHA DE PAGO]]=0,TODAY()-PROVEEDORES[[#This Row],[FECHA DE FACTURACIÓN]]-PROVEEDORES[[#This Row],[PLAZO Días]],0)</f>
        <v>0</v>
      </c>
      <c r="U584" s="135" t="str">
        <f>+VLOOKUP(PROVEEDORES[[#This Row],[PROVEEDOR]],Terceros!$A:$D,4,FALSE)</f>
        <v>2,5% con base</v>
      </c>
      <c r="V584" s="135">
        <f>+YEAR(PROVEEDORES[[#This Row],[FECHA DE FACTURACIÓN]])</f>
        <v>2023</v>
      </c>
      <c r="W584" s="135">
        <f>+MATCH(PROVEEDORES[[#This Row],[año facturado]],Retenciones!$1:$1,0)</f>
        <v>6</v>
      </c>
      <c r="X584" s="136">
        <f>+VLOOKUP(PROVEEDORES[[#This Row],[ID RETENCION]],Retenciones!$A$1:$O$25,PROVEEDORES[[#This Row],[indicador de columna]],FALSE)</f>
        <v>1145000</v>
      </c>
      <c r="Y584" s="137">
        <f>+VLOOKUP(PROVEEDORES[[#This Row],[ID RETENCION]],Retenciones!$A$1:$O$25,2,FALSE)</f>
        <v>2.5000000000000001E-2</v>
      </c>
      <c r="Z584" s="126" t="b">
        <f>+OR(COUNTIF(PROVEEDORES[[#This Row],[PROVEEDOR]],"*"&amp;'Palabra que no opera y Listas d'!$A$2&amp;"*"))</f>
        <v>0</v>
      </c>
    </row>
    <row r="585" spans="1:26" ht="27.75" customHeight="1" x14ac:dyDescent="0.25">
      <c r="A585" s="141" t="str">
        <f>+IF(PROVEEDORES[[#This Row],[FECHA DE PAGO]]=PROVEEDORES[[#This Row],[FECHA DE FACTURACIÓN]],"DE CONTADO","CRÉDITO")</f>
        <v>CRÉDITO</v>
      </c>
      <c r="B585" s="138" t="b">
        <f>+IF((PROVEEDORES[[#This Row],[FECHA DE PAGO]]-PROVEEDORES[[#This Row],[FECHA DE FACTURACIÓN]])&gt;PROVEEDORES[[#This Row],[PLAZO Días]],"PAGO VENCIDO")</f>
        <v>0</v>
      </c>
      <c r="C585" s="138">
        <f>+VLOOKUP(PROVEEDORES[[#This Row],[PROVEEDOR]],TERCEROS_INFO[#All],2,FALSE)</f>
        <v>30</v>
      </c>
      <c r="D585" s="139">
        <f>+SUMIFS(PROVEEDORES[Total],PROVEEDORES[PROVEEDOR],PROVEEDORES[[#This Row],[PROVEEDOR]],PROVEEDORES[FECHA DE PAGO],"")</f>
        <v>0</v>
      </c>
      <c r="E585" s="140"/>
      <c r="F585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585" s="127">
        <v>45160</v>
      </c>
      <c r="H585" s="123" t="s">
        <v>380</v>
      </c>
      <c r="I585" s="127">
        <v>45148</v>
      </c>
      <c r="J585" s="124" t="s">
        <v>985</v>
      </c>
      <c r="K585" s="124" t="s">
        <v>1530</v>
      </c>
      <c r="L585" s="124"/>
      <c r="M585" s="125">
        <v>3456200</v>
      </c>
      <c r="N585" s="148">
        <v>0</v>
      </c>
      <c r="O585" s="148">
        <v>0</v>
      </c>
      <c r="P585" s="149">
        <v>3.5000000000000003E-2</v>
      </c>
      <c r="Q585" s="148">
        <v>120967.00000000001</v>
      </c>
      <c r="R585" s="150">
        <v>3335233</v>
      </c>
      <c r="S5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5" s="135">
        <f ca="1">+IF(PROVEEDORES[[#This Row],[FECHA DE PAGO]]=0,TODAY()-PROVEEDORES[[#This Row],[FECHA DE FACTURACIÓN]]-PROVEEDORES[[#This Row],[PLAZO Días]],0)</f>
        <v>0</v>
      </c>
      <c r="U585" s="135" t="str">
        <f>+VLOOKUP(PROVEEDORES[[#This Row],[PROVEEDOR]],Terceros!$A:$D,4,FALSE)</f>
        <v>3,5% sin base</v>
      </c>
      <c r="V585" s="135">
        <f>+YEAR(PROVEEDORES[[#This Row],[FECHA DE FACTURACIÓN]])</f>
        <v>2023</v>
      </c>
      <c r="W585" s="135">
        <f>+MATCH(PROVEEDORES[[#This Row],[año facturado]],Retenciones!$1:$1,0)</f>
        <v>6</v>
      </c>
      <c r="X585" s="136">
        <f>+VLOOKUP(PROVEEDORES[[#This Row],[ID RETENCION]],Retenciones!$A$1:$O$25,PROVEEDORES[[#This Row],[indicador de columna]],FALSE)</f>
        <v>0</v>
      </c>
      <c r="Y585" s="137">
        <f>+VLOOKUP(PROVEEDORES[[#This Row],[ID RETENCION]],Retenciones!$A$1:$O$25,2,FALSE)</f>
        <v>3.5000000000000003E-2</v>
      </c>
      <c r="Z585" s="126" t="b">
        <f>+OR(COUNTIF(PROVEEDORES[[#This Row],[PROVEEDOR]],"*"&amp;'Palabra que no opera y Listas d'!$A$2&amp;"*"))</f>
        <v>1</v>
      </c>
    </row>
    <row r="586" spans="1:26" ht="27.75" customHeight="1" x14ac:dyDescent="0.25">
      <c r="A586" s="141" t="str">
        <f>+IF(PROVEEDORES[[#This Row],[FECHA DE PAGO]]=PROVEEDORES[[#This Row],[FECHA DE FACTURACIÓN]],"DE CONTADO","CRÉDITO")</f>
        <v>DE CONTADO</v>
      </c>
      <c r="B586" s="138" t="b">
        <f>+IF((PROVEEDORES[[#This Row],[FECHA DE PAGO]]-PROVEEDORES[[#This Row],[FECHA DE FACTURACIÓN]])&gt;PROVEEDORES[[#This Row],[PLAZO Días]],"PAGO VENCIDO")</f>
        <v>0</v>
      </c>
      <c r="C586" s="138">
        <f>+VLOOKUP(PROVEEDORES[[#This Row],[PROVEEDOR]],TERCEROS_INFO[#All],2,FALSE)</f>
        <v>30</v>
      </c>
      <c r="D586" s="139">
        <f>+SUMIFS(PROVEEDORES[Total],PROVEEDORES[PROVEEDOR],PROVEEDORES[[#This Row],[PROVEEDOR]],PROVEEDORES[FECHA DE PAGO],"")</f>
        <v>0</v>
      </c>
      <c r="E586" s="140"/>
      <c r="F586" s="138" t="str">
        <f>+VLOOKUP(PROVEEDORES[[#This Row],[PROVEEDOR]],
                       Terceros!$A:$F,
                       5,
                       FALSE)</f>
        <v/>
      </c>
      <c r="G586" s="127">
        <v>45160</v>
      </c>
      <c r="H586" s="123" t="s">
        <v>525</v>
      </c>
      <c r="I586" s="127">
        <v>45160</v>
      </c>
      <c r="J586" s="124" t="s">
        <v>993</v>
      </c>
      <c r="K586" s="124" t="s">
        <v>1530</v>
      </c>
      <c r="L586" s="124"/>
      <c r="M586" s="125">
        <v>70000</v>
      </c>
      <c r="N586" s="148">
        <v>0</v>
      </c>
      <c r="O586" s="148">
        <v>0</v>
      </c>
      <c r="P586" s="149">
        <v>0</v>
      </c>
      <c r="Q586" s="148">
        <v>0</v>
      </c>
      <c r="R586" s="150">
        <v>70000</v>
      </c>
      <c r="S5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6" s="135">
        <f ca="1">+IF(PROVEEDORES[[#This Row],[FECHA DE PAGO]]=0,TODAY()-PROVEEDORES[[#This Row],[FECHA DE FACTURACIÓN]]-PROVEEDORES[[#This Row],[PLAZO Días]],0)</f>
        <v>0</v>
      </c>
      <c r="U586" s="135">
        <f>+VLOOKUP(PROVEEDORES[[#This Row],[PROVEEDOR]],Terceros!$A:$D,4,FALSE)</f>
        <v>0</v>
      </c>
      <c r="V586" s="135">
        <f>+YEAR(PROVEEDORES[[#This Row],[FECHA DE FACTURACIÓN]])</f>
        <v>2023</v>
      </c>
      <c r="W586" s="135">
        <f>+MATCH(PROVEEDORES[[#This Row],[año facturado]],Retenciones!$1:$1,0)</f>
        <v>6</v>
      </c>
      <c r="X586" s="136">
        <f>+VLOOKUP(PROVEEDORES[[#This Row],[ID RETENCION]],Retenciones!$A$1:$O$25,PROVEEDORES[[#This Row],[indicador de columna]],FALSE)</f>
        <v>0</v>
      </c>
      <c r="Y586" s="137">
        <f>+VLOOKUP(PROVEEDORES[[#This Row],[ID RETENCION]],Retenciones!$A$1:$O$25,2,FALSE)</f>
        <v>0</v>
      </c>
      <c r="Z586" s="126" t="b">
        <f>+OR(COUNTIF(PROVEEDORES[[#This Row],[PROVEEDOR]],"*"&amp;'Palabra que no opera y Listas d'!$A$2&amp;"*"))</f>
        <v>0</v>
      </c>
    </row>
    <row r="587" spans="1:26" ht="27.75" customHeight="1" x14ac:dyDescent="0.25">
      <c r="A587" s="141" t="str">
        <f>+IF(PROVEEDORES[[#This Row],[FECHA DE PAGO]]=PROVEEDORES[[#This Row],[FECHA DE FACTURACIÓN]],"DE CONTADO","CRÉDITO")</f>
        <v>CRÉDITO</v>
      </c>
      <c r="B587" s="138" t="b">
        <f>+IF((PROVEEDORES[[#This Row],[FECHA DE PAGO]]-PROVEEDORES[[#This Row],[FECHA DE FACTURACIÓN]])&gt;PROVEEDORES[[#This Row],[PLAZO Días]],"PAGO VENCIDO")</f>
        <v>0</v>
      </c>
      <c r="C587" s="138">
        <f>+VLOOKUP(PROVEEDORES[[#This Row],[PROVEEDOR]],TERCEROS_INFO[#All],2,FALSE)</f>
        <v>30</v>
      </c>
      <c r="D587" s="139">
        <f>+SUMIFS(PROVEEDORES[Total],PROVEEDORES[PROVEEDOR],PROVEEDORES[[#This Row],[PROVEEDOR]],PROVEEDORES[FECHA DE PAGO],"")</f>
        <v>0</v>
      </c>
      <c r="E587" s="140"/>
      <c r="F587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587" s="127">
        <v>45161</v>
      </c>
      <c r="H587" s="123" t="s">
        <v>382</v>
      </c>
      <c r="I587" s="127">
        <v>45139</v>
      </c>
      <c r="J587" s="124" t="s">
        <v>987</v>
      </c>
      <c r="K587" s="124" t="s">
        <v>1530</v>
      </c>
      <c r="L587" s="124"/>
      <c r="M587" s="125">
        <v>934363</v>
      </c>
      <c r="N587" s="148">
        <v>0</v>
      </c>
      <c r="O587" s="148">
        <v>0</v>
      </c>
      <c r="P587" s="149">
        <v>0</v>
      </c>
      <c r="Q587" s="148">
        <v>0</v>
      </c>
      <c r="R587" s="150">
        <v>934363</v>
      </c>
      <c r="S5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7" s="135">
        <f ca="1">+IF(PROVEEDORES[[#This Row],[FECHA DE PAGO]]=0,TODAY()-PROVEEDORES[[#This Row],[FECHA DE FACTURACIÓN]]-PROVEEDORES[[#This Row],[PLAZO Días]],0)</f>
        <v>0</v>
      </c>
      <c r="U587" s="135">
        <f>+VLOOKUP(PROVEEDORES[[#This Row],[PROVEEDOR]],Terceros!$A:$D,4,FALSE)</f>
        <v>0</v>
      </c>
      <c r="V587" s="135">
        <f>+YEAR(PROVEEDORES[[#This Row],[FECHA DE FACTURACIÓN]])</f>
        <v>2023</v>
      </c>
      <c r="W587" s="135">
        <f>+MATCH(PROVEEDORES[[#This Row],[año facturado]],Retenciones!$1:$1,0)</f>
        <v>6</v>
      </c>
      <c r="X587" s="136">
        <f>+VLOOKUP(PROVEEDORES[[#This Row],[ID RETENCION]],Retenciones!$A$1:$O$25,PROVEEDORES[[#This Row],[indicador de columna]],FALSE)</f>
        <v>0</v>
      </c>
      <c r="Y587" s="137">
        <f>+VLOOKUP(PROVEEDORES[[#This Row],[ID RETENCION]],Retenciones!$A$1:$O$25,2,FALSE)</f>
        <v>0</v>
      </c>
      <c r="Z587" s="126" t="b">
        <f>+OR(COUNTIF(PROVEEDORES[[#This Row],[PROVEEDOR]],"*"&amp;'Palabra que no opera y Listas d'!$A$2&amp;"*"))</f>
        <v>1</v>
      </c>
    </row>
    <row r="588" spans="1:26" ht="27.75" customHeight="1" x14ac:dyDescent="0.25">
      <c r="A588" s="141" t="str">
        <f>+IF(PROVEEDORES[[#This Row],[FECHA DE PAGO]]=PROVEEDORES[[#This Row],[FECHA DE FACTURACIÓN]],"DE CONTADO","CRÉDITO")</f>
        <v>CRÉDITO</v>
      </c>
      <c r="B588" s="138" t="b">
        <f>+IF((PROVEEDORES[[#This Row],[FECHA DE PAGO]]-PROVEEDORES[[#This Row],[FECHA DE FACTURACIÓN]])&gt;PROVEEDORES[[#This Row],[PLAZO Días]],"PAGO VENCIDO")</f>
        <v>0</v>
      </c>
      <c r="C588" s="138">
        <f>+VLOOKUP(PROVEEDORES[[#This Row],[PROVEEDOR]],TERCEROS_INFO[#All],2,FALSE)</f>
        <v>30</v>
      </c>
      <c r="D588" s="139">
        <f>+SUMIFS(PROVEEDORES[Total],PROVEEDORES[PROVEEDOR],PROVEEDORES[[#This Row],[PROVEEDOR]],PROVEEDORES[FECHA DE PAGO],"")</f>
        <v>0</v>
      </c>
      <c r="E588" s="140"/>
      <c r="F588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588" s="127">
        <v>45161</v>
      </c>
      <c r="H588" s="123" t="s">
        <v>382</v>
      </c>
      <c r="I588" s="127">
        <v>45139</v>
      </c>
      <c r="J588" s="124" t="s">
        <v>988</v>
      </c>
      <c r="K588" s="124" t="s">
        <v>1530</v>
      </c>
      <c r="L588" s="124"/>
      <c r="M588" s="125">
        <v>914023</v>
      </c>
      <c r="N588" s="148">
        <v>0</v>
      </c>
      <c r="O588" s="148">
        <v>0</v>
      </c>
      <c r="P588" s="149">
        <v>0</v>
      </c>
      <c r="Q588" s="148">
        <v>0</v>
      </c>
      <c r="R588" s="150">
        <v>914023</v>
      </c>
      <c r="S5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8" s="135">
        <f ca="1">+IF(PROVEEDORES[[#This Row],[FECHA DE PAGO]]=0,TODAY()-PROVEEDORES[[#This Row],[FECHA DE FACTURACIÓN]]-PROVEEDORES[[#This Row],[PLAZO Días]],0)</f>
        <v>0</v>
      </c>
      <c r="U588" s="135">
        <f>+VLOOKUP(PROVEEDORES[[#This Row],[PROVEEDOR]],Terceros!$A:$D,4,FALSE)</f>
        <v>0</v>
      </c>
      <c r="V588" s="135">
        <f>+YEAR(PROVEEDORES[[#This Row],[FECHA DE FACTURACIÓN]])</f>
        <v>2023</v>
      </c>
      <c r="W588" s="135">
        <f>+MATCH(PROVEEDORES[[#This Row],[año facturado]],Retenciones!$1:$1,0)</f>
        <v>6</v>
      </c>
      <c r="X588" s="136">
        <f>+VLOOKUP(PROVEEDORES[[#This Row],[ID RETENCION]],Retenciones!$A$1:$O$25,PROVEEDORES[[#This Row],[indicador de columna]],FALSE)</f>
        <v>0</v>
      </c>
      <c r="Y588" s="137">
        <f>+VLOOKUP(PROVEEDORES[[#This Row],[ID RETENCION]],Retenciones!$A$1:$O$25,2,FALSE)</f>
        <v>0</v>
      </c>
      <c r="Z588" s="126" t="b">
        <f>+OR(COUNTIF(PROVEEDORES[[#This Row],[PROVEEDOR]],"*"&amp;'Palabra que no opera y Listas d'!$A$2&amp;"*"))</f>
        <v>1</v>
      </c>
    </row>
    <row r="589" spans="1:26" ht="27.75" customHeight="1" x14ac:dyDescent="0.25">
      <c r="A589" s="141" t="str">
        <f>+IF(PROVEEDORES[[#This Row],[FECHA DE PAGO]]=PROVEEDORES[[#This Row],[FECHA DE FACTURACIÓN]],"DE CONTADO","CRÉDITO")</f>
        <v>DE CONTADO</v>
      </c>
      <c r="B589" s="138" t="b">
        <f>+IF((PROVEEDORES[[#This Row],[FECHA DE PAGO]]-PROVEEDORES[[#This Row],[FECHA DE FACTURACIÓN]])&gt;PROVEEDORES[[#This Row],[PLAZO Días]],"PAGO VENCIDO")</f>
        <v>0</v>
      </c>
      <c r="C589" s="138">
        <f>+VLOOKUP(PROVEEDORES[[#This Row],[PROVEEDOR]],TERCEROS_INFO[#All],2,FALSE)</f>
        <v>0</v>
      </c>
      <c r="D589" s="139">
        <f>+SUMIFS(PROVEEDORES[Total],PROVEEDORES[PROVEEDOR],PROVEEDORES[[#This Row],[PROVEEDOR]],PROVEEDORES[FECHA DE PAGO],"")</f>
        <v>0</v>
      </c>
      <c r="E589" s="140"/>
      <c r="F589" s="138">
        <f>+VLOOKUP(PROVEEDORES[[#This Row],[PROVEEDOR]],
                       Terceros!$A:$F,
                       5,
                       FALSE)</f>
        <v>0</v>
      </c>
      <c r="G589" s="127">
        <v>45162</v>
      </c>
      <c r="H589" s="123" t="s">
        <v>995</v>
      </c>
      <c r="I589" s="127">
        <v>45162</v>
      </c>
      <c r="J589" s="124" t="s">
        <v>996</v>
      </c>
      <c r="K589" s="124" t="s">
        <v>1530</v>
      </c>
      <c r="L589" s="124"/>
      <c r="M589" s="125">
        <v>487395</v>
      </c>
      <c r="N589" s="148">
        <v>92605.05</v>
      </c>
      <c r="O589" s="148">
        <v>0</v>
      </c>
      <c r="P589" s="149">
        <v>0</v>
      </c>
      <c r="Q589" s="148">
        <v>0</v>
      </c>
      <c r="R589" s="150">
        <v>580000.05000000005</v>
      </c>
      <c r="S5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89" s="135">
        <f ca="1">+IF(PROVEEDORES[[#This Row],[FECHA DE PAGO]]=0,TODAY()-PROVEEDORES[[#This Row],[FECHA DE FACTURACIÓN]]-PROVEEDORES[[#This Row],[PLAZO Días]],0)</f>
        <v>0</v>
      </c>
      <c r="U589" s="135" t="str">
        <f>+VLOOKUP(PROVEEDORES[[#This Row],[PROVEEDOR]],Terceros!$A:$D,4,FALSE)</f>
        <v>2,5% con base</v>
      </c>
      <c r="V589" s="135">
        <f>+YEAR(PROVEEDORES[[#This Row],[FECHA DE FACTURACIÓN]])</f>
        <v>2023</v>
      </c>
      <c r="W589" s="135">
        <f>+MATCH(PROVEEDORES[[#This Row],[año facturado]],Retenciones!$1:$1,0)</f>
        <v>6</v>
      </c>
      <c r="X589" s="136">
        <f>+VLOOKUP(PROVEEDORES[[#This Row],[ID RETENCION]],Retenciones!$A$1:$O$25,PROVEEDORES[[#This Row],[indicador de columna]],FALSE)</f>
        <v>1145000</v>
      </c>
      <c r="Y589" s="137">
        <f>+VLOOKUP(PROVEEDORES[[#This Row],[ID RETENCION]],Retenciones!$A$1:$O$25,2,FALSE)</f>
        <v>2.5000000000000001E-2</v>
      </c>
      <c r="Z589" s="126" t="b">
        <f>+OR(COUNTIF(PROVEEDORES[[#This Row],[PROVEEDOR]],"*"&amp;'Palabra que no opera y Listas d'!$A$2&amp;"*"))</f>
        <v>0</v>
      </c>
    </row>
    <row r="590" spans="1:26" ht="27.75" customHeight="1" x14ac:dyDescent="0.25">
      <c r="A590" s="141" t="str">
        <f>+IF(PROVEEDORES[[#This Row],[FECHA DE PAGO]]=PROVEEDORES[[#This Row],[FECHA DE FACTURACIÓN]],"DE CONTADO","CRÉDITO")</f>
        <v>CRÉDITO</v>
      </c>
      <c r="B590" s="138" t="str">
        <f>+IF((PROVEEDORES[[#This Row],[FECHA DE PAGO]]-PROVEEDORES[[#This Row],[FECHA DE FACTURACIÓN]])&gt;PROVEEDORES[[#This Row],[PLAZO Días]],"PAGO VENCIDO")</f>
        <v>PAGO VENCIDO</v>
      </c>
      <c r="C590" s="138">
        <f>+VLOOKUP(PROVEEDORES[[#This Row],[PROVEEDOR]],TERCEROS_INFO[#All],2,FALSE)</f>
        <v>30</v>
      </c>
      <c r="D590" s="139">
        <f>+SUMIFS(PROVEEDORES[Total],PROVEEDORES[PROVEEDOR],PROVEEDORES[[#This Row],[PROVEEDOR]],PROVEEDORES[FECHA DE PAGO],"")</f>
        <v>0</v>
      </c>
      <c r="E590" s="140"/>
      <c r="F590" s="13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590" s="127">
        <v>45163</v>
      </c>
      <c r="H590" s="123" t="s">
        <v>452</v>
      </c>
      <c r="I590" s="127">
        <v>45128</v>
      </c>
      <c r="J590" s="124" t="s">
        <v>924</v>
      </c>
      <c r="K590" s="124" t="s">
        <v>1530</v>
      </c>
      <c r="L590" s="124"/>
      <c r="M590" s="125">
        <v>1369750</v>
      </c>
      <c r="N590" s="148">
        <v>260252.5</v>
      </c>
      <c r="O590" s="148">
        <v>0</v>
      </c>
      <c r="P590" s="149">
        <v>2.5000000000000001E-2</v>
      </c>
      <c r="Q590" s="148">
        <v>34243.75</v>
      </c>
      <c r="R590" s="150">
        <v>1595758.75</v>
      </c>
      <c r="S5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0" s="135">
        <f ca="1">+IF(PROVEEDORES[[#This Row],[FECHA DE PAGO]]=0,TODAY()-PROVEEDORES[[#This Row],[FECHA DE FACTURACIÓN]]-PROVEEDORES[[#This Row],[PLAZO Días]],0)</f>
        <v>0</v>
      </c>
      <c r="U590" s="135" t="str">
        <f>+VLOOKUP(PROVEEDORES[[#This Row],[PROVEEDOR]],Terceros!$A:$D,4,FALSE)</f>
        <v>2,5% con base</v>
      </c>
      <c r="V590" s="135">
        <f>+YEAR(PROVEEDORES[[#This Row],[FECHA DE FACTURACIÓN]])</f>
        <v>2023</v>
      </c>
      <c r="W590" s="135">
        <f>+MATCH(PROVEEDORES[[#This Row],[año facturado]],Retenciones!$1:$1,0)</f>
        <v>6</v>
      </c>
      <c r="X590" s="136">
        <f>+VLOOKUP(PROVEEDORES[[#This Row],[ID RETENCION]],Retenciones!$A$1:$O$25,PROVEEDORES[[#This Row],[indicador de columna]],FALSE)</f>
        <v>1145000</v>
      </c>
      <c r="Y590" s="137">
        <f>+VLOOKUP(PROVEEDORES[[#This Row],[ID RETENCION]],Retenciones!$A$1:$O$25,2,FALSE)</f>
        <v>2.5000000000000001E-2</v>
      </c>
      <c r="Z590" s="126" t="b">
        <f>+OR(COUNTIF(PROVEEDORES[[#This Row],[PROVEEDOR]],"*"&amp;'Palabra que no opera y Listas d'!$A$2&amp;"*"))</f>
        <v>0</v>
      </c>
    </row>
    <row r="591" spans="1:26" ht="27.75" customHeight="1" x14ac:dyDescent="0.25">
      <c r="A591" s="141" t="str">
        <f>+IF(PROVEEDORES[[#This Row],[FECHA DE PAGO]]=PROVEEDORES[[#This Row],[FECHA DE FACTURACIÓN]],"DE CONTADO","CRÉDITO")</f>
        <v>DE CONTADO</v>
      </c>
      <c r="B591" s="138" t="b">
        <f>+IF((PROVEEDORES[[#This Row],[FECHA DE PAGO]]-PROVEEDORES[[#This Row],[FECHA DE FACTURACIÓN]])&gt;PROVEEDORES[[#This Row],[PLAZO Días]],"PAGO VENCIDO")</f>
        <v>0</v>
      </c>
      <c r="C591" s="138">
        <f>+VLOOKUP(PROVEEDORES[[#This Row],[PROVEEDOR]],TERCEROS_INFO[#All],2,FALSE)</f>
        <v>30</v>
      </c>
      <c r="D591" s="139">
        <f>+SUMIFS(PROVEEDORES[Total],PROVEEDORES[PROVEEDOR],PROVEEDORES[[#This Row],[PROVEEDOR]],PROVEEDORES[FECHA DE PAGO],"")</f>
        <v>1350000</v>
      </c>
      <c r="E591" s="140"/>
      <c r="F591" s="138" t="str">
        <f>+VLOOKUP(PROVEEDORES[[#This Row],[PROVEEDOR]],
                       Terceros!$A:$F,
                       5,
                       FALSE)</f>
        <v/>
      </c>
      <c r="G591" s="127">
        <v>45163</v>
      </c>
      <c r="H591" s="123" t="s">
        <v>1807</v>
      </c>
      <c r="I591" s="127">
        <v>45163</v>
      </c>
      <c r="J591" s="124" t="s">
        <v>992</v>
      </c>
      <c r="K591" s="124" t="s">
        <v>1530</v>
      </c>
      <c r="L591" s="124"/>
      <c r="M591" s="125">
        <v>1280000</v>
      </c>
      <c r="N591" s="148">
        <v>0</v>
      </c>
      <c r="O591" s="148">
        <v>0</v>
      </c>
      <c r="P591" s="149">
        <v>0</v>
      </c>
      <c r="Q591" s="148">
        <v>0</v>
      </c>
      <c r="R591" s="150">
        <v>1280000</v>
      </c>
      <c r="S5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1" s="135">
        <f ca="1">+IF(PROVEEDORES[[#This Row],[FECHA DE PAGO]]=0,TODAY()-PROVEEDORES[[#This Row],[FECHA DE FACTURACIÓN]]-PROVEEDORES[[#This Row],[PLAZO Días]],0)</f>
        <v>0</v>
      </c>
      <c r="U591" s="135">
        <f>+VLOOKUP(PROVEEDORES[[#This Row],[PROVEEDOR]],Terceros!$A:$D,4,FALSE)</f>
        <v>0</v>
      </c>
      <c r="V591" s="135">
        <f>+YEAR(PROVEEDORES[[#This Row],[FECHA DE FACTURACIÓN]])</f>
        <v>2023</v>
      </c>
      <c r="W591" s="135">
        <f>+MATCH(PROVEEDORES[[#This Row],[año facturado]],Retenciones!$1:$1,0)</f>
        <v>6</v>
      </c>
      <c r="X591" s="136">
        <f>+VLOOKUP(PROVEEDORES[[#This Row],[ID RETENCION]],Retenciones!$A$1:$O$25,PROVEEDORES[[#This Row],[indicador de columna]],FALSE)</f>
        <v>0</v>
      </c>
      <c r="Y591" s="137">
        <f>+VLOOKUP(PROVEEDORES[[#This Row],[ID RETENCION]],Retenciones!$A$1:$O$25,2,FALSE)</f>
        <v>0</v>
      </c>
      <c r="Z591" s="126" t="b">
        <f>+OR(COUNTIF(PROVEEDORES[[#This Row],[PROVEEDOR]],"*"&amp;'Palabra que no opera y Listas d'!$A$2&amp;"*"))</f>
        <v>0</v>
      </c>
    </row>
    <row r="592" spans="1:26" ht="27.75" customHeight="1" x14ac:dyDescent="0.25">
      <c r="A592" s="141" t="str">
        <f>+IF(PROVEEDORES[[#This Row],[FECHA DE PAGO]]=PROVEEDORES[[#This Row],[FECHA DE FACTURACIÓN]],"DE CONTADO","CRÉDITO")</f>
        <v>CRÉDITO</v>
      </c>
      <c r="B592" s="138" t="str">
        <f>+IF((PROVEEDORES[[#This Row],[FECHA DE PAGO]]-PROVEEDORES[[#This Row],[FECHA DE FACTURACIÓN]])&gt;PROVEEDORES[[#This Row],[PLAZO Días]],"PAGO VENCIDO")</f>
        <v>PAGO VENCIDO</v>
      </c>
      <c r="C592" s="138">
        <f>+VLOOKUP(PROVEEDORES[[#This Row],[PROVEEDOR]],TERCEROS_INFO[#All],2,FALSE)</f>
        <v>45</v>
      </c>
      <c r="D592" s="139">
        <f>+SUMIFS(PROVEEDORES[Total],PROVEEDORES[PROVEEDOR],PROVEEDORES[[#This Row],[PROVEEDOR]],PROVEEDORES[FECHA DE PAGO],"")</f>
        <v>22186260.039999999</v>
      </c>
      <c r="E592" s="140"/>
      <c r="F592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592" s="127">
        <v>45166</v>
      </c>
      <c r="H592" s="123" t="s">
        <v>19</v>
      </c>
      <c r="I592" s="127">
        <v>45107</v>
      </c>
      <c r="J592" s="124" t="s">
        <v>881</v>
      </c>
      <c r="K592" s="124" t="s">
        <v>1530</v>
      </c>
      <c r="L592" s="124"/>
      <c r="M592" s="125">
        <v>7200600</v>
      </c>
      <c r="N592" s="148">
        <v>1368114</v>
      </c>
      <c r="O592" s="148">
        <v>0</v>
      </c>
      <c r="P592" s="149">
        <v>0</v>
      </c>
      <c r="Q592" s="148">
        <v>0</v>
      </c>
      <c r="R592" s="150">
        <v>8568714</v>
      </c>
      <c r="S5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2" s="135">
        <f ca="1">+IF(PROVEEDORES[[#This Row],[FECHA DE PAGO]]=0,TODAY()-PROVEEDORES[[#This Row],[FECHA DE FACTURACIÓN]]-PROVEEDORES[[#This Row],[PLAZO Días]],0)</f>
        <v>0</v>
      </c>
      <c r="U592" s="135">
        <f>+VLOOKUP(PROVEEDORES[[#This Row],[PROVEEDOR]],Terceros!$A:$D,4,FALSE)</f>
        <v>0</v>
      </c>
      <c r="V592" s="135">
        <f>+YEAR(PROVEEDORES[[#This Row],[FECHA DE FACTURACIÓN]])</f>
        <v>2023</v>
      </c>
      <c r="W592" s="135">
        <f>+MATCH(PROVEEDORES[[#This Row],[año facturado]],Retenciones!$1:$1,0)</f>
        <v>6</v>
      </c>
      <c r="X592" s="136">
        <f>+VLOOKUP(PROVEEDORES[[#This Row],[ID RETENCION]],Retenciones!$A$1:$O$25,PROVEEDORES[[#This Row],[indicador de columna]],FALSE)</f>
        <v>0</v>
      </c>
      <c r="Y592" s="137">
        <f>+VLOOKUP(PROVEEDORES[[#This Row],[ID RETENCION]],Retenciones!$A$1:$O$25,2,FALSE)</f>
        <v>0</v>
      </c>
      <c r="Z592" s="126" t="b">
        <f>+OR(COUNTIF(PROVEEDORES[[#This Row],[PROVEEDOR]],"*"&amp;'Palabra que no opera y Listas d'!$A$2&amp;"*"))</f>
        <v>0</v>
      </c>
    </row>
    <row r="593" spans="1:26" ht="27.75" customHeight="1" x14ac:dyDescent="0.25">
      <c r="A593" s="141" t="str">
        <f>+IF(PROVEEDORES[[#This Row],[FECHA DE PAGO]]=PROVEEDORES[[#This Row],[FECHA DE FACTURACIÓN]],"DE CONTADO","CRÉDITO")</f>
        <v>CRÉDITO</v>
      </c>
      <c r="B593" s="138" t="str">
        <f>+IF((PROVEEDORES[[#This Row],[FECHA DE PAGO]]-PROVEEDORES[[#This Row],[FECHA DE FACTURACIÓN]])&gt;PROVEEDORES[[#This Row],[PLAZO Días]],"PAGO VENCIDO")</f>
        <v>PAGO VENCIDO</v>
      </c>
      <c r="C593" s="138">
        <f>+VLOOKUP(PROVEEDORES[[#This Row],[PROVEEDOR]],TERCEROS_INFO[#All],2,FALSE)</f>
        <v>45</v>
      </c>
      <c r="D593" s="139">
        <f>+SUMIFS(PROVEEDORES[Total],PROVEEDORES[PROVEEDOR],PROVEEDORES[[#This Row],[PROVEEDOR]],PROVEEDORES[FECHA DE PAGO],"")</f>
        <v>22186260.039999999</v>
      </c>
      <c r="E593" s="140"/>
      <c r="F593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593" s="127">
        <v>45166</v>
      </c>
      <c r="H593" s="123" t="s">
        <v>19</v>
      </c>
      <c r="I593" s="127">
        <v>45118</v>
      </c>
      <c r="J593" s="124" t="s">
        <v>919</v>
      </c>
      <c r="K593" s="124" t="s">
        <v>1530</v>
      </c>
      <c r="L593" s="124"/>
      <c r="M593" s="125">
        <v>1635783</v>
      </c>
      <c r="N593" s="148">
        <v>310798.77</v>
      </c>
      <c r="O593" s="148">
        <v>0</v>
      </c>
      <c r="P593" s="149">
        <v>0</v>
      </c>
      <c r="Q593" s="148">
        <v>0</v>
      </c>
      <c r="R593" s="150">
        <v>1946581.77</v>
      </c>
      <c r="S5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3" s="135">
        <f ca="1">+IF(PROVEEDORES[[#This Row],[FECHA DE PAGO]]=0,TODAY()-PROVEEDORES[[#This Row],[FECHA DE FACTURACIÓN]]-PROVEEDORES[[#This Row],[PLAZO Días]],0)</f>
        <v>0</v>
      </c>
      <c r="U593" s="135">
        <f>+VLOOKUP(PROVEEDORES[[#This Row],[PROVEEDOR]],Terceros!$A:$D,4,FALSE)</f>
        <v>0</v>
      </c>
      <c r="V593" s="135">
        <f>+YEAR(PROVEEDORES[[#This Row],[FECHA DE FACTURACIÓN]])</f>
        <v>2023</v>
      </c>
      <c r="W593" s="135">
        <f>+MATCH(PROVEEDORES[[#This Row],[año facturado]],Retenciones!$1:$1,0)</f>
        <v>6</v>
      </c>
      <c r="X593" s="136">
        <f>+VLOOKUP(PROVEEDORES[[#This Row],[ID RETENCION]],Retenciones!$A$1:$O$25,PROVEEDORES[[#This Row],[indicador de columna]],FALSE)</f>
        <v>0</v>
      </c>
      <c r="Y593" s="137">
        <f>+VLOOKUP(PROVEEDORES[[#This Row],[ID RETENCION]],Retenciones!$A$1:$O$25,2,FALSE)</f>
        <v>0</v>
      </c>
      <c r="Z593" s="126" t="b">
        <f>+OR(COUNTIF(PROVEEDORES[[#This Row],[PROVEEDOR]],"*"&amp;'Palabra que no opera y Listas d'!$A$2&amp;"*"))</f>
        <v>0</v>
      </c>
    </row>
    <row r="594" spans="1:26" ht="27.75" customHeight="1" x14ac:dyDescent="0.25">
      <c r="A594" s="141" t="str">
        <f>+IF(PROVEEDORES[[#This Row],[FECHA DE PAGO]]=PROVEEDORES[[#This Row],[FECHA DE FACTURACIÓN]],"DE CONTADO","CRÉDITO")</f>
        <v>CRÉDITO</v>
      </c>
      <c r="B594" s="138" t="str">
        <f>+IF((PROVEEDORES[[#This Row],[FECHA DE PAGO]]-PROVEEDORES[[#This Row],[FECHA DE FACTURACIÓN]])&gt;PROVEEDORES[[#This Row],[PLAZO Días]],"PAGO VENCIDO")</f>
        <v>PAGO VENCIDO</v>
      </c>
      <c r="C594" s="138">
        <f>+VLOOKUP(PROVEEDORES[[#This Row],[PROVEEDOR]],TERCEROS_INFO[#All],2,FALSE)</f>
        <v>30</v>
      </c>
      <c r="D594" s="139">
        <f>+SUMIFS(PROVEEDORES[Total],PROVEEDORES[PROVEEDOR],PROVEEDORES[[#This Row],[PROVEEDOR]],PROVEEDORES[FECHA DE PAGO],"")</f>
        <v>8456975.129999999</v>
      </c>
      <c r="E594" s="140"/>
      <c r="F594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594" s="127">
        <v>45166</v>
      </c>
      <c r="H594" s="123" t="s">
        <v>1464</v>
      </c>
      <c r="I594" s="127">
        <v>45121</v>
      </c>
      <c r="J594" s="124" t="s">
        <v>906</v>
      </c>
      <c r="K594" s="124" t="s">
        <v>1530</v>
      </c>
      <c r="L594" s="124"/>
      <c r="M594" s="125">
        <v>2828983</v>
      </c>
      <c r="N594" s="148">
        <v>537506.77</v>
      </c>
      <c r="O594" s="148">
        <v>0</v>
      </c>
      <c r="P594" s="149">
        <v>2.5000000000000001E-2</v>
      </c>
      <c r="Q594" s="148">
        <v>70724.574999999997</v>
      </c>
      <c r="R594" s="150">
        <v>3295765.1949999998</v>
      </c>
      <c r="S5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4" s="135">
        <f ca="1">+IF(PROVEEDORES[[#This Row],[FECHA DE PAGO]]=0,TODAY()-PROVEEDORES[[#This Row],[FECHA DE FACTURACIÓN]]-PROVEEDORES[[#This Row],[PLAZO Días]],0)</f>
        <v>0</v>
      </c>
      <c r="U594" s="135" t="str">
        <f>+VLOOKUP(PROVEEDORES[[#This Row],[PROVEEDOR]],Terceros!$A:$D,4,FALSE)</f>
        <v>2,5% con base</v>
      </c>
      <c r="V594" s="135">
        <f>+YEAR(PROVEEDORES[[#This Row],[FECHA DE FACTURACIÓN]])</f>
        <v>2023</v>
      </c>
      <c r="W594" s="135">
        <f>+MATCH(PROVEEDORES[[#This Row],[año facturado]],Retenciones!$1:$1,0)</f>
        <v>6</v>
      </c>
      <c r="X594" s="136">
        <f>+VLOOKUP(PROVEEDORES[[#This Row],[ID RETENCION]],Retenciones!$A$1:$O$25,PROVEEDORES[[#This Row],[indicador de columna]],FALSE)</f>
        <v>1145000</v>
      </c>
      <c r="Y594" s="137">
        <f>+VLOOKUP(PROVEEDORES[[#This Row],[ID RETENCION]],Retenciones!$A$1:$O$25,2,FALSE)</f>
        <v>2.5000000000000001E-2</v>
      </c>
      <c r="Z594" s="126" t="b">
        <f>+OR(COUNTIF(PROVEEDORES[[#This Row],[PROVEEDOR]],"*"&amp;'Palabra que no opera y Listas d'!$A$2&amp;"*"))</f>
        <v>0</v>
      </c>
    </row>
    <row r="595" spans="1:26" ht="27.75" customHeight="1" x14ac:dyDescent="0.25">
      <c r="A595" s="141" t="str">
        <f>+IF(PROVEEDORES[[#This Row],[FECHA DE PAGO]]=PROVEEDORES[[#This Row],[FECHA DE FACTURACIÓN]],"DE CONTADO","CRÉDITO")</f>
        <v>CRÉDITO</v>
      </c>
      <c r="B595" s="138" t="str">
        <f>+IF((PROVEEDORES[[#This Row],[FECHA DE PAGO]]-PROVEEDORES[[#This Row],[FECHA DE FACTURACIÓN]])&gt;PROVEEDORES[[#This Row],[PLAZO Días]],"PAGO VENCIDO")</f>
        <v>PAGO VENCIDO</v>
      </c>
      <c r="C595" s="138">
        <f>+VLOOKUP(PROVEEDORES[[#This Row],[PROVEEDOR]],TERCEROS_INFO[#All],2,FALSE)</f>
        <v>30</v>
      </c>
      <c r="D595" s="139">
        <f>+SUMIFS(PROVEEDORES[Total],PROVEEDORES[PROVEEDOR],PROVEEDORES[[#This Row],[PROVEEDOR]],PROVEEDORES[FECHA DE PAGO],"")</f>
        <v>5581100</v>
      </c>
      <c r="E595" s="140"/>
      <c r="F595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595" s="127">
        <v>45166</v>
      </c>
      <c r="H595" s="123" t="s">
        <v>446</v>
      </c>
      <c r="I595" s="127">
        <v>45124</v>
      </c>
      <c r="J595" s="124" t="s">
        <v>912</v>
      </c>
      <c r="K595" s="124" t="s">
        <v>1530</v>
      </c>
      <c r="L595" s="124"/>
      <c r="M595" s="125">
        <v>1710000</v>
      </c>
      <c r="N595" s="148">
        <v>324900</v>
      </c>
      <c r="O595" s="148">
        <v>0</v>
      </c>
      <c r="P595" s="149">
        <v>0</v>
      </c>
      <c r="Q595" s="148">
        <v>0</v>
      </c>
      <c r="R595" s="150">
        <v>2034900</v>
      </c>
      <c r="S5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5" s="135">
        <f ca="1">+IF(PROVEEDORES[[#This Row],[FECHA DE PAGO]]=0,TODAY()-PROVEEDORES[[#This Row],[FECHA DE FACTURACIÓN]]-PROVEEDORES[[#This Row],[PLAZO Días]],0)</f>
        <v>0</v>
      </c>
      <c r="U595" s="135">
        <f>+VLOOKUP(PROVEEDORES[[#This Row],[PROVEEDOR]],Terceros!$A:$D,4,FALSE)</f>
        <v>0</v>
      </c>
      <c r="V595" s="135">
        <f>+YEAR(PROVEEDORES[[#This Row],[FECHA DE FACTURACIÓN]])</f>
        <v>2023</v>
      </c>
      <c r="W595" s="135">
        <f>+MATCH(PROVEEDORES[[#This Row],[año facturado]],Retenciones!$1:$1,0)</f>
        <v>6</v>
      </c>
      <c r="X595" s="136">
        <f>+VLOOKUP(PROVEEDORES[[#This Row],[ID RETENCION]],Retenciones!$A$1:$O$25,PROVEEDORES[[#This Row],[indicador de columna]],FALSE)</f>
        <v>0</v>
      </c>
      <c r="Y595" s="137">
        <f>+VLOOKUP(PROVEEDORES[[#This Row],[ID RETENCION]],Retenciones!$A$1:$O$25,2,FALSE)</f>
        <v>0</v>
      </c>
      <c r="Z595" s="126" t="b">
        <f>+OR(COUNTIF(PROVEEDORES[[#This Row],[PROVEEDOR]],"*"&amp;'Palabra que no opera y Listas d'!$A$2&amp;"*"))</f>
        <v>0</v>
      </c>
    </row>
    <row r="596" spans="1:26" ht="27.75" customHeight="1" x14ac:dyDescent="0.25">
      <c r="A596" s="141" t="str">
        <f>+IF(PROVEEDORES[[#This Row],[FECHA DE PAGO]]=PROVEEDORES[[#This Row],[FECHA DE FACTURACIÓN]],"DE CONTADO","CRÉDITO")</f>
        <v>CRÉDITO</v>
      </c>
      <c r="B596" s="138" t="str">
        <f>+IF((PROVEEDORES[[#This Row],[FECHA DE PAGO]]-PROVEEDORES[[#This Row],[FECHA DE FACTURACIÓN]])&gt;PROVEEDORES[[#This Row],[PLAZO Días]],"PAGO VENCIDO")</f>
        <v>PAGO VENCIDO</v>
      </c>
      <c r="C596" s="138">
        <f>+VLOOKUP(PROVEEDORES[[#This Row],[PROVEEDOR]],TERCEROS_INFO[#All],2,FALSE)</f>
        <v>30</v>
      </c>
      <c r="D596" s="139">
        <f>+SUMIFS(PROVEEDORES[Total],PROVEEDORES[PROVEEDOR],PROVEEDORES[[#This Row],[PROVEEDOR]],PROVEEDORES[FECHA DE PAGO],"")</f>
        <v>8456975.129999999</v>
      </c>
      <c r="E596" s="140"/>
      <c r="F596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596" s="127">
        <v>45166</v>
      </c>
      <c r="H596" s="123" t="s">
        <v>1464</v>
      </c>
      <c r="I596" s="127">
        <v>45132</v>
      </c>
      <c r="J596" s="124" t="s">
        <v>938</v>
      </c>
      <c r="K596" s="124" t="s">
        <v>1530</v>
      </c>
      <c r="L596" s="124"/>
      <c r="M596" s="125">
        <v>1571429</v>
      </c>
      <c r="N596" s="148">
        <v>298571.51</v>
      </c>
      <c r="O596" s="148">
        <v>0</v>
      </c>
      <c r="P596" s="149">
        <v>2.5000000000000001E-2</v>
      </c>
      <c r="Q596" s="148">
        <v>39285.724999999999</v>
      </c>
      <c r="R596" s="150">
        <v>1830714.7849999999</v>
      </c>
      <c r="S5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6" s="135">
        <f ca="1">+IF(PROVEEDORES[[#This Row],[FECHA DE PAGO]]=0,TODAY()-PROVEEDORES[[#This Row],[FECHA DE FACTURACIÓN]]-PROVEEDORES[[#This Row],[PLAZO Días]],0)</f>
        <v>0</v>
      </c>
      <c r="U596" s="135" t="str">
        <f>+VLOOKUP(PROVEEDORES[[#This Row],[PROVEEDOR]],Terceros!$A:$D,4,FALSE)</f>
        <v>2,5% con base</v>
      </c>
      <c r="V596" s="135">
        <f>+YEAR(PROVEEDORES[[#This Row],[FECHA DE FACTURACIÓN]])</f>
        <v>2023</v>
      </c>
      <c r="W596" s="135">
        <f>+MATCH(PROVEEDORES[[#This Row],[año facturado]],Retenciones!$1:$1,0)</f>
        <v>6</v>
      </c>
      <c r="X596" s="136">
        <f>+VLOOKUP(PROVEEDORES[[#This Row],[ID RETENCION]],Retenciones!$A$1:$O$25,PROVEEDORES[[#This Row],[indicador de columna]],FALSE)</f>
        <v>1145000</v>
      </c>
      <c r="Y596" s="137">
        <f>+VLOOKUP(PROVEEDORES[[#This Row],[ID RETENCION]],Retenciones!$A$1:$O$25,2,FALSE)</f>
        <v>2.5000000000000001E-2</v>
      </c>
      <c r="Z596" s="126" t="b">
        <f>+OR(COUNTIF(PROVEEDORES[[#This Row],[PROVEEDOR]],"*"&amp;'Palabra que no opera y Listas d'!$A$2&amp;"*"))</f>
        <v>0</v>
      </c>
    </row>
    <row r="597" spans="1:26" ht="27.75" customHeight="1" x14ac:dyDescent="0.25">
      <c r="A597" s="141" t="str">
        <f>+IF(PROVEEDORES[[#This Row],[FECHA DE PAGO]]=PROVEEDORES[[#This Row],[FECHA DE FACTURACIÓN]],"DE CONTADO","CRÉDITO")</f>
        <v>DE CONTADO</v>
      </c>
      <c r="B597" s="138" t="b">
        <f>+IF((PROVEEDORES[[#This Row],[FECHA DE PAGO]]-PROVEEDORES[[#This Row],[FECHA DE FACTURACIÓN]])&gt;PROVEEDORES[[#This Row],[PLAZO Días]],"PAGO VENCIDO")</f>
        <v>0</v>
      </c>
      <c r="C597" s="138">
        <f>+VLOOKUP(PROVEEDORES[[#This Row],[PROVEEDOR]],TERCEROS_INFO[#All],2,FALSE)</f>
        <v>30</v>
      </c>
      <c r="D597" s="139">
        <f>+SUMIFS(PROVEEDORES[Total],PROVEEDORES[PROVEEDOR],PROVEEDORES[[#This Row],[PROVEEDOR]],PROVEEDORES[FECHA DE PAGO],"")</f>
        <v>0</v>
      </c>
      <c r="E597" s="140"/>
      <c r="F597" s="138" t="str">
        <f>+VLOOKUP(PROVEEDORES[[#This Row],[PROVEEDOR]],
                       Terceros!$A:$F,
                       5,
                       FALSE)</f>
        <v>contabilidad@comsistel.com.co;girlesa.ruiz@servipilas.com;joriescobar64@gmail.com</v>
      </c>
      <c r="G597" s="127">
        <v>45166</v>
      </c>
      <c r="H597" s="123" t="s">
        <v>207</v>
      </c>
      <c r="I597" s="127">
        <v>45166</v>
      </c>
      <c r="J597" s="124" t="s">
        <v>997</v>
      </c>
      <c r="K597" s="124" t="s">
        <v>1530</v>
      </c>
      <c r="L597" s="124"/>
      <c r="M597" s="125">
        <v>2310000</v>
      </c>
      <c r="N597" s="148">
        <v>438900</v>
      </c>
      <c r="O597" s="148">
        <v>0</v>
      </c>
      <c r="P597" s="149">
        <v>2.5000000000000001E-2</v>
      </c>
      <c r="Q597" s="148">
        <v>57750</v>
      </c>
      <c r="R597" s="150">
        <v>2691150</v>
      </c>
      <c r="S5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7" s="135">
        <f ca="1">+IF(PROVEEDORES[[#This Row],[FECHA DE PAGO]]=0,TODAY()-PROVEEDORES[[#This Row],[FECHA DE FACTURACIÓN]]-PROVEEDORES[[#This Row],[PLAZO Días]],0)</f>
        <v>0</v>
      </c>
      <c r="U597" s="135" t="str">
        <f>+VLOOKUP(PROVEEDORES[[#This Row],[PROVEEDOR]],Terceros!$A:$D,4,FALSE)</f>
        <v>2,5% con base</v>
      </c>
      <c r="V597" s="135">
        <f>+YEAR(PROVEEDORES[[#This Row],[FECHA DE FACTURACIÓN]])</f>
        <v>2023</v>
      </c>
      <c r="W597" s="135">
        <f>+MATCH(PROVEEDORES[[#This Row],[año facturado]],Retenciones!$1:$1,0)</f>
        <v>6</v>
      </c>
      <c r="X597" s="136">
        <f>+VLOOKUP(PROVEEDORES[[#This Row],[ID RETENCION]],Retenciones!$A$1:$O$25,PROVEEDORES[[#This Row],[indicador de columna]],FALSE)</f>
        <v>1145000</v>
      </c>
      <c r="Y597" s="137">
        <f>+VLOOKUP(PROVEEDORES[[#This Row],[ID RETENCION]],Retenciones!$A$1:$O$25,2,FALSE)</f>
        <v>2.5000000000000001E-2</v>
      </c>
      <c r="Z597" s="126" t="b">
        <f>+OR(COUNTIF(PROVEEDORES[[#This Row],[PROVEEDOR]],"*"&amp;'Palabra que no opera y Listas d'!$A$2&amp;"*"))</f>
        <v>0</v>
      </c>
    </row>
    <row r="598" spans="1:26" ht="27.75" customHeight="1" x14ac:dyDescent="0.25">
      <c r="A598" s="141" t="str">
        <f>+IF(PROVEEDORES[[#This Row],[FECHA DE PAGO]]=PROVEEDORES[[#This Row],[FECHA DE FACTURACIÓN]],"DE CONTADO","CRÉDITO")</f>
        <v>DE CONTADO</v>
      </c>
      <c r="B598" s="138" t="b">
        <f>+IF((PROVEEDORES[[#This Row],[FECHA DE PAGO]]-PROVEEDORES[[#This Row],[FECHA DE FACTURACIÓN]])&gt;PROVEEDORES[[#This Row],[PLAZO Días]],"PAGO VENCIDO")</f>
        <v>0</v>
      </c>
      <c r="C598" s="138">
        <f>+VLOOKUP(PROVEEDORES[[#This Row],[PROVEEDOR]],TERCEROS_INFO[#All],2,FALSE)</f>
        <v>30</v>
      </c>
      <c r="D598" s="139">
        <f>+SUMIFS(PROVEEDORES[Total],PROVEEDORES[PROVEEDOR],PROVEEDORES[[#This Row],[PROVEEDOR]],PROVEEDORES[FECHA DE PAGO],"")</f>
        <v>0</v>
      </c>
      <c r="E598" s="140"/>
      <c r="F598" s="138" t="str">
        <f>+VLOOKUP(PROVEEDORES[[#This Row],[PROVEEDOR]],
                       Terceros!$A:$F,
                       5,
                       FALSE)</f>
        <v>ad.facturacion@gmail.com; girlesa.ruiz@servipilas.com;joriescobar64@gmail.com</v>
      </c>
      <c r="G598" s="127">
        <v>45166</v>
      </c>
      <c r="H598" s="123" t="s">
        <v>1016</v>
      </c>
      <c r="I598" s="127">
        <v>45166</v>
      </c>
      <c r="J598" s="124" t="s">
        <v>1015</v>
      </c>
      <c r="K598" s="124" t="s">
        <v>1530</v>
      </c>
      <c r="L598" s="124"/>
      <c r="M598" s="125">
        <v>1455126</v>
      </c>
      <c r="N598" s="148">
        <v>276473.94</v>
      </c>
      <c r="O598" s="148">
        <v>0</v>
      </c>
      <c r="P598" s="149">
        <v>2.5000000000000001E-2</v>
      </c>
      <c r="Q598" s="148">
        <v>36378.15</v>
      </c>
      <c r="R598" s="150">
        <v>1695221.79</v>
      </c>
      <c r="S5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8" s="135">
        <f ca="1">+IF(PROVEEDORES[[#This Row],[FECHA DE PAGO]]=0,TODAY()-PROVEEDORES[[#This Row],[FECHA DE FACTURACIÓN]]-PROVEEDORES[[#This Row],[PLAZO Días]],0)</f>
        <v>0</v>
      </c>
      <c r="U598" s="135" t="str">
        <f>+VLOOKUP(PROVEEDORES[[#This Row],[PROVEEDOR]],Terceros!$A:$D,4,FALSE)</f>
        <v>2,5% con base</v>
      </c>
      <c r="V598" s="135">
        <f>+YEAR(PROVEEDORES[[#This Row],[FECHA DE FACTURACIÓN]])</f>
        <v>2023</v>
      </c>
      <c r="W598" s="135">
        <f>+MATCH(PROVEEDORES[[#This Row],[año facturado]],Retenciones!$1:$1,0)</f>
        <v>6</v>
      </c>
      <c r="X598" s="136">
        <f>+VLOOKUP(PROVEEDORES[[#This Row],[ID RETENCION]],Retenciones!$A$1:$O$25,PROVEEDORES[[#This Row],[indicador de columna]],FALSE)</f>
        <v>1145000</v>
      </c>
      <c r="Y598" s="137">
        <f>+VLOOKUP(PROVEEDORES[[#This Row],[ID RETENCION]],Retenciones!$A$1:$O$25,2,FALSE)</f>
        <v>2.5000000000000001E-2</v>
      </c>
      <c r="Z598" s="126" t="b">
        <f>+OR(COUNTIF(PROVEEDORES[[#This Row],[PROVEEDOR]],"*"&amp;'Palabra que no opera y Listas d'!$A$2&amp;"*"))</f>
        <v>0</v>
      </c>
    </row>
    <row r="599" spans="1:26" ht="27.75" customHeight="1" x14ac:dyDescent="0.25">
      <c r="A599" s="141" t="str">
        <f>+IF(PROVEEDORES[[#This Row],[FECHA DE PAGO]]=PROVEEDORES[[#This Row],[FECHA DE FACTURACIÓN]],"DE CONTADO","CRÉDITO")</f>
        <v>DE CONTADO</v>
      </c>
      <c r="B599" s="138" t="b">
        <f>+IF((PROVEEDORES[[#This Row],[FECHA DE PAGO]]-PROVEEDORES[[#This Row],[FECHA DE FACTURACIÓN]])&gt;PROVEEDORES[[#This Row],[PLAZO Días]],"PAGO VENCIDO")</f>
        <v>0</v>
      </c>
      <c r="C599" s="138">
        <f>+VLOOKUP(PROVEEDORES[[#This Row],[PROVEEDOR]],TERCEROS_INFO[#All],2,FALSE)</f>
        <v>30</v>
      </c>
      <c r="D599" s="139">
        <f>+SUMIFS(PROVEEDORES[Total],PROVEEDORES[PROVEEDOR],PROVEEDORES[[#This Row],[PROVEEDOR]],PROVEEDORES[FECHA DE PAGO],"")</f>
        <v>0</v>
      </c>
      <c r="E599" s="140"/>
      <c r="F599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599" s="127">
        <v>45168</v>
      </c>
      <c r="H599" s="123" t="s">
        <v>1865</v>
      </c>
      <c r="I599" s="127">
        <v>45168</v>
      </c>
      <c r="J599" s="124" t="s">
        <v>1043</v>
      </c>
      <c r="K599" s="124" t="s">
        <v>1530</v>
      </c>
      <c r="L599" s="124"/>
      <c r="M599" s="125">
        <v>1640000</v>
      </c>
      <c r="N599" s="148">
        <v>0</v>
      </c>
      <c r="O599" s="148">
        <v>0</v>
      </c>
      <c r="P599" s="149">
        <v>0</v>
      </c>
      <c r="Q599" s="148">
        <v>0</v>
      </c>
      <c r="R599" s="150">
        <v>1640000</v>
      </c>
      <c r="S5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599" s="135">
        <f ca="1">+IF(PROVEEDORES[[#This Row],[FECHA DE PAGO]]=0,TODAY()-PROVEEDORES[[#This Row],[FECHA DE FACTURACIÓN]]-PROVEEDORES[[#This Row],[PLAZO Días]],0)</f>
        <v>0</v>
      </c>
      <c r="U599" s="135">
        <f>+VLOOKUP(PROVEEDORES[[#This Row],[PROVEEDOR]],Terceros!$A:$D,4,FALSE)</f>
        <v>0</v>
      </c>
      <c r="V599" s="135">
        <f>+YEAR(PROVEEDORES[[#This Row],[FECHA DE FACTURACIÓN]])</f>
        <v>2023</v>
      </c>
      <c r="W599" s="135">
        <f>+MATCH(PROVEEDORES[[#This Row],[año facturado]],Retenciones!$1:$1,0)</f>
        <v>6</v>
      </c>
      <c r="X599" s="136">
        <f>+VLOOKUP(PROVEEDORES[[#This Row],[ID RETENCION]],Retenciones!$A$1:$O$25,PROVEEDORES[[#This Row],[indicador de columna]],FALSE)</f>
        <v>0</v>
      </c>
      <c r="Y599" s="137">
        <f>+VLOOKUP(PROVEEDORES[[#This Row],[ID RETENCION]],Retenciones!$A$1:$O$25,2,FALSE)</f>
        <v>0</v>
      </c>
      <c r="Z599" s="126" t="b">
        <f>+OR(COUNTIF(PROVEEDORES[[#This Row],[PROVEEDOR]],"*"&amp;'Palabra que no opera y Listas d'!$A$2&amp;"*"))</f>
        <v>0</v>
      </c>
    </row>
    <row r="600" spans="1:26" ht="27.75" customHeight="1" x14ac:dyDescent="0.25">
      <c r="A600" s="141" t="str">
        <f>+IF(PROVEEDORES[[#This Row],[FECHA DE PAGO]]=PROVEEDORES[[#This Row],[FECHA DE FACTURACIÓN]],"DE CONTADO","CRÉDITO")</f>
        <v>DE CONTADO</v>
      </c>
      <c r="B600" s="138" t="b">
        <f>+IF((PROVEEDORES[[#This Row],[FECHA DE PAGO]]-PROVEEDORES[[#This Row],[FECHA DE FACTURACIÓN]])&gt;PROVEEDORES[[#This Row],[PLAZO Días]],"PAGO VENCIDO")</f>
        <v>0</v>
      </c>
      <c r="C600" s="138">
        <f>+VLOOKUP(PROVEEDORES[[#This Row],[PROVEEDOR]],TERCEROS_INFO[#All],2,FALSE)</f>
        <v>30</v>
      </c>
      <c r="D600" s="139">
        <f>+SUMIFS(PROVEEDORES[Total],PROVEEDORES[PROVEEDOR],PROVEEDORES[[#This Row],[PROVEEDOR]],PROVEEDORES[FECHA DE PAGO],"")</f>
        <v>0</v>
      </c>
      <c r="E600" s="140"/>
      <c r="F600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600" s="127">
        <v>45168</v>
      </c>
      <c r="H600" s="123" t="s">
        <v>1865</v>
      </c>
      <c r="I600" s="127">
        <v>45168</v>
      </c>
      <c r="J600" s="124" t="s">
        <v>1045</v>
      </c>
      <c r="K600" s="124" t="s">
        <v>1530</v>
      </c>
      <c r="L600" s="124"/>
      <c r="M600" s="125">
        <v>2162000</v>
      </c>
      <c r="N600" s="148">
        <v>0</v>
      </c>
      <c r="O600" s="148">
        <v>0</v>
      </c>
      <c r="P600" s="149">
        <v>0</v>
      </c>
      <c r="Q600" s="148">
        <v>0</v>
      </c>
      <c r="R600" s="150">
        <v>2162000</v>
      </c>
      <c r="S6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0" s="135">
        <f ca="1">+IF(PROVEEDORES[[#This Row],[FECHA DE PAGO]]=0,TODAY()-PROVEEDORES[[#This Row],[FECHA DE FACTURACIÓN]]-PROVEEDORES[[#This Row],[PLAZO Días]],0)</f>
        <v>0</v>
      </c>
      <c r="U600" s="135">
        <f>+VLOOKUP(PROVEEDORES[[#This Row],[PROVEEDOR]],Terceros!$A:$D,4,FALSE)</f>
        <v>0</v>
      </c>
      <c r="V600" s="135">
        <f>+YEAR(PROVEEDORES[[#This Row],[FECHA DE FACTURACIÓN]])</f>
        <v>2023</v>
      </c>
      <c r="W600" s="135">
        <f>+MATCH(PROVEEDORES[[#This Row],[año facturado]],Retenciones!$1:$1,0)</f>
        <v>6</v>
      </c>
      <c r="X600" s="136">
        <f>+VLOOKUP(PROVEEDORES[[#This Row],[ID RETENCION]],Retenciones!$A$1:$O$25,PROVEEDORES[[#This Row],[indicador de columna]],FALSE)</f>
        <v>0</v>
      </c>
      <c r="Y600" s="137">
        <f>+VLOOKUP(PROVEEDORES[[#This Row],[ID RETENCION]],Retenciones!$A$1:$O$25,2,FALSE)</f>
        <v>0</v>
      </c>
      <c r="Z600" s="126" t="b">
        <f>+OR(COUNTIF(PROVEEDORES[[#This Row],[PROVEEDOR]],"*"&amp;'Palabra que no opera y Listas d'!$A$2&amp;"*"))</f>
        <v>0</v>
      </c>
    </row>
    <row r="601" spans="1:26" ht="27.75" customHeight="1" x14ac:dyDescent="0.25">
      <c r="A601" s="141" t="str">
        <f>+IF(PROVEEDORES[[#This Row],[FECHA DE PAGO]]=PROVEEDORES[[#This Row],[FECHA DE FACTURACIÓN]],"DE CONTADO","CRÉDITO")</f>
        <v>CRÉDITO</v>
      </c>
      <c r="B601" s="138" t="b">
        <f>+IF((PROVEEDORES[[#This Row],[FECHA DE PAGO]]-PROVEEDORES[[#This Row],[FECHA DE FACTURACIÓN]])&gt;PROVEEDORES[[#This Row],[PLAZO Días]],"PAGO VENCIDO")</f>
        <v>0</v>
      </c>
      <c r="C601" s="138">
        <f>+VLOOKUP(PROVEEDORES[[#This Row],[PROVEEDOR]],TERCEROS_INFO[#All],2,FALSE)</f>
        <v>30</v>
      </c>
      <c r="D601" s="139">
        <f>+SUMIFS(PROVEEDORES[Total],PROVEEDORES[PROVEEDOR],PROVEEDORES[[#This Row],[PROVEEDOR]],PROVEEDORES[FECHA DE PAGO],"")</f>
        <v>0</v>
      </c>
      <c r="E601" s="140"/>
      <c r="F601" s="138" t="str">
        <f>+VLOOKUP(PROVEEDORES[[#This Row],[PROVEEDOR]],
                       Terceros!$A:$F,
                       5,
                       FALSE)</f>
        <v/>
      </c>
      <c r="G601" s="127">
        <v>45169</v>
      </c>
      <c r="H601" s="123" t="s">
        <v>481</v>
      </c>
      <c r="I601" s="127">
        <v>45168</v>
      </c>
      <c r="J601" s="124" t="s">
        <v>1028</v>
      </c>
      <c r="K601" s="124" t="s">
        <v>1530</v>
      </c>
      <c r="L601" s="124"/>
      <c r="M601" s="125">
        <v>5655000</v>
      </c>
      <c r="N601" s="148">
        <v>0</v>
      </c>
      <c r="O601" s="148">
        <v>0</v>
      </c>
      <c r="P601" s="149">
        <v>0</v>
      </c>
      <c r="Q601" s="148">
        <v>0</v>
      </c>
      <c r="R601" s="150">
        <v>5655000</v>
      </c>
      <c r="S6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1" s="135">
        <f ca="1">+IF(PROVEEDORES[[#This Row],[FECHA DE PAGO]]=0,TODAY()-PROVEEDORES[[#This Row],[FECHA DE FACTURACIÓN]]-PROVEEDORES[[#This Row],[PLAZO Días]],0)</f>
        <v>0</v>
      </c>
      <c r="U601" s="135">
        <f>+VLOOKUP(PROVEEDORES[[#This Row],[PROVEEDOR]],Terceros!$A:$D,4,FALSE)</f>
        <v>0</v>
      </c>
      <c r="V601" s="135">
        <f>+YEAR(PROVEEDORES[[#This Row],[FECHA DE FACTURACIÓN]])</f>
        <v>2023</v>
      </c>
      <c r="W601" s="135">
        <f>+MATCH(PROVEEDORES[[#This Row],[año facturado]],Retenciones!$1:$1,0)</f>
        <v>6</v>
      </c>
      <c r="X601" s="136">
        <f>+VLOOKUP(PROVEEDORES[[#This Row],[ID RETENCION]],Retenciones!$A$1:$O$25,PROVEEDORES[[#This Row],[indicador de columna]],FALSE)</f>
        <v>0</v>
      </c>
      <c r="Y601" s="137">
        <f>+VLOOKUP(PROVEEDORES[[#This Row],[ID RETENCION]],Retenciones!$A$1:$O$25,2,FALSE)</f>
        <v>0</v>
      </c>
      <c r="Z601" s="126" t="b">
        <f>+OR(COUNTIF(PROVEEDORES[[#This Row],[PROVEEDOR]],"*"&amp;'Palabra que no opera y Listas d'!$A$2&amp;"*"))</f>
        <v>0</v>
      </c>
    </row>
    <row r="602" spans="1:26" ht="27.75" customHeight="1" x14ac:dyDescent="0.25">
      <c r="A602" s="141" t="str">
        <f>+IF(PROVEEDORES[[#This Row],[FECHA DE PAGO]]=PROVEEDORES[[#This Row],[FECHA DE FACTURACIÓN]],"DE CONTADO","CRÉDITO")</f>
        <v>DE CONTADO</v>
      </c>
      <c r="B602" s="138" t="b">
        <f>+IF((PROVEEDORES[[#This Row],[FECHA DE PAGO]]-PROVEEDORES[[#This Row],[FECHA DE FACTURACIÓN]])&gt;PROVEEDORES[[#This Row],[PLAZO Días]],"PAGO VENCIDO")</f>
        <v>0</v>
      </c>
      <c r="C602" s="138">
        <f>+VLOOKUP(PROVEEDORES[[#This Row],[PROVEEDOR]],TERCEROS_INFO[#All],2,FALSE)</f>
        <v>30</v>
      </c>
      <c r="D602" s="139">
        <f>+SUMIFS(PROVEEDORES[Total],PROVEEDORES[PROVEEDOR],PROVEEDORES[[#This Row],[PROVEEDOR]],PROVEEDORES[FECHA DE PAGO],"")</f>
        <v>0</v>
      </c>
      <c r="E602" s="140"/>
      <c r="F602" s="138" t="str">
        <f>+VLOOKUP(PROVEEDORES[[#This Row],[PROVEEDOR]],
                       Terceros!$A:$F,
                       5,
                       FALSE)</f>
        <v/>
      </c>
      <c r="G602" s="127">
        <v>45169</v>
      </c>
      <c r="H602" s="123" t="s">
        <v>525</v>
      </c>
      <c r="I602" s="127">
        <v>45169</v>
      </c>
      <c r="J602" s="124" t="s">
        <v>1032</v>
      </c>
      <c r="K602" s="124" t="s">
        <v>1530</v>
      </c>
      <c r="L602" s="124"/>
      <c r="M602" s="125">
        <v>60000</v>
      </c>
      <c r="N602" s="148">
        <v>0</v>
      </c>
      <c r="O602" s="148">
        <v>0</v>
      </c>
      <c r="P602" s="149">
        <v>0</v>
      </c>
      <c r="Q602" s="148">
        <v>0</v>
      </c>
      <c r="R602" s="150">
        <v>60000</v>
      </c>
      <c r="S6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2" s="135">
        <f ca="1">+IF(PROVEEDORES[[#This Row],[FECHA DE PAGO]]=0,TODAY()-PROVEEDORES[[#This Row],[FECHA DE FACTURACIÓN]]-PROVEEDORES[[#This Row],[PLAZO Días]],0)</f>
        <v>0</v>
      </c>
      <c r="U602" s="135">
        <f>+VLOOKUP(PROVEEDORES[[#This Row],[PROVEEDOR]],Terceros!$A:$D,4,FALSE)</f>
        <v>0</v>
      </c>
      <c r="V602" s="135">
        <f>+YEAR(PROVEEDORES[[#This Row],[FECHA DE FACTURACIÓN]])</f>
        <v>2023</v>
      </c>
      <c r="W602" s="135">
        <f>+MATCH(PROVEEDORES[[#This Row],[año facturado]],Retenciones!$1:$1,0)</f>
        <v>6</v>
      </c>
      <c r="X602" s="136">
        <f>+VLOOKUP(PROVEEDORES[[#This Row],[ID RETENCION]],Retenciones!$A$1:$O$25,PROVEEDORES[[#This Row],[indicador de columna]],FALSE)</f>
        <v>0</v>
      </c>
      <c r="Y602" s="137">
        <f>+VLOOKUP(PROVEEDORES[[#This Row],[ID RETENCION]],Retenciones!$A$1:$O$25,2,FALSE)</f>
        <v>0</v>
      </c>
      <c r="Z602" s="126" t="b">
        <f>+OR(COUNTIF(PROVEEDORES[[#This Row],[PROVEEDOR]],"*"&amp;'Palabra que no opera y Listas d'!$A$2&amp;"*"))</f>
        <v>0</v>
      </c>
    </row>
    <row r="603" spans="1:26" ht="27.75" customHeight="1" x14ac:dyDescent="0.25">
      <c r="A603" s="141" t="str">
        <f>+IF(PROVEEDORES[[#This Row],[FECHA DE PAGO]]=PROVEEDORES[[#This Row],[FECHA DE FACTURACIÓN]],"DE CONTADO","CRÉDITO")</f>
        <v>DE CONTADO</v>
      </c>
      <c r="B603" s="138" t="b">
        <f>+IF((PROVEEDORES[[#This Row],[FECHA DE PAGO]]-PROVEEDORES[[#This Row],[FECHA DE FACTURACIÓN]])&gt;PROVEEDORES[[#This Row],[PLAZO Días]],"PAGO VENCIDO")</f>
        <v>0</v>
      </c>
      <c r="C603" s="138">
        <f>+VLOOKUP(PROVEEDORES[[#This Row],[PROVEEDOR]],TERCEROS_INFO[#All],2,FALSE)</f>
        <v>30</v>
      </c>
      <c r="D603" s="139">
        <f>+SUMIFS(PROVEEDORES[Total],PROVEEDORES[PROVEEDOR],PROVEEDORES[[#This Row],[PROVEEDOR]],PROVEEDORES[FECHA DE PAGO],"")</f>
        <v>0</v>
      </c>
      <c r="E603" s="140"/>
      <c r="F603" s="138" t="str">
        <f>+VLOOKUP(PROVEEDORES[[#This Row],[PROVEEDOR]],
                       Terceros!$A:$F,
                       5,
                       FALSE)</f>
        <v/>
      </c>
      <c r="G603" s="127">
        <v>45169</v>
      </c>
      <c r="H603" s="123" t="s">
        <v>525</v>
      </c>
      <c r="I603" s="127">
        <v>45169</v>
      </c>
      <c r="J603" s="124" t="s">
        <v>479</v>
      </c>
      <c r="K603" s="124" t="s">
        <v>1530</v>
      </c>
      <c r="L603" s="124"/>
      <c r="M603" s="125">
        <v>165300</v>
      </c>
      <c r="N603" s="148">
        <v>0</v>
      </c>
      <c r="O603" s="148">
        <v>0</v>
      </c>
      <c r="P603" s="149">
        <v>0</v>
      </c>
      <c r="Q603" s="148">
        <v>0</v>
      </c>
      <c r="R603" s="150">
        <v>165300</v>
      </c>
      <c r="S6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3" s="135">
        <f ca="1">+IF(PROVEEDORES[[#This Row],[FECHA DE PAGO]]=0,TODAY()-PROVEEDORES[[#This Row],[FECHA DE FACTURACIÓN]]-PROVEEDORES[[#This Row],[PLAZO Días]],0)</f>
        <v>0</v>
      </c>
      <c r="U603" s="135">
        <f>+VLOOKUP(PROVEEDORES[[#This Row],[PROVEEDOR]],Terceros!$A:$D,4,FALSE)</f>
        <v>0</v>
      </c>
      <c r="V603" s="135">
        <f>+YEAR(PROVEEDORES[[#This Row],[FECHA DE FACTURACIÓN]])</f>
        <v>2023</v>
      </c>
      <c r="W603" s="135">
        <f>+MATCH(PROVEEDORES[[#This Row],[año facturado]],Retenciones!$1:$1,0)</f>
        <v>6</v>
      </c>
      <c r="X603" s="136">
        <f>+VLOOKUP(PROVEEDORES[[#This Row],[ID RETENCION]],Retenciones!$A$1:$O$25,PROVEEDORES[[#This Row],[indicador de columna]],FALSE)</f>
        <v>0</v>
      </c>
      <c r="Y603" s="137">
        <f>+VLOOKUP(PROVEEDORES[[#This Row],[ID RETENCION]],Retenciones!$A$1:$O$25,2,FALSE)</f>
        <v>0</v>
      </c>
      <c r="Z603" s="126" t="b">
        <f>+OR(COUNTIF(PROVEEDORES[[#This Row],[PROVEEDOR]],"*"&amp;'Palabra que no opera y Listas d'!$A$2&amp;"*"))</f>
        <v>0</v>
      </c>
    </row>
    <row r="604" spans="1:26" ht="27.75" customHeight="1" x14ac:dyDescent="0.25">
      <c r="A604" s="141" t="str">
        <f>+IF(PROVEEDORES[[#This Row],[FECHA DE PAGO]]=PROVEEDORES[[#This Row],[FECHA DE FACTURACIÓN]],"DE CONTADO","CRÉDITO")</f>
        <v>DE CONTADO</v>
      </c>
      <c r="B604" s="138" t="b">
        <f>+IF((PROVEEDORES[[#This Row],[FECHA DE PAGO]]-PROVEEDORES[[#This Row],[FECHA DE FACTURACIÓN]])&gt;PROVEEDORES[[#This Row],[PLAZO Días]],"PAGO VENCIDO")</f>
        <v>0</v>
      </c>
      <c r="C604" s="138">
        <f>+VLOOKUP(PROVEEDORES[[#This Row],[PROVEEDOR]],TERCEROS_INFO[#All],2,FALSE)</f>
        <v>30</v>
      </c>
      <c r="D604" s="139">
        <f>+SUMIFS(PROVEEDORES[Total],PROVEEDORES[PROVEEDOR],PROVEEDORES[[#This Row],[PROVEEDOR]],PROVEEDORES[FECHA DE PAGO],"")</f>
        <v>0</v>
      </c>
      <c r="E604" s="140"/>
      <c r="F604" s="138" t="str">
        <f>+VLOOKUP(PROVEEDORES[[#This Row],[PROVEEDOR]],
                       Terceros!$A:$F,
                       5,
                       FALSE)</f>
        <v/>
      </c>
      <c r="G604" s="127">
        <v>45169</v>
      </c>
      <c r="H604" s="123" t="s">
        <v>525</v>
      </c>
      <c r="I604" s="127">
        <v>45169</v>
      </c>
      <c r="J604" s="124" t="s">
        <v>1531</v>
      </c>
      <c r="K604" s="124" t="s">
        <v>1530</v>
      </c>
      <c r="L604" s="124"/>
      <c r="M604" s="125">
        <v>214000</v>
      </c>
      <c r="N604" s="148">
        <v>0</v>
      </c>
      <c r="O604" s="148">
        <v>0</v>
      </c>
      <c r="P604" s="149">
        <v>0</v>
      </c>
      <c r="Q604" s="148">
        <v>0</v>
      </c>
      <c r="R604" s="150">
        <v>214000</v>
      </c>
      <c r="S6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4" s="135">
        <f ca="1">+IF(PROVEEDORES[[#This Row],[FECHA DE PAGO]]=0,TODAY()-PROVEEDORES[[#This Row],[FECHA DE FACTURACIÓN]]-PROVEEDORES[[#This Row],[PLAZO Días]],0)</f>
        <v>0</v>
      </c>
      <c r="U604" s="135">
        <f>+VLOOKUP(PROVEEDORES[[#This Row],[PROVEEDOR]],Terceros!$A:$D,4,FALSE)</f>
        <v>0</v>
      </c>
      <c r="V604" s="135">
        <f>+YEAR(PROVEEDORES[[#This Row],[FECHA DE FACTURACIÓN]])</f>
        <v>2023</v>
      </c>
      <c r="W604" s="135">
        <f>+MATCH(PROVEEDORES[[#This Row],[año facturado]],Retenciones!$1:$1,0)</f>
        <v>6</v>
      </c>
      <c r="X604" s="136">
        <f>+VLOOKUP(PROVEEDORES[[#This Row],[ID RETENCION]],Retenciones!$A$1:$O$25,PROVEEDORES[[#This Row],[indicador de columna]],FALSE)</f>
        <v>0</v>
      </c>
      <c r="Y604" s="137">
        <f>+VLOOKUP(PROVEEDORES[[#This Row],[ID RETENCION]],Retenciones!$A$1:$O$25,2,FALSE)</f>
        <v>0</v>
      </c>
      <c r="Z604" s="126" t="b">
        <f>+OR(COUNTIF(PROVEEDORES[[#This Row],[PROVEEDOR]],"*"&amp;'Palabra que no opera y Listas d'!$A$2&amp;"*"))</f>
        <v>0</v>
      </c>
    </row>
    <row r="605" spans="1:26" ht="27.75" customHeight="1" x14ac:dyDescent="0.25">
      <c r="A605" s="141" t="str">
        <f>+IF(PROVEEDORES[[#This Row],[FECHA DE PAGO]]=PROVEEDORES[[#This Row],[FECHA DE FACTURACIÓN]],"DE CONTADO","CRÉDITO")</f>
        <v>DE CONTADO</v>
      </c>
      <c r="B605" s="138" t="b">
        <f>+IF((PROVEEDORES[[#This Row],[FECHA DE PAGO]]-PROVEEDORES[[#This Row],[FECHA DE FACTURACIÓN]])&gt;PROVEEDORES[[#This Row],[PLAZO Días]],"PAGO VENCIDO")</f>
        <v>0</v>
      </c>
      <c r="C605" s="138">
        <f>+VLOOKUP(PROVEEDORES[[#This Row],[PROVEEDOR]],TERCEROS_INFO[#All],2,FALSE)</f>
        <v>30</v>
      </c>
      <c r="D605" s="139">
        <f>+SUMIFS(PROVEEDORES[Total],PROVEEDORES[PROVEEDOR],PROVEEDORES[[#This Row],[PROVEEDOR]],PROVEEDORES[FECHA DE PAGO],"")</f>
        <v>0</v>
      </c>
      <c r="E605" s="140"/>
      <c r="F605" s="138" t="str">
        <f>+VLOOKUP(PROVEEDORES[[#This Row],[PROVEEDOR]],
                       Terceros!$A:$F,
                       5,
                       FALSE)</f>
        <v/>
      </c>
      <c r="G605" s="127">
        <v>45169</v>
      </c>
      <c r="H605" s="123" t="s">
        <v>525</v>
      </c>
      <c r="I605" s="127">
        <v>45169</v>
      </c>
      <c r="J605" s="124" t="s">
        <v>476</v>
      </c>
      <c r="K605" s="124" t="s">
        <v>1530</v>
      </c>
      <c r="L605" s="124"/>
      <c r="M605" s="125">
        <v>427000</v>
      </c>
      <c r="N605" s="148">
        <v>0</v>
      </c>
      <c r="O605" s="148">
        <v>0</v>
      </c>
      <c r="P605" s="149">
        <v>0</v>
      </c>
      <c r="Q605" s="148">
        <v>0</v>
      </c>
      <c r="R605" s="150">
        <v>427000</v>
      </c>
      <c r="S6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5" s="135">
        <f ca="1">+IF(PROVEEDORES[[#This Row],[FECHA DE PAGO]]=0,TODAY()-PROVEEDORES[[#This Row],[FECHA DE FACTURACIÓN]]-PROVEEDORES[[#This Row],[PLAZO Días]],0)</f>
        <v>0</v>
      </c>
      <c r="U605" s="135">
        <f>+VLOOKUP(PROVEEDORES[[#This Row],[PROVEEDOR]],Terceros!$A:$D,4,FALSE)</f>
        <v>0</v>
      </c>
      <c r="V605" s="135">
        <f>+YEAR(PROVEEDORES[[#This Row],[FECHA DE FACTURACIÓN]])</f>
        <v>2023</v>
      </c>
      <c r="W605" s="135">
        <f>+MATCH(PROVEEDORES[[#This Row],[año facturado]],Retenciones!$1:$1,0)</f>
        <v>6</v>
      </c>
      <c r="X605" s="136">
        <f>+VLOOKUP(PROVEEDORES[[#This Row],[ID RETENCION]],Retenciones!$A$1:$O$25,PROVEEDORES[[#This Row],[indicador de columna]],FALSE)</f>
        <v>0</v>
      </c>
      <c r="Y605" s="137">
        <f>+VLOOKUP(PROVEEDORES[[#This Row],[ID RETENCION]],Retenciones!$A$1:$O$25,2,FALSE)</f>
        <v>0</v>
      </c>
      <c r="Z605" s="126" t="b">
        <f>+OR(COUNTIF(PROVEEDORES[[#This Row],[PROVEEDOR]],"*"&amp;'Palabra que no opera y Listas d'!$A$2&amp;"*"))</f>
        <v>0</v>
      </c>
    </row>
    <row r="606" spans="1:26" ht="27.75" customHeight="1" x14ac:dyDescent="0.25">
      <c r="A606" s="141" t="str">
        <f>+IF(PROVEEDORES[[#This Row],[FECHA DE PAGO]]=PROVEEDORES[[#This Row],[FECHA DE FACTURACIÓN]],"DE CONTADO","CRÉDITO")</f>
        <v>DE CONTADO</v>
      </c>
      <c r="B606" s="138" t="b">
        <f>+IF((PROVEEDORES[[#This Row],[FECHA DE PAGO]]-PROVEEDORES[[#This Row],[FECHA DE FACTURACIÓN]])&gt;PROVEEDORES[[#This Row],[PLAZO Días]],"PAGO VENCIDO")</f>
        <v>0</v>
      </c>
      <c r="C606" s="138">
        <f>+VLOOKUP(PROVEEDORES[[#This Row],[PROVEEDOR]],TERCEROS_INFO[#All],2,FALSE)</f>
        <v>30</v>
      </c>
      <c r="D606" s="139">
        <f>+SUMIFS(PROVEEDORES[Total],PROVEEDORES[PROVEEDOR],PROVEEDORES[[#This Row],[PROVEEDOR]],PROVEEDORES[FECHA DE PAGO],"")</f>
        <v>0</v>
      </c>
      <c r="E606" s="140"/>
      <c r="F606" s="138" t="str">
        <f>+VLOOKUP(PROVEEDORES[[#This Row],[PROVEEDOR]],
                       Terceros!$A:$F,
                       5,
                       FALSE)</f>
        <v/>
      </c>
      <c r="G606" s="127">
        <v>45169</v>
      </c>
      <c r="H606" s="123" t="s">
        <v>525</v>
      </c>
      <c r="I606" s="127">
        <v>45169</v>
      </c>
      <c r="J606" s="124" t="s">
        <v>480</v>
      </c>
      <c r="K606" s="124" t="s">
        <v>1530</v>
      </c>
      <c r="L606" s="124"/>
      <c r="M606" s="125">
        <v>646000</v>
      </c>
      <c r="N606" s="148">
        <v>0</v>
      </c>
      <c r="O606" s="148">
        <v>0</v>
      </c>
      <c r="P606" s="149">
        <v>0</v>
      </c>
      <c r="Q606" s="148">
        <v>0</v>
      </c>
      <c r="R606" s="150">
        <v>646000</v>
      </c>
      <c r="S6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6" s="135">
        <f ca="1">+IF(PROVEEDORES[[#This Row],[FECHA DE PAGO]]=0,TODAY()-PROVEEDORES[[#This Row],[FECHA DE FACTURACIÓN]]-PROVEEDORES[[#This Row],[PLAZO Días]],0)</f>
        <v>0</v>
      </c>
      <c r="U606" s="135">
        <f>+VLOOKUP(PROVEEDORES[[#This Row],[PROVEEDOR]],Terceros!$A:$D,4,FALSE)</f>
        <v>0</v>
      </c>
      <c r="V606" s="135">
        <f>+YEAR(PROVEEDORES[[#This Row],[FECHA DE FACTURACIÓN]])</f>
        <v>2023</v>
      </c>
      <c r="W606" s="135">
        <f>+MATCH(PROVEEDORES[[#This Row],[año facturado]],Retenciones!$1:$1,0)</f>
        <v>6</v>
      </c>
      <c r="X606" s="136">
        <f>+VLOOKUP(PROVEEDORES[[#This Row],[ID RETENCION]],Retenciones!$A$1:$O$25,PROVEEDORES[[#This Row],[indicador de columna]],FALSE)</f>
        <v>0</v>
      </c>
      <c r="Y606" s="137">
        <f>+VLOOKUP(PROVEEDORES[[#This Row],[ID RETENCION]],Retenciones!$A$1:$O$25,2,FALSE)</f>
        <v>0</v>
      </c>
      <c r="Z606" s="126" t="b">
        <f>+OR(COUNTIF(PROVEEDORES[[#This Row],[PROVEEDOR]],"*"&amp;'Palabra que no opera y Listas d'!$A$2&amp;"*"))</f>
        <v>0</v>
      </c>
    </row>
    <row r="607" spans="1:26" ht="27.75" customHeight="1" x14ac:dyDescent="0.25">
      <c r="A607" s="141" t="str">
        <f>+IF(PROVEEDORES[[#This Row],[FECHA DE PAGO]]=PROVEEDORES[[#This Row],[FECHA DE FACTURACIÓN]],"DE CONTADO","CRÉDITO")</f>
        <v>DE CONTADO</v>
      </c>
      <c r="B607" s="138" t="b">
        <f>+IF((PROVEEDORES[[#This Row],[FECHA DE PAGO]]-PROVEEDORES[[#This Row],[FECHA DE FACTURACIÓN]])&gt;PROVEEDORES[[#This Row],[PLAZO Días]],"PAGO VENCIDO")</f>
        <v>0</v>
      </c>
      <c r="C607" s="138">
        <f>+VLOOKUP(PROVEEDORES[[#This Row],[PROVEEDOR]],TERCEROS_INFO[#All],2,FALSE)</f>
        <v>30</v>
      </c>
      <c r="D607" s="139">
        <f>+SUMIFS(PROVEEDORES[Total],PROVEEDORES[PROVEEDOR],PROVEEDORES[[#This Row],[PROVEEDOR]],PROVEEDORES[FECHA DE PAGO],"")</f>
        <v>0</v>
      </c>
      <c r="E607" s="140"/>
      <c r="F607" s="138" t="str">
        <f>+VLOOKUP(PROVEEDORES[[#This Row],[PROVEEDOR]],
                       Terceros!$A:$F,
                       5,
                       FALSE)</f>
        <v/>
      </c>
      <c r="G607" s="127">
        <v>45169</v>
      </c>
      <c r="H607" s="123" t="s">
        <v>525</v>
      </c>
      <c r="I607" s="127">
        <v>45169</v>
      </c>
      <c r="J607" s="124" t="s">
        <v>477</v>
      </c>
      <c r="K607" s="124" t="s">
        <v>1530</v>
      </c>
      <c r="L607" s="124"/>
      <c r="M607" s="125">
        <v>1304150</v>
      </c>
      <c r="N607" s="148">
        <v>0</v>
      </c>
      <c r="O607" s="148">
        <v>0</v>
      </c>
      <c r="P607" s="149">
        <v>0</v>
      </c>
      <c r="Q607" s="148">
        <v>0</v>
      </c>
      <c r="R607" s="150">
        <v>1304150</v>
      </c>
      <c r="S6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7" s="135">
        <f ca="1">+IF(PROVEEDORES[[#This Row],[FECHA DE PAGO]]=0,TODAY()-PROVEEDORES[[#This Row],[FECHA DE FACTURACIÓN]]-PROVEEDORES[[#This Row],[PLAZO Días]],0)</f>
        <v>0</v>
      </c>
      <c r="U607" s="135">
        <f>+VLOOKUP(PROVEEDORES[[#This Row],[PROVEEDOR]],Terceros!$A:$D,4,FALSE)</f>
        <v>0</v>
      </c>
      <c r="V607" s="135">
        <f>+YEAR(PROVEEDORES[[#This Row],[FECHA DE FACTURACIÓN]])</f>
        <v>2023</v>
      </c>
      <c r="W607" s="135">
        <f>+MATCH(PROVEEDORES[[#This Row],[año facturado]],Retenciones!$1:$1,0)</f>
        <v>6</v>
      </c>
      <c r="X607" s="136">
        <f>+VLOOKUP(PROVEEDORES[[#This Row],[ID RETENCION]],Retenciones!$A$1:$O$25,PROVEEDORES[[#This Row],[indicador de columna]],FALSE)</f>
        <v>0</v>
      </c>
      <c r="Y607" s="137">
        <f>+VLOOKUP(PROVEEDORES[[#This Row],[ID RETENCION]],Retenciones!$A$1:$O$25,2,FALSE)</f>
        <v>0</v>
      </c>
      <c r="Z607" s="126" t="b">
        <f>+OR(COUNTIF(PROVEEDORES[[#This Row],[PROVEEDOR]],"*"&amp;'Palabra que no opera y Listas d'!$A$2&amp;"*"))</f>
        <v>0</v>
      </c>
    </row>
    <row r="608" spans="1:26" ht="27.75" customHeight="1" x14ac:dyDescent="0.25">
      <c r="A608" s="141" t="str">
        <f>+IF(PROVEEDORES[[#This Row],[FECHA DE PAGO]]=PROVEEDORES[[#This Row],[FECHA DE FACTURACIÓN]],"DE CONTADO","CRÉDITO")</f>
        <v>DE CONTADO</v>
      </c>
      <c r="B608" s="138" t="b">
        <f>+IF((PROVEEDORES[[#This Row],[FECHA DE PAGO]]-PROVEEDORES[[#This Row],[FECHA DE FACTURACIÓN]])&gt;PROVEEDORES[[#This Row],[PLAZO Días]],"PAGO VENCIDO")</f>
        <v>0</v>
      </c>
      <c r="C608" s="138">
        <f>+VLOOKUP(PROVEEDORES[[#This Row],[PROVEEDOR]],TERCEROS_INFO[#All],2,FALSE)</f>
        <v>30</v>
      </c>
      <c r="D608" s="139">
        <f>+SUMIFS(PROVEEDORES[Total],PROVEEDORES[PROVEEDOR],PROVEEDORES[[#This Row],[PROVEEDOR]],PROVEEDORES[FECHA DE PAGO],"")</f>
        <v>0</v>
      </c>
      <c r="E608" s="140"/>
      <c r="F608" s="138" t="str">
        <f>+VLOOKUP(PROVEEDORES[[#This Row],[PROVEEDOR]],
                       Terceros!$A:$F,
                       5,
                       FALSE)</f>
        <v/>
      </c>
      <c r="G608" s="127">
        <v>45169</v>
      </c>
      <c r="H608" s="123" t="s">
        <v>525</v>
      </c>
      <c r="I608" s="127">
        <v>45169</v>
      </c>
      <c r="J608" s="124" t="s">
        <v>478</v>
      </c>
      <c r="K608" s="124" t="s">
        <v>1530</v>
      </c>
      <c r="L608" s="124"/>
      <c r="M608" s="125">
        <v>4238550</v>
      </c>
      <c r="N608" s="148">
        <v>0</v>
      </c>
      <c r="O608" s="148">
        <v>0</v>
      </c>
      <c r="P608" s="149">
        <v>0</v>
      </c>
      <c r="Q608" s="148">
        <v>0</v>
      </c>
      <c r="R608" s="150">
        <v>4238550</v>
      </c>
      <c r="S6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8" s="135">
        <f ca="1">+IF(PROVEEDORES[[#This Row],[FECHA DE PAGO]]=0,TODAY()-PROVEEDORES[[#This Row],[FECHA DE FACTURACIÓN]]-PROVEEDORES[[#This Row],[PLAZO Días]],0)</f>
        <v>0</v>
      </c>
      <c r="U608" s="135">
        <f>+VLOOKUP(PROVEEDORES[[#This Row],[PROVEEDOR]],Terceros!$A:$D,4,FALSE)</f>
        <v>0</v>
      </c>
      <c r="V608" s="135">
        <f>+YEAR(PROVEEDORES[[#This Row],[FECHA DE FACTURACIÓN]])</f>
        <v>2023</v>
      </c>
      <c r="W608" s="135">
        <f>+MATCH(PROVEEDORES[[#This Row],[año facturado]],Retenciones!$1:$1,0)</f>
        <v>6</v>
      </c>
      <c r="X608" s="136">
        <f>+VLOOKUP(PROVEEDORES[[#This Row],[ID RETENCION]],Retenciones!$A$1:$O$25,PROVEEDORES[[#This Row],[indicador de columna]],FALSE)</f>
        <v>0</v>
      </c>
      <c r="Y608" s="137">
        <f>+VLOOKUP(PROVEEDORES[[#This Row],[ID RETENCION]],Retenciones!$A$1:$O$25,2,FALSE)</f>
        <v>0</v>
      </c>
      <c r="Z608" s="126" t="b">
        <f>+OR(COUNTIF(PROVEEDORES[[#This Row],[PROVEEDOR]],"*"&amp;'Palabra que no opera y Listas d'!$A$2&amp;"*"))</f>
        <v>0</v>
      </c>
    </row>
    <row r="609" spans="1:26" ht="27.75" customHeight="1" x14ac:dyDescent="0.25">
      <c r="A609" s="141" t="str">
        <f>+IF(PROVEEDORES[[#This Row],[FECHA DE PAGO]]=PROVEEDORES[[#This Row],[FECHA DE FACTURACIÓN]],"DE CONTADO","CRÉDITO")</f>
        <v>DE CONTADO</v>
      </c>
      <c r="B609" s="138" t="b">
        <f>+IF((PROVEEDORES[[#This Row],[FECHA DE PAGO]]-PROVEEDORES[[#This Row],[FECHA DE FACTURACIÓN]])&gt;PROVEEDORES[[#This Row],[PLAZO Días]],"PAGO VENCIDO")</f>
        <v>0</v>
      </c>
      <c r="C609" s="138">
        <f>+VLOOKUP(PROVEEDORES[[#This Row],[PROVEEDOR]],TERCEROS_INFO[#All],2,FALSE)</f>
        <v>30</v>
      </c>
      <c r="D609" s="139">
        <f>+SUMIFS(PROVEEDORES[Total],PROVEEDORES[PROVEEDOR],PROVEEDORES[[#This Row],[PROVEEDOR]],PROVEEDORES[FECHA DE PAGO],"")</f>
        <v>0</v>
      </c>
      <c r="E609" s="140"/>
      <c r="F609" s="138">
        <f>+VLOOKUP(PROVEEDORES[[#This Row],[PROVEEDOR]],
                       Terceros!$A:$F,
                       5,
                       FALSE)</f>
        <v>0</v>
      </c>
      <c r="G609" s="127">
        <v>45169</v>
      </c>
      <c r="H609" s="123" t="s">
        <v>861</v>
      </c>
      <c r="I609" s="127">
        <v>45169</v>
      </c>
      <c r="J609" s="124">
        <v>5918</v>
      </c>
      <c r="K609" s="124" t="s">
        <v>1530</v>
      </c>
      <c r="L609" s="124"/>
      <c r="M609" s="125">
        <v>505000</v>
      </c>
      <c r="N609" s="148">
        <v>0</v>
      </c>
      <c r="O609" s="148">
        <v>0</v>
      </c>
      <c r="P609" s="149">
        <v>0</v>
      </c>
      <c r="Q609" s="148">
        <v>0</v>
      </c>
      <c r="R609" s="150">
        <v>505000</v>
      </c>
      <c r="S6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09" s="135">
        <f ca="1">+IF(PROVEEDORES[[#This Row],[FECHA DE PAGO]]=0,TODAY()-PROVEEDORES[[#This Row],[FECHA DE FACTURACIÓN]]-PROVEEDORES[[#This Row],[PLAZO Días]],0)</f>
        <v>0</v>
      </c>
      <c r="U609" s="135">
        <f>+VLOOKUP(PROVEEDORES[[#This Row],[PROVEEDOR]],Terceros!$A:$D,4,FALSE)</f>
        <v>0</v>
      </c>
      <c r="V609" s="135">
        <f>+YEAR(PROVEEDORES[[#This Row],[FECHA DE FACTURACIÓN]])</f>
        <v>2023</v>
      </c>
      <c r="W609" s="135">
        <f>+MATCH(PROVEEDORES[[#This Row],[año facturado]],Retenciones!$1:$1,0)</f>
        <v>6</v>
      </c>
      <c r="X609" s="136">
        <f>+VLOOKUP(PROVEEDORES[[#This Row],[ID RETENCION]],Retenciones!$A$1:$O$25,PROVEEDORES[[#This Row],[indicador de columna]],FALSE)</f>
        <v>0</v>
      </c>
      <c r="Y609" s="137">
        <f>+VLOOKUP(PROVEEDORES[[#This Row],[ID RETENCION]],Retenciones!$A$1:$O$25,2,FALSE)</f>
        <v>0</v>
      </c>
      <c r="Z609" s="126" t="b">
        <f>+OR(COUNTIF(PROVEEDORES[[#This Row],[PROVEEDOR]],"*"&amp;'Palabra que no opera y Listas d'!$A$2&amp;"*"))</f>
        <v>0</v>
      </c>
    </row>
    <row r="610" spans="1:26" ht="27.75" customHeight="1" x14ac:dyDescent="0.25">
      <c r="A610" s="141" t="str">
        <f>+IF(PROVEEDORES[[#This Row],[FECHA DE PAGO]]=PROVEEDORES[[#This Row],[FECHA DE FACTURACIÓN]],"DE CONTADO","CRÉDITO")</f>
        <v>CRÉDITO</v>
      </c>
      <c r="B610" s="138" t="str">
        <f>+IF((PROVEEDORES[[#This Row],[FECHA DE PAGO]]-PROVEEDORES[[#This Row],[FECHA DE FACTURACIÓN]])&gt;PROVEEDORES[[#This Row],[PLAZO Días]],"PAGO VENCIDO")</f>
        <v>PAGO VENCIDO</v>
      </c>
      <c r="C610" s="138">
        <f>+VLOOKUP(PROVEEDORES[[#This Row],[PROVEEDOR]],TERCEROS_INFO[#All],2,FALSE)</f>
        <v>30</v>
      </c>
      <c r="D610" s="139">
        <f>+SUMIFS(PROVEEDORES[Total],PROVEEDORES[PROVEEDOR],PROVEEDORES[[#This Row],[PROVEEDOR]],PROVEEDORES[FECHA DE PAGO],"")</f>
        <v>134000</v>
      </c>
      <c r="E610" s="140"/>
      <c r="F610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10" s="127">
        <v>45170</v>
      </c>
      <c r="H610" s="123" t="s">
        <v>1808</v>
      </c>
      <c r="I610" s="127">
        <v>45139</v>
      </c>
      <c r="J610" s="124">
        <v>4297</v>
      </c>
      <c r="K610" s="124" t="s">
        <v>1530</v>
      </c>
      <c r="L610" s="124"/>
      <c r="M610" s="125">
        <v>138000</v>
      </c>
      <c r="N610" s="148">
        <v>0</v>
      </c>
      <c r="O610" s="148">
        <v>0</v>
      </c>
      <c r="P610" s="149">
        <v>0</v>
      </c>
      <c r="Q610" s="148">
        <v>0</v>
      </c>
      <c r="R610" s="150">
        <v>138000</v>
      </c>
      <c r="S6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0" s="135">
        <f ca="1">+IF(PROVEEDORES[[#This Row],[FECHA DE PAGO]]=0,TODAY()-PROVEEDORES[[#This Row],[FECHA DE FACTURACIÓN]]-PROVEEDORES[[#This Row],[PLAZO Días]],0)</f>
        <v>0</v>
      </c>
      <c r="U610" s="135">
        <f>+VLOOKUP(PROVEEDORES[[#This Row],[PROVEEDOR]],Terceros!$A:$D,4,FALSE)</f>
        <v>0</v>
      </c>
      <c r="V610" s="135">
        <f>+YEAR(PROVEEDORES[[#This Row],[FECHA DE FACTURACIÓN]])</f>
        <v>2023</v>
      </c>
      <c r="W610" s="135">
        <f>+MATCH(PROVEEDORES[[#This Row],[año facturado]],Retenciones!$1:$1,0)</f>
        <v>6</v>
      </c>
      <c r="X610" s="136">
        <f>+VLOOKUP(PROVEEDORES[[#This Row],[ID RETENCION]],Retenciones!$A$1:$O$25,PROVEEDORES[[#This Row],[indicador de columna]],FALSE)</f>
        <v>0</v>
      </c>
      <c r="Y610" s="137">
        <f>+VLOOKUP(PROVEEDORES[[#This Row],[ID RETENCION]],Retenciones!$A$1:$O$25,2,FALSE)</f>
        <v>0</v>
      </c>
      <c r="Z610" s="126" t="b">
        <f>+OR(COUNTIF(PROVEEDORES[[#This Row],[PROVEEDOR]],"*"&amp;'Palabra que no opera y Listas d'!$A$2&amp;"*"))</f>
        <v>0</v>
      </c>
    </row>
    <row r="611" spans="1:26" ht="27.75" customHeight="1" x14ac:dyDescent="0.25">
      <c r="A611" s="141" t="str">
        <f>+IF(PROVEEDORES[[#This Row],[FECHA DE PAGO]]=PROVEEDORES[[#This Row],[FECHA DE FACTURACIÓN]],"DE CONTADO","CRÉDITO")</f>
        <v>CRÉDITO</v>
      </c>
      <c r="B611" s="138" t="b">
        <f>+IF((PROVEEDORES[[#This Row],[FECHA DE PAGO]]-PROVEEDORES[[#This Row],[FECHA DE FACTURACIÓN]])&gt;PROVEEDORES[[#This Row],[PLAZO Días]],"PAGO VENCIDO")</f>
        <v>0</v>
      </c>
      <c r="C611" s="138">
        <f>+VLOOKUP(PROVEEDORES[[#This Row],[PROVEEDOR]],TERCEROS_INFO[#All],2,FALSE)</f>
        <v>30</v>
      </c>
      <c r="D611" s="139">
        <f>+SUMIFS(PROVEEDORES[Total],PROVEEDORES[PROVEEDOR],PROVEEDORES[[#This Row],[PROVEEDOR]],PROVEEDORES[FECHA DE PAGO],"")</f>
        <v>0</v>
      </c>
      <c r="E611" s="140"/>
      <c r="F611" s="138">
        <f>+VLOOKUP(PROVEEDORES[[#This Row],[PROVEEDOR]],
                       Terceros!$A:$F,
                       5,
                       FALSE)</f>
        <v>0</v>
      </c>
      <c r="G611" s="127">
        <v>45170</v>
      </c>
      <c r="H611" s="123" t="s">
        <v>1805</v>
      </c>
      <c r="I611" s="127">
        <v>45161</v>
      </c>
      <c r="J611" s="124">
        <v>396</v>
      </c>
      <c r="K611" s="124" t="s">
        <v>1530</v>
      </c>
      <c r="L611" s="124"/>
      <c r="M611" s="125">
        <v>756000</v>
      </c>
      <c r="N611" s="148">
        <v>0</v>
      </c>
      <c r="O611" s="148">
        <v>0</v>
      </c>
      <c r="P611" s="149">
        <v>0</v>
      </c>
      <c r="Q611" s="148">
        <v>0</v>
      </c>
      <c r="R611" s="150">
        <v>756000</v>
      </c>
      <c r="S6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1" s="135">
        <f ca="1">+IF(PROVEEDORES[[#This Row],[FECHA DE PAGO]]=0,TODAY()-PROVEEDORES[[#This Row],[FECHA DE FACTURACIÓN]]-PROVEEDORES[[#This Row],[PLAZO Días]],0)</f>
        <v>0</v>
      </c>
      <c r="U611" s="135">
        <f>+VLOOKUP(PROVEEDORES[[#This Row],[PROVEEDOR]],Terceros!$A:$D,4,FALSE)</f>
        <v>0</v>
      </c>
      <c r="V611" s="135">
        <f>+YEAR(PROVEEDORES[[#This Row],[FECHA DE FACTURACIÓN]])</f>
        <v>2023</v>
      </c>
      <c r="W611" s="135">
        <f>+MATCH(PROVEEDORES[[#This Row],[año facturado]],Retenciones!$1:$1,0)</f>
        <v>6</v>
      </c>
      <c r="X611" s="136">
        <f>+VLOOKUP(PROVEEDORES[[#This Row],[ID RETENCION]],Retenciones!$A$1:$O$25,PROVEEDORES[[#This Row],[indicador de columna]],FALSE)</f>
        <v>0</v>
      </c>
      <c r="Y611" s="137">
        <f>+VLOOKUP(PROVEEDORES[[#This Row],[ID RETENCION]],Retenciones!$A$1:$O$25,2,FALSE)</f>
        <v>0</v>
      </c>
      <c r="Z611" s="126" t="b">
        <f>+OR(COUNTIF(PROVEEDORES[[#This Row],[PROVEEDOR]],"*"&amp;'Palabra que no opera y Listas d'!$A$2&amp;"*"))</f>
        <v>0</v>
      </c>
    </row>
    <row r="612" spans="1:26" ht="27.75" customHeight="1" x14ac:dyDescent="0.25">
      <c r="A612" s="141" t="str">
        <f>+IF(PROVEEDORES[[#This Row],[FECHA DE PAGO]]=PROVEEDORES[[#This Row],[FECHA DE FACTURACIÓN]],"DE CONTADO","CRÉDITO")</f>
        <v>DE CONTADO</v>
      </c>
      <c r="B612" s="138" t="b">
        <f>+IF((PROVEEDORES[[#This Row],[FECHA DE PAGO]]-PROVEEDORES[[#This Row],[FECHA DE FACTURACIÓN]])&gt;PROVEEDORES[[#This Row],[PLAZO Días]],"PAGO VENCIDO")</f>
        <v>0</v>
      </c>
      <c r="C612" s="138">
        <f>+VLOOKUP(PROVEEDORES[[#This Row],[PROVEEDOR]],TERCEROS_INFO[#All],2,FALSE)</f>
        <v>30</v>
      </c>
      <c r="D612" s="139">
        <f>+SUMIFS(PROVEEDORES[Total],PROVEEDORES[PROVEEDOR],PROVEEDORES[[#This Row],[PROVEEDOR]],PROVEEDORES[FECHA DE PAGO],"")</f>
        <v>1350000</v>
      </c>
      <c r="E612" s="140"/>
      <c r="F612" s="138" t="str">
        <f>+VLOOKUP(PROVEEDORES[[#This Row],[PROVEEDOR]],
                       Terceros!$A:$F,
                       5,
                       FALSE)</f>
        <v/>
      </c>
      <c r="G612" s="127">
        <v>45171</v>
      </c>
      <c r="H612" s="123" t="s">
        <v>1807</v>
      </c>
      <c r="I612" s="127">
        <v>45171</v>
      </c>
      <c r="J612" s="124" t="s">
        <v>1031</v>
      </c>
      <c r="K612" s="124" t="s">
        <v>1530</v>
      </c>
      <c r="L612" s="124"/>
      <c r="M612" s="125">
        <v>540000</v>
      </c>
      <c r="N612" s="148">
        <v>0</v>
      </c>
      <c r="O612" s="148">
        <v>0</v>
      </c>
      <c r="P612" s="149">
        <v>0</v>
      </c>
      <c r="Q612" s="148">
        <v>0</v>
      </c>
      <c r="R612" s="150">
        <v>540000</v>
      </c>
      <c r="S6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2" s="135">
        <f ca="1">+IF(PROVEEDORES[[#This Row],[FECHA DE PAGO]]=0,TODAY()-PROVEEDORES[[#This Row],[FECHA DE FACTURACIÓN]]-PROVEEDORES[[#This Row],[PLAZO Días]],0)</f>
        <v>0</v>
      </c>
      <c r="U612" s="135">
        <f>+VLOOKUP(PROVEEDORES[[#This Row],[PROVEEDOR]],Terceros!$A:$D,4,FALSE)</f>
        <v>0</v>
      </c>
      <c r="V612" s="135">
        <f>+YEAR(PROVEEDORES[[#This Row],[FECHA DE FACTURACIÓN]])</f>
        <v>2023</v>
      </c>
      <c r="W612" s="135">
        <f>+MATCH(PROVEEDORES[[#This Row],[año facturado]],Retenciones!$1:$1,0)</f>
        <v>6</v>
      </c>
      <c r="X612" s="136">
        <f>+VLOOKUP(PROVEEDORES[[#This Row],[ID RETENCION]],Retenciones!$A$1:$O$25,PROVEEDORES[[#This Row],[indicador de columna]],FALSE)</f>
        <v>0</v>
      </c>
      <c r="Y612" s="137">
        <f>+VLOOKUP(PROVEEDORES[[#This Row],[ID RETENCION]],Retenciones!$A$1:$O$25,2,FALSE)</f>
        <v>0</v>
      </c>
      <c r="Z612" s="126" t="b">
        <f>+OR(COUNTIF(PROVEEDORES[[#This Row],[PROVEEDOR]],"*"&amp;'Palabra que no opera y Listas d'!$A$2&amp;"*"))</f>
        <v>0</v>
      </c>
    </row>
    <row r="613" spans="1:26" ht="27.75" customHeight="1" x14ac:dyDescent="0.25">
      <c r="A613" s="141" t="str">
        <f>+IF(PROVEEDORES[[#This Row],[FECHA DE PAGO]]=PROVEEDORES[[#This Row],[FECHA DE FACTURACIÓN]],"DE CONTADO","CRÉDITO")</f>
        <v>DE CONTADO</v>
      </c>
      <c r="B613" s="138" t="b">
        <f>+IF((PROVEEDORES[[#This Row],[FECHA DE PAGO]]-PROVEEDORES[[#This Row],[FECHA DE FACTURACIÓN]])&gt;PROVEEDORES[[#This Row],[PLAZO Días]],"PAGO VENCIDO")</f>
        <v>0</v>
      </c>
      <c r="C613" s="138">
        <f>+VLOOKUP(PROVEEDORES[[#This Row],[PROVEEDOR]],TERCEROS_INFO[#All],2,FALSE)</f>
        <v>30</v>
      </c>
      <c r="D613" s="139">
        <f>+SUMIFS(PROVEEDORES[Total],PROVEEDORES[PROVEEDOR],PROVEEDORES[[#This Row],[PROVEEDOR]],PROVEEDORES[FECHA DE PAGO],"")</f>
        <v>0</v>
      </c>
      <c r="E613" s="140"/>
      <c r="F613" s="138">
        <f>+VLOOKUP(PROVEEDORES[[#This Row],[PROVEEDOR]],
                       Terceros!$A:$F,
                       5,
                       FALSE)</f>
        <v>0</v>
      </c>
      <c r="G613" s="127">
        <v>45171</v>
      </c>
      <c r="H613" s="123" t="s">
        <v>836</v>
      </c>
      <c r="I613" s="127">
        <v>45171</v>
      </c>
      <c r="J613" s="124"/>
      <c r="K613" s="124" t="s">
        <v>1530</v>
      </c>
      <c r="L613" s="124"/>
      <c r="M613" s="125">
        <v>508000</v>
      </c>
      <c r="N613" s="148">
        <v>0</v>
      </c>
      <c r="O613" s="148">
        <v>0</v>
      </c>
      <c r="P613" s="149">
        <v>0</v>
      </c>
      <c r="Q613" s="148">
        <v>0</v>
      </c>
      <c r="R613" s="150">
        <v>508000</v>
      </c>
      <c r="S6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3" s="135">
        <f ca="1">+IF(PROVEEDORES[[#This Row],[FECHA DE PAGO]]=0,TODAY()-PROVEEDORES[[#This Row],[FECHA DE FACTURACIÓN]]-PROVEEDORES[[#This Row],[PLAZO Días]],0)</f>
        <v>0</v>
      </c>
      <c r="U613" s="135">
        <f>+VLOOKUP(PROVEEDORES[[#This Row],[PROVEEDOR]],Terceros!$A:$D,4,FALSE)</f>
        <v>0</v>
      </c>
      <c r="V613" s="135">
        <f>+YEAR(PROVEEDORES[[#This Row],[FECHA DE FACTURACIÓN]])</f>
        <v>2023</v>
      </c>
      <c r="W613" s="135">
        <f>+MATCH(PROVEEDORES[[#This Row],[año facturado]],Retenciones!$1:$1,0)</f>
        <v>6</v>
      </c>
      <c r="X613" s="136">
        <f>+VLOOKUP(PROVEEDORES[[#This Row],[ID RETENCION]],Retenciones!$A$1:$O$25,PROVEEDORES[[#This Row],[indicador de columna]],FALSE)</f>
        <v>0</v>
      </c>
      <c r="Y613" s="137">
        <f>+VLOOKUP(PROVEEDORES[[#This Row],[ID RETENCION]],Retenciones!$A$1:$O$25,2,FALSE)</f>
        <v>0</v>
      </c>
      <c r="Z613" s="126" t="b">
        <f>+OR(COUNTIF(PROVEEDORES[[#This Row],[PROVEEDOR]],"*"&amp;'Palabra que no opera y Listas d'!$A$2&amp;"*"))</f>
        <v>0</v>
      </c>
    </row>
    <row r="614" spans="1:26" ht="27.75" customHeight="1" x14ac:dyDescent="0.25">
      <c r="A614" s="141" t="str">
        <f>+IF(PROVEEDORES[[#This Row],[FECHA DE PAGO]]=PROVEEDORES[[#This Row],[FECHA DE FACTURACIÓN]],"DE CONTADO","CRÉDITO")</f>
        <v>CRÉDITO</v>
      </c>
      <c r="B614" s="138" t="str">
        <f>+IF((PROVEEDORES[[#This Row],[FECHA DE PAGO]]-PROVEEDORES[[#This Row],[FECHA DE FACTURACIÓN]])&gt;PROVEEDORES[[#This Row],[PLAZO Días]],"PAGO VENCIDO")</f>
        <v>PAGO VENCIDO</v>
      </c>
      <c r="C614" s="138">
        <f>+VLOOKUP(PROVEEDORES[[#This Row],[PROVEEDOR]],TERCEROS_INFO[#All],2,FALSE)</f>
        <v>30</v>
      </c>
      <c r="D614" s="139">
        <f>+SUMIFS(PROVEEDORES[Total],PROVEEDORES[PROVEEDOR],PROVEEDORES[[#This Row],[PROVEEDOR]],PROVEEDORES[FECHA DE PAGO],"")</f>
        <v>3152439.05</v>
      </c>
      <c r="E614" s="140"/>
      <c r="F614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614" s="127">
        <v>45173</v>
      </c>
      <c r="H614" s="123" t="s">
        <v>220</v>
      </c>
      <c r="I614" s="127">
        <v>45064</v>
      </c>
      <c r="J614" s="124" t="s">
        <v>967</v>
      </c>
      <c r="K614" s="124" t="s">
        <v>1530</v>
      </c>
      <c r="L614" s="124"/>
      <c r="M614" s="125">
        <v>-311718</v>
      </c>
      <c r="N614" s="148">
        <v>-59226.42</v>
      </c>
      <c r="O614" s="148">
        <v>0</v>
      </c>
      <c r="P614" s="149">
        <v>0</v>
      </c>
      <c r="Q614" s="148">
        <v>0</v>
      </c>
      <c r="R614" s="150">
        <v>-370944.42</v>
      </c>
      <c r="S6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4" s="135">
        <f ca="1">+IF(PROVEEDORES[[#This Row],[FECHA DE PAGO]]=0,TODAY()-PROVEEDORES[[#This Row],[FECHA DE FACTURACIÓN]]-PROVEEDORES[[#This Row],[PLAZO Días]],0)</f>
        <v>0</v>
      </c>
      <c r="U614" s="135">
        <f>+VLOOKUP(PROVEEDORES[[#This Row],[PROVEEDOR]],Terceros!$A:$D,4,FALSE)</f>
        <v>0</v>
      </c>
      <c r="V614" s="135">
        <f>+YEAR(PROVEEDORES[[#This Row],[FECHA DE FACTURACIÓN]])</f>
        <v>2023</v>
      </c>
      <c r="W614" s="135">
        <f>+MATCH(PROVEEDORES[[#This Row],[año facturado]],Retenciones!$1:$1,0)</f>
        <v>6</v>
      </c>
      <c r="X614" s="136">
        <f>+VLOOKUP(PROVEEDORES[[#This Row],[ID RETENCION]],Retenciones!$A$1:$O$25,PROVEEDORES[[#This Row],[indicador de columna]],FALSE)</f>
        <v>0</v>
      </c>
      <c r="Y614" s="137">
        <f>+VLOOKUP(PROVEEDORES[[#This Row],[ID RETENCION]],Retenciones!$A$1:$O$25,2,FALSE)</f>
        <v>0</v>
      </c>
      <c r="Z614" s="126" t="b">
        <f>+OR(COUNTIF(PROVEEDORES[[#This Row],[PROVEEDOR]],"*"&amp;'Palabra que no opera y Listas d'!$A$2&amp;"*"))</f>
        <v>0</v>
      </c>
    </row>
    <row r="615" spans="1:26" ht="27.75" customHeight="1" x14ac:dyDescent="0.25">
      <c r="A615" s="141" t="str">
        <f>+IF(PROVEEDORES[[#This Row],[FECHA DE PAGO]]=PROVEEDORES[[#This Row],[FECHA DE FACTURACIÓN]],"DE CONTADO","CRÉDITO")</f>
        <v>CRÉDITO</v>
      </c>
      <c r="B615" s="138" t="str">
        <f>+IF((PROVEEDORES[[#This Row],[FECHA DE PAGO]]-PROVEEDORES[[#This Row],[FECHA DE FACTURACIÓN]])&gt;PROVEEDORES[[#This Row],[PLAZO Días]],"PAGO VENCIDO")</f>
        <v>PAGO VENCIDO</v>
      </c>
      <c r="C615" s="138">
        <f>+VLOOKUP(PROVEEDORES[[#This Row],[PROVEEDOR]],TERCEROS_INFO[#All],2,FALSE)</f>
        <v>30</v>
      </c>
      <c r="D615" s="139">
        <f>+SUMIFS(PROVEEDORES[Total],PROVEEDORES[PROVEEDOR],PROVEEDORES[[#This Row],[PROVEEDOR]],PROVEEDORES[FECHA DE PAGO],"")</f>
        <v>3152439.05</v>
      </c>
      <c r="E615" s="140"/>
      <c r="F615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615" s="127">
        <v>45173</v>
      </c>
      <c r="H615" s="123" t="s">
        <v>220</v>
      </c>
      <c r="I615" s="127">
        <v>45107</v>
      </c>
      <c r="J615" s="124" t="s">
        <v>872</v>
      </c>
      <c r="K615" s="124" t="s">
        <v>1530</v>
      </c>
      <c r="L615" s="124"/>
      <c r="M615" s="125">
        <v>1930400</v>
      </c>
      <c r="N615" s="148">
        <v>366776</v>
      </c>
      <c r="O615" s="148">
        <v>0</v>
      </c>
      <c r="P615" s="149">
        <v>0</v>
      </c>
      <c r="Q615" s="148">
        <v>0</v>
      </c>
      <c r="R615" s="150">
        <v>2297176</v>
      </c>
      <c r="S6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5" s="135">
        <f ca="1">+IF(PROVEEDORES[[#This Row],[FECHA DE PAGO]]=0,TODAY()-PROVEEDORES[[#This Row],[FECHA DE FACTURACIÓN]]-PROVEEDORES[[#This Row],[PLAZO Días]],0)</f>
        <v>0</v>
      </c>
      <c r="U615" s="135">
        <f>+VLOOKUP(PROVEEDORES[[#This Row],[PROVEEDOR]],Terceros!$A:$D,4,FALSE)</f>
        <v>0</v>
      </c>
      <c r="V615" s="135">
        <f>+YEAR(PROVEEDORES[[#This Row],[FECHA DE FACTURACIÓN]])</f>
        <v>2023</v>
      </c>
      <c r="W615" s="135">
        <f>+MATCH(PROVEEDORES[[#This Row],[año facturado]],Retenciones!$1:$1,0)</f>
        <v>6</v>
      </c>
      <c r="X615" s="136">
        <f>+VLOOKUP(PROVEEDORES[[#This Row],[ID RETENCION]],Retenciones!$A$1:$O$25,PROVEEDORES[[#This Row],[indicador de columna]],FALSE)</f>
        <v>0</v>
      </c>
      <c r="Y615" s="137">
        <f>+VLOOKUP(PROVEEDORES[[#This Row],[ID RETENCION]],Retenciones!$A$1:$O$25,2,FALSE)</f>
        <v>0</v>
      </c>
      <c r="Z615" s="126" t="b">
        <f>+OR(COUNTIF(PROVEEDORES[[#This Row],[PROVEEDOR]],"*"&amp;'Palabra que no opera y Listas d'!$A$2&amp;"*"))</f>
        <v>0</v>
      </c>
    </row>
    <row r="616" spans="1:26" ht="27.75" customHeight="1" x14ac:dyDescent="0.25">
      <c r="A616" s="141" t="str">
        <f>+IF(PROVEEDORES[[#This Row],[FECHA DE PAGO]]=PROVEEDORES[[#This Row],[FECHA DE FACTURACIÓN]],"DE CONTADO","CRÉDITO")</f>
        <v>CRÉDITO</v>
      </c>
      <c r="B616" s="138" t="str">
        <f>+IF((PROVEEDORES[[#This Row],[FECHA DE PAGO]]-PROVEEDORES[[#This Row],[FECHA DE FACTURACIÓN]])&gt;PROVEEDORES[[#This Row],[PLAZO Días]],"PAGO VENCIDO")</f>
        <v>PAGO VENCIDO</v>
      </c>
      <c r="C616" s="138">
        <f>+VLOOKUP(PROVEEDORES[[#This Row],[PROVEEDOR]],TERCEROS_INFO[#All],2,FALSE)</f>
        <v>30</v>
      </c>
      <c r="D616" s="139">
        <f>+SUMIFS(PROVEEDORES[Total],PROVEEDORES[PROVEEDOR],PROVEEDORES[[#This Row],[PROVEEDOR]],PROVEEDORES[FECHA DE PAGO],"")</f>
        <v>3152439.05</v>
      </c>
      <c r="E616" s="140"/>
      <c r="F616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616" s="127">
        <v>45173</v>
      </c>
      <c r="H616" s="123" t="s">
        <v>220</v>
      </c>
      <c r="I616" s="127">
        <v>45111</v>
      </c>
      <c r="J616" s="124" t="s">
        <v>908</v>
      </c>
      <c r="K616" s="124" t="s">
        <v>1530</v>
      </c>
      <c r="L616" s="124"/>
      <c r="M616" s="125">
        <v>528624</v>
      </c>
      <c r="N616" s="148">
        <v>100438.56</v>
      </c>
      <c r="O616" s="148">
        <v>0</v>
      </c>
      <c r="P616" s="149">
        <v>0</v>
      </c>
      <c r="Q616" s="148">
        <v>0</v>
      </c>
      <c r="R616" s="150">
        <v>629062.56000000006</v>
      </c>
      <c r="S6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6" s="135">
        <f ca="1">+IF(PROVEEDORES[[#This Row],[FECHA DE PAGO]]=0,TODAY()-PROVEEDORES[[#This Row],[FECHA DE FACTURACIÓN]]-PROVEEDORES[[#This Row],[PLAZO Días]],0)</f>
        <v>0</v>
      </c>
      <c r="U616" s="135">
        <f>+VLOOKUP(PROVEEDORES[[#This Row],[PROVEEDOR]],Terceros!$A:$D,4,FALSE)</f>
        <v>0</v>
      </c>
      <c r="V616" s="135">
        <f>+YEAR(PROVEEDORES[[#This Row],[FECHA DE FACTURACIÓN]])</f>
        <v>2023</v>
      </c>
      <c r="W616" s="135">
        <f>+MATCH(PROVEEDORES[[#This Row],[año facturado]],Retenciones!$1:$1,0)</f>
        <v>6</v>
      </c>
      <c r="X616" s="136">
        <f>+VLOOKUP(PROVEEDORES[[#This Row],[ID RETENCION]],Retenciones!$A$1:$O$25,PROVEEDORES[[#This Row],[indicador de columna]],FALSE)</f>
        <v>0</v>
      </c>
      <c r="Y616" s="137">
        <f>+VLOOKUP(PROVEEDORES[[#This Row],[ID RETENCION]],Retenciones!$A$1:$O$25,2,FALSE)</f>
        <v>0</v>
      </c>
      <c r="Z616" s="126" t="b">
        <f>+OR(COUNTIF(PROVEEDORES[[#This Row],[PROVEEDOR]],"*"&amp;'Palabra que no opera y Listas d'!$A$2&amp;"*"))</f>
        <v>0</v>
      </c>
    </row>
    <row r="617" spans="1:26" ht="27.75" customHeight="1" x14ac:dyDescent="0.25">
      <c r="A617" s="141" t="str">
        <f>+IF(PROVEEDORES[[#This Row],[FECHA DE PAGO]]=PROVEEDORES[[#This Row],[FECHA DE FACTURACIÓN]],"DE CONTADO","CRÉDITO")</f>
        <v>CRÉDITO</v>
      </c>
      <c r="B617" s="138" t="str">
        <f>+IF((PROVEEDORES[[#This Row],[FECHA DE PAGO]]-PROVEEDORES[[#This Row],[FECHA DE FACTURACIÓN]])&gt;PROVEEDORES[[#This Row],[PLAZO Días]],"PAGO VENCIDO")</f>
        <v>PAGO VENCIDO</v>
      </c>
      <c r="C617" s="138">
        <f>+VLOOKUP(PROVEEDORES[[#This Row],[PROVEEDOR]],TERCEROS_INFO[#All],2,FALSE)</f>
        <v>30</v>
      </c>
      <c r="D617" s="139">
        <f>+SUMIFS(PROVEEDORES[Total],PROVEEDORES[PROVEEDOR],PROVEEDORES[[#This Row],[PROVEEDOR]],PROVEEDORES[FECHA DE PAGO],"")</f>
        <v>3152439.05</v>
      </c>
      <c r="E617" s="140"/>
      <c r="F617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617" s="127">
        <v>45173</v>
      </c>
      <c r="H617" s="123" t="s">
        <v>220</v>
      </c>
      <c r="I617" s="127">
        <v>45111</v>
      </c>
      <c r="J617" s="124" t="s">
        <v>907</v>
      </c>
      <c r="K617" s="124" t="s">
        <v>1530</v>
      </c>
      <c r="L617" s="124"/>
      <c r="M617" s="125">
        <v>792936</v>
      </c>
      <c r="N617" s="148">
        <v>150657.84</v>
      </c>
      <c r="O617" s="148">
        <v>0</v>
      </c>
      <c r="P617" s="149">
        <v>0</v>
      </c>
      <c r="Q617" s="148">
        <v>0</v>
      </c>
      <c r="R617" s="150">
        <v>943593.84</v>
      </c>
      <c r="S6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7" s="135">
        <f ca="1">+IF(PROVEEDORES[[#This Row],[FECHA DE PAGO]]=0,TODAY()-PROVEEDORES[[#This Row],[FECHA DE FACTURACIÓN]]-PROVEEDORES[[#This Row],[PLAZO Días]],0)</f>
        <v>0</v>
      </c>
      <c r="U617" s="135">
        <f>+VLOOKUP(PROVEEDORES[[#This Row],[PROVEEDOR]],Terceros!$A:$D,4,FALSE)</f>
        <v>0</v>
      </c>
      <c r="V617" s="135">
        <f>+YEAR(PROVEEDORES[[#This Row],[FECHA DE FACTURACIÓN]])</f>
        <v>2023</v>
      </c>
      <c r="W617" s="135">
        <f>+MATCH(PROVEEDORES[[#This Row],[año facturado]],Retenciones!$1:$1,0)</f>
        <v>6</v>
      </c>
      <c r="X617" s="136">
        <f>+VLOOKUP(PROVEEDORES[[#This Row],[ID RETENCION]],Retenciones!$A$1:$O$25,PROVEEDORES[[#This Row],[indicador de columna]],FALSE)</f>
        <v>0</v>
      </c>
      <c r="Y617" s="137">
        <f>+VLOOKUP(PROVEEDORES[[#This Row],[ID RETENCION]],Retenciones!$A$1:$O$25,2,FALSE)</f>
        <v>0</v>
      </c>
      <c r="Z617" s="126" t="b">
        <f>+OR(COUNTIF(PROVEEDORES[[#This Row],[PROVEEDOR]],"*"&amp;'Palabra que no opera y Listas d'!$A$2&amp;"*"))</f>
        <v>0</v>
      </c>
    </row>
    <row r="618" spans="1:26" ht="27.75" customHeight="1" x14ac:dyDescent="0.25">
      <c r="A618" s="141" t="str">
        <f>+IF(PROVEEDORES[[#This Row],[FECHA DE PAGO]]=PROVEEDORES[[#This Row],[FECHA DE FACTURACIÓN]],"DE CONTADO","CRÉDITO")</f>
        <v>CRÉDITO</v>
      </c>
      <c r="B618" s="138" t="str">
        <f>+IF((PROVEEDORES[[#This Row],[FECHA DE PAGO]]-PROVEEDORES[[#This Row],[FECHA DE FACTURACIÓN]])&gt;PROVEEDORES[[#This Row],[PLAZO Días]],"PAGO VENCIDO")</f>
        <v>PAGO VENCIDO</v>
      </c>
      <c r="C618" s="138">
        <f>+VLOOKUP(PROVEEDORES[[#This Row],[PROVEEDOR]],TERCEROS_INFO[#All],2,FALSE)</f>
        <v>30</v>
      </c>
      <c r="D618" s="139">
        <f>+SUMIFS(PROVEEDORES[Total],PROVEEDORES[PROVEEDOR],PROVEEDORES[[#This Row],[PROVEEDOR]],PROVEEDORES[FECHA DE PAGO],"")</f>
        <v>1776037.21</v>
      </c>
      <c r="E618" s="140"/>
      <c r="F618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18" s="127">
        <v>45173</v>
      </c>
      <c r="H618" s="123" t="s">
        <v>17</v>
      </c>
      <c r="I618" s="127">
        <v>45128</v>
      </c>
      <c r="J618" s="124" t="s">
        <v>914</v>
      </c>
      <c r="K618" s="124" t="s">
        <v>1530</v>
      </c>
      <c r="L618" s="124"/>
      <c r="M618" s="125">
        <v>230906</v>
      </c>
      <c r="N618" s="148">
        <v>43872.14</v>
      </c>
      <c r="O618" s="148">
        <v>0</v>
      </c>
      <c r="P618" s="149">
        <v>0</v>
      </c>
      <c r="Q618" s="148">
        <v>0</v>
      </c>
      <c r="R618" s="150">
        <v>274778.14</v>
      </c>
      <c r="S6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8" s="135">
        <f ca="1">+IF(PROVEEDORES[[#This Row],[FECHA DE PAGO]]=0,TODAY()-PROVEEDORES[[#This Row],[FECHA DE FACTURACIÓN]]-PROVEEDORES[[#This Row],[PLAZO Días]],0)</f>
        <v>0</v>
      </c>
      <c r="U618" s="135">
        <f>+VLOOKUP(PROVEEDORES[[#This Row],[PROVEEDOR]],Terceros!$A:$D,4,FALSE)</f>
        <v>0</v>
      </c>
      <c r="V618" s="135">
        <f>+YEAR(PROVEEDORES[[#This Row],[FECHA DE FACTURACIÓN]])</f>
        <v>2023</v>
      </c>
      <c r="W618" s="135">
        <f>+MATCH(PROVEEDORES[[#This Row],[año facturado]],Retenciones!$1:$1,0)</f>
        <v>6</v>
      </c>
      <c r="X618" s="136">
        <f>+VLOOKUP(PROVEEDORES[[#This Row],[ID RETENCION]],Retenciones!$A$1:$O$25,PROVEEDORES[[#This Row],[indicador de columna]],FALSE)</f>
        <v>0</v>
      </c>
      <c r="Y618" s="137">
        <f>+VLOOKUP(PROVEEDORES[[#This Row],[ID RETENCION]],Retenciones!$A$1:$O$25,2,FALSE)</f>
        <v>0</v>
      </c>
      <c r="Z618" s="126" t="b">
        <f>+OR(COUNTIF(PROVEEDORES[[#This Row],[PROVEEDOR]],"*"&amp;'Palabra que no opera y Listas d'!$A$2&amp;"*"))</f>
        <v>0</v>
      </c>
    </row>
    <row r="619" spans="1:26" ht="27.75" customHeight="1" x14ac:dyDescent="0.25">
      <c r="A619" s="141" t="str">
        <f>+IF(PROVEEDORES[[#This Row],[FECHA DE PAGO]]=PROVEEDORES[[#This Row],[FECHA DE FACTURACIÓN]],"DE CONTADO","CRÉDITO")</f>
        <v>CRÉDITO</v>
      </c>
      <c r="B619" s="138" t="str">
        <f>+IF((PROVEEDORES[[#This Row],[FECHA DE PAGO]]-PROVEEDORES[[#This Row],[FECHA DE FACTURACIÓN]])&gt;PROVEEDORES[[#This Row],[PLAZO Días]],"PAGO VENCIDO")</f>
        <v>PAGO VENCIDO</v>
      </c>
      <c r="C619" s="138">
        <f>+VLOOKUP(PROVEEDORES[[#This Row],[PROVEEDOR]],TERCEROS_INFO[#All],2,FALSE)</f>
        <v>30</v>
      </c>
      <c r="D619" s="139">
        <f>+SUMIFS(PROVEEDORES[Total],PROVEEDORES[PROVEEDOR],PROVEEDORES[[#This Row],[PROVEEDOR]],PROVEEDORES[FECHA DE PAGO],"")</f>
        <v>1776037.21</v>
      </c>
      <c r="E619" s="140"/>
      <c r="F619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19" s="127">
        <v>45173</v>
      </c>
      <c r="H619" s="123" t="s">
        <v>17</v>
      </c>
      <c r="I619" s="127">
        <v>45128</v>
      </c>
      <c r="J619" s="124" t="s">
        <v>915</v>
      </c>
      <c r="K619" s="124" t="s">
        <v>1530</v>
      </c>
      <c r="L619" s="124"/>
      <c r="M619" s="125">
        <v>458175</v>
      </c>
      <c r="N619" s="148">
        <v>87053.25</v>
      </c>
      <c r="O619" s="148">
        <v>0</v>
      </c>
      <c r="P619" s="149">
        <v>0</v>
      </c>
      <c r="Q619" s="148">
        <v>0</v>
      </c>
      <c r="R619" s="150">
        <v>545228.25</v>
      </c>
      <c r="S6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19" s="135">
        <f ca="1">+IF(PROVEEDORES[[#This Row],[FECHA DE PAGO]]=0,TODAY()-PROVEEDORES[[#This Row],[FECHA DE FACTURACIÓN]]-PROVEEDORES[[#This Row],[PLAZO Días]],0)</f>
        <v>0</v>
      </c>
      <c r="U619" s="135">
        <f>+VLOOKUP(PROVEEDORES[[#This Row],[PROVEEDOR]],Terceros!$A:$D,4,FALSE)</f>
        <v>0</v>
      </c>
      <c r="V619" s="135">
        <f>+YEAR(PROVEEDORES[[#This Row],[FECHA DE FACTURACIÓN]])</f>
        <v>2023</v>
      </c>
      <c r="W619" s="135">
        <f>+MATCH(PROVEEDORES[[#This Row],[año facturado]],Retenciones!$1:$1,0)</f>
        <v>6</v>
      </c>
      <c r="X619" s="136">
        <f>+VLOOKUP(PROVEEDORES[[#This Row],[ID RETENCION]],Retenciones!$A$1:$O$25,PROVEEDORES[[#This Row],[indicador de columna]],FALSE)</f>
        <v>0</v>
      </c>
      <c r="Y619" s="137">
        <f>+VLOOKUP(PROVEEDORES[[#This Row],[ID RETENCION]],Retenciones!$A$1:$O$25,2,FALSE)</f>
        <v>0</v>
      </c>
      <c r="Z619" s="126" t="b">
        <f>+OR(COUNTIF(PROVEEDORES[[#This Row],[PROVEEDOR]],"*"&amp;'Palabra que no opera y Listas d'!$A$2&amp;"*"))</f>
        <v>0</v>
      </c>
    </row>
    <row r="620" spans="1:26" ht="27.75" customHeight="1" x14ac:dyDescent="0.25">
      <c r="A620" s="141" t="str">
        <f>+IF(PROVEEDORES[[#This Row],[FECHA DE PAGO]]=PROVEEDORES[[#This Row],[FECHA DE FACTURACIÓN]],"DE CONTADO","CRÉDITO")</f>
        <v>CRÉDITO</v>
      </c>
      <c r="B620" s="138" t="str">
        <f>+IF((PROVEEDORES[[#This Row],[FECHA DE PAGO]]-PROVEEDORES[[#This Row],[FECHA DE FACTURACIÓN]])&gt;PROVEEDORES[[#This Row],[PLAZO Días]],"PAGO VENCIDO")</f>
        <v>PAGO VENCIDO</v>
      </c>
      <c r="C620" s="138">
        <f>+VLOOKUP(PROVEEDORES[[#This Row],[PROVEEDOR]],TERCEROS_INFO[#All],2,FALSE)</f>
        <v>30</v>
      </c>
      <c r="D620" s="139">
        <f>+SUMIFS(PROVEEDORES[Total],PROVEEDORES[PROVEEDOR],PROVEEDORES[[#This Row],[PROVEEDOR]],PROVEEDORES[FECHA DE PAGO],"")</f>
        <v>1776037.21</v>
      </c>
      <c r="E620" s="140"/>
      <c r="F620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20" s="127">
        <v>45173</v>
      </c>
      <c r="H620" s="123" t="s">
        <v>17</v>
      </c>
      <c r="I620" s="127">
        <v>45131</v>
      </c>
      <c r="J620" s="124" t="s">
        <v>913</v>
      </c>
      <c r="K620" s="124" t="s">
        <v>1530</v>
      </c>
      <c r="L620" s="124"/>
      <c r="M620" s="125">
        <v>1902271</v>
      </c>
      <c r="N620" s="148">
        <v>361431.49</v>
      </c>
      <c r="O620" s="148">
        <v>0</v>
      </c>
      <c r="P620" s="149">
        <v>0</v>
      </c>
      <c r="Q620" s="148">
        <v>0</v>
      </c>
      <c r="R620" s="150">
        <v>2263702.4900000002</v>
      </c>
      <c r="S6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0" s="135">
        <f ca="1">+IF(PROVEEDORES[[#This Row],[FECHA DE PAGO]]=0,TODAY()-PROVEEDORES[[#This Row],[FECHA DE FACTURACIÓN]]-PROVEEDORES[[#This Row],[PLAZO Días]],0)</f>
        <v>0</v>
      </c>
      <c r="U620" s="135">
        <f>+VLOOKUP(PROVEEDORES[[#This Row],[PROVEEDOR]],Terceros!$A:$D,4,FALSE)</f>
        <v>0</v>
      </c>
      <c r="V620" s="135">
        <f>+YEAR(PROVEEDORES[[#This Row],[FECHA DE FACTURACIÓN]])</f>
        <v>2023</v>
      </c>
      <c r="W620" s="135">
        <f>+MATCH(PROVEEDORES[[#This Row],[año facturado]],Retenciones!$1:$1,0)</f>
        <v>6</v>
      </c>
      <c r="X620" s="136">
        <f>+VLOOKUP(PROVEEDORES[[#This Row],[ID RETENCION]],Retenciones!$A$1:$O$25,PROVEEDORES[[#This Row],[indicador de columna]],FALSE)</f>
        <v>0</v>
      </c>
      <c r="Y620" s="137">
        <f>+VLOOKUP(PROVEEDORES[[#This Row],[ID RETENCION]],Retenciones!$A$1:$O$25,2,FALSE)</f>
        <v>0</v>
      </c>
      <c r="Z620" s="126" t="b">
        <f>+OR(COUNTIF(PROVEEDORES[[#This Row],[PROVEEDOR]],"*"&amp;'Palabra que no opera y Listas d'!$A$2&amp;"*"))</f>
        <v>0</v>
      </c>
    </row>
    <row r="621" spans="1:26" ht="27.75" customHeight="1" x14ac:dyDescent="0.25">
      <c r="A621" s="141" t="str">
        <f>+IF(PROVEEDORES[[#This Row],[FECHA DE PAGO]]=PROVEEDORES[[#This Row],[FECHA DE FACTURACIÓN]],"DE CONTADO","CRÉDITO")</f>
        <v>CRÉDITO</v>
      </c>
      <c r="B621" s="138" t="str">
        <f>+IF((PROVEEDORES[[#This Row],[FECHA DE PAGO]]-PROVEEDORES[[#This Row],[FECHA DE FACTURACIÓN]])&gt;PROVEEDORES[[#This Row],[PLAZO Días]],"PAGO VENCIDO")</f>
        <v>PAGO VENCIDO</v>
      </c>
      <c r="C621" s="138">
        <f>+VLOOKUP(PROVEEDORES[[#This Row],[PROVEEDOR]],TERCEROS_INFO[#All],2,FALSE)</f>
        <v>30</v>
      </c>
      <c r="D621" s="139">
        <f>+SUMIFS(PROVEEDORES[Total],PROVEEDORES[PROVEEDOR],PROVEEDORES[[#This Row],[PROVEEDOR]],PROVEEDORES[FECHA DE PAGO],"")</f>
        <v>1776037.21</v>
      </c>
      <c r="E621" s="140"/>
      <c r="F621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21" s="127">
        <v>45173</v>
      </c>
      <c r="H621" s="123" t="s">
        <v>17</v>
      </c>
      <c r="I621" s="127">
        <v>45134</v>
      </c>
      <c r="J621" s="124" t="s">
        <v>990</v>
      </c>
      <c r="K621" s="124" t="s">
        <v>1530</v>
      </c>
      <c r="L621" s="124"/>
      <c r="M621" s="125">
        <v>719000</v>
      </c>
      <c r="N621" s="148">
        <v>136610</v>
      </c>
      <c r="O621" s="148">
        <v>0</v>
      </c>
      <c r="P621" s="149">
        <v>0</v>
      </c>
      <c r="Q621" s="148">
        <v>0</v>
      </c>
      <c r="R621" s="150">
        <v>855610</v>
      </c>
      <c r="S6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1" s="135">
        <f ca="1">+IF(PROVEEDORES[[#This Row],[FECHA DE PAGO]]=0,TODAY()-PROVEEDORES[[#This Row],[FECHA DE FACTURACIÓN]]-PROVEEDORES[[#This Row],[PLAZO Días]],0)</f>
        <v>0</v>
      </c>
      <c r="U621" s="135">
        <f>+VLOOKUP(PROVEEDORES[[#This Row],[PROVEEDOR]],Terceros!$A:$D,4,FALSE)</f>
        <v>0</v>
      </c>
      <c r="V621" s="135">
        <f>+YEAR(PROVEEDORES[[#This Row],[FECHA DE FACTURACIÓN]])</f>
        <v>2023</v>
      </c>
      <c r="W621" s="135">
        <f>+MATCH(PROVEEDORES[[#This Row],[año facturado]],Retenciones!$1:$1,0)</f>
        <v>6</v>
      </c>
      <c r="X621" s="136">
        <f>+VLOOKUP(PROVEEDORES[[#This Row],[ID RETENCION]],Retenciones!$A$1:$O$25,PROVEEDORES[[#This Row],[indicador de columna]],FALSE)</f>
        <v>0</v>
      </c>
      <c r="Y621" s="137">
        <f>+VLOOKUP(PROVEEDORES[[#This Row],[ID RETENCION]],Retenciones!$A$1:$O$25,2,FALSE)</f>
        <v>0</v>
      </c>
      <c r="Z621" s="126" t="b">
        <f>+OR(COUNTIF(PROVEEDORES[[#This Row],[PROVEEDOR]],"*"&amp;'Palabra que no opera y Listas d'!$A$2&amp;"*"))</f>
        <v>0</v>
      </c>
    </row>
    <row r="622" spans="1:26" ht="27.75" customHeight="1" x14ac:dyDescent="0.25">
      <c r="A622" s="141" t="str">
        <f>+IF(PROVEEDORES[[#This Row],[FECHA DE PAGO]]=PROVEEDORES[[#This Row],[FECHA DE FACTURACIÓN]],"DE CONTADO","CRÉDITO")</f>
        <v>DE CONTADO</v>
      </c>
      <c r="B622" s="138" t="b">
        <f>+IF((PROVEEDORES[[#This Row],[FECHA DE PAGO]]-PROVEEDORES[[#This Row],[FECHA DE FACTURACIÓN]])&gt;PROVEEDORES[[#This Row],[PLAZO Días]],"PAGO VENCIDO")</f>
        <v>0</v>
      </c>
      <c r="C622" s="138">
        <f>+VLOOKUP(PROVEEDORES[[#This Row],[PROVEEDOR]],TERCEROS_INFO[#All],2,FALSE)</f>
        <v>30</v>
      </c>
      <c r="D622" s="139">
        <f>+SUMIFS(PROVEEDORES[Total],PROVEEDORES[PROVEEDOR],PROVEEDORES[[#This Row],[PROVEEDOR]],PROVEEDORES[FECHA DE PAGO],"")</f>
        <v>0</v>
      </c>
      <c r="E622" s="140"/>
      <c r="F622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622" s="127">
        <v>45174</v>
      </c>
      <c r="H622" s="123" t="s">
        <v>1865</v>
      </c>
      <c r="I622" s="127">
        <v>45174</v>
      </c>
      <c r="J622" s="124" t="s">
        <v>1044</v>
      </c>
      <c r="K622" s="124" t="s">
        <v>1530</v>
      </c>
      <c r="L622" s="124"/>
      <c r="M622" s="125">
        <v>2257000</v>
      </c>
      <c r="N622" s="148">
        <v>0</v>
      </c>
      <c r="O622" s="148">
        <v>0</v>
      </c>
      <c r="P622" s="149">
        <v>0</v>
      </c>
      <c r="Q622" s="148">
        <v>0</v>
      </c>
      <c r="R622" s="150">
        <v>2257000</v>
      </c>
      <c r="S6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2" s="135">
        <f ca="1">+IF(PROVEEDORES[[#This Row],[FECHA DE PAGO]]=0,TODAY()-PROVEEDORES[[#This Row],[FECHA DE FACTURACIÓN]]-PROVEEDORES[[#This Row],[PLAZO Días]],0)</f>
        <v>0</v>
      </c>
      <c r="U622" s="135">
        <f>+VLOOKUP(PROVEEDORES[[#This Row],[PROVEEDOR]],Terceros!$A:$D,4,FALSE)</f>
        <v>0</v>
      </c>
      <c r="V622" s="135">
        <f>+YEAR(PROVEEDORES[[#This Row],[FECHA DE FACTURACIÓN]])</f>
        <v>2023</v>
      </c>
      <c r="W622" s="135">
        <f>+MATCH(PROVEEDORES[[#This Row],[año facturado]],Retenciones!$1:$1,0)</f>
        <v>6</v>
      </c>
      <c r="X622" s="136">
        <f>+VLOOKUP(PROVEEDORES[[#This Row],[ID RETENCION]],Retenciones!$A$1:$O$25,PROVEEDORES[[#This Row],[indicador de columna]],FALSE)</f>
        <v>0</v>
      </c>
      <c r="Y622" s="137">
        <f>+VLOOKUP(PROVEEDORES[[#This Row],[ID RETENCION]],Retenciones!$A$1:$O$25,2,FALSE)</f>
        <v>0</v>
      </c>
      <c r="Z622" s="126" t="b">
        <f>+OR(COUNTIF(PROVEEDORES[[#This Row],[PROVEEDOR]],"*"&amp;'Palabra que no opera y Listas d'!$A$2&amp;"*"))</f>
        <v>0</v>
      </c>
    </row>
    <row r="623" spans="1:26" ht="27.75" customHeight="1" x14ac:dyDescent="0.25">
      <c r="A623" s="141" t="str">
        <f>+IF(PROVEEDORES[[#This Row],[FECHA DE PAGO]]=PROVEEDORES[[#This Row],[FECHA DE FACTURACIÓN]],"DE CONTADO","CRÉDITO")</f>
        <v>CRÉDITO</v>
      </c>
      <c r="B623" s="138" t="str">
        <f>+IF((PROVEEDORES[[#This Row],[FECHA DE PAGO]]-PROVEEDORES[[#This Row],[FECHA DE FACTURACIÓN]])&gt;PROVEEDORES[[#This Row],[PLAZO Días]],"PAGO VENCIDO")</f>
        <v>PAGO VENCIDO</v>
      </c>
      <c r="C623" s="138">
        <f>+VLOOKUP(PROVEEDORES[[#This Row],[PROVEEDOR]],TERCEROS_INFO[#All],2,FALSE)</f>
        <v>60</v>
      </c>
      <c r="D623" s="139">
        <f>+SUMIFS(PROVEEDORES[Total],PROVEEDORES[PROVEEDOR],PROVEEDORES[[#This Row],[PROVEEDOR]],PROVEEDORES[FECHA DE PAGO],"")</f>
        <v>19124998.199999999</v>
      </c>
      <c r="E623" s="140"/>
      <c r="F623" s="13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623" s="127">
        <v>45175</v>
      </c>
      <c r="H623" s="123" t="s">
        <v>30</v>
      </c>
      <c r="I623" s="127">
        <v>45082</v>
      </c>
      <c r="J623" s="124">
        <v>59276</v>
      </c>
      <c r="K623" s="124" t="s">
        <v>1530</v>
      </c>
      <c r="L623" s="124"/>
      <c r="M623" s="125">
        <v>27072616.5</v>
      </c>
      <c r="N623" s="148">
        <v>0</v>
      </c>
      <c r="O623" s="148">
        <v>0</v>
      </c>
      <c r="P623" s="149">
        <v>0</v>
      </c>
      <c r="Q623" s="148">
        <v>0</v>
      </c>
      <c r="R623" s="150">
        <v>27072616.5</v>
      </c>
      <c r="S6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3" s="135">
        <f ca="1">+IF(PROVEEDORES[[#This Row],[FECHA DE PAGO]]=0,TODAY()-PROVEEDORES[[#This Row],[FECHA DE FACTURACIÓN]]-PROVEEDORES[[#This Row],[PLAZO Días]],0)</f>
        <v>0</v>
      </c>
      <c r="U623" s="135">
        <f>+VLOOKUP(PROVEEDORES[[#This Row],[PROVEEDOR]],Terceros!$A:$D,4,FALSE)</f>
        <v>0</v>
      </c>
      <c r="V623" s="135">
        <f>+YEAR(PROVEEDORES[[#This Row],[FECHA DE FACTURACIÓN]])</f>
        <v>2023</v>
      </c>
      <c r="W623" s="135">
        <f>+MATCH(PROVEEDORES[[#This Row],[año facturado]],Retenciones!$1:$1,0)</f>
        <v>6</v>
      </c>
      <c r="X623" s="136">
        <f>+VLOOKUP(PROVEEDORES[[#This Row],[ID RETENCION]],Retenciones!$A$1:$O$25,PROVEEDORES[[#This Row],[indicador de columna]],FALSE)</f>
        <v>0</v>
      </c>
      <c r="Y623" s="137">
        <f>+VLOOKUP(PROVEEDORES[[#This Row],[ID RETENCION]],Retenciones!$A$1:$O$25,2,FALSE)</f>
        <v>0</v>
      </c>
      <c r="Z623" s="126" t="b">
        <f>+OR(COUNTIF(PROVEEDORES[[#This Row],[PROVEEDOR]],"*"&amp;'Palabra que no opera y Listas d'!$A$2&amp;"*"))</f>
        <v>0</v>
      </c>
    </row>
    <row r="624" spans="1:26" ht="27.75" customHeight="1" x14ac:dyDescent="0.25">
      <c r="A624" s="141" t="str">
        <f>+IF(PROVEEDORES[[#This Row],[FECHA DE PAGO]]=PROVEEDORES[[#This Row],[FECHA DE FACTURACIÓN]],"DE CONTADO","CRÉDITO")</f>
        <v>CRÉDITO</v>
      </c>
      <c r="B624" s="138" t="str">
        <f>+IF((PROVEEDORES[[#This Row],[FECHA DE PAGO]]-PROVEEDORES[[#This Row],[FECHA DE FACTURACIÓN]])&gt;PROVEEDORES[[#This Row],[PLAZO Días]],"PAGO VENCIDO")</f>
        <v>PAGO VENCIDO</v>
      </c>
      <c r="C624" s="138">
        <f>+VLOOKUP(PROVEEDORES[[#This Row],[PROVEEDOR]],TERCEROS_INFO[#All],2,FALSE)</f>
        <v>30</v>
      </c>
      <c r="D624" s="139">
        <f>+SUMIFS(PROVEEDORES[Total],PROVEEDORES[PROVEEDOR],PROVEEDORES[[#This Row],[PROVEEDOR]],PROVEEDORES[FECHA DE PAGO],"")</f>
        <v>3130000</v>
      </c>
      <c r="E624" s="140"/>
      <c r="F624" s="138">
        <f>+VLOOKUP(PROVEEDORES[[#This Row],[PROVEEDOR]],
                       Terceros!$A:$F,
                       5,
                       FALSE)</f>
        <v>0</v>
      </c>
      <c r="G624" s="127">
        <v>45175</v>
      </c>
      <c r="H624" s="123" t="s">
        <v>472</v>
      </c>
      <c r="I624" s="127">
        <v>45083</v>
      </c>
      <c r="J624" s="124">
        <v>1795</v>
      </c>
      <c r="K624" s="124" t="s">
        <v>1530</v>
      </c>
      <c r="L624" s="124"/>
      <c r="M624" s="125">
        <v>337500</v>
      </c>
      <c r="N624" s="148">
        <v>0</v>
      </c>
      <c r="O624" s="148">
        <v>0</v>
      </c>
      <c r="P624" s="149">
        <v>0</v>
      </c>
      <c r="Q624" s="148">
        <v>0</v>
      </c>
      <c r="R624" s="150">
        <v>337500</v>
      </c>
      <c r="S6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4" s="135">
        <f ca="1">+IF(PROVEEDORES[[#This Row],[FECHA DE PAGO]]=0,TODAY()-PROVEEDORES[[#This Row],[FECHA DE FACTURACIÓN]]-PROVEEDORES[[#This Row],[PLAZO Días]],0)</f>
        <v>0</v>
      </c>
      <c r="U624" s="135">
        <f>+VLOOKUP(PROVEEDORES[[#This Row],[PROVEEDOR]],Terceros!$A:$D,4,FALSE)</f>
        <v>0</v>
      </c>
      <c r="V624" s="135">
        <f>+YEAR(PROVEEDORES[[#This Row],[FECHA DE FACTURACIÓN]])</f>
        <v>2023</v>
      </c>
      <c r="W624" s="135">
        <f>+MATCH(PROVEEDORES[[#This Row],[año facturado]],Retenciones!$1:$1,0)</f>
        <v>6</v>
      </c>
      <c r="X624" s="136">
        <f>+VLOOKUP(PROVEEDORES[[#This Row],[ID RETENCION]],Retenciones!$A$1:$O$25,PROVEEDORES[[#This Row],[indicador de columna]],FALSE)</f>
        <v>0</v>
      </c>
      <c r="Y624" s="137">
        <f>+VLOOKUP(PROVEEDORES[[#This Row],[ID RETENCION]],Retenciones!$A$1:$O$25,2,FALSE)</f>
        <v>0</v>
      </c>
      <c r="Z624" s="126" t="b">
        <f>+OR(COUNTIF(PROVEEDORES[[#This Row],[PROVEEDOR]],"*"&amp;'Palabra que no opera y Listas d'!$A$2&amp;"*"))</f>
        <v>0</v>
      </c>
    </row>
    <row r="625" spans="1:26" ht="27.75" customHeight="1" x14ac:dyDescent="0.25">
      <c r="A625" s="141" t="str">
        <f>+IF(PROVEEDORES[[#This Row],[FECHA DE PAGO]]=PROVEEDORES[[#This Row],[FECHA DE FACTURACIÓN]],"DE CONTADO","CRÉDITO")</f>
        <v>CRÉDITO</v>
      </c>
      <c r="B625" s="138" t="str">
        <f>+IF((PROVEEDORES[[#This Row],[FECHA DE PAGO]]-PROVEEDORES[[#This Row],[FECHA DE FACTURACIÓN]])&gt;PROVEEDORES[[#This Row],[PLAZO Días]],"PAGO VENCIDO")</f>
        <v>PAGO VENCIDO</v>
      </c>
      <c r="C625" s="138">
        <f>+VLOOKUP(PROVEEDORES[[#This Row],[PROVEEDOR]],TERCEROS_INFO[#All],2,FALSE)</f>
        <v>30</v>
      </c>
      <c r="D625" s="139">
        <f>+SUMIFS(PROVEEDORES[Total],PROVEEDORES[PROVEEDOR],PROVEEDORES[[#This Row],[PROVEEDOR]],PROVEEDORES[FECHA DE PAGO],"")</f>
        <v>3130000</v>
      </c>
      <c r="E625" s="140"/>
      <c r="F625" s="138">
        <f>+VLOOKUP(PROVEEDORES[[#This Row],[PROVEEDOR]],
                       Terceros!$A:$F,
                       5,
                       FALSE)</f>
        <v>0</v>
      </c>
      <c r="G625" s="127">
        <v>45175</v>
      </c>
      <c r="H625" s="123" t="s">
        <v>472</v>
      </c>
      <c r="I625" s="127">
        <v>45083</v>
      </c>
      <c r="J625" s="124">
        <v>1794</v>
      </c>
      <c r="K625" s="124" t="s">
        <v>1530</v>
      </c>
      <c r="L625" s="124"/>
      <c r="M625" s="125">
        <v>3346000</v>
      </c>
      <c r="N625" s="148">
        <v>0</v>
      </c>
      <c r="O625" s="148">
        <v>0</v>
      </c>
      <c r="P625" s="149">
        <v>0</v>
      </c>
      <c r="Q625" s="148">
        <v>0</v>
      </c>
      <c r="R625" s="150">
        <v>3346000</v>
      </c>
      <c r="S6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5" s="135">
        <f ca="1">+IF(PROVEEDORES[[#This Row],[FECHA DE PAGO]]=0,TODAY()-PROVEEDORES[[#This Row],[FECHA DE FACTURACIÓN]]-PROVEEDORES[[#This Row],[PLAZO Días]],0)</f>
        <v>0</v>
      </c>
      <c r="U625" s="135">
        <f>+VLOOKUP(PROVEEDORES[[#This Row],[PROVEEDOR]],Terceros!$A:$D,4,FALSE)</f>
        <v>0</v>
      </c>
      <c r="V625" s="135">
        <f>+YEAR(PROVEEDORES[[#This Row],[FECHA DE FACTURACIÓN]])</f>
        <v>2023</v>
      </c>
      <c r="W625" s="135">
        <f>+MATCH(PROVEEDORES[[#This Row],[año facturado]],Retenciones!$1:$1,0)</f>
        <v>6</v>
      </c>
      <c r="X625" s="136">
        <f>+VLOOKUP(PROVEEDORES[[#This Row],[ID RETENCION]],Retenciones!$A$1:$O$25,PROVEEDORES[[#This Row],[indicador de columna]],FALSE)</f>
        <v>0</v>
      </c>
      <c r="Y625" s="137">
        <f>+VLOOKUP(PROVEEDORES[[#This Row],[ID RETENCION]],Retenciones!$A$1:$O$25,2,FALSE)</f>
        <v>0</v>
      </c>
      <c r="Z625" s="126" t="b">
        <f>+OR(COUNTIF(PROVEEDORES[[#This Row],[PROVEEDOR]],"*"&amp;'Palabra que no opera y Listas d'!$A$2&amp;"*"))</f>
        <v>0</v>
      </c>
    </row>
    <row r="626" spans="1:26" ht="27.75" customHeight="1" x14ac:dyDescent="0.25">
      <c r="A626" s="141" t="str">
        <f>+IF(PROVEEDORES[[#This Row],[FECHA DE PAGO]]=PROVEEDORES[[#This Row],[FECHA DE FACTURACIÓN]],"DE CONTADO","CRÉDITO")</f>
        <v>CRÉDITO</v>
      </c>
      <c r="B626" s="138" t="str">
        <f>+IF((PROVEEDORES[[#This Row],[FECHA DE PAGO]]-PROVEEDORES[[#This Row],[FECHA DE FACTURACIÓN]])&gt;PROVEEDORES[[#This Row],[PLAZO Días]],"PAGO VENCIDO")</f>
        <v>PAGO VENCIDO</v>
      </c>
      <c r="C626" s="138">
        <f>+VLOOKUP(PROVEEDORES[[#This Row],[PROVEEDOR]],TERCEROS_INFO[#All],2,FALSE)</f>
        <v>60</v>
      </c>
      <c r="D626" s="139">
        <f>+SUMIFS(PROVEEDORES[Total],PROVEEDORES[PROVEEDOR],PROVEEDORES[[#This Row],[PROVEEDOR]],PROVEEDORES[FECHA DE PAGO],"")</f>
        <v>0</v>
      </c>
      <c r="E626" s="140"/>
      <c r="F626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626" s="127">
        <v>45175</v>
      </c>
      <c r="H626" s="123" t="s">
        <v>65</v>
      </c>
      <c r="I626" s="127">
        <v>45090</v>
      </c>
      <c r="J626" s="124" t="s">
        <v>856</v>
      </c>
      <c r="K626" s="124" t="s">
        <v>1530</v>
      </c>
      <c r="L626" s="124"/>
      <c r="M626" s="125">
        <v>4576000</v>
      </c>
      <c r="N626" s="148">
        <v>869440</v>
      </c>
      <c r="O626" s="148">
        <v>0</v>
      </c>
      <c r="P626" s="149">
        <v>2.5000000000000001E-2</v>
      </c>
      <c r="Q626" s="148">
        <v>114400</v>
      </c>
      <c r="R626" s="150">
        <v>5331040</v>
      </c>
      <c r="S6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6" s="135">
        <f ca="1">+IF(PROVEEDORES[[#This Row],[FECHA DE PAGO]]=0,TODAY()-PROVEEDORES[[#This Row],[FECHA DE FACTURACIÓN]]-PROVEEDORES[[#This Row],[PLAZO Días]],0)</f>
        <v>0</v>
      </c>
      <c r="U626" s="135" t="str">
        <f>+VLOOKUP(PROVEEDORES[[#This Row],[PROVEEDOR]],Terceros!$A:$D,4,FALSE)</f>
        <v>2,5% con base</v>
      </c>
      <c r="V626" s="135">
        <f>+YEAR(PROVEEDORES[[#This Row],[FECHA DE FACTURACIÓN]])</f>
        <v>2023</v>
      </c>
      <c r="W626" s="135">
        <f>+MATCH(PROVEEDORES[[#This Row],[año facturado]],Retenciones!$1:$1,0)</f>
        <v>6</v>
      </c>
      <c r="X626" s="136">
        <f>+VLOOKUP(PROVEEDORES[[#This Row],[ID RETENCION]],Retenciones!$A$1:$O$25,PROVEEDORES[[#This Row],[indicador de columna]],FALSE)</f>
        <v>1145000</v>
      </c>
      <c r="Y626" s="137">
        <f>+VLOOKUP(PROVEEDORES[[#This Row],[ID RETENCION]],Retenciones!$A$1:$O$25,2,FALSE)</f>
        <v>2.5000000000000001E-2</v>
      </c>
      <c r="Z626" s="126" t="b">
        <f>+OR(COUNTIF(PROVEEDORES[[#This Row],[PROVEEDOR]],"*"&amp;'Palabra que no opera y Listas d'!$A$2&amp;"*"))</f>
        <v>0</v>
      </c>
    </row>
    <row r="627" spans="1:26" ht="27.75" customHeight="1" x14ac:dyDescent="0.25">
      <c r="A627" s="141" t="str">
        <f>+IF(PROVEEDORES[[#This Row],[FECHA DE PAGO]]=PROVEEDORES[[#This Row],[FECHA DE FACTURACIÓN]],"DE CONTADO","CRÉDITO")</f>
        <v>CRÉDITO</v>
      </c>
      <c r="B627" s="138" t="str">
        <f>+IF((PROVEEDORES[[#This Row],[FECHA DE PAGO]]-PROVEEDORES[[#This Row],[FECHA DE FACTURACIÓN]])&gt;PROVEEDORES[[#This Row],[PLAZO Días]],"PAGO VENCIDO")</f>
        <v>PAGO VENCIDO</v>
      </c>
      <c r="C627" s="138">
        <f>+VLOOKUP(PROVEEDORES[[#This Row],[PROVEEDOR]],TERCEROS_INFO[#All],2,FALSE)</f>
        <v>60</v>
      </c>
      <c r="D627" s="139">
        <f>+SUMIFS(PROVEEDORES[Total],PROVEEDORES[PROVEEDOR],PROVEEDORES[[#This Row],[PROVEEDOR]],PROVEEDORES[FECHA DE PAGO],"")</f>
        <v>50353355.590000004</v>
      </c>
      <c r="E627" s="140"/>
      <c r="F627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627" s="127">
        <v>45175</v>
      </c>
      <c r="H627" s="123" t="s">
        <v>9</v>
      </c>
      <c r="I627" s="127">
        <v>45090</v>
      </c>
      <c r="J627" s="124" t="s">
        <v>848</v>
      </c>
      <c r="K627" s="124" t="s">
        <v>1530</v>
      </c>
      <c r="L627" s="124"/>
      <c r="M627" s="125">
        <v>3578973</v>
      </c>
      <c r="N627" s="148">
        <v>680004.87</v>
      </c>
      <c r="O627" s="148">
        <v>0</v>
      </c>
      <c r="P627" s="149">
        <v>2.5000000000000001E-2</v>
      </c>
      <c r="Q627" s="148">
        <v>89474.325000000012</v>
      </c>
      <c r="R627" s="150">
        <v>4169503.5449999999</v>
      </c>
      <c r="S6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7" s="135">
        <f ca="1">+IF(PROVEEDORES[[#This Row],[FECHA DE PAGO]]=0,TODAY()-PROVEEDORES[[#This Row],[FECHA DE FACTURACIÓN]]-PROVEEDORES[[#This Row],[PLAZO Días]],0)</f>
        <v>0</v>
      </c>
      <c r="U627" s="135" t="str">
        <f>+VLOOKUP(PROVEEDORES[[#This Row],[PROVEEDOR]],Terceros!$A:$D,4,FALSE)</f>
        <v>2,5% con base</v>
      </c>
      <c r="V627" s="135">
        <f>+YEAR(PROVEEDORES[[#This Row],[FECHA DE FACTURACIÓN]])</f>
        <v>2023</v>
      </c>
      <c r="W627" s="135">
        <f>+MATCH(PROVEEDORES[[#This Row],[año facturado]],Retenciones!$1:$1,0)</f>
        <v>6</v>
      </c>
      <c r="X627" s="136">
        <f>+VLOOKUP(PROVEEDORES[[#This Row],[ID RETENCION]],Retenciones!$A$1:$O$25,PROVEEDORES[[#This Row],[indicador de columna]],FALSE)</f>
        <v>1145000</v>
      </c>
      <c r="Y627" s="137">
        <f>+VLOOKUP(PROVEEDORES[[#This Row],[ID RETENCION]],Retenciones!$A$1:$O$25,2,FALSE)</f>
        <v>2.5000000000000001E-2</v>
      </c>
      <c r="Z627" s="126" t="b">
        <f>+OR(COUNTIF(PROVEEDORES[[#This Row],[PROVEEDOR]],"*"&amp;'Palabra que no opera y Listas d'!$A$2&amp;"*"))</f>
        <v>0</v>
      </c>
    </row>
    <row r="628" spans="1:26" ht="27.75" customHeight="1" x14ac:dyDescent="0.25">
      <c r="A628" s="141" t="str">
        <f>+IF(PROVEEDORES[[#This Row],[FECHA DE PAGO]]=PROVEEDORES[[#This Row],[FECHA DE FACTURACIÓN]],"DE CONTADO","CRÉDITO")</f>
        <v>CRÉDITO</v>
      </c>
      <c r="B628" s="138" t="str">
        <f>+IF((PROVEEDORES[[#This Row],[FECHA DE PAGO]]-PROVEEDORES[[#This Row],[FECHA DE FACTURACIÓN]])&gt;PROVEEDORES[[#This Row],[PLAZO Días]],"PAGO VENCIDO")</f>
        <v>PAGO VENCIDO</v>
      </c>
      <c r="C628" s="138">
        <f>+VLOOKUP(PROVEEDORES[[#This Row],[PROVEEDOR]],TERCEROS_INFO[#All],2,FALSE)</f>
        <v>60</v>
      </c>
      <c r="D628" s="139">
        <f>+SUMIFS(PROVEEDORES[Total],PROVEEDORES[PROVEEDOR],PROVEEDORES[[#This Row],[PROVEEDOR]],PROVEEDORES[FECHA DE PAGO],"")</f>
        <v>0</v>
      </c>
      <c r="E628" s="140"/>
      <c r="F628" s="138">
        <f>+VLOOKUP(PROVEEDORES[[#This Row],[PROVEEDOR]],
                       Terceros!$A:$F,
                       5,
                       FALSE)</f>
        <v>0</v>
      </c>
      <c r="G628" s="127">
        <v>45175</v>
      </c>
      <c r="H628" s="123" t="s">
        <v>445</v>
      </c>
      <c r="I628" s="127">
        <v>45097</v>
      </c>
      <c r="J628" s="124" t="s">
        <v>873</v>
      </c>
      <c r="K628" s="124" t="s">
        <v>1530</v>
      </c>
      <c r="L628" s="124"/>
      <c r="M628" s="125">
        <v>2755600</v>
      </c>
      <c r="N628" s="148">
        <v>523564</v>
      </c>
      <c r="O628" s="148">
        <v>0</v>
      </c>
      <c r="P628" s="149">
        <v>0</v>
      </c>
      <c r="Q628" s="148">
        <v>0</v>
      </c>
      <c r="R628" s="150">
        <v>3279164</v>
      </c>
      <c r="S6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8" s="135">
        <f ca="1">+IF(PROVEEDORES[[#This Row],[FECHA DE PAGO]]=0,TODAY()-PROVEEDORES[[#This Row],[FECHA DE FACTURACIÓN]]-PROVEEDORES[[#This Row],[PLAZO Días]],0)</f>
        <v>0</v>
      </c>
      <c r="U628" s="135">
        <f>+VLOOKUP(PROVEEDORES[[#This Row],[PROVEEDOR]],Terceros!$A:$D,4,FALSE)</f>
        <v>0</v>
      </c>
      <c r="V628" s="135">
        <f>+YEAR(PROVEEDORES[[#This Row],[FECHA DE FACTURACIÓN]])</f>
        <v>2023</v>
      </c>
      <c r="W628" s="135">
        <f>+MATCH(PROVEEDORES[[#This Row],[año facturado]],Retenciones!$1:$1,0)</f>
        <v>6</v>
      </c>
      <c r="X628" s="136">
        <f>+VLOOKUP(PROVEEDORES[[#This Row],[ID RETENCION]],Retenciones!$A$1:$O$25,PROVEEDORES[[#This Row],[indicador de columna]],FALSE)</f>
        <v>0</v>
      </c>
      <c r="Y628" s="137">
        <f>+VLOOKUP(PROVEEDORES[[#This Row],[ID RETENCION]],Retenciones!$A$1:$O$25,2,FALSE)</f>
        <v>0</v>
      </c>
      <c r="Z628" s="126" t="b">
        <f>+OR(COUNTIF(PROVEEDORES[[#This Row],[PROVEEDOR]],"*"&amp;'Palabra que no opera y Listas d'!$A$2&amp;"*"))</f>
        <v>1</v>
      </c>
    </row>
    <row r="629" spans="1:26" ht="27.75" customHeight="1" x14ac:dyDescent="0.25">
      <c r="A629" s="141" t="str">
        <f>+IF(PROVEEDORES[[#This Row],[FECHA DE PAGO]]=PROVEEDORES[[#This Row],[FECHA DE FACTURACIÓN]],"DE CONTADO","CRÉDITO")</f>
        <v>CRÉDITO</v>
      </c>
      <c r="B629" s="138" t="str">
        <f>+IF((PROVEEDORES[[#This Row],[FECHA DE PAGO]]-PROVEEDORES[[#This Row],[FECHA DE FACTURACIÓN]])&gt;PROVEEDORES[[#This Row],[PLAZO Días]],"PAGO VENCIDO")</f>
        <v>PAGO VENCIDO</v>
      </c>
      <c r="C629" s="138">
        <f>+VLOOKUP(PROVEEDORES[[#This Row],[PROVEEDOR]],TERCEROS_INFO[#All],2,FALSE)</f>
        <v>45</v>
      </c>
      <c r="D629" s="139">
        <f>+SUMIFS(PROVEEDORES[Total],PROVEEDORES[PROVEEDOR],PROVEEDORES[[#This Row],[PROVEEDOR]],PROVEEDORES[FECHA DE PAGO],"")</f>
        <v>2446500</v>
      </c>
      <c r="E629" s="140"/>
      <c r="F629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29" s="127">
        <v>45175</v>
      </c>
      <c r="H629" s="123" t="s">
        <v>10</v>
      </c>
      <c r="I629" s="127">
        <v>45100</v>
      </c>
      <c r="J629" s="124" t="s">
        <v>883</v>
      </c>
      <c r="K629" s="124" t="s">
        <v>1530</v>
      </c>
      <c r="L629" s="124"/>
      <c r="M629" s="125">
        <v>560000</v>
      </c>
      <c r="N629" s="148">
        <v>106400</v>
      </c>
      <c r="O629" s="148">
        <v>0</v>
      </c>
      <c r="P629" s="149">
        <v>0</v>
      </c>
      <c r="Q629" s="148">
        <v>0</v>
      </c>
      <c r="R629" s="150">
        <v>666400</v>
      </c>
      <c r="S6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29" s="135">
        <f ca="1">+IF(PROVEEDORES[[#This Row],[FECHA DE PAGO]]=0,TODAY()-PROVEEDORES[[#This Row],[FECHA DE FACTURACIÓN]]-PROVEEDORES[[#This Row],[PLAZO Días]],0)</f>
        <v>0</v>
      </c>
      <c r="U629" s="135" t="str">
        <f>+VLOOKUP(PROVEEDORES[[#This Row],[PROVEEDOR]],Terceros!$A:$D,4,FALSE)</f>
        <v>2,5% con base</v>
      </c>
      <c r="V629" s="135">
        <f>+YEAR(PROVEEDORES[[#This Row],[FECHA DE FACTURACIÓN]])</f>
        <v>2023</v>
      </c>
      <c r="W629" s="135">
        <f>+MATCH(PROVEEDORES[[#This Row],[año facturado]],Retenciones!$1:$1,0)</f>
        <v>6</v>
      </c>
      <c r="X629" s="136">
        <f>+VLOOKUP(PROVEEDORES[[#This Row],[ID RETENCION]],Retenciones!$A$1:$O$25,PROVEEDORES[[#This Row],[indicador de columna]],FALSE)</f>
        <v>1145000</v>
      </c>
      <c r="Y629" s="137">
        <f>+VLOOKUP(PROVEEDORES[[#This Row],[ID RETENCION]],Retenciones!$A$1:$O$25,2,FALSE)</f>
        <v>2.5000000000000001E-2</v>
      </c>
      <c r="Z629" s="126" t="b">
        <f>+OR(COUNTIF(PROVEEDORES[[#This Row],[PROVEEDOR]],"*"&amp;'Palabra que no opera y Listas d'!$A$2&amp;"*"))</f>
        <v>0</v>
      </c>
    </row>
    <row r="630" spans="1:26" ht="27.75" customHeight="1" x14ac:dyDescent="0.25">
      <c r="A630" s="141" t="str">
        <f>+IF(PROVEEDORES[[#This Row],[FECHA DE PAGO]]=PROVEEDORES[[#This Row],[FECHA DE FACTURACIÓN]],"DE CONTADO","CRÉDITO")</f>
        <v>CRÉDITO</v>
      </c>
      <c r="B630" s="138" t="b">
        <f>+IF((PROVEEDORES[[#This Row],[FECHA DE PAGO]]-PROVEEDORES[[#This Row],[FECHA DE FACTURACIÓN]])&gt;PROVEEDORES[[#This Row],[PLAZO Días]],"PAGO VENCIDO")</f>
        <v>0</v>
      </c>
      <c r="C630" s="138">
        <f>+VLOOKUP(PROVEEDORES[[#This Row],[PROVEEDOR]],TERCEROS_INFO[#All],2,FALSE)</f>
        <v>30</v>
      </c>
      <c r="D630" s="139">
        <f>+SUMIFS(PROVEEDORES[Total],PROVEEDORES[PROVEEDOR],PROVEEDORES[[#This Row],[PROVEEDOR]],PROVEEDORES[FECHA DE PAGO],"")</f>
        <v>0</v>
      </c>
      <c r="E630" s="140"/>
      <c r="F630" s="138" t="str">
        <f>+VLOOKUP(PROVEEDORES[[#This Row],[PROVEEDOR]],
                       Terceros!$A:$F,
                       5,
                       FALSE)</f>
        <v>BRIGHTSIDELED2019@gmail.com;girlesa.ruiz@servipilas.com;joriescobar64@gmail.com</v>
      </c>
      <c r="G630" s="127">
        <v>45175</v>
      </c>
      <c r="H630" s="123" t="s">
        <v>58</v>
      </c>
      <c r="I630" s="127">
        <v>45148</v>
      </c>
      <c r="J630" s="124" t="s">
        <v>974</v>
      </c>
      <c r="K630" s="124" t="s">
        <v>1530</v>
      </c>
      <c r="L630" s="124"/>
      <c r="M630" s="125">
        <v>831933</v>
      </c>
      <c r="N630" s="148">
        <v>158067.26999999999</v>
      </c>
      <c r="O630" s="148">
        <v>0</v>
      </c>
      <c r="P630" s="149">
        <v>0</v>
      </c>
      <c r="Q630" s="148">
        <v>0</v>
      </c>
      <c r="R630" s="150">
        <v>990000.27</v>
      </c>
      <c r="S6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0" s="135">
        <f ca="1">+IF(PROVEEDORES[[#This Row],[FECHA DE PAGO]]=0,TODAY()-PROVEEDORES[[#This Row],[FECHA DE FACTURACIÓN]]-PROVEEDORES[[#This Row],[PLAZO Días]],0)</f>
        <v>0</v>
      </c>
      <c r="U630" s="135" t="str">
        <f>+VLOOKUP(PROVEEDORES[[#This Row],[PROVEEDOR]],Terceros!$A:$D,4,FALSE)</f>
        <v>2,5% con base</v>
      </c>
      <c r="V630" s="135">
        <f>+YEAR(PROVEEDORES[[#This Row],[FECHA DE FACTURACIÓN]])</f>
        <v>2023</v>
      </c>
      <c r="W630" s="135">
        <f>+MATCH(PROVEEDORES[[#This Row],[año facturado]],Retenciones!$1:$1,0)</f>
        <v>6</v>
      </c>
      <c r="X630" s="136">
        <f>+VLOOKUP(PROVEEDORES[[#This Row],[ID RETENCION]],Retenciones!$A$1:$O$25,PROVEEDORES[[#This Row],[indicador de columna]],FALSE)</f>
        <v>1145000</v>
      </c>
      <c r="Y630" s="137">
        <f>+VLOOKUP(PROVEEDORES[[#This Row],[ID RETENCION]],Retenciones!$A$1:$O$25,2,FALSE)</f>
        <v>2.5000000000000001E-2</v>
      </c>
      <c r="Z630" s="126" t="b">
        <f>+OR(COUNTIF(PROVEEDORES[[#This Row],[PROVEEDOR]],"*"&amp;'Palabra que no opera y Listas d'!$A$2&amp;"*"))</f>
        <v>0</v>
      </c>
    </row>
    <row r="631" spans="1:26" ht="27.75" customHeight="1" x14ac:dyDescent="0.25">
      <c r="A631" s="141" t="str">
        <f>+IF(PROVEEDORES[[#This Row],[FECHA DE PAGO]]=PROVEEDORES[[#This Row],[FECHA DE FACTURACIÓN]],"DE CONTADO","CRÉDITO")</f>
        <v>CRÉDITO</v>
      </c>
      <c r="B631" s="138" t="b">
        <f>+IF((PROVEEDORES[[#This Row],[FECHA DE PAGO]]-PROVEEDORES[[#This Row],[FECHA DE FACTURACIÓN]])&gt;PROVEEDORES[[#This Row],[PLAZO Días]],"PAGO VENCIDO")</f>
        <v>0</v>
      </c>
      <c r="C631" s="138">
        <f>+VLOOKUP(PROVEEDORES[[#This Row],[PROVEEDOR]],TERCEROS_INFO[#All],2,FALSE)</f>
        <v>30</v>
      </c>
      <c r="D631" s="139">
        <f>+SUMIFS(PROVEEDORES[Total],PROVEEDORES[PROVEEDOR],PROVEEDORES[[#This Row],[PROVEEDOR]],PROVEEDORES[FECHA DE PAGO],"")</f>
        <v>0</v>
      </c>
      <c r="E631" s="140"/>
      <c r="F631" s="138">
        <f>+VLOOKUP(PROVEEDORES[[#This Row],[PROVEEDOR]],
                       Terceros!$A:$F,
                       5,
                       FALSE)</f>
        <v>0</v>
      </c>
      <c r="G631" s="127">
        <v>45175</v>
      </c>
      <c r="H631" s="123" t="s">
        <v>898</v>
      </c>
      <c r="I631" s="127">
        <v>45174</v>
      </c>
      <c r="J631" s="124" t="s">
        <v>1034</v>
      </c>
      <c r="K631" s="124" t="s">
        <v>1530</v>
      </c>
      <c r="L631" s="124"/>
      <c r="M631" s="125">
        <v>239700</v>
      </c>
      <c r="N631" s="148">
        <v>0</v>
      </c>
      <c r="O631" s="148">
        <v>0</v>
      </c>
      <c r="P631" s="149">
        <v>0</v>
      </c>
      <c r="Q631" s="148">
        <v>0</v>
      </c>
      <c r="R631" s="150">
        <v>239700</v>
      </c>
      <c r="S6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1" s="135">
        <f ca="1">+IF(PROVEEDORES[[#This Row],[FECHA DE PAGO]]=0,TODAY()-PROVEEDORES[[#This Row],[FECHA DE FACTURACIÓN]]-PROVEEDORES[[#This Row],[PLAZO Días]],0)</f>
        <v>0</v>
      </c>
      <c r="U631" s="135">
        <f>+VLOOKUP(PROVEEDORES[[#This Row],[PROVEEDOR]],Terceros!$A:$D,4,FALSE)</f>
        <v>0</v>
      </c>
      <c r="V631" s="135">
        <f>+YEAR(PROVEEDORES[[#This Row],[FECHA DE FACTURACIÓN]])</f>
        <v>2023</v>
      </c>
      <c r="W631" s="135">
        <f>+MATCH(PROVEEDORES[[#This Row],[año facturado]],Retenciones!$1:$1,0)</f>
        <v>6</v>
      </c>
      <c r="X631" s="136">
        <f>+VLOOKUP(PROVEEDORES[[#This Row],[ID RETENCION]],Retenciones!$A$1:$O$25,PROVEEDORES[[#This Row],[indicador de columna]],FALSE)</f>
        <v>0</v>
      </c>
      <c r="Y631" s="137">
        <f>+VLOOKUP(PROVEEDORES[[#This Row],[ID RETENCION]],Retenciones!$A$1:$O$25,2,FALSE)</f>
        <v>0</v>
      </c>
      <c r="Z631" s="126" t="b">
        <f>+OR(COUNTIF(PROVEEDORES[[#This Row],[PROVEEDOR]],"*"&amp;'Palabra que no opera y Listas d'!$A$2&amp;"*"))</f>
        <v>0</v>
      </c>
    </row>
    <row r="632" spans="1:26" ht="27.75" customHeight="1" x14ac:dyDescent="0.25">
      <c r="A632" s="141" t="str">
        <f>+IF(PROVEEDORES[[#This Row],[FECHA DE PAGO]]=PROVEEDORES[[#This Row],[FECHA DE FACTURACIÓN]],"DE CONTADO","CRÉDITO")</f>
        <v>DE CONTADO</v>
      </c>
      <c r="B632" s="138" t="b">
        <f>+IF((PROVEEDORES[[#This Row],[FECHA DE PAGO]]-PROVEEDORES[[#This Row],[FECHA DE FACTURACIÓN]])&gt;PROVEEDORES[[#This Row],[PLAZO Días]],"PAGO VENCIDO")</f>
        <v>0</v>
      </c>
      <c r="C632" s="138">
        <f>+VLOOKUP(PROVEEDORES[[#This Row],[PROVEEDOR]],TERCEROS_INFO[#All],2,FALSE)</f>
        <v>30</v>
      </c>
      <c r="D632" s="139">
        <f>+SUMIFS(PROVEEDORES[Total],PROVEEDORES[PROVEEDOR],PROVEEDORES[[#This Row],[PROVEEDOR]],PROVEEDORES[FECHA DE PAGO],"")</f>
        <v>0</v>
      </c>
      <c r="E632" s="140"/>
      <c r="F632" s="138" t="str">
        <f>+VLOOKUP(PROVEEDORES[[#This Row],[PROVEEDOR]],
                       Terceros!$A:$F,
                       5,
                       FALSE)</f>
        <v/>
      </c>
      <c r="G632" s="127">
        <v>45175</v>
      </c>
      <c r="H632" s="123" t="s">
        <v>1803</v>
      </c>
      <c r="I632" s="127">
        <v>45175</v>
      </c>
      <c r="J632" s="124" t="s">
        <v>1110</v>
      </c>
      <c r="K632" s="124" t="s">
        <v>1530</v>
      </c>
      <c r="L632" s="124"/>
      <c r="M632" s="125">
        <v>1676636</v>
      </c>
      <c r="N632" s="148">
        <v>0</v>
      </c>
      <c r="O632" s="148">
        <v>0</v>
      </c>
      <c r="P632" s="149">
        <v>0</v>
      </c>
      <c r="Q632" s="148">
        <v>0</v>
      </c>
      <c r="R632" s="150">
        <v>1676636</v>
      </c>
      <c r="S6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2" s="135">
        <f ca="1">+IF(PROVEEDORES[[#This Row],[FECHA DE PAGO]]=0,TODAY()-PROVEEDORES[[#This Row],[FECHA DE FACTURACIÓN]]-PROVEEDORES[[#This Row],[PLAZO Días]],0)</f>
        <v>0</v>
      </c>
      <c r="U632" s="135">
        <f>+VLOOKUP(PROVEEDORES[[#This Row],[PROVEEDOR]],Terceros!$A:$D,4,FALSE)</f>
        <v>0</v>
      </c>
      <c r="V632" s="135">
        <f>+YEAR(PROVEEDORES[[#This Row],[FECHA DE FACTURACIÓN]])</f>
        <v>2023</v>
      </c>
      <c r="W632" s="135">
        <f>+MATCH(PROVEEDORES[[#This Row],[año facturado]],Retenciones!$1:$1,0)</f>
        <v>6</v>
      </c>
      <c r="X632" s="136">
        <f>+VLOOKUP(PROVEEDORES[[#This Row],[ID RETENCION]],Retenciones!$A$1:$O$25,PROVEEDORES[[#This Row],[indicador de columna]],FALSE)</f>
        <v>0</v>
      </c>
      <c r="Y632" s="137">
        <f>+VLOOKUP(PROVEEDORES[[#This Row],[ID RETENCION]],Retenciones!$A$1:$O$25,2,FALSE)</f>
        <v>0</v>
      </c>
      <c r="Z632" s="126" t="b">
        <f>+OR(COUNTIF(PROVEEDORES[[#This Row],[PROVEEDOR]],"*"&amp;'Palabra que no opera y Listas d'!$A$2&amp;"*"))</f>
        <v>0</v>
      </c>
    </row>
    <row r="633" spans="1:26" ht="27.75" customHeight="1" x14ac:dyDescent="0.25">
      <c r="A633" s="141" t="str">
        <f>+IF(PROVEEDORES[[#This Row],[FECHA DE PAGO]]=PROVEEDORES[[#This Row],[FECHA DE FACTURACIÓN]],"DE CONTADO","CRÉDITO")</f>
        <v>DE CONTADO</v>
      </c>
      <c r="B633" s="138" t="b">
        <f>+IF((PROVEEDORES[[#This Row],[FECHA DE PAGO]]-PROVEEDORES[[#This Row],[FECHA DE FACTURACIÓN]])&gt;PROVEEDORES[[#This Row],[PLAZO Días]],"PAGO VENCIDO")</f>
        <v>0</v>
      </c>
      <c r="C633" s="138">
        <f>+VLOOKUP(PROVEEDORES[[#This Row],[PROVEEDOR]],TERCEROS_INFO[#All],2,FALSE)</f>
        <v>30</v>
      </c>
      <c r="D633" s="139">
        <f>+SUMIFS(PROVEEDORES[Total],PROVEEDORES[PROVEEDOR],PROVEEDORES[[#This Row],[PROVEEDOR]],PROVEEDORES[FECHA DE PAGO],"")</f>
        <v>1776037.21</v>
      </c>
      <c r="E633" s="140"/>
      <c r="F633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33" s="127">
        <v>45175</v>
      </c>
      <c r="H633" s="123" t="s">
        <v>17</v>
      </c>
      <c r="I633" s="127">
        <v>45175</v>
      </c>
      <c r="J633" s="124" t="s">
        <v>1022</v>
      </c>
      <c r="K633" s="124" t="s">
        <v>1530</v>
      </c>
      <c r="L633" s="124"/>
      <c r="M633" s="125">
        <v>34665</v>
      </c>
      <c r="N633" s="148">
        <v>6586.35</v>
      </c>
      <c r="O633" s="148">
        <v>0</v>
      </c>
      <c r="P633" s="149">
        <v>0</v>
      </c>
      <c r="Q633" s="148">
        <v>0</v>
      </c>
      <c r="R633" s="150">
        <v>41251.35</v>
      </c>
      <c r="S6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3" s="135">
        <f ca="1">+IF(PROVEEDORES[[#This Row],[FECHA DE PAGO]]=0,TODAY()-PROVEEDORES[[#This Row],[FECHA DE FACTURACIÓN]]-PROVEEDORES[[#This Row],[PLAZO Días]],0)</f>
        <v>0</v>
      </c>
      <c r="U633" s="135">
        <f>+VLOOKUP(PROVEEDORES[[#This Row],[PROVEEDOR]],Terceros!$A:$D,4,FALSE)</f>
        <v>0</v>
      </c>
      <c r="V633" s="135">
        <f>+YEAR(PROVEEDORES[[#This Row],[FECHA DE FACTURACIÓN]])</f>
        <v>2023</v>
      </c>
      <c r="W633" s="135">
        <f>+MATCH(PROVEEDORES[[#This Row],[año facturado]],Retenciones!$1:$1,0)</f>
        <v>6</v>
      </c>
      <c r="X633" s="136">
        <f>+VLOOKUP(PROVEEDORES[[#This Row],[ID RETENCION]],Retenciones!$A$1:$O$25,PROVEEDORES[[#This Row],[indicador de columna]],FALSE)</f>
        <v>0</v>
      </c>
      <c r="Y633" s="137">
        <f>+VLOOKUP(PROVEEDORES[[#This Row],[ID RETENCION]],Retenciones!$A$1:$O$25,2,FALSE)</f>
        <v>0</v>
      </c>
      <c r="Z633" s="126" t="b">
        <f>+OR(COUNTIF(PROVEEDORES[[#This Row],[PROVEEDOR]],"*"&amp;'Palabra que no opera y Listas d'!$A$2&amp;"*"))</f>
        <v>0</v>
      </c>
    </row>
    <row r="634" spans="1:26" ht="27.75" customHeight="1" x14ac:dyDescent="0.25">
      <c r="A634" s="141" t="str">
        <f>+IF(PROVEEDORES[[#This Row],[FECHA DE PAGO]]=PROVEEDORES[[#This Row],[FECHA DE FACTURACIÓN]],"DE CONTADO","CRÉDITO")</f>
        <v>CRÉDITO</v>
      </c>
      <c r="B634" s="138" t="b">
        <f>+IF((PROVEEDORES[[#This Row],[FECHA DE PAGO]]-PROVEEDORES[[#This Row],[FECHA DE FACTURACIÓN]])&gt;PROVEEDORES[[#This Row],[PLAZO Días]],"PAGO VENCIDO")</f>
        <v>0</v>
      </c>
      <c r="C634" s="138">
        <f>+VLOOKUP(PROVEEDORES[[#This Row],[PROVEEDOR]],TERCEROS_INFO[#All],2,FALSE)</f>
        <v>30</v>
      </c>
      <c r="D634" s="139">
        <f>+SUMIFS(PROVEEDORES[Total],PROVEEDORES[PROVEEDOR],PROVEEDORES[[#This Row],[PROVEEDOR]],PROVEEDORES[FECHA DE PAGO],"")</f>
        <v>0</v>
      </c>
      <c r="E634" s="140"/>
      <c r="F634" s="138">
        <f>+VLOOKUP(PROVEEDORES[[#This Row],[PROVEEDOR]],
                       Terceros!$A:$F,
                       5,
                       FALSE)</f>
        <v>0</v>
      </c>
      <c r="G634" s="127">
        <v>45177</v>
      </c>
      <c r="H634" s="123" t="s">
        <v>1805</v>
      </c>
      <c r="I634" s="127">
        <v>45152</v>
      </c>
      <c r="J634" s="124">
        <v>394</v>
      </c>
      <c r="K634" s="124" t="s">
        <v>1530</v>
      </c>
      <c r="L634" s="124"/>
      <c r="M634" s="125">
        <v>1176000</v>
      </c>
      <c r="N634" s="148">
        <v>0</v>
      </c>
      <c r="O634" s="148">
        <v>0</v>
      </c>
      <c r="P634" s="149">
        <v>0</v>
      </c>
      <c r="Q634" s="148">
        <v>0</v>
      </c>
      <c r="R634" s="150">
        <v>1176000</v>
      </c>
      <c r="S6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4" s="135">
        <f ca="1">+IF(PROVEEDORES[[#This Row],[FECHA DE PAGO]]=0,TODAY()-PROVEEDORES[[#This Row],[FECHA DE FACTURACIÓN]]-PROVEEDORES[[#This Row],[PLAZO Días]],0)</f>
        <v>0</v>
      </c>
      <c r="U634" s="135">
        <f>+VLOOKUP(PROVEEDORES[[#This Row],[PROVEEDOR]],Terceros!$A:$D,4,FALSE)</f>
        <v>0</v>
      </c>
      <c r="V634" s="135">
        <f>+YEAR(PROVEEDORES[[#This Row],[FECHA DE FACTURACIÓN]])</f>
        <v>2023</v>
      </c>
      <c r="W634" s="135">
        <f>+MATCH(PROVEEDORES[[#This Row],[año facturado]],Retenciones!$1:$1,0)</f>
        <v>6</v>
      </c>
      <c r="X634" s="136">
        <f>+VLOOKUP(PROVEEDORES[[#This Row],[ID RETENCION]],Retenciones!$A$1:$O$25,PROVEEDORES[[#This Row],[indicador de columna]],FALSE)</f>
        <v>0</v>
      </c>
      <c r="Y634" s="137">
        <f>+VLOOKUP(PROVEEDORES[[#This Row],[ID RETENCION]],Retenciones!$A$1:$O$25,2,FALSE)</f>
        <v>0</v>
      </c>
      <c r="Z634" s="126" t="b">
        <f>+OR(COUNTIF(PROVEEDORES[[#This Row],[PROVEEDOR]],"*"&amp;'Palabra que no opera y Listas d'!$A$2&amp;"*"))</f>
        <v>0</v>
      </c>
    </row>
    <row r="635" spans="1:26" ht="27.75" customHeight="1" x14ac:dyDescent="0.25">
      <c r="A635" s="141" t="str">
        <f>+IF(PROVEEDORES[[#This Row],[FECHA DE PAGO]]=PROVEEDORES[[#This Row],[FECHA DE FACTURACIÓN]],"DE CONTADO","CRÉDITO")</f>
        <v>DE CONTADO</v>
      </c>
      <c r="B635" s="138" t="b">
        <f>+IF((PROVEEDORES[[#This Row],[FECHA DE PAGO]]-PROVEEDORES[[#This Row],[FECHA DE FACTURACIÓN]])&gt;PROVEEDORES[[#This Row],[PLAZO Días]],"PAGO VENCIDO")</f>
        <v>0</v>
      </c>
      <c r="C635" s="138">
        <f>+VLOOKUP(PROVEEDORES[[#This Row],[PROVEEDOR]],TERCEROS_INFO[#All],2,FALSE)</f>
        <v>0</v>
      </c>
      <c r="D635" s="139">
        <f>+SUMIFS(PROVEEDORES[Total],PROVEEDORES[PROVEEDOR],PROVEEDORES[[#This Row],[PROVEEDOR]],PROVEEDORES[FECHA DE PAGO],"")</f>
        <v>0</v>
      </c>
      <c r="E635" s="140"/>
      <c r="F635" s="138">
        <f>+VLOOKUP(PROVEEDORES[[#This Row],[PROVEEDOR]],
                       Terceros!$A:$F,
                       5,
                       FALSE)</f>
        <v>0</v>
      </c>
      <c r="G635" s="127">
        <v>45178</v>
      </c>
      <c r="H635" s="123" t="s">
        <v>980</v>
      </c>
      <c r="I635" s="127">
        <v>45178</v>
      </c>
      <c r="J635" s="124" t="s">
        <v>981</v>
      </c>
      <c r="K635" s="124" t="s">
        <v>1530</v>
      </c>
      <c r="L635" s="124"/>
      <c r="M635" s="125">
        <v>499612</v>
      </c>
      <c r="N635" s="148">
        <v>94926.28</v>
      </c>
      <c r="O635" s="148">
        <v>0</v>
      </c>
      <c r="P635" s="149">
        <v>0.11</v>
      </c>
      <c r="Q635" s="148">
        <v>54957.32</v>
      </c>
      <c r="R635" s="150">
        <v>539580.96000000008</v>
      </c>
      <c r="S6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5" s="135">
        <f ca="1">+IF(PROVEEDORES[[#This Row],[FECHA DE PAGO]]=0,TODAY()-PROVEEDORES[[#This Row],[FECHA DE FACTURACIÓN]]-PROVEEDORES[[#This Row],[PLAZO Días]],0)</f>
        <v>0</v>
      </c>
      <c r="U635" s="135" t="str">
        <f>+VLOOKUP(PROVEEDORES[[#This Row],[PROVEEDOR]],Terceros!$A:$D,4,FALSE)</f>
        <v>11% sin base</v>
      </c>
      <c r="V635" s="135">
        <f>+YEAR(PROVEEDORES[[#This Row],[FECHA DE FACTURACIÓN]])</f>
        <v>2023</v>
      </c>
      <c r="W635" s="135">
        <f>+MATCH(PROVEEDORES[[#This Row],[año facturado]],Retenciones!$1:$1,0)</f>
        <v>6</v>
      </c>
      <c r="X635" s="136">
        <f>+VLOOKUP(PROVEEDORES[[#This Row],[ID RETENCION]],Retenciones!$A$1:$O$25,PROVEEDORES[[#This Row],[indicador de columna]],FALSE)</f>
        <v>0</v>
      </c>
      <c r="Y635" s="137">
        <f>+VLOOKUP(PROVEEDORES[[#This Row],[ID RETENCION]],Retenciones!$A$1:$O$25,2,FALSE)</f>
        <v>0.11</v>
      </c>
      <c r="Z635" s="126" t="b">
        <f>+OR(COUNTIF(PROVEEDORES[[#This Row],[PROVEEDOR]],"*"&amp;'Palabra que no opera y Listas d'!$A$2&amp;"*"))</f>
        <v>0</v>
      </c>
    </row>
    <row r="636" spans="1:26" ht="27.75" customHeight="1" x14ac:dyDescent="0.25">
      <c r="A636" s="141" t="str">
        <f>+IF(PROVEEDORES[[#This Row],[FECHA DE PAGO]]=PROVEEDORES[[#This Row],[FECHA DE FACTURACIÓN]],"DE CONTADO","CRÉDITO")</f>
        <v>DE CONTADO</v>
      </c>
      <c r="B636" s="138" t="b">
        <f>+IF((PROVEEDORES[[#This Row],[FECHA DE PAGO]]-PROVEEDORES[[#This Row],[FECHA DE FACTURACIÓN]])&gt;PROVEEDORES[[#This Row],[PLAZO Días]],"PAGO VENCIDO")</f>
        <v>0</v>
      </c>
      <c r="C636" s="138">
        <f>+VLOOKUP(PROVEEDORES[[#This Row],[PROVEEDOR]],TERCEROS_INFO[#All],2,FALSE)</f>
        <v>30</v>
      </c>
      <c r="D636" s="139">
        <f>+SUMIFS(PROVEEDORES[Total],PROVEEDORES[PROVEEDOR],PROVEEDORES[[#This Row],[PROVEEDOR]],PROVEEDORES[FECHA DE PAGO],"")</f>
        <v>0</v>
      </c>
      <c r="E636" s="140"/>
      <c r="F636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636" s="127">
        <v>45181</v>
      </c>
      <c r="H636" s="123" t="s">
        <v>1865</v>
      </c>
      <c r="I636" s="127">
        <v>45181</v>
      </c>
      <c r="J636" s="124" t="s">
        <v>1077</v>
      </c>
      <c r="K636" s="124" t="s">
        <v>1530</v>
      </c>
      <c r="L636" s="124"/>
      <c r="M636" s="125">
        <v>1660000</v>
      </c>
      <c r="N636" s="148">
        <v>0</v>
      </c>
      <c r="O636" s="148">
        <v>0</v>
      </c>
      <c r="P636" s="149">
        <v>0</v>
      </c>
      <c r="Q636" s="148">
        <v>0</v>
      </c>
      <c r="R636" s="150">
        <v>1660000</v>
      </c>
      <c r="S6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6" s="135">
        <f ca="1">+IF(PROVEEDORES[[#This Row],[FECHA DE PAGO]]=0,TODAY()-PROVEEDORES[[#This Row],[FECHA DE FACTURACIÓN]]-PROVEEDORES[[#This Row],[PLAZO Días]],0)</f>
        <v>0</v>
      </c>
      <c r="U636" s="135">
        <f>+VLOOKUP(PROVEEDORES[[#This Row],[PROVEEDOR]],Terceros!$A:$D,4,FALSE)</f>
        <v>0</v>
      </c>
      <c r="V636" s="135">
        <f>+YEAR(PROVEEDORES[[#This Row],[FECHA DE FACTURACIÓN]])</f>
        <v>2023</v>
      </c>
      <c r="W636" s="135">
        <f>+MATCH(PROVEEDORES[[#This Row],[año facturado]],Retenciones!$1:$1,0)</f>
        <v>6</v>
      </c>
      <c r="X636" s="136">
        <f>+VLOOKUP(PROVEEDORES[[#This Row],[ID RETENCION]],Retenciones!$A$1:$O$25,PROVEEDORES[[#This Row],[indicador de columna]],FALSE)</f>
        <v>0</v>
      </c>
      <c r="Y636" s="137">
        <f>+VLOOKUP(PROVEEDORES[[#This Row],[ID RETENCION]],Retenciones!$A$1:$O$25,2,FALSE)</f>
        <v>0</v>
      </c>
      <c r="Z636" s="126" t="b">
        <f>+OR(COUNTIF(PROVEEDORES[[#This Row],[PROVEEDOR]],"*"&amp;'Palabra que no opera y Listas d'!$A$2&amp;"*"))</f>
        <v>0</v>
      </c>
    </row>
    <row r="637" spans="1:26" ht="27.75" customHeight="1" x14ac:dyDescent="0.25">
      <c r="A637" s="141" t="str">
        <f>+IF(PROVEEDORES[[#This Row],[FECHA DE PAGO]]=PROVEEDORES[[#This Row],[FECHA DE FACTURACIÓN]],"DE CONTADO","CRÉDITO")</f>
        <v>CRÉDITO</v>
      </c>
      <c r="B637" s="138" t="str">
        <f>+IF((PROVEEDORES[[#This Row],[FECHA DE PAGO]]-PROVEEDORES[[#This Row],[FECHA DE FACTURACIÓN]])&gt;PROVEEDORES[[#This Row],[PLAZO Días]],"PAGO VENCIDO")</f>
        <v>PAGO VENCIDO</v>
      </c>
      <c r="C637" s="138">
        <f>+VLOOKUP(PROVEEDORES[[#This Row],[PROVEEDOR]],TERCEROS_INFO[#All],2,FALSE)</f>
        <v>45</v>
      </c>
      <c r="D637" s="139">
        <f>+SUMIFS(PROVEEDORES[Total],PROVEEDORES[PROVEEDOR],PROVEEDORES[[#This Row],[PROVEEDOR]],PROVEEDORES[FECHA DE PAGO],"")</f>
        <v>2446500</v>
      </c>
      <c r="E637" s="140"/>
      <c r="F637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37" s="127">
        <v>45182</v>
      </c>
      <c r="H637" s="123" t="s">
        <v>10</v>
      </c>
      <c r="I637" s="127">
        <v>45107</v>
      </c>
      <c r="J637" s="124" t="s">
        <v>923</v>
      </c>
      <c r="K637" s="124" t="s">
        <v>1530</v>
      </c>
      <c r="L637" s="124"/>
      <c r="M637" s="125">
        <v>3240000</v>
      </c>
      <c r="N637" s="148">
        <v>615600</v>
      </c>
      <c r="O637" s="148">
        <v>0</v>
      </c>
      <c r="P637" s="149">
        <v>2.5000000000000001E-2</v>
      </c>
      <c r="Q637" s="148">
        <v>81000</v>
      </c>
      <c r="R637" s="150">
        <v>3774600</v>
      </c>
      <c r="S6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7" s="135">
        <f ca="1">+IF(PROVEEDORES[[#This Row],[FECHA DE PAGO]]=0,TODAY()-PROVEEDORES[[#This Row],[FECHA DE FACTURACIÓN]]-PROVEEDORES[[#This Row],[PLAZO Días]],0)</f>
        <v>0</v>
      </c>
      <c r="U637" s="135" t="str">
        <f>+VLOOKUP(PROVEEDORES[[#This Row],[PROVEEDOR]],Terceros!$A:$D,4,FALSE)</f>
        <v>2,5% con base</v>
      </c>
      <c r="V637" s="135">
        <f>+YEAR(PROVEEDORES[[#This Row],[FECHA DE FACTURACIÓN]])</f>
        <v>2023</v>
      </c>
      <c r="W637" s="135">
        <f>+MATCH(PROVEEDORES[[#This Row],[año facturado]],Retenciones!$1:$1,0)</f>
        <v>6</v>
      </c>
      <c r="X637" s="136">
        <f>+VLOOKUP(PROVEEDORES[[#This Row],[ID RETENCION]],Retenciones!$A$1:$O$25,PROVEEDORES[[#This Row],[indicador de columna]],FALSE)</f>
        <v>1145000</v>
      </c>
      <c r="Y637" s="137">
        <f>+VLOOKUP(PROVEEDORES[[#This Row],[ID RETENCION]],Retenciones!$A$1:$O$25,2,FALSE)</f>
        <v>2.5000000000000001E-2</v>
      </c>
      <c r="Z637" s="126" t="b">
        <f>+OR(COUNTIF(PROVEEDORES[[#This Row],[PROVEEDOR]],"*"&amp;'Palabra que no opera y Listas d'!$A$2&amp;"*"))</f>
        <v>0</v>
      </c>
    </row>
    <row r="638" spans="1:26" ht="27.75" customHeight="1" x14ac:dyDescent="0.25">
      <c r="A638" s="141" t="str">
        <f>+IF(PROVEEDORES[[#This Row],[FECHA DE PAGO]]=PROVEEDORES[[#This Row],[FECHA DE FACTURACIÓN]],"DE CONTADO","CRÉDITO")</f>
        <v>CRÉDITO</v>
      </c>
      <c r="B638" s="138" t="str">
        <f>+IF((PROVEEDORES[[#This Row],[FECHA DE PAGO]]-PROVEEDORES[[#This Row],[FECHA DE FACTURACIÓN]])&gt;PROVEEDORES[[#This Row],[PLAZO Días]],"PAGO VENCIDO")</f>
        <v>PAGO VENCIDO</v>
      </c>
      <c r="C638" s="138">
        <f>+VLOOKUP(PROVEEDORES[[#This Row],[PROVEEDOR]],TERCEROS_INFO[#All],2,FALSE)</f>
        <v>45</v>
      </c>
      <c r="D638" s="139">
        <f>+SUMIFS(PROVEEDORES[Total],PROVEEDORES[PROVEEDOR],PROVEEDORES[[#This Row],[PROVEEDOR]],PROVEEDORES[FECHA DE PAGO],"")</f>
        <v>2446500</v>
      </c>
      <c r="E638" s="140"/>
      <c r="F638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38" s="127">
        <v>45182</v>
      </c>
      <c r="H638" s="123" t="s">
        <v>10</v>
      </c>
      <c r="I638" s="127">
        <v>45118</v>
      </c>
      <c r="J638" s="124" t="s">
        <v>922</v>
      </c>
      <c r="K638" s="124" t="s">
        <v>1530</v>
      </c>
      <c r="L638" s="124"/>
      <c r="M638" s="125">
        <v>-3240000</v>
      </c>
      <c r="N638" s="148">
        <v>-615600</v>
      </c>
      <c r="O638" s="148">
        <v>0</v>
      </c>
      <c r="P638" s="149">
        <v>0</v>
      </c>
      <c r="Q638" s="148">
        <v>0</v>
      </c>
      <c r="R638" s="150">
        <v>-3855600</v>
      </c>
      <c r="S6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8" s="135">
        <f ca="1">+IF(PROVEEDORES[[#This Row],[FECHA DE PAGO]]=0,TODAY()-PROVEEDORES[[#This Row],[FECHA DE FACTURACIÓN]]-PROVEEDORES[[#This Row],[PLAZO Días]],0)</f>
        <v>0</v>
      </c>
      <c r="U638" s="135" t="str">
        <f>+VLOOKUP(PROVEEDORES[[#This Row],[PROVEEDOR]],Terceros!$A:$D,4,FALSE)</f>
        <v>2,5% con base</v>
      </c>
      <c r="V638" s="135">
        <f>+YEAR(PROVEEDORES[[#This Row],[FECHA DE FACTURACIÓN]])</f>
        <v>2023</v>
      </c>
      <c r="W638" s="135">
        <f>+MATCH(PROVEEDORES[[#This Row],[año facturado]],Retenciones!$1:$1,0)</f>
        <v>6</v>
      </c>
      <c r="X638" s="136">
        <f>+VLOOKUP(PROVEEDORES[[#This Row],[ID RETENCION]],Retenciones!$A$1:$O$25,PROVEEDORES[[#This Row],[indicador de columna]],FALSE)</f>
        <v>1145000</v>
      </c>
      <c r="Y638" s="137">
        <f>+VLOOKUP(PROVEEDORES[[#This Row],[ID RETENCION]],Retenciones!$A$1:$O$25,2,FALSE)</f>
        <v>2.5000000000000001E-2</v>
      </c>
      <c r="Z638" s="126" t="b">
        <f>+OR(COUNTIF(PROVEEDORES[[#This Row],[PROVEEDOR]],"*"&amp;'Palabra que no opera y Listas d'!$A$2&amp;"*"))</f>
        <v>0</v>
      </c>
    </row>
    <row r="639" spans="1:26" ht="27.75" customHeight="1" x14ac:dyDescent="0.25">
      <c r="A639" s="141" t="str">
        <f>+IF(PROVEEDORES[[#This Row],[FECHA DE PAGO]]=PROVEEDORES[[#This Row],[FECHA DE FACTURACIÓN]],"DE CONTADO","CRÉDITO")</f>
        <v>CRÉDITO</v>
      </c>
      <c r="B639" s="138" t="str">
        <f>+IF((PROVEEDORES[[#This Row],[FECHA DE PAGO]]-PROVEEDORES[[#This Row],[FECHA DE FACTURACIÓN]])&gt;PROVEEDORES[[#This Row],[PLAZO Días]],"PAGO VENCIDO")</f>
        <v>PAGO VENCIDO</v>
      </c>
      <c r="C639" s="138">
        <f>+VLOOKUP(PROVEEDORES[[#This Row],[PROVEEDOR]],TERCEROS_INFO[#All],2,FALSE)</f>
        <v>45</v>
      </c>
      <c r="D639" s="139">
        <f>+SUMIFS(PROVEEDORES[Total],PROVEEDORES[PROVEEDOR],PROVEEDORES[[#This Row],[PROVEEDOR]],PROVEEDORES[FECHA DE PAGO],"")</f>
        <v>2446500</v>
      </c>
      <c r="E639" s="140"/>
      <c r="F639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639" s="127">
        <v>45182</v>
      </c>
      <c r="H639" s="123" t="s">
        <v>10</v>
      </c>
      <c r="I639" s="127">
        <v>45118</v>
      </c>
      <c r="J639" s="124" t="s">
        <v>921</v>
      </c>
      <c r="K639" s="124" t="s">
        <v>1530</v>
      </c>
      <c r="L639" s="124"/>
      <c r="M639" s="125">
        <v>924000</v>
      </c>
      <c r="N639" s="148">
        <v>175560</v>
      </c>
      <c r="O639" s="148">
        <v>0</v>
      </c>
      <c r="P639" s="149">
        <v>0</v>
      </c>
      <c r="Q639" s="148">
        <v>0</v>
      </c>
      <c r="R639" s="150">
        <v>1099560</v>
      </c>
      <c r="S6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39" s="135">
        <f ca="1">+IF(PROVEEDORES[[#This Row],[FECHA DE PAGO]]=0,TODAY()-PROVEEDORES[[#This Row],[FECHA DE FACTURACIÓN]]-PROVEEDORES[[#This Row],[PLAZO Días]],0)</f>
        <v>0</v>
      </c>
      <c r="U639" s="135" t="str">
        <f>+VLOOKUP(PROVEEDORES[[#This Row],[PROVEEDOR]],Terceros!$A:$D,4,FALSE)</f>
        <v>2,5% con base</v>
      </c>
      <c r="V639" s="135">
        <f>+YEAR(PROVEEDORES[[#This Row],[FECHA DE FACTURACIÓN]])</f>
        <v>2023</v>
      </c>
      <c r="W639" s="135">
        <f>+MATCH(PROVEEDORES[[#This Row],[año facturado]],Retenciones!$1:$1,0)</f>
        <v>6</v>
      </c>
      <c r="X639" s="136">
        <f>+VLOOKUP(PROVEEDORES[[#This Row],[ID RETENCION]],Retenciones!$A$1:$O$25,PROVEEDORES[[#This Row],[indicador de columna]],FALSE)</f>
        <v>1145000</v>
      </c>
      <c r="Y639" s="137">
        <f>+VLOOKUP(PROVEEDORES[[#This Row],[ID RETENCION]],Retenciones!$A$1:$O$25,2,FALSE)</f>
        <v>2.5000000000000001E-2</v>
      </c>
      <c r="Z639" s="126" t="b">
        <f>+OR(COUNTIF(PROVEEDORES[[#This Row],[PROVEEDOR]],"*"&amp;'Palabra que no opera y Listas d'!$A$2&amp;"*"))</f>
        <v>0</v>
      </c>
    </row>
    <row r="640" spans="1:26" ht="27.75" customHeight="1" x14ac:dyDescent="0.25">
      <c r="A640" s="141" t="str">
        <f>+IF(PROVEEDORES[[#This Row],[FECHA DE PAGO]]=PROVEEDORES[[#This Row],[FECHA DE FACTURACIÓN]],"DE CONTADO","CRÉDITO")</f>
        <v>CRÉDITO</v>
      </c>
      <c r="B640" s="138" t="b">
        <f>+IF((PROVEEDORES[[#This Row],[FECHA DE PAGO]]-PROVEEDORES[[#This Row],[FECHA DE FACTURACIÓN]])&gt;PROVEEDORES[[#This Row],[PLAZO Días]],"PAGO VENCIDO")</f>
        <v>0</v>
      </c>
      <c r="C640" s="138">
        <f>+VLOOKUP(PROVEEDORES[[#This Row],[PROVEEDOR]],TERCEROS_INFO[#All],2,FALSE)</f>
        <v>30</v>
      </c>
      <c r="D640" s="139">
        <f>+SUMIFS(PROVEEDORES[Total],PROVEEDORES[PROVEEDOR],PROVEEDORES[[#This Row],[PROVEEDOR]],PROVEEDORES[FECHA DE PAGO],"")</f>
        <v>0</v>
      </c>
      <c r="E640" s="140"/>
      <c r="F640" s="138">
        <f>+VLOOKUP(PROVEEDORES[[#This Row],[PROVEEDOR]],
                       Terceros!$A:$F,
                       5,
                       FALSE)</f>
        <v>0</v>
      </c>
      <c r="G640" s="127">
        <v>45182</v>
      </c>
      <c r="H640" s="123" t="s">
        <v>1823</v>
      </c>
      <c r="I640" s="127">
        <v>45176</v>
      </c>
      <c r="J640" s="124" t="s">
        <v>1065</v>
      </c>
      <c r="K640" s="124" t="s">
        <v>1530</v>
      </c>
      <c r="L640" s="124"/>
      <c r="M640" s="125">
        <v>2299500</v>
      </c>
      <c r="N640" s="148">
        <v>0</v>
      </c>
      <c r="O640" s="148">
        <v>0</v>
      </c>
      <c r="P640" s="149">
        <v>0</v>
      </c>
      <c r="Q640" s="148">
        <v>0</v>
      </c>
      <c r="R640" s="150">
        <v>2299500</v>
      </c>
      <c r="S6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0" s="135">
        <f ca="1">+IF(PROVEEDORES[[#This Row],[FECHA DE PAGO]]=0,TODAY()-PROVEEDORES[[#This Row],[FECHA DE FACTURACIÓN]]-PROVEEDORES[[#This Row],[PLAZO Días]],0)</f>
        <v>0</v>
      </c>
      <c r="U640" s="135">
        <f>+VLOOKUP(PROVEEDORES[[#This Row],[PROVEEDOR]],Terceros!$A:$D,4,FALSE)</f>
        <v>0</v>
      </c>
      <c r="V640" s="135">
        <f>+YEAR(PROVEEDORES[[#This Row],[FECHA DE FACTURACIÓN]])</f>
        <v>2023</v>
      </c>
      <c r="W640" s="135">
        <f>+MATCH(PROVEEDORES[[#This Row],[año facturado]],Retenciones!$1:$1,0)</f>
        <v>6</v>
      </c>
      <c r="X640" s="136">
        <f>+VLOOKUP(PROVEEDORES[[#This Row],[ID RETENCION]],Retenciones!$A$1:$O$25,PROVEEDORES[[#This Row],[indicador de columna]],FALSE)</f>
        <v>0</v>
      </c>
      <c r="Y640" s="137">
        <f>+VLOOKUP(PROVEEDORES[[#This Row],[ID RETENCION]],Retenciones!$A$1:$O$25,2,FALSE)</f>
        <v>0</v>
      </c>
      <c r="Z640" s="126" t="b">
        <f>+OR(COUNTIF(PROVEEDORES[[#This Row],[PROVEEDOR]],"*"&amp;'Palabra que no opera y Listas d'!$A$2&amp;"*"))</f>
        <v>0</v>
      </c>
    </row>
    <row r="641" spans="1:26" ht="27.75" customHeight="1" x14ac:dyDescent="0.25">
      <c r="A641" s="141" t="str">
        <f>+IF(PROVEEDORES[[#This Row],[FECHA DE PAGO]]=PROVEEDORES[[#This Row],[FECHA DE FACTURACIÓN]],"DE CONTADO","CRÉDITO")</f>
        <v>DE CONTADO</v>
      </c>
      <c r="B641" s="138" t="b">
        <f>+IF((PROVEEDORES[[#This Row],[FECHA DE PAGO]]-PROVEEDORES[[#This Row],[FECHA DE FACTURACIÓN]])&gt;PROVEEDORES[[#This Row],[PLAZO Días]],"PAGO VENCIDO")</f>
        <v>0</v>
      </c>
      <c r="C641" s="138">
        <f>+VLOOKUP(PROVEEDORES[[#This Row],[PROVEEDOR]],TERCEROS_INFO[#All],2,FALSE)</f>
        <v>30</v>
      </c>
      <c r="D641" s="139">
        <f>+SUMIFS(PROVEEDORES[Total],PROVEEDORES[PROVEEDOR],PROVEEDORES[[#This Row],[PROVEEDOR]],PROVEEDORES[FECHA DE PAGO],"")</f>
        <v>0</v>
      </c>
      <c r="E641" s="140"/>
      <c r="F641" s="138">
        <f>+VLOOKUP(PROVEEDORES[[#This Row],[PROVEEDOR]],
                       Terceros!$A:$F,
                       5,
                       FALSE)</f>
        <v>0</v>
      </c>
      <c r="G641" s="127">
        <v>45182</v>
      </c>
      <c r="H641" s="123" t="s">
        <v>898</v>
      </c>
      <c r="I641" s="127">
        <v>45182</v>
      </c>
      <c r="J641" s="124" t="s">
        <v>1108</v>
      </c>
      <c r="K641" s="124" t="s">
        <v>1530</v>
      </c>
      <c r="L641" s="124"/>
      <c r="M641" s="125">
        <v>290750</v>
      </c>
      <c r="N641" s="148">
        <v>0</v>
      </c>
      <c r="O641" s="148">
        <v>0</v>
      </c>
      <c r="P641" s="149">
        <v>0</v>
      </c>
      <c r="Q641" s="148">
        <v>0</v>
      </c>
      <c r="R641" s="150">
        <v>290750</v>
      </c>
      <c r="S6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1" s="135">
        <f ca="1">+IF(PROVEEDORES[[#This Row],[FECHA DE PAGO]]=0,TODAY()-PROVEEDORES[[#This Row],[FECHA DE FACTURACIÓN]]-PROVEEDORES[[#This Row],[PLAZO Días]],0)</f>
        <v>0</v>
      </c>
      <c r="U641" s="135">
        <f>+VLOOKUP(PROVEEDORES[[#This Row],[PROVEEDOR]],Terceros!$A:$D,4,FALSE)</f>
        <v>0</v>
      </c>
      <c r="V641" s="135">
        <f>+YEAR(PROVEEDORES[[#This Row],[FECHA DE FACTURACIÓN]])</f>
        <v>2023</v>
      </c>
      <c r="W641" s="135">
        <f>+MATCH(PROVEEDORES[[#This Row],[año facturado]],Retenciones!$1:$1,0)</f>
        <v>6</v>
      </c>
      <c r="X641" s="136">
        <f>+VLOOKUP(PROVEEDORES[[#This Row],[ID RETENCION]],Retenciones!$A$1:$O$25,PROVEEDORES[[#This Row],[indicador de columna]],FALSE)</f>
        <v>0</v>
      </c>
      <c r="Y641" s="137">
        <f>+VLOOKUP(PROVEEDORES[[#This Row],[ID RETENCION]],Retenciones!$A$1:$O$25,2,FALSE)</f>
        <v>0</v>
      </c>
      <c r="Z641" s="126" t="b">
        <f>+OR(COUNTIF(PROVEEDORES[[#This Row],[PROVEEDOR]],"*"&amp;'Palabra que no opera y Listas d'!$A$2&amp;"*"))</f>
        <v>0</v>
      </c>
    </row>
    <row r="642" spans="1:26" ht="27.75" customHeight="1" x14ac:dyDescent="0.25">
      <c r="A642" s="141" t="str">
        <f>+IF(PROVEEDORES[[#This Row],[FECHA DE PAGO]]=PROVEEDORES[[#This Row],[FECHA DE FACTURACIÓN]],"DE CONTADO","CRÉDITO")</f>
        <v>DE CONTADO</v>
      </c>
      <c r="B642" s="138" t="b">
        <f>+IF((PROVEEDORES[[#This Row],[FECHA DE PAGO]]-PROVEEDORES[[#This Row],[FECHA DE FACTURACIÓN]])&gt;PROVEEDORES[[#This Row],[PLAZO Días]],"PAGO VENCIDO")</f>
        <v>0</v>
      </c>
      <c r="C642" s="138">
        <f>+VLOOKUP(PROVEEDORES[[#This Row],[PROVEEDOR]],TERCEROS_INFO[#All],2,FALSE)</f>
        <v>30</v>
      </c>
      <c r="D642" s="139">
        <f>+SUMIFS(PROVEEDORES[Total],PROVEEDORES[PROVEEDOR],PROVEEDORES[[#This Row],[PROVEEDOR]],PROVEEDORES[FECHA DE PAGO],"")</f>
        <v>0</v>
      </c>
      <c r="E642" s="140"/>
      <c r="F642" s="138" t="str">
        <f>+VLOOKUP(PROVEEDORES[[#This Row],[PROVEEDOR]],
                       Terceros!$A:$F,
                       5,
                       FALSE)</f>
        <v/>
      </c>
      <c r="G642" s="127">
        <v>45183</v>
      </c>
      <c r="H642" s="123" t="s">
        <v>481</v>
      </c>
      <c r="I642" s="127">
        <v>45183</v>
      </c>
      <c r="J642" s="124" t="s">
        <v>1111</v>
      </c>
      <c r="K642" s="124" t="s">
        <v>1530</v>
      </c>
      <c r="L642" s="124"/>
      <c r="M642" s="125">
        <v>3672000</v>
      </c>
      <c r="N642" s="148">
        <v>0</v>
      </c>
      <c r="O642" s="148">
        <v>0</v>
      </c>
      <c r="P642" s="149">
        <v>0</v>
      </c>
      <c r="Q642" s="148">
        <v>0</v>
      </c>
      <c r="R642" s="150">
        <v>3672000</v>
      </c>
      <c r="S6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2" s="135">
        <f ca="1">+IF(PROVEEDORES[[#This Row],[FECHA DE PAGO]]=0,TODAY()-PROVEEDORES[[#This Row],[FECHA DE FACTURACIÓN]]-PROVEEDORES[[#This Row],[PLAZO Días]],0)</f>
        <v>0</v>
      </c>
      <c r="U642" s="135">
        <f>+VLOOKUP(PROVEEDORES[[#This Row],[PROVEEDOR]],Terceros!$A:$D,4,FALSE)</f>
        <v>0</v>
      </c>
      <c r="V642" s="135">
        <f>+YEAR(PROVEEDORES[[#This Row],[FECHA DE FACTURACIÓN]])</f>
        <v>2023</v>
      </c>
      <c r="W642" s="135">
        <f>+MATCH(PROVEEDORES[[#This Row],[año facturado]],Retenciones!$1:$1,0)</f>
        <v>6</v>
      </c>
      <c r="X642" s="136">
        <f>+VLOOKUP(PROVEEDORES[[#This Row],[ID RETENCION]],Retenciones!$A$1:$O$25,PROVEEDORES[[#This Row],[indicador de columna]],FALSE)</f>
        <v>0</v>
      </c>
      <c r="Y642" s="137">
        <f>+VLOOKUP(PROVEEDORES[[#This Row],[ID RETENCION]],Retenciones!$A$1:$O$25,2,FALSE)</f>
        <v>0</v>
      </c>
      <c r="Z642" s="126" t="b">
        <f>+OR(COUNTIF(PROVEEDORES[[#This Row],[PROVEEDOR]],"*"&amp;'Palabra que no opera y Listas d'!$A$2&amp;"*"))</f>
        <v>0</v>
      </c>
    </row>
    <row r="643" spans="1:26" ht="27.75" customHeight="1" x14ac:dyDescent="0.25">
      <c r="A643" s="141" t="str">
        <f>+IF(PROVEEDORES[[#This Row],[FECHA DE PAGO]]=PROVEEDORES[[#This Row],[FECHA DE FACTURACIÓN]],"DE CONTADO","CRÉDITO")</f>
        <v>DE CONTADO</v>
      </c>
      <c r="B643" s="138" t="b">
        <f>+IF((PROVEEDORES[[#This Row],[FECHA DE PAGO]]-PROVEEDORES[[#This Row],[FECHA DE FACTURACIÓN]])&gt;PROVEEDORES[[#This Row],[PLAZO Días]],"PAGO VENCIDO")</f>
        <v>0</v>
      </c>
      <c r="C643" s="138">
        <f>+VLOOKUP(PROVEEDORES[[#This Row],[PROVEEDOR]],TERCEROS_INFO[#All],2,FALSE)</f>
        <v>30</v>
      </c>
      <c r="D643" s="139">
        <f>+SUMIFS(PROVEEDORES[Total],PROVEEDORES[PROVEEDOR],PROVEEDORES[[#This Row],[PROVEEDOR]],PROVEEDORES[FECHA DE PAGO],"")</f>
        <v>0</v>
      </c>
      <c r="E643" s="140"/>
      <c r="F643" s="138" t="str">
        <f>+VLOOKUP(PROVEEDORES[[#This Row],[PROVEEDOR]],
                       Terceros!$A:$F,
                       5,
                       FALSE)</f>
        <v/>
      </c>
      <c r="G643" s="127">
        <v>45183</v>
      </c>
      <c r="H643" s="123" t="s">
        <v>525</v>
      </c>
      <c r="I643" s="127">
        <v>45183</v>
      </c>
      <c r="J643" s="124" t="s">
        <v>1097</v>
      </c>
      <c r="K643" s="124" t="s">
        <v>1530</v>
      </c>
      <c r="L643" s="124"/>
      <c r="M643" s="125">
        <v>171400</v>
      </c>
      <c r="N643" s="148">
        <v>0</v>
      </c>
      <c r="O643" s="148">
        <v>0</v>
      </c>
      <c r="P643" s="149">
        <v>0</v>
      </c>
      <c r="Q643" s="148">
        <v>0</v>
      </c>
      <c r="R643" s="150">
        <v>171400</v>
      </c>
      <c r="S6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3" s="135">
        <f ca="1">+IF(PROVEEDORES[[#This Row],[FECHA DE PAGO]]=0,TODAY()-PROVEEDORES[[#This Row],[FECHA DE FACTURACIÓN]]-PROVEEDORES[[#This Row],[PLAZO Días]],0)</f>
        <v>0</v>
      </c>
      <c r="U643" s="135">
        <f>+VLOOKUP(PROVEEDORES[[#This Row],[PROVEEDOR]],Terceros!$A:$D,4,FALSE)</f>
        <v>0</v>
      </c>
      <c r="V643" s="135">
        <f>+YEAR(PROVEEDORES[[#This Row],[FECHA DE FACTURACIÓN]])</f>
        <v>2023</v>
      </c>
      <c r="W643" s="135">
        <f>+MATCH(PROVEEDORES[[#This Row],[año facturado]],Retenciones!$1:$1,0)</f>
        <v>6</v>
      </c>
      <c r="X643" s="136">
        <f>+VLOOKUP(PROVEEDORES[[#This Row],[ID RETENCION]],Retenciones!$A$1:$O$25,PROVEEDORES[[#This Row],[indicador de columna]],FALSE)</f>
        <v>0</v>
      </c>
      <c r="Y643" s="137">
        <f>+VLOOKUP(PROVEEDORES[[#This Row],[ID RETENCION]],Retenciones!$A$1:$O$25,2,FALSE)</f>
        <v>0</v>
      </c>
      <c r="Z643" s="126" t="b">
        <f>+OR(COUNTIF(PROVEEDORES[[#This Row],[PROVEEDOR]],"*"&amp;'Palabra que no opera y Listas d'!$A$2&amp;"*"))</f>
        <v>0</v>
      </c>
    </row>
    <row r="644" spans="1:26" ht="27.75" customHeight="1" x14ac:dyDescent="0.25">
      <c r="A644" s="141" t="str">
        <f>+IF(PROVEEDORES[[#This Row],[FECHA DE PAGO]]=PROVEEDORES[[#This Row],[FECHA DE FACTURACIÓN]],"DE CONTADO","CRÉDITO")</f>
        <v>DE CONTADO</v>
      </c>
      <c r="B644" s="138" t="b">
        <f>+IF((PROVEEDORES[[#This Row],[FECHA DE PAGO]]-PROVEEDORES[[#This Row],[FECHA DE FACTURACIÓN]])&gt;PROVEEDORES[[#This Row],[PLAZO Días]],"PAGO VENCIDO")</f>
        <v>0</v>
      </c>
      <c r="C644" s="138">
        <f>+VLOOKUP(PROVEEDORES[[#This Row],[PROVEEDOR]],TERCEROS_INFO[#All],2,FALSE)</f>
        <v>30</v>
      </c>
      <c r="D644" s="139">
        <f>+SUMIFS(PROVEEDORES[Total],PROVEEDORES[PROVEEDOR],PROVEEDORES[[#This Row],[PROVEEDOR]],PROVEEDORES[FECHA DE PAGO],"")</f>
        <v>0</v>
      </c>
      <c r="E644" s="140"/>
      <c r="F644" s="138">
        <f>+VLOOKUP(PROVEEDORES[[#This Row],[PROVEEDOR]],
                       Terceros!$A:$F,
                       5,
                       FALSE)</f>
        <v>0</v>
      </c>
      <c r="G644" s="127">
        <v>45186</v>
      </c>
      <c r="H644" s="123" t="s">
        <v>836</v>
      </c>
      <c r="I644" s="127">
        <v>45186</v>
      </c>
      <c r="J644" s="124"/>
      <c r="K644" s="124" t="s">
        <v>1530</v>
      </c>
      <c r="L644" s="124"/>
      <c r="M644" s="125">
        <v>396000</v>
      </c>
      <c r="N644" s="148">
        <v>0</v>
      </c>
      <c r="O644" s="148">
        <v>0</v>
      </c>
      <c r="P644" s="149">
        <v>0</v>
      </c>
      <c r="Q644" s="148">
        <v>0</v>
      </c>
      <c r="R644" s="150">
        <v>396000</v>
      </c>
      <c r="S6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4" s="135">
        <f ca="1">+IF(PROVEEDORES[[#This Row],[FECHA DE PAGO]]=0,TODAY()-PROVEEDORES[[#This Row],[FECHA DE FACTURACIÓN]]-PROVEEDORES[[#This Row],[PLAZO Días]],0)</f>
        <v>0</v>
      </c>
      <c r="U644" s="135">
        <f>+VLOOKUP(PROVEEDORES[[#This Row],[PROVEEDOR]],Terceros!$A:$D,4,FALSE)</f>
        <v>0</v>
      </c>
      <c r="V644" s="135">
        <f>+YEAR(PROVEEDORES[[#This Row],[FECHA DE FACTURACIÓN]])</f>
        <v>2023</v>
      </c>
      <c r="W644" s="135">
        <f>+MATCH(PROVEEDORES[[#This Row],[año facturado]],Retenciones!$1:$1,0)</f>
        <v>6</v>
      </c>
      <c r="X644" s="136">
        <f>+VLOOKUP(PROVEEDORES[[#This Row],[ID RETENCION]],Retenciones!$A$1:$O$25,PROVEEDORES[[#This Row],[indicador de columna]],FALSE)</f>
        <v>0</v>
      </c>
      <c r="Y644" s="137">
        <f>+VLOOKUP(PROVEEDORES[[#This Row],[ID RETENCION]],Retenciones!$A$1:$O$25,2,FALSE)</f>
        <v>0</v>
      </c>
      <c r="Z644" s="126" t="b">
        <f>+OR(COUNTIF(PROVEEDORES[[#This Row],[PROVEEDOR]],"*"&amp;'Palabra que no opera y Listas d'!$A$2&amp;"*"))</f>
        <v>0</v>
      </c>
    </row>
    <row r="645" spans="1:26" ht="27.75" customHeight="1" x14ac:dyDescent="0.25">
      <c r="A645" s="141" t="str">
        <f>+IF(PROVEEDORES[[#This Row],[FECHA DE PAGO]]=PROVEEDORES[[#This Row],[FECHA DE FACTURACIÓN]],"DE CONTADO","CRÉDITO")</f>
        <v>CRÉDITO</v>
      </c>
      <c r="B645" s="138" t="str">
        <f>+IF((PROVEEDORES[[#This Row],[FECHA DE PAGO]]-PROVEEDORES[[#This Row],[FECHA DE FACTURACIÓN]])&gt;PROVEEDORES[[#This Row],[PLAZO Días]],"PAGO VENCIDO")</f>
        <v>PAGO VENCIDO</v>
      </c>
      <c r="C645" s="138">
        <f>+VLOOKUP(PROVEEDORES[[#This Row],[PROVEEDOR]],TERCEROS_INFO[#All],2,FALSE)</f>
        <v>45</v>
      </c>
      <c r="D645" s="139">
        <f>+SUMIFS(PROVEEDORES[Total],PROVEEDORES[PROVEEDOR],PROVEEDORES[[#This Row],[PROVEEDOR]],PROVEEDORES[FECHA DE PAGO],"")</f>
        <v>22186260.039999999</v>
      </c>
      <c r="E645" s="140"/>
      <c r="F645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645" s="127">
        <v>45187</v>
      </c>
      <c r="H645" s="123" t="s">
        <v>19</v>
      </c>
      <c r="I645" s="127">
        <v>45121</v>
      </c>
      <c r="J645" s="124" t="s">
        <v>918</v>
      </c>
      <c r="K645" s="124" t="s">
        <v>1530</v>
      </c>
      <c r="L645" s="124"/>
      <c r="M645" s="125">
        <v>1635783</v>
      </c>
      <c r="N645" s="148">
        <v>310798.77</v>
      </c>
      <c r="O645" s="148">
        <v>0</v>
      </c>
      <c r="P645" s="149">
        <v>0</v>
      </c>
      <c r="Q645" s="148">
        <v>0</v>
      </c>
      <c r="R645" s="150">
        <v>1946581.77</v>
      </c>
      <c r="S6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5" s="135">
        <f ca="1">+IF(PROVEEDORES[[#This Row],[FECHA DE PAGO]]=0,TODAY()-PROVEEDORES[[#This Row],[FECHA DE FACTURACIÓN]]-PROVEEDORES[[#This Row],[PLAZO Días]],0)</f>
        <v>0</v>
      </c>
      <c r="U645" s="135">
        <f>+VLOOKUP(PROVEEDORES[[#This Row],[PROVEEDOR]],Terceros!$A:$D,4,FALSE)</f>
        <v>0</v>
      </c>
      <c r="V645" s="135">
        <f>+YEAR(PROVEEDORES[[#This Row],[FECHA DE FACTURACIÓN]])</f>
        <v>2023</v>
      </c>
      <c r="W645" s="135">
        <f>+MATCH(PROVEEDORES[[#This Row],[año facturado]],Retenciones!$1:$1,0)</f>
        <v>6</v>
      </c>
      <c r="X645" s="136">
        <f>+VLOOKUP(PROVEEDORES[[#This Row],[ID RETENCION]],Retenciones!$A$1:$O$25,PROVEEDORES[[#This Row],[indicador de columna]],FALSE)</f>
        <v>0</v>
      </c>
      <c r="Y645" s="137">
        <f>+VLOOKUP(PROVEEDORES[[#This Row],[ID RETENCION]],Retenciones!$A$1:$O$25,2,FALSE)</f>
        <v>0</v>
      </c>
      <c r="Z645" s="126" t="b">
        <f>+OR(COUNTIF(PROVEEDORES[[#This Row],[PROVEEDOR]],"*"&amp;'Palabra que no opera y Listas d'!$A$2&amp;"*"))</f>
        <v>0</v>
      </c>
    </row>
    <row r="646" spans="1:26" ht="27.75" customHeight="1" x14ac:dyDescent="0.25">
      <c r="A646" s="141" t="str">
        <f>+IF(PROVEEDORES[[#This Row],[FECHA DE PAGO]]=PROVEEDORES[[#This Row],[FECHA DE FACTURACIÓN]],"DE CONTADO","CRÉDITO")</f>
        <v>CRÉDITO</v>
      </c>
      <c r="B646" s="138" t="str">
        <f>+IF((PROVEEDORES[[#This Row],[FECHA DE PAGO]]-PROVEEDORES[[#This Row],[FECHA DE FACTURACIÓN]])&gt;PROVEEDORES[[#This Row],[PLAZO Días]],"PAGO VENCIDO")</f>
        <v>PAGO VENCIDO</v>
      </c>
      <c r="C646" s="138">
        <f>+VLOOKUP(PROVEEDORES[[#This Row],[PROVEEDOR]],TERCEROS_INFO[#All],2,FALSE)</f>
        <v>45</v>
      </c>
      <c r="D646" s="139">
        <f>+SUMIFS(PROVEEDORES[Total],PROVEEDORES[PROVEEDOR],PROVEEDORES[[#This Row],[PROVEEDOR]],PROVEEDORES[FECHA DE PAGO],"")</f>
        <v>22186260.039999999</v>
      </c>
      <c r="E646" s="140"/>
      <c r="F646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646" s="127">
        <v>45187</v>
      </c>
      <c r="H646" s="123" t="s">
        <v>19</v>
      </c>
      <c r="I646" s="127">
        <v>45135</v>
      </c>
      <c r="J646" s="124" t="s">
        <v>952</v>
      </c>
      <c r="K646" s="124" t="s">
        <v>1530</v>
      </c>
      <c r="L646" s="124"/>
      <c r="M646" s="125">
        <v>1220051</v>
      </c>
      <c r="N646" s="148">
        <v>231809.69</v>
      </c>
      <c r="O646" s="148">
        <v>0</v>
      </c>
      <c r="P646" s="149">
        <v>0</v>
      </c>
      <c r="Q646" s="148">
        <v>0</v>
      </c>
      <c r="R646" s="150">
        <v>1451860.69</v>
      </c>
      <c r="S6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6" s="135">
        <f ca="1">+IF(PROVEEDORES[[#This Row],[FECHA DE PAGO]]=0,TODAY()-PROVEEDORES[[#This Row],[FECHA DE FACTURACIÓN]]-PROVEEDORES[[#This Row],[PLAZO Días]],0)</f>
        <v>0</v>
      </c>
      <c r="U646" s="135">
        <f>+VLOOKUP(PROVEEDORES[[#This Row],[PROVEEDOR]],Terceros!$A:$D,4,FALSE)</f>
        <v>0</v>
      </c>
      <c r="V646" s="135">
        <f>+YEAR(PROVEEDORES[[#This Row],[FECHA DE FACTURACIÓN]])</f>
        <v>2023</v>
      </c>
      <c r="W646" s="135">
        <f>+MATCH(PROVEEDORES[[#This Row],[año facturado]],Retenciones!$1:$1,0)</f>
        <v>6</v>
      </c>
      <c r="X646" s="136">
        <f>+VLOOKUP(PROVEEDORES[[#This Row],[ID RETENCION]],Retenciones!$A$1:$O$25,PROVEEDORES[[#This Row],[indicador de columna]],FALSE)</f>
        <v>0</v>
      </c>
      <c r="Y646" s="137">
        <f>+VLOOKUP(PROVEEDORES[[#This Row],[ID RETENCION]],Retenciones!$A$1:$O$25,2,FALSE)</f>
        <v>0</v>
      </c>
      <c r="Z646" s="126" t="b">
        <f>+OR(COUNTIF(PROVEEDORES[[#This Row],[PROVEEDOR]],"*"&amp;'Palabra que no opera y Listas d'!$A$2&amp;"*"))</f>
        <v>0</v>
      </c>
    </row>
    <row r="647" spans="1:26" ht="27.75" customHeight="1" x14ac:dyDescent="0.25">
      <c r="A647" s="141" t="str">
        <f>+IF(PROVEEDORES[[#This Row],[FECHA DE PAGO]]=PROVEEDORES[[#This Row],[FECHA DE FACTURACIÓN]],"DE CONTADO","CRÉDITO")</f>
        <v>CRÉDITO</v>
      </c>
      <c r="B647" s="138" t="b">
        <f>+IF((PROVEEDORES[[#This Row],[FECHA DE PAGO]]-PROVEEDORES[[#This Row],[FECHA DE FACTURACIÓN]])&gt;PROVEEDORES[[#This Row],[PLAZO Días]],"PAGO VENCIDO")</f>
        <v>0</v>
      </c>
      <c r="C647" s="138">
        <f>+VLOOKUP(PROVEEDORES[[#This Row],[PROVEEDOR]],TERCEROS_INFO[#All],2,FALSE)</f>
        <v>30</v>
      </c>
      <c r="D647" s="139">
        <f>+SUMIFS(PROVEEDORES[Total],PROVEEDORES[PROVEEDOR],PROVEEDORES[[#This Row],[PROVEEDOR]],PROVEEDORES[FECHA DE PAGO],"")</f>
        <v>0</v>
      </c>
      <c r="E647" s="140"/>
      <c r="F647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647" s="127">
        <v>45187</v>
      </c>
      <c r="H647" s="123" t="s">
        <v>368</v>
      </c>
      <c r="I647" s="127">
        <v>45170</v>
      </c>
      <c r="J647" s="124" t="s">
        <v>1083</v>
      </c>
      <c r="K647" s="124" t="s">
        <v>1530</v>
      </c>
      <c r="L647" s="124"/>
      <c r="M647" s="125">
        <v>908172</v>
      </c>
      <c r="N647" s="148">
        <v>172552.68</v>
      </c>
      <c r="O647" s="148">
        <v>0</v>
      </c>
      <c r="P647" s="149">
        <v>0</v>
      </c>
      <c r="Q647" s="148">
        <v>0</v>
      </c>
      <c r="R647" s="150">
        <v>1080724.68</v>
      </c>
      <c r="S6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7" s="135">
        <f ca="1">+IF(PROVEEDORES[[#This Row],[FECHA DE PAGO]]=0,TODAY()-PROVEEDORES[[#This Row],[FECHA DE FACTURACIÓN]]-PROVEEDORES[[#This Row],[PLAZO Días]],0)</f>
        <v>0</v>
      </c>
      <c r="U647" s="135">
        <f>+VLOOKUP(PROVEEDORES[[#This Row],[PROVEEDOR]],Terceros!$A:$D,4,FALSE)</f>
        <v>0</v>
      </c>
      <c r="V647" s="135">
        <f>+YEAR(PROVEEDORES[[#This Row],[FECHA DE FACTURACIÓN]])</f>
        <v>2023</v>
      </c>
      <c r="W647" s="135">
        <f>+MATCH(PROVEEDORES[[#This Row],[año facturado]],Retenciones!$1:$1,0)</f>
        <v>6</v>
      </c>
      <c r="X647" s="136">
        <f>+VLOOKUP(PROVEEDORES[[#This Row],[ID RETENCION]],Retenciones!$A$1:$O$25,PROVEEDORES[[#This Row],[indicador de columna]],FALSE)</f>
        <v>0</v>
      </c>
      <c r="Y647" s="137">
        <f>+VLOOKUP(PROVEEDORES[[#This Row],[ID RETENCION]],Retenciones!$A$1:$O$25,2,FALSE)</f>
        <v>0</v>
      </c>
      <c r="Z647" s="126" t="b">
        <f>+OR(COUNTIF(PROVEEDORES[[#This Row],[PROVEEDOR]],"*"&amp;'Palabra que no opera y Listas d'!$A$2&amp;"*"))</f>
        <v>1</v>
      </c>
    </row>
    <row r="648" spans="1:26" ht="27.75" customHeight="1" x14ac:dyDescent="0.25">
      <c r="A648" s="141" t="str">
        <f>+IF(PROVEEDORES[[#This Row],[FECHA DE PAGO]]=PROVEEDORES[[#This Row],[FECHA DE FACTURACIÓN]],"DE CONTADO","CRÉDITO")</f>
        <v>CRÉDITO</v>
      </c>
      <c r="B648" s="138" t="b">
        <f>+IF((PROVEEDORES[[#This Row],[FECHA DE PAGO]]-PROVEEDORES[[#This Row],[FECHA DE FACTURACIÓN]])&gt;PROVEEDORES[[#This Row],[PLAZO Días]],"PAGO VENCIDO")</f>
        <v>0</v>
      </c>
      <c r="C648" s="138">
        <f>+VLOOKUP(PROVEEDORES[[#This Row],[PROVEEDOR]],TERCEROS_INFO[#All],2,FALSE)</f>
        <v>30</v>
      </c>
      <c r="D648" s="139">
        <f>+SUMIFS(PROVEEDORES[Total],PROVEEDORES[PROVEEDOR],PROVEEDORES[[#This Row],[PROVEEDOR]],PROVEEDORES[FECHA DE PAGO],"")</f>
        <v>0</v>
      </c>
      <c r="E648" s="140"/>
      <c r="F648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648" s="127">
        <v>45187</v>
      </c>
      <c r="H648" s="123" t="s">
        <v>368</v>
      </c>
      <c r="I648" s="127">
        <v>45170</v>
      </c>
      <c r="J648" s="124" t="s">
        <v>1082</v>
      </c>
      <c r="K648" s="124" t="s">
        <v>1530</v>
      </c>
      <c r="L648" s="124"/>
      <c r="M648" s="125">
        <v>3792544</v>
      </c>
      <c r="N648" s="148">
        <v>720583.36</v>
      </c>
      <c r="O648" s="148">
        <v>0</v>
      </c>
      <c r="P648" s="149">
        <v>0</v>
      </c>
      <c r="Q648" s="148">
        <v>0</v>
      </c>
      <c r="R648" s="150">
        <v>4513127.3600000003</v>
      </c>
      <c r="S6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8" s="135">
        <f ca="1">+IF(PROVEEDORES[[#This Row],[FECHA DE PAGO]]=0,TODAY()-PROVEEDORES[[#This Row],[FECHA DE FACTURACIÓN]]-PROVEEDORES[[#This Row],[PLAZO Días]],0)</f>
        <v>0</v>
      </c>
      <c r="U648" s="135">
        <f>+VLOOKUP(PROVEEDORES[[#This Row],[PROVEEDOR]],Terceros!$A:$D,4,FALSE)</f>
        <v>0</v>
      </c>
      <c r="V648" s="135">
        <f>+YEAR(PROVEEDORES[[#This Row],[FECHA DE FACTURACIÓN]])</f>
        <v>2023</v>
      </c>
      <c r="W648" s="135">
        <f>+MATCH(PROVEEDORES[[#This Row],[año facturado]],Retenciones!$1:$1,0)</f>
        <v>6</v>
      </c>
      <c r="X648" s="136">
        <f>+VLOOKUP(PROVEEDORES[[#This Row],[ID RETENCION]],Retenciones!$A$1:$O$25,PROVEEDORES[[#This Row],[indicador de columna]],FALSE)</f>
        <v>0</v>
      </c>
      <c r="Y648" s="137">
        <f>+VLOOKUP(PROVEEDORES[[#This Row],[ID RETENCION]],Retenciones!$A$1:$O$25,2,FALSE)</f>
        <v>0</v>
      </c>
      <c r="Z648" s="126" t="b">
        <f>+OR(COUNTIF(PROVEEDORES[[#This Row],[PROVEEDOR]],"*"&amp;'Palabra que no opera y Listas d'!$A$2&amp;"*"))</f>
        <v>1</v>
      </c>
    </row>
    <row r="649" spans="1:26" ht="27.75" customHeight="1" x14ac:dyDescent="0.25">
      <c r="A649" s="141" t="str">
        <f>+IF(PROVEEDORES[[#This Row],[FECHA DE PAGO]]=PROVEEDORES[[#This Row],[FECHA DE FACTURACIÓN]],"DE CONTADO","CRÉDITO")</f>
        <v>CRÉDITO</v>
      </c>
      <c r="B649" s="138" t="b">
        <f>+IF((PROVEEDORES[[#This Row],[FECHA DE PAGO]]-PROVEEDORES[[#This Row],[FECHA DE FACTURACIÓN]])&gt;PROVEEDORES[[#This Row],[PLAZO Días]],"PAGO VENCIDO")</f>
        <v>0</v>
      </c>
      <c r="C649" s="138">
        <f>+VLOOKUP(PROVEEDORES[[#This Row],[PROVEEDOR]],TERCEROS_INFO[#All],2,FALSE)</f>
        <v>30</v>
      </c>
      <c r="D649" s="139">
        <f>+SUMIFS(PROVEEDORES[Total],PROVEEDORES[PROVEEDOR],PROVEEDORES[[#This Row],[PROVEEDOR]],PROVEEDORES[FECHA DE PAGO],"")</f>
        <v>0</v>
      </c>
      <c r="E649" s="140"/>
      <c r="F649" s="138" t="str">
        <f>+VLOOKUP(PROVEEDORES[[#This Row],[PROVEEDOR]],
                       Terceros!$A:$F,
                       5,
                       FALSE)</f>
        <v>facturacion@losmolinos.com.co</v>
      </c>
      <c r="G649" s="127">
        <v>45187</v>
      </c>
      <c r="H649" s="123" t="s">
        <v>376</v>
      </c>
      <c r="I649" s="127">
        <v>45170</v>
      </c>
      <c r="J649" s="124" t="s">
        <v>1040</v>
      </c>
      <c r="K649" s="124" t="s">
        <v>1530</v>
      </c>
      <c r="L649" s="124"/>
      <c r="M649" s="125">
        <v>318603</v>
      </c>
      <c r="N649" s="148">
        <v>0</v>
      </c>
      <c r="O649" s="148">
        <v>0</v>
      </c>
      <c r="P649" s="149">
        <v>0</v>
      </c>
      <c r="Q649" s="148">
        <v>0</v>
      </c>
      <c r="R649" s="150">
        <v>318603</v>
      </c>
      <c r="S6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49" s="135">
        <f ca="1">+IF(PROVEEDORES[[#This Row],[FECHA DE PAGO]]=0,TODAY()-PROVEEDORES[[#This Row],[FECHA DE FACTURACIÓN]]-PROVEEDORES[[#This Row],[PLAZO Días]],0)</f>
        <v>0</v>
      </c>
      <c r="U649" s="135">
        <f>+VLOOKUP(PROVEEDORES[[#This Row],[PROVEEDOR]],Terceros!$A:$D,4,FALSE)</f>
        <v>0</v>
      </c>
      <c r="V649" s="135">
        <f>+YEAR(PROVEEDORES[[#This Row],[FECHA DE FACTURACIÓN]])</f>
        <v>2023</v>
      </c>
      <c r="W649" s="135">
        <f>+MATCH(PROVEEDORES[[#This Row],[año facturado]],Retenciones!$1:$1,0)</f>
        <v>6</v>
      </c>
      <c r="X649" s="136">
        <f>+VLOOKUP(PROVEEDORES[[#This Row],[ID RETENCION]],Retenciones!$A$1:$O$25,PROVEEDORES[[#This Row],[indicador de columna]],FALSE)</f>
        <v>0</v>
      </c>
      <c r="Y649" s="137">
        <f>+VLOOKUP(PROVEEDORES[[#This Row],[ID RETENCION]],Retenciones!$A$1:$O$25,2,FALSE)</f>
        <v>0</v>
      </c>
      <c r="Z649" s="126" t="b">
        <f>+OR(COUNTIF(PROVEEDORES[[#This Row],[PROVEEDOR]],"*"&amp;'Palabra que no opera y Listas d'!$A$2&amp;"*"))</f>
        <v>1</v>
      </c>
    </row>
    <row r="650" spans="1:26" ht="27.75" customHeight="1" x14ac:dyDescent="0.25">
      <c r="A650" s="141" t="str">
        <f>+IF(PROVEEDORES[[#This Row],[FECHA DE PAGO]]=PROVEEDORES[[#This Row],[FECHA DE FACTURACIÓN]],"DE CONTADO","CRÉDITO")</f>
        <v>CRÉDITO</v>
      </c>
      <c r="B650" s="138" t="b">
        <f>+IF((PROVEEDORES[[#This Row],[FECHA DE PAGO]]-PROVEEDORES[[#This Row],[FECHA DE FACTURACIÓN]])&gt;PROVEEDORES[[#This Row],[PLAZO Días]],"PAGO VENCIDO")</f>
        <v>0</v>
      </c>
      <c r="C650" s="138">
        <f>+VLOOKUP(PROVEEDORES[[#This Row],[PROVEEDOR]],TERCEROS_INFO[#All],2,FALSE)</f>
        <v>30</v>
      </c>
      <c r="D650" s="139">
        <f>+SUMIFS(PROVEEDORES[Total],PROVEEDORES[PROVEEDOR],PROVEEDORES[[#This Row],[PROVEEDOR]],PROVEEDORES[FECHA DE PAGO],"")</f>
        <v>0</v>
      </c>
      <c r="E650" s="140"/>
      <c r="F650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650" s="127">
        <v>45187</v>
      </c>
      <c r="H650" s="123" t="s">
        <v>394</v>
      </c>
      <c r="I650" s="127">
        <v>45170</v>
      </c>
      <c r="J650" s="124" t="s">
        <v>1037</v>
      </c>
      <c r="K650" s="124" t="s">
        <v>1530</v>
      </c>
      <c r="L650" s="124"/>
      <c r="M650" s="125">
        <v>243611</v>
      </c>
      <c r="N650" s="148">
        <v>46286.090000000004</v>
      </c>
      <c r="O650" s="148">
        <v>0</v>
      </c>
      <c r="P650" s="149">
        <v>3.5000000000000003E-2</v>
      </c>
      <c r="Q650" s="148">
        <v>8526.3850000000002</v>
      </c>
      <c r="R650" s="150">
        <v>281370.70500000002</v>
      </c>
      <c r="S6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0" s="135">
        <f ca="1">+IF(PROVEEDORES[[#This Row],[FECHA DE PAGO]]=0,TODAY()-PROVEEDORES[[#This Row],[FECHA DE FACTURACIÓN]]-PROVEEDORES[[#This Row],[PLAZO Días]],0)</f>
        <v>0</v>
      </c>
      <c r="U650" s="135" t="str">
        <f>+VLOOKUP(PROVEEDORES[[#This Row],[PROVEEDOR]],Terceros!$A:$D,4,FALSE)</f>
        <v>3,5% sin base</v>
      </c>
      <c r="V650" s="135">
        <f>+YEAR(PROVEEDORES[[#This Row],[FECHA DE FACTURACIÓN]])</f>
        <v>2023</v>
      </c>
      <c r="W650" s="135">
        <f>+MATCH(PROVEEDORES[[#This Row],[año facturado]],Retenciones!$1:$1,0)</f>
        <v>6</v>
      </c>
      <c r="X650" s="136">
        <f>+VLOOKUP(PROVEEDORES[[#This Row],[ID RETENCION]],Retenciones!$A$1:$O$25,PROVEEDORES[[#This Row],[indicador de columna]],FALSE)</f>
        <v>0</v>
      </c>
      <c r="Y650" s="137">
        <f>+VLOOKUP(PROVEEDORES[[#This Row],[ID RETENCION]],Retenciones!$A$1:$O$25,2,FALSE)</f>
        <v>3.5000000000000003E-2</v>
      </c>
      <c r="Z650" s="126" t="b">
        <f>+OR(COUNTIF(PROVEEDORES[[#This Row],[PROVEEDOR]],"*"&amp;'Palabra que no opera y Listas d'!$A$2&amp;"*"))</f>
        <v>1</v>
      </c>
    </row>
    <row r="651" spans="1:26" ht="27.75" customHeight="1" x14ac:dyDescent="0.25">
      <c r="A651" s="141" t="str">
        <f>+IF(PROVEEDORES[[#This Row],[FECHA DE PAGO]]=PROVEEDORES[[#This Row],[FECHA DE FACTURACIÓN]],"DE CONTADO","CRÉDITO")</f>
        <v>CRÉDITO</v>
      </c>
      <c r="B651" s="138" t="b">
        <f>+IF((PROVEEDORES[[#This Row],[FECHA DE PAGO]]-PROVEEDORES[[#This Row],[FECHA DE FACTURACIÓN]])&gt;PROVEEDORES[[#This Row],[PLAZO Días]],"PAGO VENCIDO")</f>
        <v>0</v>
      </c>
      <c r="C651" s="138">
        <f>+VLOOKUP(PROVEEDORES[[#This Row],[PROVEEDOR]],TERCEROS_INFO[#All],2,FALSE)</f>
        <v>30</v>
      </c>
      <c r="D651" s="139">
        <f>+SUMIFS(PROVEEDORES[Total],PROVEEDORES[PROVEEDOR],PROVEEDORES[[#This Row],[PROVEEDOR]],PROVEEDORES[FECHA DE PAGO],"")</f>
        <v>0</v>
      </c>
      <c r="E651" s="140"/>
      <c r="F651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651" s="127">
        <v>45187</v>
      </c>
      <c r="H651" s="123" t="s">
        <v>373</v>
      </c>
      <c r="I651" s="127">
        <v>45171</v>
      </c>
      <c r="J651" s="124" t="s">
        <v>1039</v>
      </c>
      <c r="K651" s="124" t="s">
        <v>1530</v>
      </c>
      <c r="L651" s="124"/>
      <c r="M651" s="125">
        <v>1840056</v>
      </c>
      <c r="N651" s="148">
        <v>0</v>
      </c>
      <c r="O651" s="148">
        <v>0</v>
      </c>
      <c r="P651" s="149">
        <v>0</v>
      </c>
      <c r="Q651" s="148">
        <v>0</v>
      </c>
      <c r="R651" s="150">
        <v>1840056</v>
      </c>
      <c r="S6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1" s="135">
        <f ca="1">+IF(PROVEEDORES[[#This Row],[FECHA DE PAGO]]=0,TODAY()-PROVEEDORES[[#This Row],[FECHA DE FACTURACIÓN]]-PROVEEDORES[[#This Row],[PLAZO Días]],0)</f>
        <v>0</v>
      </c>
      <c r="U651" s="135">
        <f>+VLOOKUP(PROVEEDORES[[#This Row],[PROVEEDOR]],Terceros!$A:$D,4,FALSE)</f>
        <v>0</v>
      </c>
      <c r="V651" s="135">
        <f>+YEAR(PROVEEDORES[[#This Row],[FECHA DE FACTURACIÓN]])</f>
        <v>2023</v>
      </c>
      <c r="W651" s="135">
        <f>+MATCH(PROVEEDORES[[#This Row],[año facturado]],Retenciones!$1:$1,0)</f>
        <v>6</v>
      </c>
      <c r="X651" s="136">
        <f>+VLOOKUP(PROVEEDORES[[#This Row],[ID RETENCION]],Retenciones!$A$1:$O$25,PROVEEDORES[[#This Row],[indicador de columna]],FALSE)</f>
        <v>0</v>
      </c>
      <c r="Y651" s="137">
        <f>+VLOOKUP(PROVEEDORES[[#This Row],[ID RETENCION]],Retenciones!$A$1:$O$25,2,FALSE)</f>
        <v>0</v>
      </c>
      <c r="Z651" s="126" t="b">
        <f>+OR(COUNTIF(PROVEEDORES[[#This Row],[PROVEEDOR]],"*"&amp;'Palabra que no opera y Listas d'!$A$2&amp;"*"))</f>
        <v>1</v>
      </c>
    </row>
    <row r="652" spans="1:26" ht="27.75" customHeight="1" x14ac:dyDescent="0.25">
      <c r="A652" s="141" t="str">
        <f>+IF(PROVEEDORES[[#This Row],[FECHA DE PAGO]]=PROVEEDORES[[#This Row],[FECHA DE FACTURACIÓN]],"DE CONTADO","CRÉDITO")</f>
        <v>CRÉDITO</v>
      </c>
      <c r="B652" s="138" t="b">
        <f>+IF((PROVEEDORES[[#This Row],[FECHA DE PAGO]]-PROVEEDORES[[#This Row],[FECHA DE FACTURACIÓN]])&gt;PROVEEDORES[[#This Row],[PLAZO Días]],"PAGO VENCIDO")</f>
        <v>0</v>
      </c>
      <c r="C652" s="138">
        <f>+VLOOKUP(PROVEEDORES[[#This Row],[PROVEEDOR]],TERCEROS_INFO[#All],2,FALSE)</f>
        <v>30</v>
      </c>
      <c r="D652" s="139">
        <f>+SUMIFS(PROVEEDORES[Total],PROVEEDORES[PROVEEDOR],PROVEEDORES[[#This Row],[PROVEEDOR]],PROVEEDORES[FECHA DE PAGO],"")</f>
        <v>0</v>
      </c>
      <c r="E652" s="140"/>
      <c r="F652" s="138" t="str">
        <f>+VLOOKUP(PROVEEDORES[[#This Row],[PROVEEDOR]],
                       Terceros!$A:$F,
                       5,
                       FALSE)</f>
        <v>contabilidad@comsistel.com.co;girlesa.ruiz@servipilas.com;joriescobar64@gmail.com</v>
      </c>
      <c r="G652" s="127">
        <v>45187</v>
      </c>
      <c r="H652" s="123" t="s">
        <v>207</v>
      </c>
      <c r="I652" s="127">
        <v>45183</v>
      </c>
      <c r="J652" s="124" t="s">
        <v>1036</v>
      </c>
      <c r="K652" s="124" t="s">
        <v>1530</v>
      </c>
      <c r="L652" s="124"/>
      <c r="M652" s="125">
        <v>1260000</v>
      </c>
      <c r="N652" s="148">
        <v>239400</v>
      </c>
      <c r="O652" s="148">
        <v>0</v>
      </c>
      <c r="P652" s="149">
        <v>2.5000000000000001E-2</v>
      </c>
      <c r="Q652" s="148">
        <v>31500</v>
      </c>
      <c r="R652" s="150">
        <v>1467900</v>
      </c>
      <c r="S6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2" s="135">
        <f ca="1">+IF(PROVEEDORES[[#This Row],[FECHA DE PAGO]]=0,TODAY()-PROVEEDORES[[#This Row],[FECHA DE FACTURACIÓN]]-PROVEEDORES[[#This Row],[PLAZO Días]],0)</f>
        <v>0</v>
      </c>
      <c r="U652" s="135" t="str">
        <f>+VLOOKUP(PROVEEDORES[[#This Row],[PROVEEDOR]],Terceros!$A:$D,4,FALSE)</f>
        <v>2,5% con base</v>
      </c>
      <c r="V652" s="135">
        <f>+YEAR(PROVEEDORES[[#This Row],[FECHA DE FACTURACIÓN]])</f>
        <v>2023</v>
      </c>
      <c r="W652" s="135">
        <f>+MATCH(PROVEEDORES[[#This Row],[año facturado]],Retenciones!$1:$1,0)</f>
        <v>6</v>
      </c>
      <c r="X652" s="136">
        <f>+VLOOKUP(PROVEEDORES[[#This Row],[ID RETENCION]],Retenciones!$A$1:$O$25,PROVEEDORES[[#This Row],[indicador de columna]],FALSE)</f>
        <v>1145000</v>
      </c>
      <c r="Y652" s="137">
        <f>+VLOOKUP(PROVEEDORES[[#This Row],[ID RETENCION]],Retenciones!$A$1:$O$25,2,FALSE)</f>
        <v>2.5000000000000001E-2</v>
      </c>
      <c r="Z652" s="126" t="b">
        <f>+OR(COUNTIF(PROVEEDORES[[#This Row],[PROVEEDOR]],"*"&amp;'Palabra que no opera y Listas d'!$A$2&amp;"*"))</f>
        <v>0</v>
      </c>
    </row>
    <row r="653" spans="1:26" ht="27.75" customHeight="1" x14ac:dyDescent="0.25">
      <c r="A653" s="141" t="str">
        <f>+IF(PROVEEDORES[[#This Row],[FECHA DE PAGO]]=PROVEEDORES[[#This Row],[FECHA DE FACTURACIÓN]],"DE CONTADO","CRÉDITO")</f>
        <v>DE CONTADO</v>
      </c>
      <c r="B653" s="138" t="b">
        <f>+IF((PROVEEDORES[[#This Row],[FECHA DE PAGO]]-PROVEEDORES[[#This Row],[FECHA DE FACTURACIÓN]])&gt;PROVEEDORES[[#This Row],[PLAZO Días]],"PAGO VENCIDO")</f>
        <v>0</v>
      </c>
      <c r="C653" s="138">
        <f>+VLOOKUP(PROVEEDORES[[#This Row],[PROVEEDOR]],TERCEROS_INFO[#All],2,FALSE)</f>
        <v>30</v>
      </c>
      <c r="D653" s="139">
        <f>+SUMIFS(PROVEEDORES[Total],PROVEEDORES[PROVEEDOR],PROVEEDORES[[#This Row],[PROVEEDOR]],PROVEEDORES[FECHA DE PAGO],"")</f>
        <v>0</v>
      </c>
      <c r="E653" s="140"/>
      <c r="F653" s="138" t="str">
        <f>+VLOOKUP(PROVEEDORES[[#This Row],[PROVEEDOR]],
                       Terceros!$A:$F,
                       5,
                       FALSE)</f>
        <v/>
      </c>
      <c r="G653" s="127">
        <v>45187</v>
      </c>
      <c r="H653" s="123" t="s">
        <v>481</v>
      </c>
      <c r="I653" s="127">
        <v>45187</v>
      </c>
      <c r="J653" s="124" t="s">
        <v>1112</v>
      </c>
      <c r="K653" s="124" t="s">
        <v>1530</v>
      </c>
      <c r="L653" s="124"/>
      <c r="M653" s="125">
        <v>1348000</v>
      </c>
      <c r="N653" s="148">
        <v>0</v>
      </c>
      <c r="O653" s="148">
        <v>0</v>
      </c>
      <c r="P653" s="149">
        <v>0</v>
      </c>
      <c r="Q653" s="148">
        <v>0</v>
      </c>
      <c r="R653" s="150">
        <v>1348000</v>
      </c>
      <c r="S6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3" s="135">
        <f ca="1">+IF(PROVEEDORES[[#This Row],[FECHA DE PAGO]]=0,TODAY()-PROVEEDORES[[#This Row],[FECHA DE FACTURACIÓN]]-PROVEEDORES[[#This Row],[PLAZO Días]],0)</f>
        <v>0</v>
      </c>
      <c r="U653" s="135">
        <f>+VLOOKUP(PROVEEDORES[[#This Row],[PROVEEDOR]],Terceros!$A:$D,4,FALSE)</f>
        <v>0</v>
      </c>
      <c r="V653" s="135">
        <f>+YEAR(PROVEEDORES[[#This Row],[FECHA DE FACTURACIÓN]])</f>
        <v>2023</v>
      </c>
      <c r="W653" s="135">
        <f>+MATCH(PROVEEDORES[[#This Row],[año facturado]],Retenciones!$1:$1,0)</f>
        <v>6</v>
      </c>
      <c r="X653" s="136">
        <f>+VLOOKUP(PROVEEDORES[[#This Row],[ID RETENCION]],Retenciones!$A$1:$O$25,PROVEEDORES[[#This Row],[indicador de columna]],FALSE)</f>
        <v>0</v>
      </c>
      <c r="Y653" s="137">
        <f>+VLOOKUP(PROVEEDORES[[#This Row],[ID RETENCION]],Retenciones!$A$1:$O$25,2,FALSE)</f>
        <v>0</v>
      </c>
      <c r="Z653" s="126" t="b">
        <f>+OR(COUNTIF(PROVEEDORES[[#This Row],[PROVEEDOR]],"*"&amp;'Palabra que no opera y Listas d'!$A$2&amp;"*"))</f>
        <v>0</v>
      </c>
    </row>
    <row r="654" spans="1:26" ht="27.75" customHeight="1" x14ac:dyDescent="0.25">
      <c r="A654" s="141" t="str">
        <f>+IF(PROVEEDORES[[#This Row],[FECHA DE PAGO]]=PROVEEDORES[[#This Row],[FECHA DE FACTURACIÓN]],"DE CONTADO","CRÉDITO")</f>
        <v>CRÉDITO</v>
      </c>
      <c r="B654" s="138" t="b">
        <f>+IF((PROVEEDORES[[#This Row],[FECHA DE PAGO]]-PROVEEDORES[[#This Row],[FECHA DE FACTURACIÓN]])&gt;PROVEEDORES[[#This Row],[PLAZO Días]],"PAGO VENCIDO")</f>
        <v>0</v>
      </c>
      <c r="C654" s="138">
        <f>+VLOOKUP(PROVEEDORES[[#This Row],[PROVEEDOR]],TERCEROS_INFO[#All],2,FALSE)</f>
        <v>30</v>
      </c>
      <c r="D654" s="139">
        <f>+SUMIFS(PROVEEDORES[Total],PROVEEDORES[PROVEEDOR],PROVEEDORES[[#This Row],[PROVEEDOR]],PROVEEDORES[FECHA DE PAGO],"")</f>
        <v>0</v>
      </c>
      <c r="E654" s="140"/>
      <c r="F654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654" s="127">
        <v>45188</v>
      </c>
      <c r="H654" s="123" t="s">
        <v>383</v>
      </c>
      <c r="I654" s="127">
        <v>45170</v>
      </c>
      <c r="J654" s="124" t="s">
        <v>1042</v>
      </c>
      <c r="K654" s="124" t="s">
        <v>1530</v>
      </c>
      <c r="L654" s="124"/>
      <c r="M654" s="125">
        <v>3935776</v>
      </c>
      <c r="N654" s="148">
        <v>747797.44000000006</v>
      </c>
      <c r="O654" s="148">
        <v>0</v>
      </c>
      <c r="P654" s="149">
        <v>3.5000000000000003E-2</v>
      </c>
      <c r="Q654" s="148">
        <v>137752.16</v>
      </c>
      <c r="R654" s="150">
        <v>4545821.28</v>
      </c>
      <c r="S6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4" s="135">
        <f ca="1">+IF(PROVEEDORES[[#This Row],[FECHA DE PAGO]]=0,TODAY()-PROVEEDORES[[#This Row],[FECHA DE FACTURACIÓN]]-PROVEEDORES[[#This Row],[PLAZO Días]],0)</f>
        <v>0</v>
      </c>
      <c r="U654" s="135" t="str">
        <f>+VLOOKUP(PROVEEDORES[[#This Row],[PROVEEDOR]],Terceros!$A:$D,4,FALSE)</f>
        <v>3,5% sin base</v>
      </c>
      <c r="V654" s="135">
        <f>+YEAR(PROVEEDORES[[#This Row],[FECHA DE FACTURACIÓN]])</f>
        <v>2023</v>
      </c>
      <c r="W654" s="135">
        <f>+MATCH(PROVEEDORES[[#This Row],[año facturado]],Retenciones!$1:$1,0)</f>
        <v>6</v>
      </c>
      <c r="X654" s="136">
        <f>+VLOOKUP(PROVEEDORES[[#This Row],[ID RETENCION]],Retenciones!$A$1:$O$25,PROVEEDORES[[#This Row],[indicador de columna]],FALSE)</f>
        <v>0</v>
      </c>
      <c r="Y654" s="137">
        <f>+VLOOKUP(PROVEEDORES[[#This Row],[ID RETENCION]],Retenciones!$A$1:$O$25,2,FALSE)</f>
        <v>3.5000000000000003E-2</v>
      </c>
      <c r="Z654" s="126" t="b">
        <f>+OR(COUNTIF(PROVEEDORES[[#This Row],[PROVEEDOR]],"*"&amp;'Palabra que no opera y Listas d'!$A$2&amp;"*"))</f>
        <v>1</v>
      </c>
    </row>
    <row r="655" spans="1:26" ht="27.75" customHeight="1" x14ac:dyDescent="0.25">
      <c r="A655" s="141" t="str">
        <f>+IF(PROVEEDORES[[#This Row],[FECHA DE PAGO]]=PROVEEDORES[[#This Row],[FECHA DE FACTURACIÓN]],"DE CONTADO","CRÉDITO")</f>
        <v>CRÉDITO</v>
      </c>
      <c r="B655" s="138" t="b">
        <f>+IF((PROVEEDORES[[#This Row],[FECHA DE PAGO]]-PROVEEDORES[[#This Row],[FECHA DE FACTURACIÓN]])&gt;PROVEEDORES[[#This Row],[PLAZO Días]],"PAGO VENCIDO")</f>
        <v>0</v>
      </c>
      <c r="C655" s="138">
        <f>+VLOOKUP(PROVEEDORES[[#This Row],[PROVEEDOR]],TERCEROS_INFO[#All],2,FALSE)</f>
        <v>30</v>
      </c>
      <c r="D655" s="139">
        <f>+SUMIFS(PROVEEDORES[Total],PROVEEDORES[PROVEEDOR],PROVEEDORES[[#This Row],[PROVEEDOR]],PROVEEDORES[FECHA DE PAGO],"")</f>
        <v>0</v>
      </c>
      <c r="E655" s="140"/>
      <c r="F655" s="138" t="str">
        <f>+VLOOKUP(PROVEEDORES[[#This Row],[PROVEEDOR]],
                       Terceros!$A:$F,
                       5,
                       FALSE)</f>
        <v/>
      </c>
      <c r="G655" s="127">
        <v>45188</v>
      </c>
      <c r="H655" s="123" t="s">
        <v>481</v>
      </c>
      <c r="I655" s="127">
        <v>45187</v>
      </c>
      <c r="J655" s="124" t="s">
        <v>1113</v>
      </c>
      <c r="K655" s="124" t="s">
        <v>1530</v>
      </c>
      <c r="L655" s="124"/>
      <c r="M655" s="125">
        <v>5788000</v>
      </c>
      <c r="N655" s="148">
        <v>0</v>
      </c>
      <c r="O655" s="148">
        <v>0</v>
      </c>
      <c r="P655" s="149">
        <v>0</v>
      </c>
      <c r="Q655" s="148">
        <v>0</v>
      </c>
      <c r="R655" s="150">
        <v>5788000</v>
      </c>
      <c r="S6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5" s="135">
        <f ca="1">+IF(PROVEEDORES[[#This Row],[FECHA DE PAGO]]=0,TODAY()-PROVEEDORES[[#This Row],[FECHA DE FACTURACIÓN]]-PROVEEDORES[[#This Row],[PLAZO Días]],0)</f>
        <v>0</v>
      </c>
      <c r="U655" s="135">
        <f>+VLOOKUP(PROVEEDORES[[#This Row],[PROVEEDOR]],Terceros!$A:$D,4,FALSE)</f>
        <v>0</v>
      </c>
      <c r="V655" s="135">
        <f>+YEAR(PROVEEDORES[[#This Row],[FECHA DE FACTURACIÓN]])</f>
        <v>2023</v>
      </c>
      <c r="W655" s="135">
        <f>+MATCH(PROVEEDORES[[#This Row],[año facturado]],Retenciones!$1:$1,0)</f>
        <v>6</v>
      </c>
      <c r="X655" s="136">
        <f>+VLOOKUP(PROVEEDORES[[#This Row],[ID RETENCION]],Retenciones!$A$1:$O$25,PROVEEDORES[[#This Row],[indicador de columna]],FALSE)</f>
        <v>0</v>
      </c>
      <c r="Y655" s="137">
        <f>+VLOOKUP(PROVEEDORES[[#This Row],[ID RETENCION]],Retenciones!$A$1:$O$25,2,FALSE)</f>
        <v>0</v>
      </c>
      <c r="Z655" s="126" t="b">
        <f>+OR(COUNTIF(PROVEEDORES[[#This Row],[PROVEEDOR]],"*"&amp;'Palabra que no opera y Listas d'!$A$2&amp;"*"))</f>
        <v>0</v>
      </c>
    </row>
    <row r="656" spans="1:26" ht="27.75" customHeight="1" x14ac:dyDescent="0.25">
      <c r="A656" s="141" t="str">
        <f>+IF(PROVEEDORES[[#This Row],[FECHA DE PAGO]]=PROVEEDORES[[#This Row],[FECHA DE FACTURACIÓN]],"DE CONTADO","CRÉDITO")</f>
        <v>DE CONTADO</v>
      </c>
      <c r="B656" s="138" t="b">
        <f>+IF((PROVEEDORES[[#This Row],[FECHA DE PAGO]]-PROVEEDORES[[#This Row],[FECHA DE FACTURACIÓN]])&gt;PROVEEDORES[[#This Row],[PLAZO Días]],"PAGO VENCIDO")</f>
        <v>0</v>
      </c>
      <c r="C656" s="138">
        <f>+VLOOKUP(PROVEEDORES[[#This Row],[PROVEEDOR]],TERCEROS_INFO[#All],2,FALSE)</f>
        <v>30</v>
      </c>
      <c r="D656" s="139">
        <f>+SUMIFS(PROVEEDORES[Total],PROVEEDORES[PROVEEDOR],PROVEEDORES[[#This Row],[PROVEEDOR]],PROVEEDORES[FECHA DE PAGO],"")</f>
        <v>0</v>
      </c>
      <c r="E656" s="140"/>
      <c r="F656" s="138">
        <f>+VLOOKUP(PROVEEDORES[[#This Row],[PROVEEDOR]],
                       Terceros!$A:$F,
                       5,
                       FALSE)</f>
        <v>0</v>
      </c>
      <c r="G656" s="127">
        <v>45188</v>
      </c>
      <c r="H656" s="123" t="s">
        <v>898</v>
      </c>
      <c r="I656" s="127">
        <v>45188</v>
      </c>
      <c r="J656" s="124" t="s">
        <v>1107</v>
      </c>
      <c r="K656" s="124" t="s">
        <v>1530</v>
      </c>
      <c r="L656" s="124"/>
      <c r="M656" s="125">
        <v>309000</v>
      </c>
      <c r="N656" s="148">
        <v>0</v>
      </c>
      <c r="O656" s="148">
        <v>0</v>
      </c>
      <c r="P656" s="149">
        <v>0</v>
      </c>
      <c r="Q656" s="148">
        <v>0</v>
      </c>
      <c r="R656" s="150">
        <v>309000</v>
      </c>
      <c r="S6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6" s="135">
        <f ca="1">+IF(PROVEEDORES[[#This Row],[FECHA DE PAGO]]=0,TODAY()-PROVEEDORES[[#This Row],[FECHA DE FACTURACIÓN]]-PROVEEDORES[[#This Row],[PLAZO Días]],0)</f>
        <v>0</v>
      </c>
      <c r="U656" s="135">
        <f>+VLOOKUP(PROVEEDORES[[#This Row],[PROVEEDOR]],Terceros!$A:$D,4,FALSE)</f>
        <v>0</v>
      </c>
      <c r="V656" s="135">
        <f>+YEAR(PROVEEDORES[[#This Row],[FECHA DE FACTURACIÓN]])</f>
        <v>2023</v>
      </c>
      <c r="W656" s="135">
        <f>+MATCH(PROVEEDORES[[#This Row],[año facturado]],Retenciones!$1:$1,0)</f>
        <v>6</v>
      </c>
      <c r="X656" s="136">
        <f>+VLOOKUP(PROVEEDORES[[#This Row],[ID RETENCION]],Retenciones!$A$1:$O$25,PROVEEDORES[[#This Row],[indicador de columna]],FALSE)</f>
        <v>0</v>
      </c>
      <c r="Y656" s="137">
        <f>+VLOOKUP(PROVEEDORES[[#This Row],[ID RETENCION]],Retenciones!$A$1:$O$25,2,FALSE)</f>
        <v>0</v>
      </c>
      <c r="Z656" s="126" t="b">
        <f>+OR(COUNTIF(PROVEEDORES[[#This Row],[PROVEEDOR]],"*"&amp;'Palabra que no opera y Listas d'!$A$2&amp;"*"))</f>
        <v>0</v>
      </c>
    </row>
    <row r="657" spans="1:26" ht="27.75" customHeight="1" x14ac:dyDescent="0.25">
      <c r="A657" s="141" t="str">
        <f>+IF(PROVEEDORES[[#This Row],[FECHA DE PAGO]]=PROVEEDORES[[#This Row],[FECHA DE FACTURACIÓN]],"DE CONTADO","CRÉDITO")</f>
        <v>CRÉDITO</v>
      </c>
      <c r="B657" s="138" t="str">
        <f>+IF((PROVEEDORES[[#This Row],[FECHA DE PAGO]]-PROVEEDORES[[#This Row],[FECHA DE FACTURACIÓN]])&gt;PROVEEDORES[[#This Row],[PLAZO Días]],"PAGO VENCIDO")</f>
        <v>PAGO VENCIDO</v>
      </c>
      <c r="C657" s="138">
        <f>+VLOOKUP(PROVEEDORES[[#This Row],[PROVEEDOR]],TERCEROS_INFO[#All],2,FALSE)</f>
        <v>30</v>
      </c>
      <c r="D657" s="139">
        <f>+SUMIFS(PROVEEDORES[Total],PROVEEDORES[PROVEEDOR],PROVEEDORES[[#This Row],[PROVEEDOR]],PROVEEDORES[FECHA DE PAGO],"")</f>
        <v>818443.92</v>
      </c>
      <c r="E657" s="140"/>
      <c r="F657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657" s="127">
        <v>45189</v>
      </c>
      <c r="H657" s="123" t="s">
        <v>20</v>
      </c>
      <c r="I657" s="127">
        <v>45117</v>
      </c>
      <c r="J657" s="124" t="s">
        <v>911</v>
      </c>
      <c r="K657" s="124" t="s">
        <v>1530</v>
      </c>
      <c r="L657" s="124"/>
      <c r="M657" s="125">
        <v>721284</v>
      </c>
      <c r="N657" s="148">
        <v>137043.96</v>
      </c>
      <c r="O657" s="148">
        <v>0</v>
      </c>
      <c r="P657" s="149">
        <v>0</v>
      </c>
      <c r="Q657" s="148">
        <v>0</v>
      </c>
      <c r="R657" s="150">
        <v>858327.96</v>
      </c>
      <c r="S6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7" s="135">
        <f ca="1">+IF(PROVEEDORES[[#This Row],[FECHA DE PAGO]]=0,TODAY()-PROVEEDORES[[#This Row],[FECHA DE FACTURACIÓN]]-PROVEEDORES[[#This Row],[PLAZO Días]],0)</f>
        <v>0</v>
      </c>
      <c r="U657" s="135" t="str">
        <f>+VLOOKUP(PROVEEDORES[[#This Row],[PROVEEDOR]],Terceros!$A:$D,4,FALSE)</f>
        <v>2,5% con base</v>
      </c>
      <c r="V657" s="135">
        <f>+YEAR(PROVEEDORES[[#This Row],[FECHA DE FACTURACIÓN]])</f>
        <v>2023</v>
      </c>
      <c r="W657" s="135">
        <f>+MATCH(PROVEEDORES[[#This Row],[año facturado]],Retenciones!$1:$1,0)</f>
        <v>6</v>
      </c>
      <c r="X657" s="136">
        <f>+VLOOKUP(PROVEEDORES[[#This Row],[ID RETENCION]],Retenciones!$A$1:$O$25,PROVEEDORES[[#This Row],[indicador de columna]],FALSE)</f>
        <v>1145000</v>
      </c>
      <c r="Y657" s="137">
        <f>+VLOOKUP(PROVEEDORES[[#This Row],[ID RETENCION]],Retenciones!$A$1:$O$25,2,FALSE)</f>
        <v>2.5000000000000001E-2</v>
      </c>
      <c r="Z657" s="126" t="b">
        <f>+OR(COUNTIF(PROVEEDORES[[#This Row],[PROVEEDOR]],"*"&amp;'Palabra que no opera y Listas d'!$A$2&amp;"*"))</f>
        <v>0</v>
      </c>
    </row>
    <row r="658" spans="1:26" ht="27.75" customHeight="1" x14ac:dyDescent="0.25">
      <c r="A658" s="141" t="str">
        <f>+IF(PROVEEDORES[[#This Row],[FECHA DE PAGO]]=PROVEEDORES[[#This Row],[FECHA DE FACTURACIÓN]],"DE CONTADO","CRÉDITO")</f>
        <v>CRÉDITO</v>
      </c>
      <c r="B658" s="138" t="str">
        <f>+IF((PROVEEDORES[[#This Row],[FECHA DE PAGO]]-PROVEEDORES[[#This Row],[FECHA DE FACTURACIÓN]])&gt;PROVEEDORES[[#This Row],[PLAZO Días]],"PAGO VENCIDO")</f>
        <v>PAGO VENCIDO</v>
      </c>
      <c r="C658" s="138">
        <f>+VLOOKUP(PROVEEDORES[[#This Row],[PROVEEDOR]],TERCEROS_INFO[#All],2,FALSE)</f>
        <v>30</v>
      </c>
      <c r="D658" s="139">
        <f>+SUMIFS(PROVEEDORES[Total],PROVEEDORES[PROVEEDOR],PROVEEDORES[[#This Row],[PROVEEDOR]],PROVEEDORES[FECHA DE PAGO],"")</f>
        <v>4466504.835</v>
      </c>
      <c r="E658" s="140"/>
      <c r="F658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658" s="127">
        <v>45189</v>
      </c>
      <c r="H658" s="123" t="s">
        <v>18</v>
      </c>
      <c r="I658" s="127">
        <v>45128</v>
      </c>
      <c r="J658" s="124" t="s">
        <v>910</v>
      </c>
      <c r="K658" s="124" t="s">
        <v>1530</v>
      </c>
      <c r="L658" s="124"/>
      <c r="M658" s="125">
        <v>3393918</v>
      </c>
      <c r="N658" s="148">
        <v>644844.42000000004</v>
      </c>
      <c r="O658" s="148">
        <v>0</v>
      </c>
      <c r="P658" s="149">
        <v>2.5000000000000001E-2</v>
      </c>
      <c r="Q658" s="148">
        <v>84847.950000000012</v>
      </c>
      <c r="R658" s="150">
        <v>3953914.4699999997</v>
      </c>
      <c r="S6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8" s="135">
        <f ca="1">+IF(PROVEEDORES[[#This Row],[FECHA DE PAGO]]=0,TODAY()-PROVEEDORES[[#This Row],[FECHA DE FACTURACIÓN]]-PROVEEDORES[[#This Row],[PLAZO Días]],0)</f>
        <v>0</v>
      </c>
      <c r="U658" s="135" t="str">
        <f>+VLOOKUP(PROVEEDORES[[#This Row],[PROVEEDOR]],Terceros!$A:$D,4,FALSE)</f>
        <v>2,5% con base</v>
      </c>
      <c r="V658" s="135">
        <f>+YEAR(PROVEEDORES[[#This Row],[FECHA DE FACTURACIÓN]])</f>
        <v>2023</v>
      </c>
      <c r="W658" s="135">
        <f>+MATCH(PROVEEDORES[[#This Row],[año facturado]],Retenciones!$1:$1,0)</f>
        <v>6</v>
      </c>
      <c r="X658" s="136">
        <f>+VLOOKUP(PROVEEDORES[[#This Row],[ID RETENCION]],Retenciones!$A$1:$O$25,PROVEEDORES[[#This Row],[indicador de columna]],FALSE)</f>
        <v>1145000</v>
      </c>
      <c r="Y658" s="137">
        <f>+VLOOKUP(PROVEEDORES[[#This Row],[ID RETENCION]],Retenciones!$A$1:$O$25,2,FALSE)</f>
        <v>2.5000000000000001E-2</v>
      </c>
      <c r="Z658" s="126" t="b">
        <f>+OR(COUNTIF(PROVEEDORES[[#This Row],[PROVEEDOR]],"*"&amp;'Palabra que no opera y Listas d'!$A$2&amp;"*"))</f>
        <v>0</v>
      </c>
    </row>
    <row r="659" spans="1:26" ht="27.75" customHeight="1" x14ac:dyDescent="0.25">
      <c r="A659" s="141" t="str">
        <f>+IF(PROVEEDORES[[#This Row],[FECHA DE PAGO]]=PROVEEDORES[[#This Row],[FECHA DE FACTURACIÓN]],"DE CONTADO","CRÉDITO")</f>
        <v>CRÉDITO</v>
      </c>
      <c r="B659" s="138" t="str">
        <f>+IF((PROVEEDORES[[#This Row],[FECHA DE PAGO]]-PROVEEDORES[[#This Row],[FECHA DE FACTURACIÓN]])&gt;PROVEEDORES[[#This Row],[PLAZO Días]],"PAGO VENCIDO")</f>
        <v>PAGO VENCIDO</v>
      </c>
      <c r="C659" s="138">
        <f>+VLOOKUP(PROVEEDORES[[#This Row],[PROVEEDOR]],TERCEROS_INFO[#All],2,FALSE)</f>
        <v>30</v>
      </c>
      <c r="D659" s="139">
        <f>+SUMIFS(PROVEEDORES[Total],PROVEEDORES[PROVEEDOR],PROVEEDORES[[#This Row],[PROVEEDOR]],PROVEEDORES[FECHA DE PAGO],"")</f>
        <v>4466504.835</v>
      </c>
      <c r="E659" s="140"/>
      <c r="F659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659" s="127">
        <v>45189</v>
      </c>
      <c r="H659" s="123" t="s">
        <v>18</v>
      </c>
      <c r="I659" s="127">
        <v>45134</v>
      </c>
      <c r="J659" s="124" t="s">
        <v>1035</v>
      </c>
      <c r="K659" s="124" t="s">
        <v>1530</v>
      </c>
      <c r="L659" s="124"/>
      <c r="M659" s="125">
        <v>8431200</v>
      </c>
      <c r="N659" s="148">
        <v>1601928</v>
      </c>
      <c r="O659" s="148">
        <v>0</v>
      </c>
      <c r="P659" s="149">
        <v>2.5000000000000001E-2</v>
      </c>
      <c r="Q659" s="148">
        <v>210780</v>
      </c>
      <c r="R659" s="150">
        <v>9822348</v>
      </c>
      <c r="S6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59" s="135">
        <f ca="1">+IF(PROVEEDORES[[#This Row],[FECHA DE PAGO]]=0,TODAY()-PROVEEDORES[[#This Row],[FECHA DE FACTURACIÓN]]-PROVEEDORES[[#This Row],[PLAZO Días]],0)</f>
        <v>0</v>
      </c>
      <c r="U659" s="135" t="str">
        <f>+VLOOKUP(PROVEEDORES[[#This Row],[PROVEEDOR]],Terceros!$A:$D,4,FALSE)</f>
        <v>2,5% con base</v>
      </c>
      <c r="V659" s="135">
        <f>+YEAR(PROVEEDORES[[#This Row],[FECHA DE FACTURACIÓN]])</f>
        <v>2023</v>
      </c>
      <c r="W659" s="135">
        <f>+MATCH(PROVEEDORES[[#This Row],[año facturado]],Retenciones!$1:$1,0)</f>
        <v>6</v>
      </c>
      <c r="X659" s="136">
        <f>+VLOOKUP(PROVEEDORES[[#This Row],[ID RETENCION]],Retenciones!$A$1:$O$25,PROVEEDORES[[#This Row],[indicador de columna]],FALSE)</f>
        <v>1145000</v>
      </c>
      <c r="Y659" s="137">
        <f>+VLOOKUP(PROVEEDORES[[#This Row],[ID RETENCION]],Retenciones!$A$1:$O$25,2,FALSE)</f>
        <v>2.5000000000000001E-2</v>
      </c>
      <c r="Z659" s="126" t="b">
        <f>+OR(COUNTIF(PROVEEDORES[[#This Row],[PROVEEDOR]],"*"&amp;'Palabra que no opera y Listas d'!$A$2&amp;"*"))</f>
        <v>0</v>
      </c>
    </row>
    <row r="660" spans="1:26" ht="27.75" customHeight="1" x14ac:dyDescent="0.25">
      <c r="A660" s="141" t="str">
        <f>+IF(PROVEEDORES[[#This Row],[FECHA DE PAGO]]=PROVEEDORES[[#This Row],[FECHA DE FACTURACIÓN]],"DE CONTADO","CRÉDITO")</f>
        <v>CRÉDITO</v>
      </c>
      <c r="B660" s="138" t="str">
        <f>+IF((PROVEEDORES[[#This Row],[FECHA DE PAGO]]-PROVEEDORES[[#This Row],[FECHA DE FACTURACIÓN]])&gt;PROVEEDORES[[#This Row],[PLAZO Días]],"PAGO VENCIDO")</f>
        <v>PAGO VENCIDO</v>
      </c>
      <c r="C660" s="138">
        <f>+VLOOKUP(PROVEEDORES[[#This Row],[PROVEEDOR]],TERCEROS_INFO[#All],2,FALSE)</f>
        <v>30</v>
      </c>
      <c r="D660" s="139">
        <f>+SUMIFS(PROVEEDORES[Total],PROVEEDORES[PROVEEDOR],PROVEEDORES[[#This Row],[PROVEEDOR]],PROVEEDORES[FECHA DE PAGO],"")</f>
        <v>8456975.129999999</v>
      </c>
      <c r="E660" s="140"/>
      <c r="F660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60" s="127">
        <v>45190</v>
      </c>
      <c r="H660" s="123" t="s">
        <v>1464</v>
      </c>
      <c r="I660" s="127">
        <v>45139</v>
      </c>
      <c r="J660" s="124" t="s">
        <v>998</v>
      </c>
      <c r="K660" s="124" t="s">
        <v>1530</v>
      </c>
      <c r="L660" s="124"/>
      <c r="M660" s="125">
        <v>25562</v>
      </c>
      <c r="N660" s="148">
        <v>4856.78</v>
      </c>
      <c r="O660" s="148">
        <v>0</v>
      </c>
      <c r="P660" s="149">
        <v>0</v>
      </c>
      <c r="Q660" s="148">
        <v>0</v>
      </c>
      <c r="R660" s="150">
        <v>30418.78</v>
      </c>
      <c r="S6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0" s="135">
        <f ca="1">+IF(PROVEEDORES[[#This Row],[FECHA DE PAGO]]=0,TODAY()-PROVEEDORES[[#This Row],[FECHA DE FACTURACIÓN]]-PROVEEDORES[[#This Row],[PLAZO Días]],0)</f>
        <v>0</v>
      </c>
      <c r="U660" s="135" t="str">
        <f>+VLOOKUP(PROVEEDORES[[#This Row],[PROVEEDOR]],Terceros!$A:$D,4,FALSE)</f>
        <v>2,5% con base</v>
      </c>
      <c r="V660" s="135">
        <f>+YEAR(PROVEEDORES[[#This Row],[FECHA DE FACTURACIÓN]])</f>
        <v>2023</v>
      </c>
      <c r="W660" s="135">
        <f>+MATCH(PROVEEDORES[[#This Row],[año facturado]],Retenciones!$1:$1,0)</f>
        <v>6</v>
      </c>
      <c r="X660" s="136">
        <f>+VLOOKUP(PROVEEDORES[[#This Row],[ID RETENCION]],Retenciones!$A$1:$O$25,PROVEEDORES[[#This Row],[indicador de columna]],FALSE)</f>
        <v>1145000</v>
      </c>
      <c r="Y660" s="137">
        <f>+VLOOKUP(PROVEEDORES[[#This Row],[ID RETENCION]],Retenciones!$A$1:$O$25,2,FALSE)</f>
        <v>2.5000000000000001E-2</v>
      </c>
      <c r="Z660" s="126" t="b">
        <f>+OR(COUNTIF(PROVEEDORES[[#This Row],[PROVEEDOR]],"*"&amp;'Palabra que no opera y Listas d'!$A$2&amp;"*"))</f>
        <v>0</v>
      </c>
    </row>
    <row r="661" spans="1:26" ht="27.75" customHeight="1" x14ac:dyDescent="0.25">
      <c r="A661" s="141" t="str">
        <f>+IF(PROVEEDORES[[#This Row],[FECHA DE PAGO]]=PROVEEDORES[[#This Row],[FECHA DE FACTURACIÓN]],"DE CONTADO","CRÉDITO")</f>
        <v>CRÉDITO</v>
      </c>
      <c r="B661" s="138" t="b">
        <f>+IF((PROVEEDORES[[#This Row],[FECHA DE PAGO]]-PROVEEDORES[[#This Row],[FECHA DE FACTURACIÓN]])&gt;PROVEEDORES[[#This Row],[PLAZO Días]],"PAGO VENCIDO")</f>
        <v>0</v>
      </c>
      <c r="C661" s="138">
        <f>+VLOOKUP(PROVEEDORES[[#This Row],[PROVEEDOR]],TERCEROS_INFO[#All],2,FALSE)</f>
        <v>30</v>
      </c>
      <c r="D661" s="139">
        <f>+SUMIFS(PROVEEDORES[Total],PROVEEDORES[PROVEEDOR],PROVEEDORES[[#This Row],[PROVEEDOR]],PROVEEDORES[FECHA DE PAGO],"")</f>
        <v>1776037.21</v>
      </c>
      <c r="E661" s="140"/>
      <c r="F661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661" s="127">
        <v>45190</v>
      </c>
      <c r="H661" s="123" t="s">
        <v>17</v>
      </c>
      <c r="I661" s="127">
        <v>45160</v>
      </c>
      <c r="J661" s="124" t="s">
        <v>989</v>
      </c>
      <c r="K661" s="124" t="s">
        <v>1530</v>
      </c>
      <c r="L661" s="124"/>
      <c r="M661" s="125">
        <v>614158</v>
      </c>
      <c r="N661" s="148">
        <v>116690.02</v>
      </c>
      <c r="O661" s="148">
        <v>0</v>
      </c>
      <c r="P661" s="149">
        <v>0</v>
      </c>
      <c r="Q661" s="148">
        <v>0</v>
      </c>
      <c r="R661" s="150">
        <v>730848.02</v>
      </c>
      <c r="S6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1" s="135">
        <f ca="1">+IF(PROVEEDORES[[#This Row],[FECHA DE PAGO]]=0,TODAY()-PROVEEDORES[[#This Row],[FECHA DE FACTURACIÓN]]-PROVEEDORES[[#This Row],[PLAZO Días]],0)</f>
        <v>0</v>
      </c>
      <c r="U661" s="135">
        <f>+VLOOKUP(PROVEEDORES[[#This Row],[PROVEEDOR]],Terceros!$A:$D,4,FALSE)</f>
        <v>0</v>
      </c>
      <c r="V661" s="135">
        <f>+YEAR(PROVEEDORES[[#This Row],[FECHA DE FACTURACIÓN]])</f>
        <v>2023</v>
      </c>
      <c r="W661" s="135">
        <f>+MATCH(PROVEEDORES[[#This Row],[año facturado]],Retenciones!$1:$1,0)</f>
        <v>6</v>
      </c>
      <c r="X661" s="136">
        <f>+VLOOKUP(PROVEEDORES[[#This Row],[ID RETENCION]],Retenciones!$A$1:$O$25,PROVEEDORES[[#This Row],[indicador de columna]],FALSE)</f>
        <v>0</v>
      </c>
      <c r="Y661" s="137">
        <f>+VLOOKUP(PROVEEDORES[[#This Row],[ID RETENCION]],Retenciones!$A$1:$O$25,2,FALSE)</f>
        <v>0</v>
      </c>
      <c r="Z661" s="126" t="b">
        <f>+OR(COUNTIF(PROVEEDORES[[#This Row],[PROVEEDOR]],"*"&amp;'Palabra que no opera y Listas d'!$A$2&amp;"*"))</f>
        <v>0</v>
      </c>
    </row>
    <row r="662" spans="1:26" ht="27.75" customHeight="1" x14ac:dyDescent="0.25">
      <c r="A662" s="141" t="str">
        <f>+IF(PROVEEDORES[[#This Row],[FECHA DE PAGO]]=PROVEEDORES[[#This Row],[FECHA DE FACTURACIÓN]],"DE CONTADO","CRÉDITO")</f>
        <v>CRÉDITO</v>
      </c>
      <c r="B662" s="138" t="str">
        <f>+IF((PROVEEDORES[[#This Row],[FECHA DE PAGO]]-PROVEEDORES[[#This Row],[FECHA DE FACTURACIÓN]])&gt;PROVEEDORES[[#This Row],[PLAZO Días]],"PAGO VENCIDO")</f>
        <v>PAGO VENCIDO</v>
      </c>
      <c r="C662" s="138">
        <f>+VLOOKUP(PROVEEDORES[[#This Row],[PROVEEDOR]],TERCEROS_INFO[#All],2,FALSE)</f>
        <v>30</v>
      </c>
      <c r="D662" s="139">
        <f>+SUMIFS(PROVEEDORES[Total],PROVEEDORES[PROVEEDOR],PROVEEDORES[[#This Row],[PROVEEDOR]],PROVEEDORES[FECHA DE PAGO],"")</f>
        <v>9349257.8100000005</v>
      </c>
      <c r="E662" s="140"/>
      <c r="F662" s="13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62" s="127">
        <v>45191</v>
      </c>
      <c r="H662" s="123" t="s">
        <v>226</v>
      </c>
      <c r="I662" s="127">
        <v>45108</v>
      </c>
      <c r="J662" s="124" t="s">
        <v>920</v>
      </c>
      <c r="K662" s="124" t="s">
        <v>1530</v>
      </c>
      <c r="L662" s="124"/>
      <c r="M662" s="125">
        <v>4879238</v>
      </c>
      <c r="N662" s="148">
        <v>927055.22</v>
      </c>
      <c r="O662" s="148">
        <v>0</v>
      </c>
      <c r="P662" s="149">
        <v>2.5000000000000001E-2</v>
      </c>
      <c r="Q662" s="148">
        <v>121980.95000000001</v>
      </c>
      <c r="R662" s="150">
        <v>5684312.2699999996</v>
      </c>
      <c r="S6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2" s="135">
        <f ca="1">+IF(PROVEEDORES[[#This Row],[FECHA DE PAGO]]=0,TODAY()-PROVEEDORES[[#This Row],[FECHA DE FACTURACIÓN]]-PROVEEDORES[[#This Row],[PLAZO Días]],0)</f>
        <v>0</v>
      </c>
      <c r="U662" s="135" t="str">
        <f>+VLOOKUP(PROVEEDORES[[#This Row],[PROVEEDOR]],Terceros!$A:$D,4,FALSE)</f>
        <v>2,5% con base</v>
      </c>
      <c r="V662" s="135">
        <f>+YEAR(PROVEEDORES[[#This Row],[FECHA DE FACTURACIÓN]])</f>
        <v>2023</v>
      </c>
      <c r="W662" s="135">
        <f>+MATCH(PROVEEDORES[[#This Row],[año facturado]],Retenciones!$1:$1,0)</f>
        <v>6</v>
      </c>
      <c r="X662" s="136">
        <f>+VLOOKUP(PROVEEDORES[[#This Row],[ID RETENCION]],Retenciones!$A$1:$O$25,PROVEEDORES[[#This Row],[indicador de columna]],FALSE)</f>
        <v>1145000</v>
      </c>
      <c r="Y662" s="137">
        <f>+VLOOKUP(PROVEEDORES[[#This Row],[ID RETENCION]],Retenciones!$A$1:$O$25,2,FALSE)</f>
        <v>2.5000000000000001E-2</v>
      </c>
      <c r="Z662" s="126" t="b">
        <f>+OR(COUNTIF(PROVEEDORES[[#This Row],[PROVEEDOR]],"*"&amp;'Palabra que no opera y Listas d'!$A$2&amp;"*"))</f>
        <v>0</v>
      </c>
    </row>
    <row r="663" spans="1:26" ht="27.75" customHeight="1" x14ac:dyDescent="0.25">
      <c r="A663" s="141" t="str">
        <f>+IF(PROVEEDORES[[#This Row],[FECHA DE PAGO]]=PROVEEDORES[[#This Row],[FECHA DE FACTURACIÓN]],"DE CONTADO","CRÉDITO")</f>
        <v>CRÉDITO</v>
      </c>
      <c r="B663" s="138" t="str">
        <f>+IF((PROVEEDORES[[#This Row],[FECHA DE PAGO]]-PROVEEDORES[[#This Row],[FECHA DE FACTURACIÓN]])&gt;PROVEEDORES[[#This Row],[PLAZO Días]],"PAGO VENCIDO")</f>
        <v>PAGO VENCIDO</v>
      </c>
      <c r="C663" s="138">
        <f>+VLOOKUP(PROVEEDORES[[#This Row],[PROVEEDOR]],TERCEROS_INFO[#All],2,FALSE)</f>
        <v>30</v>
      </c>
      <c r="D663" s="139">
        <f>+SUMIFS(PROVEEDORES[Total],PROVEEDORES[PROVEEDOR],PROVEEDORES[[#This Row],[PROVEEDOR]],PROVEEDORES[FECHA DE PAGO],"")</f>
        <v>0</v>
      </c>
      <c r="E663" s="140"/>
      <c r="F663" s="13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663" s="127">
        <v>45191</v>
      </c>
      <c r="H663" s="123" t="s">
        <v>1592</v>
      </c>
      <c r="I663" s="127">
        <v>45124</v>
      </c>
      <c r="J663" s="124" t="s">
        <v>925</v>
      </c>
      <c r="K663" s="124" t="s">
        <v>1530</v>
      </c>
      <c r="L663" s="124"/>
      <c r="M663" s="125">
        <v>1952200</v>
      </c>
      <c r="N663" s="148">
        <v>370918</v>
      </c>
      <c r="O663" s="148">
        <v>0</v>
      </c>
      <c r="P663" s="149">
        <v>2.5000000000000001E-2</v>
      </c>
      <c r="Q663" s="148">
        <v>48805</v>
      </c>
      <c r="R663" s="150">
        <v>2274313</v>
      </c>
      <c r="S6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3" s="135">
        <f ca="1">+IF(PROVEEDORES[[#This Row],[FECHA DE PAGO]]=0,TODAY()-PROVEEDORES[[#This Row],[FECHA DE FACTURACIÓN]]-PROVEEDORES[[#This Row],[PLAZO Días]],0)</f>
        <v>0</v>
      </c>
      <c r="U663" s="135" t="str">
        <f>+VLOOKUP(PROVEEDORES[[#This Row],[PROVEEDOR]],Terceros!$A:$D,4,FALSE)</f>
        <v>2,5% con base</v>
      </c>
      <c r="V663" s="135">
        <f>+YEAR(PROVEEDORES[[#This Row],[FECHA DE FACTURACIÓN]])</f>
        <v>2023</v>
      </c>
      <c r="W663" s="135">
        <f>+MATCH(PROVEEDORES[[#This Row],[año facturado]],Retenciones!$1:$1,0)</f>
        <v>6</v>
      </c>
      <c r="X663" s="136">
        <f>+VLOOKUP(PROVEEDORES[[#This Row],[ID RETENCION]],Retenciones!$A$1:$O$25,PROVEEDORES[[#This Row],[indicador de columna]],FALSE)</f>
        <v>1145000</v>
      </c>
      <c r="Y663" s="137">
        <f>+VLOOKUP(PROVEEDORES[[#This Row],[ID RETENCION]],Retenciones!$A$1:$O$25,2,FALSE)</f>
        <v>2.5000000000000001E-2</v>
      </c>
      <c r="Z663" s="126" t="b">
        <f>+OR(COUNTIF(PROVEEDORES[[#This Row],[PROVEEDOR]],"*"&amp;'Palabra que no opera y Listas d'!$A$2&amp;"*"))</f>
        <v>0</v>
      </c>
    </row>
    <row r="664" spans="1:26" ht="27.75" customHeight="1" x14ac:dyDescent="0.25">
      <c r="A664" s="141" t="str">
        <f>+IF(PROVEEDORES[[#This Row],[FECHA DE PAGO]]=PROVEEDORES[[#This Row],[FECHA DE FACTURACIÓN]],"DE CONTADO","CRÉDITO")</f>
        <v>CRÉDITO</v>
      </c>
      <c r="B664" s="138" t="str">
        <f>+IF((PROVEEDORES[[#This Row],[FECHA DE PAGO]]-PROVEEDORES[[#This Row],[FECHA DE FACTURACIÓN]])&gt;PROVEEDORES[[#This Row],[PLAZO Días]],"PAGO VENCIDO")</f>
        <v>PAGO VENCIDO</v>
      </c>
      <c r="C664" s="138">
        <f>+VLOOKUP(PROVEEDORES[[#This Row],[PROVEEDOR]],TERCEROS_INFO[#All],2,FALSE)</f>
        <v>30</v>
      </c>
      <c r="D664" s="139">
        <f>+SUMIFS(PROVEEDORES[Total],PROVEEDORES[PROVEEDOR],PROVEEDORES[[#This Row],[PROVEEDOR]],PROVEEDORES[FECHA DE PAGO],"")</f>
        <v>5427539.2800000003</v>
      </c>
      <c r="E664" s="140"/>
      <c r="F664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664" s="127">
        <v>45191</v>
      </c>
      <c r="H664" s="123" t="s">
        <v>11</v>
      </c>
      <c r="I664" s="127">
        <v>45133</v>
      </c>
      <c r="J664" s="124" t="s">
        <v>935</v>
      </c>
      <c r="K664" s="124" t="s">
        <v>1530</v>
      </c>
      <c r="L664" s="124"/>
      <c r="M664" s="125">
        <v>1552944</v>
      </c>
      <c r="N664" s="148">
        <v>295059.36</v>
      </c>
      <c r="O664" s="148">
        <v>0</v>
      </c>
      <c r="P664" s="149">
        <v>2.5000000000000001E-2</v>
      </c>
      <c r="Q664" s="148">
        <v>38823.599999999999</v>
      </c>
      <c r="R664" s="150">
        <v>1809179.7599999998</v>
      </c>
      <c r="S6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4" s="135">
        <f ca="1">+IF(PROVEEDORES[[#This Row],[FECHA DE PAGO]]=0,TODAY()-PROVEEDORES[[#This Row],[FECHA DE FACTURACIÓN]]-PROVEEDORES[[#This Row],[PLAZO Días]],0)</f>
        <v>0</v>
      </c>
      <c r="U664" s="135" t="str">
        <f>+VLOOKUP(PROVEEDORES[[#This Row],[PROVEEDOR]],Terceros!$A:$D,4,FALSE)</f>
        <v>2,5% con base</v>
      </c>
      <c r="V664" s="135">
        <f>+YEAR(PROVEEDORES[[#This Row],[FECHA DE FACTURACIÓN]])</f>
        <v>2023</v>
      </c>
      <c r="W664" s="135">
        <f>+MATCH(PROVEEDORES[[#This Row],[año facturado]],Retenciones!$1:$1,0)</f>
        <v>6</v>
      </c>
      <c r="X664" s="136">
        <f>+VLOOKUP(PROVEEDORES[[#This Row],[ID RETENCION]],Retenciones!$A$1:$O$25,PROVEEDORES[[#This Row],[indicador de columna]],FALSE)</f>
        <v>1145000</v>
      </c>
      <c r="Y664" s="137">
        <f>+VLOOKUP(PROVEEDORES[[#This Row],[ID RETENCION]],Retenciones!$A$1:$O$25,2,FALSE)</f>
        <v>2.5000000000000001E-2</v>
      </c>
      <c r="Z664" s="126" t="b">
        <f>+OR(COUNTIF(PROVEEDORES[[#This Row],[PROVEEDOR]],"*"&amp;'Palabra que no opera y Listas d'!$A$2&amp;"*"))</f>
        <v>0</v>
      </c>
    </row>
    <row r="665" spans="1:26" ht="27.75" customHeight="1" x14ac:dyDescent="0.25">
      <c r="A665" s="141" t="str">
        <f>+IF(PROVEEDORES[[#This Row],[FECHA DE PAGO]]=PROVEEDORES[[#This Row],[FECHA DE FACTURACIÓN]],"DE CONTADO","CRÉDITO")</f>
        <v>CRÉDITO</v>
      </c>
      <c r="B665" s="138" t="str">
        <f>+IF((PROVEEDORES[[#This Row],[FECHA DE PAGO]]-PROVEEDORES[[#This Row],[FECHA DE FACTURACIÓN]])&gt;PROVEEDORES[[#This Row],[PLAZO Días]],"PAGO VENCIDO")</f>
        <v>PAGO VENCIDO</v>
      </c>
      <c r="C665" s="138">
        <f>+VLOOKUP(PROVEEDORES[[#This Row],[PROVEEDOR]],TERCEROS_INFO[#All],2,FALSE)</f>
        <v>30</v>
      </c>
      <c r="D665" s="139">
        <f>+SUMIFS(PROVEEDORES[Total],PROVEEDORES[PROVEEDOR],PROVEEDORES[[#This Row],[PROVEEDOR]],PROVEEDORES[FECHA DE PAGO],"")</f>
        <v>9349257.8100000005</v>
      </c>
      <c r="E665" s="140"/>
      <c r="F665" s="13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665" s="127">
        <v>45191</v>
      </c>
      <c r="H665" s="123" t="s">
        <v>226</v>
      </c>
      <c r="I665" s="127">
        <v>45156</v>
      </c>
      <c r="J665" s="124" t="s">
        <v>1008</v>
      </c>
      <c r="K665" s="124" t="s">
        <v>1530</v>
      </c>
      <c r="L665" s="124"/>
      <c r="M665" s="125">
        <v>1000204</v>
      </c>
      <c r="N665" s="148">
        <v>190038.76</v>
      </c>
      <c r="O665" s="148">
        <v>0</v>
      </c>
      <c r="P665" s="149">
        <v>0</v>
      </c>
      <c r="Q665" s="148">
        <v>0</v>
      </c>
      <c r="R665" s="150">
        <v>1190242.76</v>
      </c>
      <c r="S6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5" s="135">
        <f ca="1">+IF(PROVEEDORES[[#This Row],[FECHA DE PAGO]]=0,TODAY()-PROVEEDORES[[#This Row],[FECHA DE FACTURACIÓN]]-PROVEEDORES[[#This Row],[PLAZO Días]],0)</f>
        <v>0</v>
      </c>
      <c r="U665" s="135" t="str">
        <f>+VLOOKUP(PROVEEDORES[[#This Row],[PROVEEDOR]],Terceros!$A:$D,4,FALSE)</f>
        <v>2,5% con base</v>
      </c>
      <c r="V665" s="135">
        <f>+YEAR(PROVEEDORES[[#This Row],[FECHA DE FACTURACIÓN]])</f>
        <v>2023</v>
      </c>
      <c r="W665" s="135">
        <f>+MATCH(PROVEEDORES[[#This Row],[año facturado]],Retenciones!$1:$1,0)</f>
        <v>6</v>
      </c>
      <c r="X665" s="136">
        <f>+VLOOKUP(PROVEEDORES[[#This Row],[ID RETENCION]],Retenciones!$A$1:$O$25,PROVEEDORES[[#This Row],[indicador de columna]],FALSE)</f>
        <v>1145000</v>
      </c>
      <c r="Y665" s="137">
        <f>+VLOOKUP(PROVEEDORES[[#This Row],[ID RETENCION]],Retenciones!$A$1:$O$25,2,FALSE)</f>
        <v>2.5000000000000001E-2</v>
      </c>
      <c r="Z665" s="126" t="b">
        <f>+OR(COUNTIF(PROVEEDORES[[#This Row],[PROVEEDOR]],"*"&amp;'Palabra que no opera y Listas d'!$A$2&amp;"*"))</f>
        <v>0</v>
      </c>
    </row>
    <row r="666" spans="1:26" ht="27.75" customHeight="1" x14ac:dyDescent="0.25">
      <c r="A666" s="141" t="str">
        <f>+IF(PROVEEDORES[[#This Row],[FECHA DE PAGO]]=PROVEEDORES[[#This Row],[FECHA DE FACTURACIÓN]],"DE CONTADO","CRÉDITO")</f>
        <v>CRÉDITO</v>
      </c>
      <c r="B666" s="138" t="b">
        <f>+IF((PROVEEDORES[[#This Row],[FECHA DE PAGO]]-PROVEEDORES[[#This Row],[FECHA DE FACTURACIÓN]])&gt;PROVEEDORES[[#This Row],[PLAZO Días]],"PAGO VENCIDO")</f>
        <v>0</v>
      </c>
      <c r="C666" s="138">
        <f>+VLOOKUP(PROVEEDORES[[#This Row],[PROVEEDOR]],TERCEROS_INFO[#All],2,FALSE)</f>
        <v>30</v>
      </c>
      <c r="D666" s="139">
        <f>+SUMIFS(PROVEEDORES[Total],PROVEEDORES[PROVEEDOR],PROVEEDORES[[#This Row],[PROVEEDOR]],PROVEEDORES[FECHA DE PAGO],"")</f>
        <v>0</v>
      </c>
      <c r="E666" s="140"/>
      <c r="F666" s="138">
        <f>+VLOOKUP(PROVEEDORES[[#This Row],[PROVEEDOR]],
                       Terceros!$A:$F,
                       5,
                       FALSE)</f>
        <v>0</v>
      </c>
      <c r="G666" s="127">
        <v>45191</v>
      </c>
      <c r="H666" s="123" t="s">
        <v>291</v>
      </c>
      <c r="I666" s="127">
        <v>45190</v>
      </c>
      <c r="J666" s="124" t="s">
        <v>1070</v>
      </c>
      <c r="K666" s="124" t="s">
        <v>1530</v>
      </c>
      <c r="L666" s="124"/>
      <c r="M666" s="125">
        <v>1669877</v>
      </c>
      <c r="N666" s="148">
        <v>317276.63</v>
      </c>
      <c r="O666" s="148">
        <v>0</v>
      </c>
      <c r="P666" s="149">
        <v>2.5000000000000001E-2</v>
      </c>
      <c r="Q666" s="148">
        <v>41746.925000000003</v>
      </c>
      <c r="R666" s="150">
        <v>1945406.7049999998</v>
      </c>
      <c r="S6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6" s="135">
        <f ca="1">+IF(PROVEEDORES[[#This Row],[FECHA DE PAGO]]=0,TODAY()-PROVEEDORES[[#This Row],[FECHA DE FACTURACIÓN]]-PROVEEDORES[[#This Row],[PLAZO Días]],0)</f>
        <v>0</v>
      </c>
      <c r="U666" s="135" t="str">
        <f>+VLOOKUP(PROVEEDORES[[#This Row],[PROVEEDOR]],Terceros!$A:$D,4,FALSE)</f>
        <v>2,5% con base</v>
      </c>
      <c r="V666" s="135">
        <f>+YEAR(PROVEEDORES[[#This Row],[FECHA DE FACTURACIÓN]])</f>
        <v>2023</v>
      </c>
      <c r="W666" s="135">
        <f>+MATCH(PROVEEDORES[[#This Row],[año facturado]],Retenciones!$1:$1,0)</f>
        <v>6</v>
      </c>
      <c r="X666" s="136">
        <f>+VLOOKUP(PROVEEDORES[[#This Row],[ID RETENCION]],Retenciones!$A$1:$O$25,PROVEEDORES[[#This Row],[indicador de columna]],FALSE)</f>
        <v>1145000</v>
      </c>
      <c r="Y666" s="137">
        <f>+VLOOKUP(PROVEEDORES[[#This Row],[ID RETENCION]],Retenciones!$A$1:$O$25,2,FALSE)</f>
        <v>2.5000000000000001E-2</v>
      </c>
      <c r="Z666" s="126" t="b">
        <f>+OR(COUNTIF(PROVEEDORES[[#This Row],[PROVEEDOR]],"*"&amp;'Palabra que no opera y Listas d'!$A$2&amp;"*"))</f>
        <v>0</v>
      </c>
    </row>
    <row r="667" spans="1:26" ht="27.75" customHeight="1" x14ac:dyDescent="0.25">
      <c r="A667" s="141" t="str">
        <f>+IF(PROVEEDORES[[#This Row],[FECHA DE PAGO]]=PROVEEDORES[[#This Row],[FECHA DE FACTURACIÓN]],"DE CONTADO","CRÉDITO")</f>
        <v>DE CONTADO</v>
      </c>
      <c r="B667" s="138" t="b">
        <f>+IF((PROVEEDORES[[#This Row],[FECHA DE PAGO]]-PROVEEDORES[[#This Row],[FECHA DE FACTURACIÓN]])&gt;PROVEEDORES[[#This Row],[PLAZO Días]],"PAGO VENCIDO")</f>
        <v>0</v>
      </c>
      <c r="C667" s="138">
        <f>+VLOOKUP(PROVEEDORES[[#This Row],[PROVEEDOR]],TERCEROS_INFO[#All],2,FALSE)</f>
        <v>0</v>
      </c>
      <c r="D667" s="139">
        <f>+SUMIFS(PROVEEDORES[Total],PROVEEDORES[PROVEEDOR],PROVEEDORES[[#This Row],[PROVEEDOR]],PROVEEDORES[FECHA DE PAGO],"")</f>
        <v>0</v>
      </c>
      <c r="E667" s="140"/>
      <c r="F667" s="138">
        <f>+VLOOKUP(PROVEEDORES[[#This Row],[PROVEEDOR]],
                       Terceros!$A:$F,
                       5,
                       FALSE)</f>
        <v>0</v>
      </c>
      <c r="G667" s="127">
        <v>45191</v>
      </c>
      <c r="H667" s="123" t="s">
        <v>980</v>
      </c>
      <c r="I667" s="127">
        <v>45191</v>
      </c>
      <c r="J667" s="124" t="s">
        <v>1046</v>
      </c>
      <c r="K667" s="124" t="s">
        <v>1530</v>
      </c>
      <c r="L667" s="124"/>
      <c r="M667" s="125">
        <v>105212</v>
      </c>
      <c r="N667" s="148">
        <v>19990.28</v>
      </c>
      <c r="O667" s="148">
        <v>0</v>
      </c>
      <c r="P667" s="149">
        <v>0.11</v>
      </c>
      <c r="Q667" s="148">
        <v>11573.32</v>
      </c>
      <c r="R667" s="150">
        <v>113628.95999999999</v>
      </c>
      <c r="S6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7" s="135">
        <f ca="1">+IF(PROVEEDORES[[#This Row],[FECHA DE PAGO]]=0,TODAY()-PROVEEDORES[[#This Row],[FECHA DE FACTURACIÓN]]-PROVEEDORES[[#This Row],[PLAZO Días]],0)</f>
        <v>0</v>
      </c>
      <c r="U667" s="135" t="str">
        <f>+VLOOKUP(PROVEEDORES[[#This Row],[PROVEEDOR]],Terceros!$A:$D,4,FALSE)</f>
        <v>11% sin base</v>
      </c>
      <c r="V667" s="135">
        <f>+YEAR(PROVEEDORES[[#This Row],[FECHA DE FACTURACIÓN]])</f>
        <v>2023</v>
      </c>
      <c r="W667" s="135">
        <f>+MATCH(PROVEEDORES[[#This Row],[año facturado]],Retenciones!$1:$1,0)</f>
        <v>6</v>
      </c>
      <c r="X667" s="136">
        <f>+VLOOKUP(PROVEEDORES[[#This Row],[ID RETENCION]],Retenciones!$A$1:$O$25,PROVEEDORES[[#This Row],[indicador de columna]],FALSE)</f>
        <v>0</v>
      </c>
      <c r="Y667" s="137">
        <f>+VLOOKUP(PROVEEDORES[[#This Row],[ID RETENCION]],Retenciones!$A$1:$O$25,2,FALSE)</f>
        <v>0.11</v>
      </c>
      <c r="Z667" s="126" t="b">
        <f>+OR(COUNTIF(PROVEEDORES[[#This Row],[PROVEEDOR]],"*"&amp;'Palabra que no opera y Listas d'!$A$2&amp;"*"))</f>
        <v>0</v>
      </c>
    </row>
    <row r="668" spans="1:26" ht="27.75" customHeight="1" x14ac:dyDescent="0.25">
      <c r="A668" s="141" t="str">
        <f>+IF(PROVEEDORES[[#This Row],[FECHA DE PAGO]]=PROVEEDORES[[#This Row],[FECHA DE FACTURACIÓN]],"DE CONTADO","CRÉDITO")</f>
        <v>DE CONTADO</v>
      </c>
      <c r="B668" s="138" t="b">
        <f>+IF((PROVEEDORES[[#This Row],[FECHA DE PAGO]]-PROVEEDORES[[#This Row],[FECHA DE FACTURACIÓN]])&gt;PROVEEDORES[[#This Row],[PLAZO Días]],"PAGO VENCIDO")</f>
        <v>0</v>
      </c>
      <c r="C668" s="138">
        <f>+VLOOKUP(PROVEEDORES[[#This Row],[PROVEEDOR]],TERCEROS_INFO[#All],2,FALSE)</f>
        <v>30</v>
      </c>
      <c r="D668" s="139">
        <f>+SUMIFS(PROVEEDORES[Total],PROVEEDORES[PROVEEDOR],PROVEEDORES[[#This Row],[PROVEEDOR]],PROVEEDORES[FECHA DE PAGO],"")</f>
        <v>1350000</v>
      </c>
      <c r="E668" s="140"/>
      <c r="F668" s="138" t="str">
        <f>+VLOOKUP(PROVEEDORES[[#This Row],[PROVEEDOR]],
                       Terceros!$A:$F,
                       5,
                       FALSE)</f>
        <v/>
      </c>
      <c r="G668" s="127">
        <v>45192</v>
      </c>
      <c r="H668" s="123" t="s">
        <v>1807</v>
      </c>
      <c r="I668" s="127">
        <v>45192</v>
      </c>
      <c r="J668" s="124" t="s">
        <v>1104</v>
      </c>
      <c r="K668" s="124" t="s">
        <v>1530</v>
      </c>
      <c r="L668" s="124"/>
      <c r="M668" s="125">
        <v>900000</v>
      </c>
      <c r="N668" s="148">
        <v>0</v>
      </c>
      <c r="O668" s="148">
        <v>0</v>
      </c>
      <c r="P668" s="149">
        <v>0</v>
      </c>
      <c r="Q668" s="148">
        <v>0</v>
      </c>
      <c r="R668" s="150">
        <v>900000</v>
      </c>
      <c r="S6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8" s="135">
        <f ca="1">+IF(PROVEEDORES[[#This Row],[FECHA DE PAGO]]=0,TODAY()-PROVEEDORES[[#This Row],[FECHA DE FACTURACIÓN]]-PROVEEDORES[[#This Row],[PLAZO Días]],0)</f>
        <v>0</v>
      </c>
      <c r="U668" s="135">
        <f>+VLOOKUP(PROVEEDORES[[#This Row],[PROVEEDOR]],Terceros!$A:$D,4,FALSE)</f>
        <v>0</v>
      </c>
      <c r="V668" s="135">
        <f>+YEAR(PROVEEDORES[[#This Row],[FECHA DE FACTURACIÓN]])</f>
        <v>2023</v>
      </c>
      <c r="W668" s="135">
        <f>+MATCH(PROVEEDORES[[#This Row],[año facturado]],Retenciones!$1:$1,0)</f>
        <v>6</v>
      </c>
      <c r="X668" s="136">
        <f>+VLOOKUP(PROVEEDORES[[#This Row],[ID RETENCION]],Retenciones!$A$1:$O$25,PROVEEDORES[[#This Row],[indicador de columna]],FALSE)</f>
        <v>0</v>
      </c>
      <c r="Y668" s="137">
        <f>+VLOOKUP(PROVEEDORES[[#This Row],[ID RETENCION]],Retenciones!$A$1:$O$25,2,FALSE)</f>
        <v>0</v>
      </c>
      <c r="Z668" s="126" t="b">
        <f>+OR(COUNTIF(PROVEEDORES[[#This Row],[PROVEEDOR]],"*"&amp;'Palabra que no opera y Listas d'!$A$2&amp;"*"))</f>
        <v>0</v>
      </c>
    </row>
    <row r="669" spans="1:26" ht="27.75" customHeight="1" x14ac:dyDescent="0.25">
      <c r="A669" s="141" t="str">
        <f>+IF(PROVEEDORES[[#This Row],[FECHA DE PAGO]]=PROVEEDORES[[#This Row],[FECHA DE FACTURACIÓN]],"DE CONTADO","CRÉDITO")</f>
        <v>CRÉDITO</v>
      </c>
      <c r="B669" s="138" t="str">
        <f>+IF((PROVEEDORES[[#This Row],[FECHA DE PAGO]]-PROVEEDORES[[#This Row],[FECHA DE FACTURACIÓN]])&gt;PROVEEDORES[[#This Row],[PLAZO Días]],"PAGO VENCIDO")</f>
        <v>PAGO VENCIDO</v>
      </c>
      <c r="C669" s="138">
        <f>+VLOOKUP(PROVEEDORES[[#This Row],[PROVEEDOR]],TERCEROS_INFO[#All],2,FALSE)</f>
        <v>30</v>
      </c>
      <c r="D669" s="139">
        <f>+SUMIFS(PROVEEDORES[Total],PROVEEDORES[PROVEEDOR],PROVEEDORES[[#This Row],[PROVEEDOR]],PROVEEDORES[FECHA DE PAGO],"")</f>
        <v>134000</v>
      </c>
      <c r="E669" s="140"/>
      <c r="F669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69" s="127">
        <v>45194</v>
      </c>
      <c r="H669" s="123" t="s">
        <v>1808</v>
      </c>
      <c r="I669" s="127">
        <v>45055</v>
      </c>
      <c r="J669" s="124">
        <v>4136</v>
      </c>
      <c r="K669" s="124" t="s">
        <v>1530</v>
      </c>
      <c r="L669" s="124"/>
      <c r="M669" s="125">
        <v>44000</v>
      </c>
      <c r="N669" s="148">
        <v>0</v>
      </c>
      <c r="O669" s="148">
        <v>0</v>
      </c>
      <c r="P669" s="149">
        <v>0</v>
      </c>
      <c r="Q669" s="148">
        <v>0</v>
      </c>
      <c r="R669" s="150">
        <v>44000</v>
      </c>
      <c r="S6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69" s="135">
        <f ca="1">+IF(PROVEEDORES[[#This Row],[FECHA DE PAGO]]=0,TODAY()-PROVEEDORES[[#This Row],[FECHA DE FACTURACIÓN]]-PROVEEDORES[[#This Row],[PLAZO Días]],0)</f>
        <v>0</v>
      </c>
      <c r="U669" s="135">
        <f>+VLOOKUP(PROVEEDORES[[#This Row],[PROVEEDOR]],Terceros!$A:$D,4,FALSE)</f>
        <v>0</v>
      </c>
      <c r="V669" s="135">
        <f>+YEAR(PROVEEDORES[[#This Row],[FECHA DE FACTURACIÓN]])</f>
        <v>2023</v>
      </c>
      <c r="W669" s="135">
        <f>+MATCH(PROVEEDORES[[#This Row],[año facturado]],Retenciones!$1:$1,0)</f>
        <v>6</v>
      </c>
      <c r="X669" s="136">
        <f>+VLOOKUP(PROVEEDORES[[#This Row],[ID RETENCION]],Retenciones!$A$1:$O$25,PROVEEDORES[[#This Row],[indicador de columna]],FALSE)</f>
        <v>0</v>
      </c>
      <c r="Y669" s="137">
        <f>+VLOOKUP(PROVEEDORES[[#This Row],[ID RETENCION]],Retenciones!$A$1:$O$25,2,FALSE)</f>
        <v>0</v>
      </c>
      <c r="Z669" s="126" t="b">
        <f>+OR(COUNTIF(PROVEEDORES[[#This Row],[PROVEEDOR]],"*"&amp;'Palabra que no opera y Listas d'!$A$2&amp;"*"))</f>
        <v>0</v>
      </c>
    </row>
    <row r="670" spans="1:26" ht="27.75" customHeight="1" x14ac:dyDescent="0.25">
      <c r="A670" s="141" t="str">
        <f>+IF(PROVEEDORES[[#This Row],[FECHA DE PAGO]]=PROVEEDORES[[#This Row],[FECHA DE FACTURACIÓN]],"DE CONTADO","CRÉDITO")</f>
        <v>CRÉDITO</v>
      </c>
      <c r="B670" s="138" t="str">
        <f>+IF((PROVEEDORES[[#This Row],[FECHA DE PAGO]]-PROVEEDORES[[#This Row],[FECHA DE FACTURACIÓN]])&gt;PROVEEDORES[[#This Row],[PLAZO Días]],"PAGO VENCIDO")</f>
        <v>PAGO VENCIDO</v>
      </c>
      <c r="C670" s="138">
        <f>+VLOOKUP(PROVEEDORES[[#This Row],[PROVEEDOR]],TERCEROS_INFO[#All],2,FALSE)</f>
        <v>30</v>
      </c>
      <c r="D670" s="139">
        <f>+SUMIFS(PROVEEDORES[Total],PROVEEDORES[PROVEEDOR],PROVEEDORES[[#This Row],[PROVEEDOR]],PROVEEDORES[FECHA DE PAGO],"")</f>
        <v>134000</v>
      </c>
      <c r="E670" s="140"/>
      <c r="F670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70" s="127">
        <v>45194</v>
      </c>
      <c r="H670" s="123" t="s">
        <v>1808</v>
      </c>
      <c r="I670" s="127">
        <v>45078</v>
      </c>
      <c r="J670" s="124">
        <v>4186</v>
      </c>
      <c r="K670" s="124" t="s">
        <v>1530</v>
      </c>
      <c r="L670" s="124"/>
      <c r="M670" s="125">
        <v>99000</v>
      </c>
      <c r="N670" s="148">
        <v>0</v>
      </c>
      <c r="O670" s="148">
        <v>0</v>
      </c>
      <c r="P670" s="149">
        <v>0</v>
      </c>
      <c r="Q670" s="148">
        <v>0</v>
      </c>
      <c r="R670" s="150">
        <v>99000</v>
      </c>
      <c r="S6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0" s="135">
        <f ca="1">+IF(PROVEEDORES[[#This Row],[FECHA DE PAGO]]=0,TODAY()-PROVEEDORES[[#This Row],[FECHA DE FACTURACIÓN]]-PROVEEDORES[[#This Row],[PLAZO Días]],0)</f>
        <v>0</v>
      </c>
      <c r="U670" s="135">
        <f>+VLOOKUP(PROVEEDORES[[#This Row],[PROVEEDOR]],Terceros!$A:$D,4,FALSE)</f>
        <v>0</v>
      </c>
      <c r="V670" s="135">
        <f>+YEAR(PROVEEDORES[[#This Row],[FECHA DE FACTURACIÓN]])</f>
        <v>2023</v>
      </c>
      <c r="W670" s="135">
        <f>+MATCH(PROVEEDORES[[#This Row],[año facturado]],Retenciones!$1:$1,0)</f>
        <v>6</v>
      </c>
      <c r="X670" s="136">
        <f>+VLOOKUP(PROVEEDORES[[#This Row],[ID RETENCION]],Retenciones!$A$1:$O$25,PROVEEDORES[[#This Row],[indicador de columna]],FALSE)</f>
        <v>0</v>
      </c>
      <c r="Y670" s="137">
        <f>+VLOOKUP(PROVEEDORES[[#This Row],[ID RETENCION]],Retenciones!$A$1:$O$25,2,FALSE)</f>
        <v>0</v>
      </c>
      <c r="Z670" s="126" t="b">
        <f>+OR(COUNTIF(PROVEEDORES[[#This Row],[PROVEEDOR]],"*"&amp;'Palabra que no opera y Listas d'!$A$2&amp;"*"))</f>
        <v>0</v>
      </c>
    </row>
    <row r="671" spans="1:26" ht="27.75" customHeight="1" x14ac:dyDescent="0.25">
      <c r="A671" s="141" t="str">
        <f>+IF(PROVEEDORES[[#This Row],[FECHA DE PAGO]]=PROVEEDORES[[#This Row],[FECHA DE FACTURACIÓN]],"DE CONTADO","CRÉDITO")</f>
        <v>CRÉDITO</v>
      </c>
      <c r="B671" s="138" t="str">
        <f>+IF((PROVEEDORES[[#This Row],[FECHA DE PAGO]]-PROVEEDORES[[#This Row],[FECHA DE FACTURACIÓN]])&gt;PROVEEDORES[[#This Row],[PLAZO Días]],"PAGO VENCIDO")</f>
        <v>PAGO VENCIDO</v>
      </c>
      <c r="C671" s="138">
        <f>+VLOOKUP(PROVEEDORES[[#This Row],[PROVEEDOR]],TERCEROS_INFO[#All],2,FALSE)</f>
        <v>60</v>
      </c>
      <c r="D671" s="139">
        <f>+SUMIFS(PROVEEDORES[Total],PROVEEDORES[PROVEEDOR],PROVEEDORES[[#This Row],[PROVEEDOR]],PROVEEDORES[FECHA DE PAGO],"")</f>
        <v>50353355.590000004</v>
      </c>
      <c r="E671" s="140"/>
      <c r="F671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671" s="127">
        <v>45194</v>
      </c>
      <c r="H671" s="123" t="s">
        <v>9</v>
      </c>
      <c r="I671" s="127">
        <v>45100</v>
      </c>
      <c r="J671" s="124" t="s">
        <v>882</v>
      </c>
      <c r="K671" s="124" t="s">
        <v>1530</v>
      </c>
      <c r="L671" s="124"/>
      <c r="M671" s="125">
        <v>2734715</v>
      </c>
      <c r="N671" s="148">
        <v>519595.85000000003</v>
      </c>
      <c r="O671" s="148">
        <v>0</v>
      </c>
      <c r="P671" s="149">
        <v>2.5000000000000001E-2</v>
      </c>
      <c r="Q671" s="148">
        <v>68367.875</v>
      </c>
      <c r="R671" s="150">
        <v>3185942.9750000001</v>
      </c>
      <c r="S6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1" s="135">
        <f ca="1">+IF(PROVEEDORES[[#This Row],[FECHA DE PAGO]]=0,TODAY()-PROVEEDORES[[#This Row],[FECHA DE FACTURACIÓN]]-PROVEEDORES[[#This Row],[PLAZO Días]],0)</f>
        <v>0</v>
      </c>
      <c r="U671" s="135" t="str">
        <f>+VLOOKUP(PROVEEDORES[[#This Row],[PROVEEDOR]],Terceros!$A:$D,4,FALSE)</f>
        <v>2,5% con base</v>
      </c>
      <c r="V671" s="135">
        <f>+YEAR(PROVEEDORES[[#This Row],[FECHA DE FACTURACIÓN]])</f>
        <v>2023</v>
      </c>
      <c r="W671" s="135">
        <f>+MATCH(PROVEEDORES[[#This Row],[año facturado]],Retenciones!$1:$1,0)</f>
        <v>6</v>
      </c>
      <c r="X671" s="136">
        <f>+VLOOKUP(PROVEEDORES[[#This Row],[ID RETENCION]],Retenciones!$A$1:$O$25,PROVEEDORES[[#This Row],[indicador de columna]],FALSE)</f>
        <v>1145000</v>
      </c>
      <c r="Y671" s="137">
        <f>+VLOOKUP(PROVEEDORES[[#This Row],[ID RETENCION]],Retenciones!$A$1:$O$25,2,FALSE)</f>
        <v>2.5000000000000001E-2</v>
      </c>
      <c r="Z671" s="126" t="b">
        <f>+OR(COUNTIF(PROVEEDORES[[#This Row],[PROVEEDOR]],"*"&amp;'Palabra que no opera y Listas d'!$A$2&amp;"*"))</f>
        <v>0</v>
      </c>
    </row>
    <row r="672" spans="1:26" ht="27.75" customHeight="1" x14ac:dyDescent="0.25">
      <c r="A672" s="141" t="str">
        <f>+IF(PROVEEDORES[[#This Row],[FECHA DE PAGO]]=PROVEEDORES[[#This Row],[FECHA DE FACTURACIÓN]],"DE CONTADO","CRÉDITO")</f>
        <v>CRÉDITO</v>
      </c>
      <c r="B672" s="138" t="str">
        <f>+IF((PROVEEDORES[[#This Row],[FECHA DE PAGO]]-PROVEEDORES[[#This Row],[FECHA DE FACTURACIÓN]])&gt;PROVEEDORES[[#This Row],[PLAZO Días]],"PAGO VENCIDO")</f>
        <v>PAGO VENCIDO</v>
      </c>
      <c r="C672" s="138">
        <f>+VLOOKUP(PROVEEDORES[[#This Row],[PROVEEDOR]],TERCEROS_INFO[#All],2,FALSE)</f>
        <v>30</v>
      </c>
      <c r="D672" s="139">
        <f>+SUMIFS(PROVEEDORES[Total],PROVEEDORES[PROVEEDOR],PROVEEDORES[[#This Row],[PROVEEDOR]],PROVEEDORES[FECHA DE PAGO],"")</f>
        <v>352000</v>
      </c>
      <c r="E672" s="140"/>
      <c r="F672" s="138" t="str">
        <f>+VLOOKUP(PROVEEDORES[[#This Row],[PROVEEDOR]],
                       Terceros!$A:$F,
                       5,
                       FALSE)</f>
        <v/>
      </c>
      <c r="G672" s="127">
        <v>45194</v>
      </c>
      <c r="H672" s="123" t="s">
        <v>527</v>
      </c>
      <c r="I672" s="127">
        <v>45111</v>
      </c>
      <c r="J672" s="124">
        <v>57</v>
      </c>
      <c r="K672" s="124" t="s">
        <v>1530</v>
      </c>
      <c r="L672" s="124"/>
      <c r="M672" s="125">
        <v>171500</v>
      </c>
      <c r="N672" s="148">
        <v>0</v>
      </c>
      <c r="O672" s="148">
        <v>0</v>
      </c>
      <c r="P672" s="149">
        <v>0</v>
      </c>
      <c r="Q672" s="148">
        <v>0</v>
      </c>
      <c r="R672" s="150">
        <v>171500</v>
      </c>
      <c r="S6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2" s="135">
        <f ca="1">+IF(PROVEEDORES[[#This Row],[FECHA DE PAGO]]=0,TODAY()-PROVEEDORES[[#This Row],[FECHA DE FACTURACIÓN]]-PROVEEDORES[[#This Row],[PLAZO Días]],0)</f>
        <v>0</v>
      </c>
      <c r="U672" s="135">
        <f>+VLOOKUP(PROVEEDORES[[#This Row],[PROVEEDOR]],Terceros!$A:$D,4,FALSE)</f>
        <v>0</v>
      </c>
      <c r="V672" s="135">
        <f>+YEAR(PROVEEDORES[[#This Row],[FECHA DE FACTURACIÓN]])</f>
        <v>2023</v>
      </c>
      <c r="W672" s="135">
        <f>+MATCH(PROVEEDORES[[#This Row],[año facturado]],Retenciones!$1:$1,0)</f>
        <v>6</v>
      </c>
      <c r="X672" s="136">
        <f>+VLOOKUP(PROVEEDORES[[#This Row],[ID RETENCION]],Retenciones!$A$1:$O$25,PROVEEDORES[[#This Row],[indicador de columna]],FALSE)</f>
        <v>0</v>
      </c>
      <c r="Y672" s="137">
        <f>+VLOOKUP(PROVEEDORES[[#This Row],[ID RETENCION]],Retenciones!$A$1:$O$25,2,FALSE)</f>
        <v>0</v>
      </c>
      <c r="Z672" s="126" t="b">
        <f>+OR(COUNTIF(PROVEEDORES[[#This Row],[PROVEEDOR]],"*"&amp;'Palabra que no opera y Listas d'!$A$2&amp;"*"))</f>
        <v>0</v>
      </c>
    </row>
    <row r="673" spans="1:26" ht="27.75" customHeight="1" x14ac:dyDescent="0.25">
      <c r="A673" s="141" t="str">
        <f>+IF(PROVEEDORES[[#This Row],[FECHA DE PAGO]]=PROVEEDORES[[#This Row],[FECHA DE FACTURACIÓN]],"DE CONTADO","CRÉDITO")</f>
        <v>CRÉDITO</v>
      </c>
      <c r="B673" s="138" t="str">
        <f>+IF((PROVEEDORES[[#This Row],[FECHA DE PAGO]]-PROVEEDORES[[#This Row],[FECHA DE FACTURACIÓN]])&gt;PROVEEDORES[[#This Row],[PLAZO Días]],"PAGO VENCIDO")</f>
        <v>PAGO VENCIDO</v>
      </c>
      <c r="C673" s="138">
        <f>+VLOOKUP(PROVEEDORES[[#This Row],[PROVEEDOR]],TERCEROS_INFO[#All],2,FALSE)</f>
        <v>30</v>
      </c>
      <c r="D673" s="139">
        <f>+SUMIFS(PROVEEDORES[Total],PROVEEDORES[PROVEEDOR],PROVEEDORES[[#This Row],[PROVEEDOR]],PROVEEDORES[FECHA DE PAGO],"")</f>
        <v>134000</v>
      </c>
      <c r="E673" s="140"/>
      <c r="F673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73" s="127">
        <v>45194</v>
      </c>
      <c r="H673" s="123" t="s">
        <v>1808</v>
      </c>
      <c r="I673" s="127">
        <v>45111</v>
      </c>
      <c r="J673" s="124">
        <v>4236</v>
      </c>
      <c r="K673" s="124" t="s">
        <v>1530</v>
      </c>
      <c r="L673" s="124"/>
      <c r="M673" s="125">
        <v>233000</v>
      </c>
      <c r="N673" s="148">
        <v>0</v>
      </c>
      <c r="O673" s="148">
        <v>0</v>
      </c>
      <c r="P673" s="149">
        <v>0</v>
      </c>
      <c r="Q673" s="148">
        <v>0</v>
      </c>
      <c r="R673" s="150">
        <v>233000</v>
      </c>
      <c r="S6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3" s="135">
        <f ca="1">+IF(PROVEEDORES[[#This Row],[FECHA DE PAGO]]=0,TODAY()-PROVEEDORES[[#This Row],[FECHA DE FACTURACIÓN]]-PROVEEDORES[[#This Row],[PLAZO Días]],0)</f>
        <v>0</v>
      </c>
      <c r="U673" s="135">
        <f>+VLOOKUP(PROVEEDORES[[#This Row],[PROVEEDOR]],Terceros!$A:$D,4,FALSE)</f>
        <v>0</v>
      </c>
      <c r="V673" s="135">
        <f>+YEAR(PROVEEDORES[[#This Row],[FECHA DE FACTURACIÓN]])</f>
        <v>2023</v>
      </c>
      <c r="W673" s="135">
        <f>+MATCH(PROVEEDORES[[#This Row],[año facturado]],Retenciones!$1:$1,0)</f>
        <v>6</v>
      </c>
      <c r="X673" s="136">
        <f>+VLOOKUP(PROVEEDORES[[#This Row],[ID RETENCION]],Retenciones!$A$1:$O$25,PROVEEDORES[[#This Row],[indicador de columna]],FALSE)</f>
        <v>0</v>
      </c>
      <c r="Y673" s="137">
        <f>+VLOOKUP(PROVEEDORES[[#This Row],[ID RETENCION]],Retenciones!$A$1:$O$25,2,FALSE)</f>
        <v>0</v>
      </c>
      <c r="Z673" s="126" t="b">
        <f>+OR(COUNTIF(PROVEEDORES[[#This Row],[PROVEEDOR]],"*"&amp;'Palabra que no opera y Listas d'!$A$2&amp;"*"))</f>
        <v>0</v>
      </c>
    </row>
    <row r="674" spans="1:26" ht="27.75" customHeight="1" x14ac:dyDescent="0.25">
      <c r="A674" s="141" t="str">
        <f>+IF(PROVEEDORES[[#This Row],[FECHA DE PAGO]]=PROVEEDORES[[#This Row],[FECHA DE FACTURACIÓN]],"DE CONTADO","CRÉDITO")</f>
        <v>CRÉDITO</v>
      </c>
      <c r="B674" s="138" t="str">
        <f>+IF((PROVEEDORES[[#This Row],[FECHA DE PAGO]]-PROVEEDORES[[#This Row],[FECHA DE FACTURACIÓN]])&gt;PROVEEDORES[[#This Row],[PLAZO Días]],"PAGO VENCIDO")</f>
        <v>PAGO VENCIDO</v>
      </c>
      <c r="C674" s="138">
        <f>+VLOOKUP(PROVEEDORES[[#This Row],[PROVEEDOR]],TERCEROS_INFO[#All],2,FALSE)</f>
        <v>30</v>
      </c>
      <c r="D674" s="139">
        <f>+SUMIFS(PROVEEDORES[Total],PROVEEDORES[PROVEEDOR],PROVEEDORES[[#This Row],[PROVEEDOR]],PROVEEDORES[FECHA DE PAGO],"")</f>
        <v>352000</v>
      </c>
      <c r="E674" s="140"/>
      <c r="F674" s="138" t="str">
        <f>+VLOOKUP(PROVEEDORES[[#This Row],[PROVEEDOR]],
                       Terceros!$A:$F,
                       5,
                       FALSE)</f>
        <v/>
      </c>
      <c r="G674" s="127">
        <v>45194</v>
      </c>
      <c r="H674" s="123" t="s">
        <v>527</v>
      </c>
      <c r="I674" s="127">
        <v>45114</v>
      </c>
      <c r="J674" s="124">
        <v>58</v>
      </c>
      <c r="K674" s="124" t="s">
        <v>1530</v>
      </c>
      <c r="L674" s="124"/>
      <c r="M674" s="125">
        <v>65000</v>
      </c>
      <c r="N674" s="148">
        <v>0</v>
      </c>
      <c r="O674" s="148">
        <v>0</v>
      </c>
      <c r="P674" s="149">
        <v>0</v>
      </c>
      <c r="Q674" s="148">
        <v>0</v>
      </c>
      <c r="R674" s="150">
        <v>65000</v>
      </c>
      <c r="S6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4" s="135">
        <f ca="1">+IF(PROVEEDORES[[#This Row],[FECHA DE PAGO]]=0,TODAY()-PROVEEDORES[[#This Row],[FECHA DE FACTURACIÓN]]-PROVEEDORES[[#This Row],[PLAZO Días]],0)</f>
        <v>0</v>
      </c>
      <c r="U674" s="135">
        <f>+VLOOKUP(PROVEEDORES[[#This Row],[PROVEEDOR]],Terceros!$A:$D,4,FALSE)</f>
        <v>0</v>
      </c>
      <c r="V674" s="135">
        <f>+YEAR(PROVEEDORES[[#This Row],[FECHA DE FACTURACIÓN]])</f>
        <v>2023</v>
      </c>
      <c r="W674" s="135">
        <f>+MATCH(PROVEEDORES[[#This Row],[año facturado]],Retenciones!$1:$1,0)</f>
        <v>6</v>
      </c>
      <c r="X674" s="136">
        <f>+VLOOKUP(PROVEEDORES[[#This Row],[ID RETENCION]],Retenciones!$A$1:$O$25,PROVEEDORES[[#This Row],[indicador de columna]],FALSE)</f>
        <v>0</v>
      </c>
      <c r="Y674" s="137">
        <f>+VLOOKUP(PROVEEDORES[[#This Row],[ID RETENCION]],Retenciones!$A$1:$O$25,2,FALSE)</f>
        <v>0</v>
      </c>
      <c r="Z674" s="126" t="b">
        <f>+OR(COUNTIF(PROVEEDORES[[#This Row],[PROVEEDOR]],"*"&amp;'Palabra que no opera y Listas d'!$A$2&amp;"*"))</f>
        <v>0</v>
      </c>
    </row>
    <row r="675" spans="1:26" ht="27.75" customHeight="1" x14ac:dyDescent="0.25">
      <c r="A675" s="141" t="str">
        <f>+IF(PROVEEDORES[[#This Row],[FECHA DE PAGO]]=PROVEEDORES[[#This Row],[FECHA DE FACTURACIÓN]],"DE CONTADO","CRÉDITO")</f>
        <v>CRÉDITO</v>
      </c>
      <c r="B675" s="138" t="str">
        <f>+IF((PROVEEDORES[[#This Row],[FECHA DE PAGO]]-PROVEEDORES[[#This Row],[FECHA DE FACTURACIÓN]])&gt;PROVEEDORES[[#This Row],[PLAZO Días]],"PAGO VENCIDO")</f>
        <v>PAGO VENCIDO</v>
      </c>
      <c r="C675" s="138">
        <f>+VLOOKUP(PROVEEDORES[[#This Row],[PROVEEDOR]],TERCEROS_INFO[#All],2,FALSE)</f>
        <v>30</v>
      </c>
      <c r="D675" s="139">
        <f>+SUMIFS(PROVEEDORES[Total],PROVEEDORES[PROVEEDOR],PROVEEDORES[[#This Row],[PROVEEDOR]],PROVEEDORES[FECHA DE PAGO],"")</f>
        <v>0</v>
      </c>
      <c r="E675" s="140"/>
      <c r="F675" s="138">
        <f>+VLOOKUP(PROVEEDORES[[#This Row],[PROVEEDOR]],
                       Terceros!$A:$F,
                       5,
                       FALSE)</f>
        <v>0</v>
      </c>
      <c r="G675" s="127">
        <v>45194</v>
      </c>
      <c r="H675" s="123" t="s">
        <v>492</v>
      </c>
      <c r="I675" s="127">
        <v>45120</v>
      </c>
      <c r="J675" s="124">
        <v>461</v>
      </c>
      <c r="K675" s="124" t="s">
        <v>1530</v>
      </c>
      <c r="L675" s="124"/>
      <c r="M675" s="125">
        <v>780000</v>
      </c>
      <c r="N675" s="148">
        <v>0</v>
      </c>
      <c r="O675" s="148">
        <v>0</v>
      </c>
      <c r="P675" s="149">
        <v>0</v>
      </c>
      <c r="Q675" s="148">
        <v>0</v>
      </c>
      <c r="R675" s="150">
        <v>780000</v>
      </c>
      <c r="S6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5" s="135">
        <f ca="1">+IF(PROVEEDORES[[#This Row],[FECHA DE PAGO]]=0,TODAY()-PROVEEDORES[[#This Row],[FECHA DE FACTURACIÓN]]-PROVEEDORES[[#This Row],[PLAZO Días]],0)</f>
        <v>0</v>
      </c>
      <c r="U675" s="135">
        <f>+VLOOKUP(PROVEEDORES[[#This Row],[PROVEEDOR]],Terceros!$A:$D,4,FALSE)</f>
        <v>0</v>
      </c>
      <c r="V675" s="135">
        <f>+YEAR(PROVEEDORES[[#This Row],[FECHA DE FACTURACIÓN]])</f>
        <v>2023</v>
      </c>
      <c r="W675" s="135">
        <f>+MATCH(PROVEEDORES[[#This Row],[año facturado]],Retenciones!$1:$1,0)</f>
        <v>6</v>
      </c>
      <c r="X675" s="136">
        <f>+VLOOKUP(PROVEEDORES[[#This Row],[ID RETENCION]],Retenciones!$A$1:$O$25,PROVEEDORES[[#This Row],[indicador de columna]],FALSE)</f>
        <v>0</v>
      </c>
      <c r="Y675" s="137">
        <f>+VLOOKUP(PROVEEDORES[[#This Row],[ID RETENCION]],Retenciones!$A$1:$O$25,2,FALSE)</f>
        <v>0</v>
      </c>
      <c r="Z675" s="126" t="b">
        <f>+OR(COUNTIF(PROVEEDORES[[#This Row],[PROVEEDOR]],"*"&amp;'Palabra que no opera y Listas d'!$A$2&amp;"*"))</f>
        <v>0</v>
      </c>
    </row>
    <row r="676" spans="1:26" ht="27.75" customHeight="1" x14ac:dyDescent="0.25">
      <c r="A676" s="141" t="str">
        <f>+IF(PROVEEDORES[[#This Row],[FECHA DE PAGO]]=PROVEEDORES[[#This Row],[FECHA DE FACTURACIÓN]],"DE CONTADO","CRÉDITO")</f>
        <v>CRÉDITO</v>
      </c>
      <c r="B676" s="138" t="str">
        <f>+IF((PROVEEDORES[[#This Row],[FECHA DE PAGO]]-PROVEEDORES[[#This Row],[FECHA DE FACTURACIÓN]])&gt;PROVEEDORES[[#This Row],[PLAZO Días]],"PAGO VENCIDO")</f>
        <v>PAGO VENCIDO</v>
      </c>
      <c r="C676" s="138">
        <f>+VLOOKUP(PROVEEDORES[[#This Row],[PROVEEDOR]],TERCEROS_INFO[#All],2,FALSE)</f>
        <v>30</v>
      </c>
      <c r="D676" s="139">
        <f>+SUMIFS(PROVEEDORES[Total],PROVEEDORES[PROVEEDOR],PROVEEDORES[[#This Row],[PROVEEDOR]],PROVEEDORES[FECHA DE PAGO],"")</f>
        <v>352000</v>
      </c>
      <c r="E676" s="140"/>
      <c r="F676" s="138" t="str">
        <f>+VLOOKUP(PROVEEDORES[[#This Row],[PROVEEDOR]],
                       Terceros!$A:$F,
                       5,
                       FALSE)</f>
        <v/>
      </c>
      <c r="G676" s="127">
        <v>45194</v>
      </c>
      <c r="H676" s="123" t="s">
        <v>527</v>
      </c>
      <c r="I676" s="127">
        <v>45122</v>
      </c>
      <c r="J676" s="124">
        <v>59</v>
      </c>
      <c r="K676" s="124" t="s">
        <v>1530</v>
      </c>
      <c r="L676" s="124"/>
      <c r="M676" s="125">
        <v>78000</v>
      </c>
      <c r="N676" s="148">
        <v>0</v>
      </c>
      <c r="O676" s="148">
        <v>0</v>
      </c>
      <c r="P676" s="149">
        <v>0</v>
      </c>
      <c r="Q676" s="148">
        <v>0</v>
      </c>
      <c r="R676" s="150">
        <v>78000</v>
      </c>
      <c r="S6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6" s="135">
        <f ca="1">+IF(PROVEEDORES[[#This Row],[FECHA DE PAGO]]=0,TODAY()-PROVEEDORES[[#This Row],[FECHA DE FACTURACIÓN]]-PROVEEDORES[[#This Row],[PLAZO Días]],0)</f>
        <v>0</v>
      </c>
      <c r="U676" s="135">
        <f>+VLOOKUP(PROVEEDORES[[#This Row],[PROVEEDOR]],Terceros!$A:$D,4,FALSE)</f>
        <v>0</v>
      </c>
      <c r="V676" s="135">
        <f>+YEAR(PROVEEDORES[[#This Row],[FECHA DE FACTURACIÓN]])</f>
        <v>2023</v>
      </c>
      <c r="W676" s="135">
        <f>+MATCH(PROVEEDORES[[#This Row],[año facturado]],Retenciones!$1:$1,0)</f>
        <v>6</v>
      </c>
      <c r="X676" s="136">
        <f>+VLOOKUP(PROVEEDORES[[#This Row],[ID RETENCION]],Retenciones!$A$1:$O$25,PROVEEDORES[[#This Row],[indicador de columna]],FALSE)</f>
        <v>0</v>
      </c>
      <c r="Y676" s="137">
        <f>+VLOOKUP(PROVEEDORES[[#This Row],[ID RETENCION]],Retenciones!$A$1:$O$25,2,FALSE)</f>
        <v>0</v>
      </c>
      <c r="Z676" s="126" t="b">
        <f>+OR(COUNTIF(PROVEEDORES[[#This Row],[PROVEEDOR]],"*"&amp;'Palabra que no opera y Listas d'!$A$2&amp;"*"))</f>
        <v>0</v>
      </c>
    </row>
    <row r="677" spans="1:26" ht="27.75" customHeight="1" x14ac:dyDescent="0.25">
      <c r="A677" s="141" t="str">
        <f>+IF(PROVEEDORES[[#This Row],[FECHA DE PAGO]]=PROVEEDORES[[#This Row],[FECHA DE FACTURACIÓN]],"DE CONTADO","CRÉDITO")</f>
        <v>CRÉDITO</v>
      </c>
      <c r="B677" s="138" t="str">
        <f>+IF((PROVEEDORES[[#This Row],[FECHA DE PAGO]]-PROVEEDORES[[#This Row],[FECHA DE FACTURACIÓN]])&gt;PROVEEDORES[[#This Row],[PLAZO Días]],"PAGO VENCIDO")</f>
        <v>PAGO VENCIDO</v>
      </c>
      <c r="C677" s="138">
        <f>+VLOOKUP(PROVEEDORES[[#This Row],[PROVEEDOR]],TERCEROS_INFO[#All],2,FALSE)</f>
        <v>30</v>
      </c>
      <c r="D677" s="139">
        <f>+SUMIFS(PROVEEDORES[Total],PROVEEDORES[PROVEEDOR],PROVEEDORES[[#This Row],[PROVEEDOR]],PROVEEDORES[FECHA DE PAGO],"")</f>
        <v>352000</v>
      </c>
      <c r="E677" s="140"/>
      <c r="F677" s="138" t="str">
        <f>+VLOOKUP(PROVEEDORES[[#This Row],[PROVEEDOR]],
                       Terceros!$A:$F,
                       5,
                       FALSE)</f>
        <v/>
      </c>
      <c r="G677" s="127">
        <v>45194</v>
      </c>
      <c r="H677" s="123" t="s">
        <v>527</v>
      </c>
      <c r="I677" s="127">
        <v>45122</v>
      </c>
      <c r="J677" s="124">
        <v>60</v>
      </c>
      <c r="K677" s="124" t="s">
        <v>1530</v>
      </c>
      <c r="L677" s="124"/>
      <c r="M677" s="125">
        <v>227000</v>
      </c>
      <c r="N677" s="148">
        <v>0</v>
      </c>
      <c r="O677" s="148">
        <v>0</v>
      </c>
      <c r="P677" s="149">
        <v>0</v>
      </c>
      <c r="Q677" s="148">
        <v>0</v>
      </c>
      <c r="R677" s="150">
        <v>227000</v>
      </c>
      <c r="S6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7" s="135">
        <f ca="1">+IF(PROVEEDORES[[#This Row],[FECHA DE PAGO]]=0,TODAY()-PROVEEDORES[[#This Row],[FECHA DE FACTURACIÓN]]-PROVEEDORES[[#This Row],[PLAZO Días]],0)</f>
        <v>0</v>
      </c>
      <c r="U677" s="135">
        <f>+VLOOKUP(PROVEEDORES[[#This Row],[PROVEEDOR]],Terceros!$A:$D,4,FALSE)</f>
        <v>0</v>
      </c>
      <c r="V677" s="135">
        <f>+YEAR(PROVEEDORES[[#This Row],[FECHA DE FACTURACIÓN]])</f>
        <v>2023</v>
      </c>
      <c r="W677" s="135">
        <f>+MATCH(PROVEEDORES[[#This Row],[año facturado]],Retenciones!$1:$1,0)</f>
        <v>6</v>
      </c>
      <c r="X677" s="136">
        <f>+VLOOKUP(PROVEEDORES[[#This Row],[ID RETENCION]],Retenciones!$A$1:$O$25,PROVEEDORES[[#This Row],[indicador de columna]],FALSE)</f>
        <v>0</v>
      </c>
      <c r="Y677" s="137">
        <f>+VLOOKUP(PROVEEDORES[[#This Row],[ID RETENCION]],Retenciones!$A$1:$O$25,2,FALSE)</f>
        <v>0</v>
      </c>
      <c r="Z677" s="126" t="b">
        <f>+OR(COUNTIF(PROVEEDORES[[#This Row],[PROVEEDOR]],"*"&amp;'Palabra que no opera y Listas d'!$A$2&amp;"*"))</f>
        <v>0</v>
      </c>
    </row>
    <row r="678" spans="1:26" ht="27.75" customHeight="1" x14ac:dyDescent="0.25">
      <c r="A678" s="141" t="str">
        <f>+IF(PROVEEDORES[[#This Row],[FECHA DE PAGO]]=PROVEEDORES[[#This Row],[FECHA DE FACTURACIÓN]],"DE CONTADO","CRÉDITO")</f>
        <v>CRÉDITO</v>
      </c>
      <c r="B678" s="138" t="str">
        <f>+IF((PROVEEDORES[[#This Row],[FECHA DE PAGO]]-PROVEEDORES[[#This Row],[FECHA DE FACTURACIÓN]])&gt;PROVEEDORES[[#This Row],[PLAZO Días]],"PAGO VENCIDO")</f>
        <v>PAGO VENCIDO</v>
      </c>
      <c r="C678" s="138">
        <f>+VLOOKUP(PROVEEDORES[[#This Row],[PROVEEDOR]],TERCEROS_INFO[#All],2,FALSE)</f>
        <v>30</v>
      </c>
      <c r="D678" s="139">
        <f>+SUMIFS(PROVEEDORES[Total],PROVEEDORES[PROVEEDOR],PROVEEDORES[[#This Row],[PROVEEDOR]],PROVEEDORES[FECHA DE PAGO],"")</f>
        <v>134000</v>
      </c>
      <c r="E678" s="140"/>
      <c r="F678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78" s="127">
        <v>45194</v>
      </c>
      <c r="H678" s="123" t="s">
        <v>1808</v>
      </c>
      <c r="I678" s="127">
        <v>45124</v>
      </c>
      <c r="J678" s="124">
        <v>4272</v>
      </c>
      <c r="K678" s="124" t="s">
        <v>1530</v>
      </c>
      <c r="L678" s="124"/>
      <c r="M678" s="125">
        <v>703000</v>
      </c>
      <c r="N678" s="148">
        <v>0</v>
      </c>
      <c r="O678" s="148">
        <v>0</v>
      </c>
      <c r="P678" s="149">
        <v>0</v>
      </c>
      <c r="Q678" s="148">
        <v>0</v>
      </c>
      <c r="R678" s="150">
        <v>703000</v>
      </c>
      <c r="S6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8" s="135">
        <f ca="1">+IF(PROVEEDORES[[#This Row],[FECHA DE PAGO]]=0,TODAY()-PROVEEDORES[[#This Row],[FECHA DE FACTURACIÓN]]-PROVEEDORES[[#This Row],[PLAZO Días]],0)</f>
        <v>0</v>
      </c>
      <c r="U678" s="135">
        <f>+VLOOKUP(PROVEEDORES[[#This Row],[PROVEEDOR]],Terceros!$A:$D,4,FALSE)</f>
        <v>0</v>
      </c>
      <c r="V678" s="135">
        <f>+YEAR(PROVEEDORES[[#This Row],[FECHA DE FACTURACIÓN]])</f>
        <v>2023</v>
      </c>
      <c r="W678" s="135">
        <f>+MATCH(PROVEEDORES[[#This Row],[año facturado]],Retenciones!$1:$1,0)</f>
        <v>6</v>
      </c>
      <c r="X678" s="136">
        <f>+VLOOKUP(PROVEEDORES[[#This Row],[ID RETENCION]],Retenciones!$A$1:$O$25,PROVEEDORES[[#This Row],[indicador de columna]],FALSE)</f>
        <v>0</v>
      </c>
      <c r="Y678" s="137">
        <f>+VLOOKUP(PROVEEDORES[[#This Row],[ID RETENCION]],Retenciones!$A$1:$O$25,2,FALSE)</f>
        <v>0</v>
      </c>
      <c r="Z678" s="126" t="b">
        <f>+OR(COUNTIF(PROVEEDORES[[#This Row],[PROVEEDOR]],"*"&amp;'Palabra que no opera y Listas d'!$A$2&amp;"*"))</f>
        <v>0</v>
      </c>
    </row>
    <row r="679" spans="1:26" ht="27.75" customHeight="1" x14ac:dyDescent="0.25">
      <c r="A679" s="141" t="str">
        <f>+IF(PROVEEDORES[[#This Row],[FECHA DE PAGO]]=PROVEEDORES[[#This Row],[FECHA DE FACTURACIÓN]],"DE CONTADO","CRÉDITO")</f>
        <v>CRÉDITO</v>
      </c>
      <c r="B679" s="138" t="str">
        <f>+IF((PROVEEDORES[[#This Row],[FECHA DE PAGO]]-PROVEEDORES[[#This Row],[FECHA DE FACTURACIÓN]])&gt;PROVEEDORES[[#This Row],[PLAZO Días]],"PAGO VENCIDO")</f>
        <v>PAGO VENCIDO</v>
      </c>
      <c r="C679" s="138">
        <f>+VLOOKUP(PROVEEDORES[[#This Row],[PROVEEDOR]],TERCEROS_INFO[#All],2,FALSE)</f>
        <v>30</v>
      </c>
      <c r="D679" s="139">
        <f>+SUMIFS(PROVEEDORES[Total],PROVEEDORES[PROVEEDOR],PROVEEDORES[[#This Row],[PROVEEDOR]],PROVEEDORES[FECHA DE PAGO],"")</f>
        <v>12628497</v>
      </c>
      <c r="E679" s="140"/>
      <c r="F679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79" s="127">
        <v>45194</v>
      </c>
      <c r="H679" s="123" t="s">
        <v>451</v>
      </c>
      <c r="I679" s="127">
        <v>45124</v>
      </c>
      <c r="J679" s="124" t="s">
        <v>917</v>
      </c>
      <c r="K679" s="124" t="s">
        <v>1530</v>
      </c>
      <c r="L679" s="124"/>
      <c r="M679" s="125">
        <v>925000</v>
      </c>
      <c r="N679" s="148">
        <v>175750</v>
      </c>
      <c r="O679" s="148">
        <v>0</v>
      </c>
      <c r="P679" s="149">
        <v>0</v>
      </c>
      <c r="Q679" s="148">
        <v>0</v>
      </c>
      <c r="R679" s="150">
        <v>1100750</v>
      </c>
      <c r="S6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79" s="135">
        <f ca="1">+IF(PROVEEDORES[[#This Row],[FECHA DE PAGO]]=0,TODAY()-PROVEEDORES[[#This Row],[FECHA DE FACTURACIÓN]]-PROVEEDORES[[#This Row],[PLAZO Días]],0)</f>
        <v>0</v>
      </c>
      <c r="U679" s="135" t="str">
        <f>+VLOOKUP(PROVEEDORES[[#This Row],[PROVEEDOR]],Terceros!$A:$D,4,FALSE)</f>
        <v>2,5% con base</v>
      </c>
      <c r="V679" s="135">
        <f>+YEAR(PROVEEDORES[[#This Row],[FECHA DE FACTURACIÓN]])</f>
        <v>2023</v>
      </c>
      <c r="W679" s="135">
        <f>+MATCH(PROVEEDORES[[#This Row],[año facturado]],Retenciones!$1:$1,0)</f>
        <v>6</v>
      </c>
      <c r="X679" s="136">
        <f>+VLOOKUP(PROVEEDORES[[#This Row],[ID RETENCION]],Retenciones!$A$1:$O$25,PROVEEDORES[[#This Row],[indicador de columna]],FALSE)</f>
        <v>1145000</v>
      </c>
      <c r="Y679" s="137">
        <f>+VLOOKUP(PROVEEDORES[[#This Row],[ID RETENCION]],Retenciones!$A$1:$O$25,2,FALSE)</f>
        <v>2.5000000000000001E-2</v>
      </c>
      <c r="Z679" s="126" t="b">
        <f>+OR(COUNTIF(PROVEEDORES[[#This Row],[PROVEEDOR]],"*"&amp;'Palabra que no opera y Listas d'!$A$2&amp;"*"))</f>
        <v>0</v>
      </c>
    </row>
    <row r="680" spans="1:26" ht="27.75" customHeight="1" x14ac:dyDescent="0.25">
      <c r="A680" s="141" t="str">
        <f>+IF(PROVEEDORES[[#This Row],[FECHA DE PAGO]]=PROVEEDORES[[#This Row],[FECHA DE FACTURACIÓN]],"DE CONTADO","CRÉDITO")</f>
        <v>CRÉDITO</v>
      </c>
      <c r="B680" s="138" t="str">
        <f>+IF((PROVEEDORES[[#This Row],[FECHA DE PAGO]]-PROVEEDORES[[#This Row],[FECHA DE FACTURACIÓN]])&gt;PROVEEDORES[[#This Row],[PLAZO Días]],"PAGO VENCIDO")</f>
        <v>PAGO VENCIDO</v>
      </c>
      <c r="C680" s="138">
        <f>+VLOOKUP(PROVEEDORES[[#This Row],[PROVEEDOR]],TERCEROS_INFO[#All],2,FALSE)</f>
        <v>30</v>
      </c>
      <c r="D680" s="139">
        <f>+SUMIFS(PROVEEDORES[Total],PROVEEDORES[PROVEEDOR],PROVEEDORES[[#This Row],[PROVEEDOR]],PROVEEDORES[FECHA DE PAGO],"")</f>
        <v>12628497</v>
      </c>
      <c r="E680" s="140"/>
      <c r="F680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80" s="127">
        <v>45194</v>
      </c>
      <c r="H680" s="123" t="s">
        <v>451</v>
      </c>
      <c r="I680" s="127">
        <v>45131</v>
      </c>
      <c r="J680" s="124" t="s">
        <v>916</v>
      </c>
      <c r="K680" s="124" t="s">
        <v>1530</v>
      </c>
      <c r="L680" s="124"/>
      <c r="M680" s="125">
        <v>3318355</v>
      </c>
      <c r="N680" s="148">
        <v>630487.44999999995</v>
      </c>
      <c r="O680" s="148">
        <v>0</v>
      </c>
      <c r="P680" s="149">
        <v>2.5000000000000001E-2</v>
      </c>
      <c r="Q680" s="148">
        <v>82958.875</v>
      </c>
      <c r="R680" s="150">
        <v>3865883.5750000002</v>
      </c>
      <c r="S6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0" s="135">
        <f ca="1">+IF(PROVEEDORES[[#This Row],[FECHA DE PAGO]]=0,TODAY()-PROVEEDORES[[#This Row],[FECHA DE FACTURACIÓN]]-PROVEEDORES[[#This Row],[PLAZO Días]],0)</f>
        <v>0</v>
      </c>
      <c r="U680" s="135" t="str">
        <f>+VLOOKUP(PROVEEDORES[[#This Row],[PROVEEDOR]],Terceros!$A:$D,4,FALSE)</f>
        <v>2,5% con base</v>
      </c>
      <c r="V680" s="135">
        <f>+YEAR(PROVEEDORES[[#This Row],[FECHA DE FACTURACIÓN]])</f>
        <v>2023</v>
      </c>
      <c r="W680" s="135">
        <f>+MATCH(PROVEEDORES[[#This Row],[año facturado]],Retenciones!$1:$1,0)</f>
        <v>6</v>
      </c>
      <c r="X680" s="136">
        <f>+VLOOKUP(PROVEEDORES[[#This Row],[ID RETENCION]],Retenciones!$A$1:$O$25,PROVEEDORES[[#This Row],[indicador de columna]],FALSE)</f>
        <v>1145000</v>
      </c>
      <c r="Y680" s="137">
        <f>+VLOOKUP(PROVEEDORES[[#This Row],[ID RETENCION]],Retenciones!$A$1:$O$25,2,FALSE)</f>
        <v>2.5000000000000001E-2</v>
      </c>
      <c r="Z680" s="126" t="b">
        <f>+OR(COUNTIF(PROVEEDORES[[#This Row],[PROVEEDOR]],"*"&amp;'Palabra que no opera y Listas d'!$A$2&amp;"*"))</f>
        <v>0</v>
      </c>
    </row>
    <row r="681" spans="1:26" ht="27.75" customHeight="1" x14ac:dyDescent="0.25">
      <c r="A681" s="141" t="str">
        <f>+IF(PROVEEDORES[[#This Row],[FECHA DE PAGO]]=PROVEEDORES[[#This Row],[FECHA DE FACTURACIÓN]],"DE CONTADO","CRÉDITO")</f>
        <v>CRÉDITO</v>
      </c>
      <c r="B681" s="138" t="str">
        <f>+IF((PROVEEDORES[[#This Row],[FECHA DE PAGO]]-PROVEEDORES[[#This Row],[FECHA DE FACTURACIÓN]])&gt;PROVEEDORES[[#This Row],[PLAZO Días]],"PAGO VENCIDO")</f>
        <v>PAGO VENCIDO</v>
      </c>
      <c r="C681" s="138">
        <f>+VLOOKUP(PROVEEDORES[[#This Row],[PROVEEDOR]],TERCEROS_INFO[#All],2,FALSE)</f>
        <v>30</v>
      </c>
      <c r="D681" s="139">
        <f>+SUMIFS(PROVEEDORES[Total],PROVEEDORES[PROVEEDOR],PROVEEDORES[[#This Row],[PROVEEDOR]],PROVEEDORES[FECHA DE PAGO],"")</f>
        <v>0</v>
      </c>
      <c r="E681" s="140"/>
      <c r="F681" s="138">
        <f>+VLOOKUP(PROVEEDORES[[#This Row],[PROVEEDOR]],
                       Terceros!$A:$F,
                       5,
                       FALSE)</f>
        <v>0</v>
      </c>
      <c r="G681" s="127">
        <v>45194</v>
      </c>
      <c r="H681" s="123" t="s">
        <v>492</v>
      </c>
      <c r="I681" s="127">
        <v>45134</v>
      </c>
      <c r="J681" s="124">
        <v>474</v>
      </c>
      <c r="K681" s="124" t="s">
        <v>1530</v>
      </c>
      <c r="L681" s="124"/>
      <c r="M681" s="125">
        <v>621600</v>
      </c>
      <c r="N681" s="148">
        <v>0</v>
      </c>
      <c r="O681" s="148">
        <v>0</v>
      </c>
      <c r="P681" s="149">
        <v>0</v>
      </c>
      <c r="Q681" s="148">
        <v>0</v>
      </c>
      <c r="R681" s="150">
        <v>621600</v>
      </c>
      <c r="S6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1" s="135">
        <f ca="1">+IF(PROVEEDORES[[#This Row],[FECHA DE PAGO]]=0,TODAY()-PROVEEDORES[[#This Row],[FECHA DE FACTURACIÓN]]-PROVEEDORES[[#This Row],[PLAZO Días]],0)</f>
        <v>0</v>
      </c>
      <c r="U681" s="135">
        <f>+VLOOKUP(PROVEEDORES[[#This Row],[PROVEEDOR]],Terceros!$A:$D,4,FALSE)</f>
        <v>0</v>
      </c>
      <c r="V681" s="135">
        <f>+YEAR(PROVEEDORES[[#This Row],[FECHA DE FACTURACIÓN]])</f>
        <v>2023</v>
      </c>
      <c r="W681" s="135">
        <f>+MATCH(PROVEEDORES[[#This Row],[año facturado]],Retenciones!$1:$1,0)</f>
        <v>6</v>
      </c>
      <c r="X681" s="136">
        <f>+VLOOKUP(PROVEEDORES[[#This Row],[ID RETENCION]],Retenciones!$A$1:$O$25,PROVEEDORES[[#This Row],[indicador de columna]],FALSE)</f>
        <v>0</v>
      </c>
      <c r="Y681" s="137">
        <f>+VLOOKUP(PROVEEDORES[[#This Row],[ID RETENCION]],Retenciones!$A$1:$O$25,2,FALSE)</f>
        <v>0</v>
      </c>
      <c r="Z681" s="126" t="b">
        <f>+OR(COUNTIF(PROVEEDORES[[#This Row],[PROVEEDOR]],"*"&amp;'Palabra que no opera y Listas d'!$A$2&amp;"*"))</f>
        <v>0</v>
      </c>
    </row>
    <row r="682" spans="1:26" ht="27.75" customHeight="1" x14ac:dyDescent="0.25">
      <c r="A682" s="141" t="str">
        <f>+IF(PROVEEDORES[[#This Row],[FECHA DE PAGO]]=PROVEEDORES[[#This Row],[FECHA DE FACTURACIÓN]],"DE CONTADO","CRÉDITO")</f>
        <v>CRÉDITO</v>
      </c>
      <c r="B682" s="138" t="str">
        <f>+IF((PROVEEDORES[[#This Row],[FECHA DE PAGO]]-PROVEEDORES[[#This Row],[FECHA DE FACTURACIÓN]])&gt;PROVEEDORES[[#This Row],[PLAZO Días]],"PAGO VENCIDO")</f>
        <v>PAGO VENCIDO</v>
      </c>
      <c r="C682" s="138">
        <f>+VLOOKUP(PROVEEDORES[[#This Row],[PROVEEDOR]],TERCEROS_INFO[#All],2,FALSE)</f>
        <v>30</v>
      </c>
      <c r="D682" s="139">
        <f>+SUMIFS(PROVEEDORES[Total],PROVEEDORES[PROVEEDOR],PROVEEDORES[[#This Row],[PROVEEDOR]],PROVEEDORES[FECHA DE PAGO],"")</f>
        <v>12628497</v>
      </c>
      <c r="E682" s="140"/>
      <c r="F682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82" s="127">
        <v>45194</v>
      </c>
      <c r="H682" s="123" t="s">
        <v>451</v>
      </c>
      <c r="I682" s="127">
        <v>45136</v>
      </c>
      <c r="J682" s="124" t="s">
        <v>949</v>
      </c>
      <c r="K682" s="124" t="s">
        <v>1530</v>
      </c>
      <c r="L682" s="124"/>
      <c r="M682" s="125">
        <v>225600</v>
      </c>
      <c r="N682" s="148">
        <v>42864</v>
      </c>
      <c r="O682" s="148">
        <v>0</v>
      </c>
      <c r="P682" s="149">
        <v>0</v>
      </c>
      <c r="Q682" s="148">
        <v>0</v>
      </c>
      <c r="R682" s="150">
        <v>268464</v>
      </c>
      <c r="S6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2" s="135">
        <f ca="1">+IF(PROVEEDORES[[#This Row],[FECHA DE PAGO]]=0,TODAY()-PROVEEDORES[[#This Row],[FECHA DE FACTURACIÓN]]-PROVEEDORES[[#This Row],[PLAZO Días]],0)</f>
        <v>0</v>
      </c>
      <c r="U682" s="135" t="str">
        <f>+VLOOKUP(PROVEEDORES[[#This Row],[PROVEEDOR]],Terceros!$A:$D,4,FALSE)</f>
        <v>2,5% con base</v>
      </c>
      <c r="V682" s="135">
        <f>+YEAR(PROVEEDORES[[#This Row],[FECHA DE FACTURACIÓN]])</f>
        <v>2023</v>
      </c>
      <c r="W682" s="135">
        <f>+MATCH(PROVEEDORES[[#This Row],[año facturado]],Retenciones!$1:$1,0)</f>
        <v>6</v>
      </c>
      <c r="X682" s="136">
        <f>+VLOOKUP(PROVEEDORES[[#This Row],[ID RETENCION]],Retenciones!$A$1:$O$25,PROVEEDORES[[#This Row],[indicador de columna]],FALSE)</f>
        <v>1145000</v>
      </c>
      <c r="Y682" s="137">
        <f>+VLOOKUP(PROVEEDORES[[#This Row],[ID RETENCION]],Retenciones!$A$1:$O$25,2,FALSE)</f>
        <v>2.5000000000000001E-2</v>
      </c>
      <c r="Z682" s="126" t="b">
        <f>+OR(COUNTIF(PROVEEDORES[[#This Row],[PROVEEDOR]],"*"&amp;'Palabra que no opera y Listas d'!$A$2&amp;"*"))</f>
        <v>0</v>
      </c>
    </row>
    <row r="683" spans="1:26" ht="27.75" customHeight="1" x14ac:dyDescent="0.25">
      <c r="A683" s="141" t="str">
        <f>+IF(PROVEEDORES[[#This Row],[FECHA DE PAGO]]=PROVEEDORES[[#This Row],[FECHA DE FACTURACIÓN]],"DE CONTADO","CRÉDITO")</f>
        <v>CRÉDITO</v>
      </c>
      <c r="B683" s="138" t="str">
        <f>+IF((PROVEEDORES[[#This Row],[FECHA DE PAGO]]-PROVEEDORES[[#This Row],[FECHA DE FACTURACIÓN]])&gt;PROVEEDORES[[#This Row],[PLAZO Días]],"PAGO VENCIDO")</f>
        <v>PAGO VENCIDO</v>
      </c>
      <c r="C683" s="138">
        <f>+VLOOKUP(PROVEEDORES[[#This Row],[PROVEEDOR]],TERCEROS_INFO[#All],2,FALSE)</f>
        <v>30</v>
      </c>
      <c r="D683" s="139">
        <f>+SUMIFS(PROVEEDORES[Total],PROVEEDORES[PROVEEDOR],PROVEEDORES[[#This Row],[PROVEEDOR]],PROVEEDORES[FECHA DE PAGO],"")</f>
        <v>352000</v>
      </c>
      <c r="E683" s="140"/>
      <c r="F683" s="138" t="str">
        <f>+VLOOKUP(PROVEEDORES[[#This Row],[PROVEEDOR]],
                       Terceros!$A:$F,
                       5,
                       FALSE)</f>
        <v/>
      </c>
      <c r="G683" s="127">
        <v>45194</v>
      </c>
      <c r="H683" s="123" t="s">
        <v>527</v>
      </c>
      <c r="I683" s="127">
        <v>45140</v>
      </c>
      <c r="J683" s="124">
        <v>61</v>
      </c>
      <c r="K683" s="124" t="s">
        <v>1530</v>
      </c>
      <c r="L683" s="124"/>
      <c r="M683" s="125">
        <v>75000</v>
      </c>
      <c r="N683" s="148">
        <v>0</v>
      </c>
      <c r="O683" s="148">
        <v>0</v>
      </c>
      <c r="P683" s="149">
        <v>0</v>
      </c>
      <c r="Q683" s="148">
        <v>0</v>
      </c>
      <c r="R683" s="150">
        <v>75000</v>
      </c>
      <c r="S6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3" s="135">
        <f ca="1">+IF(PROVEEDORES[[#This Row],[FECHA DE PAGO]]=0,TODAY()-PROVEEDORES[[#This Row],[FECHA DE FACTURACIÓN]]-PROVEEDORES[[#This Row],[PLAZO Días]],0)</f>
        <v>0</v>
      </c>
      <c r="U683" s="135">
        <f>+VLOOKUP(PROVEEDORES[[#This Row],[PROVEEDOR]],Terceros!$A:$D,4,FALSE)</f>
        <v>0</v>
      </c>
      <c r="V683" s="135">
        <f>+YEAR(PROVEEDORES[[#This Row],[FECHA DE FACTURACIÓN]])</f>
        <v>2023</v>
      </c>
      <c r="W683" s="135">
        <f>+MATCH(PROVEEDORES[[#This Row],[año facturado]],Retenciones!$1:$1,0)</f>
        <v>6</v>
      </c>
      <c r="X683" s="136">
        <f>+VLOOKUP(PROVEEDORES[[#This Row],[ID RETENCION]],Retenciones!$A$1:$O$25,PROVEEDORES[[#This Row],[indicador de columna]],FALSE)</f>
        <v>0</v>
      </c>
      <c r="Y683" s="137">
        <f>+VLOOKUP(PROVEEDORES[[#This Row],[ID RETENCION]],Retenciones!$A$1:$O$25,2,FALSE)</f>
        <v>0</v>
      </c>
      <c r="Z683" s="126" t="b">
        <f>+OR(COUNTIF(PROVEEDORES[[#This Row],[PROVEEDOR]],"*"&amp;'Palabra que no opera y Listas d'!$A$2&amp;"*"))</f>
        <v>0</v>
      </c>
    </row>
    <row r="684" spans="1:26" ht="27.75" customHeight="1" x14ac:dyDescent="0.25">
      <c r="A684" s="141" t="str">
        <f>+IF(PROVEEDORES[[#This Row],[FECHA DE PAGO]]=PROVEEDORES[[#This Row],[FECHA DE FACTURACIÓN]],"DE CONTADO","CRÉDITO")</f>
        <v>CRÉDITO</v>
      </c>
      <c r="B684" s="138" t="str">
        <f>+IF((PROVEEDORES[[#This Row],[FECHA DE PAGO]]-PROVEEDORES[[#This Row],[FECHA DE FACTURACIÓN]])&gt;PROVEEDORES[[#This Row],[PLAZO Días]],"PAGO VENCIDO")</f>
        <v>PAGO VENCIDO</v>
      </c>
      <c r="C684" s="138">
        <f>+VLOOKUP(PROVEEDORES[[#This Row],[PROVEEDOR]],TERCEROS_INFO[#All],2,FALSE)</f>
        <v>30</v>
      </c>
      <c r="D684" s="139">
        <f>+SUMIFS(PROVEEDORES[Total],PROVEEDORES[PROVEEDOR],PROVEEDORES[[#This Row],[PROVEEDOR]],PROVEEDORES[FECHA DE PAGO],"")</f>
        <v>12628497</v>
      </c>
      <c r="E684" s="140"/>
      <c r="F684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684" s="127">
        <v>45194</v>
      </c>
      <c r="H684" s="123" t="s">
        <v>451</v>
      </c>
      <c r="I684" s="127">
        <v>45141</v>
      </c>
      <c r="J684" s="124" t="s">
        <v>955</v>
      </c>
      <c r="K684" s="124" t="s">
        <v>1530</v>
      </c>
      <c r="L684" s="124"/>
      <c r="M684" s="125">
        <v>4116710</v>
      </c>
      <c r="N684" s="148">
        <v>782174.9</v>
      </c>
      <c r="O684" s="148">
        <v>0</v>
      </c>
      <c r="P684" s="149">
        <v>2.5000000000000001E-2</v>
      </c>
      <c r="Q684" s="148">
        <v>102917.75</v>
      </c>
      <c r="R684" s="150">
        <v>4795967.1500000004</v>
      </c>
      <c r="S6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4" s="135">
        <f ca="1">+IF(PROVEEDORES[[#This Row],[FECHA DE PAGO]]=0,TODAY()-PROVEEDORES[[#This Row],[FECHA DE FACTURACIÓN]]-PROVEEDORES[[#This Row],[PLAZO Días]],0)</f>
        <v>0</v>
      </c>
      <c r="U684" s="135" t="str">
        <f>+VLOOKUP(PROVEEDORES[[#This Row],[PROVEEDOR]],Terceros!$A:$D,4,FALSE)</f>
        <v>2,5% con base</v>
      </c>
      <c r="V684" s="135">
        <f>+YEAR(PROVEEDORES[[#This Row],[FECHA DE FACTURACIÓN]])</f>
        <v>2023</v>
      </c>
      <c r="W684" s="135">
        <f>+MATCH(PROVEEDORES[[#This Row],[año facturado]],Retenciones!$1:$1,0)</f>
        <v>6</v>
      </c>
      <c r="X684" s="136">
        <f>+VLOOKUP(PROVEEDORES[[#This Row],[ID RETENCION]],Retenciones!$A$1:$O$25,PROVEEDORES[[#This Row],[indicador de columna]],FALSE)</f>
        <v>1145000</v>
      </c>
      <c r="Y684" s="137">
        <f>+VLOOKUP(PROVEEDORES[[#This Row],[ID RETENCION]],Retenciones!$A$1:$O$25,2,FALSE)</f>
        <v>2.5000000000000001E-2</v>
      </c>
      <c r="Z684" s="126" t="b">
        <f>+OR(COUNTIF(PROVEEDORES[[#This Row],[PROVEEDOR]],"*"&amp;'Palabra que no opera y Listas d'!$A$2&amp;"*"))</f>
        <v>0</v>
      </c>
    </row>
    <row r="685" spans="1:26" ht="27.75" customHeight="1" x14ac:dyDescent="0.25">
      <c r="A685" s="141" t="str">
        <f>+IF(PROVEEDORES[[#This Row],[FECHA DE PAGO]]=PROVEEDORES[[#This Row],[FECHA DE FACTURACIÓN]],"DE CONTADO","CRÉDITO")</f>
        <v>CRÉDITO</v>
      </c>
      <c r="B685" s="138" t="str">
        <f>+IF((PROVEEDORES[[#This Row],[FECHA DE PAGO]]-PROVEEDORES[[#This Row],[FECHA DE FACTURACIÓN]])&gt;PROVEEDORES[[#This Row],[PLAZO Días]],"PAGO VENCIDO")</f>
        <v>PAGO VENCIDO</v>
      </c>
      <c r="C685" s="138">
        <f>+VLOOKUP(PROVEEDORES[[#This Row],[PROVEEDOR]],TERCEROS_INFO[#All],2,FALSE)</f>
        <v>30</v>
      </c>
      <c r="D685" s="139">
        <f>+SUMIFS(PROVEEDORES[Total],PROVEEDORES[PROVEEDOR],PROVEEDORES[[#This Row],[PROVEEDOR]],PROVEEDORES[FECHA DE PAGO],"")</f>
        <v>134000</v>
      </c>
      <c r="E685" s="140"/>
      <c r="F685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85" s="127">
        <v>45194</v>
      </c>
      <c r="H685" s="123" t="s">
        <v>1808</v>
      </c>
      <c r="I685" s="127">
        <v>45142</v>
      </c>
      <c r="J685" s="124">
        <v>4307</v>
      </c>
      <c r="K685" s="124" t="s">
        <v>1530</v>
      </c>
      <c r="L685" s="124"/>
      <c r="M685" s="125">
        <v>413100</v>
      </c>
      <c r="N685" s="148">
        <v>0</v>
      </c>
      <c r="O685" s="148">
        <v>0</v>
      </c>
      <c r="P685" s="149">
        <v>0</v>
      </c>
      <c r="Q685" s="148">
        <v>0</v>
      </c>
      <c r="R685" s="150">
        <v>413100</v>
      </c>
      <c r="S6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5" s="135">
        <f ca="1">+IF(PROVEEDORES[[#This Row],[FECHA DE PAGO]]=0,TODAY()-PROVEEDORES[[#This Row],[FECHA DE FACTURACIÓN]]-PROVEEDORES[[#This Row],[PLAZO Días]],0)</f>
        <v>0</v>
      </c>
      <c r="U685" s="135">
        <f>+VLOOKUP(PROVEEDORES[[#This Row],[PROVEEDOR]],Terceros!$A:$D,4,FALSE)</f>
        <v>0</v>
      </c>
      <c r="V685" s="135">
        <f>+YEAR(PROVEEDORES[[#This Row],[FECHA DE FACTURACIÓN]])</f>
        <v>2023</v>
      </c>
      <c r="W685" s="135">
        <f>+MATCH(PROVEEDORES[[#This Row],[año facturado]],Retenciones!$1:$1,0)</f>
        <v>6</v>
      </c>
      <c r="X685" s="136">
        <f>+VLOOKUP(PROVEEDORES[[#This Row],[ID RETENCION]],Retenciones!$A$1:$O$25,PROVEEDORES[[#This Row],[indicador de columna]],FALSE)</f>
        <v>0</v>
      </c>
      <c r="Y685" s="137">
        <f>+VLOOKUP(PROVEEDORES[[#This Row],[ID RETENCION]],Retenciones!$A$1:$O$25,2,FALSE)</f>
        <v>0</v>
      </c>
      <c r="Z685" s="126" t="b">
        <f>+OR(COUNTIF(PROVEEDORES[[#This Row],[PROVEEDOR]],"*"&amp;'Palabra que no opera y Listas d'!$A$2&amp;"*"))</f>
        <v>0</v>
      </c>
    </row>
    <row r="686" spans="1:26" ht="27.75" customHeight="1" x14ac:dyDescent="0.25">
      <c r="A686" s="141" t="str">
        <f>+IF(PROVEEDORES[[#This Row],[FECHA DE PAGO]]=PROVEEDORES[[#This Row],[FECHA DE FACTURACIÓN]],"DE CONTADO","CRÉDITO")</f>
        <v>CRÉDITO</v>
      </c>
      <c r="B686" s="138" t="str">
        <f>+IF((PROVEEDORES[[#This Row],[FECHA DE PAGO]]-PROVEEDORES[[#This Row],[FECHA DE FACTURACIÓN]])&gt;PROVEEDORES[[#This Row],[PLAZO Días]],"PAGO VENCIDO")</f>
        <v>PAGO VENCIDO</v>
      </c>
      <c r="C686" s="138">
        <f>+VLOOKUP(PROVEEDORES[[#This Row],[PROVEEDOR]],TERCEROS_INFO[#All],2,FALSE)</f>
        <v>30</v>
      </c>
      <c r="D686" s="139">
        <f>+SUMIFS(PROVEEDORES[Total],PROVEEDORES[PROVEEDOR],PROVEEDORES[[#This Row],[PROVEEDOR]],PROVEEDORES[FECHA DE PAGO],"")</f>
        <v>352000</v>
      </c>
      <c r="E686" s="140"/>
      <c r="F686" s="138" t="str">
        <f>+VLOOKUP(PROVEEDORES[[#This Row],[PROVEEDOR]],
                       Terceros!$A:$F,
                       5,
                       FALSE)</f>
        <v/>
      </c>
      <c r="G686" s="127">
        <v>45194</v>
      </c>
      <c r="H686" s="123" t="s">
        <v>527</v>
      </c>
      <c r="I686" s="127">
        <v>45142</v>
      </c>
      <c r="J686" s="124">
        <v>62</v>
      </c>
      <c r="K686" s="124" t="s">
        <v>1530</v>
      </c>
      <c r="L686" s="124"/>
      <c r="M686" s="125">
        <v>50000</v>
      </c>
      <c r="N686" s="148">
        <v>0</v>
      </c>
      <c r="O686" s="148">
        <v>0</v>
      </c>
      <c r="P686" s="149">
        <v>0</v>
      </c>
      <c r="Q686" s="148">
        <v>0</v>
      </c>
      <c r="R686" s="150">
        <v>50000</v>
      </c>
      <c r="S6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6" s="135">
        <f ca="1">+IF(PROVEEDORES[[#This Row],[FECHA DE PAGO]]=0,TODAY()-PROVEEDORES[[#This Row],[FECHA DE FACTURACIÓN]]-PROVEEDORES[[#This Row],[PLAZO Días]],0)</f>
        <v>0</v>
      </c>
      <c r="U686" s="135">
        <f>+VLOOKUP(PROVEEDORES[[#This Row],[PROVEEDOR]],Terceros!$A:$D,4,FALSE)</f>
        <v>0</v>
      </c>
      <c r="V686" s="135">
        <f>+YEAR(PROVEEDORES[[#This Row],[FECHA DE FACTURACIÓN]])</f>
        <v>2023</v>
      </c>
      <c r="W686" s="135">
        <f>+MATCH(PROVEEDORES[[#This Row],[año facturado]],Retenciones!$1:$1,0)</f>
        <v>6</v>
      </c>
      <c r="X686" s="136">
        <f>+VLOOKUP(PROVEEDORES[[#This Row],[ID RETENCION]],Retenciones!$A$1:$O$25,PROVEEDORES[[#This Row],[indicador de columna]],FALSE)</f>
        <v>0</v>
      </c>
      <c r="Y686" s="137">
        <f>+VLOOKUP(PROVEEDORES[[#This Row],[ID RETENCION]],Retenciones!$A$1:$O$25,2,FALSE)</f>
        <v>0</v>
      </c>
      <c r="Z686" s="126" t="b">
        <f>+OR(COUNTIF(PROVEEDORES[[#This Row],[PROVEEDOR]],"*"&amp;'Palabra que no opera y Listas d'!$A$2&amp;"*"))</f>
        <v>0</v>
      </c>
    </row>
    <row r="687" spans="1:26" ht="27.75" customHeight="1" x14ac:dyDescent="0.25">
      <c r="A687" s="141" t="str">
        <f>+IF(PROVEEDORES[[#This Row],[FECHA DE PAGO]]=PROVEEDORES[[#This Row],[FECHA DE FACTURACIÓN]],"DE CONTADO","CRÉDITO")</f>
        <v>CRÉDITO</v>
      </c>
      <c r="B687" s="138" t="str">
        <f>+IF((PROVEEDORES[[#This Row],[FECHA DE PAGO]]-PROVEEDORES[[#This Row],[FECHA DE FACTURACIÓN]])&gt;PROVEEDORES[[#This Row],[PLAZO Días]],"PAGO VENCIDO")</f>
        <v>PAGO VENCIDO</v>
      </c>
      <c r="C687" s="138">
        <f>+VLOOKUP(PROVEEDORES[[#This Row],[PROVEEDOR]],TERCEROS_INFO[#All],2,FALSE)</f>
        <v>30</v>
      </c>
      <c r="D687" s="139">
        <f>+SUMIFS(PROVEEDORES[Total],PROVEEDORES[PROVEEDOR],PROVEEDORES[[#This Row],[PROVEEDOR]],PROVEEDORES[FECHA DE PAGO],"")</f>
        <v>352000</v>
      </c>
      <c r="E687" s="140"/>
      <c r="F687" s="138" t="str">
        <f>+VLOOKUP(PROVEEDORES[[#This Row],[PROVEEDOR]],
                       Terceros!$A:$F,
                       5,
                       FALSE)</f>
        <v/>
      </c>
      <c r="G687" s="127">
        <v>45194</v>
      </c>
      <c r="H687" s="123" t="s">
        <v>527</v>
      </c>
      <c r="I687" s="127">
        <v>45144</v>
      </c>
      <c r="J687" s="124">
        <v>63</v>
      </c>
      <c r="K687" s="124" t="s">
        <v>1530</v>
      </c>
      <c r="L687" s="124"/>
      <c r="M687" s="125">
        <v>49000</v>
      </c>
      <c r="N687" s="148">
        <v>0</v>
      </c>
      <c r="O687" s="148">
        <v>0</v>
      </c>
      <c r="P687" s="149">
        <v>0</v>
      </c>
      <c r="Q687" s="148">
        <v>0</v>
      </c>
      <c r="R687" s="150">
        <v>49000</v>
      </c>
      <c r="S6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7" s="135">
        <f ca="1">+IF(PROVEEDORES[[#This Row],[FECHA DE PAGO]]=0,TODAY()-PROVEEDORES[[#This Row],[FECHA DE FACTURACIÓN]]-PROVEEDORES[[#This Row],[PLAZO Días]],0)</f>
        <v>0</v>
      </c>
      <c r="U687" s="135">
        <f>+VLOOKUP(PROVEEDORES[[#This Row],[PROVEEDOR]],Terceros!$A:$D,4,FALSE)</f>
        <v>0</v>
      </c>
      <c r="V687" s="135">
        <f>+YEAR(PROVEEDORES[[#This Row],[FECHA DE FACTURACIÓN]])</f>
        <v>2023</v>
      </c>
      <c r="W687" s="135">
        <f>+MATCH(PROVEEDORES[[#This Row],[año facturado]],Retenciones!$1:$1,0)</f>
        <v>6</v>
      </c>
      <c r="X687" s="136">
        <f>+VLOOKUP(PROVEEDORES[[#This Row],[ID RETENCION]],Retenciones!$A$1:$O$25,PROVEEDORES[[#This Row],[indicador de columna]],FALSE)</f>
        <v>0</v>
      </c>
      <c r="Y687" s="137">
        <f>+VLOOKUP(PROVEEDORES[[#This Row],[ID RETENCION]],Retenciones!$A$1:$O$25,2,FALSE)</f>
        <v>0</v>
      </c>
      <c r="Z687" s="126" t="b">
        <f>+OR(COUNTIF(PROVEEDORES[[#This Row],[PROVEEDOR]],"*"&amp;'Palabra que no opera y Listas d'!$A$2&amp;"*"))</f>
        <v>0</v>
      </c>
    </row>
    <row r="688" spans="1:26" ht="27.75" customHeight="1" x14ac:dyDescent="0.25">
      <c r="A688" s="141" t="str">
        <f>+IF(PROVEEDORES[[#This Row],[FECHA DE PAGO]]=PROVEEDORES[[#This Row],[FECHA DE FACTURACIÓN]],"DE CONTADO","CRÉDITO")</f>
        <v>CRÉDITO</v>
      </c>
      <c r="B688" s="138" t="str">
        <f>+IF((PROVEEDORES[[#This Row],[FECHA DE PAGO]]-PROVEEDORES[[#This Row],[FECHA DE FACTURACIÓN]])&gt;PROVEEDORES[[#This Row],[PLAZO Días]],"PAGO VENCIDO")</f>
        <v>PAGO VENCIDO</v>
      </c>
      <c r="C688" s="138">
        <f>+VLOOKUP(PROVEEDORES[[#This Row],[PROVEEDOR]],TERCEROS_INFO[#All],2,FALSE)</f>
        <v>30</v>
      </c>
      <c r="D688" s="139">
        <f>+SUMIFS(PROVEEDORES[Total],PROVEEDORES[PROVEEDOR],PROVEEDORES[[#This Row],[PROVEEDOR]],PROVEEDORES[FECHA DE PAGO],"")</f>
        <v>352000</v>
      </c>
      <c r="E688" s="140"/>
      <c r="F688" s="138" t="str">
        <f>+VLOOKUP(PROVEEDORES[[#This Row],[PROVEEDOR]],
                       Terceros!$A:$F,
                       5,
                       FALSE)</f>
        <v/>
      </c>
      <c r="G688" s="127">
        <v>45194</v>
      </c>
      <c r="H688" s="123" t="s">
        <v>527</v>
      </c>
      <c r="I688" s="127">
        <v>45149</v>
      </c>
      <c r="J688" s="124">
        <v>64</v>
      </c>
      <c r="K688" s="124" t="s">
        <v>1530</v>
      </c>
      <c r="L688" s="124"/>
      <c r="M688" s="125">
        <v>34000</v>
      </c>
      <c r="N688" s="148">
        <v>0</v>
      </c>
      <c r="O688" s="148">
        <v>0</v>
      </c>
      <c r="P688" s="149">
        <v>0</v>
      </c>
      <c r="Q688" s="148">
        <v>0</v>
      </c>
      <c r="R688" s="150">
        <v>34000</v>
      </c>
      <c r="S6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8" s="135">
        <f ca="1">+IF(PROVEEDORES[[#This Row],[FECHA DE PAGO]]=0,TODAY()-PROVEEDORES[[#This Row],[FECHA DE FACTURACIÓN]]-PROVEEDORES[[#This Row],[PLAZO Días]],0)</f>
        <v>0</v>
      </c>
      <c r="U688" s="135">
        <f>+VLOOKUP(PROVEEDORES[[#This Row],[PROVEEDOR]],Terceros!$A:$D,4,FALSE)</f>
        <v>0</v>
      </c>
      <c r="V688" s="135">
        <f>+YEAR(PROVEEDORES[[#This Row],[FECHA DE FACTURACIÓN]])</f>
        <v>2023</v>
      </c>
      <c r="W688" s="135">
        <f>+MATCH(PROVEEDORES[[#This Row],[año facturado]],Retenciones!$1:$1,0)</f>
        <v>6</v>
      </c>
      <c r="X688" s="136">
        <f>+VLOOKUP(PROVEEDORES[[#This Row],[ID RETENCION]],Retenciones!$A$1:$O$25,PROVEEDORES[[#This Row],[indicador de columna]],FALSE)</f>
        <v>0</v>
      </c>
      <c r="Y688" s="137">
        <f>+VLOOKUP(PROVEEDORES[[#This Row],[ID RETENCION]],Retenciones!$A$1:$O$25,2,FALSE)</f>
        <v>0</v>
      </c>
      <c r="Z688" s="126" t="b">
        <f>+OR(COUNTIF(PROVEEDORES[[#This Row],[PROVEEDOR]],"*"&amp;'Palabra que no opera y Listas d'!$A$2&amp;"*"))</f>
        <v>0</v>
      </c>
    </row>
    <row r="689" spans="1:26" ht="27.75" customHeight="1" x14ac:dyDescent="0.25">
      <c r="A689" s="141" t="str">
        <f>+IF(PROVEEDORES[[#This Row],[FECHA DE PAGO]]=PROVEEDORES[[#This Row],[FECHA DE FACTURACIÓN]],"DE CONTADO","CRÉDITO")</f>
        <v>CRÉDITO</v>
      </c>
      <c r="B689" s="138" t="str">
        <f>+IF((PROVEEDORES[[#This Row],[FECHA DE PAGO]]-PROVEEDORES[[#This Row],[FECHA DE FACTURACIÓN]])&gt;PROVEEDORES[[#This Row],[PLAZO Días]],"PAGO VENCIDO")</f>
        <v>PAGO VENCIDO</v>
      </c>
      <c r="C689" s="138">
        <f>+VLOOKUP(PROVEEDORES[[#This Row],[PROVEEDOR]],TERCEROS_INFO[#All],2,FALSE)</f>
        <v>30</v>
      </c>
      <c r="D689" s="139">
        <f>+SUMIFS(PROVEEDORES[Total],PROVEEDORES[PROVEEDOR],PROVEEDORES[[#This Row],[PROVEEDOR]],PROVEEDORES[FECHA DE PAGO],"")</f>
        <v>352000</v>
      </c>
      <c r="E689" s="140"/>
      <c r="F689" s="138" t="str">
        <f>+VLOOKUP(PROVEEDORES[[#This Row],[PROVEEDOR]],
                       Terceros!$A:$F,
                       5,
                       FALSE)</f>
        <v/>
      </c>
      <c r="G689" s="127">
        <v>45194</v>
      </c>
      <c r="H689" s="123" t="s">
        <v>527</v>
      </c>
      <c r="I689" s="127">
        <v>45153</v>
      </c>
      <c r="J689" s="124">
        <v>65</v>
      </c>
      <c r="K689" s="124" t="s">
        <v>1530</v>
      </c>
      <c r="L689" s="124"/>
      <c r="M689" s="125">
        <v>74000</v>
      </c>
      <c r="N689" s="148">
        <v>0</v>
      </c>
      <c r="O689" s="148">
        <v>0</v>
      </c>
      <c r="P689" s="149">
        <v>0</v>
      </c>
      <c r="Q689" s="148">
        <v>0</v>
      </c>
      <c r="R689" s="150">
        <v>74000</v>
      </c>
      <c r="S6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89" s="135">
        <f ca="1">+IF(PROVEEDORES[[#This Row],[FECHA DE PAGO]]=0,TODAY()-PROVEEDORES[[#This Row],[FECHA DE FACTURACIÓN]]-PROVEEDORES[[#This Row],[PLAZO Días]],0)</f>
        <v>0</v>
      </c>
      <c r="U689" s="135">
        <f>+VLOOKUP(PROVEEDORES[[#This Row],[PROVEEDOR]],Terceros!$A:$D,4,FALSE)</f>
        <v>0</v>
      </c>
      <c r="V689" s="135">
        <f>+YEAR(PROVEEDORES[[#This Row],[FECHA DE FACTURACIÓN]])</f>
        <v>2023</v>
      </c>
      <c r="W689" s="135">
        <f>+MATCH(PROVEEDORES[[#This Row],[año facturado]],Retenciones!$1:$1,0)</f>
        <v>6</v>
      </c>
      <c r="X689" s="136">
        <f>+VLOOKUP(PROVEEDORES[[#This Row],[ID RETENCION]],Retenciones!$A$1:$O$25,PROVEEDORES[[#This Row],[indicador de columna]],FALSE)</f>
        <v>0</v>
      </c>
      <c r="Y689" s="137">
        <f>+VLOOKUP(PROVEEDORES[[#This Row],[ID RETENCION]],Retenciones!$A$1:$O$25,2,FALSE)</f>
        <v>0</v>
      </c>
      <c r="Z689" s="126" t="b">
        <f>+OR(COUNTIF(PROVEEDORES[[#This Row],[PROVEEDOR]],"*"&amp;'Palabra que no opera y Listas d'!$A$2&amp;"*"))</f>
        <v>0</v>
      </c>
    </row>
    <row r="690" spans="1:26" ht="27.75" customHeight="1" x14ac:dyDescent="0.25">
      <c r="A690" s="141" t="str">
        <f>+IF(PROVEEDORES[[#This Row],[FECHA DE PAGO]]=PROVEEDORES[[#This Row],[FECHA DE FACTURACIÓN]],"DE CONTADO","CRÉDITO")</f>
        <v>CRÉDITO</v>
      </c>
      <c r="B690" s="138" t="str">
        <f>+IF((PROVEEDORES[[#This Row],[FECHA DE PAGO]]-PROVEEDORES[[#This Row],[FECHA DE FACTURACIÓN]])&gt;PROVEEDORES[[#This Row],[PLAZO Días]],"PAGO VENCIDO")</f>
        <v>PAGO VENCIDO</v>
      </c>
      <c r="C690" s="138">
        <f>+VLOOKUP(PROVEEDORES[[#This Row],[PROVEEDOR]],TERCEROS_INFO[#All],2,FALSE)</f>
        <v>30</v>
      </c>
      <c r="D690" s="139">
        <f>+SUMIFS(PROVEEDORES[Total],PROVEEDORES[PROVEEDOR],PROVEEDORES[[#This Row],[PROVEEDOR]],PROVEEDORES[FECHA DE PAGO],"")</f>
        <v>134000</v>
      </c>
      <c r="E690" s="140"/>
      <c r="F690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690" s="127">
        <v>45194</v>
      </c>
      <c r="H690" s="123" t="s">
        <v>1808</v>
      </c>
      <c r="I690" s="127">
        <v>45154</v>
      </c>
      <c r="J690" s="124">
        <v>4327</v>
      </c>
      <c r="K690" s="124" t="s">
        <v>1530</v>
      </c>
      <c r="L690" s="124"/>
      <c r="M690" s="125">
        <v>200000</v>
      </c>
      <c r="N690" s="148">
        <v>0</v>
      </c>
      <c r="O690" s="148">
        <v>0</v>
      </c>
      <c r="P690" s="149">
        <v>0</v>
      </c>
      <c r="Q690" s="148">
        <v>0</v>
      </c>
      <c r="R690" s="150">
        <v>200000</v>
      </c>
      <c r="S6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0" s="135">
        <f ca="1">+IF(PROVEEDORES[[#This Row],[FECHA DE PAGO]]=0,TODAY()-PROVEEDORES[[#This Row],[FECHA DE FACTURACIÓN]]-PROVEEDORES[[#This Row],[PLAZO Días]],0)</f>
        <v>0</v>
      </c>
      <c r="U690" s="135">
        <f>+VLOOKUP(PROVEEDORES[[#This Row],[PROVEEDOR]],Terceros!$A:$D,4,FALSE)</f>
        <v>0</v>
      </c>
      <c r="V690" s="135">
        <f>+YEAR(PROVEEDORES[[#This Row],[FECHA DE FACTURACIÓN]])</f>
        <v>2023</v>
      </c>
      <c r="W690" s="135">
        <f>+MATCH(PROVEEDORES[[#This Row],[año facturado]],Retenciones!$1:$1,0)</f>
        <v>6</v>
      </c>
      <c r="X690" s="136">
        <f>+VLOOKUP(PROVEEDORES[[#This Row],[ID RETENCION]],Retenciones!$A$1:$O$25,PROVEEDORES[[#This Row],[indicador de columna]],FALSE)</f>
        <v>0</v>
      </c>
      <c r="Y690" s="137">
        <f>+VLOOKUP(PROVEEDORES[[#This Row],[ID RETENCION]],Retenciones!$A$1:$O$25,2,FALSE)</f>
        <v>0</v>
      </c>
      <c r="Z690" s="126" t="b">
        <f>+OR(COUNTIF(PROVEEDORES[[#This Row],[PROVEEDOR]],"*"&amp;'Palabra que no opera y Listas d'!$A$2&amp;"*"))</f>
        <v>0</v>
      </c>
    </row>
    <row r="691" spans="1:26" ht="27.75" customHeight="1" x14ac:dyDescent="0.25">
      <c r="A691" s="141" t="str">
        <f>+IF(PROVEEDORES[[#This Row],[FECHA DE PAGO]]=PROVEEDORES[[#This Row],[FECHA DE FACTURACIÓN]],"DE CONTADO","CRÉDITO")</f>
        <v>CRÉDITO</v>
      </c>
      <c r="B691" s="138" t="str">
        <f>+IF((PROVEEDORES[[#This Row],[FECHA DE PAGO]]-PROVEEDORES[[#This Row],[FECHA DE FACTURACIÓN]])&gt;PROVEEDORES[[#This Row],[PLAZO Días]],"PAGO VENCIDO")</f>
        <v>PAGO VENCIDO</v>
      </c>
      <c r="C691" s="138">
        <f>+VLOOKUP(PROVEEDORES[[#This Row],[PROVEEDOR]],TERCEROS_INFO[#All],2,FALSE)</f>
        <v>30</v>
      </c>
      <c r="D691" s="139">
        <f>+SUMIFS(PROVEEDORES[Total],PROVEEDORES[PROVEEDOR],PROVEEDORES[[#This Row],[PROVEEDOR]],PROVEEDORES[FECHA DE PAGO],"")</f>
        <v>0</v>
      </c>
      <c r="E691" s="140"/>
      <c r="F691" s="138">
        <f>+VLOOKUP(PROVEEDORES[[#This Row],[PROVEEDOR]],
                       Terceros!$A:$F,
                       5,
                       FALSE)</f>
        <v>0</v>
      </c>
      <c r="G691" s="127">
        <v>45194</v>
      </c>
      <c r="H691" s="123" t="s">
        <v>492</v>
      </c>
      <c r="I691" s="127">
        <v>45155</v>
      </c>
      <c r="J691" s="124">
        <v>491</v>
      </c>
      <c r="K691" s="124" t="s">
        <v>1530</v>
      </c>
      <c r="L691" s="124"/>
      <c r="M691" s="125">
        <v>300000</v>
      </c>
      <c r="N691" s="148">
        <v>0</v>
      </c>
      <c r="O691" s="148">
        <v>0</v>
      </c>
      <c r="P691" s="149">
        <v>0</v>
      </c>
      <c r="Q691" s="148">
        <v>0</v>
      </c>
      <c r="R691" s="150">
        <v>300000</v>
      </c>
      <c r="S6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1" s="135">
        <f ca="1">+IF(PROVEEDORES[[#This Row],[FECHA DE PAGO]]=0,TODAY()-PROVEEDORES[[#This Row],[FECHA DE FACTURACIÓN]]-PROVEEDORES[[#This Row],[PLAZO Días]],0)</f>
        <v>0</v>
      </c>
      <c r="U691" s="135">
        <f>+VLOOKUP(PROVEEDORES[[#This Row],[PROVEEDOR]],Terceros!$A:$D,4,FALSE)</f>
        <v>0</v>
      </c>
      <c r="V691" s="135">
        <f>+YEAR(PROVEEDORES[[#This Row],[FECHA DE FACTURACIÓN]])</f>
        <v>2023</v>
      </c>
      <c r="W691" s="135">
        <f>+MATCH(PROVEEDORES[[#This Row],[año facturado]],Retenciones!$1:$1,0)</f>
        <v>6</v>
      </c>
      <c r="X691" s="136">
        <f>+VLOOKUP(PROVEEDORES[[#This Row],[ID RETENCION]],Retenciones!$A$1:$O$25,PROVEEDORES[[#This Row],[indicador de columna]],FALSE)</f>
        <v>0</v>
      </c>
      <c r="Y691" s="137">
        <f>+VLOOKUP(PROVEEDORES[[#This Row],[ID RETENCION]],Retenciones!$A$1:$O$25,2,FALSE)</f>
        <v>0</v>
      </c>
      <c r="Z691" s="126" t="b">
        <f>+OR(COUNTIF(PROVEEDORES[[#This Row],[PROVEEDOR]],"*"&amp;'Palabra que no opera y Listas d'!$A$2&amp;"*"))</f>
        <v>0</v>
      </c>
    </row>
    <row r="692" spans="1:26" ht="27.75" customHeight="1" x14ac:dyDescent="0.25">
      <c r="A692" s="141" t="str">
        <f>+IF(PROVEEDORES[[#This Row],[FECHA DE PAGO]]=PROVEEDORES[[#This Row],[FECHA DE FACTURACIÓN]],"DE CONTADO","CRÉDITO")</f>
        <v>CRÉDITO</v>
      </c>
      <c r="B692" s="138" t="str">
        <f>+IF((PROVEEDORES[[#This Row],[FECHA DE PAGO]]-PROVEEDORES[[#This Row],[FECHA DE FACTURACIÓN]])&gt;PROVEEDORES[[#This Row],[PLAZO Días]],"PAGO VENCIDO")</f>
        <v>PAGO VENCIDO</v>
      </c>
      <c r="C692" s="138">
        <f>+VLOOKUP(PROVEEDORES[[#This Row],[PROVEEDOR]],TERCEROS_INFO[#All],2,FALSE)</f>
        <v>30</v>
      </c>
      <c r="D692" s="139">
        <f>+SUMIFS(PROVEEDORES[Total],PROVEEDORES[PROVEEDOR],PROVEEDORES[[#This Row],[PROVEEDOR]],PROVEEDORES[FECHA DE PAGO],"")</f>
        <v>352000</v>
      </c>
      <c r="E692" s="140"/>
      <c r="F692" s="138" t="str">
        <f>+VLOOKUP(PROVEEDORES[[#This Row],[PROVEEDOR]],
                       Terceros!$A:$F,
                       5,
                       FALSE)</f>
        <v/>
      </c>
      <c r="G692" s="127">
        <v>45194</v>
      </c>
      <c r="H692" s="123" t="s">
        <v>527</v>
      </c>
      <c r="I692" s="127">
        <v>45160</v>
      </c>
      <c r="J692" s="124">
        <v>66</v>
      </c>
      <c r="K692" s="124" t="s">
        <v>1530</v>
      </c>
      <c r="L692" s="124"/>
      <c r="M692" s="125">
        <v>20000</v>
      </c>
      <c r="N692" s="148">
        <v>0</v>
      </c>
      <c r="O692" s="148">
        <v>0</v>
      </c>
      <c r="P692" s="149">
        <v>0</v>
      </c>
      <c r="Q692" s="148">
        <v>0</v>
      </c>
      <c r="R692" s="150">
        <v>20000</v>
      </c>
      <c r="S6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2" s="135">
        <f ca="1">+IF(PROVEEDORES[[#This Row],[FECHA DE PAGO]]=0,TODAY()-PROVEEDORES[[#This Row],[FECHA DE FACTURACIÓN]]-PROVEEDORES[[#This Row],[PLAZO Días]],0)</f>
        <v>0</v>
      </c>
      <c r="U692" s="135">
        <f>+VLOOKUP(PROVEEDORES[[#This Row],[PROVEEDOR]],Terceros!$A:$D,4,FALSE)</f>
        <v>0</v>
      </c>
      <c r="V692" s="135">
        <f>+YEAR(PROVEEDORES[[#This Row],[FECHA DE FACTURACIÓN]])</f>
        <v>2023</v>
      </c>
      <c r="W692" s="135">
        <f>+MATCH(PROVEEDORES[[#This Row],[año facturado]],Retenciones!$1:$1,0)</f>
        <v>6</v>
      </c>
      <c r="X692" s="136">
        <f>+VLOOKUP(PROVEEDORES[[#This Row],[ID RETENCION]],Retenciones!$A$1:$O$25,PROVEEDORES[[#This Row],[indicador de columna]],FALSE)</f>
        <v>0</v>
      </c>
      <c r="Y692" s="137">
        <f>+VLOOKUP(PROVEEDORES[[#This Row],[ID RETENCION]],Retenciones!$A$1:$O$25,2,FALSE)</f>
        <v>0</v>
      </c>
      <c r="Z692" s="126" t="b">
        <f>+OR(COUNTIF(PROVEEDORES[[#This Row],[PROVEEDOR]],"*"&amp;'Palabra que no opera y Listas d'!$A$2&amp;"*"))</f>
        <v>0</v>
      </c>
    </row>
    <row r="693" spans="1:26" ht="27.75" customHeight="1" x14ac:dyDescent="0.25">
      <c r="A693" s="141" t="str">
        <f>+IF(PROVEEDORES[[#This Row],[FECHA DE PAGO]]=PROVEEDORES[[#This Row],[FECHA DE FACTURACIÓN]],"DE CONTADO","CRÉDITO")</f>
        <v>CRÉDITO</v>
      </c>
      <c r="B693" s="138" t="str">
        <f>+IF((PROVEEDORES[[#This Row],[FECHA DE PAGO]]-PROVEEDORES[[#This Row],[FECHA DE FACTURACIÓN]])&gt;PROVEEDORES[[#This Row],[PLAZO Días]],"PAGO VENCIDO")</f>
        <v>PAGO VENCIDO</v>
      </c>
      <c r="C693" s="138">
        <f>+VLOOKUP(PROVEEDORES[[#This Row],[PROVEEDOR]],TERCEROS_INFO[#All],2,FALSE)</f>
        <v>30</v>
      </c>
      <c r="D693" s="139">
        <f>+SUMIFS(PROVEEDORES[Total],PROVEEDORES[PROVEEDOR],PROVEEDORES[[#This Row],[PROVEEDOR]],PROVEEDORES[FECHA DE PAGO],"")</f>
        <v>8456975.129999999</v>
      </c>
      <c r="E693" s="140"/>
      <c r="F693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693" s="127">
        <v>45194</v>
      </c>
      <c r="H693" s="123" t="s">
        <v>1464</v>
      </c>
      <c r="I693" s="127">
        <v>45162</v>
      </c>
      <c r="J693" s="124" t="s">
        <v>999</v>
      </c>
      <c r="K693" s="124" t="s">
        <v>1530</v>
      </c>
      <c r="L693" s="124"/>
      <c r="M693" s="125">
        <v>1877600</v>
      </c>
      <c r="N693" s="148">
        <v>356744</v>
      </c>
      <c r="O693" s="148">
        <v>0</v>
      </c>
      <c r="P693" s="149">
        <v>2.5000000000000001E-2</v>
      </c>
      <c r="Q693" s="148">
        <v>46940</v>
      </c>
      <c r="R693" s="150">
        <v>2187404</v>
      </c>
      <c r="S6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3" s="135">
        <f ca="1">+IF(PROVEEDORES[[#This Row],[FECHA DE PAGO]]=0,TODAY()-PROVEEDORES[[#This Row],[FECHA DE FACTURACIÓN]]-PROVEEDORES[[#This Row],[PLAZO Días]],0)</f>
        <v>0</v>
      </c>
      <c r="U693" s="135" t="str">
        <f>+VLOOKUP(PROVEEDORES[[#This Row],[PROVEEDOR]],Terceros!$A:$D,4,FALSE)</f>
        <v>2,5% con base</v>
      </c>
      <c r="V693" s="135">
        <f>+YEAR(PROVEEDORES[[#This Row],[FECHA DE FACTURACIÓN]])</f>
        <v>2023</v>
      </c>
      <c r="W693" s="135">
        <f>+MATCH(PROVEEDORES[[#This Row],[año facturado]],Retenciones!$1:$1,0)</f>
        <v>6</v>
      </c>
      <c r="X693" s="136">
        <f>+VLOOKUP(PROVEEDORES[[#This Row],[ID RETENCION]],Retenciones!$A$1:$O$25,PROVEEDORES[[#This Row],[indicador de columna]],FALSE)</f>
        <v>1145000</v>
      </c>
      <c r="Y693" s="137">
        <f>+VLOOKUP(PROVEEDORES[[#This Row],[ID RETENCION]],Retenciones!$A$1:$O$25,2,FALSE)</f>
        <v>2.5000000000000001E-2</v>
      </c>
      <c r="Z693" s="126" t="b">
        <f>+OR(COUNTIF(PROVEEDORES[[#This Row],[PROVEEDOR]],"*"&amp;'Palabra que no opera y Listas d'!$A$2&amp;"*"))</f>
        <v>0</v>
      </c>
    </row>
    <row r="694" spans="1:26" ht="27.75" customHeight="1" x14ac:dyDescent="0.25">
      <c r="A694" s="141" t="str">
        <f>+IF(PROVEEDORES[[#This Row],[FECHA DE PAGO]]=PROVEEDORES[[#This Row],[FECHA DE FACTURACIÓN]],"DE CONTADO","CRÉDITO")</f>
        <v>CRÉDITO</v>
      </c>
      <c r="B694" s="138" t="b">
        <f>+IF((PROVEEDORES[[#This Row],[FECHA DE PAGO]]-PROVEEDORES[[#This Row],[FECHA DE FACTURACIÓN]])&gt;PROVEEDORES[[#This Row],[PLAZO Días]],"PAGO VENCIDO")</f>
        <v>0</v>
      </c>
      <c r="C694" s="138">
        <f>+VLOOKUP(PROVEEDORES[[#This Row],[PROVEEDOR]],TERCEROS_INFO[#All],2,FALSE)</f>
        <v>30</v>
      </c>
      <c r="D694" s="139">
        <f>+SUMIFS(PROVEEDORES[Total],PROVEEDORES[PROVEEDOR],PROVEEDORES[[#This Row],[PROVEEDOR]],PROVEEDORES[FECHA DE PAGO],"")</f>
        <v>352000</v>
      </c>
      <c r="E694" s="140"/>
      <c r="F694" s="138" t="str">
        <f>+VLOOKUP(PROVEEDORES[[#This Row],[PROVEEDOR]],
                       Terceros!$A:$F,
                       5,
                       FALSE)</f>
        <v/>
      </c>
      <c r="G694" s="127">
        <v>45194</v>
      </c>
      <c r="H694" s="123" t="s">
        <v>527</v>
      </c>
      <c r="I694" s="127">
        <v>45166</v>
      </c>
      <c r="J694" s="124">
        <v>67</v>
      </c>
      <c r="K694" s="124" t="s">
        <v>1530</v>
      </c>
      <c r="L694" s="124"/>
      <c r="M694" s="125">
        <v>22000</v>
      </c>
      <c r="N694" s="148">
        <v>0</v>
      </c>
      <c r="O694" s="148">
        <v>0</v>
      </c>
      <c r="P694" s="149">
        <v>0</v>
      </c>
      <c r="Q694" s="148">
        <v>0</v>
      </c>
      <c r="R694" s="150">
        <v>22000</v>
      </c>
      <c r="S6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4" s="135">
        <f ca="1">+IF(PROVEEDORES[[#This Row],[FECHA DE PAGO]]=0,TODAY()-PROVEEDORES[[#This Row],[FECHA DE FACTURACIÓN]]-PROVEEDORES[[#This Row],[PLAZO Días]],0)</f>
        <v>0</v>
      </c>
      <c r="U694" s="135">
        <f>+VLOOKUP(PROVEEDORES[[#This Row],[PROVEEDOR]],Terceros!$A:$D,4,FALSE)</f>
        <v>0</v>
      </c>
      <c r="V694" s="135">
        <f>+YEAR(PROVEEDORES[[#This Row],[FECHA DE FACTURACIÓN]])</f>
        <v>2023</v>
      </c>
      <c r="W694" s="135">
        <f>+MATCH(PROVEEDORES[[#This Row],[año facturado]],Retenciones!$1:$1,0)</f>
        <v>6</v>
      </c>
      <c r="X694" s="136">
        <f>+VLOOKUP(PROVEEDORES[[#This Row],[ID RETENCION]],Retenciones!$A$1:$O$25,PROVEEDORES[[#This Row],[indicador de columna]],FALSE)</f>
        <v>0</v>
      </c>
      <c r="Y694" s="137">
        <f>+VLOOKUP(PROVEEDORES[[#This Row],[ID RETENCION]],Retenciones!$A$1:$O$25,2,FALSE)</f>
        <v>0</v>
      </c>
      <c r="Z694" s="126" t="b">
        <f>+OR(COUNTIF(PROVEEDORES[[#This Row],[PROVEEDOR]],"*"&amp;'Palabra que no opera y Listas d'!$A$2&amp;"*"))</f>
        <v>0</v>
      </c>
    </row>
    <row r="695" spans="1:26" ht="27.75" customHeight="1" x14ac:dyDescent="0.25">
      <c r="A695" s="141" t="str">
        <f>+IF(PROVEEDORES[[#This Row],[FECHA DE PAGO]]=PROVEEDORES[[#This Row],[FECHA DE FACTURACIÓN]],"DE CONTADO","CRÉDITO")</f>
        <v>CRÉDITO</v>
      </c>
      <c r="B695" s="138" t="b">
        <f>+IF((PROVEEDORES[[#This Row],[FECHA DE PAGO]]-PROVEEDORES[[#This Row],[FECHA DE FACTURACIÓN]])&gt;PROVEEDORES[[#This Row],[PLAZO Días]],"PAGO VENCIDO")</f>
        <v>0</v>
      </c>
      <c r="C695" s="138">
        <f>+VLOOKUP(PROVEEDORES[[#This Row],[PROVEEDOR]],TERCEROS_INFO[#All],2,FALSE)</f>
        <v>30</v>
      </c>
      <c r="D695" s="139">
        <f>+SUMIFS(PROVEEDORES[Total],PROVEEDORES[PROVEEDOR],PROVEEDORES[[#This Row],[PROVEEDOR]],PROVEEDORES[FECHA DE PAGO],"")</f>
        <v>352000</v>
      </c>
      <c r="E695" s="140"/>
      <c r="F695" s="138" t="str">
        <f>+VLOOKUP(PROVEEDORES[[#This Row],[PROVEEDOR]],
                       Terceros!$A:$F,
                       5,
                       FALSE)</f>
        <v/>
      </c>
      <c r="G695" s="127">
        <v>45194</v>
      </c>
      <c r="H695" s="123" t="s">
        <v>527</v>
      </c>
      <c r="I695" s="127">
        <v>45168</v>
      </c>
      <c r="J695" s="124">
        <v>68</v>
      </c>
      <c r="K695" s="124" t="s">
        <v>1530</v>
      </c>
      <c r="L695" s="124"/>
      <c r="M695" s="125">
        <v>66000</v>
      </c>
      <c r="N695" s="148">
        <v>0</v>
      </c>
      <c r="O695" s="148">
        <v>0</v>
      </c>
      <c r="P695" s="149">
        <v>0</v>
      </c>
      <c r="Q695" s="148">
        <v>0</v>
      </c>
      <c r="R695" s="150">
        <v>66000</v>
      </c>
      <c r="S6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5" s="135">
        <f ca="1">+IF(PROVEEDORES[[#This Row],[FECHA DE PAGO]]=0,TODAY()-PROVEEDORES[[#This Row],[FECHA DE FACTURACIÓN]]-PROVEEDORES[[#This Row],[PLAZO Días]],0)</f>
        <v>0</v>
      </c>
      <c r="U695" s="135">
        <f>+VLOOKUP(PROVEEDORES[[#This Row],[PROVEEDOR]],Terceros!$A:$D,4,FALSE)</f>
        <v>0</v>
      </c>
      <c r="V695" s="135">
        <f>+YEAR(PROVEEDORES[[#This Row],[FECHA DE FACTURACIÓN]])</f>
        <v>2023</v>
      </c>
      <c r="W695" s="135">
        <f>+MATCH(PROVEEDORES[[#This Row],[año facturado]],Retenciones!$1:$1,0)</f>
        <v>6</v>
      </c>
      <c r="X695" s="136">
        <f>+VLOOKUP(PROVEEDORES[[#This Row],[ID RETENCION]],Retenciones!$A$1:$O$25,PROVEEDORES[[#This Row],[indicador de columna]],FALSE)</f>
        <v>0</v>
      </c>
      <c r="Y695" s="137">
        <f>+VLOOKUP(PROVEEDORES[[#This Row],[ID RETENCION]],Retenciones!$A$1:$O$25,2,FALSE)</f>
        <v>0</v>
      </c>
      <c r="Z695" s="126" t="b">
        <f>+OR(COUNTIF(PROVEEDORES[[#This Row],[PROVEEDOR]],"*"&amp;'Palabra que no opera y Listas d'!$A$2&amp;"*"))</f>
        <v>0</v>
      </c>
    </row>
    <row r="696" spans="1:26" ht="27.75" customHeight="1" x14ac:dyDescent="0.25">
      <c r="A696" s="141" t="str">
        <f>+IF(PROVEEDORES[[#This Row],[FECHA DE PAGO]]=PROVEEDORES[[#This Row],[FECHA DE FACTURACIÓN]],"DE CONTADO","CRÉDITO")</f>
        <v>CRÉDITO</v>
      </c>
      <c r="B696" s="138" t="b">
        <f>+IF((PROVEEDORES[[#This Row],[FECHA DE PAGO]]-PROVEEDORES[[#This Row],[FECHA DE FACTURACIÓN]])&gt;PROVEEDORES[[#This Row],[PLAZO Días]],"PAGO VENCIDO")</f>
        <v>0</v>
      </c>
      <c r="C696" s="138">
        <f>+VLOOKUP(PROVEEDORES[[#This Row],[PROVEEDOR]],TERCEROS_INFO[#All],2,FALSE)</f>
        <v>30</v>
      </c>
      <c r="D696" s="139">
        <f>+SUMIFS(PROVEEDORES[Total],PROVEEDORES[PROVEEDOR],PROVEEDORES[[#This Row],[PROVEEDOR]],PROVEEDORES[FECHA DE PAGO],"")</f>
        <v>0</v>
      </c>
      <c r="E696" s="140"/>
      <c r="F696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696" s="127">
        <v>45194</v>
      </c>
      <c r="H696" s="123" t="s">
        <v>382</v>
      </c>
      <c r="I696" s="127">
        <v>45170</v>
      </c>
      <c r="J696" s="124" t="s">
        <v>1050</v>
      </c>
      <c r="K696" s="124" t="s">
        <v>1530</v>
      </c>
      <c r="L696" s="124"/>
      <c r="M696" s="125">
        <v>914023</v>
      </c>
      <c r="N696" s="148">
        <v>0</v>
      </c>
      <c r="O696" s="148">
        <v>0</v>
      </c>
      <c r="P696" s="149">
        <v>0</v>
      </c>
      <c r="Q696" s="148">
        <v>0</v>
      </c>
      <c r="R696" s="150">
        <v>914023</v>
      </c>
      <c r="S6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6" s="135">
        <f ca="1">+IF(PROVEEDORES[[#This Row],[FECHA DE PAGO]]=0,TODAY()-PROVEEDORES[[#This Row],[FECHA DE FACTURACIÓN]]-PROVEEDORES[[#This Row],[PLAZO Días]],0)</f>
        <v>0</v>
      </c>
      <c r="U696" s="135">
        <f>+VLOOKUP(PROVEEDORES[[#This Row],[PROVEEDOR]],Terceros!$A:$D,4,FALSE)</f>
        <v>0</v>
      </c>
      <c r="V696" s="135">
        <f>+YEAR(PROVEEDORES[[#This Row],[FECHA DE FACTURACIÓN]])</f>
        <v>2023</v>
      </c>
      <c r="W696" s="135">
        <f>+MATCH(PROVEEDORES[[#This Row],[año facturado]],Retenciones!$1:$1,0)</f>
        <v>6</v>
      </c>
      <c r="X696" s="136">
        <f>+VLOOKUP(PROVEEDORES[[#This Row],[ID RETENCION]],Retenciones!$A$1:$O$25,PROVEEDORES[[#This Row],[indicador de columna]],FALSE)</f>
        <v>0</v>
      </c>
      <c r="Y696" s="137">
        <f>+VLOOKUP(PROVEEDORES[[#This Row],[ID RETENCION]],Retenciones!$A$1:$O$25,2,FALSE)</f>
        <v>0</v>
      </c>
      <c r="Z696" s="126" t="b">
        <f>+OR(COUNTIF(PROVEEDORES[[#This Row],[PROVEEDOR]],"*"&amp;'Palabra que no opera y Listas d'!$A$2&amp;"*"))</f>
        <v>1</v>
      </c>
    </row>
    <row r="697" spans="1:26" ht="27.75" customHeight="1" x14ac:dyDescent="0.25">
      <c r="A697" s="141" t="str">
        <f>+IF(PROVEEDORES[[#This Row],[FECHA DE PAGO]]=PROVEEDORES[[#This Row],[FECHA DE FACTURACIÓN]],"DE CONTADO","CRÉDITO")</f>
        <v>CRÉDITO</v>
      </c>
      <c r="B697" s="138" t="b">
        <f>+IF((PROVEEDORES[[#This Row],[FECHA DE PAGO]]-PROVEEDORES[[#This Row],[FECHA DE FACTURACIÓN]])&gt;PROVEEDORES[[#This Row],[PLAZO Días]],"PAGO VENCIDO")</f>
        <v>0</v>
      </c>
      <c r="C697" s="138">
        <f>+VLOOKUP(PROVEEDORES[[#This Row],[PROVEEDOR]],TERCEROS_INFO[#All],2,FALSE)</f>
        <v>30</v>
      </c>
      <c r="D697" s="139">
        <f>+SUMIFS(PROVEEDORES[Total],PROVEEDORES[PROVEEDOR],PROVEEDORES[[#This Row],[PROVEEDOR]],PROVEEDORES[FECHA DE PAGO],"")</f>
        <v>0</v>
      </c>
      <c r="E697" s="140"/>
      <c r="F697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697" s="127">
        <v>45194</v>
      </c>
      <c r="H697" s="123" t="s">
        <v>382</v>
      </c>
      <c r="I697" s="127">
        <v>45170</v>
      </c>
      <c r="J697" s="124" t="s">
        <v>1051</v>
      </c>
      <c r="K697" s="124" t="s">
        <v>1530</v>
      </c>
      <c r="L697" s="124"/>
      <c r="M697" s="125">
        <v>934363</v>
      </c>
      <c r="N697" s="148">
        <v>0</v>
      </c>
      <c r="O697" s="148">
        <v>0</v>
      </c>
      <c r="P697" s="149">
        <v>0</v>
      </c>
      <c r="Q697" s="148">
        <v>0</v>
      </c>
      <c r="R697" s="150">
        <v>934363</v>
      </c>
      <c r="S6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7" s="135">
        <f ca="1">+IF(PROVEEDORES[[#This Row],[FECHA DE PAGO]]=0,TODAY()-PROVEEDORES[[#This Row],[FECHA DE FACTURACIÓN]]-PROVEEDORES[[#This Row],[PLAZO Días]],0)</f>
        <v>0</v>
      </c>
      <c r="U697" s="135">
        <f>+VLOOKUP(PROVEEDORES[[#This Row],[PROVEEDOR]],Terceros!$A:$D,4,FALSE)</f>
        <v>0</v>
      </c>
      <c r="V697" s="135">
        <f>+YEAR(PROVEEDORES[[#This Row],[FECHA DE FACTURACIÓN]])</f>
        <v>2023</v>
      </c>
      <c r="W697" s="135">
        <f>+MATCH(PROVEEDORES[[#This Row],[año facturado]],Retenciones!$1:$1,0)</f>
        <v>6</v>
      </c>
      <c r="X697" s="136">
        <f>+VLOOKUP(PROVEEDORES[[#This Row],[ID RETENCION]],Retenciones!$A$1:$O$25,PROVEEDORES[[#This Row],[indicador de columna]],FALSE)</f>
        <v>0</v>
      </c>
      <c r="Y697" s="137">
        <f>+VLOOKUP(PROVEEDORES[[#This Row],[ID RETENCION]],Retenciones!$A$1:$O$25,2,FALSE)</f>
        <v>0</v>
      </c>
      <c r="Z697" s="126" t="b">
        <f>+OR(COUNTIF(PROVEEDORES[[#This Row],[PROVEEDOR]],"*"&amp;'Palabra que no opera y Listas d'!$A$2&amp;"*"))</f>
        <v>1</v>
      </c>
    </row>
    <row r="698" spans="1:26" ht="27.75" customHeight="1" x14ac:dyDescent="0.25">
      <c r="A698" s="141" t="str">
        <f>+IF(PROVEEDORES[[#This Row],[FECHA DE PAGO]]=PROVEEDORES[[#This Row],[FECHA DE FACTURACIÓN]],"DE CONTADO","CRÉDITO")</f>
        <v>CRÉDITO</v>
      </c>
      <c r="B698" s="138" t="str">
        <f>+IF((PROVEEDORES[[#This Row],[FECHA DE PAGO]]-PROVEEDORES[[#This Row],[FECHA DE FACTURACIÓN]])&gt;PROVEEDORES[[#This Row],[PLAZO Días]],"PAGO VENCIDO")</f>
        <v>PAGO VENCIDO</v>
      </c>
      <c r="C698" s="138">
        <f>+VLOOKUP(PROVEEDORES[[#This Row],[PROVEEDOR]],TERCEROS_INFO[#All],2,FALSE)</f>
        <v>10</v>
      </c>
      <c r="D698" s="139">
        <f>+SUMIFS(PROVEEDORES[Total],PROVEEDORES[PROVEEDOR],PROVEEDORES[[#This Row],[PROVEEDOR]],PROVEEDORES[FECHA DE PAGO],"")</f>
        <v>0</v>
      </c>
      <c r="E698" s="140"/>
      <c r="F698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698" s="127">
        <v>45194</v>
      </c>
      <c r="H698" s="123" t="s">
        <v>482</v>
      </c>
      <c r="I698" s="127">
        <v>45170</v>
      </c>
      <c r="J698" s="124" t="s">
        <v>1049</v>
      </c>
      <c r="K698" s="124" t="s">
        <v>1530</v>
      </c>
      <c r="L698" s="124"/>
      <c r="M698" s="125">
        <v>5350576</v>
      </c>
      <c r="N698" s="148">
        <v>1016609.4400000001</v>
      </c>
      <c r="O698" s="148">
        <v>0</v>
      </c>
      <c r="P698" s="149">
        <v>0</v>
      </c>
      <c r="Q698" s="148">
        <v>0</v>
      </c>
      <c r="R698" s="150">
        <v>6367185.4400000004</v>
      </c>
      <c r="S6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8" s="135">
        <f ca="1">+IF(PROVEEDORES[[#This Row],[FECHA DE PAGO]]=0,TODAY()-PROVEEDORES[[#This Row],[FECHA DE FACTURACIÓN]]-PROVEEDORES[[#This Row],[PLAZO Días]],0)</f>
        <v>0</v>
      </c>
      <c r="U698" s="135">
        <f>+VLOOKUP(PROVEEDORES[[#This Row],[PROVEEDOR]],Terceros!$A:$D,4,FALSE)</f>
        <v>0</v>
      </c>
      <c r="V698" s="135">
        <f>+YEAR(PROVEEDORES[[#This Row],[FECHA DE FACTURACIÓN]])</f>
        <v>2023</v>
      </c>
      <c r="W698" s="135">
        <f>+MATCH(PROVEEDORES[[#This Row],[año facturado]],Retenciones!$1:$1,0)</f>
        <v>6</v>
      </c>
      <c r="X698" s="136">
        <f>+VLOOKUP(PROVEEDORES[[#This Row],[ID RETENCION]],Retenciones!$A$1:$O$25,PROVEEDORES[[#This Row],[indicador de columna]],FALSE)</f>
        <v>0</v>
      </c>
      <c r="Y698" s="137">
        <f>+VLOOKUP(PROVEEDORES[[#This Row],[ID RETENCION]],Retenciones!$A$1:$O$25,2,FALSE)</f>
        <v>0</v>
      </c>
      <c r="Z698" s="126" t="b">
        <f>+OR(COUNTIF(PROVEEDORES[[#This Row],[PROVEEDOR]],"*"&amp;'Palabra que no opera y Listas d'!$A$2&amp;"*"))</f>
        <v>1</v>
      </c>
    </row>
    <row r="699" spans="1:26" ht="27.75" customHeight="1" x14ac:dyDescent="0.25">
      <c r="A699" s="141" t="str">
        <f>+IF(PROVEEDORES[[#This Row],[FECHA DE PAGO]]=PROVEEDORES[[#This Row],[FECHA DE FACTURACIÓN]],"DE CONTADO","CRÉDITO")</f>
        <v>CRÉDITO</v>
      </c>
      <c r="B699" s="138" t="b">
        <f>+IF((PROVEEDORES[[#This Row],[FECHA DE PAGO]]-PROVEEDORES[[#This Row],[FECHA DE FACTURACIÓN]])&gt;PROVEEDORES[[#This Row],[PLAZO Días]],"PAGO VENCIDO")</f>
        <v>0</v>
      </c>
      <c r="C699" s="138">
        <f>+VLOOKUP(PROVEEDORES[[#This Row],[PROVEEDOR]],TERCEROS_INFO[#All],2,FALSE)</f>
        <v>30</v>
      </c>
      <c r="D699" s="139">
        <f>+SUMIFS(PROVEEDORES[Total],PROVEEDORES[PROVEEDOR],PROVEEDORES[[#This Row],[PROVEEDOR]],PROVEEDORES[FECHA DE PAGO],"")</f>
        <v>0</v>
      </c>
      <c r="E699" s="140"/>
      <c r="F699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699" s="127">
        <v>45194</v>
      </c>
      <c r="H699" s="123" t="s">
        <v>380</v>
      </c>
      <c r="I699" s="127">
        <v>45179</v>
      </c>
      <c r="J699" s="124" t="s">
        <v>1048</v>
      </c>
      <c r="K699" s="124" t="s">
        <v>1530</v>
      </c>
      <c r="L699" s="124"/>
      <c r="M699" s="125">
        <v>3456200</v>
      </c>
      <c r="N699" s="148">
        <v>0</v>
      </c>
      <c r="O699" s="148">
        <v>0</v>
      </c>
      <c r="P699" s="149">
        <v>3.5000000000000003E-2</v>
      </c>
      <c r="Q699" s="148">
        <v>120967.00000000001</v>
      </c>
      <c r="R699" s="150">
        <v>3335233</v>
      </c>
      <c r="S6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699" s="135">
        <f ca="1">+IF(PROVEEDORES[[#This Row],[FECHA DE PAGO]]=0,TODAY()-PROVEEDORES[[#This Row],[FECHA DE FACTURACIÓN]]-PROVEEDORES[[#This Row],[PLAZO Días]],0)</f>
        <v>0</v>
      </c>
      <c r="U699" s="135" t="str">
        <f>+VLOOKUP(PROVEEDORES[[#This Row],[PROVEEDOR]],Terceros!$A:$D,4,FALSE)</f>
        <v>3,5% sin base</v>
      </c>
      <c r="V699" s="135">
        <f>+YEAR(PROVEEDORES[[#This Row],[FECHA DE FACTURACIÓN]])</f>
        <v>2023</v>
      </c>
      <c r="W699" s="135">
        <f>+MATCH(PROVEEDORES[[#This Row],[año facturado]],Retenciones!$1:$1,0)</f>
        <v>6</v>
      </c>
      <c r="X699" s="136">
        <f>+VLOOKUP(PROVEEDORES[[#This Row],[ID RETENCION]],Retenciones!$A$1:$O$25,PROVEEDORES[[#This Row],[indicador de columna]],FALSE)</f>
        <v>0</v>
      </c>
      <c r="Y699" s="137">
        <f>+VLOOKUP(PROVEEDORES[[#This Row],[ID RETENCION]],Retenciones!$A$1:$O$25,2,FALSE)</f>
        <v>3.5000000000000003E-2</v>
      </c>
      <c r="Z699" s="126" t="b">
        <f>+OR(COUNTIF(PROVEEDORES[[#This Row],[PROVEEDOR]],"*"&amp;'Palabra que no opera y Listas d'!$A$2&amp;"*"))</f>
        <v>1</v>
      </c>
    </row>
    <row r="700" spans="1:26" ht="27.75" customHeight="1" x14ac:dyDescent="0.25">
      <c r="A700" s="141" t="str">
        <f>+IF(PROVEEDORES[[#This Row],[FECHA DE PAGO]]=PROVEEDORES[[#This Row],[FECHA DE FACTURACIÓN]],"DE CONTADO","CRÉDITO")</f>
        <v>DE CONTADO</v>
      </c>
      <c r="B700" s="138" t="b">
        <f>+IF((PROVEEDORES[[#This Row],[FECHA DE PAGO]]-PROVEEDORES[[#This Row],[FECHA DE FACTURACIÓN]])&gt;PROVEEDORES[[#This Row],[PLAZO Días]],"PAGO VENCIDO")</f>
        <v>0</v>
      </c>
      <c r="C700" s="138">
        <f>+VLOOKUP(PROVEEDORES[[#This Row],[PROVEEDOR]],TERCEROS_INFO[#All],2,FALSE)</f>
        <v>30</v>
      </c>
      <c r="D700" s="139">
        <f>+SUMIFS(PROVEEDORES[Total],PROVEEDORES[PROVEEDOR],PROVEEDORES[[#This Row],[PROVEEDOR]],PROVEEDORES[FECHA DE PAGO],"")</f>
        <v>0</v>
      </c>
      <c r="E700" s="140"/>
      <c r="F700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700" s="127">
        <v>45194</v>
      </c>
      <c r="H700" s="123" t="s">
        <v>1865</v>
      </c>
      <c r="I700" s="127">
        <v>45194</v>
      </c>
      <c r="J700" s="124" t="s">
        <v>1079</v>
      </c>
      <c r="K700" s="124" t="s">
        <v>1530</v>
      </c>
      <c r="L700" s="124"/>
      <c r="M700" s="125">
        <v>2299649</v>
      </c>
      <c r="N700" s="148">
        <v>0</v>
      </c>
      <c r="O700" s="148">
        <v>0</v>
      </c>
      <c r="P700" s="149">
        <v>0</v>
      </c>
      <c r="Q700" s="148">
        <v>0</v>
      </c>
      <c r="R700" s="150">
        <v>2299649</v>
      </c>
      <c r="S7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0" s="135">
        <f ca="1">+IF(PROVEEDORES[[#This Row],[FECHA DE PAGO]]=0,TODAY()-PROVEEDORES[[#This Row],[FECHA DE FACTURACIÓN]]-PROVEEDORES[[#This Row],[PLAZO Días]],0)</f>
        <v>0</v>
      </c>
      <c r="U700" s="135">
        <f>+VLOOKUP(PROVEEDORES[[#This Row],[PROVEEDOR]],Terceros!$A:$D,4,FALSE)</f>
        <v>0</v>
      </c>
      <c r="V700" s="135">
        <f>+YEAR(PROVEEDORES[[#This Row],[FECHA DE FACTURACIÓN]])</f>
        <v>2023</v>
      </c>
      <c r="W700" s="135">
        <f>+MATCH(PROVEEDORES[[#This Row],[año facturado]],Retenciones!$1:$1,0)</f>
        <v>6</v>
      </c>
      <c r="X700" s="136">
        <f>+VLOOKUP(PROVEEDORES[[#This Row],[ID RETENCION]],Retenciones!$A$1:$O$25,PROVEEDORES[[#This Row],[indicador de columna]],FALSE)</f>
        <v>0</v>
      </c>
      <c r="Y700" s="137">
        <f>+VLOOKUP(PROVEEDORES[[#This Row],[ID RETENCION]],Retenciones!$A$1:$O$25,2,FALSE)</f>
        <v>0</v>
      </c>
      <c r="Z700" s="126" t="b">
        <f>+OR(COUNTIF(PROVEEDORES[[#This Row],[PROVEEDOR]],"*"&amp;'Palabra que no opera y Listas d'!$A$2&amp;"*"))</f>
        <v>0</v>
      </c>
    </row>
    <row r="701" spans="1:26" ht="27.75" customHeight="1" x14ac:dyDescent="0.25">
      <c r="A701" s="141" t="str">
        <f>+IF(PROVEEDORES[[#This Row],[FECHA DE PAGO]]=PROVEEDORES[[#This Row],[FECHA DE FACTURACIÓN]],"DE CONTADO","CRÉDITO")</f>
        <v>CRÉDITO</v>
      </c>
      <c r="B701" s="138" t="str">
        <f>+IF((PROVEEDORES[[#This Row],[FECHA DE PAGO]]-PROVEEDORES[[#This Row],[FECHA DE FACTURACIÓN]])&gt;PROVEEDORES[[#This Row],[PLAZO Días]],"PAGO VENCIDO")</f>
        <v>PAGO VENCIDO</v>
      </c>
      <c r="C701" s="138">
        <f>+VLOOKUP(PROVEEDORES[[#This Row],[PROVEEDOR]],TERCEROS_INFO[#All],2,FALSE)</f>
        <v>30</v>
      </c>
      <c r="D701" s="139">
        <f>+SUMIFS(PROVEEDORES[Total],PROVEEDORES[PROVEEDOR],PROVEEDORES[[#This Row],[PROVEEDOR]],PROVEEDORES[FECHA DE PAGO],"")</f>
        <v>2028306.6264000002</v>
      </c>
      <c r="E701" s="140"/>
      <c r="F701" s="138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701" s="127">
        <v>45195</v>
      </c>
      <c r="H701" s="123" t="s">
        <v>218</v>
      </c>
      <c r="I701" s="127">
        <v>45132</v>
      </c>
      <c r="J701" s="124" t="s">
        <v>937</v>
      </c>
      <c r="K701" s="124" t="s">
        <v>1530</v>
      </c>
      <c r="L701" s="124"/>
      <c r="M701" s="125">
        <v>887394</v>
      </c>
      <c r="N701" s="148">
        <v>168604.86000000002</v>
      </c>
      <c r="O701" s="148">
        <v>0</v>
      </c>
      <c r="P701" s="149">
        <v>0</v>
      </c>
      <c r="Q701" s="148">
        <v>0</v>
      </c>
      <c r="R701" s="150">
        <v>1055998.8600000001</v>
      </c>
      <c r="S7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1" s="135">
        <f ca="1">+IF(PROVEEDORES[[#This Row],[FECHA DE PAGO]]=0,TODAY()-PROVEEDORES[[#This Row],[FECHA DE FACTURACIÓN]]-PROVEEDORES[[#This Row],[PLAZO Días]],0)</f>
        <v>0</v>
      </c>
      <c r="U701" s="135" t="str">
        <f>+VLOOKUP(PROVEEDORES[[#This Row],[PROVEEDOR]],Terceros!$A:$D,4,FALSE)</f>
        <v>2,5% con base</v>
      </c>
      <c r="V701" s="135">
        <f>+YEAR(PROVEEDORES[[#This Row],[FECHA DE FACTURACIÓN]])</f>
        <v>2023</v>
      </c>
      <c r="W701" s="135">
        <f>+MATCH(PROVEEDORES[[#This Row],[año facturado]],Retenciones!$1:$1,0)</f>
        <v>6</v>
      </c>
      <c r="X701" s="136">
        <f>+VLOOKUP(PROVEEDORES[[#This Row],[ID RETENCION]],Retenciones!$A$1:$O$25,PROVEEDORES[[#This Row],[indicador de columna]],FALSE)</f>
        <v>1145000</v>
      </c>
      <c r="Y701" s="137">
        <f>+VLOOKUP(PROVEEDORES[[#This Row],[ID RETENCION]],Retenciones!$A$1:$O$25,2,FALSE)</f>
        <v>2.5000000000000001E-2</v>
      </c>
      <c r="Z701" s="126" t="b">
        <f>+OR(COUNTIF(PROVEEDORES[[#This Row],[PROVEEDOR]],"*"&amp;'Palabra que no opera y Listas d'!$A$2&amp;"*"))</f>
        <v>0</v>
      </c>
    </row>
    <row r="702" spans="1:26" ht="27.75" customHeight="1" x14ac:dyDescent="0.25">
      <c r="A702" s="141" t="str">
        <f>+IF(PROVEEDORES[[#This Row],[FECHA DE PAGO]]=PROVEEDORES[[#This Row],[FECHA DE FACTURACIÓN]],"DE CONTADO","CRÉDITO")</f>
        <v>CRÉDITO</v>
      </c>
      <c r="B702" s="138" t="str">
        <f>+IF((PROVEEDORES[[#This Row],[FECHA DE PAGO]]-PROVEEDORES[[#This Row],[FECHA DE FACTURACIÓN]])&gt;PROVEEDORES[[#This Row],[PLAZO Días]],"PAGO VENCIDO")</f>
        <v>PAGO VENCIDO</v>
      </c>
      <c r="C702" s="138">
        <f>+VLOOKUP(PROVEEDORES[[#This Row],[PROVEEDOR]],TERCEROS_INFO[#All],2,FALSE)</f>
        <v>30</v>
      </c>
      <c r="D702" s="139">
        <f>+SUMIFS(PROVEEDORES[Total],PROVEEDORES[PROVEEDOR],PROVEEDORES[[#This Row],[PROVEEDOR]],PROVEEDORES[FECHA DE PAGO],"")</f>
        <v>0</v>
      </c>
      <c r="E702" s="140"/>
      <c r="F702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702" s="127">
        <v>45195</v>
      </c>
      <c r="H702" s="123" t="s">
        <v>360</v>
      </c>
      <c r="I702" s="127">
        <v>45134</v>
      </c>
      <c r="J702" s="124" t="s">
        <v>954</v>
      </c>
      <c r="K702" s="124" t="s">
        <v>1530</v>
      </c>
      <c r="L702" s="124"/>
      <c r="M702" s="125">
        <v>2187560</v>
      </c>
      <c r="N702" s="148">
        <v>415636.4</v>
      </c>
      <c r="O702" s="148">
        <v>0</v>
      </c>
      <c r="P702" s="149">
        <v>0</v>
      </c>
      <c r="Q702" s="148">
        <v>0</v>
      </c>
      <c r="R702" s="150">
        <v>2603196.4</v>
      </c>
      <c r="S7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2" s="135">
        <f ca="1">+IF(PROVEEDORES[[#This Row],[FECHA DE PAGO]]=0,TODAY()-PROVEEDORES[[#This Row],[FECHA DE FACTURACIÓN]]-PROVEEDORES[[#This Row],[PLAZO Días]],0)</f>
        <v>0</v>
      </c>
      <c r="U702" s="135">
        <f>+VLOOKUP(PROVEEDORES[[#This Row],[PROVEEDOR]],Terceros!$A:$D,4,FALSE)</f>
        <v>0</v>
      </c>
      <c r="V702" s="135">
        <f>+YEAR(PROVEEDORES[[#This Row],[FECHA DE FACTURACIÓN]])</f>
        <v>2023</v>
      </c>
      <c r="W702" s="135">
        <f>+MATCH(PROVEEDORES[[#This Row],[año facturado]],Retenciones!$1:$1,0)</f>
        <v>6</v>
      </c>
      <c r="X702" s="136">
        <f>+VLOOKUP(PROVEEDORES[[#This Row],[ID RETENCION]],Retenciones!$A$1:$O$25,PROVEEDORES[[#This Row],[indicador de columna]],FALSE)</f>
        <v>0</v>
      </c>
      <c r="Y702" s="137">
        <f>+VLOOKUP(PROVEEDORES[[#This Row],[ID RETENCION]],Retenciones!$A$1:$O$25,2,FALSE)</f>
        <v>0</v>
      </c>
      <c r="Z702" s="126" t="b">
        <f>+OR(COUNTIF(PROVEEDORES[[#This Row],[PROVEEDOR]],"*"&amp;'Palabra que no opera y Listas d'!$A$2&amp;"*"))</f>
        <v>1</v>
      </c>
    </row>
    <row r="703" spans="1:26" ht="27.75" customHeight="1" x14ac:dyDescent="0.25">
      <c r="A703" s="141" t="str">
        <f>+IF(PROVEEDORES[[#This Row],[FECHA DE PAGO]]=PROVEEDORES[[#This Row],[FECHA DE FACTURACIÓN]],"DE CONTADO","CRÉDITO")</f>
        <v>DE CONTADO</v>
      </c>
      <c r="B703" s="138" t="b">
        <f>+IF((PROVEEDORES[[#This Row],[FECHA DE PAGO]]-PROVEEDORES[[#This Row],[FECHA DE FACTURACIÓN]])&gt;PROVEEDORES[[#This Row],[PLAZO Días]],"PAGO VENCIDO")</f>
        <v>0</v>
      </c>
      <c r="C703" s="138">
        <f>+VLOOKUP(PROVEEDORES[[#This Row],[PROVEEDOR]],TERCEROS_INFO[#All],2,FALSE)</f>
        <v>30</v>
      </c>
      <c r="D703" s="139">
        <f>+SUMIFS(PROVEEDORES[Total],PROVEEDORES[PROVEEDOR],PROVEEDORES[[#This Row],[PROVEEDOR]],PROVEEDORES[FECHA DE PAGO],"")</f>
        <v>0</v>
      </c>
      <c r="E703" s="140"/>
      <c r="F703" s="138" t="str">
        <f>+VLOOKUP(PROVEEDORES[[#This Row],[PROVEEDOR]],
                       Terceros!$A:$F,
                       5,
                       FALSE)</f>
        <v/>
      </c>
      <c r="G703" s="127">
        <v>45195</v>
      </c>
      <c r="H703" s="123" t="s">
        <v>1821</v>
      </c>
      <c r="I703" s="127">
        <v>45195</v>
      </c>
      <c r="J703" s="124" t="s">
        <v>1102</v>
      </c>
      <c r="K703" s="124" t="s">
        <v>1530</v>
      </c>
      <c r="L703" s="124"/>
      <c r="M703" s="125">
        <v>320000</v>
      </c>
      <c r="N703" s="148">
        <v>0</v>
      </c>
      <c r="O703" s="148">
        <v>0</v>
      </c>
      <c r="P703" s="149">
        <v>0</v>
      </c>
      <c r="Q703" s="148">
        <v>0</v>
      </c>
      <c r="R703" s="150">
        <v>320000</v>
      </c>
      <c r="S7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3" s="135">
        <f ca="1">+IF(PROVEEDORES[[#This Row],[FECHA DE PAGO]]=0,TODAY()-PROVEEDORES[[#This Row],[FECHA DE FACTURACIÓN]]-PROVEEDORES[[#This Row],[PLAZO Días]],0)</f>
        <v>0</v>
      </c>
      <c r="U703" s="135">
        <f>+VLOOKUP(PROVEEDORES[[#This Row],[PROVEEDOR]],Terceros!$A:$D,4,FALSE)</f>
        <v>0</v>
      </c>
      <c r="V703" s="135">
        <f>+YEAR(PROVEEDORES[[#This Row],[FECHA DE FACTURACIÓN]])</f>
        <v>2023</v>
      </c>
      <c r="W703" s="135">
        <f>+MATCH(PROVEEDORES[[#This Row],[año facturado]],Retenciones!$1:$1,0)</f>
        <v>6</v>
      </c>
      <c r="X703" s="136">
        <f>+VLOOKUP(PROVEEDORES[[#This Row],[ID RETENCION]],Retenciones!$A$1:$O$25,PROVEEDORES[[#This Row],[indicador de columna]],FALSE)</f>
        <v>0</v>
      </c>
      <c r="Y703" s="137">
        <f>+VLOOKUP(PROVEEDORES[[#This Row],[ID RETENCION]],Retenciones!$A$1:$O$25,2,FALSE)</f>
        <v>0</v>
      </c>
      <c r="Z703" s="126" t="b">
        <f>+OR(COUNTIF(PROVEEDORES[[#This Row],[PROVEEDOR]],"*"&amp;'Palabra que no opera y Listas d'!$A$2&amp;"*"))</f>
        <v>0</v>
      </c>
    </row>
    <row r="704" spans="1:26" ht="27.75" customHeight="1" x14ac:dyDescent="0.25">
      <c r="A704" s="141" t="str">
        <f>+IF(PROVEEDORES[[#This Row],[FECHA DE PAGO]]=PROVEEDORES[[#This Row],[FECHA DE FACTURACIÓN]],"DE CONTADO","CRÉDITO")</f>
        <v>DE CONTADO</v>
      </c>
      <c r="B704" s="138" t="b">
        <f>+IF((PROVEEDORES[[#This Row],[FECHA DE PAGO]]-PROVEEDORES[[#This Row],[FECHA DE FACTURACIÓN]])&gt;PROVEEDORES[[#This Row],[PLAZO Días]],"PAGO VENCIDO")</f>
        <v>0</v>
      </c>
      <c r="C704" s="138">
        <f>+VLOOKUP(PROVEEDORES[[#This Row],[PROVEEDOR]],TERCEROS_INFO[#All],2,FALSE)</f>
        <v>30</v>
      </c>
      <c r="D704" s="139">
        <f>+SUMIFS(PROVEEDORES[Total],PROVEEDORES[PROVEEDOR],PROVEEDORES[[#This Row],[PROVEEDOR]],PROVEEDORES[FECHA DE PAGO],"")</f>
        <v>0</v>
      </c>
      <c r="E704" s="140"/>
      <c r="F704" s="138" t="str">
        <f>+VLOOKUP(PROVEEDORES[[#This Row],[PROVEEDOR]],
                       Terceros!$A:$F,
                       5,
                       FALSE)</f>
        <v/>
      </c>
      <c r="G704" s="127">
        <v>45195</v>
      </c>
      <c r="H704" s="123" t="s">
        <v>525</v>
      </c>
      <c r="I704" s="127">
        <v>45195</v>
      </c>
      <c r="J704" s="124" t="s">
        <v>1103</v>
      </c>
      <c r="K704" s="124" t="s">
        <v>1530</v>
      </c>
      <c r="L704" s="124"/>
      <c r="M704" s="125">
        <v>708000</v>
      </c>
      <c r="N704" s="148">
        <v>0</v>
      </c>
      <c r="O704" s="148">
        <v>0</v>
      </c>
      <c r="P704" s="149">
        <v>0</v>
      </c>
      <c r="Q704" s="148">
        <v>0</v>
      </c>
      <c r="R704" s="150">
        <v>708000</v>
      </c>
      <c r="S7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4" s="135">
        <f ca="1">+IF(PROVEEDORES[[#This Row],[FECHA DE PAGO]]=0,TODAY()-PROVEEDORES[[#This Row],[FECHA DE FACTURACIÓN]]-PROVEEDORES[[#This Row],[PLAZO Días]],0)</f>
        <v>0</v>
      </c>
      <c r="U704" s="135">
        <f>+VLOOKUP(PROVEEDORES[[#This Row],[PROVEEDOR]],Terceros!$A:$D,4,FALSE)</f>
        <v>0</v>
      </c>
      <c r="V704" s="135">
        <f>+YEAR(PROVEEDORES[[#This Row],[FECHA DE FACTURACIÓN]])</f>
        <v>2023</v>
      </c>
      <c r="W704" s="135">
        <f>+MATCH(PROVEEDORES[[#This Row],[año facturado]],Retenciones!$1:$1,0)</f>
        <v>6</v>
      </c>
      <c r="X704" s="136">
        <f>+VLOOKUP(PROVEEDORES[[#This Row],[ID RETENCION]],Retenciones!$A$1:$O$25,PROVEEDORES[[#This Row],[indicador de columna]],FALSE)</f>
        <v>0</v>
      </c>
      <c r="Y704" s="137">
        <f>+VLOOKUP(PROVEEDORES[[#This Row],[ID RETENCION]],Retenciones!$A$1:$O$25,2,FALSE)</f>
        <v>0</v>
      </c>
      <c r="Z704" s="126" t="b">
        <f>+OR(COUNTIF(PROVEEDORES[[#This Row],[PROVEEDOR]],"*"&amp;'Palabra que no opera y Listas d'!$A$2&amp;"*"))</f>
        <v>0</v>
      </c>
    </row>
    <row r="705" spans="1:26" ht="27.75" customHeight="1" x14ac:dyDescent="0.25">
      <c r="A705" s="141" t="str">
        <f>+IF(PROVEEDORES[[#This Row],[FECHA DE PAGO]]=PROVEEDORES[[#This Row],[FECHA DE FACTURACIÓN]],"DE CONTADO","CRÉDITO")</f>
        <v>CRÉDITO</v>
      </c>
      <c r="B705" s="138" t="str">
        <f>+IF((PROVEEDORES[[#This Row],[FECHA DE PAGO]]-PROVEEDORES[[#This Row],[FECHA DE FACTURACIÓN]])&gt;PROVEEDORES[[#This Row],[PLAZO Días]],"PAGO VENCIDO")</f>
        <v>PAGO VENCIDO</v>
      </c>
      <c r="C705" s="138">
        <f>+VLOOKUP(PROVEEDORES[[#This Row],[PROVEEDOR]],TERCEROS_INFO[#All],2,FALSE)</f>
        <v>45</v>
      </c>
      <c r="D705" s="139">
        <f>+SUMIFS(PROVEEDORES[Total],PROVEEDORES[PROVEEDOR],PROVEEDORES[[#This Row],[PROVEEDOR]],PROVEEDORES[FECHA DE PAGO],"")</f>
        <v>22186260.039999999</v>
      </c>
      <c r="E705" s="140"/>
      <c r="F705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705" s="127">
        <v>45197</v>
      </c>
      <c r="H705" s="123" t="s">
        <v>19</v>
      </c>
      <c r="I705" s="127">
        <v>45142</v>
      </c>
      <c r="J705" s="124" t="s">
        <v>972</v>
      </c>
      <c r="K705" s="124" t="s">
        <v>1530</v>
      </c>
      <c r="L705" s="124"/>
      <c r="M705" s="125">
        <v>7543977</v>
      </c>
      <c r="N705" s="148">
        <v>1433355.6300000001</v>
      </c>
      <c r="O705" s="148">
        <v>0</v>
      </c>
      <c r="P705" s="149">
        <v>0</v>
      </c>
      <c r="Q705" s="148">
        <v>0</v>
      </c>
      <c r="R705" s="150">
        <v>8977332.6300000008</v>
      </c>
      <c r="S7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5" s="135">
        <f ca="1">+IF(PROVEEDORES[[#This Row],[FECHA DE PAGO]]=0,TODAY()-PROVEEDORES[[#This Row],[FECHA DE FACTURACIÓN]]-PROVEEDORES[[#This Row],[PLAZO Días]],0)</f>
        <v>0</v>
      </c>
      <c r="U705" s="135">
        <f>+VLOOKUP(PROVEEDORES[[#This Row],[PROVEEDOR]],Terceros!$A:$D,4,FALSE)</f>
        <v>0</v>
      </c>
      <c r="V705" s="135">
        <f>+YEAR(PROVEEDORES[[#This Row],[FECHA DE FACTURACIÓN]])</f>
        <v>2023</v>
      </c>
      <c r="W705" s="135">
        <f>+MATCH(PROVEEDORES[[#This Row],[año facturado]],Retenciones!$1:$1,0)</f>
        <v>6</v>
      </c>
      <c r="X705" s="136">
        <f>+VLOOKUP(PROVEEDORES[[#This Row],[ID RETENCION]],Retenciones!$A$1:$O$25,PROVEEDORES[[#This Row],[indicador de columna]],FALSE)</f>
        <v>0</v>
      </c>
      <c r="Y705" s="137">
        <f>+VLOOKUP(PROVEEDORES[[#This Row],[ID RETENCION]],Retenciones!$A$1:$O$25,2,FALSE)</f>
        <v>0</v>
      </c>
      <c r="Z705" s="126" t="b">
        <f>+OR(COUNTIF(PROVEEDORES[[#This Row],[PROVEEDOR]],"*"&amp;'Palabra que no opera y Listas d'!$A$2&amp;"*"))</f>
        <v>0</v>
      </c>
    </row>
    <row r="706" spans="1:26" ht="27.75" customHeight="1" x14ac:dyDescent="0.25">
      <c r="A706" s="141" t="str">
        <f>+IF(PROVEEDORES[[#This Row],[FECHA DE PAGO]]=PROVEEDORES[[#This Row],[FECHA DE FACTURACIÓN]],"DE CONTADO","CRÉDITO")</f>
        <v>CRÉDITO</v>
      </c>
      <c r="B706" s="138" t="str">
        <f>+IF((PROVEEDORES[[#This Row],[FECHA DE PAGO]]-PROVEEDORES[[#This Row],[FECHA DE FACTURACIÓN]])&gt;PROVEEDORES[[#This Row],[PLAZO Días]],"PAGO VENCIDO")</f>
        <v>PAGO VENCIDO</v>
      </c>
      <c r="C706" s="138">
        <f>+VLOOKUP(PROVEEDORES[[#This Row],[PROVEEDOR]],TERCEROS_INFO[#All],2,FALSE)</f>
        <v>45</v>
      </c>
      <c r="D706" s="139">
        <f>+SUMIFS(PROVEEDORES[Total],PROVEEDORES[PROVEEDOR],PROVEEDORES[[#This Row],[PROVEEDOR]],PROVEEDORES[FECHA DE PAGO],"")</f>
        <v>22186260.039999999</v>
      </c>
      <c r="E706" s="140"/>
      <c r="F706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706" s="127">
        <v>45197</v>
      </c>
      <c r="H706" s="123" t="s">
        <v>19</v>
      </c>
      <c r="I706" s="127">
        <v>45146</v>
      </c>
      <c r="J706" s="124" t="s">
        <v>971</v>
      </c>
      <c r="K706" s="124" t="s">
        <v>1530</v>
      </c>
      <c r="L706" s="124"/>
      <c r="M706" s="125">
        <v>4162770</v>
      </c>
      <c r="N706" s="148">
        <v>790926.3</v>
      </c>
      <c r="O706" s="148">
        <v>0</v>
      </c>
      <c r="P706" s="149">
        <v>0</v>
      </c>
      <c r="Q706" s="148">
        <v>0</v>
      </c>
      <c r="R706" s="150">
        <v>4953696.3</v>
      </c>
      <c r="S7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6" s="135">
        <f ca="1">+IF(PROVEEDORES[[#This Row],[FECHA DE PAGO]]=0,TODAY()-PROVEEDORES[[#This Row],[FECHA DE FACTURACIÓN]]-PROVEEDORES[[#This Row],[PLAZO Días]],0)</f>
        <v>0</v>
      </c>
      <c r="U706" s="135">
        <f>+VLOOKUP(PROVEEDORES[[#This Row],[PROVEEDOR]],Terceros!$A:$D,4,FALSE)</f>
        <v>0</v>
      </c>
      <c r="V706" s="135">
        <f>+YEAR(PROVEEDORES[[#This Row],[FECHA DE FACTURACIÓN]])</f>
        <v>2023</v>
      </c>
      <c r="W706" s="135">
        <f>+MATCH(PROVEEDORES[[#This Row],[año facturado]],Retenciones!$1:$1,0)</f>
        <v>6</v>
      </c>
      <c r="X706" s="136">
        <f>+VLOOKUP(PROVEEDORES[[#This Row],[ID RETENCION]],Retenciones!$A$1:$O$25,PROVEEDORES[[#This Row],[indicador de columna]],FALSE)</f>
        <v>0</v>
      </c>
      <c r="Y706" s="137">
        <f>+VLOOKUP(PROVEEDORES[[#This Row],[ID RETENCION]],Retenciones!$A$1:$O$25,2,FALSE)</f>
        <v>0</v>
      </c>
      <c r="Z706" s="126" t="b">
        <f>+OR(COUNTIF(PROVEEDORES[[#This Row],[PROVEEDOR]],"*"&amp;'Palabra que no opera y Listas d'!$A$2&amp;"*"))</f>
        <v>0</v>
      </c>
    </row>
    <row r="707" spans="1:26" ht="27.75" customHeight="1" x14ac:dyDescent="0.25">
      <c r="A707" s="141" t="str">
        <f>+IF(PROVEEDORES[[#This Row],[FECHA DE PAGO]]=PROVEEDORES[[#This Row],[FECHA DE FACTURACIÓN]],"DE CONTADO","CRÉDITO")</f>
        <v>CRÉDITO</v>
      </c>
      <c r="B707" s="138" t="str">
        <f>+IF((PROVEEDORES[[#This Row],[FECHA DE PAGO]]-PROVEEDORES[[#This Row],[FECHA DE FACTURACIÓN]])&gt;PROVEEDORES[[#This Row],[PLAZO Días]],"PAGO VENCIDO")</f>
        <v>PAGO VENCIDO</v>
      </c>
      <c r="C707" s="138">
        <f>+VLOOKUP(PROVEEDORES[[#This Row],[PROVEEDOR]],TERCEROS_INFO[#All],2,FALSE)</f>
        <v>30</v>
      </c>
      <c r="D707" s="139">
        <f>+SUMIFS(PROVEEDORES[Total],PROVEEDORES[PROVEEDOR],PROVEEDORES[[#This Row],[PROVEEDOR]],PROVEEDORES[FECHA DE PAGO],"")</f>
        <v>3130000</v>
      </c>
      <c r="E707" s="140"/>
      <c r="F707" s="138">
        <f>+VLOOKUP(PROVEEDORES[[#This Row],[PROVEEDOR]],
                       Terceros!$A:$F,
                       5,
                       FALSE)</f>
        <v>0</v>
      </c>
      <c r="G707" s="127">
        <v>45198</v>
      </c>
      <c r="H707" s="123" t="s">
        <v>472</v>
      </c>
      <c r="I707" s="127">
        <v>45147</v>
      </c>
      <c r="J707" s="124">
        <v>3979</v>
      </c>
      <c r="K707" s="124" t="s">
        <v>1530</v>
      </c>
      <c r="L707" s="124"/>
      <c r="M707" s="125">
        <v>2142000</v>
      </c>
      <c r="N707" s="148">
        <v>0</v>
      </c>
      <c r="O707" s="148">
        <v>0</v>
      </c>
      <c r="P707" s="149">
        <v>0</v>
      </c>
      <c r="Q707" s="148">
        <v>0</v>
      </c>
      <c r="R707" s="150">
        <v>2142000</v>
      </c>
      <c r="S7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7" s="135">
        <f ca="1">+IF(PROVEEDORES[[#This Row],[FECHA DE PAGO]]=0,TODAY()-PROVEEDORES[[#This Row],[FECHA DE FACTURACIÓN]]-PROVEEDORES[[#This Row],[PLAZO Días]],0)</f>
        <v>0</v>
      </c>
      <c r="U707" s="135">
        <f>+VLOOKUP(PROVEEDORES[[#This Row],[PROVEEDOR]],Terceros!$A:$D,4,FALSE)</f>
        <v>0</v>
      </c>
      <c r="V707" s="135">
        <f>+YEAR(PROVEEDORES[[#This Row],[FECHA DE FACTURACIÓN]])</f>
        <v>2023</v>
      </c>
      <c r="W707" s="135">
        <f>+MATCH(PROVEEDORES[[#This Row],[año facturado]],Retenciones!$1:$1,0)</f>
        <v>6</v>
      </c>
      <c r="X707" s="136">
        <f>+VLOOKUP(PROVEEDORES[[#This Row],[ID RETENCION]],Retenciones!$A$1:$O$25,PROVEEDORES[[#This Row],[indicador de columna]],FALSE)</f>
        <v>0</v>
      </c>
      <c r="Y707" s="137">
        <f>+VLOOKUP(PROVEEDORES[[#This Row],[ID RETENCION]],Retenciones!$A$1:$O$25,2,FALSE)</f>
        <v>0</v>
      </c>
      <c r="Z707" s="126" t="b">
        <f>+OR(COUNTIF(PROVEEDORES[[#This Row],[PROVEEDOR]],"*"&amp;'Palabra que no opera y Listas d'!$A$2&amp;"*"))</f>
        <v>0</v>
      </c>
    </row>
    <row r="708" spans="1:26" ht="27.75" customHeight="1" x14ac:dyDescent="0.25">
      <c r="A708" s="141" t="str">
        <f>+IF(PROVEEDORES[[#This Row],[FECHA DE PAGO]]=PROVEEDORES[[#This Row],[FECHA DE FACTURACIÓN]],"DE CONTADO","CRÉDITO")</f>
        <v>DE CONTADO</v>
      </c>
      <c r="B708" s="138" t="b">
        <f>+IF((PROVEEDORES[[#This Row],[FECHA DE PAGO]]-PROVEEDORES[[#This Row],[FECHA DE FACTURACIÓN]])&gt;PROVEEDORES[[#This Row],[PLAZO Días]],"PAGO VENCIDO")</f>
        <v>0</v>
      </c>
      <c r="C708" s="138">
        <f>+VLOOKUP(PROVEEDORES[[#This Row],[PROVEEDOR]],TERCEROS_INFO[#All],2,FALSE)</f>
        <v>30</v>
      </c>
      <c r="D708" s="139">
        <f>+SUMIFS(PROVEEDORES[Total],PROVEEDORES[PROVEEDOR],PROVEEDORES[[#This Row],[PROVEEDOR]],PROVEEDORES[FECHA DE PAGO],"")</f>
        <v>0</v>
      </c>
      <c r="E708" s="140"/>
      <c r="F708" s="138" t="str">
        <f>+VLOOKUP(PROVEEDORES[[#This Row],[PROVEEDOR]],
                       Terceros!$A:$F,
                       5,
                       FALSE)</f>
        <v/>
      </c>
      <c r="G708" s="127">
        <v>45199</v>
      </c>
      <c r="H708" s="123" t="s">
        <v>525</v>
      </c>
      <c r="I708" s="127">
        <v>45199</v>
      </c>
      <c r="J708" s="124" t="s">
        <v>1531</v>
      </c>
      <c r="K708" s="124" t="s">
        <v>1530</v>
      </c>
      <c r="L708" s="124"/>
      <c r="M708" s="125">
        <v>0</v>
      </c>
      <c r="N708" s="148">
        <v>0</v>
      </c>
      <c r="O708" s="148">
        <v>0</v>
      </c>
      <c r="P708" s="149">
        <v>0</v>
      </c>
      <c r="Q708" s="148">
        <v>0</v>
      </c>
      <c r="R708" s="150">
        <v>0</v>
      </c>
      <c r="S7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8" s="135">
        <f ca="1">+IF(PROVEEDORES[[#This Row],[FECHA DE PAGO]]=0,TODAY()-PROVEEDORES[[#This Row],[FECHA DE FACTURACIÓN]]-PROVEEDORES[[#This Row],[PLAZO Días]],0)</f>
        <v>0</v>
      </c>
      <c r="U708" s="135">
        <f>+VLOOKUP(PROVEEDORES[[#This Row],[PROVEEDOR]],Terceros!$A:$D,4,FALSE)</f>
        <v>0</v>
      </c>
      <c r="V708" s="135">
        <f>+YEAR(PROVEEDORES[[#This Row],[FECHA DE FACTURACIÓN]])</f>
        <v>2023</v>
      </c>
      <c r="W708" s="135">
        <f>+MATCH(PROVEEDORES[[#This Row],[año facturado]],Retenciones!$1:$1,0)</f>
        <v>6</v>
      </c>
      <c r="X708" s="136">
        <f>+VLOOKUP(PROVEEDORES[[#This Row],[ID RETENCION]],Retenciones!$A$1:$O$25,PROVEEDORES[[#This Row],[indicador de columna]],FALSE)</f>
        <v>0</v>
      </c>
      <c r="Y708" s="137">
        <f>+VLOOKUP(PROVEEDORES[[#This Row],[ID RETENCION]],Retenciones!$A$1:$O$25,2,FALSE)</f>
        <v>0</v>
      </c>
      <c r="Z708" s="126" t="b">
        <f>+OR(COUNTIF(PROVEEDORES[[#This Row],[PROVEEDOR]],"*"&amp;'Palabra que no opera y Listas d'!$A$2&amp;"*"))</f>
        <v>0</v>
      </c>
    </row>
    <row r="709" spans="1:26" ht="27.75" customHeight="1" x14ac:dyDescent="0.25">
      <c r="A709" s="141" t="str">
        <f>+IF(PROVEEDORES[[#This Row],[FECHA DE PAGO]]=PROVEEDORES[[#This Row],[FECHA DE FACTURACIÓN]],"DE CONTADO","CRÉDITO")</f>
        <v>DE CONTADO</v>
      </c>
      <c r="B709" s="138" t="b">
        <f>+IF((PROVEEDORES[[#This Row],[FECHA DE PAGO]]-PROVEEDORES[[#This Row],[FECHA DE FACTURACIÓN]])&gt;PROVEEDORES[[#This Row],[PLAZO Días]],"PAGO VENCIDO")</f>
        <v>0</v>
      </c>
      <c r="C709" s="138">
        <f>+VLOOKUP(PROVEEDORES[[#This Row],[PROVEEDOR]],TERCEROS_INFO[#All],2,FALSE)</f>
        <v>30</v>
      </c>
      <c r="D709" s="139">
        <f>+SUMIFS(PROVEEDORES[Total],PROVEEDORES[PROVEEDOR],PROVEEDORES[[#This Row],[PROVEEDOR]],PROVEEDORES[FECHA DE PAGO],"")</f>
        <v>0</v>
      </c>
      <c r="E709" s="140"/>
      <c r="F709" s="138" t="str">
        <f>+VLOOKUP(PROVEEDORES[[#This Row],[PROVEEDOR]],
                       Terceros!$A:$F,
                       5,
                       FALSE)</f>
        <v/>
      </c>
      <c r="G709" s="127">
        <v>45199</v>
      </c>
      <c r="H709" s="123" t="s">
        <v>525</v>
      </c>
      <c r="I709" s="127">
        <v>45199</v>
      </c>
      <c r="J709" s="124" t="s">
        <v>479</v>
      </c>
      <c r="K709" s="124" t="s">
        <v>1530</v>
      </c>
      <c r="L709" s="124"/>
      <c r="M709" s="125">
        <v>19000</v>
      </c>
      <c r="N709" s="148">
        <v>0</v>
      </c>
      <c r="O709" s="148">
        <v>0</v>
      </c>
      <c r="P709" s="149">
        <v>0</v>
      </c>
      <c r="Q709" s="148">
        <v>0</v>
      </c>
      <c r="R709" s="150">
        <v>19000</v>
      </c>
      <c r="S7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09" s="135">
        <f ca="1">+IF(PROVEEDORES[[#This Row],[FECHA DE PAGO]]=0,TODAY()-PROVEEDORES[[#This Row],[FECHA DE FACTURACIÓN]]-PROVEEDORES[[#This Row],[PLAZO Días]],0)</f>
        <v>0</v>
      </c>
      <c r="U709" s="135">
        <f>+VLOOKUP(PROVEEDORES[[#This Row],[PROVEEDOR]],Terceros!$A:$D,4,FALSE)</f>
        <v>0</v>
      </c>
      <c r="V709" s="135">
        <f>+YEAR(PROVEEDORES[[#This Row],[FECHA DE FACTURACIÓN]])</f>
        <v>2023</v>
      </c>
      <c r="W709" s="135">
        <f>+MATCH(PROVEEDORES[[#This Row],[año facturado]],Retenciones!$1:$1,0)</f>
        <v>6</v>
      </c>
      <c r="X709" s="136">
        <f>+VLOOKUP(PROVEEDORES[[#This Row],[ID RETENCION]],Retenciones!$A$1:$O$25,PROVEEDORES[[#This Row],[indicador de columna]],FALSE)</f>
        <v>0</v>
      </c>
      <c r="Y709" s="137">
        <f>+VLOOKUP(PROVEEDORES[[#This Row],[ID RETENCION]],Retenciones!$A$1:$O$25,2,FALSE)</f>
        <v>0</v>
      </c>
      <c r="Z709" s="126" t="b">
        <f>+OR(COUNTIF(PROVEEDORES[[#This Row],[PROVEEDOR]],"*"&amp;'Palabra que no opera y Listas d'!$A$2&amp;"*"))</f>
        <v>0</v>
      </c>
    </row>
    <row r="710" spans="1:26" ht="27.75" customHeight="1" x14ac:dyDescent="0.25">
      <c r="A710" s="141" t="str">
        <f>+IF(PROVEEDORES[[#This Row],[FECHA DE PAGO]]=PROVEEDORES[[#This Row],[FECHA DE FACTURACIÓN]],"DE CONTADO","CRÉDITO")</f>
        <v>DE CONTADO</v>
      </c>
      <c r="B710" s="138" t="b">
        <f>+IF((PROVEEDORES[[#This Row],[FECHA DE PAGO]]-PROVEEDORES[[#This Row],[FECHA DE FACTURACIÓN]])&gt;PROVEEDORES[[#This Row],[PLAZO Días]],"PAGO VENCIDO")</f>
        <v>0</v>
      </c>
      <c r="C710" s="138">
        <f>+VLOOKUP(PROVEEDORES[[#This Row],[PROVEEDOR]],TERCEROS_INFO[#All],2,FALSE)</f>
        <v>30</v>
      </c>
      <c r="D710" s="139">
        <f>+SUMIFS(PROVEEDORES[Total],PROVEEDORES[PROVEEDOR],PROVEEDORES[[#This Row],[PROVEEDOR]],PROVEEDORES[FECHA DE PAGO],"")</f>
        <v>0</v>
      </c>
      <c r="E710" s="140"/>
      <c r="F710" s="138" t="str">
        <f>+VLOOKUP(PROVEEDORES[[#This Row],[PROVEEDOR]],
                       Terceros!$A:$F,
                       5,
                       FALSE)</f>
        <v/>
      </c>
      <c r="G710" s="127">
        <v>45199</v>
      </c>
      <c r="H710" s="123" t="s">
        <v>525</v>
      </c>
      <c r="I710" s="127">
        <v>45199</v>
      </c>
      <c r="J710" s="124" t="s">
        <v>478</v>
      </c>
      <c r="K710" s="124" t="s">
        <v>1530</v>
      </c>
      <c r="L710" s="124"/>
      <c r="M710" s="125">
        <v>135500</v>
      </c>
      <c r="N710" s="148">
        <v>0</v>
      </c>
      <c r="O710" s="148">
        <v>0</v>
      </c>
      <c r="P710" s="149">
        <v>0</v>
      </c>
      <c r="Q710" s="148">
        <v>0</v>
      </c>
      <c r="R710" s="150">
        <v>135500</v>
      </c>
      <c r="S7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0" s="135">
        <f ca="1">+IF(PROVEEDORES[[#This Row],[FECHA DE PAGO]]=0,TODAY()-PROVEEDORES[[#This Row],[FECHA DE FACTURACIÓN]]-PROVEEDORES[[#This Row],[PLAZO Días]],0)</f>
        <v>0</v>
      </c>
      <c r="U710" s="135">
        <f>+VLOOKUP(PROVEEDORES[[#This Row],[PROVEEDOR]],Terceros!$A:$D,4,FALSE)</f>
        <v>0</v>
      </c>
      <c r="V710" s="135">
        <f>+YEAR(PROVEEDORES[[#This Row],[FECHA DE FACTURACIÓN]])</f>
        <v>2023</v>
      </c>
      <c r="W710" s="135">
        <f>+MATCH(PROVEEDORES[[#This Row],[año facturado]],Retenciones!$1:$1,0)</f>
        <v>6</v>
      </c>
      <c r="X710" s="136">
        <f>+VLOOKUP(PROVEEDORES[[#This Row],[ID RETENCION]],Retenciones!$A$1:$O$25,PROVEEDORES[[#This Row],[indicador de columna]],FALSE)</f>
        <v>0</v>
      </c>
      <c r="Y710" s="137">
        <f>+VLOOKUP(PROVEEDORES[[#This Row],[ID RETENCION]],Retenciones!$A$1:$O$25,2,FALSE)</f>
        <v>0</v>
      </c>
      <c r="Z710" s="126" t="b">
        <f>+OR(COUNTIF(PROVEEDORES[[#This Row],[PROVEEDOR]],"*"&amp;'Palabra que no opera y Listas d'!$A$2&amp;"*"))</f>
        <v>0</v>
      </c>
    </row>
    <row r="711" spans="1:26" ht="27.75" customHeight="1" x14ac:dyDescent="0.25">
      <c r="A711" s="141" t="str">
        <f>+IF(PROVEEDORES[[#This Row],[FECHA DE PAGO]]=PROVEEDORES[[#This Row],[FECHA DE FACTURACIÓN]],"DE CONTADO","CRÉDITO")</f>
        <v>DE CONTADO</v>
      </c>
      <c r="B711" s="138" t="b">
        <f>+IF((PROVEEDORES[[#This Row],[FECHA DE PAGO]]-PROVEEDORES[[#This Row],[FECHA DE FACTURACIÓN]])&gt;PROVEEDORES[[#This Row],[PLAZO Días]],"PAGO VENCIDO")</f>
        <v>0</v>
      </c>
      <c r="C711" s="138">
        <f>+VLOOKUP(PROVEEDORES[[#This Row],[PROVEEDOR]],TERCEROS_INFO[#All],2,FALSE)</f>
        <v>30</v>
      </c>
      <c r="D711" s="139">
        <f>+SUMIFS(PROVEEDORES[Total],PROVEEDORES[PROVEEDOR],PROVEEDORES[[#This Row],[PROVEEDOR]],PROVEEDORES[FECHA DE PAGO],"")</f>
        <v>0</v>
      </c>
      <c r="E711" s="140"/>
      <c r="F711" s="138" t="str">
        <f>+VLOOKUP(PROVEEDORES[[#This Row],[PROVEEDOR]],
                       Terceros!$A:$F,
                       5,
                       FALSE)</f>
        <v/>
      </c>
      <c r="G711" s="127">
        <v>45199</v>
      </c>
      <c r="H711" s="123" t="s">
        <v>525</v>
      </c>
      <c r="I711" s="127">
        <v>45199</v>
      </c>
      <c r="J711" s="124" t="s">
        <v>480</v>
      </c>
      <c r="K711" s="124" t="s">
        <v>1530</v>
      </c>
      <c r="L711" s="124"/>
      <c r="M711" s="125">
        <v>284873</v>
      </c>
      <c r="N711" s="148">
        <v>0</v>
      </c>
      <c r="O711" s="148">
        <v>0</v>
      </c>
      <c r="P711" s="149">
        <v>0</v>
      </c>
      <c r="Q711" s="148">
        <v>0</v>
      </c>
      <c r="R711" s="150">
        <v>284873</v>
      </c>
      <c r="S7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1" s="135">
        <f ca="1">+IF(PROVEEDORES[[#This Row],[FECHA DE PAGO]]=0,TODAY()-PROVEEDORES[[#This Row],[FECHA DE FACTURACIÓN]]-PROVEEDORES[[#This Row],[PLAZO Días]],0)</f>
        <v>0</v>
      </c>
      <c r="U711" s="135">
        <f>+VLOOKUP(PROVEEDORES[[#This Row],[PROVEEDOR]],Terceros!$A:$D,4,FALSE)</f>
        <v>0</v>
      </c>
      <c r="V711" s="135">
        <f>+YEAR(PROVEEDORES[[#This Row],[FECHA DE FACTURACIÓN]])</f>
        <v>2023</v>
      </c>
      <c r="W711" s="135">
        <f>+MATCH(PROVEEDORES[[#This Row],[año facturado]],Retenciones!$1:$1,0)</f>
        <v>6</v>
      </c>
      <c r="X711" s="136">
        <f>+VLOOKUP(PROVEEDORES[[#This Row],[ID RETENCION]],Retenciones!$A$1:$O$25,PROVEEDORES[[#This Row],[indicador de columna]],FALSE)</f>
        <v>0</v>
      </c>
      <c r="Y711" s="137">
        <f>+VLOOKUP(PROVEEDORES[[#This Row],[ID RETENCION]],Retenciones!$A$1:$O$25,2,FALSE)</f>
        <v>0</v>
      </c>
      <c r="Z711" s="126" t="b">
        <f>+OR(COUNTIF(PROVEEDORES[[#This Row],[PROVEEDOR]],"*"&amp;'Palabra que no opera y Listas d'!$A$2&amp;"*"))</f>
        <v>0</v>
      </c>
    </row>
    <row r="712" spans="1:26" ht="27.75" customHeight="1" x14ac:dyDescent="0.25">
      <c r="A712" s="141" t="str">
        <f>+IF(PROVEEDORES[[#This Row],[FECHA DE PAGO]]=PROVEEDORES[[#This Row],[FECHA DE FACTURACIÓN]],"DE CONTADO","CRÉDITO")</f>
        <v>DE CONTADO</v>
      </c>
      <c r="B712" s="138" t="b">
        <f>+IF((PROVEEDORES[[#This Row],[FECHA DE PAGO]]-PROVEEDORES[[#This Row],[FECHA DE FACTURACIÓN]])&gt;PROVEEDORES[[#This Row],[PLAZO Días]],"PAGO VENCIDO")</f>
        <v>0</v>
      </c>
      <c r="C712" s="138">
        <f>+VLOOKUP(PROVEEDORES[[#This Row],[PROVEEDOR]],TERCEROS_INFO[#All],2,FALSE)</f>
        <v>30</v>
      </c>
      <c r="D712" s="139">
        <f>+SUMIFS(PROVEEDORES[Total],PROVEEDORES[PROVEEDOR],PROVEEDORES[[#This Row],[PROVEEDOR]],PROVEEDORES[FECHA DE PAGO],"")</f>
        <v>0</v>
      </c>
      <c r="E712" s="140"/>
      <c r="F712" s="138" t="str">
        <f>+VLOOKUP(PROVEEDORES[[#This Row],[PROVEEDOR]],
                       Terceros!$A:$F,
                       5,
                       FALSE)</f>
        <v/>
      </c>
      <c r="G712" s="127">
        <v>45199</v>
      </c>
      <c r="H712" s="123" t="s">
        <v>525</v>
      </c>
      <c r="I712" s="127">
        <v>45199</v>
      </c>
      <c r="J712" s="124" t="s">
        <v>476</v>
      </c>
      <c r="K712" s="124" t="s">
        <v>1530</v>
      </c>
      <c r="L712" s="124"/>
      <c r="M712" s="125">
        <v>512100</v>
      </c>
      <c r="N712" s="148">
        <v>0</v>
      </c>
      <c r="O712" s="148">
        <v>0</v>
      </c>
      <c r="P712" s="149">
        <v>0</v>
      </c>
      <c r="Q712" s="148">
        <v>0</v>
      </c>
      <c r="R712" s="150">
        <v>512100</v>
      </c>
      <c r="S7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2" s="135">
        <f ca="1">+IF(PROVEEDORES[[#This Row],[FECHA DE PAGO]]=0,TODAY()-PROVEEDORES[[#This Row],[FECHA DE FACTURACIÓN]]-PROVEEDORES[[#This Row],[PLAZO Días]],0)</f>
        <v>0</v>
      </c>
      <c r="U712" s="135">
        <f>+VLOOKUP(PROVEEDORES[[#This Row],[PROVEEDOR]],Terceros!$A:$D,4,FALSE)</f>
        <v>0</v>
      </c>
      <c r="V712" s="135">
        <f>+YEAR(PROVEEDORES[[#This Row],[FECHA DE FACTURACIÓN]])</f>
        <v>2023</v>
      </c>
      <c r="W712" s="135">
        <f>+MATCH(PROVEEDORES[[#This Row],[año facturado]],Retenciones!$1:$1,0)</f>
        <v>6</v>
      </c>
      <c r="X712" s="136">
        <f>+VLOOKUP(PROVEEDORES[[#This Row],[ID RETENCION]],Retenciones!$A$1:$O$25,PROVEEDORES[[#This Row],[indicador de columna]],FALSE)</f>
        <v>0</v>
      </c>
      <c r="Y712" s="137">
        <f>+VLOOKUP(PROVEEDORES[[#This Row],[ID RETENCION]],Retenciones!$A$1:$O$25,2,FALSE)</f>
        <v>0</v>
      </c>
      <c r="Z712" s="126" t="b">
        <f>+OR(COUNTIF(PROVEEDORES[[#This Row],[PROVEEDOR]],"*"&amp;'Palabra que no opera y Listas d'!$A$2&amp;"*"))</f>
        <v>0</v>
      </c>
    </row>
    <row r="713" spans="1:26" ht="27.75" customHeight="1" x14ac:dyDescent="0.25">
      <c r="A713" s="141" t="str">
        <f>+IF(PROVEEDORES[[#This Row],[FECHA DE PAGO]]=PROVEEDORES[[#This Row],[FECHA DE FACTURACIÓN]],"DE CONTADO","CRÉDITO")</f>
        <v>DE CONTADO</v>
      </c>
      <c r="B713" s="138" t="b">
        <f>+IF((PROVEEDORES[[#This Row],[FECHA DE PAGO]]-PROVEEDORES[[#This Row],[FECHA DE FACTURACIÓN]])&gt;PROVEEDORES[[#This Row],[PLAZO Días]],"PAGO VENCIDO")</f>
        <v>0</v>
      </c>
      <c r="C713" s="138">
        <f>+VLOOKUP(PROVEEDORES[[#This Row],[PROVEEDOR]],TERCEROS_INFO[#All],2,FALSE)</f>
        <v>30</v>
      </c>
      <c r="D713" s="139">
        <f>+SUMIFS(PROVEEDORES[Total],PROVEEDORES[PROVEEDOR],PROVEEDORES[[#This Row],[PROVEEDOR]],PROVEEDORES[FECHA DE PAGO],"")</f>
        <v>0</v>
      </c>
      <c r="E713" s="140"/>
      <c r="F713" s="138" t="str">
        <f>+VLOOKUP(PROVEEDORES[[#This Row],[PROVEEDOR]],
                       Terceros!$A:$F,
                       5,
                       FALSE)</f>
        <v/>
      </c>
      <c r="G713" s="127">
        <v>45199</v>
      </c>
      <c r="H713" s="123" t="s">
        <v>525</v>
      </c>
      <c r="I713" s="127">
        <v>45199</v>
      </c>
      <c r="J713" s="124" t="s">
        <v>477</v>
      </c>
      <c r="K713" s="124" t="s">
        <v>1530</v>
      </c>
      <c r="L713" s="124"/>
      <c r="M713" s="125">
        <v>2566850</v>
      </c>
      <c r="N713" s="148">
        <v>0</v>
      </c>
      <c r="O713" s="148">
        <v>0</v>
      </c>
      <c r="P713" s="149">
        <v>0</v>
      </c>
      <c r="Q713" s="148">
        <v>0</v>
      </c>
      <c r="R713" s="150">
        <v>2566850</v>
      </c>
      <c r="S7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3" s="135">
        <f ca="1">+IF(PROVEEDORES[[#This Row],[FECHA DE PAGO]]=0,TODAY()-PROVEEDORES[[#This Row],[FECHA DE FACTURACIÓN]]-PROVEEDORES[[#This Row],[PLAZO Días]],0)</f>
        <v>0</v>
      </c>
      <c r="U713" s="135">
        <f>+VLOOKUP(PROVEEDORES[[#This Row],[PROVEEDOR]],Terceros!$A:$D,4,FALSE)</f>
        <v>0</v>
      </c>
      <c r="V713" s="135">
        <f>+YEAR(PROVEEDORES[[#This Row],[FECHA DE FACTURACIÓN]])</f>
        <v>2023</v>
      </c>
      <c r="W713" s="135">
        <f>+MATCH(PROVEEDORES[[#This Row],[año facturado]],Retenciones!$1:$1,0)</f>
        <v>6</v>
      </c>
      <c r="X713" s="136">
        <f>+VLOOKUP(PROVEEDORES[[#This Row],[ID RETENCION]],Retenciones!$A$1:$O$25,PROVEEDORES[[#This Row],[indicador de columna]],FALSE)</f>
        <v>0</v>
      </c>
      <c r="Y713" s="137">
        <f>+VLOOKUP(PROVEEDORES[[#This Row],[ID RETENCION]],Retenciones!$A$1:$O$25,2,FALSE)</f>
        <v>0</v>
      </c>
      <c r="Z713" s="126" t="b">
        <f>+OR(COUNTIF(PROVEEDORES[[#This Row],[PROVEEDOR]],"*"&amp;'Palabra que no opera y Listas d'!$A$2&amp;"*"))</f>
        <v>0</v>
      </c>
    </row>
    <row r="714" spans="1:26" ht="27.75" customHeight="1" x14ac:dyDescent="0.25">
      <c r="A714" s="141" t="str">
        <f>+IF(PROVEEDORES[[#This Row],[FECHA DE PAGO]]=PROVEEDORES[[#This Row],[FECHA DE FACTURACIÓN]],"DE CONTADO","CRÉDITO")</f>
        <v>CRÉDITO</v>
      </c>
      <c r="B714" s="138" t="str">
        <f>+IF((PROVEEDORES[[#This Row],[FECHA DE PAGO]]-PROVEEDORES[[#This Row],[FECHA DE FACTURACIÓN]])&gt;PROVEEDORES[[#This Row],[PLAZO Días]],"PAGO VENCIDO")</f>
        <v>PAGO VENCIDO</v>
      </c>
      <c r="C714" s="138">
        <f>+VLOOKUP(PROVEEDORES[[#This Row],[PROVEEDOR]],TERCEROS_INFO[#All],2,FALSE)</f>
        <v>60</v>
      </c>
      <c r="D714" s="139">
        <f>+SUMIFS(PROVEEDORES[Total],PROVEEDORES[PROVEEDOR],PROVEEDORES[[#This Row],[PROVEEDOR]],PROVEEDORES[FECHA DE PAGO],"")</f>
        <v>0</v>
      </c>
      <c r="E714" s="140"/>
      <c r="F714" s="138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714" s="127">
        <v>45201</v>
      </c>
      <c r="H714" s="123" t="s">
        <v>582</v>
      </c>
      <c r="I714" s="127">
        <v>45114</v>
      </c>
      <c r="J714" s="124" t="s">
        <v>909</v>
      </c>
      <c r="K714" s="124" t="s">
        <v>1530</v>
      </c>
      <c r="L714" s="124"/>
      <c r="M714" s="125">
        <v>1519000</v>
      </c>
      <c r="N714" s="148">
        <v>288610</v>
      </c>
      <c r="O714" s="148">
        <v>0</v>
      </c>
      <c r="P714" s="149">
        <v>2.5000000000000001E-2</v>
      </c>
      <c r="Q714" s="148">
        <v>37975</v>
      </c>
      <c r="R714" s="150">
        <v>1769635</v>
      </c>
      <c r="S7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4" s="135">
        <f ca="1">+IF(PROVEEDORES[[#This Row],[FECHA DE PAGO]]=0,TODAY()-PROVEEDORES[[#This Row],[FECHA DE FACTURACIÓN]]-PROVEEDORES[[#This Row],[PLAZO Días]],0)</f>
        <v>0</v>
      </c>
      <c r="U714" s="135" t="str">
        <f>+VLOOKUP(PROVEEDORES[[#This Row],[PROVEEDOR]],Terceros!$A:$D,4,FALSE)</f>
        <v>2,5% con base</v>
      </c>
      <c r="V714" s="135">
        <f>+YEAR(PROVEEDORES[[#This Row],[FECHA DE FACTURACIÓN]])</f>
        <v>2023</v>
      </c>
      <c r="W714" s="135">
        <f>+MATCH(PROVEEDORES[[#This Row],[año facturado]],Retenciones!$1:$1,0)</f>
        <v>6</v>
      </c>
      <c r="X714" s="136">
        <f>+VLOOKUP(PROVEEDORES[[#This Row],[ID RETENCION]],Retenciones!$A$1:$O$25,PROVEEDORES[[#This Row],[indicador de columna]],FALSE)</f>
        <v>1145000</v>
      </c>
      <c r="Y714" s="137">
        <f>+VLOOKUP(PROVEEDORES[[#This Row],[ID RETENCION]],Retenciones!$A$1:$O$25,2,FALSE)</f>
        <v>2.5000000000000001E-2</v>
      </c>
      <c r="Z714" s="126" t="b">
        <f>+OR(COUNTIF(PROVEEDORES[[#This Row],[PROVEEDOR]],"*"&amp;'Palabra que no opera y Listas d'!$A$2&amp;"*"))</f>
        <v>0</v>
      </c>
    </row>
    <row r="715" spans="1:26" ht="27.75" customHeight="1" x14ac:dyDescent="0.25">
      <c r="A715" s="141" t="str">
        <f>+IF(PROVEEDORES[[#This Row],[FECHA DE PAGO]]=PROVEEDORES[[#This Row],[FECHA DE FACTURACIÓN]],"DE CONTADO","CRÉDITO")</f>
        <v>CRÉDITO</v>
      </c>
      <c r="B715" s="138" t="str">
        <f>+IF((PROVEEDORES[[#This Row],[FECHA DE PAGO]]-PROVEEDORES[[#This Row],[FECHA DE FACTURACIÓN]])&gt;PROVEEDORES[[#This Row],[PLAZO Días]],"PAGO VENCIDO")</f>
        <v>PAGO VENCIDO</v>
      </c>
      <c r="C715" s="138">
        <f>+VLOOKUP(PROVEEDORES[[#This Row],[PROVEEDOR]],TERCEROS_INFO[#All],2,FALSE)</f>
        <v>30</v>
      </c>
      <c r="D715" s="139">
        <f>+SUMIFS(PROVEEDORES[Total],PROVEEDORES[PROVEEDOR],PROVEEDORES[[#This Row],[PROVEEDOR]],PROVEEDORES[FECHA DE PAGO],"")</f>
        <v>0</v>
      </c>
      <c r="E715" s="140"/>
      <c r="F715" s="138" t="str">
        <f>+VLOOKUP(PROVEEDORES[[#This Row],[PROVEEDOR]],
                       Terceros!$A:$F,
                       5,
                       FALSE)</f>
        <v/>
      </c>
      <c r="G715" s="127">
        <v>45201</v>
      </c>
      <c r="H715" s="123" t="s">
        <v>525</v>
      </c>
      <c r="I715" s="127">
        <v>45117</v>
      </c>
      <c r="J715" s="124" t="s">
        <v>890</v>
      </c>
      <c r="K715" s="124" t="s">
        <v>1530</v>
      </c>
      <c r="L715" s="124"/>
      <c r="M715" s="125">
        <v>1117000</v>
      </c>
      <c r="N715" s="148">
        <v>0</v>
      </c>
      <c r="O715" s="148">
        <v>0</v>
      </c>
      <c r="P715" s="149">
        <v>0</v>
      </c>
      <c r="Q715" s="148">
        <v>0</v>
      </c>
      <c r="R715" s="150">
        <v>1117000</v>
      </c>
      <c r="S7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5" s="135">
        <f ca="1">+IF(PROVEEDORES[[#This Row],[FECHA DE PAGO]]=0,TODAY()-PROVEEDORES[[#This Row],[FECHA DE FACTURACIÓN]]-PROVEEDORES[[#This Row],[PLAZO Días]],0)</f>
        <v>0</v>
      </c>
      <c r="U715" s="135">
        <f>+VLOOKUP(PROVEEDORES[[#This Row],[PROVEEDOR]],Terceros!$A:$D,4,FALSE)</f>
        <v>0</v>
      </c>
      <c r="V715" s="135">
        <f>+YEAR(PROVEEDORES[[#This Row],[FECHA DE FACTURACIÓN]])</f>
        <v>2023</v>
      </c>
      <c r="W715" s="135">
        <f>+MATCH(PROVEEDORES[[#This Row],[año facturado]],Retenciones!$1:$1,0)</f>
        <v>6</v>
      </c>
      <c r="X715" s="136">
        <f>+VLOOKUP(PROVEEDORES[[#This Row],[ID RETENCION]],Retenciones!$A$1:$O$25,PROVEEDORES[[#This Row],[indicador de columna]],FALSE)</f>
        <v>0</v>
      </c>
      <c r="Y715" s="137">
        <f>+VLOOKUP(PROVEEDORES[[#This Row],[ID RETENCION]],Retenciones!$A$1:$O$25,2,FALSE)</f>
        <v>0</v>
      </c>
      <c r="Z715" s="126" t="b">
        <f>+OR(COUNTIF(PROVEEDORES[[#This Row],[PROVEEDOR]],"*"&amp;'Palabra que no opera y Listas d'!$A$2&amp;"*"))</f>
        <v>0</v>
      </c>
    </row>
    <row r="716" spans="1:26" ht="27.75" customHeight="1" x14ac:dyDescent="0.25">
      <c r="A716" s="141" t="str">
        <f>+IF(PROVEEDORES[[#This Row],[FECHA DE PAGO]]=PROVEEDORES[[#This Row],[FECHA DE FACTURACIÓN]],"DE CONTADO","CRÉDITO")</f>
        <v>CRÉDITO</v>
      </c>
      <c r="B716" s="138" t="str">
        <f>+IF((PROVEEDORES[[#This Row],[FECHA DE PAGO]]-PROVEEDORES[[#This Row],[FECHA DE FACTURACIÓN]])&gt;PROVEEDORES[[#This Row],[PLAZO Días]],"PAGO VENCIDO")</f>
        <v>PAGO VENCIDO</v>
      </c>
      <c r="C716" s="138">
        <f>+VLOOKUP(PROVEEDORES[[#This Row],[PROVEEDOR]],TERCEROS_INFO[#All],2,FALSE)</f>
        <v>30</v>
      </c>
      <c r="D716" s="139">
        <f>+SUMIFS(PROVEEDORES[Total],PROVEEDORES[PROVEEDOR],PROVEEDORES[[#This Row],[PROVEEDOR]],PROVEEDORES[FECHA DE PAGO],"")</f>
        <v>0</v>
      </c>
      <c r="E716" s="140"/>
      <c r="F716" s="138" t="str">
        <f>+VLOOKUP(PROVEEDORES[[#This Row],[PROVEEDOR]],
                       Terceros!$A:$F,
                       5,
                       FALSE)</f>
        <v/>
      </c>
      <c r="G716" s="127">
        <v>45201</v>
      </c>
      <c r="H716" s="123" t="s">
        <v>1149</v>
      </c>
      <c r="I716" s="127">
        <v>45117</v>
      </c>
      <c r="J716" s="124">
        <v>8943</v>
      </c>
      <c r="K716" s="124" t="s">
        <v>1530</v>
      </c>
      <c r="L716" s="124"/>
      <c r="M716" s="125">
        <v>3668500</v>
      </c>
      <c r="N716" s="148">
        <v>0</v>
      </c>
      <c r="O716" s="148">
        <v>0</v>
      </c>
      <c r="P716" s="149">
        <v>0</v>
      </c>
      <c r="Q716" s="148">
        <v>0</v>
      </c>
      <c r="R716" s="150">
        <v>3668500</v>
      </c>
      <c r="S7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6" s="135">
        <f ca="1">+IF(PROVEEDORES[[#This Row],[FECHA DE PAGO]]=0,TODAY()-PROVEEDORES[[#This Row],[FECHA DE FACTURACIÓN]]-PROVEEDORES[[#This Row],[PLAZO Días]],0)</f>
        <v>0</v>
      </c>
      <c r="U716" s="135">
        <f>+VLOOKUP(PROVEEDORES[[#This Row],[PROVEEDOR]],Terceros!$A:$D,4,FALSE)</f>
        <v>0</v>
      </c>
      <c r="V716" s="135">
        <f>+YEAR(PROVEEDORES[[#This Row],[FECHA DE FACTURACIÓN]])</f>
        <v>2023</v>
      </c>
      <c r="W716" s="135">
        <f>+MATCH(PROVEEDORES[[#This Row],[año facturado]],Retenciones!$1:$1,0)</f>
        <v>6</v>
      </c>
      <c r="X716" s="136">
        <f>+VLOOKUP(PROVEEDORES[[#This Row],[ID RETENCION]],Retenciones!$A$1:$O$25,PROVEEDORES[[#This Row],[indicador de columna]],FALSE)</f>
        <v>0</v>
      </c>
      <c r="Y716" s="137">
        <f>+VLOOKUP(PROVEEDORES[[#This Row],[ID RETENCION]],Retenciones!$A$1:$O$25,2,FALSE)</f>
        <v>0</v>
      </c>
      <c r="Z716" s="126" t="b">
        <f>+OR(COUNTIF(PROVEEDORES[[#This Row],[PROVEEDOR]],"*"&amp;'Palabra que no opera y Listas d'!$A$2&amp;"*"))</f>
        <v>0</v>
      </c>
    </row>
    <row r="717" spans="1:26" ht="27.75" customHeight="1" x14ac:dyDescent="0.25">
      <c r="A717" s="141" t="str">
        <f>+IF(PROVEEDORES[[#This Row],[FECHA DE PAGO]]=PROVEEDORES[[#This Row],[FECHA DE FACTURACIÓN]],"DE CONTADO","CRÉDITO")</f>
        <v>CRÉDITO</v>
      </c>
      <c r="B717" s="138" t="str">
        <f>+IF((PROVEEDORES[[#This Row],[FECHA DE PAGO]]-PROVEEDORES[[#This Row],[FECHA DE FACTURACIÓN]])&gt;PROVEEDORES[[#This Row],[PLAZO Días]],"PAGO VENCIDO")</f>
        <v>PAGO VENCIDO</v>
      </c>
      <c r="C717" s="138">
        <f>+VLOOKUP(PROVEEDORES[[#This Row],[PROVEEDOR]],TERCEROS_INFO[#All],2,FALSE)</f>
        <v>45</v>
      </c>
      <c r="D717" s="139">
        <f>+SUMIFS(PROVEEDORES[Total],PROVEEDORES[PROVEEDOR],PROVEEDORES[[#This Row],[PROVEEDOR]],PROVEEDORES[FECHA DE PAGO],"")</f>
        <v>2446500</v>
      </c>
      <c r="E717" s="140"/>
      <c r="F717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17" s="127">
        <v>45201</v>
      </c>
      <c r="H717" s="123" t="s">
        <v>10</v>
      </c>
      <c r="I717" s="127">
        <v>45135</v>
      </c>
      <c r="J717" s="124" t="s">
        <v>942</v>
      </c>
      <c r="K717" s="124" t="s">
        <v>1530</v>
      </c>
      <c r="L717" s="124"/>
      <c r="M717" s="125">
        <v>4200000</v>
      </c>
      <c r="N717" s="148">
        <v>798000</v>
      </c>
      <c r="O717" s="148">
        <v>0</v>
      </c>
      <c r="P717" s="149">
        <v>2.5000000000000001E-2</v>
      </c>
      <c r="Q717" s="148">
        <v>105000</v>
      </c>
      <c r="R717" s="150">
        <v>4893000</v>
      </c>
      <c r="S7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7" s="135">
        <f ca="1">+IF(PROVEEDORES[[#This Row],[FECHA DE PAGO]]=0,TODAY()-PROVEEDORES[[#This Row],[FECHA DE FACTURACIÓN]]-PROVEEDORES[[#This Row],[PLAZO Días]],0)</f>
        <v>0</v>
      </c>
      <c r="U717" s="135" t="str">
        <f>+VLOOKUP(PROVEEDORES[[#This Row],[PROVEEDOR]],Terceros!$A:$D,4,FALSE)</f>
        <v>2,5% con base</v>
      </c>
      <c r="V717" s="135">
        <f>+YEAR(PROVEEDORES[[#This Row],[FECHA DE FACTURACIÓN]])</f>
        <v>2023</v>
      </c>
      <c r="W717" s="135">
        <f>+MATCH(PROVEEDORES[[#This Row],[año facturado]],Retenciones!$1:$1,0)</f>
        <v>6</v>
      </c>
      <c r="X717" s="136">
        <f>+VLOOKUP(PROVEEDORES[[#This Row],[ID RETENCION]],Retenciones!$A$1:$O$25,PROVEEDORES[[#This Row],[indicador de columna]],FALSE)</f>
        <v>1145000</v>
      </c>
      <c r="Y717" s="137">
        <f>+VLOOKUP(PROVEEDORES[[#This Row],[ID RETENCION]],Retenciones!$A$1:$O$25,2,FALSE)</f>
        <v>2.5000000000000001E-2</v>
      </c>
      <c r="Z717" s="126" t="b">
        <f>+OR(COUNTIF(PROVEEDORES[[#This Row],[PROVEEDOR]],"*"&amp;'Palabra que no opera y Listas d'!$A$2&amp;"*"))</f>
        <v>0</v>
      </c>
    </row>
    <row r="718" spans="1:26" ht="27.75" customHeight="1" x14ac:dyDescent="0.25">
      <c r="A718" s="141" t="str">
        <f>+IF(PROVEEDORES[[#This Row],[FECHA DE PAGO]]=PROVEEDORES[[#This Row],[FECHA DE FACTURACIÓN]],"DE CONTADO","CRÉDITO")</f>
        <v>CRÉDITO</v>
      </c>
      <c r="B718" s="138" t="str">
        <f>+IF((PROVEEDORES[[#This Row],[FECHA DE PAGO]]-PROVEEDORES[[#This Row],[FECHA DE FACTURACIÓN]])&gt;PROVEEDORES[[#This Row],[PLAZO Días]],"PAGO VENCIDO")</f>
        <v>PAGO VENCIDO</v>
      </c>
      <c r="C718" s="138">
        <f>+VLOOKUP(PROVEEDORES[[#This Row],[PROVEEDOR]],TERCEROS_INFO[#All],2,FALSE)</f>
        <v>60</v>
      </c>
      <c r="D718" s="139">
        <f>+SUMIFS(PROVEEDORES[Total],PROVEEDORES[PROVEEDOR],PROVEEDORES[[#This Row],[PROVEEDOR]],PROVEEDORES[FECHA DE PAGO],"")</f>
        <v>0</v>
      </c>
      <c r="E718" s="140"/>
      <c r="F718" s="13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718" s="127">
        <v>45201</v>
      </c>
      <c r="H718" s="123" t="s">
        <v>221</v>
      </c>
      <c r="I718" s="127">
        <v>45139</v>
      </c>
      <c r="J718" s="124" t="s">
        <v>970</v>
      </c>
      <c r="K718" s="124" t="s">
        <v>1530</v>
      </c>
      <c r="L718" s="124"/>
      <c r="M718" s="125">
        <v>779495</v>
      </c>
      <c r="N718" s="148">
        <v>148104.04999999999</v>
      </c>
      <c r="O718" s="148">
        <v>0</v>
      </c>
      <c r="P718" s="149">
        <v>0</v>
      </c>
      <c r="Q718" s="148">
        <v>0</v>
      </c>
      <c r="R718" s="150">
        <v>927599.05</v>
      </c>
      <c r="S7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8" s="135">
        <f ca="1">+IF(PROVEEDORES[[#This Row],[FECHA DE PAGO]]=0,TODAY()-PROVEEDORES[[#This Row],[FECHA DE FACTURACIÓN]]-PROVEEDORES[[#This Row],[PLAZO Días]],0)</f>
        <v>0</v>
      </c>
      <c r="U718" s="135" t="str">
        <f>+VLOOKUP(PROVEEDORES[[#This Row],[PROVEEDOR]],Terceros!$A:$D,4,FALSE)</f>
        <v>2,5% con base</v>
      </c>
      <c r="V718" s="135">
        <f>+YEAR(PROVEEDORES[[#This Row],[FECHA DE FACTURACIÓN]])</f>
        <v>2023</v>
      </c>
      <c r="W718" s="135">
        <f>+MATCH(PROVEEDORES[[#This Row],[año facturado]],Retenciones!$1:$1,0)</f>
        <v>6</v>
      </c>
      <c r="X718" s="136">
        <f>+VLOOKUP(PROVEEDORES[[#This Row],[ID RETENCION]],Retenciones!$A$1:$O$25,PROVEEDORES[[#This Row],[indicador de columna]],FALSE)</f>
        <v>1145000</v>
      </c>
      <c r="Y718" s="137">
        <f>+VLOOKUP(PROVEEDORES[[#This Row],[ID RETENCION]],Retenciones!$A$1:$O$25,2,FALSE)</f>
        <v>2.5000000000000001E-2</v>
      </c>
      <c r="Z718" s="126" t="b">
        <f>+OR(COUNTIF(PROVEEDORES[[#This Row],[PROVEEDOR]],"*"&amp;'Palabra que no opera y Listas d'!$A$2&amp;"*"))</f>
        <v>0</v>
      </c>
    </row>
    <row r="719" spans="1:26" ht="27.75" customHeight="1" x14ac:dyDescent="0.25">
      <c r="A719" s="141" t="str">
        <f>+IF(PROVEEDORES[[#This Row],[FECHA DE PAGO]]=PROVEEDORES[[#This Row],[FECHA DE FACTURACIÓN]],"DE CONTADO","CRÉDITO")</f>
        <v>CRÉDITO</v>
      </c>
      <c r="B719" s="138" t="str">
        <f>+IF((PROVEEDORES[[#This Row],[FECHA DE PAGO]]-PROVEEDORES[[#This Row],[FECHA DE FACTURACIÓN]])&gt;PROVEEDORES[[#This Row],[PLAZO Días]],"PAGO VENCIDO")</f>
        <v>PAGO VENCIDO</v>
      </c>
      <c r="C719" s="138">
        <f>+VLOOKUP(PROVEEDORES[[#This Row],[PROVEEDOR]],TERCEROS_INFO[#All],2,FALSE)</f>
        <v>30</v>
      </c>
      <c r="D719" s="139">
        <f>+SUMIFS(PROVEEDORES[Total],PROVEEDORES[PROVEEDOR],PROVEEDORES[[#This Row],[PROVEEDOR]],PROVEEDORES[FECHA DE PAGO],"")</f>
        <v>0</v>
      </c>
      <c r="E719" s="140"/>
      <c r="F719" s="13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719" s="127">
        <v>45201</v>
      </c>
      <c r="H719" s="123" t="s">
        <v>1580</v>
      </c>
      <c r="I719" s="127">
        <v>45160</v>
      </c>
      <c r="J719" s="124" t="s">
        <v>1010</v>
      </c>
      <c r="K719" s="124" t="s">
        <v>1530</v>
      </c>
      <c r="L719" s="124"/>
      <c r="M719" s="125">
        <v>376000</v>
      </c>
      <c r="N719" s="148">
        <v>71440</v>
      </c>
      <c r="O719" s="148">
        <v>0</v>
      </c>
      <c r="P719" s="149">
        <v>0</v>
      </c>
      <c r="Q719" s="148">
        <v>0</v>
      </c>
      <c r="R719" s="150">
        <v>447440</v>
      </c>
      <c r="S7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19" s="135">
        <f ca="1">+IF(PROVEEDORES[[#This Row],[FECHA DE PAGO]]=0,TODAY()-PROVEEDORES[[#This Row],[FECHA DE FACTURACIÓN]]-PROVEEDORES[[#This Row],[PLAZO Días]],0)</f>
        <v>0</v>
      </c>
      <c r="U719" s="135" t="str">
        <f>+VLOOKUP(PROVEEDORES[[#This Row],[PROVEEDOR]],Terceros!$A:$D,4,FALSE)</f>
        <v>2,5% con base</v>
      </c>
      <c r="V719" s="135">
        <f>+YEAR(PROVEEDORES[[#This Row],[FECHA DE FACTURACIÓN]])</f>
        <v>2023</v>
      </c>
      <c r="W719" s="135">
        <f>+MATCH(PROVEEDORES[[#This Row],[año facturado]],Retenciones!$1:$1,0)</f>
        <v>6</v>
      </c>
      <c r="X719" s="136">
        <f>+VLOOKUP(PROVEEDORES[[#This Row],[ID RETENCION]],Retenciones!$A$1:$O$25,PROVEEDORES[[#This Row],[indicador de columna]],FALSE)</f>
        <v>1145000</v>
      </c>
      <c r="Y719" s="137">
        <f>+VLOOKUP(PROVEEDORES[[#This Row],[ID RETENCION]],Retenciones!$A$1:$O$25,2,FALSE)</f>
        <v>2.5000000000000001E-2</v>
      </c>
      <c r="Z719" s="126" t="b">
        <f>+OR(COUNTIF(PROVEEDORES[[#This Row],[PROVEEDOR]],"*"&amp;'Palabra que no opera y Listas d'!$A$2&amp;"*"))</f>
        <v>0</v>
      </c>
    </row>
    <row r="720" spans="1:26" ht="27.75" customHeight="1" x14ac:dyDescent="0.25">
      <c r="A720" s="141" t="str">
        <f>+IF(PROVEEDORES[[#This Row],[FECHA DE PAGO]]=PROVEEDORES[[#This Row],[FECHA DE FACTURACIÓN]],"DE CONTADO","CRÉDITO")</f>
        <v>CRÉDITO</v>
      </c>
      <c r="B720" s="138" t="str">
        <f>+IF((PROVEEDORES[[#This Row],[FECHA DE PAGO]]-PROVEEDORES[[#This Row],[FECHA DE FACTURACIÓN]])&gt;PROVEEDORES[[#This Row],[PLAZO Días]],"PAGO VENCIDO")</f>
        <v>PAGO VENCIDO</v>
      </c>
      <c r="C720" s="138">
        <f>+VLOOKUP(PROVEEDORES[[#This Row],[PROVEEDOR]],TERCEROS_INFO[#All],2,FALSE)</f>
        <v>30</v>
      </c>
      <c r="D720" s="139">
        <f>+SUMIFS(PROVEEDORES[Total],PROVEEDORES[PROVEEDOR],PROVEEDORES[[#This Row],[PROVEEDOR]],PROVEEDORES[FECHA DE PAGO],"")</f>
        <v>0</v>
      </c>
      <c r="E720" s="140"/>
      <c r="F720" s="13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720" s="127">
        <v>45201</v>
      </c>
      <c r="H720" s="123" t="s">
        <v>1580</v>
      </c>
      <c r="I720" s="127">
        <v>45162</v>
      </c>
      <c r="J720" s="124" t="s">
        <v>1009</v>
      </c>
      <c r="K720" s="124" t="s">
        <v>1530</v>
      </c>
      <c r="L720" s="124"/>
      <c r="M720" s="125">
        <v>8000000</v>
      </c>
      <c r="N720" s="148">
        <v>1520000</v>
      </c>
      <c r="O720" s="148">
        <v>0</v>
      </c>
      <c r="P720" s="149">
        <v>2.5000000000000001E-2</v>
      </c>
      <c r="Q720" s="148">
        <v>200000</v>
      </c>
      <c r="R720" s="150">
        <v>9320000</v>
      </c>
      <c r="S7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0" s="135">
        <f ca="1">+IF(PROVEEDORES[[#This Row],[FECHA DE PAGO]]=0,TODAY()-PROVEEDORES[[#This Row],[FECHA DE FACTURACIÓN]]-PROVEEDORES[[#This Row],[PLAZO Días]],0)</f>
        <v>0</v>
      </c>
      <c r="U720" s="135" t="str">
        <f>+VLOOKUP(PROVEEDORES[[#This Row],[PROVEEDOR]],Terceros!$A:$D,4,FALSE)</f>
        <v>2,5% con base</v>
      </c>
      <c r="V720" s="135">
        <f>+YEAR(PROVEEDORES[[#This Row],[FECHA DE FACTURACIÓN]])</f>
        <v>2023</v>
      </c>
      <c r="W720" s="135">
        <f>+MATCH(PROVEEDORES[[#This Row],[año facturado]],Retenciones!$1:$1,0)</f>
        <v>6</v>
      </c>
      <c r="X720" s="136">
        <f>+VLOOKUP(PROVEEDORES[[#This Row],[ID RETENCION]],Retenciones!$A$1:$O$25,PROVEEDORES[[#This Row],[indicador de columna]],FALSE)</f>
        <v>1145000</v>
      </c>
      <c r="Y720" s="137">
        <f>+VLOOKUP(PROVEEDORES[[#This Row],[ID RETENCION]],Retenciones!$A$1:$O$25,2,FALSE)</f>
        <v>2.5000000000000001E-2</v>
      </c>
      <c r="Z720" s="126" t="b">
        <f>+OR(COUNTIF(PROVEEDORES[[#This Row],[PROVEEDOR]],"*"&amp;'Palabra que no opera y Listas d'!$A$2&amp;"*"))</f>
        <v>0</v>
      </c>
    </row>
    <row r="721" spans="1:26" ht="27.75" customHeight="1" x14ac:dyDescent="0.25">
      <c r="A721" s="141" t="str">
        <f>+IF(PROVEEDORES[[#This Row],[FECHA DE PAGO]]=PROVEEDORES[[#This Row],[FECHA DE FACTURACIÓN]],"DE CONTADO","CRÉDITO")</f>
        <v>CRÉDITO</v>
      </c>
      <c r="B721" s="138" t="str">
        <f>+IF((PROVEEDORES[[#This Row],[FECHA DE PAGO]]-PROVEEDORES[[#This Row],[FECHA DE FACTURACIÓN]])&gt;PROVEEDORES[[#This Row],[PLAZO Días]],"PAGO VENCIDO")</f>
        <v>PAGO VENCIDO</v>
      </c>
      <c r="C721" s="138">
        <f>+VLOOKUP(PROVEEDORES[[#This Row],[PROVEEDOR]],TERCEROS_INFO[#All],2,FALSE)</f>
        <v>30</v>
      </c>
      <c r="D721" s="139">
        <f>+SUMIFS(PROVEEDORES[Total],PROVEEDORES[PROVEEDOR],PROVEEDORES[[#This Row],[PROVEEDOR]],PROVEEDORES[FECHA DE PAGO],"")</f>
        <v>1695707.16</v>
      </c>
      <c r="E721" s="140"/>
      <c r="F721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721" s="127">
        <v>45201</v>
      </c>
      <c r="H721" s="123" t="s">
        <v>194</v>
      </c>
      <c r="I721" s="127">
        <v>45164</v>
      </c>
      <c r="J721" s="124" t="s">
        <v>1006</v>
      </c>
      <c r="K721" s="124" t="s">
        <v>1530</v>
      </c>
      <c r="L721" s="124"/>
      <c r="M721" s="125">
        <v>6502674</v>
      </c>
      <c r="N721" s="148">
        <v>1235508.06</v>
      </c>
      <c r="O721" s="148">
        <v>0</v>
      </c>
      <c r="P721" s="149">
        <v>0</v>
      </c>
      <c r="Q721" s="148">
        <v>0</v>
      </c>
      <c r="R721" s="150">
        <v>7738182.0600000005</v>
      </c>
      <c r="S7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1" s="135">
        <f ca="1">+IF(PROVEEDORES[[#This Row],[FECHA DE PAGO]]=0,TODAY()-PROVEEDORES[[#This Row],[FECHA DE FACTURACIÓN]]-PROVEEDORES[[#This Row],[PLAZO Días]],0)</f>
        <v>0</v>
      </c>
      <c r="U721" s="135">
        <f>+VLOOKUP(PROVEEDORES[[#This Row],[PROVEEDOR]],Terceros!$A:$D,4,FALSE)</f>
        <v>0</v>
      </c>
      <c r="V721" s="135">
        <f>+YEAR(PROVEEDORES[[#This Row],[FECHA DE FACTURACIÓN]])</f>
        <v>2023</v>
      </c>
      <c r="W721" s="135">
        <f>+MATCH(PROVEEDORES[[#This Row],[año facturado]],Retenciones!$1:$1,0)</f>
        <v>6</v>
      </c>
      <c r="X721" s="136">
        <f>+VLOOKUP(PROVEEDORES[[#This Row],[ID RETENCION]],Retenciones!$A$1:$O$25,PROVEEDORES[[#This Row],[indicador de columna]],FALSE)</f>
        <v>0</v>
      </c>
      <c r="Y721" s="137">
        <f>+VLOOKUP(PROVEEDORES[[#This Row],[ID RETENCION]],Retenciones!$A$1:$O$25,2,FALSE)</f>
        <v>0</v>
      </c>
      <c r="Z721" s="126" t="b">
        <f>+OR(COUNTIF(PROVEEDORES[[#This Row],[PROVEEDOR]],"*"&amp;'Palabra que no opera y Listas d'!$A$2&amp;"*"))</f>
        <v>0</v>
      </c>
    </row>
    <row r="722" spans="1:26" ht="27.75" customHeight="1" x14ac:dyDescent="0.25">
      <c r="A722" s="141" t="str">
        <f>+IF(PROVEEDORES[[#This Row],[FECHA DE PAGO]]=PROVEEDORES[[#This Row],[FECHA DE FACTURACIÓN]],"DE CONTADO","CRÉDITO")</f>
        <v>CRÉDITO</v>
      </c>
      <c r="B722" s="138" t="str">
        <f>+IF((PROVEEDORES[[#This Row],[FECHA DE PAGO]]-PROVEEDORES[[#This Row],[FECHA DE FACTURACIÓN]])&gt;PROVEEDORES[[#This Row],[PLAZO Días]],"PAGO VENCIDO")</f>
        <v>PAGO VENCIDO</v>
      </c>
      <c r="C722" s="138">
        <f>+VLOOKUP(PROVEEDORES[[#This Row],[PROVEEDOR]],TERCEROS_INFO[#All],2,FALSE)</f>
        <v>30</v>
      </c>
      <c r="D722" s="139">
        <f>+SUMIFS(PROVEEDORES[Total],PROVEEDORES[PROVEEDOR],PROVEEDORES[[#This Row],[PROVEEDOR]],PROVEEDORES[FECHA DE PAGO],"")</f>
        <v>1695707.16</v>
      </c>
      <c r="E722" s="140"/>
      <c r="F722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722" s="127">
        <v>45201</v>
      </c>
      <c r="H722" s="123" t="s">
        <v>194</v>
      </c>
      <c r="I722" s="127">
        <v>45169</v>
      </c>
      <c r="J722" s="124" t="s">
        <v>1057</v>
      </c>
      <c r="K722" s="124" t="s">
        <v>1530</v>
      </c>
      <c r="L722" s="124"/>
      <c r="M722" s="125">
        <v>-1748011</v>
      </c>
      <c r="N722" s="148">
        <v>-332122.09000000003</v>
      </c>
      <c r="O722" s="148">
        <v>0</v>
      </c>
      <c r="P722" s="149">
        <v>0</v>
      </c>
      <c r="Q722" s="148">
        <v>0</v>
      </c>
      <c r="R722" s="150">
        <v>-2080133.09</v>
      </c>
      <c r="S7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2" s="135">
        <f ca="1">+IF(PROVEEDORES[[#This Row],[FECHA DE PAGO]]=0,TODAY()-PROVEEDORES[[#This Row],[FECHA DE FACTURACIÓN]]-PROVEEDORES[[#This Row],[PLAZO Días]],0)</f>
        <v>0</v>
      </c>
      <c r="U722" s="135">
        <f>+VLOOKUP(PROVEEDORES[[#This Row],[PROVEEDOR]],Terceros!$A:$D,4,FALSE)</f>
        <v>0</v>
      </c>
      <c r="V722" s="135">
        <f>+YEAR(PROVEEDORES[[#This Row],[FECHA DE FACTURACIÓN]])</f>
        <v>2023</v>
      </c>
      <c r="W722" s="135">
        <f>+MATCH(PROVEEDORES[[#This Row],[año facturado]],Retenciones!$1:$1,0)</f>
        <v>6</v>
      </c>
      <c r="X722" s="136">
        <f>+VLOOKUP(PROVEEDORES[[#This Row],[ID RETENCION]],Retenciones!$A$1:$O$25,PROVEEDORES[[#This Row],[indicador de columna]],FALSE)</f>
        <v>0</v>
      </c>
      <c r="Y722" s="137">
        <f>+VLOOKUP(PROVEEDORES[[#This Row],[ID RETENCION]],Retenciones!$A$1:$O$25,2,FALSE)</f>
        <v>0</v>
      </c>
      <c r="Z722" s="126" t="b">
        <f>+OR(COUNTIF(PROVEEDORES[[#This Row],[PROVEEDOR]],"*"&amp;'Palabra que no opera y Listas d'!$A$2&amp;"*"))</f>
        <v>0</v>
      </c>
    </row>
    <row r="723" spans="1:26" ht="27.75" customHeight="1" x14ac:dyDescent="0.25">
      <c r="A723" s="141" t="str">
        <f>+IF(PROVEEDORES[[#This Row],[FECHA DE PAGO]]=PROVEEDORES[[#This Row],[FECHA DE FACTURACIÓN]],"DE CONTADO","CRÉDITO")</f>
        <v>CRÉDITO</v>
      </c>
      <c r="B723" s="138" t="str">
        <f>+IF((PROVEEDORES[[#This Row],[FECHA DE PAGO]]-PROVEEDORES[[#This Row],[FECHA DE FACTURACIÓN]])&gt;PROVEEDORES[[#This Row],[PLAZO Días]],"PAGO VENCIDO")</f>
        <v>PAGO VENCIDO</v>
      </c>
      <c r="C723" s="138">
        <f>+VLOOKUP(PROVEEDORES[[#This Row],[PROVEEDOR]],TERCEROS_INFO[#All],2,FALSE)</f>
        <v>30</v>
      </c>
      <c r="D723" s="139">
        <f>+SUMIFS(PROVEEDORES[Total],PROVEEDORES[PROVEEDOR],PROVEEDORES[[#This Row],[PROVEEDOR]],PROVEEDORES[FECHA DE PAGO],"")</f>
        <v>4198834.75</v>
      </c>
      <c r="E723" s="140"/>
      <c r="F723" s="13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723" s="127">
        <v>45201</v>
      </c>
      <c r="H723" s="123" t="s">
        <v>422</v>
      </c>
      <c r="I723" s="127">
        <v>45170</v>
      </c>
      <c r="J723" s="124" t="s">
        <v>1066</v>
      </c>
      <c r="K723" s="124" t="s">
        <v>1530</v>
      </c>
      <c r="L723" s="124"/>
      <c r="M723" s="125">
        <v>1796000</v>
      </c>
      <c r="N723" s="148">
        <v>341240</v>
      </c>
      <c r="O723" s="148">
        <v>0</v>
      </c>
      <c r="P723" s="149">
        <v>2.5000000000000001E-2</v>
      </c>
      <c r="Q723" s="148">
        <v>44900</v>
      </c>
      <c r="R723" s="150">
        <v>2092340</v>
      </c>
      <c r="S7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3" s="135">
        <f ca="1">+IF(PROVEEDORES[[#This Row],[FECHA DE PAGO]]=0,TODAY()-PROVEEDORES[[#This Row],[FECHA DE FACTURACIÓN]]-PROVEEDORES[[#This Row],[PLAZO Días]],0)</f>
        <v>0</v>
      </c>
      <c r="U723" s="135" t="str">
        <f>+VLOOKUP(PROVEEDORES[[#This Row],[PROVEEDOR]],Terceros!$A:$D,4,FALSE)</f>
        <v>2,5% con base</v>
      </c>
      <c r="V723" s="135">
        <f>+YEAR(PROVEEDORES[[#This Row],[FECHA DE FACTURACIÓN]])</f>
        <v>2023</v>
      </c>
      <c r="W723" s="135">
        <f>+MATCH(PROVEEDORES[[#This Row],[año facturado]],Retenciones!$1:$1,0)</f>
        <v>6</v>
      </c>
      <c r="X723" s="136">
        <f>+VLOOKUP(PROVEEDORES[[#This Row],[ID RETENCION]],Retenciones!$A$1:$O$25,PROVEEDORES[[#This Row],[indicador de columna]],FALSE)</f>
        <v>1145000</v>
      </c>
      <c r="Y723" s="137">
        <f>+VLOOKUP(PROVEEDORES[[#This Row],[ID RETENCION]],Retenciones!$A$1:$O$25,2,FALSE)</f>
        <v>2.5000000000000001E-2</v>
      </c>
      <c r="Z723" s="126" t="b">
        <f>+OR(COUNTIF(PROVEEDORES[[#This Row],[PROVEEDOR]],"*"&amp;'Palabra que no opera y Listas d'!$A$2&amp;"*"))</f>
        <v>0</v>
      </c>
    </row>
    <row r="724" spans="1:26" ht="27.75" customHeight="1" x14ac:dyDescent="0.25">
      <c r="A724" s="141" t="str">
        <f>+IF(PROVEEDORES[[#This Row],[FECHA DE PAGO]]=PROVEEDORES[[#This Row],[FECHA DE FACTURACIÓN]],"DE CONTADO","CRÉDITO")</f>
        <v>DE CONTADO</v>
      </c>
      <c r="B724" s="138" t="b">
        <f>+IF((PROVEEDORES[[#This Row],[FECHA DE PAGO]]-PROVEEDORES[[#This Row],[FECHA DE FACTURACIÓN]])&gt;PROVEEDORES[[#This Row],[PLAZO Días]],"PAGO VENCIDO")</f>
        <v>0</v>
      </c>
      <c r="C724" s="138">
        <f>+VLOOKUP(PROVEEDORES[[#This Row],[PROVEEDOR]],TERCEROS_INFO[#All],2,FALSE)</f>
        <v>30</v>
      </c>
      <c r="D724" s="139">
        <f>+SUMIFS(PROVEEDORES[Total],PROVEEDORES[PROVEEDOR],PROVEEDORES[[#This Row],[PROVEEDOR]],PROVEEDORES[FECHA DE PAGO],"")</f>
        <v>0</v>
      </c>
      <c r="E724" s="140"/>
      <c r="F724" s="138" t="str">
        <f>+VLOOKUP(PROVEEDORES[[#This Row],[PROVEEDOR]],
                       Terceros!$A:$F,
                       5,
                       FALSE)</f>
        <v/>
      </c>
      <c r="G724" s="127">
        <v>45201</v>
      </c>
      <c r="H724" s="123" t="s">
        <v>525</v>
      </c>
      <c r="I724" s="127">
        <v>45201</v>
      </c>
      <c r="J724" s="124" t="s">
        <v>1119</v>
      </c>
      <c r="K724" s="124" t="s">
        <v>1530</v>
      </c>
      <c r="L724" s="124"/>
      <c r="M724" s="125">
        <v>150000</v>
      </c>
      <c r="N724" s="148">
        <v>0</v>
      </c>
      <c r="O724" s="148">
        <v>0</v>
      </c>
      <c r="P724" s="149">
        <v>0</v>
      </c>
      <c r="Q724" s="148">
        <v>0</v>
      </c>
      <c r="R724" s="150">
        <v>150000</v>
      </c>
      <c r="S7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4" s="135">
        <f ca="1">+IF(PROVEEDORES[[#This Row],[FECHA DE PAGO]]=0,TODAY()-PROVEEDORES[[#This Row],[FECHA DE FACTURACIÓN]]-PROVEEDORES[[#This Row],[PLAZO Días]],0)</f>
        <v>0</v>
      </c>
      <c r="U724" s="135">
        <f>+VLOOKUP(PROVEEDORES[[#This Row],[PROVEEDOR]],Terceros!$A:$D,4,FALSE)</f>
        <v>0</v>
      </c>
      <c r="V724" s="135">
        <f>+YEAR(PROVEEDORES[[#This Row],[FECHA DE FACTURACIÓN]])</f>
        <v>2023</v>
      </c>
      <c r="W724" s="135">
        <f>+MATCH(PROVEEDORES[[#This Row],[año facturado]],Retenciones!$1:$1,0)</f>
        <v>6</v>
      </c>
      <c r="X724" s="136">
        <f>+VLOOKUP(PROVEEDORES[[#This Row],[ID RETENCION]],Retenciones!$A$1:$O$25,PROVEEDORES[[#This Row],[indicador de columna]],FALSE)</f>
        <v>0</v>
      </c>
      <c r="Y724" s="137">
        <f>+VLOOKUP(PROVEEDORES[[#This Row],[ID RETENCION]],Retenciones!$A$1:$O$25,2,FALSE)</f>
        <v>0</v>
      </c>
      <c r="Z724" s="126" t="b">
        <f>+OR(COUNTIF(PROVEEDORES[[#This Row],[PROVEEDOR]],"*"&amp;'Palabra que no opera y Listas d'!$A$2&amp;"*"))</f>
        <v>0</v>
      </c>
    </row>
    <row r="725" spans="1:26" ht="27.75" customHeight="1" x14ac:dyDescent="0.25">
      <c r="A725" s="141" t="str">
        <f>+IF(PROVEEDORES[[#This Row],[FECHA DE PAGO]]=PROVEEDORES[[#This Row],[FECHA DE FACTURACIÓN]],"DE CONTADO","CRÉDITO")</f>
        <v>DE CONTADO</v>
      </c>
      <c r="B725" s="138" t="b">
        <f>+IF((PROVEEDORES[[#This Row],[FECHA DE PAGO]]-PROVEEDORES[[#This Row],[FECHA DE FACTURACIÓN]])&gt;PROVEEDORES[[#This Row],[PLAZO Días]],"PAGO VENCIDO")</f>
        <v>0</v>
      </c>
      <c r="C725" s="138">
        <f>+VLOOKUP(PROVEEDORES[[#This Row],[PROVEEDOR]],TERCEROS_INFO[#All],2,FALSE)</f>
        <v>30</v>
      </c>
      <c r="D725" s="139">
        <f>+SUMIFS(PROVEEDORES[Total],PROVEEDORES[PROVEEDOR],PROVEEDORES[[#This Row],[PROVEEDOR]],PROVEEDORES[FECHA DE PAGO],"")</f>
        <v>0</v>
      </c>
      <c r="E725" s="140"/>
      <c r="F725" s="138" t="str">
        <f>+VLOOKUP(PROVEEDORES[[#This Row],[PROVEEDOR]],
                       Terceros!$A:$F,
                       5,
                       FALSE)</f>
        <v/>
      </c>
      <c r="G725" s="127">
        <v>45201</v>
      </c>
      <c r="H725" s="123" t="s">
        <v>525</v>
      </c>
      <c r="I725" s="127">
        <v>45201</v>
      </c>
      <c r="J725" s="124" t="s">
        <v>1120</v>
      </c>
      <c r="K725" s="124" t="s">
        <v>1530</v>
      </c>
      <c r="L725" s="124"/>
      <c r="M725" s="125">
        <v>588000</v>
      </c>
      <c r="N725" s="148">
        <v>0</v>
      </c>
      <c r="O725" s="148">
        <v>0</v>
      </c>
      <c r="P725" s="149">
        <v>0</v>
      </c>
      <c r="Q725" s="148">
        <v>0</v>
      </c>
      <c r="R725" s="150">
        <v>588000</v>
      </c>
      <c r="S7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5" s="135">
        <f ca="1">+IF(PROVEEDORES[[#This Row],[FECHA DE PAGO]]=0,TODAY()-PROVEEDORES[[#This Row],[FECHA DE FACTURACIÓN]]-PROVEEDORES[[#This Row],[PLAZO Días]],0)</f>
        <v>0</v>
      </c>
      <c r="U725" s="135">
        <f>+VLOOKUP(PROVEEDORES[[#This Row],[PROVEEDOR]],Terceros!$A:$D,4,FALSE)</f>
        <v>0</v>
      </c>
      <c r="V725" s="135">
        <f>+YEAR(PROVEEDORES[[#This Row],[FECHA DE FACTURACIÓN]])</f>
        <v>2023</v>
      </c>
      <c r="W725" s="135">
        <f>+MATCH(PROVEEDORES[[#This Row],[año facturado]],Retenciones!$1:$1,0)</f>
        <v>6</v>
      </c>
      <c r="X725" s="136">
        <f>+VLOOKUP(PROVEEDORES[[#This Row],[ID RETENCION]],Retenciones!$A$1:$O$25,PROVEEDORES[[#This Row],[indicador de columna]],FALSE)</f>
        <v>0</v>
      </c>
      <c r="Y725" s="137">
        <f>+VLOOKUP(PROVEEDORES[[#This Row],[ID RETENCION]],Retenciones!$A$1:$O$25,2,FALSE)</f>
        <v>0</v>
      </c>
      <c r="Z725" s="126" t="b">
        <f>+OR(COUNTIF(PROVEEDORES[[#This Row],[PROVEEDOR]],"*"&amp;'Palabra que no opera y Listas d'!$A$2&amp;"*"))</f>
        <v>0</v>
      </c>
    </row>
    <row r="726" spans="1:26" ht="27.75" customHeight="1" x14ac:dyDescent="0.25">
      <c r="A726" s="141" t="str">
        <f>+IF(PROVEEDORES[[#This Row],[FECHA DE PAGO]]=PROVEEDORES[[#This Row],[FECHA DE FACTURACIÓN]],"DE CONTADO","CRÉDITO")</f>
        <v>DE CONTADO</v>
      </c>
      <c r="B726" s="138" t="b">
        <f>+IF((PROVEEDORES[[#This Row],[FECHA DE PAGO]]-PROVEEDORES[[#This Row],[FECHA DE FACTURACIÓN]])&gt;PROVEEDORES[[#This Row],[PLAZO Días]],"PAGO VENCIDO")</f>
        <v>0</v>
      </c>
      <c r="C726" s="138">
        <f>+VLOOKUP(PROVEEDORES[[#This Row],[PROVEEDOR]],TERCEROS_INFO[#All],2,FALSE)</f>
        <v>30</v>
      </c>
      <c r="D726" s="139">
        <f>+SUMIFS(PROVEEDORES[Total],PROVEEDORES[PROVEEDOR],PROVEEDORES[[#This Row],[PROVEEDOR]],PROVEEDORES[FECHA DE PAGO],"")</f>
        <v>0</v>
      </c>
      <c r="E726" s="140"/>
      <c r="F726" s="138" t="str">
        <f>+VLOOKUP(PROVEEDORES[[#This Row],[PROVEEDOR]],
                       Terceros!$A:$F,
                       5,
                       FALSE)</f>
        <v/>
      </c>
      <c r="G726" s="127">
        <v>45201</v>
      </c>
      <c r="H726" s="123" t="s">
        <v>1824</v>
      </c>
      <c r="I726" s="127">
        <v>45201</v>
      </c>
      <c r="J726" s="124"/>
      <c r="K726" s="124" t="s">
        <v>1530</v>
      </c>
      <c r="L726" s="124"/>
      <c r="M726" s="125">
        <v>1031000</v>
      </c>
      <c r="N726" s="148">
        <v>0</v>
      </c>
      <c r="O726" s="148">
        <v>0</v>
      </c>
      <c r="P726" s="149">
        <v>0</v>
      </c>
      <c r="Q726" s="148">
        <v>0</v>
      </c>
      <c r="R726" s="150">
        <v>1031000</v>
      </c>
      <c r="S7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6" s="135">
        <f ca="1">+IF(PROVEEDORES[[#This Row],[FECHA DE PAGO]]=0,TODAY()-PROVEEDORES[[#This Row],[FECHA DE FACTURACIÓN]]-PROVEEDORES[[#This Row],[PLAZO Días]],0)</f>
        <v>0</v>
      </c>
      <c r="U726" s="135">
        <f>+VLOOKUP(PROVEEDORES[[#This Row],[PROVEEDOR]],Terceros!$A:$D,4,FALSE)</f>
        <v>0</v>
      </c>
      <c r="V726" s="135">
        <f>+YEAR(PROVEEDORES[[#This Row],[FECHA DE FACTURACIÓN]])</f>
        <v>2023</v>
      </c>
      <c r="W726" s="135">
        <f>+MATCH(PROVEEDORES[[#This Row],[año facturado]],Retenciones!$1:$1,0)</f>
        <v>6</v>
      </c>
      <c r="X726" s="136">
        <f>+VLOOKUP(PROVEEDORES[[#This Row],[ID RETENCION]],Retenciones!$A$1:$O$25,PROVEEDORES[[#This Row],[indicador de columna]],FALSE)</f>
        <v>0</v>
      </c>
      <c r="Y726" s="137">
        <f>+VLOOKUP(PROVEEDORES[[#This Row],[ID RETENCION]],Retenciones!$A$1:$O$25,2,FALSE)</f>
        <v>0</v>
      </c>
      <c r="Z726" s="126" t="b">
        <f>+OR(COUNTIF(PROVEEDORES[[#This Row],[PROVEEDOR]],"*"&amp;'Palabra que no opera y Listas d'!$A$2&amp;"*"))</f>
        <v>0</v>
      </c>
    </row>
    <row r="727" spans="1:26" ht="27.75" customHeight="1" x14ac:dyDescent="0.25">
      <c r="A727" s="141" t="str">
        <f>+IF(PROVEEDORES[[#This Row],[FECHA DE PAGO]]=PROVEEDORES[[#This Row],[FECHA DE FACTURACIÓN]],"DE CONTADO","CRÉDITO")</f>
        <v>CRÉDITO</v>
      </c>
      <c r="B727" s="138" t="b">
        <f>+IF((PROVEEDORES[[#This Row],[FECHA DE PAGO]]-PROVEEDORES[[#This Row],[FECHA DE FACTURACIÓN]])&gt;PROVEEDORES[[#This Row],[PLAZO Días]],"PAGO VENCIDO")</f>
        <v>0</v>
      </c>
      <c r="C727" s="138">
        <f>+VLOOKUP(PROVEEDORES[[#This Row],[PROVEEDOR]],TERCEROS_INFO[#All],2,FALSE)</f>
        <v>30</v>
      </c>
      <c r="D727" s="139">
        <f>+SUMIFS(PROVEEDORES[Total],PROVEEDORES[PROVEEDOR],PROVEEDORES[[#This Row],[PROVEEDOR]],PROVEEDORES[FECHA DE PAGO],"")</f>
        <v>0</v>
      </c>
      <c r="E727" s="140"/>
      <c r="F727" s="138" t="str">
        <f>+VLOOKUP(PROVEEDORES[[#This Row],[PROVEEDOR]],
                       Terceros!$A:$F,
                       5,
                       FALSE)</f>
        <v/>
      </c>
      <c r="G727" s="127">
        <v>45202</v>
      </c>
      <c r="H727" s="123" t="s">
        <v>1803</v>
      </c>
      <c r="I727" s="127">
        <v>45201</v>
      </c>
      <c r="J727" s="124" t="s">
        <v>1157</v>
      </c>
      <c r="K727" s="124" t="s">
        <v>1530</v>
      </c>
      <c r="L727" s="124"/>
      <c r="M727" s="125">
        <v>1921000</v>
      </c>
      <c r="N727" s="148">
        <v>0</v>
      </c>
      <c r="O727" s="148">
        <v>0</v>
      </c>
      <c r="P727" s="149">
        <v>0</v>
      </c>
      <c r="Q727" s="148">
        <v>0</v>
      </c>
      <c r="R727" s="150">
        <v>1921000</v>
      </c>
      <c r="S7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7" s="135">
        <f ca="1">+IF(PROVEEDORES[[#This Row],[FECHA DE PAGO]]=0,TODAY()-PROVEEDORES[[#This Row],[FECHA DE FACTURACIÓN]]-PROVEEDORES[[#This Row],[PLAZO Días]],0)</f>
        <v>0</v>
      </c>
      <c r="U727" s="135">
        <f>+VLOOKUP(PROVEEDORES[[#This Row],[PROVEEDOR]],Terceros!$A:$D,4,FALSE)</f>
        <v>0</v>
      </c>
      <c r="V727" s="135">
        <f>+YEAR(PROVEEDORES[[#This Row],[FECHA DE FACTURACIÓN]])</f>
        <v>2023</v>
      </c>
      <c r="W727" s="135">
        <f>+MATCH(PROVEEDORES[[#This Row],[año facturado]],Retenciones!$1:$1,0)</f>
        <v>6</v>
      </c>
      <c r="X727" s="136">
        <f>+VLOOKUP(PROVEEDORES[[#This Row],[ID RETENCION]],Retenciones!$A$1:$O$25,PROVEEDORES[[#This Row],[indicador de columna]],FALSE)</f>
        <v>0</v>
      </c>
      <c r="Y727" s="137">
        <f>+VLOOKUP(PROVEEDORES[[#This Row],[ID RETENCION]],Retenciones!$A$1:$O$25,2,FALSE)</f>
        <v>0</v>
      </c>
      <c r="Z727" s="126" t="b">
        <f>+OR(COUNTIF(PROVEEDORES[[#This Row],[PROVEEDOR]],"*"&amp;'Palabra que no opera y Listas d'!$A$2&amp;"*"))</f>
        <v>0</v>
      </c>
    </row>
    <row r="728" spans="1:26" ht="27.75" customHeight="1" x14ac:dyDescent="0.25">
      <c r="A728" s="141" t="str">
        <f>+IF(PROVEEDORES[[#This Row],[FECHA DE PAGO]]=PROVEEDORES[[#This Row],[FECHA DE FACTURACIÓN]],"DE CONTADO","CRÉDITO")</f>
        <v>DE CONTADO</v>
      </c>
      <c r="B728" s="138" t="b">
        <f>+IF((PROVEEDORES[[#This Row],[FECHA DE PAGO]]-PROVEEDORES[[#This Row],[FECHA DE FACTURACIÓN]])&gt;PROVEEDORES[[#This Row],[PLAZO Días]],"PAGO VENCIDO")</f>
        <v>0</v>
      </c>
      <c r="C728" s="138">
        <f>+VLOOKUP(PROVEEDORES[[#This Row],[PROVEEDOR]],TERCEROS_INFO[#All],2,FALSE)</f>
        <v>30</v>
      </c>
      <c r="D728" s="139">
        <f>+SUMIFS(PROVEEDORES[Total],PROVEEDORES[PROVEEDOR],PROVEEDORES[[#This Row],[PROVEEDOR]],PROVEEDORES[FECHA DE PAGO],"")</f>
        <v>0</v>
      </c>
      <c r="E728" s="140"/>
      <c r="F728" s="138" t="str">
        <f>+VLOOKUP(PROVEEDORES[[#This Row],[PROVEEDOR]],
                       Terceros!$A:$F,
                       5,
                       FALSE)</f>
        <v/>
      </c>
      <c r="G728" s="127">
        <v>45202</v>
      </c>
      <c r="H728" s="123" t="s">
        <v>525</v>
      </c>
      <c r="I728" s="127">
        <v>45202</v>
      </c>
      <c r="J728" s="124" t="s">
        <v>1101</v>
      </c>
      <c r="K728" s="124" t="s">
        <v>1530</v>
      </c>
      <c r="L728" s="124"/>
      <c r="M728" s="125">
        <v>150000</v>
      </c>
      <c r="N728" s="148">
        <v>0</v>
      </c>
      <c r="O728" s="148">
        <v>0</v>
      </c>
      <c r="P728" s="149">
        <v>0</v>
      </c>
      <c r="Q728" s="148">
        <v>0</v>
      </c>
      <c r="R728" s="150">
        <v>150000</v>
      </c>
      <c r="S7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8" s="135">
        <f ca="1">+IF(PROVEEDORES[[#This Row],[FECHA DE PAGO]]=0,TODAY()-PROVEEDORES[[#This Row],[FECHA DE FACTURACIÓN]]-PROVEEDORES[[#This Row],[PLAZO Días]],0)</f>
        <v>0</v>
      </c>
      <c r="U728" s="135">
        <f>+VLOOKUP(PROVEEDORES[[#This Row],[PROVEEDOR]],Terceros!$A:$D,4,FALSE)</f>
        <v>0</v>
      </c>
      <c r="V728" s="135">
        <f>+YEAR(PROVEEDORES[[#This Row],[FECHA DE FACTURACIÓN]])</f>
        <v>2023</v>
      </c>
      <c r="W728" s="135">
        <f>+MATCH(PROVEEDORES[[#This Row],[año facturado]],Retenciones!$1:$1,0)</f>
        <v>6</v>
      </c>
      <c r="X728" s="136">
        <f>+VLOOKUP(PROVEEDORES[[#This Row],[ID RETENCION]],Retenciones!$A$1:$O$25,PROVEEDORES[[#This Row],[indicador de columna]],FALSE)</f>
        <v>0</v>
      </c>
      <c r="Y728" s="137">
        <f>+VLOOKUP(PROVEEDORES[[#This Row],[ID RETENCION]],Retenciones!$A$1:$O$25,2,FALSE)</f>
        <v>0</v>
      </c>
      <c r="Z728" s="126" t="b">
        <f>+OR(COUNTIF(PROVEEDORES[[#This Row],[PROVEEDOR]],"*"&amp;'Palabra que no opera y Listas d'!$A$2&amp;"*"))</f>
        <v>0</v>
      </c>
    </row>
    <row r="729" spans="1:26" ht="27.75" customHeight="1" x14ac:dyDescent="0.25">
      <c r="A729" s="141" t="str">
        <f>+IF(PROVEEDORES[[#This Row],[FECHA DE PAGO]]=PROVEEDORES[[#This Row],[FECHA DE FACTURACIÓN]],"DE CONTADO","CRÉDITO")</f>
        <v>DE CONTADO</v>
      </c>
      <c r="B729" s="138" t="b">
        <f>+IF((PROVEEDORES[[#This Row],[FECHA DE PAGO]]-PROVEEDORES[[#This Row],[FECHA DE FACTURACIÓN]])&gt;PROVEEDORES[[#This Row],[PLAZO Días]],"PAGO VENCIDO")</f>
        <v>0</v>
      </c>
      <c r="C729" s="138">
        <f>+VLOOKUP(PROVEEDORES[[#This Row],[PROVEEDOR]],TERCEROS_INFO[#All],2,FALSE)</f>
        <v>30</v>
      </c>
      <c r="D729" s="139">
        <f>+SUMIFS(PROVEEDORES[Total],PROVEEDORES[PROVEEDOR],PROVEEDORES[[#This Row],[PROVEEDOR]],PROVEEDORES[FECHA DE PAGO],"")</f>
        <v>0</v>
      </c>
      <c r="E729" s="140"/>
      <c r="F729" s="138" t="str">
        <f>+VLOOKUP(PROVEEDORES[[#This Row],[PROVEEDOR]],
                       Terceros!$A:$F,
                       5,
                       FALSE)</f>
        <v/>
      </c>
      <c r="G729" s="127">
        <v>45202</v>
      </c>
      <c r="H729" s="123" t="s">
        <v>525</v>
      </c>
      <c r="I729" s="127">
        <v>45202</v>
      </c>
      <c r="J729" s="124" t="s">
        <v>1121</v>
      </c>
      <c r="K729" s="124" t="s">
        <v>1530</v>
      </c>
      <c r="L729" s="124"/>
      <c r="M729" s="125">
        <v>210000</v>
      </c>
      <c r="N729" s="148">
        <v>0</v>
      </c>
      <c r="O729" s="148">
        <v>0</v>
      </c>
      <c r="P729" s="149">
        <v>0</v>
      </c>
      <c r="Q729" s="148">
        <v>0</v>
      </c>
      <c r="R729" s="150">
        <v>210000</v>
      </c>
      <c r="S7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29" s="135">
        <f ca="1">+IF(PROVEEDORES[[#This Row],[FECHA DE PAGO]]=0,TODAY()-PROVEEDORES[[#This Row],[FECHA DE FACTURACIÓN]]-PROVEEDORES[[#This Row],[PLAZO Días]],0)</f>
        <v>0</v>
      </c>
      <c r="U729" s="135">
        <f>+VLOOKUP(PROVEEDORES[[#This Row],[PROVEEDOR]],Terceros!$A:$D,4,FALSE)</f>
        <v>0</v>
      </c>
      <c r="V729" s="135">
        <f>+YEAR(PROVEEDORES[[#This Row],[FECHA DE FACTURACIÓN]])</f>
        <v>2023</v>
      </c>
      <c r="W729" s="135">
        <f>+MATCH(PROVEEDORES[[#This Row],[año facturado]],Retenciones!$1:$1,0)</f>
        <v>6</v>
      </c>
      <c r="X729" s="136">
        <f>+VLOOKUP(PROVEEDORES[[#This Row],[ID RETENCION]],Retenciones!$A$1:$O$25,PROVEEDORES[[#This Row],[indicador de columna]],FALSE)</f>
        <v>0</v>
      </c>
      <c r="Y729" s="137">
        <f>+VLOOKUP(PROVEEDORES[[#This Row],[ID RETENCION]],Retenciones!$A$1:$O$25,2,FALSE)</f>
        <v>0</v>
      </c>
      <c r="Z729" s="126" t="b">
        <f>+OR(COUNTIF(PROVEEDORES[[#This Row],[PROVEEDOR]],"*"&amp;'Palabra que no opera y Listas d'!$A$2&amp;"*"))</f>
        <v>0</v>
      </c>
    </row>
    <row r="730" spans="1:26" ht="27.75" customHeight="1" x14ac:dyDescent="0.25">
      <c r="A730" s="141" t="str">
        <f>+IF(PROVEEDORES[[#This Row],[FECHA DE PAGO]]=PROVEEDORES[[#This Row],[FECHA DE FACTURACIÓN]],"DE CONTADO","CRÉDITO")</f>
        <v>DE CONTADO</v>
      </c>
      <c r="B730" s="138" t="b">
        <f>+IF((PROVEEDORES[[#This Row],[FECHA DE PAGO]]-PROVEEDORES[[#This Row],[FECHA DE FACTURACIÓN]])&gt;PROVEEDORES[[#This Row],[PLAZO Días]],"PAGO VENCIDO")</f>
        <v>0</v>
      </c>
      <c r="C730" s="138">
        <f>+VLOOKUP(PROVEEDORES[[#This Row],[PROVEEDOR]],TERCEROS_INFO[#All],2,FALSE)</f>
        <v>30</v>
      </c>
      <c r="D730" s="139">
        <f>+SUMIFS(PROVEEDORES[Total],PROVEEDORES[PROVEEDOR],PROVEEDORES[[#This Row],[PROVEEDOR]],PROVEEDORES[FECHA DE PAGO],"")</f>
        <v>0</v>
      </c>
      <c r="E730" s="140"/>
      <c r="F730" s="138">
        <f>+VLOOKUP(PROVEEDORES[[#This Row],[PROVEEDOR]],
                       Terceros!$A:$F,
                       5,
                       FALSE)</f>
        <v>0</v>
      </c>
      <c r="G730" s="127">
        <v>45202</v>
      </c>
      <c r="H730" s="123" t="s">
        <v>836</v>
      </c>
      <c r="I730" s="127">
        <v>45202</v>
      </c>
      <c r="J730" s="124"/>
      <c r="K730" s="124" t="s">
        <v>1530</v>
      </c>
      <c r="L730" s="124"/>
      <c r="M730" s="125">
        <v>392000</v>
      </c>
      <c r="N730" s="148">
        <v>0</v>
      </c>
      <c r="O730" s="148">
        <v>0</v>
      </c>
      <c r="P730" s="149">
        <v>0</v>
      </c>
      <c r="Q730" s="148">
        <v>0</v>
      </c>
      <c r="R730" s="150">
        <v>392000</v>
      </c>
      <c r="S7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0" s="135">
        <f ca="1">+IF(PROVEEDORES[[#This Row],[FECHA DE PAGO]]=0,TODAY()-PROVEEDORES[[#This Row],[FECHA DE FACTURACIÓN]]-PROVEEDORES[[#This Row],[PLAZO Días]],0)</f>
        <v>0</v>
      </c>
      <c r="U730" s="135">
        <f>+VLOOKUP(PROVEEDORES[[#This Row],[PROVEEDOR]],Terceros!$A:$D,4,FALSE)</f>
        <v>0</v>
      </c>
      <c r="V730" s="135">
        <f>+YEAR(PROVEEDORES[[#This Row],[FECHA DE FACTURACIÓN]])</f>
        <v>2023</v>
      </c>
      <c r="W730" s="135">
        <f>+MATCH(PROVEEDORES[[#This Row],[año facturado]],Retenciones!$1:$1,0)</f>
        <v>6</v>
      </c>
      <c r="X730" s="136">
        <f>+VLOOKUP(PROVEEDORES[[#This Row],[ID RETENCION]],Retenciones!$A$1:$O$25,PROVEEDORES[[#This Row],[indicador de columna]],FALSE)</f>
        <v>0</v>
      </c>
      <c r="Y730" s="137">
        <f>+VLOOKUP(PROVEEDORES[[#This Row],[ID RETENCION]],Retenciones!$A$1:$O$25,2,FALSE)</f>
        <v>0</v>
      </c>
      <c r="Z730" s="126" t="b">
        <f>+OR(COUNTIF(PROVEEDORES[[#This Row],[PROVEEDOR]],"*"&amp;'Palabra que no opera y Listas d'!$A$2&amp;"*"))</f>
        <v>0</v>
      </c>
    </row>
    <row r="731" spans="1:26" ht="27.75" customHeight="1" x14ac:dyDescent="0.25">
      <c r="A731" s="141" t="str">
        <f>+IF(PROVEEDORES[[#This Row],[FECHA DE PAGO]]=PROVEEDORES[[#This Row],[FECHA DE FACTURACIÓN]],"DE CONTADO","CRÉDITO")</f>
        <v>CRÉDITO</v>
      </c>
      <c r="B731" s="138" t="str">
        <f>+IF((PROVEEDORES[[#This Row],[FECHA DE PAGO]]-PROVEEDORES[[#This Row],[FECHA DE FACTURACIÓN]])&gt;PROVEEDORES[[#This Row],[PLAZO Días]],"PAGO VENCIDO")</f>
        <v>PAGO VENCIDO</v>
      </c>
      <c r="C731" s="138">
        <f>+VLOOKUP(PROVEEDORES[[#This Row],[PROVEEDOR]],TERCEROS_INFO[#All],2,FALSE)</f>
        <v>30</v>
      </c>
      <c r="D731" s="139">
        <f>+SUMIFS(PROVEEDORES[Total],PROVEEDORES[PROVEEDOR],PROVEEDORES[[#This Row],[PROVEEDOR]],PROVEEDORES[FECHA DE PAGO],"")</f>
        <v>0</v>
      </c>
      <c r="E731" s="140"/>
      <c r="F731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731" s="127">
        <v>45203</v>
      </c>
      <c r="H731" s="123" t="s">
        <v>360</v>
      </c>
      <c r="I731" s="127">
        <v>45126</v>
      </c>
      <c r="J731" s="124" t="s">
        <v>936</v>
      </c>
      <c r="K731" s="124" t="s">
        <v>1530</v>
      </c>
      <c r="L731" s="124"/>
      <c r="M731" s="125">
        <v>4343040</v>
      </c>
      <c r="N731" s="148">
        <v>825177.59999999998</v>
      </c>
      <c r="O731" s="148">
        <v>0</v>
      </c>
      <c r="P731" s="149">
        <v>0</v>
      </c>
      <c r="Q731" s="148">
        <v>0</v>
      </c>
      <c r="R731" s="150">
        <v>5168217.5999999996</v>
      </c>
      <c r="S7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1" s="135">
        <f ca="1">+IF(PROVEEDORES[[#This Row],[FECHA DE PAGO]]=0,TODAY()-PROVEEDORES[[#This Row],[FECHA DE FACTURACIÓN]]-PROVEEDORES[[#This Row],[PLAZO Días]],0)</f>
        <v>0</v>
      </c>
      <c r="U731" s="135">
        <f>+VLOOKUP(PROVEEDORES[[#This Row],[PROVEEDOR]],Terceros!$A:$D,4,FALSE)</f>
        <v>0</v>
      </c>
      <c r="V731" s="135">
        <f>+YEAR(PROVEEDORES[[#This Row],[FECHA DE FACTURACIÓN]])</f>
        <v>2023</v>
      </c>
      <c r="W731" s="135">
        <f>+MATCH(PROVEEDORES[[#This Row],[año facturado]],Retenciones!$1:$1,0)</f>
        <v>6</v>
      </c>
      <c r="X731" s="136">
        <f>+VLOOKUP(PROVEEDORES[[#This Row],[ID RETENCION]],Retenciones!$A$1:$O$25,PROVEEDORES[[#This Row],[indicador de columna]],FALSE)</f>
        <v>0</v>
      </c>
      <c r="Y731" s="137">
        <f>+VLOOKUP(PROVEEDORES[[#This Row],[ID RETENCION]],Retenciones!$A$1:$O$25,2,FALSE)</f>
        <v>0</v>
      </c>
      <c r="Z731" s="126" t="b">
        <f>+OR(COUNTIF(PROVEEDORES[[#This Row],[PROVEEDOR]],"*"&amp;'Palabra que no opera y Listas d'!$A$2&amp;"*"))</f>
        <v>1</v>
      </c>
    </row>
    <row r="732" spans="1:26" ht="27.75" customHeight="1" x14ac:dyDescent="0.25">
      <c r="A732" s="141" t="str">
        <f>+IF(PROVEEDORES[[#This Row],[FECHA DE PAGO]]=PROVEEDORES[[#This Row],[FECHA DE FACTURACIÓN]],"DE CONTADO","CRÉDITO")</f>
        <v>CRÉDITO</v>
      </c>
      <c r="B732" s="138" t="str">
        <f>+IF((PROVEEDORES[[#This Row],[FECHA DE PAGO]]-PROVEEDORES[[#This Row],[FECHA DE FACTURACIÓN]])&gt;PROVEEDORES[[#This Row],[PLAZO Días]],"PAGO VENCIDO")</f>
        <v>PAGO VENCIDO</v>
      </c>
      <c r="C732" s="138">
        <f>+VLOOKUP(PROVEEDORES[[#This Row],[PROVEEDOR]],TERCEROS_INFO[#All],2,FALSE)</f>
        <v>30</v>
      </c>
      <c r="D732" s="139">
        <f>+SUMIFS(PROVEEDORES[Total],PROVEEDORES[PROVEEDOR],PROVEEDORES[[#This Row],[PROVEEDOR]],PROVEEDORES[FECHA DE PAGO],"")</f>
        <v>0</v>
      </c>
      <c r="E732" s="140"/>
      <c r="F732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732" s="127">
        <v>45203</v>
      </c>
      <c r="H732" s="123" t="s">
        <v>360</v>
      </c>
      <c r="I732" s="127">
        <v>45134</v>
      </c>
      <c r="J732" s="124" t="s">
        <v>953</v>
      </c>
      <c r="K732" s="124" t="s">
        <v>1530</v>
      </c>
      <c r="L732" s="124"/>
      <c r="M732" s="125">
        <v>2187560</v>
      </c>
      <c r="N732" s="148">
        <v>415636.4</v>
      </c>
      <c r="O732" s="148">
        <v>0</v>
      </c>
      <c r="P732" s="149">
        <v>0</v>
      </c>
      <c r="Q732" s="148">
        <v>0</v>
      </c>
      <c r="R732" s="150">
        <v>2603196.4</v>
      </c>
      <c r="S7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2" s="135">
        <f ca="1">+IF(PROVEEDORES[[#This Row],[FECHA DE PAGO]]=0,TODAY()-PROVEEDORES[[#This Row],[FECHA DE FACTURACIÓN]]-PROVEEDORES[[#This Row],[PLAZO Días]],0)</f>
        <v>0</v>
      </c>
      <c r="U732" s="135">
        <f>+VLOOKUP(PROVEEDORES[[#This Row],[PROVEEDOR]],Terceros!$A:$D,4,FALSE)</f>
        <v>0</v>
      </c>
      <c r="V732" s="135">
        <f>+YEAR(PROVEEDORES[[#This Row],[FECHA DE FACTURACIÓN]])</f>
        <v>2023</v>
      </c>
      <c r="W732" s="135">
        <f>+MATCH(PROVEEDORES[[#This Row],[año facturado]],Retenciones!$1:$1,0)</f>
        <v>6</v>
      </c>
      <c r="X732" s="136">
        <f>+VLOOKUP(PROVEEDORES[[#This Row],[ID RETENCION]],Retenciones!$A$1:$O$25,PROVEEDORES[[#This Row],[indicador de columna]],FALSE)</f>
        <v>0</v>
      </c>
      <c r="Y732" s="137">
        <f>+VLOOKUP(PROVEEDORES[[#This Row],[ID RETENCION]],Retenciones!$A$1:$O$25,2,FALSE)</f>
        <v>0</v>
      </c>
      <c r="Z732" s="126" t="b">
        <f>+OR(COUNTIF(PROVEEDORES[[#This Row],[PROVEEDOR]],"*"&amp;'Palabra que no opera y Listas d'!$A$2&amp;"*"))</f>
        <v>1</v>
      </c>
    </row>
    <row r="733" spans="1:26" ht="27.75" customHeight="1" x14ac:dyDescent="0.25">
      <c r="A733" s="141" t="str">
        <f>+IF(PROVEEDORES[[#This Row],[FECHA DE PAGO]]=PROVEEDORES[[#This Row],[FECHA DE FACTURACIÓN]],"DE CONTADO","CRÉDITO")</f>
        <v>CRÉDITO</v>
      </c>
      <c r="B733" s="138" t="str">
        <f>+IF((PROVEEDORES[[#This Row],[FECHA DE PAGO]]-PROVEEDORES[[#This Row],[FECHA DE FACTURACIÓN]])&gt;PROVEEDORES[[#This Row],[PLAZO Días]],"PAGO VENCIDO")</f>
        <v>PAGO VENCIDO</v>
      </c>
      <c r="C733" s="138">
        <f>+VLOOKUP(PROVEEDORES[[#This Row],[PROVEEDOR]],TERCEROS_INFO[#All],2,FALSE)</f>
        <v>30</v>
      </c>
      <c r="D733" s="139">
        <f>+SUMIFS(PROVEEDORES[Total],PROVEEDORES[PROVEEDOR],PROVEEDORES[[#This Row],[PROVEEDOR]],PROVEEDORES[FECHA DE PAGO],"")</f>
        <v>0</v>
      </c>
      <c r="E733" s="140"/>
      <c r="F733" s="13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733" s="127">
        <v>45203</v>
      </c>
      <c r="H733" s="123" t="s">
        <v>1729</v>
      </c>
      <c r="I733" s="127">
        <v>45145</v>
      </c>
      <c r="J733" s="124">
        <v>90105</v>
      </c>
      <c r="K733" s="124" t="s">
        <v>1530</v>
      </c>
      <c r="L733" s="124"/>
      <c r="M733" s="125">
        <v>2208124.6799999997</v>
      </c>
      <c r="N733" s="148">
        <v>0</v>
      </c>
      <c r="O733" s="148">
        <v>0</v>
      </c>
      <c r="P733" s="149">
        <v>0</v>
      </c>
      <c r="Q733" s="148">
        <v>0</v>
      </c>
      <c r="R733" s="150">
        <v>2208124.6799999997</v>
      </c>
      <c r="S7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3" s="135">
        <f ca="1">+IF(PROVEEDORES[[#This Row],[FECHA DE PAGO]]=0,TODAY()-PROVEEDORES[[#This Row],[FECHA DE FACTURACIÓN]]-PROVEEDORES[[#This Row],[PLAZO Días]],0)</f>
        <v>0</v>
      </c>
      <c r="U733" s="135">
        <f>+VLOOKUP(PROVEEDORES[[#This Row],[PROVEEDOR]],Terceros!$A:$D,4,FALSE)</f>
        <v>0</v>
      </c>
      <c r="V733" s="135">
        <f>+YEAR(PROVEEDORES[[#This Row],[FECHA DE FACTURACIÓN]])</f>
        <v>2023</v>
      </c>
      <c r="W733" s="135">
        <f>+MATCH(PROVEEDORES[[#This Row],[año facturado]],Retenciones!$1:$1,0)</f>
        <v>6</v>
      </c>
      <c r="X733" s="136">
        <f>+VLOOKUP(PROVEEDORES[[#This Row],[ID RETENCION]],Retenciones!$A$1:$O$25,PROVEEDORES[[#This Row],[indicador de columna]],FALSE)</f>
        <v>0</v>
      </c>
      <c r="Y733" s="137">
        <f>+VLOOKUP(PROVEEDORES[[#This Row],[ID RETENCION]],Retenciones!$A$1:$O$25,2,FALSE)</f>
        <v>0</v>
      </c>
      <c r="Z733" s="126" t="b">
        <f>+OR(COUNTIF(PROVEEDORES[[#This Row],[PROVEEDOR]],"*"&amp;'Palabra que no opera y Listas d'!$A$2&amp;"*"))</f>
        <v>0</v>
      </c>
    </row>
    <row r="734" spans="1:26" ht="27.75" customHeight="1" x14ac:dyDescent="0.25">
      <c r="A734" s="141" t="str">
        <f>+IF(PROVEEDORES[[#This Row],[FECHA DE PAGO]]=PROVEEDORES[[#This Row],[FECHA DE FACTURACIÓN]],"DE CONTADO","CRÉDITO")</f>
        <v>CRÉDITO</v>
      </c>
      <c r="B734" s="138" t="str">
        <f>+IF((PROVEEDORES[[#This Row],[FECHA DE PAGO]]-PROVEEDORES[[#This Row],[FECHA DE FACTURACIÓN]])&gt;PROVEEDORES[[#This Row],[PLAZO Días]],"PAGO VENCIDO")</f>
        <v>PAGO VENCIDO</v>
      </c>
      <c r="C734" s="138">
        <f>+VLOOKUP(PROVEEDORES[[#This Row],[PROVEEDOR]],TERCEROS_INFO[#All],2,FALSE)</f>
        <v>30</v>
      </c>
      <c r="D734" s="139">
        <f>+SUMIFS(PROVEEDORES[Total],PROVEEDORES[PROVEEDOR],PROVEEDORES[[#This Row],[PROVEEDOR]],PROVEEDORES[FECHA DE PAGO],"")</f>
        <v>0</v>
      </c>
      <c r="E734" s="140"/>
      <c r="F734" s="13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734" s="127">
        <v>45203</v>
      </c>
      <c r="H734" s="123" t="s">
        <v>1729</v>
      </c>
      <c r="I734" s="127">
        <v>45147</v>
      </c>
      <c r="J734" s="124">
        <v>90276</v>
      </c>
      <c r="K734" s="124" t="s">
        <v>1530</v>
      </c>
      <c r="L734" s="124"/>
      <c r="M734" s="125">
        <v>3715930</v>
      </c>
      <c r="N734" s="148">
        <v>0</v>
      </c>
      <c r="O734" s="148">
        <v>0</v>
      </c>
      <c r="P734" s="149">
        <v>0</v>
      </c>
      <c r="Q734" s="148">
        <v>0</v>
      </c>
      <c r="R734" s="150">
        <v>3715930</v>
      </c>
      <c r="S7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4" s="135">
        <f ca="1">+IF(PROVEEDORES[[#This Row],[FECHA DE PAGO]]=0,TODAY()-PROVEEDORES[[#This Row],[FECHA DE FACTURACIÓN]]-PROVEEDORES[[#This Row],[PLAZO Días]],0)</f>
        <v>0</v>
      </c>
      <c r="U734" s="135">
        <f>+VLOOKUP(PROVEEDORES[[#This Row],[PROVEEDOR]],Terceros!$A:$D,4,FALSE)</f>
        <v>0</v>
      </c>
      <c r="V734" s="135">
        <f>+YEAR(PROVEEDORES[[#This Row],[FECHA DE FACTURACIÓN]])</f>
        <v>2023</v>
      </c>
      <c r="W734" s="135">
        <f>+MATCH(PROVEEDORES[[#This Row],[año facturado]],Retenciones!$1:$1,0)</f>
        <v>6</v>
      </c>
      <c r="X734" s="136">
        <f>+VLOOKUP(PROVEEDORES[[#This Row],[ID RETENCION]],Retenciones!$A$1:$O$25,PROVEEDORES[[#This Row],[indicador de columna]],FALSE)</f>
        <v>0</v>
      </c>
      <c r="Y734" s="137">
        <f>+VLOOKUP(PROVEEDORES[[#This Row],[ID RETENCION]],Retenciones!$A$1:$O$25,2,FALSE)</f>
        <v>0</v>
      </c>
      <c r="Z734" s="126" t="b">
        <f>+OR(COUNTIF(PROVEEDORES[[#This Row],[PROVEEDOR]],"*"&amp;'Palabra que no opera y Listas d'!$A$2&amp;"*"))</f>
        <v>0</v>
      </c>
    </row>
    <row r="735" spans="1:26" ht="27.75" customHeight="1" x14ac:dyDescent="0.25">
      <c r="A735" s="141" t="str">
        <f>+IF(PROVEEDORES[[#This Row],[FECHA DE PAGO]]=PROVEEDORES[[#This Row],[FECHA DE FACTURACIÓN]],"DE CONTADO","CRÉDITO")</f>
        <v>CRÉDITO</v>
      </c>
      <c r="B735" s="138" t="str">
        <f>+IF((PROVEEDORES[[#This Row],[FECHA DE PAGO]]-PROVEEDORES[[#This Row],[FECHA DE FACTURACIÓN]])&gt;PROVEEDORES[[#This Row],[PLAZO Días]],"PAGO VENCIDO")</f>
        <v>PAGO VENCIDO</v>
      </c>
      <c r="C735" s="138">
        <f>+VLOOKUP(PROVEEDORES[[#This Row],[PROVEEDOR]],TERCEROS_INFO[#All],2,FALSE)</f>
        <v>30</v>
      </c>
      <c r="D735" s="139">
        <f>+SUMIFS(PROVEEDORES[Total],PROVEEDORES[PROVEEDOR],PROVEEDORES[[#This Row],[PROVEEDOR]],PROVEEDORES[FECHA DE PAGO],"")</f>
        <v>0</v>
      </c>
      <c r="E735" s="140"/>
      <c r="F735" s="13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735" s="127">
        <v>45203</v>
      </c>
      <c r="H735" s="123" t="s">
        <v>1729</v>
      </c>
      <c r="I735" s="127">
        <v>45147</v>
      </c>
      <c r="J735" s="124">
        <v>90700</v>
      </c>
      <c r="K735" s="124" t="s">
        <v>1530</v>
      </c>
      <c r="L735" s="124"/>
      <c r="M735" s="125">
        <v>3433190.84</v>
      </c>
      <c r="N735" s="148">
        <v>0</v>
      </c>
      <c r="O735" s="148">
        <v>0</v>
      </c>
      <c r="P735" s="149">
        <v>0</v>
      </c>
      <c r="Q735" s="148">
        <v>0</v>
      </c>
      <c r="R735" s="150">
        <v>3433190.84</v>
      </c>
      <c r="S7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5" s="135">
        <f ca="1">+IF(PROVEEDORES[[#This Row],[FECHA DE PAGO]]=0,TODAY()-PROVEEDORES[[#This Row],[FECHA DE FACTURACIÓN]]-PROVEEDORES[[#This Row],[PLAZO Días]],0)</f>
        <v>0</v>
      </c>
      <c r="U735" s="135">
        <f>+VLOOKUP(PROVEEDORES[[#This Row],[PROVEEDOR]],Terceros!$A:$D,4,FALSE)</f>
        <v>0</v>
      </c>
      <c r="V735" s="135">
        <f>+YEAR(PROVEEDORES[[#This Row],[FECHA DE FACTURACIÓN]])</f>
        <v>2023</v>
      </c>
      <c r="W735" s="135">
        <f>+MATCH(PROVEEDORES[[#This Row],[año facturado]],Retenciones!$1:$1,0)</f>
        <v>6</v>
      </c>
      <c r="X735" s="136">
        <f>+VLOOKUP(PROVEEDORES[[#This Row],[ID RETENCION]],Retenciones!$A$1:$O$25,PROVEEDORES[[#This Row],[indicador de columna]],FALSE)</f>
        <v>0</v>
      </c>
      <c r="Y735" s="137">
        <f>+VLOOKUP(PROVEEDORES[[#This Row],[ID RETENCION]],Retenciones!$A$1:$O$25,2,FALSE)</f>
        <v>0</v>
      </c>
      <c r="Z735" s="126" t="b">
        <f>+OR(COUNTIF(PROVEEDORES[[#This Row],[PROVEEDOR]],"*"&amp;'Palabra que no opera y Listas d'!$A$2&amp;"*"))</f>
        <v>0</v>
      </c>
    </row>
    <row r="736" spans="1:26" ht="27.75" customHeight="1" x14ac:dyDescent="0.25">
      <c r="A736" s="141" t="str">
        <f>+IF(PROVEEDORES[[#This Row],[FECHA DE PAGO]]=PROVEEDORES[[#This Row],[FECHA DE FACTURACIÓN]],"DE CONTADO","CRÉDITO")</f>
        <v>CRÉDITO</v>
      </c>
      <c r="B736" s="138" t="b">
        <f>+IF((PROVEEDORES[[#This Row],[FECHA DE PAGO]]-PROVEEDORES[[#This Row],[FECHA DE FACTURACIÓN]])&gt;PROVEEDORES[[#This Row],[PLAZO Días]],"PAGO VENCIDO")</f>
        <v>0</v>
      </c>
      <c r="C736" s="138">
        <f>+VLOOKUP(PROVEEDORES[[#This Row],[PROVEEDOR]],TERCEROS_INFO[#All],2,FALSE)</f>
        <v>30</v>
      </c>
      <c r="D736" s="139">
        <f>+SUMIFS(PROVEEDORES[Total],PROVEEDORES[PROVEEDOR],PROVEEDORES[[#This Row],[PROVEEDOR]],PROVEEDORES[FECHA DE PAGO],"")</f>
        <v>0</v>
      </c>
      <c r="E736" s="140"/>
      <c r="F736" s="138">
        <f>+VLOOKUP(PROVEEDORES[[#This Row],[PROVEEDOR]],
                       Terceros!$A:$F,
                       5,
                       FALSE)</f>
        <v>0</v>
      </c>
      <c r="G736" s="127">
        <v>45203</v>
      </c>
      <c r="H736" s="123" t="s">
        <v>387</v>
      </c>
      <c r="I736" s="127">
        <v>45200</v>
      </c>
      <c r="J736" s="124" t="s">
        <v>441</v>
      </c>
      <c r="K736" s="124" t="s">
        <v>1530</v>
      </c>
      <c r="L736" s="124"/>
      <c r="M736" s="125">
        <v>129083</v>
      </c>
      <c r="N736" s="148">
        <v>0</v>
      </c>
      <c r="O736" s="148">
        <v>0</v>
      </c>
      <c r="P736" s="149">
        <v>0</v>
      </c>
      <c r="Q736" s="148">
        <v>0</v>
      </c>
      <c r="R736" s="150">
        <v>129083</v>
      </c>
      <c r="S7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6" s="135">
        <f ca="1">+IF(PROVEEDORES[[#This Row],[FECHA DE PAGO]]=0,TODAY()-PROVEEDORES[[#This Row],[FECHA DE FACTURACIÓN]]-PROVEEDORES[[#This Row],[PLAZO Días]],0)</f>
        <v>0</v>
      </c>
      <c r="U736" s="135">
        <f>+VLOOKUP(PROVEEDORES[[#This Row],[PROVEEDOR]],Terceros!$A:$D,4,FALSE)</f>
        <v>0</v>
      </c>
      <c r="V736" s="135">
        <f>+YEAR(PROVEEDORES[[#This Row],[FECHA DE FACTURACIÓN]])</f>
        <v>2023</v>
      </c>
      <c r="W736" s="135">
        <f>+MATCH(PROVEEDORES[[#This Row],[año facturado]],Retenciones!$1:$1,0)</f>
        <v>6</v>
      </c>
      <c r="X736" s="136">
        <f>+VLOOKUP(PROVEEDORES[[#This Row],[ID RETENCION]],Retenciones!$A$1:$O$25,PROVEEDORES[[#This Row],[indicador de columna]],FALSE)</f>
        <v>0</v>
      </c>
      <c r="Y736" s="137">
        <f>+VLOOKUP(PROVEEDORES[[#This Row],[ID RETENCION]],Retenciones!$A$1:$O$25,2,FALSE)</f>
        <v>0</v>
      </c>
      <c r="Z736" s="126" t="b">
        <f>+OR(COUNTIF(PROVEEDORES[[#This Row],[PROVEEDOR]],"*"&amp;'Palabra que no opera y Listas d'!$A$2&amp;"*"))</f>
        <v>1</v>
      </c>
    </row>
    <row r="737" spans="1:26" ht="27.75" customHeight="1" x14ac:dyDescent="0.25">
      <c r="A737" s="141" t="str">
        <f>+IF(PROVEEDORES[[#This Row],[FECHA DE PAGO]]=PROVEEDORES[[#This Row],[FECHA DE FACTURACIÓN]],"DE CONTADO","CRÉDITO")</f>
        <v>DE CONTADO</v>
      </c>
      <c r="B737" s="138" t="b">
        <f>+IF((PROVEEDORES[[#This Row],[FECHA DE PAGO]]-PROVEEDORES[[#This Row],[FECHA DE FACTURACIÓN]])&gt;PROVEEDORES[[#This Row],[PLAZO Días]],"PAGO VENCIDO")</f>
        <v>0</v>
      </c>
      <c r="C737" s="138">
        <f>+VLOOKUP(PROVEEDORES[[#This Row],[PROVEEDOR]],TERCEROS_INFO[#All],2,FALSE)</f>
        <v>30</v>
      </c>
      <c r="D737" s="139">
        <f>+SUMIFS(PROVEEDORES[Total],PROVEEDORES[PROVEEDOR],PROVEEDORES[[#This Row],[PROVEEDOR]],PROVEEDORES[FECHA DE PAGO],"")</f>
        <v>0</v>
      </c>
      <c r="E737" s="140"/>
      <c r="F737" s="138">
        <f>+VLOOKUP(PROVEEDORES[[#This Row],[PROVEEDOR]],
                       Terceros!$A:$F,
                       5,
                       FALSE)</f>
        <v>0</v>
      </c>
      <c r="G737" s="127">
        <v>45203</v>
      </c>
      <c r="H737" s="123" t="s">
        <v>1122</v>
      </c>
      <c r="I737" s="127">
        <v>45203</v>
      </c>
      <c r="J737" s="124" t="s">
        <v>1123</v>
      </c>
      <c r="K737" s="124" t="s">
        <v>1530</v>
      </c>
      <c r="L737" s="124"/>
      <c r="M737" s="125">
        <v>833450</v>
      </c>
      <c r="N737" s="148">
        <v>0</v>
      </c>
      <c r="O737" s="148">
        <v>0</v>
      </c>
      <c r="P737" s="149">
        <v>0</v>
      </c>
      <c r="Q737" s="148">
        <v>0</v>
      </c>
      <c r="R737" s="150">
        <v>833450</v>
      </c>
      <c r="S7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7" s="135">
        <f ca="1">+IF(PROVEEDORES[[#This Row],[FECHA DE PAGO]]=0,TODAY()-PROVEEDORES[[#This Row],[FECHA DE FACTURACIÓN]]-PROVEEDORES[[#This Row],[PLAZO Días]],0)</f>
        <v>0</v>
      </c>
      <c r="U737" s="135">
        <f>+VLOOKUP(PROVEEDORES[[#This Row],[PROVEEDOR]],Terceros!$A:$D,4,FALSE)</f>
        <v>0</v>
      </c>
      <c r="V737" s="135">
        <f>+YEAR(PROVEEDORES[[#This Row],[FECHA DE FACTURACIÓN]])</f>
        <v>2023</v>
      </c>
      <c r="W737" s="135">
        <f>+MATCH(PROVEEDORES[[#This Row],[año facturado]],Retenciones!$1:$1,0)</f>
        <v>6</v>
      </c>
      <c r="X737" s="136">
        <f>+VLOOKUP(PROVEEDORES[[#This Row],[ID RETENCION]],Retenciones!$A$1:$O$25,PROVEEDORES[[#This Row],[indicador de columna]],FALSE)</f>
        <v>0</v>
      </c>
      <c r="Y737" s="137">
        <f>+VLOOKUP(PROVEEDORES[[#This Row],[ID RETENCION]],Retenciones!$A$1:$O$25,2,FALSE)</f>
        <v>0</v>
      </c>
      <c r="Z737" s="126" t="b">
        <f>+OR(COUNTIF(PROVEEDORES[[#This Row],[PROVEEDOR]],"*"&amp;'Palabra que no opera y Listas d'!$A$2&amp;"*"))</f>
        <v>0</v>
      </c>
    </row>
    <row r="738" spans="1:26" ht="27.75" customHeight="1" x14ac:dyDescent="0.25">
      <c r="A738" s="141" t="str">
        <f>+IF(PROVEEDORES[[#This Row],[FECHA DE PAGO]]=PROVEEDORES[[#This Row],[FECHA DE FACTURACIÓN]],"DE CONTADO","CRÉDITO")</f>
        <v>CRÉDITO</v>
      </c>
      <c r="B738" s="138" t="b">
        <f>+IF((PROVEEDORES[[#This Row],[FECHA DE PAGO]]-PROVEEDORES[[#This Row],[FECHA DE FACTURACIÓN]])&gt;PROVEEDORES[[#This Row],[PLAZO Días]],"PAGO VENCIDO")</f>
        <v>0</v>
      </c>
      <c r="C738" s="138">
        <f>+VLOOKUP(PROVEEDORES[[#This Row],[PROVEEDOR]],TERCEROS_INFO[#All],2,FALSE)</f>
        <v>60</v>
      </c>
      <c r="D738" s="139">
        <f>+SUMIFS(PROVEEDORES[Total],PROVEEDORES[PROVEEDOR],PROVEEDORES[[#This Row],[PROVEEDOR]],PROVEEDORES[FECHA DE PAGO],"")</f>
        <v>1730482</v>
      </c>
      <c r="E738" s="140"/>
      <c r="F738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38" s="127">
        <v>45205</v>
      </c>
      <c r="H738" s="123" t="s">
        <v>222</v>
      </c>
      <c r="I738" s="127">
        <v>45169</v>
      </c>
      <c r="J738" s="124">
        <v>1770</v>
      </c>
      <c r="K738" s="124" t="s">
        <v>1530</v>
      </c>
      <c r="L738" s="124"/>
      <c r="M738" s="125">
        <v>1024800</v>
      </c>
      <c r="N738" s="148">
        <v>0</v>
      </c>
      <c r="O738" s="148">
        <v>0</v>
      </c>
      <c r="P738" s="149">
        <v>0</v>
      </c>
      <c r="Q738" s="148">
        <v>0</v>
      </c>
      <c r="R738" s="150">
        <v>1024800</v>
      </c>
      <c r="S7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8" s="135">
        <f ca="1">+IF(PROVEEDORES[[#This Row],[FECHA DE PAGO]]=0,TODAY()-PROVEEDORES[[#This Row],[FECHA DE FACTURACIÓN]]-PROVEEDORES[[#This Row],[PLAZO Días]],0)</f>
        <v>0</v>
      </c>
      <c r="U738" s="135">
        <f>+VLOOKUP(PROVEEDORES[[#This Row],[PROVEEDOR]],Terceros!$A:$D,4,FALSE)</f>
        <v>0</v>
      </c>
      <c r="V738" s="135">
        <f>+YEAR(PROVEEDORES[[#This Row],[FECHA DE FACTURACIÓN]])</f>
        <v>2023</v>
      </c>
      <c r="W738" s="135">
        <f>+MATCH(PROVEEDORES[[#This Row],[año facturado]],Retenciones!$1:$1,0)</f>
        <v>6</v>
      </c>
      <c r="X738" s="136">
        <f>+VLOOKUP(PROVEEDORES[[#This Row],[ID RETENCION]],Retenciones!$A$1:$O$25,PROVEEDORES[[#This Row],[indicador de columna]],FALSE)</f>
        <v>0</v>
      </c>
      <c r="Y738" s="137">
        <f>+VLOOKUP(PROVEEDORES[[#This Row],[ID RETENCION]],Retenciones!$A$1:$O$25,2,FALSE)</f>
        <v>0</v>
      </c>
      <c r="Z738" s="126" t="b">
        <f>+OR(COUNTIF(PROVEEDORES[[#This Row],[PROVEEDOR]],"*"&amp;'Palabra que no opera y Listas d'!$A$2&amp;"*"))</f>
        <v>0</v>
      </c>
    </row>
    <row r="739" spans="1:26" ht="27.75" customHeight="1" x14ac:dyDescent="0.25">
      <c r="A739" s="141" t="str">
        <f>+IF(PROVEEDORES[[#This Row],[FECHA DE PAGO]]=PROVEEDORES[[#This Row],[FECHA DE FACTURACIÓN]],"DE CONTADO","CRÉDITO")</f>
        <v>CRÉDITO</v>
      </c>
      <c r="B739" s="138" t="b">
        <f>+IF((PROVEEDORES[[#This Row],[FECHA DE PAGO]]-PROVEEDORES[[#This Row],[FECHA DE FACTURACIÓN]])&gt;PROVEEDORES[[#This Row],[PLAZO Días]],"PAGO VENCIDO")</f>
        <v>0</v>
      </c>
      <c r="C739" s="138">
        <f>+VLOOKUP(PROVEEDORES[[#This Row],[PROVEEDOR]],TERCEROS_INFO[#All],2,FALSE)</f>
        <v>45</v>
      </c>
      <c r="D739" s="139">
        <f>+SUMIFS(PROVEEDORES[Total],PROVEEDORES[PROVEEDOR],PROVEEDORES[[#This Row],[PROVEEDOR]],PROVEEDORES[FECHA DE PAGO],"")</f>
        <v>0</v>
      </c>
      <c r="E739" s="140"/>
      <c r="F739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39" s="127">
        <v>45205</v>
      </c>
      <c r="H739" s="123" t="s">
        <v>1726</v>
      </c>
      <c r="I739" s="127">
        <v>45169</v>
      </c>
      <c r="J739" s="124">
        <v>1772</v>
      </c>
      <c r="K739" s="124" t="s">
        <v>1530</v>
      </c>
      <c r="L739" s="124"/>
      <c r="M739" s="125">
        <v>5107410</v>
      </c>
      <c r="N739" s="148">
        <v>0</v>
      </c>
      <c r="O739" s="148">
        <v>0</v>
      </c>
      <c r="P739" s="149">
        <v>0</v>
      </c>
      <c r="Q739" s="148">
        <v>0</v>
      </c>
      <c r="R739" s="150">
        <v>5107410</v>
      </c>
      <c r="S7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39" s="135">
        <f ca="1">+IF(PROVEEDORES[[#This Row],[FECHA DE PAGO]]=0,TODAY()-PROVEEDORES[[#This Row],[FECHA DE FACTURACIÓN]]-PROVEEDORES[[#This Row],[PLAZO Días]],0)</f>
        <v>0</v>
      </c>
      <c r="U739" s="135">
        <f>+VLOOKUP(PROVEEDORES[[#This Row],[PROVEEDOR]],Terceros!$A:$D,4,FALSE)</f>
        <v>0</v>
      </c>
      <c r="V739" s="135">
        <f>+YEAR(PROVEEDORES[[#This Row],[FECHA DE FACTURACIÓN]])</f>
        <v>2023</v>
      </c>
      <c r="W739" s="135">
        <f>+MATCH(PROVEEDORES[[#This Row],[año facturado]],Retenciones!$1:$1,0)</f>
        <v>6</v>
      </c>
      <c r="X739" s="136">
        <f>+VLOOKUP(PROVEEDORES[[#This Row],[ID RETENCION]],Retenciones!$A$1:$O$25,PROVEEDORES[[#This Row],[indicador de columna]],FALSE)</f>
        <v>0</v>
      </c>
      <c r="Y739" s="137">
        <f>+VLOOKUP(PROVEEDORES[[#This Row],[ID RETENCION]],Retenciones!$A$1:$O$25,2,FALSE)</f>
        <v>0</v>
      </c>
      <c r="Z739" s="126" t="b">
        <f>+OR(COUNTIF(PROVEEDORES[[#This Row],[PROVEEDOR]],"*"&amp;'Palabra que no opera y Listas d'!$A$2&amp;"*"))</f>
        <v>0</v>
      </c>
    </row>
    <row r="740" spans="1:26" ht="27.75" customHeight="1" x14ac:dyDescent="0.25">
      <c r="A740" s="141" t="str">
        <f>+IF(PROVEEDORES[[#This Row],[FECHA DE PAGO]]=PROVEEDORES[[#This Row],[FECHA DE FACTURACIÓN]],"DE CONTADO","CRÉDITO")</f>
        <v>CRÉDITO</v>
      </c>
      <c r="B740" s="138" t="b">
        <f>+IF((PROVEEDORES[[#This Row],[FECHA DE PAGO]]-PROVEEDORES[[#This Row],[FECHA DE FACTURACIÓN]])&gt;PROVEEDORES[[#This Row],[PLAZO Días]],"PAGO VENCIDO")</f>
        <v>0</v>
      </c>
      <c r="C740" s="138">
        <f>+VLOOKUP(PROVEEDORES[[#This Row],[PROVEEDOR]],TERCEROS_INFO[#All],2,FALSE)</f>
        <v>45</v>
      </c>
      <c r="D740" s="139">
        <f>+SUMIFS(PROVEEDORES[Total],PROVEEDORES[PROVEEDOR],PROVEEDORES[[#This Row],[PROVEEDOR]],PROVEEDORES[FECHA DE PAGO],"")</f>
        <v>0</v>
      </c>
      <c r="E740" s="140"/>
      <c r="F740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40" s="127">
        <v>45205</v>
      </c>
      <c r="H740" s="123" t="s">
        <v>224</v>
      </c>
      <c r="I740" s="127">
        <v>45169</v>
      </c>
      <c r="J740" s="124">
        <v>1771</v>
      </c>
      <c r="K740" s="124" t="s">
        <v>1530</v>
      </c>
      <c r="L740" s="124"/>
      <c r="M740" s="125">
        <v>2793000</v>
      </c>
      <c r="N740" s="148">
        <v>0</v>
      </c>
      <c r="O740" s="148">
        <v>0</v>
      </c>
      <c r="P740" s="149">
        <v>0</v>
      </c>
      <c r="Q740" s="148">
        <v>0</v>
      </c>
      <c r="R740" s="150">
        <v>2793000</v>
      </c>
      <c r="S7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0" s="135">
        <f ca="1">+IF(PROVEEDORES[[#This Row],[FECHA DE PAGO]]=0,TODAY()-PROVEEDORES[[#This Row],[FECHA DE FACTURACIÓN]]-PROVEEDORES[[#This Row],[PLAZO Días]],0)</f>
        <v>0</v>
      </c>
      <c r="U740" s="135">
        <f>+VLOOKUP(PROVEEDORES[[#This Row],[PROVEEDOR]],Terceros!$A:$D,4,FALSE)</f>
        <v>0</v>
      </c>
      <c r="V740" s="135">
        <f>+YEAR(PROVEEDORES[[#This Row],[FECHA DE FACTURACIÓN]])</f>
        <v>2023</v>
      </c>
      <c r="W740" s="135">
        <f>+MATCH(PROVEEDORES[[#This Row],[año facturado]],Retenciones!$1:$1,0)</f>
        <v>6</v>
      </c>
      <c r="X740" s="136">
        <f>+VLOOKUP(PROVEEDORES[[#This Row],[ID RETENCION]],Retenciones!$A$1:$O$25,PROVEEDORES[[#This Row],[indicador de columna]],FALSE)</f>
        <v>0</v>
      </c>
      <c r="Y740" s="137">
        <f>+VLOOKUP(PROVEEDORES[[#This Row],[ID RETENCION]],Retenciones!$A$1:$O$25,2,FALSE)</f>
        <v>0</v>
      </c>
      <c r="Z740" s="126" t="b">
        <f>+OR(COUNTIF(PROVEEDORES[[#This Row],[PROVEEDOR]],"*"&amp;'Palabra que no opera y Listas d'!$A$2&amp;"*"))</f>
        <v>0</v>
      </c>
    </row>
    <row r="741" spans="1:26" ht="27.75" customHeight="1" x14ac:dyDescent="0.25">
      <c r="A741" s="141" t="str">
        <f>+IF(PROVEEDORES[[#This Row],[FECHA DE PAGO]]=PROVEEDORES[[#This Row],[FECHA DE FACTURACIÓN]],"DE CONTADO","CRÉDITO")</f>
        <v>CRÉDITO</v>
      </c>
      <c r="B741" s="138" t="b">
        <f>+IF((PROVEEDORES[[#This Row],[FECHA DE PAGO]]-PROVEEDORES[[#This Row],[FECHA DE FACTURACIÓN]])&gt;PROVEEDORES[[#This Row],[PLAZO Días]],"PAGO VENCIDO")</f>
        <v>0</v>
      </c>
      <c r="C741" s="138">
        <f>+VLOOKUP(PROVEEDORES[[#This Row],[PROVEEDOR]],TERCEROS_INFO[#All],2,FALSE)</f>
        <v>45</v>
      </c>
      <c r="D741" s="139">
        <f>+SUMIFS(PROVEEDORES[Total],PROVEEDORES[PROVEEDOR],PROVEEDORES[[#This Row],[PROVEEDOR]],PROVEEDORES[FECHA DE PAGO],"")</f>
        <v>0</v>
      </c>
      <c r="E741" s="140"/>
      <c r="F741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41" s="127">
        <v>45205</v>
      </c>
      <c r="H741" s="123" t="s">
        <v>224</v>
      </c>
      <c r="I741" s="127">
        <v>45169</v>
      </c>
      <c r="J741" s="124">
        <v>1773</v>
      </c>
      <c r="K741" s="124" t="s">
        <v>1530</v>
      </c>
      <c r="L741" s="124"/>
      <c r="M741" s="125">
        <v>1512420</v>
      </c>
      <c r="N741" s="148">
        <v>0</v>
      </c>
      <c r="O741" s="148">
        <v>0</v>
      </c>
      <c r="P741" s="149">
        <v>0</v>
      </c>
      <c r="Q741" s="148">
        <v>0</v>
      </c>
      <c r="R741" s="150">
        <v>1512420</v>
      </c>
      <c r="S7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1" s="135">
        <f ca="1">+IF(PROVEEDORES[[#This Row],[FECHA DE PAGO]]=0,TODAY()-PROVEEDORES[[#This Row],[FECHA DE FACTURACIÓN]]-PROVEEDORES[[#This Row],[PLAZO Días]],0)</f>
        <v>0</v>
      </c>
      <c r="U741" s="135">
        <f>+VLOOKUP(PROVEEDORES[[#This Row],[PROVEEDOR]],Terceros!$A:$D,4,FALSE)</f>
        <v>0</v>
      </c>
      <c r="V741" s="135">
        <f>+YEAR(PROVEEDORES[[#This Row],[FECHA DE FACTURACIÓN]])</f>
        <v>2023</v>
      </c>
      <c r="W741" s="135">
        <f>+MATCH(PROVEEDORES[[#This Row],[año facturado]],Retenciones!$1:$1,0)</f>
        <v>6</v>
      </c>
      <c r="X741" s="136">
        <f>+VLOOKUP(PROVEEDORES[[#This Row],[ID RETENCION]],Retenciones!$A$1:$O$25,PROVEEDORES[[#This Row],[indicador de columna]],FALSE)</f>
        <v>0</v>
      </c>
      <c r="Y741" s="137">
        <f>+VLOOKUP(PROVEEDORES[[#This Row],[ID RETENCION]],Retenciones!$A$1:$O$25,2,FALSE)</f>
        <v>0</v>
      </c>
      <c r="Z741" s="126" t="b">
        <f>+OR(COUNTIF(PROVEEDORES[[#This Row],[PROVEEDOR]],"*"&amp;'Palabra que no opera y Listas d'!$A$2&amp;"*"))</f>
        <v>0</v>
      </c>
    </row>
    <row r="742" spans="1:26" ht="27.75" customHeight="1" x14ac:dyDescent="0.25">
      <c r="A742" s="141" t="str">
        <f>+IF(PROVEEDORES[[#This Row],[FECHA DE PAGO]]=PROVEEDORES[[#This Row],[FECHA DE FACTURACIÓN]],"DE CONTADO","CRÉDITO")</f>
        <v>CRÉDITO</v>
      </c>
      <c r="B742" s="138" t="str">
        <f>+IF((PROVEEDORES[[#This Row],[FECHA DE PAGO]]-PROVEEDORES[[#This Row],[FECHA DE FACTURACIÓN]])&gt;PROVEEDORES[[#This Row],[PLAZO Días]],"PAGO VENCIDO")</f>
        <v>PAGO VENCIDO</v>
      </c>
      <c r="C742" s="138">
        <f>+VLOOKUP(PROVEEDORES[[#This Row],[PROVEEDOR]],TERCEROS_INFO[#All],2,FALSE)</f>
        <v>30</v>
      </c>
      <c r="D742" s="139">
        <f>+SUMIFS(PROVEEDORES[Total],PROVEEDORES[PROVEEDOR],PROVEEDORES[[#This Row],[PROVEEDOR]],PROVEEDORES[FECHA DE PAGO],"")</f>
        <v>4316000</v>
      </c>
      <c r="E742" s="140"/>
      <c r="F742" s="138" t="str">
        <f>+VLOOKUP(PROVEEDORES[[#This Row],[PROVEEDOR]],
                       Terceros!$A:$F,
                       5,
                       FALSE)</f>
        <v/>
      </c>
      <c r="G742" s="127">
        <v>45205</v>
      </c>
      <c r="H742" s="123" t="s">
        <v>1812</v>
      </c>
      <c r="I742" s="127">
        <v>45169</v>
      </c>
      <c r="J742" s="124" t="s">
        <v>1030</v>
      </c>
      <c r="K742" s="124" t="s">
        <v>1530</v>
      </c>
      <c r="L742" s="124"/>
      <c r="M742" s="125">
        <v>447500</v>
      </c>
      <c r="N742" s="148">
        <v>0</v>
      </c>
      <c r="O742" s="148">
        <v>0</v>
      </c>
      <c r="P742" s="149">
        <v>0</v>
      </c>
      <c r="Q742" s="148">
        <v>0</v>
      </c>
      <c r="R742" s="150">
        <v>447500</v>
      </c>
      <c r="S7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2" s="135">
        <f ca="1">+IF(PROVEEDORES[[#This Row],[FECHA DE PAGO]]=0,TODAY()-PROVEEDORES[[#This Row],[FECHA DE FACTURACIÓN]]-PROVEEDORES[[#This Row],[PLAZO Días]],0)</f>
        <v>0</v>
      </c>
      <c r="U742" s="135">
        <f>+VLOOKUP(PROVEEDORES[[#This Row],[PROVEEDOR]],Terceros!$A:$D,4,FALSE)</f>
        <v>0</v>
      </c>
      <c r="V742" s="135">
        <f>+YEAR(PROVEEDORES[[#This Row],[FECHA DE FACTURACIÓN]])</f>
        <v>2023</v>
      </c>
      <c r="W742" s="135">
        <f>+MATCH(PROVEEDORES[[#This Row],[año facturado]],Retenciones!$1:$1,0)</f>
        <v>6</v>
      </c>
      <c r="X742" s="136">
        <f>+VLOOKUP(PROVEEDORES[[#This Row],[ID RETENCION]],Retenciones!$A$1:$O$25,PROVEEDORES[[#This Row],[indicador de columna]],FALSE)</f>
        <v>0</v>
      </c>
      <c r="Y742" s="137">
        <f>+VLOOKUP(PROVEEDORES[[#This Row],[ID RETENCION]],Retenciones!$A$1:$O$25,2,FALSE)</f>
        <v>0</v>
      </c>
      <c r="Z742" s="126" t="b">
        <f>+OR(COUNTIF(PROVEEDORES[[#This Row],[PROVEEDOR]],"*"&amp;'Palabra que no opera y Listas d'!$A$2&amp;"*"))</f>
        <v>0</v>
      </c>
    </row>
    <row r="743" spans="1:26" ht="27.75" customHeight="1" x14ac:dyDescent="0.25">
      <c r="A743" s="141" t="str">
        <f>+IF(PROVEEDORES[[#This Row],[FECHA DE PAGO]]=PROVEEDORES[[#This Row],[FECHA DE FACTURACIÓN]],"DE CONTADO","CRÉDITO")</f>
        <v>CRÉDITO</v>
      </c>
      <c r="B743" s="138" t="str">
        <f>+IF((PROVEEDORES[[#This Row],[FECHA DE PAGO]]-PROVEEDORES[[#This Row],[FECHA DE FACTURACIÓN]])&gt;PROVEEDORES[[#This Row],[PLAZO Días]],"PAGO VENCIDO")</f>
        <v>PAGO VENCIDO</v>
      </c>
      <c r="C743" s="138">
        <f>+VLOOKUP(PROVEEDORES[[#This Row],[PROVEEDOR]],TERCEROS_INFO[#All],2,FALSE)</f>
        <v>30</v>
      </c>
      <c r="D743" s="139">
        <f>+SUMIFS(PROVEEDORES[Total],PROVEEDORES[PROVEEDOR],PROVEEDORES[[#This Row],[PROVEEDOR]],PROVEEDORES[FECHA DE PAGO],"")</f>
        <v>4316000</v>
      </c>
      <c r="E743" s="140"/>
      <c r="F743" s="138" t="str">
        <f>+VLOOKUP(PROVEEDORES[[#This Row],[PROVEEDOR]],
                       Terceros!$A:$F,
                       5,
                       FALSE)</f>
        <v/>
      </c>
      <c r="G743" s="127">
        <v>45205</v>
      </c>
      <c r="H743" s="123" t="s">
        <v>1812</v>
      </c>
      <c r="I743" s="127">
        <v>45174</v>
      </c>
      <c r="J743" s="124" t="s">
        <v>1029</v>
      </c>
      <c r="K743" s="124" t="s">
        <v>1530</v>
      </c>
      <c r="L743" s="124"/>
      <c r="M743" s="125">
        <v>452000</v>
      </c>
      <c r="N743" s="148">
        <v>0</v>
      </c>
      <c r="O743" s="148">
        <v>0</v>
      </c>
      <c r="P743" s="149">
        <v>0</v>
      </c>
      <c r="Q743" s="148">
        <v>0</v>
      </c>
      <c r="R743" s="150">
        <v>452000</v>
      </c>
      <c r="S7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3" s="135">
        <f ca="1">+IF(PROVEEDORES[[#This Row],[FECHA DE PAGO]]=0,TODAY()-PROVEEDORES[[#This Row],[FECHA DE FACTURACIÓN]]-PROVEEDORES[[#This Row],[PLAZO Días]],0)</f>
        <v>0</v>
      </c>
      <c r="U743" s="135">
        <f>+VLOOKUP(PROVEEDORES[[#This Row],[PROVEEDOR]],Terceros!$A:$D,4,FALSE)</f>
        <v>0</v>
      </c>
      <c r="V743" s="135">
        <f>+YEAR(PROVEEDORES[[#This Row],[FECHA DE FACTURACIÓN]])</f>
        <v>2023</v>
      </c>
      <c r="W743" s="135">
        <f>+MATCH(PROVEEDORES[[#This Row],[año facturado]],Retenciones!$1:$1,0)</f>
        <v>6</v>
      </c>
      <c r="X743" s="136">
        <f>+VLOOKUP(PROVEEDORES[[#This Row],[ID RETENCION]],Retenciones!$A$1:$O$25,PROVEEDORES[[#This Row],[indicador de columna]],FALSE)</f>
        <v>0</v>
      </c>
      <c r="Y743" s="137">
        <f>+VLOOKUP(PROVEEDORES[[#This Row],[ID RETENCION]],Retenciones!$A$1:$O$25,2,FALSE)</f>
        <v>0</v>
      </c>
      <c r="Z743" s="126" t="b">
        <f>+OR(COUNTIF(PROVEEDORES[[#This Row],[PROVEEDOR]],"*"&amp;'Palabra que no opera y Listas d'!$A$2&amp;"*"))</f>
        <v>0</v>
      </c>
    </row>
    <row r="744" spans="1:26" ht="27.75" customHeight="1" x14ac:dyDescent="0.25">
      <c r="A744" s="141" t="str">
        <f>+IF(PROVEEDORES[[#This Row],[FECHA DE PAGO]]=PROVEEDORES[[#This Row],[FECHA DE FACTURACIÓN]],"DE CONTADO","CRÉDITO")</f>
        <v>CRÉDITO</v>
      </c>
      <c r="B744" s="138" t="b">
        <f>+IF((PROVEEDORES[[#This Row],[FECHA DE PAGO]]-PROVEEDORES[[#This Row],[FECHA DE FACTURACIÓN]])&gt;PROVEEDORES[[#This Row],[PLAZO Días]],"PAGO VENCIDO")</f>
        <v>0</v>
      </c>
      <c r="C744" s="138">
        <f>+VLOOKUP(PROVEEDORES[[#This Row],[PROVEEDOR]],TERCEROS_INFO[#All],2,FALSE)</f>
        <v>45</v>
      </c>
      <c r="D744" s="139">
        <f>+SUMIFS(PROVEEDORES[Total],PROVEEDORES[PROVEEDOR],PROVEEDORES[[#This Row],[PROVEEDOR]],PROVEEDORES[FECHA DE PAGO],"")</f>
        <v>0</v>
      </c>
      <c r="E744" s="140"/>
      <c r="F744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44" s="127">
        <v>45205</v>
      </c>
      <c r="H744" s="123" t="s">
        <v>224</v>
      </c>
      <c r="I744" s="127">
        <v>45176</v>
      </c>
      <c r="J744" s="124">
        <v>1776</v>
      </c>
      <c r="K744" s="124" t="s">
        <v>1530</v>
      </c>
      <c r="L744" s="124"/>
      <c r="M744" s="125">
        <v>1501080</v>
      </c>
      <c r="N744" s="148">
        <v>0</v>
      </c>
      <c r="O744" s="148">
        <v>0</v>
      </c>
      <c r="P744" s="149">
        <v>0</v>
      </c>
      <c r="Q744" s="148">
        <v>0</v>
      </c>
      <c r="R744" s="150">
        <v>1501080</v>
      </c>
      <c r="S7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4" s="135">
        <f ca="1">+IF(PROVEEDORES[[#This Row],[FECHA DE PAGO]]=0,TODAY()-PROVEEDORES[[#This Row],[FECHA DE FACTURACIÓN]]-PROVEEDORES[[#This Row],[PLAZO Días]],0)</f>
        <v>0</v>
      </c>
      <c r="U744" s="135">
        <f>+VLOOKUP(PROVEEDORES[[#This Row],[PROVEEDOR]],Terceros!$A:$D,4,FALSE)</f>
        <v>0</v>
      </c>
      <c r="V744" s="135">
        <f>+YEAR(PROVEEDORES[[#This Row],[FECHA DE FACTURACIÓN]])</f>
        <v>2023</v>
      </c>
      <c r="W744" s="135">
        <f>+MATCH(PROVEEDORES[[#This Row],[año facturado]],Retenciones!$1:$1,0)</f>
        <v>6</v>
      </c>
      <c r="X744" s="136">
        <f>+VLOOKUP(PROVEEDORES[[#This Row],[ID RETENCION]],Retenciones!$A$1:$O$25,PROVEEDORES[[#This Row],[indicador de columna]],FALSE)</f>
        <v>0</v>
      </c>
      <c r="Y744" s="137">
        <f>+VLOOKUP(PROVEEDORES[[#This Row],[ID RETENCION]],Retenciones!$A$1:$O$25,2,FALSE)</f>
        <v>0</v>
      </c>
      <c r="Z744" s="126" t="b">
        <f>+OR(COUNTIF(PROVEEDORES[[#This Row],[PROVEEDOR]],"*"&amp;'Palabra que no opera y Listas d'!$A$2&amp;"*"))</f>
        <v>0</v>
      </c>
    </row>
    <row r="745" spans="1:26" ht="27.75" customHeight="1" x14ac:dyDescent="0.25">
      <c r="A745" s="141" t="str">
        <f>+IF(PROVEEDORES[[#This Row],[FECHA DE PAGO]]=PROVEEDORES[[#This Row],[FECHA DE FACTURACIÓN]],"DE CONTADO","CRÉDITO")</f>
        <v>CRÉDITO</v>
      </c>
      <c r="B745" s="138" t="b">
        <f>+IF((PROVEEDORES[[#This Row],[FECHA DE PAGO]]-PROVEEDORES[[#This Row],[FECHA DE FACTURACIÓN]])&gt;PROVEEDORES[[#This Row],[PLAZO Días]],"PAGO VENCIDO")</f>
        <v>0</v>
      </c>
      <c r="C745" s="138">
        <f>+VLOOKUP(PROVEEDORES[[#This Row],[PROVEEDOR]],TERCEROS_INFO[#All],2,FALSE)</f>
        <v>45</v>
      </c>
      <c r="D745" s="139">
        <f>+SUMIFS(PROVEEDORES[Total],PROVEEDORES[PROVEEDOR],PROVEEDORES[[#This Row],[PROVEEDOR]],PROVEEDORES[FECHA DE PAGO],"")</f>
        <v>0</v>
      </c>
      <c r="E745" s="140"/>
      <c r="F745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45" s="127">
        <v>45205</v>
      </c>
      <c r="H745" s="123" t="s">
        <v>224</v>
      </c>
      <c r="I745" s="127">
        <v>45188</v>
      </c>
      <c r="J745" s="124">
        <v>1795</v>
      </c>
      <c r="K745" s="124" t="s">
        <v>1530</v>
      </c>
      <c r="L745" s="124"/>
      <c r="M745" s="125">
        <v>1407000</v>
      </c>
      <c r="N745" s="148">
        <v>0</v>
      </c>
      <c r="O745" s="148">
        <v>0</v>
      </c>
      <c r="P745" s="149">
        <v>0</v>
      </c>
      <c r="Q745" s="148">
        <v>0</v>
      </c>
      <c r="R745" s="150">
        <v>1407000</v>
      </c>
      <c r="S7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5" s="135">
        <f ca="1">+IF(PROVEEDORES[[#This Row],[FECHA DE PAGO]]=0,TODAY()-PROVEEDORES[[#This Row],[FECHA DE FACTURACIÓN]]-PROVEEDORES[[#This Row],[PLAZO Días]],0)</f>
        <v>0</v>
      </c>
      <c r="U745" s="135">
        <f>+VLOOKUP(PROVEEDORES[[#This Row],[PROVEEDOR]],Terceros!$A:$D,4,FALSE)</f>
        <v>0</v>
      </c>
      <c r="V745" s="135">
        <f>+YEAR(PROVEEDORES[[#This Row],[FECHA DE FACTURACIÓN]])</f>
        <v>2023</v>
      </c>
      <c r="W745" s="135">
        <f>+MATCH(PROVEEDORES[[#This Row],[año facturado]],Retenciones!$1:$1,0)</f>
        <v>6</v>
      </c>
      <c r="X745" s="136">
        <f>+VLOOKUP(PROVEEDORES[[#This Row],[ID RETENCION]],Retenciones!$A$1:$O$25,PROVEEDORES[[#This Row],[indicador de columna]],FALSE)</f>
        <v>0</v>
      </c>
      <c r="Y745" s="137">
        <f>+VLOOKUP(PROVEEDORES[[#This Row],[ID RETENCION]],Retenciones!$A$1:$O$25,2,FALSE)</f>
        <v>0</v>
      </c>
      <c r="Z745" s="126" t="b">
        <f>+OR(COUNTIF(PROVEEDORES[[#This Row],[PROVEEDOR]],"*"&amp;'Palabra que no opera y Listas d'!$A$2&amp;"*"))</f>
        <v>0</v>
      </c>
    </row>
    <row r="746" spans="1:26" ht="27.75" customHeight="1" x14ac:dyDescent="0.25">
      <c r="A746" s="141" t="str">
        <f>+IF(PROVEEDORES[[#This Row],[FECHA DE PAGO]]=PROVEEDORES[[#This Row],[FECHA DE FACTURACIÓN]],"DE CONTADO","CRÉDITO")</f>
        <v>CRÉDITO</v>
      </c>
      <c r="B746" s="138" t="b">
        <f>+IF((PROVEEDORES[[#This Row],[FECHA DE PAGO]]-PROVEEDORES[[#This Row],[FECHA DE FACTURACIÓN]])&gt;PROVEEDORES[[#This Row],[PLAZO Días]],"PAGO VENCIDO")</f>
        <v>0</v>
      </c>
      <c r="C746" s="138">
        <f>+VLOOKUP(PROVEEDORES[[#This Row],[PROVEEDOR]],TERCEROS_INFO[#All],2,FALSE)</f>
        <v>45</v>
      </c>
      <c r="D746" s="139">
        <f>+SUMIFS(PROVEEDORES[Total],PROVEEDORES[PROVEEDOR],PROVEEDORES[[#This Row],[PROVEEDOR]],PROVEEDORES[FECHA DE PAGO],"")</f>
        <v>0</v>
      </c>
      <c r="E746" s="140"/>
      <c r="F746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46" s="127">
        <v>45205</v>
      </c>
      <c r="H746" s="123" t="s">
        <v>224</v>
      </c>
      <c r="I746" s="127">
        <v>45189</v>
      </c>
      <c r="J746" s="124">
        <v>1793</v>
      </c>
      <c r="K746" s="124" t="s">
        <v>1530</v>
      </c>
      <c r="L746" s="124"/>
      <c r="M746" s="125">
        <v>2793000</v>
      </c>
      <c r="N746" s="148">
        <v>0</v>
      </c>
      <c r="O746" s="148">
        <v>0</v>
      </c>
      <c r="P746" s="149">
        <v>0</v>
      </c>
      <c r="Q746" s="148">
        <v>0</v>
      </c>
      <c r="R746" s="150">
        <v>2793000</v>
      </c>
      <c r="S7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6" s="135">
        <f ca="1">+IF(PROVEEDORES[[#This Row],[FECHA DE PAGO]]=0,TODAY()-PROVEEDORES[[#This Row],[FECHA DE FACTURACIÓN]]-PROVEEDORES[[#This Row],[PLAZO Días]],0)</f>
        <v>0</v>
      </c>
      <c r="U746" s="135">
        <f>+VLOOKUP(PROVEEDORES[[#This Row],[PROVEEDOR]],Terceros!$A:$D,4,FALSE)</f>
        <v>0</v>
      </c>
      <c r="V746" s="135">
        <f>+YEAR(PROVEEDORES[[#This Row],[FECHA DE FACTURACIÓN]])</f>
        <v>2023</v>
      </c>
      <c r="W746" s="135">
        <f>+MATCH(PROVEEDORES[[#This Row],[año facturado]],Retenciones!$1:$1,0)</f>
        <v>6</v>
      </c>
      <c r="X746" s="136">
        <f>+VLOOKUP(PROVEEDORES[[#This Row],[ID RETENCION]],Retenciones!$A$1:$O$25,PROVEEDORES[[#This Row],[indicador de columna]],FALSE)</f>
        <v>0</v>
      </c>
      <c r="Y746" s="137">
        <f>+VLOOKUP(PROVEEDORES[[#This Row],[ID RETENCION]],Retenciones!$A$1:$O$25,2,FALSE)</f>
        <v>0</v>
      </c>
      <c r="Z746" s="126" t="b">
        <f>+OR(COUNTIF(PROVEEDORES[[#This Row],[PROVEEDOR]],"*"&amp;'Palabra que no opera y Listas d'!$A$2&amp;"*"))</f>
        <v>0</v>
      </c>
    </row>
    <row r="747" spans="1:26" ht="27.75" customHeight="1" x14ac:dyDescent="0.25">
      <c r="A747" s="141" t="str">
        <f>+IF(PROVEEDORES[[#This Row],[FECHA DE PAGO]]=PROVEEDORES[[#This Row],[FECHA DE FACTURACIÓN]],"DE CONTADO","CRÉDITO")</f>
        <v>CRÉDITO</v>
      </c>
      <c r="B747" s="138" t="b">
        <f>+IF((PROVEEDORES[[#This Row],[FECHA DE PAGO]]-PROVEEDORES[[#This Row],[FECHA DE FACTURACIÓN]])&gt;PROVEEDORES[[#This Row],[PLAZO Días]],"PAGO VENCIDO")</f>
        <v>0</v>
      </c>
      <c r="C747" s="138">
        <f>+VLOOKUP(PROVEEDORES[[#This Row],[PROVEEDOR]],TERCEROS_INFO[#All],2,FALSE)</f>
        <v>60</v>
      </c>
      <c r="D747" s="139">
        <f>+SUMIFS(PROVEEDORES[Total],PROVEEDORES[PROVEEDOR],PROVEEDORES[[#This Row],[PROVEEDOR]],PROVEEDORES[FECHA DE PAGO],"")</f>
        <v>1730482</v>
      </c>
      <c r="E747" s="140"/>
      <c r="F747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747" s="127">
        <v>45205</v>
      </c>
      <c r="H747" s="123" t="s">
        <v>222</v>
      </c>
      <c r="I747" s="127">
        <v>45190</v>
      </c>
      <c r="J747" s="124">
        <v>1794</v>
      </c>
      <c r="K747" s="124" t="s">
        <v>1530</v>
      </c>
      <c r="L747" s="124"/>
      <c r="M747" s="125">
        <v>252000</v>
      </c>
      <c r="N747" s="148">
        <v>0</v>
      </c>
      <c r="O747" s="148">
        <v>0</v>
      </c>
      <c r="P747" s="149">
        <v>0</v>
      </c>
      <c r="Q747" s="148">
        <v>0</v>
      </c>
      <c r="R747" s="150">
        <v>252000</v>
      </c>
      <c r="S7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7" s="135">
        <f ca="1">+IF(PROVEEDORES[[#This Row],[FECHA DE PAGO]]=0,TODAY()-PROVEEDORES[[#This Row],[FECHA DE FACTURACIÓN]]-PROVEEDORES[[#This Row],[PLAZO Días]],0)</f>
        <v>0</v>
      </c>
      <c r="U747" s="135">
        <f>+VLOOKUP(PROVEEDORES[[#This Row],[PROVEEDOR]],Terceros!$A:$D,4,FALSE)</f>
        <v>0</v>
      </c>
      <c r="V747" s="135">
        <f>+YEAR(PROVEEDORES[[#This Row],[FECHA DE FACTURACIÓN]])</f>
        <v>2023</v>
      </c>
      <c r="W747" s="135">
        <f>+MATCH(PROVEEDORES[[#This Row],[año facturado]],Retenciones!$1:$1,0)</f>
        <v>6</v>
      </c>
      <c r="X747" s="136">
        <f>+VLOOKUP(PROVEEDORES[[#This Row],[ID RETENCION]],Retenciones!$A$1:$O$25,PROVEEDORES[[#This Row],[indicador de columna]],FALSE)</f>
        <v>0</v>
      </c>
      <c r="Y747" s="137">
        <f>+VLOOKUP(PROVEEDORES[[#This Row],[ID RETENCION]],Retenciones!$A$1:$O$25,2,FALSE)</f>
        <v>0</v>
      </c>
      <c r="Z747" s="126" t="b">
        <f>+OR(COUNTIF(PROVEEDORES[[#This Row],[PROVEEDOR]],"*"&amp;'Palabra que no opera y Listas d'!$A$2&amp;"*"))</f>
        <v>0</v>
      </c>
    </row>
    <row r="748" spans="1:26" ht="27.75" customHeight="1" x14ac:dyDescent="0.25">
      <c r="A748" s="141" t="str">
        <f>+IF(PROVEEDORES[[#This Row],[FECHA DE PAGO]]=PROVEEDORES[[#This Row],[FECHA DE FACTURACIÓN]],"DE CONTADO","CRÉDITO")</f>
        <v>CRÉDITO</v>
      </c>
      <c r="B748" s="138" t="b">
        <f>+IF((PROVEEDORES[[#This Row],[FECHA DE PAGO]]-PROVEEDORES[[#This Row],[FECHA DE FACTURACIÓN]])&gt;PROVEEDORES[[#This Row],[PLAZO Días]],"PAGO VENCIDO")</f>
        <v>0</v>
      </c>
      <c r="C748" s="138">
        <f>+VLOOKUP(PROVEEDORES[[#This Row],[PROVEEDOR]],TERCEROS_INFO[#All],2,FALSE)</f>
        <v>30</v>
      </c>
      <c r="D748" s="139">
        <f>+SUMIFS(PROVEEDORES[Total],PROVEEDORES[PROVEEDOR],PROVEEDORES[[#This Row],[PROVEEDOR]],PROVEEDORES[FECHA DE PAGO],"")</f>
        <v>0</v>
      </c>
      <c r="E748" s="140"/>
      <c r="F748" s="138">
        <f>+VLOOKUP(PROVEEDORES[[#This Row],[PROVEEDOR]],
                       Terceros!$A:$F,
                       5,
                       FALSE)</f>
        <v>0</v>
      </c>
      <c r="G748" s="127">
        <v>45205</v>
      </c>
      <c r="H748" s="123" t="s">
        <v>387</v>
      </c>
      <c r="I748" s="127">
        <v>45200</v>
      </c>
      <c r="J748" s="124" t="s">
        <v>173</v>
      </c>
      <c r="K748" s="124" t="s">
        <v>1530</v>
      </c>
      <c r="L748" s="124"/>
      <c r="M748" s="125">
        <v>411454</v>
      </c>
      <c r="N748" s="148">
        <v>0</v>
      </c>
      <c r="O748" s="148">
        <v>0</v>
      </c>
      <c r="P748" s="149">
        <v>0</v>
      </c>
      <c r="Q748" s="148">
        <v>0</v>
      </c>
      <c r="R748" s="150">
        <v>411454</v>
      </c>
      <c r="S7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8" s="135">
        <f ca="1">+IF(PROVEEDORES[[#This Row],[FECHA DE PAGO]]=0,TODAY()-PROVEEDORES[[#This Row],[FECHA DE FACTURACIÓN]]-PROVEEDORES[[#This Row],[PLAZO Días]],0)</f>
        <v>0</v>
      </c>
      <c r="U748" s="135">
        <f>+VLOOKUP(PROVEEDORES[[#This Row],[PROVEEDOR]],Terceros!$A:$D,4,FALSE)</f>
        <v>0</v>
      </c>
      <c r="V748" s="135">
        <f>+YEAR(PROVEEDORES[[#This Row],[FECHA DE FACTURACIÓN]])</f>
        <v>2023</v>
      </c>
      <c r="W748" s="135">
        <f>+MATCH(PROVEEDORES[[#This Row],[año facturado]],Retenciones!$1:$1,0)</f>
        <v>6</v>
      </c>
      <c r="X748" s="136">
        <f>+VLOOKUP(PROVEEDORES[[#This Row],[ID RETENCION]],Retenciones!$A$1:$O$25,PROVEEDORES[[#This Row],[indicador de columna]],FALSE)</f>
        <v>0</v>
      </c>
      <c r="Y748" s="137">
        <f>+VLOOKUP(PROVEEDORES[[#This Row],[ID RETENCION]],Retenciones!$A$1:$O$25,2,FALSE)</f>
        <v>0</v>
      </c>
      <c r="Z748" s="126" t="b">
        <f>+OR(COUNTIF(PROVEEDORES[[#This Row],[PROVEEDOR]],"*"&amp;'Palabra que no opera y Listas d'!$A$2&amp;"*"))</f>
        <v>1</v>
      </c>
    </row>
    <row r="749" spans="1:26" ht="27.75" customHeight="1" x14ac:dyDescent="0.25">
      <c r="A749" s="141" t="str">
        <f>+IF(PROVEEDORES[[#This Row],[FECHA DE PAGO]]=PROVEEDORES[[#This Row],[FECHA DE FACTURACIÓN]],"DE CONTADO","CRÉDITO")</f>
        <v>CRÉDITO</v>
      </c>
      <c r="B749" s="138" t="str">
        <f>+IF((PROVEEDORES[[#This Row],[FECHA DE PAGO]]-PROVEEDORES[[#This Row],[FECHA DE FACTURACIÓN]])&gt;PROVEEDORES[[#This Row],[PLAZO Días]],"PAGO VENCIDO")</f>
        <v>PAGO VENCIDO</v>
      </c>
      <c r="C749" s="138">
        <f>+VLOOKUP(PROVEEDORES[[#This Row],[PROVEEDOR]],TERCEROS_INFO[#All],2,FALSE)</f>
        <v>30</v>
      </c>
      <c r="D749" s="139">
        <f>+SUMIFS(PROVEEDORES[Total],PROVEEDORES[PROVEEDOR],PROVEEDORES[[#This Row],[PROVEEDOR]],PROVEEDORES[FECHA DE PAGO],"")</f>
        <v>2095000</v>
      </c>
      <c r="E749" s="140"/>
      <c r="F749" s="13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749" s="127">
        <v>45206</v>
      </c>
      <c r="H749" s="123" t="s">
        <v>1804</v>
      </c>
      <c r="I749" s="127">
        <v>45149</v>
      </c>
      <c r="J749" s="124">
        <v>1863</v>
      </c>
      <c r="K749" s="124" t="s">
        <v>1530</v>
      </c>
      <c r="L749" s="124"/>
      <c r="M749" s="125">
        <v>1515000</v>
      </c>
      <c r="N749" s="148">
        <v>0</v>
      </c>
      <c r="O749" s="148">
        <v>0</v>
      </c>
      <c r="P749" s="149">
        <v>0</v>
      </c>
      <c r="Q749" s="148">
        <v>0</v>
      </c>
      <c r="R749" s="150">
        <v>1515000</v>
      </c>
      <c r="S7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49" s="135">
        <f ca="1">+IF(PROVEEDORES[[#This Row],[FECHA DE PAGO]]=0,TODAY()-PROVEEDORES[[#This Row],[FECHA DE FACTURACIÓN]]-PROVEEDORES[[#This Row],[PLAZO Días]],0)</f>
        <v>0</v>
      </c>
      <c r="U749" s="135">
        <f>+VLOOKUP(PROVEEDORES[[#This Row],[PROVEEDOR]],Terceros!$A:$D,4,FALSE)</f>
        <v>0</v>
      </c>
      <c r="V749" s="135">
        <f>+YEAR(PROVEEDORES[[#This Row],[FECHA DE FACTURACIÓN]])</f>
        <v>2023</v>
      </c>
      <c r="W749" s="135">
        <f>+MATCH(PROVEEDORES[[#This Row],[año facturado]],Retenciones!$1:$1,0)</f>
        <v>6</v>
      </c>
      <c r="X749" s="136">
        <f>+VLOOKUP(PROVEEDORES[[#This Row],[ID RETENCION]],Retenciones!$A$1:$O$25,PROVEEDORES[[#This Row],[indicador de columna]],FALSE)</f>
        <v>0</v>
      </c>
      <c r="Y749" s="137">
        <f>+VLOOKUP(PROVEEDORES[[#This Row],[ID RETENCION]],Retenciones!$A$1:$O$25,2,FALSE)</f>
        <v>0</v>
      </c>
      <c r="Z749" s="126" t="b">
        <f>+OR(COUNTIF(PROVEEDORES[[#This Row],[PROVEEDOR]],"*"&amp;'Palabra que no opera y Listas d'!$A$2&amp;"*"))</f>
        <v>0</v>
      </c>
    </row>
    <row r="750" spans="1:26" ht="27.75" customHeight="1" x14ac:dyDescent="0.25">
      <c r="A750" s="141" t="str">
        <f>+IF(PROVEEDORES[[#This Row],[FECHA DE PAGO]]=PROVEEDORES[[#This Row],[FECHA DE FACTURACIÓN]],"DE CONTADO","CRÉDITO")</f>
        <v>CRÉDITO</v>
      </c>
      <c r="B750" s="138" t="b">
        <f>+IF((PROVEEDORES[[#This Row],[FECHA DE PAGO]]-PROVEEDORES[[#This Row],[FECHA DE FACTURACIÓN]])&gt;PROVEEDORES[[#This Row],[PLAZO Días]],"PAGO VENCIDO")</f>
        <v>0</v>
      </c>
      <c r="C750" s="138">
        <f>+VLOOKUP(PROVEEDORES[[#This Row],[PROVEEDOR]],TERCEROS_INFO[#All],2,FALSE)</f>
        <v>30</v>
      </c>
      <c r="D750" s="139">
        <f>+SUMIFS(PROVEEDORES[Total],PROVEEDORES[PROVEEDOR],PROVEEDORES[[#This Row],[PROVEEDOR]],PROVEEDORES[FECHA DE PAGO],"")</f>
        <v>0</v>
      </c>
      <c r="E750" s="140"/>
      <c r="F750" s="138">
        <f>+VLOOKUP(PROVEEDORES[[#This Row],[PROVEEDOR]],
                       Terceros!$A:$F,
                       5,
                       FALSE)</f>
        <v>0</v>
      </c>
      <c r="G750" s="127">
        <v>45207</v>
      </c>
      <c r="H750" s="123" t="s">
        <v>1805</v>
      </c>
      <c r="I750" s="127">
        <v>45191</v>
      </c>
      <c r="J750" s="124" t="s">
        <v>1109</v>
      </c>
      <c r="K750" s="124" t="s">
        <v>1530</v>
      </c>
      <c r="L750" s="124"/>
      <c r="M750" s="125">
        <v>546000</v>
      </c>
      <c r="N750" s="148">
        <v>0</v>
      </c>
      <c r="O750" s="148">
        <v>0</v>
      </c>
      <c r="P750" s="149">
        <v>0</v>
      </c>
      <c r="Q750" s="148">
        <v>0</v>
      </c>
      <c r="R750" s="150">
        <v>546000</v>
      </c>
      <c r="S7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0" s="135">
        <f ca="1">+IF(PROVEEDORES[[#This Row],[FECHA DE PAGO]]=0,TODAY()-PROVEEDORES[[#This Row],[FECHA DE FACTURACIÓN]]-PROVEEDORES[[#This Row],[PLAZO Días]],0)</f>
        <v>0</v>
      </c>
      <c r="U750" s="135">
        <f>+VLOOKUP(PROVEEDORES[[#This Row],[PROVEEDOR]],Terceros!$A:$D,4,FALSE)</f>
        <v>0</v>
      </c>
      <c r="V750" s="135">
        <f>+YEAR(PROVEEDORES[[#This Row],[FECHA DE FACTURACIÓN]])</f>
        <v>2023</v>
      </c>
      <c r="W750" s="135">
        <f>+MATCH(PROVEEDORES[[#This Row],[año facturado]],Retenciones!$1:$1,0)</f>
        <v>6</v>
      </c>
      <c r="X750" s="136">
        <f>+VLOOKUP(PROVEEDORES[[#This Row],[ID RETENCION]],Retenciones!$A$1:$O$25,PROVEEDORES[[#This Row],[indicador de columna]],FALSE)</f>
        <v>0</v>
      </c>
      <c r="Y750" s="137">
        <f>+VLOOKUP(PROVEEDORES[[#This Row],[ID RETENCION]],Retenciones!$A$1:$O$25,2,FALSE)</f>
        <v>0</v>
      </c>
      <c r="Z750" s="126" t="b">
        <f>+OR(COUNTIF(PROVEEDORES[[#This Row],[PROVEEDOR]],"*"&amp;'Palabra que no opera y Listas d'!$A$2&amp;"*"))</f>
        <v>0</v>
      </c>
    </row>
    <row r="751" spans="1:26" ht="27.75" customHeight="1" x14ac:dyDescent="0.25">
      <c r="A751" s="141" t="str">
        <f>+IF(PROVEEDORES[[#This Row],[FECHA DE PAGO]]=PROVEEDORES[[#This Row],[FECHA DE FACTURACIÓN]],"DE CONTADO","CRÉDITO")</f>
        <v>CRÉDITO</v>
      </c>
      <c r="B751" s="138" t="str">
        <f>+IF((PROVEEDORES[[#This Row],[FECHA DE PAGO]]-PROVEEDORES[[#This Row],[FECHA DE FACTURACIÓN]])&gt;PROVEEDORES[[#This Row],[PLAZO Días]],"PAGO VENCIDO")</f>
        <v>PAGO VENCIDO</v>
      </c>
      <c r="C751" s="138">
        <f>+VLOOKUP(PROVEEDORES[[#This Row],[PROVEEDOR]],TERCEROS_INFO[#All],2,FALSE)</f>
        <v>30</v>
      </c>
      <c r="D751" s="139">
        <f>+SUMIFS(PROVEEDORES[Total],PROVEEDORES[PROVEEDOR],PROVEEDORES[[#This Row],[PROVEEDOR]],PROVEEDORES[FECHA DE PAGO],"")</f>
        <v>11973060.324999999</v>
      </c>
      <c r="E751" s="140"/>
      <c r="F751" s="13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751" s="127">
        <v>45208</v>
      </c>
      <c r="H751" s="123" t="s">
        <v>64</v>
      </c>
      <c r="I751" s="127">
        <v>45135</v>
      </c>
      <c r="J751" s="124" t="s">
        <v>951</v>
      </c>
      <c r="K751" s="124" t="s">
        <v>1530</v>
      </c>
      <c r="L751" s="124"/>
      <c r="M751" s="125">
        <v>5771424</v>
      </c>
      <c r="N751" s="148">
        <v>1096570.56</v>
      </c>
      <c r="O751" s="148">
        <v>0</v>
      </c>
      <c r="P751" s="149">
        <v>2.5000000000000001E-2</v>
      </c>
      <c r="Q751" s="148">
        <v>144285.6</v>
      </c>
      <c r="R751" s="150">
        <v>6723708.9600000009</v>
      </c>
      <c r="S7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1" s="135">
        <f ca="1">+IF(PROVEEDORES[[#This Row],[FECHA DE PAGO]]=0,TODAY()-PROVEEDORES[[#This Row],[FECHA DE FACTURACIÓN]]-PROVEEDORES[[#This Row],[PLAZO Días]],0)</f>
        <v>0</v>
      </c>
      <c r="U751" s="135" t="str">
        <f>+VLOOKUP(PROVEEDORES[[#This Row],[PROVEEDOR]],Terceros!$A:$D,4,FALSE)</f>
        <v>2,5% con base</v>
      </c>
      <c r="V751" s="135">
        <f>+YEAR(PROVEEDORES[[#This Row],[FECHA DE FACTURACIÓN]])</f>
        <v>2023</v>
      </c>
      <c r="W751" s="135">
        <f>+MATCH(PROVEEDORES[[#This Row],[año facturado]],Retenciones!$1:$1,0)</f>
        <v>6</v>
      </c>
      <c r="X751" s="136">
        <f>+VLOOKUP(PROVEEDORES[[#This Row],[ID RETENCION]],Retenciones!$A$1:$O$25,PROVEEDORES[[#This Row],[indicador de columna]],FALSE)</f>
        <v>1145000</v>
      </c>
      <c r="Y751" s="137">
        <f>+VLOOKUP(PROVEEDORES[[#This Row],[ID RETENCION]],Retenciones!$A$1:$O$25,2,FALSE)</f>
        <v>2.5000000000000001E-2</v>
      </c>
      <c r="Z751" s="126" t="b">
        <f>+OR(COUNTIF(PROVEEDORES[[#This Row],[PROVEEDOR]],"*"&amp;'Palabra que no opera y Listas d'!$A$2&amp;"*"))</f>
        <v>0</v>
      </c>
    </row>
    <row r="752" spans="1:26" ht="27.75" customHeight="1" x14ac:dyDescent="0.25">
      <c r="A752" s="141" t="str">
        <f>+IF(PROVEEDORES[[#This Row],[FECHA DE PAGO]]=PROVEEDORES[[#This Row],[FECHA DE FACTURACIÓN]],"DE CONTADO","CRÉDITO")</f>
        <v>CRÉDITO</v>
      </c>
      <c r="B752" s="138" t="str">
        <f>+IF((PROVEEDORES[[#This Row],[FECHA DE PAGO]]-PROVEEDORES[[#This Row],[FECHA DE FACTURACIÓN]])&gt;PROVEEDORES[[#This Row],[PLAZO Días]],"PAGO VENCIDO")</f>
        <v>PAGO VENCIDO</v>
      </c>
      <c r="C752" s="138">
        <f>+VLOOKUP(PROVEEDORES[[#This Row],[PROVEEDOR]],TERCEROS_INFO[#All],2,FALSE)</f>
        <v>30</v>
      </c>
      <c r="D752" s="139">
        <f>+SUMIFS(PROVEEDORES[Total],PROVEEDORES[PROVEEDOR],PROVEEDORES[[#This Row],[PROVEEDOR]],PROVEEDORES[FECHA DE PAGO],"")</f>
        <v>0</v>
      </c>
      <c r="E752" s="140"/>
      <c r="F752" s="13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752" s="127">
        <v>45208</v>
      </c>
      <c r="H752" s="123" t="s">
        <v>1817</v>
      </c>
      <c r="I752" s="127">
        <v>45139</v>
      </c>
      <c r="J752" s="124" t="s">
        <v>944</v>
      </c>
      <c r="K752" s="124" t="s">
        <v>1530</v>
      </c>
      <c r="L752" s="124"/>
      <c r="M752" s="125">
        <v>4057000</v>
      </c>
      <c r="N752" s="148">
        <v>0</v>
      </c>
      <c r="O752" s="148">
        <v>0</v>
      </c>
      <c r="P752" s="149">
        <v>0</v>
      </c>
      <c r="Q752" s="148">
        <v>0</v>
      </c>
      <c r="R752" s="150">
        <v>4057000</v>
      </c>
      <c r="S7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2" s="135">
        <f ca="1">+IF(PROVEEDORES[[#This Row],[FECHA DE PAGO]]=0,TODAY()-PROVEEDORES[[#This Row],[FECHA DE FACTURACIÓN]]-PROVEEDORES[[#This Row],[PLAZO Días]],0)</f>
        <v>0</v>
      </c>
      <c r="U752" s="135">
        <f>+VLOOKUP(PROVEEDORES[[#This Row],[PROVEEDOR]],Terceros!$A:$D,4,FALSE)</f>
        <v>0</v>
      </c>
      <c r="V752" s="135">
        <f>+YEAR(PROVEEDORES[[#This Row],[FECHA DE FACTURACIÓN]])</f>
        <v>2023</v>
      </c>
      <c r="W752" s="135">
        <f>+MATCH(PROVEEDORES[[#This Row],[año facturado]],Retenciones!$1:$1,0)</f>
        <v>6</v>
      </c>
      <c r="X752" s="136">
        <f>+VLOOKUP(PROVEEDORES[[#This Row],[ID RETENCION]],Retenciones!$A$1:$O$25,PROVEEDORES[[#This Row],[indicador de columna]],FALSE)</f>
        <v>0</v>
      </c>
      <c r="Y752" s="137">
        <f>+VLOOKUP(PROVEEDORES[[#This Row],[ID RETENCION]],Retenciones!$A$1:$O$25,2,FALSE)</f>
        <v>0</v>
      </c>
      <c r="Z752" s="126" t="b">
        <f>+OR(COUNTIF(PROVEEDORES[[#This Row],[PROVEEDOR]],"*"&amp;'Palabra que no opera y Listas d'!$A$2&amp;"*"))</f>
        <v>0</v>
      </c>
    </row>
    <row r="753" spans="1:26" ht="27.75" customHeight="1" x14ac:dyDescent="0.25">
      <c r="A753" s="141" t="str">
        <f>+IF(PROVEEDORES[[#This Row],[FECHA DE PAGO]]=PROVEEDORES[[#This Row],[FECHA DE FACTURACIÓN]],"DE CONTADO","CRÉDITO")</f>
        <v>CRÉDITO</v>
      </c>
      <c r="B753" s="138" t="str">
        <f>+IF((PROVEEDORES[[#This Row],[FECHA DE PAGO]]-PROVEEDORES[[#This Row],[FECHA DE FACTURACIÓN]])&gt;PROVEEDORES[[#This Row],[PLAZO Días]],"PAGO VENCIDO")</f>
        <v>PAGO VENCIDO</v>
      </c>
      <c r="C753" s="138">
        <f>+VLOOKUP(PROVEEDORES[[#This Row],[PROVEEDOR]],TERCEROS_INFO[#All],2,FALSE)</f>
        <v>30</v>
      </c>
      <c r="D753" s="139">
        <f>+SUMIFS(PROVEEDORES[Total],PROVEEDORES[PROVEEDOR],PROVEEDORES[[#This Row],[PROVEEDOR]],PROVEEDORES[FECHA DE PAGO],"")</f>
        <v>0</v>
      </c>
      <c r="E753" s="140"/>
      <c r="F753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53" s="127">
        <v>45208</v>
      </c>
      <c r="H753" s="123" t="s">
        <v>948</v>
      </c>
      <c r="I753" s="127">
        <v>45140</v>
      </c>
      <c r="J753" s="124" t="s">
        <v>950</v>
      </c>
      <c r="K753" s="124" t="s">
        <v>1530</v>
      </c>
      <c r="L753" s="124"/>
      <c r="M753" s="125">
        <v>3115967</v>
      </c>
      <c r="N753" s="148">
        <v>592033.73</v>
      </c>
      <c r="O753" s="148">
        <v>0</v>
      </c>
      <c r="P753" s="149">
        <v>2.5000000000000001E-2</v>
      </c>
      <c r="Q753" s="148">
        <v>77899.175000000003</v>
      </c>
      <c r="R753" s="150">
        <v>3630101.5550000002</v>
      </c>
      <c r="S7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3" s="135">
        <f ca="1">+IF(PROVEEDORES[[#This Row],[FECHA DE PAGO]]=0,TODAY()-PROVEEDORES[[#This Row],[FECHA DE FACTURACIÓN]]-PROVEEDORES[[#This Row],[PLAZO Días]],0)</f>
        <v>0</v>
      </c>
      <c r="U753" s="135" t="str">
        <f>+VLOOKUP(PROVEEDORES[[#This Row],[PROVEEDOR]],Terceros!$A:$D,4,FALSE)</f>
        <v>2,5% con base</v>
      </c>
      <c r="V753" s="135">
        <f>+YEAR(PROVEEDORES[[#This Row],[FECHA DE FACTURACIÓN]])</f>
        <v>2023</v>
      </c>
      <c r="W753" s="135">
        <f>+MATCH(PROVEEDORES[[#This Row],[año facturado]],Retenciones!$1:$1,0)</f>
        <v>6</v>
      </c>
      <c r="X753" s="136">
        <f>+VLOOKUP(PROVEEDORES[[#This Row],[ID RETENCION]],Retenciones!$A$1:$O$25,PROVEEDORES[[#This Row],[indicador de columna]],FALSE)</f>
        <v>1145000</v>
      </c>
      <c r="Y753" s="137">
        <f>+VLOOKUP(PROVEEDORES[[#This Row],[ID RETENCION]],Retenciones!$A$1:$O$25,2,FALSE)</f>
        <v>2.5000000000000001E-2</v>
      </c>
      <c r="Z753" s="126" t="b">
        <f>+OR(COUNTIF(PROVEEDORES[[#This Row],[PROVEEDOR]],"*"&amp;'Palabra que no opera y Listas d'!$A$2&amp;"*"))</f>
        <v>0</v>
      </c>
    </row>
    <row r="754" spans="1:26" ht="27.75" customHeight="1" x14ac:dyDescent="0.25">
      <c r="A754" s="141" t="str">
        <f>+IF(PROVEEDORES[[#This Row],[FECHA DE PAGO]]=PROVEEDORES[[#This Row],[FECHA DE FACTURACIÓN]],"DE CONTADO","CRÉDITO")</f>
        <v>CRÉDITO</v>
      </c>
      <c r="B754" s="138" t="str">
        <f>+IF((PROVEEDORES[[#This Row],[FECHA DE PAGO]]-PROVEEDORES[[#This Row],[FECHA DE FACTURACIÓN]])&gt;PROVEEDORES[[#This Row],[PLAZO Días]],"PAGO VENCIDO")</f>
        <v>PAGO VENCIDO</v>
      </c>
      <c r="C754" s="138">
        <f>+VLOOKUP(PROVEEDORES[[#This Row],[PROVEEDOR]],TERCEROS_INFO[#All],2,FALSE)</f>
        <v>30</v>
      </c>
      <c r="D754" s="139">
        <f>+SUMIFS(PROVEEDORES[Total],PROVEEDORES[PROVEEDOR],PROVEEDORES[[#This Row],[PROVEEDOR]],PROVEEDORES[FECHA DE PAGO],"")</f>
        <v>5427539.2800000003</v>
      </c>
      <c r="E754" s="140"/>
      <c r="F754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754" s="127">
        <v>45208</v>
      </c>
      <c r="H754" s="123" t="s">
        <v>11</v>
      </c>
      <c r="I754" s="127">
        <v>45141</v>
      </c>
      <c r="J754" s="124" t="s">
        <v>956</v>
      </c>
      <c r="K754" s="124" t="s">
        <v>1530</v>
      </c>
      <c r="L754" s="124"/>
      <c r="M754" s="125">
        <v>2420172</v>
      </c>
      <c r="N754" s="148">
        <v>459832.68</v>
      </c>
      <c r="O754" s="148">
        <v>0</v>
      </c>
      <c r="P754" s="149">
        <v>2.5000000000000001E-2</v>
      </c>
      <c r="Q754" s="148">
        <v>60504.3</v>
      </c>
      <c r="R754" s="150">
        <v>2819500.3800000004</v>
      </c>
      <c r="S7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4" s="135">
        <f ca="1">+IF(PROVEEDORES[[#This Row],[FECHA DE PAGO]]=0,TODAY()-PROVEEDORES[[#This Row],[FECHA DE FACTURACIÓN]]-PROVEEDORES[[#This Row],[PLAZO Días]],0)</f>
        <v>0</v>
      </c>
      <c r="U754" s="135" t="str">
        <f>+VLOOKUP(PROVEEDORES[[#This Row],[PROVEEDOR]],Terceros!$A:$D,4,FALSE)</f>
        <v>2,5% con base</v>
      </c>
      <c r="V754" s="135">
        <f>+YEAR(PROVEEDORES[[#This Row],[FECHA DE FACTURACIÓN]])</f>
        <v>2023</v>
      </c>
      <c r="W754" s="135">
        <f>+MATCH(PROVEEDORES[[#This Row],[año facturado]],Retenciones!$1:$1,0)</f>
        <v>6</v>
      </c>
      <c r="X754" s="136">
        <f>+VLOOKUP(PROVEEDORES[[#This Row],[ID RETENCION]],Retenciones!$A$1:$O$25,PROVEEDORES[[#This Row],[indicador de columna]],FALSE)</f>
        <v>1145000</v>
      </c>
      <c r="Y754" s="137">
        <f>+VLOOKUP(PROVEEDORES[[#This Row],[ID RETENCION]],Retenciones!$A$1:$O$25,2,FALSE)</f>
        <v>2.5000000000000001E-2</v>
      </c>
      <c r="Z754" s="126" t="b">
        <f>+OR(COUNTIF(PROVEEDORES[[#This Row],[PROVEEDOR]],"*"&amp;'Palabra que no opera y Listas d'!$A$2&amp;"*"))</f>
        <v>0</v>
      </c>
    </row>
    <row r="755" spans="1:26" ht="27.75" customHeight="1" x14ac:dyDescent="0.25">
      <c r="A755" s="141" t="str">
        <f>+IF(PROVEEDORES[[#This Row],[FECHA DE PAGO]]=PROVEEDORES[[#This Row],[FECHA DE FACTURACIÓN]],"DE CONTADO","CRÉDITO")</f>
        <v>CRÉDITO</v>
      </c>
      <c r="B755" s="138" t="str">
        <f>+IF((PROVEEDORES[[#This Row],[FECHA DE PAGO]]-PROVEEDORES[[#This Row],[FECHA DE FACTURACIÓN]])&gt;PROVEEDORES[[#This Row],[PLAZO Días]],"PAGO VENCIDO")</f>
        <v>PAGO VENCIDO</v>
      </c>
      <c r="C755" s="138">
        <f>+VLOOKUP(PROVEEDORES[[#This Row],[PROVEEDOR]],TERCEROS_INFO[#All],2,FALSE)</f>
        <v>45</v>
      </c>
      <c r="D755" s="139">
        <f>+SUMIFS(PROVEEDORES[Total],PROVEEDORES[PROVEEDOR],PROVEEDORES[[#This Row],[PROVEEDOR]],PROVEEDORES[FECHA DE PAGO],"")</f>
        <v>2446500</v>
      </c>
      <c r="E755" s="140"/>
      <c r="F755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55" s="127">
        <v>45208</v>
      </c>
      <c r="H755" s="123" t="s">
        <v>10</v>
      </c>
      <c r="I755" s="127">
        <v>45142</v>
      </c>
      <c r="J755" s="124" t="s">
        <v>957</v>
      </c>
      <c r="K755" s="124" t="s">
        <v>1530</v>
      </c>
      <c r="L755" s="124"/>
      <c r="M755" s="125">
        <v>1250000</v>
      </c>
      <c r="N755" s="148">
        <v>237500</v>
      </c>
      <c r="O755" s="148">
        <v>0</v>
      </c>
      <c r="P755" s="149">
        <v>2.5000000000000001E-2</v>
      </c>
      <c r="Q755" s="148">
        <v>31250</v>
      </c>
      <c r="R755" s="150">
        <v>1456250</v>
      </c>
      <c r="S7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5" s="135">
        <f ca="1">+IF(PROVEEDORES[[#This Row],[FECHA DE PAGO]]=0,TODAY()-PROVEEDORES[[#This Row],[FECHA DE FACTURACIÓN]]-PROVEEDORES[[#This Row],[PLAZO Días]],0)</f>
        <v>0</v>
      </c>
      <c r="U755" s="135" t="str">
        <f>+VLOOKUP(PROVEEDORES[[#This Row],[PROVEEDOR]],Terceros!$A:$D,4,FALSE)</f>
        <v>2,5% con base</v>
      </c>
      <c r="V755" s="135">
        <f>+YEAR(PROVEEDORES[[#This Row],[FECHA DE FACTURACIÓN]])</f>
        <v>2023</v>
      </c>
      <c r="W755" s="135">
        <f>+MATCH(PROVEEDORES[[#This Row],[año facturado]],Retenciones!$1:$1,0)</f>
        <v>6</v>
      </c>
      <c r="X755" s="136">
        <f>+VLOOKUP(PROVEEDORES[[#This Row],[ID RETENCION]],Retenciones!$A$1:$O$25,PROVEEDORES[[#This Row],[indicador de columna]],FALSE)</f>
        <v>1145000</v>
      </c>
      <c r="Y755" s="137">
        <f>+VLOOKUP(PROVEEDORES[[#This Row],[ID RETENCION]],Retenciones!$A$1:$O$25,2,FALSE)</f>
        <v>2.5000000000000001E-2</v>
      </c>
      <c r="Z755" s="126" t="b">
        <f>+OR(COUNTIF(PROVEEDORES[[#This Row],[PROVEEDOR]],"*"&amp;'Palabra que no opera y Listas d'!$A$2&amp;"*"))</f>
        <v>0</v>
      </c>
    </row>
    <row r="756" spans="1:26" ht="27.75" customHeight="1" x14ac:dyDescent="0.25">
      <c r="A756" s="141" t="str">
        <f>+IF(PROVEEDORES[[#This Row],[FECHA DE PAGO]]=PROVEEDORES[[#This Row],[FECHA DE FACTURACIÓN]],"DE CONTADO","CRÉDITO")</f>
        <v>CRÉDITO</v>
      </c>
      <c r="B756" s="138" t="str">
        <f>+IF((PROVEEDORES[[#This Row],[FECHA DE PAGO]]-PROVEEDORES[[#This Row],[FECHA DE FACTURACIÓN]])&gt;PROVEEDORES[[#This Row],[PLAZO Días]],"PAGO VENCIDO")</f>
        <v>PAGO VENCIDO</v>
      </c>
      <c r="C756" s="138">
        <f>+VLOOKUP(PROVEEDORES[[#This Row],[PROVEEDOR]],TERCEROS_INFO[#All],2,FALSE)</f>
        <v>30</v>
      </c>
      <c r="D756" s="139">
        <f>+SUMIFS(PROVEEDORES[Total],PROVEEDORES[PROVEEDOR],PROVEEDORES[[#This Row],[PROVEEDOR]],PROVEEDORES[FECHA DE PAGO],"")</f>
        <v>4466504.835</v>
      </c>
      <c r="E756" s="140"/>
      <c r="F756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756" s="127">
        <v>45208</v>
      </c>
      <c r="H756" s="123" t="s">
        <v>18</v>
      </c>
      <c r="I756" s="127">
        <v>45146</v>
      </c>
      <c r="J756" s="124" t="s">
        <v>969</v>
      </c>
      <c r="K756" s="124" t="s">
        <v>1530</v>
      </c>
      <c r="L756" s="124"/>
      <c r="M756" s="125">
        <v>2539374</v>
      </c>
      <c r="N756" s="148">
        <v>482481.06</v>
      </c>
      <c r="O756" s="148">
        <v>0</v>
      </c>
      <c r="P756" s="149">
        <v>2.5000000000000001E-2</v>
      </c>
      <c r="Q756" s="148">
        <v>63484.350000000006</v>
      </c>
      <c r="R756" s="150">
        <v>2958370.71</v>
      </c>
      <c r="S7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6" s="135">
        <f ca="1">+IF(PROVEEDORES[[#This Row],[FECHA DE PAGO]]=0,TODAY()-PROVEEDORES[[#This Row],[FECHA DE FACTURACIÓN]]-PROVEEDORES[[#This Row],[PLAZO Días]],0)</f>
        <v>0</v>
      </c>
      <c r="U756" s="135" t="str">
        <f>+VLOOKUP(PROVEEDORES[[#This Row],[PROVEEDOR]],Terceros!$A:$D,4,FALSE)</f>
        <v>2,5% con base</v>
      </c>
      <c r="V756" s="135">
        <f>+YEAR(PROVEEDORES[[#This Row],[FECHA DE FACTURACIÓN]])</f>
        <v>2023</v>
      </c>
      <c r="W756" s="135">
        <f>+MATCH(PROVEEDORES[[#This Row],[año facturado]],Retenciones!$1:$1,0)</f>
        <v>6</v>
      </c>
      <c r="X756" s="136">
        <f>+VLOOKUP(PROVEEDORES[[#This Row],[ID RETENCION]],Retenciones!$A$1:$O$25,PROVEEDORES[[#This Row],[indicador de columna]],FALSE)</f>
        <v>1145000</v>
      </c>
      <c r="Y756" s="137">
        <f>+VLOOKUP(PROVEEDORES[[#This Row],[ID RETENCION]],Retenciones!$A$1:$O$25,2,FALSE)</f>
        <v>2.5000000000000001E-2</v>
      </c>
      <c r="Z756" s="126" t="b">
        <f>+OR(COUNTIF(PROVEEDORES[[#This Row],[PROVEEDOR]],"*"&amp;'Palabra que no opera y Listas d'!$A$2&amp;"*"))</f>
        <v>0</v>
      </c>
    </row>
    <row r="757" spans="1:26" ht="27.75" customHeight="1" x14ac:dyDescent="0.25">
      <c r="A757" s="141" t="str">
        <f>+IF(PROVEEDORES[[#This Row],[FECHA DE PAGO]]=PROVEEDORES[[#This Row],[FECHA DE FACTURACIÓN]],"DE CONTADO","CRÉDITO")</f>
        <v>CRÉDITO</v>
      </c>
      <c r="B757" s="138" t="str">
        <f>+IF((PROVEEDORES[[#This Row],[FECHA DE PAGO]]-PROVEEDORES[[#This Row],[FECHA DE FACTURACIÓN]])&gt;PROVEEDORES[[#This Row],[PLAZO Días]],"PAGO VENCIDO")</f>
        <v>PAGO VENCIDO</v>
      </c>
      <c r="C757" s="138">
        <f>+VLOOKUP(PROVEEDORES[[#This Row],[PROVEEDOR]],TERCEROS_INFO[#All],2,FALSE)</f>
        <v>30</v>
      </c>
      <c r="D757" s="139">
        <f>+SUMIFS(PROVEEDORES[Total],PROVEEDORES[PROVEEDOR],PROVEEDORES[[#This Row],[PROVEEDOR]],PROVEEDORES[FECHA DE PAGO],"")</f>
        <v>4466504.835</v>
      </c>
      <c r="E757" s="140"/>
      <c r="F757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757" s="127">
        <v>45208</v>
      </c>
      <c r="H757" s="123" t="s">
        <v>18</v>
      </c>
      <c r="I757" s="127">
        <v>45153</v>
      </c>
      <c r="J757" s="124" t="s">
        <v>1004</v>
      </c>
      <c r="K757" s="124" t="s">
        <v>1530</v>
      </c>
      <c r="L757" s="124"/>
      <c r="M757" s="125">
        <v>3257262</v>
      </c>
      <c r="N757" s="148">
        <v>618879.78</v>
      </c>
      <c r="O757" s="148">
        <v>0</v>
      </c>
      <c r="P757" s="149">
        <v>2.5000000000000001E-2</v>
      </c>
      <c r="Q757" s="148">
        <v>81431.55</v>
      </c>
      <c r="R757" s="150">
        <v>3794710.2300000004</v>
      </c>
      <c r="S7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7" s="135">
        <f ca="1">+IF(PROVEEDORES[[#This Row],[FECHA DE PAGO]]=0,TODAY()-PROVEEDORES[[#This Row],[FECHA DE FACTURACIÓN]]-PROVEEDORES[[#This Row],[PLAZO Días]],0)</f>
        <v>0</v>
      </c>
      <c r="U757" s="135" t="str">
        <f>+VLOOKUP(PROVEEDORES[[#This Row],[PROVEEDOR]],Terceros!$A:$D,4,FALSE)</f>
        <v>2,5% con base</v>
      </c>
      <c r="V757" s="135">
        <f>+YEAR(PROVEEDORES[[#This Row],[FECHA DE FACTURACIÓN]])</f>
        <v>2023</v>
      </c>
      <c r="W757" s="135">
        <f>+MATCH(PROVEEDORES[[#This Row],[año facturado]],Retenciones!$1:$1,0)</f>
        <v>6</v>
      </c>
      <c r="X757" s="136">
        <f>+VLOOKUP(PROVEEDORES[[#This Row],[ID RETENCION]],Retenciones!$A$1:$O$25,PROVEEDORES[[#This Row],[indicador de columna]],FALSE)</f>
        <v>1145000</v>
      </c>
      <c r="Y757" s="137">
        <f>+VLOOKUP(PROVEEDORES[[#This Row],[ID RETENCION]],Retenciones!$A$1:$O$25,2,FALSE)</f>
        <v>2.5000000000000001E-2</v>
      </c>
      <c r="Z757" s="126" t="b">
        <f>+OR(COUNTIF(PROVEEDORES[[#This Row],[PROVEEDOR]],"*"&amp;'Palabra que no opera y Listas d'!$A$2&amp;"*"))</f>
        <v>0</v>
      </c>
    </row>
    <row r="758" spans="1:26" ht="27.75" customHeight="1" x14ac:dyDescent="0.25">
      <c r="A758" s="141" t="str">
        <f>+IF(PROVEEDORES[[#This Row],[FECHA DE PAGO]]=PROVEEDORES[[#This Row],[FECHA DE FACTURACIÓN]],"DE CONTADO","CRÉDITO")</f>
        <v>CRÉDITO</v>
      </c>
      <c r="B758" s="138" t="str">
        <f>+IF((PROVEEDORES[[#This Row],[FECHA DE PAGO]]-PROVEEDORES[[#This Row],[FECHA DE FACTURACIÓN]])&gt;PROVEEDORES[[#This Row],[PLAZO Días]],"PAGO VENCIDO")</f>
        <v>PAGO VENCIDO</v>
      </c>
      <c r="C758" s="138">
        <f>+VLOOKUP(PROVEEDORES[[#This Row],[PROVEEDOR]],TERCEROS_INFO[#All],2,FALSE)</f>
        <v>30</v>
      </c>
      <c r="D758" s="139">
        <f>+SUMIFS(PROVEEDORES[Total],PROVEEDORES[PROVEEDOR],PROVEEDORES[[#This Row],[PROVEEDOR]],PROVEEDORES[FECHA DE PAGO],"")</f>
        <v>0</v>
      </c>
      <c r="E758" s="140"/>
      <c r="F758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758" s="127">
        <v>45208</v>
      </c>
      <c r="H758" s="123" t="s">
        <v>948</v>
      </c>
      <c r="I758" s="127">
        <v>45153</v>
      </c>
      <c r="J758" s="124" t="s">
        <v>1003</v>
      </c>
      <c r="K758" s="124" t="s">
        <v>1530</v>
      </c>
      <c r="L758" s="124"/>
      <c r="M758" s="125">
        <v>327731</v>
      </c>
      <c r="N758" s="148">
        <v>62268.89</v>
      </c>
      <c r="O758" s="148">
        <v>0</v>
      </c>
      <c r="P758" s="149">
        <v>0</v>
      </c>
      <c r="Q758" s="148">
        <v>0</v>
      </c>
      <c r="R758" s="150">
        <v>389999.89</v>
      </c>
      <c r="S7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8" s="135">
        <f ca="1">+IF(PROVEEDORES[[#This Row],[FECHA DE PAGO]]=0,TODAY()-PROVEEDORES[[#This Row],[FECHA DE FACTURACIÓN]]-PROVEEDORES[[#This Row],[PLAZO Días]],0)</f>
        <v>0</v>
      </c>
      <c r="U758" s="135" t="str">
        <f>+VLOOKUP(PROVEEDORES[[#This Row],[PROVEEDOR]],Terceros!$A:$D,4,FALSE)</f>
        <v>2,5% con base</v>
      </c>
      <c r="V758" s="135">
        <f>+YEAR(PROVEEDORES[[#This Row],[FECHA DE FACTURACIÓN]])</f>
        <v>2023</v>
      </c>
      <c r="W758" s="135">
        <f>+MATCH(PROVEEDORES[[#This Row],[año facturado]],Retenciones!$1:$1,0)</f>
        <v>6</v>
      </c>
      <c r="X758" s="136">
        <f>+VLOOKUP(PROVEEDORES[[#This Row],[ID RETENCION]],Retenciones!$A$1:$O$25,PROVEEDORES[[#This Row],[indicador de columna]],FALSE)</f>
        <v>1145000</v>
      </c>
      <c r="Y758" s="137">
        <f>+VLOOKUP(PROVEEDORES[[#This Row],[ID RETENCION]],Retenciones!$A$1:$O$25,2,FALSE)</f>
        <v>2.5000000000000001E-2</v>
      </c>
      <c r="Z758" s="126" t="b">
        <f>+OR(COUNTIF(PROVEEDORES[[#This Row],[PROVEEDOR]],"*"&amp;'Palabra que no opera y Listas d'!$A$2&amp;"*"))</f>
        <v>0</v>
      </c>
    </row>
    <row r="759" spans="1:26" ht="27.75" customHeight="1" x14ac:dyDescent="0.25">
      <c r="A759" s="141" t="str">
        <f>+IF(PROVEEDORES[[#This Row],[FECHA DE PAGO]]=PROVEEDORES[[#This Row],[FECHA DE FACTURACIÓN]],"DE CONTADO","CRÉDITO")</f>
        <v>CRÉDITO</v>
      </c>
      <c r="B759" s="138" t="str">
        <f>+IF((PROVEEDORES[[#This Row],[FECHA DE PAGO]]-PROVEEDORES[[#This Row],[FECHA DE FACTURACIÓN]])&gt;PROVEEDORES[[#This Row],[PLAZO Días]],"PAGO VENCIDO")</f>
        <v>PAGO VENCIDO</v>
      </c>
      <c r="C759" s="138">
        <f>+VLOOKUP(PROVEEDORES[[#This Row],[PROVEEDOR]],TERCEROS_INFO[#All],2,FALSE)</f>
        <v>45</v>
      </c>
      <c r="D759" s="139">
        <f>+SUMIFS(PROVEEDORES[Total],PROVEEDORES[PROVEEDOR],PROVEEDORES[[#This Row],[PROVEEDOR]],PROVEEDORES[FECHA DE PAGO],"")</f>
        <v>2446500</v>
      </c>
      <c r="E759" s="140"/>
      <c r="F759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59" s="127">
        <v>45208</v>
      </c>
      <c r="H759" s="123" t="s">
        <v>10</v>
      </c>
      <c r="I759" s="127">
        <v>45153</v>
      </c>
      <c r="J759" s="124" t="s">
        <v>1012</v>
      </c>
      <c r="K759" s="124" t="s">
        <v>1530</v>
      </c>
      <c r="L759" s="124"/>
      <c r="M759" s="125">
        <v>768000</v>
      </c>
      <c r="N759" s="148">
        <v>145920</v>
      </c>
      <c r="O759" s="148">
        <v>0</v>
      </c>
      <c r="P759" s="149">
        <v>0</v>
      </c>
      <c r="Q759" s="148">
        <v>0</v>
      </c>
      <c r="R759" s="150">
        <v>913920</v>
      </c>
      <c r="S7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59" s="135">
        <f ca="1">+IF(PROVEEDORES[[#This Row],[FECHA DE PAGO]]=0,TODAY()-PROVEEDORES[[#This Row],[FECHA DE FACTURACIÓN]]-PROVEEDORES[[#This Row],[PLAZO Días]],0)</f>
        <v>0</v>
      </c>
      <c r="U759" s="135" t="str">
        <f>+VLOOKUP(PROVEEDORES[[#This Row],[PROVEEDOR]],Terceros!$A:$D,4,FALSE)</f>
        <v>2,5% con base</v>
      </c>
      <c r="V759" s="135">
        <f>+YEAR(PROVEEDORES[[#This Row],[FECHA DE FACTURACIÓN]])</f>
        <v>2023</v>
      </c>
      <c r="W759" s="135">
        <f>+MATCH(PROVEEDORES[[#This Row],[año facturado]],Retenciones!$1:$1,0)</f>
        <v>6</v>
      </c>
      <c r="X759" s="136">
        <f>+VLOOKUP(PROVEEDORES[[#This Row],[ID RETENCION]],Retenciones!$A$1:$O$25,PROVEEDORES[[#This Row],[indicador de columna]],FALSE)</f>
        <v>1145000</v>
      </c>
      <c r="Y759" s="137">
        <f>+VLOOKUP(PROVEEDORES[[#This Row],[ID RETENCION]],Retenciones!$A$1:$O$25,2,FALSE)</f>
        <v>2.5000000000000001E-2</v>
      </c>
      <c r="Z759" s="126" t="b">
        <f>+OR(COUNTIF(PROVEEDORES[[#This Row],[PROVEEDOR]],"*"&amp;'Palabra que no opera y Listas d'!$A$2&amp;"*"))</f>
        <v>0</v>
      </c>
    </row>
    <row r="760" spans="1:26" ht="27.75" customHeight="1" x14ac:dyDescent="0.25">
      <c r="A760" s="141" t="str">
        <f>+IF(PROVEEDORES[[#This Row],[FECHA DE PAGO]]=PROVEEDORES[[#This Row],[FECHA DE FACTURACIÓN]],"DE CONTADO","CRÉDITO")</f>
        <v>CRÉDITO</v>
      </c>
      <c r="B760" s="138" t="str">
        <f>+IF((PROVEEDORES[[#This Row],[FECHA DE PAGO]]-PROVEEDORES[[#This Row],[FECHA DE FACTURACIÓN]])&gt;PROVEEDORES[[#This Row],[PLAZO Días]],"PAGO VENCIDO")</f>
        <v>PAGO VENCIDO</v>
      </c>
      <c r="C760" s="138">
        <f>+VLOOKUP(PROVEEDORES[[#This Row],[PROVEEDOR]],TERCEROS_INFO[#All],2,FALSE)</f>
        <v>45</v>
      </c>
      <c r="D760" s="139">
        <f>+SUMIFS(PROVEEDORES[Total],PROVEEDORES[PROVEEDOR],PROVEEDORES[[#This Row],[PROVEEDOR]],PROVEEDORES[FECHA DE PAGO],"")</f>
        <v>2446500</v>
      </c>
      <c r="E760" s="140"/>
      <c r="F760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760" s="127">
        <v>45208</v>
      </c>
      <c r="H760" s="123" t="s">
        <v>10</v>
      </c>
      <c r="I760" s="127">
        <v>45154</v>
      </c>
      <c r="J760" s="124" t="s">
        <v>1011</v>
      </c>
      <c r="K760" s="124" t="s">
        <v>1530</v>
      </c>
      <c r="L760" s="124"/>
      <c r="M760" s="125">
        <v>3900000</v>
      </c>
      <c r="N760" s="148">
        <v>741000</v>
      </c>
      <c r="O760" s="148">
        <v>0</v>
      </c>
      <c r="P760" s="149">
        <v>2.5000000000000001E-2</v>
      </c>
      <c r="Q760" s="148">
        <v>97500</v>
      </c>
      <c r="R760" s="150">
        <v>4543500</v>
      </c>
      <c r="S7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0" s="135">
        <f ca="1">+IF(PROVEEDORES[[#This Row],[FECHA DE PAGO]]=0,TODAY()-PROVEEDORES[[#This Row],[FECHA DE FACTURACIÓN]]-PROVEEDORES[[#This Row],[PLAZO Días]],0)</f>
        <v>0</v>
      </c>
      <c r="U760" s="135" t="str">
        <f>+VLOOKUP(PROVEEDORES[[#This Row],[PROVEEDOR]],Terceros!$A:$D,4,FALSE)</f>
        <v>2,5% con base</v>
      </c>
      <c r="V760" s="135">
        <f>+YEAR(PROVEEDORES[[#This Row],[FECHA DE FACTURACIÓN]])</f>
        <v>2023</v>
      </c>
      <c r="W760" s="135">
        <f>+MATCH(PROVEEDORES[[#This Row],[año facturado]],Retenciones!$1:$1,0)</f>
        <v>6</v>
      </c>
      <c r="X760" s="136">
        <f>+VLOOKUP(PROVEEDORES[[#This Row],[ID RETENCION]],Retenciones!$A$1:$O$25,PROVEEDORES[[#This Row],[indicador de columna]],FALSE)</f>
        <v>1145000</v>
      </c>
      <c r="Y760" s="137">
        <f>+VLOOKUP(PROVEEDORES[[#This Row],[ID RETENCION]],Retenciones!$A$1:$O$25,2,FALSE)</f>
        <v>2.5000000000000001E-2</v>
      </c>
      <c r="Z760" s="126" t="b">
        <f>+OR(COUNTIF(PROVEEDORES[[#This Row],[PROVEEDOR]],"*"&amp;'Palabra que no opera y Listas d'!$A$2&amp;"*"))</f>
        <v>0</v>
      </c>
    </row>
    <row r="761" spans="1:26" ht="27.75" customHeight="1" x14ac:dyDescent="0.25">
      <c r="A761" s="141" t="str">
        <f>+IF(PROVEEDORES[[#This Row],[FECHA DE PAGO]]=PROVEEDORES[[#This Row],[FECHA DE FACTURACIÓN]],"DE CONTADO","CRÉDITO")</f>
        <v>CRÉDITO</v>
      </c>
      <c r="B761" s="138" t="str">
        <f>+IF((PROVEEDORES[[#This Row],[FECHA DE PAGO]]-PROVEEDORES[[#This Row],[FECHA DE FACTURACIÓN]])&gt;PROVEEDORES[[#This Row],[PLAZO Días]],"PAGO VENCIDO")</f>
        <v>PAGO VENCIDO</v>
      </c>
      <c r="C761" s="138">
        <f>+VLOOKUP(PROVEEDORES[[#This Row],[PROVEEDOR]],TERCEROS_INFO[#All],2,FALSE)</f>
        <v>30</v>
      </c>
      <c r="D761" s="139">
        <f>+SUMIFS(PROVEEDORES[Total],PROVEEDORES[PROVEEDOR],PROVEEDORES[[#This Row],[PROVEEDOR]],PROVEEDORES[FECHA DE PAGO],"")</f>
        <v>5427539.2800000003</v>
      </c>
      <c r="E761" s="140"/>
      <c r="F761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761" s="127">
        <v>45208</v>
      </c>
      <c r="H761" s="123" t="s">
        <v>11</v>
      </c>
      <c r="I761" s="127">
        <v>45155</v>
      </c>
      <c r="J761" s="124" t="s">
        <v>1014</v>
      </c>
      <c r="K761" s="124" t="s">
        <v>1530</v>
      </c>
      <c r="L761" s="124"/>
      <c r="M761" s="125">
        <v>4658832</v>
      </c>
      <c r="N761" s="148">
        <v>885178.08</v>
      </c>
      <c r="O761" s="148">
        <v>0</v>
      </c>
      <c r="P761" s="149">
        <v>2.5000000000000001E-2</v>
      </c>
      <c r="Q761" s="148">
        <v>116470.8</v>
      </c>
      <c r="R761" s="150">
        <v>5427539.2800000003</v>
      </c>
      <c r="S7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1" s="135">
        <f ca="1">+IF(PROVEEDORES[[#This Row],[FECHA DE PAGO]]=0,TODAY()-PROVEEDORES[[#This Row],[FECHA DE FACTURACIÓN]]-PROVEEDORES[[#This Row],[PLAZO Días]],0)</f>
        <v>0</v>
      </c>
      <c r="U761" s="135" t="str">
        <f>+VLOOKUP(PROVEEDORES[[#This Row],[PROVEEDOR]],Terceros!$A:$D,4,FALSE)</f>
        <v>2,5% con base</v>
      </c>
      <c r="V761" s="135">
        <f>+YEAR(PROVEEDORES[[#This Row],[FECHA DE FACTURACIÓN]])</f>
        <v>2023</v>
      </c>
      <c r="W761" s="135">
        <f>+MATCH(PROVEEDORES[[#This Row],[año facturado]],Retenciones!$1:$1,0)</f>
        <v>6</v>
      </c>
      <c r="X761" s="136">
        <f>+VLOOKUP(PROVEEDORES[[#This Row],[ID RETENCION]],Retenciones!$A$1:$O$25,PROVEEDORES[[#This Row],[indicador de columna]],FALSE)</f>
        <v>1145000</v>
      </c>
      <c r="Y761" s="137">
        <f>+VLOOKUP(PROVEEDORES[[#This Row],[ID RETENCION]],Retenciones!$A$1:$O$25,2,FALSE)</f>
        <v>2.5000000000000001E-2</v>
      </c>
      <c r="Z761" s="126" t="b">
        <f>+OR(COUNTIF(PROVEEDORES[[#This Row],[PROVEEDOR]],"*"&amp;'Palabra que no opera y Listas d'!$A$2&amp;"*"))</f>
        <v>0</v>
      </c>
    </row>
    <row r="762" spans="1:26" ht="27.75" customHeight="1" x14ac:dyDescent="0.25">
      <c r="A762" s="141" t="str">
        <f>+IF(PROVEEDORES[[#This Row],[FECHA DE PAGO]]=PROVEEDORES[[#This Row],[FECHA DE FACTURACIÓN]],"DE CONTADO","CRÉDITO")</f>
        <v>CRÉDITO</v>
      </c>
      <c r="B762" s="138" t="str">
        <f>+IF((PROVEEDORES[[#This Row],[FECHA DE PAGO]]-PROVEEDORES[[#This Row],[FECHA DE FACTURACIÓN]])&gt;PROVEEDORES[[#This Row],[PLAZO Días]],"PAGO VENCIDO")</f>
        <v>PAGO VENCIDO</v>
      </c>
      <c r="C762" s="138">
        <f>+VLOOKUP(PROVEEDORES[[#This Row],[PROVEEDOR]],TERCEROS_INFO[#All],2,FALSE)</f>
        <v>30</v>
      </c>
      <c r="D762" s="139">
        <f>+SUMIFS(PROVEEDORES[Total],PROVEEDORES[PROVEEDOR],PROVEEDORES[[#This Row],[PROVEEDOR]],PROVEEDORES[FECHA DE PAGO],"")</f>
        <v>5427539.2800000003</v>
      </c>
      <c r="E762" s="140"/>
      <c r="F762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762" s="127">
        <v>45208</v>
      </c>
      <c r="H762" s="123" t="s">
        <v>11</v>
      </c>
      <c r="I762" s="127">
        <v>45160</v>
      </c>
      <c r="J762" s="124" t="s">
        <v>1013</v>
      </c>
      <c r="K762" s="124" t="s">
        <v>1530</v>
      </c>
      <c r="L762" s="124"/>
      <c r="M762" s="125">
        <v>776472</v>
      </c>
      <c r="N762" s="148">
        <v>147529.68</v>
      </c>
      <c r="O762" s="148">
        <v>0</v>
      </c>
      <c r="P762" s="149">
        <v>0</v>
      </c>
      <c r="Q762" s="148">
        <v>0</v>
      </c>
      <c r="R762" s="150">
        <v>924001.67999999993</v>
      </c>
      <c r="S7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2" s="135">
        <f ca="1">+IF(PROVEEDORES[[#This Row],[FECHA DE PAGO]]=0,TODAY()-PROVEEDORES[[#This Row],[FECHA DE FACTURACIÓN]]-PROVEEDORES[[#This Row],[PLAZO Días]],0)</f>
        <v>0</v>
      </c>
      <c r="U762" s="135" t="str">
        <f>+VLOOKUP(PROVEEDORES[[#This Row],[PROVEEDOR]],Terceros!$A:$D,4,FALSE)</f>
        <v>2,5% con base</v>
      </c>
      <c r="V762" s="135">
        <f>+YEAR(PROVEEDORES[[#This Row],[FECHA DE FACTURACIÓN]])</f>
        <v>2023</v>
      </c>
      <c r="W762" s="135">
        <f>+MATCH(PROVEEDORES[[#This Row],[año facturado]],Retenciones!$1:$1,0)</f>
        <v>6</v>
      </c>
      <c r="X762" s="136">
        <f>+VLOOKUP(PROVEEDORES[[#This Row],[ID RETENCION]],Retenciones!$A$1:$O$25,PROVEEDORES[[#This Row],[indicador de columna]],FALSE)</f>
        <v>1145000</v>
      </c>
      <c r="Y762" s="137">
        <f>+VLOOKUP(PROVEEDORES[[#This Row],[ID RETENCION]],Retenciones!$A$1:$O$25,2,FALSE)</f>
        <v>2.5000000000000001E-2</v>
      </c>
      <c r="Z762" s="126" t="b">
        <f>+OR(COUNTIF(PROVEEDORES[[#This Row],[PROVEEDOR]],"*"&amp;'Palabra que no opera y Listas d'!$A$2&amp;"*"))</f>
        <v>0</v>
      </c>
    </row>
    <row r="763" spans="1:26" ht="27.75" customHeight="1" x14ac:dyDescent="0.25">
      <c r="A763" s="141" t="str">
        <f>+IF(PROVEEDORES[[#This Row],[FECHA DE PAGO]]=PROVEEDORES[[#This Row],[FECHA DE FACTURACIÓN]],"DE CONTADO","CRÉDITO")</f>
        <v>CRÉDITO</v>
      </c>
      <c r="B763" s="138" t="str">
        <f>+IF((PROVEEDORES[[#This Row],[FECHA DE PAGO]]-PROVEEDORES[[#This Row],[FECHA DE FACTURACIÓN]])&gt;PROVEEDORES[[#This Row],[PLAZO Días]],"PAGO VENCIDO")</f>
        <v>PAGO VENCIDO</v>
      </c>
      <c r="C763" s="138">
        <f>+VLOOKUP(PROVEEDORES[[#This Row],[PROVEEDOR]],TERCEROS_INFO[#All],2,FALSE)</f>
        <v>30</v>
      </c>
      <c r="D763" s="139">
        <f>+SUMIFS(PROVEEDORES[Total],PROVEEDORES[PROVEEDOR],PROVEEDORES[[#This Row],[PROVEEDOR]],PROVEEDORES[FECHA DE PAGO],"")</f>
        <v>4466504.835</v>
      </c>
      <c r="E763" s="140"/>
      <c r="F763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763" s="127">
        <v>45208</v>
      </c>
      <c r="H763" s="123" t="s">
        <v>18</v>
      </c>
      <c r="I763" s="127">
        <v>45161</v>
      </c>
      <c r="J763" s="124" t="s">
        <v>1005</v>
      </c>
      <c r="K763" s="124" t="s">
        <v>1530</v>
      </c>
      <c r="L763" s="124"/>
      <c r="M763" s="125">
        <v>1809303</v>
      </c>
      <c r="N763" s="148">
        <v>343767.57</v>
      </c>
      <c r="O763" s="148">
        <v>0</v>
      </c>
      <c r="P763" s="149">
        <v>2.5000000000000001E-2</v>
      </c>
      <c r="Q763" s="148">
        <v>45232.575000000004</v>
      </c>
      <c r="R763" s="150">
        <v>2107837.9949999996</v>
      </c>
      <c r="S7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3" s="135">
        <f ca="1">+IF(PROVEEDORES[[#This Row],[FECHA DE PAGO]]=0,TODAY()-PROVEEDORES[[#This Row],[FECHA DE FACTURACIÓN]]-PROVEEDORES[[#This Row],[PLAZO Días]],0)</f>
        <v>0</v>
      </c>
      <c r="U763" s="135" t="str">
        <f>+VLOOKUP(PROVEEDORES[[#This Row],[PROVEEDOR]],Terceros!$A:$D,4,FALSE)</f>
        <v>2,5% con base</v>
      </c>
      <c r="V763" s="135">
        <f>+YEAR(PROVEEDORES[[#This Row],[FECHA DE FACTURACIÓN]])</f>
        <v>2023</v>
      </c>
      <c r="W763" s="135">
        <f>+MATCH(PROVEEDORES[[#This Row],[año facturado]],Retenciones!$1:$1,0)</f>
        <v>6</v>
      </c>
      <c r="X763" s="136">
        <f>+VLOOKUP(PROVEEDORES[[#This Row],[ID RETENCION]],Retenciones!$A$1:$O$25,PROVEEDORES[[#This Row],[indicador de columna]],FALSE)</f>
        <v>1145000</v>
      </c>
      <c r="Y763" s="137">
        <f>+VLOOKUP(PROVEEDORES[[#This Row],[ID RETENCION]],Retenciones!$A$1:$O$25,2,FALSE)</f>
        <v>2.5000000000000001E-2</v>
      </c>
      <c r="Z763" s="126" t="b">
        <f>+OR(COUNTIF(PROVEEDORES[[#This Row],[PROVEEDOR]],"*"&amp;'Palabra que no opera y Listas d'!$A$2&amp;"*"))</f>
        <v>0</v>
      </c>
    </row>
    <row r="764" spans="1:26" ht="27.75" customHeight="1" x14ac:dyDescent="0.25">
      <c r="A764" s="141" t="str">
        <f>+IF(PROVEEDORES[[#This Row],[FECHA DE PAGO]]=PROVEEDORES[[#This Row],[FECHA DE FACTURACIÓN]],"DE CONTADO","CRÉDITO")</f>
        <v>CRÉDITO</v>
      </c>
      <c r="B764" s="138" t="str">
        <f>+IF((PROVEEDORES[[#This Row],[FECHA DE PAGO]]-PROVEEDORES[[#This Row],[FECHA DE FACTURACIÓN]])&gt;PROVEEDORES[[#This Row],[PLAZO Días]],"PAGO VENCIDO")</f>
        <v>PAGO VENCIDO</v>
      </c>
      <c r="C764" s="138">
        <f>+VLOOKUP(PROVEEDORES[[#This Row],[PROVEEDOR]],TERCEROS_INFO[#All],2,FALSE)</f>
        <v>30</v>
      </c>
      <c r="D764" s="139">
        <f>+SUMIFS(PROVEEDORES[Total],PROVEEDORES[PROVEEDOR],PROVEEDORES[[#This Row],[PROVEEDOR]],PROVEEDORES[FECHA DE PAGO],"")</f>
        <v>0</v>
      </c>
      <c r="E764" s="140"/>
      <c r="F764" s="13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764" s="127">
        <v>45208</v>
      </c>
      <c r="H764" s="123" t="s">
        <v>1592</v>
      </c>
      <c r="I764" s="127">
        <v>45166</v>
      </c>
      <c r="J764" s="124" t="s">
        <v>1017</v>
      </c>
      <c r="K764" s="124" t="s">
        <v>1530</v>
      </c>
      <c r="L764" s="124"/>
      <c r="M764" s="125">
        <v>1230000</v>
      </c>
      <c r="N764" s="148">
        <v>233700</v>
      </c>
      <c r="O764" s="148">
        <v>0</v>
      </c>
      <c r="P764" s="149">
        <v>2.5000000000000001E-2</v>
      </c>
      <c r="Q764" s="148">
        <v>30750</v>
      </c>
      <c r="R764" s="150">
        <v>1432950</v>
      </c>
      <c r="S7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4" s="135">
        <f ca="1">+IF(PROVEEDORES[[#This Row],[FECHA DE PAGO]]=0,TODAY()-PROVEEDORES[[#This Row],[FECHA DE FACTURACIÓN]]-PROVEEDORES[[#This Row],[PLAZO Días]],0)</f>
        <v>0</v>
      </c>
      <c r="U764" s="135" t="str">
        <f>+VLOOKUP(PROVEEDORES[[#This Row],[PROVEEDOR]],Terceros!$A:$D,4,FALSE)</f>
        <v>2,5% con base</v>
      </c>
      <c r="V764" s="135">
        <f>+YEAR(PROVEEDORES[[#This Row],[FECHA DE FACTURACIÓN]])</f>
        <v>2023</v>
      </c>
      <c r="W764" s="135">
        <f>+MATCH(PROVEEDORES[[#This Row],[año facturado]],Retenciones!$1:$1,0)</f>
        <v>6</v>
      </c>
      <c r="X764" s="136">
        <f>+VLOOKUP(PROVEEDORES[[#This Row],[ID RETENCION]],Retenciones!$A$1:$O$25,PROVEEDORES[[#This Row],[indicador de columna]],FALSE)</f>
        <v>1145000</v>
      </c>
      <c r="Y764" s="137">
        <f>+VLOOKUP(PROVEEDORES[[#This Row],[ID RETENCION]],Retenciones!$A$1:$O$25,2,FALSE)</f>
        <v>2.5000000000000001E-2</v>
      </c>
      <c r="Z764" s="126" t="b">
        <f>+OR(COUNTIF(PROVEEDORES[[#This Row],[PROVEEDOR]],"*"&amp;'Palabra que no opera y Listas d'!$A$2&amp;"*"))</f>
        <v>0</v>
      </c>
    </row>
    <row r="765" spans="1:26" ht="27.75" customHeight="1" x14ac:dyDescent="0.25">
      <c r="A765" s="141" t="str">
        <f>+IF(PROVEEDORES[[#This Row],[FECHA DE PAGO]]=PROVEEDORES[[#This Row],[FECHA DE FACTURACIÓN]],"DE CONTADO","CRÉDITO")</f>
        <v>CRÉDITO</v>
      </c>
      <c r="B765" s="138" t="str">
        <f>+IF((PROVEEDORES[[#This Row],[FECHA DE PAGO]]-PROVEEDORES[[#This Row],[FECHA DE FACTURACIÓN]])&gt;PROVEEDORES[[#This Row],[PLAZO Días]],"PAGO VENCIDO")</f>
        <v>PAGO VENCIDO</v>
      </c>
      <c r="C765" s="138">
        <f>+VLOOKUP(PROVEEDORES[[#This Row],[PROVEEDOR]],TERCEROS_INFO[#All],2,FALSE)</f>
        <v>30</v>
      </c>
      <c r="D765" s="139">
        <f>+SUMIFS(PROVEEDORES[Total],PROVEEDORES[PROVEEDOR],PROVEEDORES[[#This Row],[PROVEEDOR]],PROVEEDORES[FECHA DE PAGO],"")</f>
        <v>4466504.835</v>
      </c>
      <c r="E765" s="140"/>
      <c r="F765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765" s="127">
        <v>45208</v>
      </c>
      <c r="H765" s="123" t="s">
        <v>18</v>
      </c>
      <c r="I765" s="127">
        <v>45168</v>
      </c>
      <c r="J765" s="124" t="s">
        <v>1026</v>
      </c>
      <c r="K765" s="124" t="s">
        <v>1530</v>
      </c>
      <c r="L765" s="124"/>
      <c r="M765" s="125">
        <v>1507927</v>
      </c>
      <c r="N765" s="148">
        <v>286506.13</v>
      </c>
      <c r="O765" s="148">
        <v>0</v>
      </c>
      <c r="P765" s="149">
        <v>2.5000000000000001E-2</v>
      </c>
      <c r="Q765" s="148">
        <v>37698.175000000003</v>
      </c>
      <c r="R765" s="150">
        <v>1756734.9549999998</v>
      </c>
      <c r="S7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5" s="135">
        <f ca="1">+IF(PROVEEDORES[[#This Row],[FECHA DE PAGO]]=0,TODAY()-PROVEEDORES[[#This Row],[FECHA DE FACTURACIÓN]]-PROVEEDORES[[#This Row],[PLAZO Días]],0)</f>
        <v>0</v>
      </c>
      <c r="U765" s="135" t="str">
        <f>+VLOOKUP(PROVEEDORES[[#This Row],[PROVEEDOR]],Terceros!$A:$D,4,FALSE)</f>
        <v>2,5% con base</v>
      </c>
      <c r="V765" s="135">
        <f>+YEAR(PROVEEDORES[[#This Row],[FECHA DE FACTURACIÓN]])</f>
        <v>2023</v>
      </c>
      <c r="W765" s="135">
        <f>+MATCH(PROVEEDORES[[#This Row],[año facturado]],Retenciones!$1:$1,0)</f>
        <v>6</v>
      </c>
      <c r="X765" s="136">
        <f>+VLOOKUP(PROVEEDORES[[#This Row],[ID RETENCION]],Retenciones!$A$1:$O$25,PROVEEDORES[[#This Row],[indicador de columna]],FALSE)</f>
        <v>1145000</v>
      </c>
      <c r="Y765" s="137">
        <f>+VLOOKUP(PROVEEDORES[[#This Row],[ID RETENCION]],Retenciones!$A$1:$O$25,2,FALSE)</f>
        <v>2.5000000000000001E-2</v>
      </c>
      <c r="Z765" s="126" t="b">
        <f>+OR(COUNTIF(PROVEEDORES[[#This Row],[PROVEEDOR]],"*"&amp;'Palabra que no opera y Listas d'!$A$2&amp;"*"))</f>
        <v>0</v>
      </c>
    </row>
    <row r="766" spans="1:26" ht="27.75" customHeight="1" x14ac:dyDescent="0.25">
      <c r="A766" s="141" t="str">
        <f>+IF(PROVEEDORES[[#This Row],[FECHA DE PAGO]]=PROVEEDORES[[#This Row],[FECHA DE FACTURACIÓN]],"DE CONTADO","CRÉDITO")</f>
        <v>CRÉDITO</v>
      </c>
      <c r="B766" s="138" t="str">
        <f>+IF((PROVEEDORES[[#This Row],[FECHA DE PAGO]]-PROVEEDORES[[#This Row],[FECHA DE FACTURACIÓN]])&gt;PROVEEDORES[[#This Row],[PLAZO Días]],"PAGO VENCIDO")</f>
        <v>PAGO VENCIDO</v>
      </c>
      <c r="C766" s="138">
        <f>+VLOOKUP(PROVEEDORES[[#This Row],[PROVEEDOR]],TERCEROS_INFO[#All],2,FALSE)</f>
        <v>30</v>
      </c>
      <c r="D766" s="139">
        <f>+SUMIFS(PROVEEDORES[Total],PROVEEDORES[PROVEEDOR],PROVEEDORES[[#This Row],[PROVEEDOR]],PROVEEDORES[FECHA DE PAGO],"")</f>
        <v>4466504.835</v>
      </c>
      <c r="E766" s="140"/>
      <c r="F766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766" s="127">
        <v>45208</v>
      </c>
      <c r="H766" s="123" t="s">
        <v>18</v>
      </c>
      <c r="I766" s="127">
        <v>45169</v>
      </c>
      <c r="J766" s="124" t="s">
        <v>1025</v>
      </c>
      <c r="K766" s="124" t="s">
        <v>1530</v>
      </c>
      <c r="L766" s="124"/>
      <c r="M766" s="125">
        <v>825295</v>
      </c>
      <c r="N766" s="148">
        <v>156806.04999999999</v>
      </c>
      <c r="O766" s="148">
        <v>0</v>
      </c>
      <c r="P766" s="149">
        <v>0</v>
      </c>
      <c r="Q766" s="148">
        <v>0</v>
      </c>
      <c r="R766" s="150">
        <v>982101.05</v>
      </c>
      <c r="S7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6" s="135">
        <f ca="1">+IF(PROVEEDORES[[#This Row],[FECHA DE PAGO]]=0,TODAY()-PROVEEDORES[[#This Row],[FECHA DE FACTURACIÓN]]-PROVEEDORES[[#This Row],[PLAZO Días]],0)</f>
        <v>0</v>
      </c>
      <c r="U766" s="135" t="str">
        <f>+VLOOKUP(PROVEEDORES[[#This Row],[PROVEEDOR]],Terceros!$A:$D,4,FALSE)</f>
        <v>2,5% con base</v>
      </c>
      <c r="V766" s="135">
        <f>+YEAR(PROVEEDORES[[#This Row],[FECHA DE FACTURACIÓN]])</f>
        <v>2023</v>
      </c>
      <c r="W766" s="135">
        <f>+MATCH(PROVEEDORES[[#This Row],[año facturado]],Retenciones!$1:$1,0)</f>
        <v>6</v>
      </c>
      <c r="X766" s="136">
        <f>+VLOOKUP(PROVEEDORES[[#This Row],[ID RETENCION]],Retenciones!$A$1:$O$25,PROVEEDORES[[#This Row],[indicador de columna]],FALSE)</f>
        <v>1145000</v>
      </c>
      <c r="Y766" s="137">
        <f>+VLOOKUP(PROVEEDORES[[#This Row],[ID RETENCION]],Retenciones!$A$1:$O$25,2,FALSE)</f>
        <v>2.5000000000000001E-2</v>
      </c>
      <c r="Z766" s="126" t="b">
        <f>+OR(COUNTIF(PROVEEDORES[[#This Row],[PROVEEDOR]],"*"&amp;'Palabra que no opera y Listas d'!$A$2&amp;"*"))</f>
        <v>0</v>
      </c>
    </row>
    <row r="767" spans="1:26" ht="27.75" customHeight="1" x14ac:dyDescent="0.25">
      <c r="A767" s="141" t="str">
        <f>+IF(PROVEEDORES[[#This Row],[FECHA DE PAGO]]=PROVEEDORES[[#This Row],[FECHA DE FACTURACIÓN]],"DE CONTADO","CRÉDITO")</f>
        <v>CRÉDITO</v>
      </c>
      <c r="B767" s="138" t="str">
        <f>+IF((PROVEEDORES[[#This Row],[FECHA DE PAGO]]-PROVEEDORES[[#This Row],[FECHA DE FACTURACIÓN]])&gt;PROVEEDORES[[#This Row],[PLAZO Días]],"PAGO VENCIDO")</f>
        <v>PAGO VENCIDO</v>
      </c>
      <c r="C767" s="138">
        <f>+VLOOKUP(PROVEEDORES[[#This Row],[PROVEEDOR]],TERCEROS_INFO[#All],2,FALSE)</f>
        <v>30</v>
      </c>
      <c r="D767" s="139">
        <f>+SUMIFS(PROVEEDORES[Total],PROVEEDORES[PROVEEDOR],PROVEEDORES[[#This Row],[PROVEEDOR]],PROVEEDORES[FECHA DE PAGO],"")</f>
        <v>1776037.21</v>
      </c>
      <c r="E767" s="140"/>
      <c r="F767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767" s="127">
        <v>45208</v>
      </c>
      <c r="H767" s="123" t="s">
        <v>17</v>
      </c>
      <c r="I767" s="127">
        <v>45173</v>
      </c>
      <c r="J767" s="124" t="s">
        <v>1076</v>
      </c>
      <c r="K767" s="124" t="s">
        <v>1530</v>
      </c>
      <c r="L767" s="124"/>
      <c r="M767" s="125">
        <v>787465</v>
      </c>
      <c r="N767" s="148">
        <v>149618.35</v>
      </c>
      <c r="O767" s="148">
        <v>0</v>
      </c>
      <c r="P767" s="149">
        <v>0</v>
      </c>
      <c r="Q767" s="148">
        <v>0</v>
      </c>
      <c r="R767" s="150">
        <v>937083.35</v>
      </c>
      <c r="S7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7" s="135">
        <f ca="1">+IF(PROVEEDORES[[#This Row],[FECHA DE PAGO]]=0,TODAY()-PROVEEDORES[[#This Row],[FECHA DE FACTURACIÓN]]-PROVEEDORES[[#This Row],[PLAZO Días]],0)</f>
        <v>0</v>
      </c>
      <c r="U767" s="135">
        <f>+VLOOKUP(PROVEEDORES[[#This Row],[PROVEEDOR]],Terceros!$A:$D,4,FALSE)</f>
        <v>0</v>
      </c>
      <c r="V767" s="135">
        <f>+YEAR(PROVEEDORES[[#This Row],[FECHA DE FACTURACIÓN]])</f>
        <v>2023</v>
      </c>
      <c r="W767" s="135">
        <f>+MATCH(PROVEEDORES[[#This Row],[año facturado]],Retenciones!$1:$1,0)</f>
        <v>6</v>
      </c>
      <c r="X767" s="136">
        <f>+VLOOKUP(PROVEEDORES[[#This Row],[ID RETENCION]],Retenciones!$A$1:$O$25,PROVEEDORES[[#This Row],[indicador de columna]],FALSE)</f>
        <v>0</v>
      </c>
      <c r="Y767" s="137">
        <f>+VLOOKUP(PROVEEDORES[[#This Row],[ID RETENCION]],Retenciones!$A$1:$O$25,2,FALSE)</f>
        <v>0</v>
      </c>
      <c r="Z767" s="126" t="b">
        <f>+OR(COUNTIF(PROVEEDORES[[#This Row],[PROVEEDOR]],"*"&amp;'Palabra que no opera y Listas d'!$A$2&amp;"*"))</f>
        <v>0</v>
      </c>
    </row>
    <row r="768" spans="1:26" ht="27.75" customHeight="1" x14ac:dyDescent="0.25">
      <c r="A768" s="141" t="str">
        <f>+IF(PROVEEDORES[[#This Row],[FECHA DE PAGO]]=PROVEEDORES[[#This Row],[FECHA DE FACTURACIÓN]],"DE CONTADO","CRÉDITO")</f>
        <v>CRÉDITO</v>
      </c>
      <c r="B768" s="138" t="str">
        <f>+IF((PROVEEDORES[[#This Row],[FECHA DE PAGO]]-PROVEEDORES[[#This Row],[FECHA DE FACTURACIÓN]])&gt;PROVEEDORES[[#This Row],[PLAZO Días]],"PAGO VENCIDO")</f>
        <v>PAGO VENCIDO</v>
      </c>
      <c r="C768" s="138">
        <f>+VLOOKUP(PROVEEDORES[[#This Row],[PROVEEDOR]],TERCEROS_INFO[#All],2,FALSE)</f>
        <v>30</v>
      </c>
      <c r="D768" s="139">
        <f>+SUMIFS(PROVEEDORES[Total],PROVEEDORES[PROVEEDOR],PROVEEDORES[[#This Row],[PROVEEDOR]],PROVEEDORES[FECHA DE PAGO],"")</f>
        <v>1776037.21</v>
      </c>
      <c r="E768" s="140"/>
      <c r="F768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768" s="127">
        <v>45208</v>
      </c>
      <c r="H768" s="123" t="s">
        <v>17</v>
      </c>
      <c r="I768" s="127">
        <v>45174</v>
      </c>
      <c r="J768" s="124" t="s">
        <v>1146</v>
      </c>
      <c r="K768" s="124" t="s">
        <v>1530</v>
      </c>
      <c r="L768" s="124"/>
      <c r="M768" s="125">
        <v>1053062</v>
      </c>
      <c r="N768" s="148">
        <v>200081.78</v>
      </c>
      <c r="O768" s="148">
        <v>0</v>
      </c>
      <c r="P768" s="149">
        <v>0</v>
      </c>
      <c r="Q768" s="148">
        <v>0</v>
      </c>
      <c r="R768" s="150">
        <v>1253143.78</v>
      </c>
      <c r="S7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8" s="135">
        <f ca="1">+IF(PROVEEDORES[[#This Row],[FECHA DE PAGO]]=0,TODAY()-PROVEEDORES[[#This Row],[FECHA DE FACTURACIÓN]]-PROVEEDORES[[#This Row],[PLAZO Días]],0)</f>
        <v>0</v>
      </c>
      <c r="U768" s="135">
        <f>+VLOOKUP(PROVEEDORES[[#This Row],[PROVEEDOR]],Terceros!$A:$D,4,FALSE)</f>
        <v>0</v>
      </c>
      <c r="V768" s="135">
        <f>+YEAR(PROVEEDORES[[#This Row],[FECHA DE FACTURACIÓN]])</f>
        <v>2023</v>
      </c>
      <c r="W768" s="135">
        <f>+MATCH(PROVEEDORES[[#This Row],[año facturado]],Retenciones!$1:$1,0)</f>
        <v>6</v>
      </c>
      <c r="X768" s="136">
        <f>+VLOOKUP(PROVEEDORES[[#This Row],[ID RETENCION]],Retenciones!$A$1:$O$25,PROVEEDORES[[#This Row],[indicador de columna]],FALSE)</f>
        <v>0</v>
      </c>
      <c r="Y768" s="137">
        <f>+VLOOKUP(PROVEEDORES[[#This Row],[ID RETENCION]],Retenciones!$A$1:$O$25,2,FALSE)</f>
        <v>0</v>
      </c>
      <c r="Z768" s="126" t="b">
        <f>+OR(COUNTIF(PROVEEDORES[[#This Row],[PROVEEDOR]],"*"&amp;'Palabra que no opera y Listas d'!$A$2&amp;"*"))</f>
        <v>0</v>
      </c>
    </row>
    <row r="769" spans="1:26" ht="27.75" customHeight="1" x14ac:dyDescent="0.25">
      <c r="A769" s="141" t="str">
        <f>+IF(PROVEEDORES[[#This Row],[FECHA DE PAGO]]=PROVEEDORES[[#This Row],[FECHA DE FACTURACIÓN]],"DE CONTADO","CRÉDITO")</f>
        <v>CRÉDITO</v>
      </c>
      <c r="B769" s="138" t="str">
        <f>+IF((PROVEEDORES[[#This Row],[FECHA DE PAGO]]-PROVEEDORES[[#This Row],[FECHA DE FACTURACIÓN]])&gt;PROVEEDORES[[#This Row],[PLAZO Días]],"PAGO VENCIDO")</f>
        <v>PAGO VENCIDO</v>
      </c>
      <c r="C769" s="138">
        <f>+VLOOKUP(PROVEEDORES[[#This Row],[PROVEEDOR]],TERCEROS_INFO[#All],2,FALSE)</f>
        <v>30</v>
      </c>
      <c r="D769" s="139">
        <f>+SUMIFS(PROVEEDORES[Total],PROVEEDORES[PROVEEDOR],PROVEEDORES[[#This Row],[PROVEEDOR]],PROVEEDORES[FECHA DE PAGO],"")</f>
        <v>0</v>
      </c>
      <c r="E769" s="140"/>
      <c r="F769" s="13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769" s="127">
        <v>45208</v>
      </c>
      <c r="H769" s="123" t="s">
        <v>452</v>
      </c>
      <c r="I769" s="127">
        <v>45174</v>
      </c>
      <c r="J769" s="124" t="s">
        <v>1062</v>
      </c>
      <c r="K769" s="124" t="s">
        <v>1530</v>
      </c>
      <c r="L769" s="124"/>
      <c r="M769" s="125">
        <v>1928576</v>
      </c>
      <c r="N769" s="148">
        <v>366429.44</v>
      </c>
      <c r="O769" s="148">
        <v>0</v>
      </c>
      <c r="P769" s="149">
        <v>2.5000000000000001E-2</v>
      </c>
      <c r="Q769" s="148">
        <v>48214.400000000001</v>
      </c>
      <c r="R769" s="150">
        <v>2246791.04</v>
      </c>
      <c r="S7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69" s="135">
        <f ca="1">+IF(PROVEEDORES[[#This Row],[FECHA DE PAGO]]=0,TODAY()-PROVEEDORES[[#This Row],[FECHA DE FACTURACIÓN]]-PROVEEDORES[[#This Row],[PLAZO Días]],0)</f>
        <v>0</v>
      </c>
      <c r="U769" s="135" t="str">
        <f>+VLOOKUP(PROVEEDORES[[#This Row],[PROVEEDOR]],Terceros!$A:$D,4,FALSE)</f>
        <v>2,5% con base</v>
      </c>
      <c r="V769" s="135">
        <f>+YEAR(PROVEEDORES[[#This Row],[FECHA DE FACTURACIÓN]])</f>
        <v>2023</v>
      </c>
      <c r="W769" s="135">
        <f>+MATCH(PROVEEDORES[[#This Row],[año facturado]],Retenciones!$1:$1,0)</f>
        <v>6</v>
      </c>
      <c r="X769" s="136">
        <f>+VLOOKUP(PROVEEDORES[[#This Row],[ID RETENCION]],Retenciones!$A$1:$O$25,PROVEEDORES[[#This Row],[indicador de columna]],FALSE)</f>
        <v>1145000</v>
      </c>
      <c r="Y769" s="137">
        <f>+VLOOKUP(PROVEEDORES[[#This Row],[ID RETENCION]],Retenciones!$A$1:$O$25,2,FALSE)</f>
        <v>2.5000000000000001E-2</v>
      </c>
      <c r="Z769" s="126" t="b">
        <f>+OR(COUNTIF(PROVEEDORES[[#This Row],[PROVEEDOR]],"*"&amp;'Palabra que no opera y Listas d'!$A$2&amp;"*"))</f>
        <v>0</v>
      </c>
    </row>
    <row r="770" spans="1:26" ht="27.75" customHeight="1" x14ac:dyDescent="0.25">
      <c r="A770" s="141" t="str">
        <f>+IF(PROVEEDORES[[#This Row],[FECHA DE PAGO]]=PROVEEDORES[[#This Row],[FECHA DE FACTURACIÓN]],"DE CONTADO","CRÉDITO")</f>
        <v>CRÉDITO</v>
      </c>
      <c r="B770" s="138" t="str">
        <f>+IF((PROVEEDORES[[#This Row],[FECHA DE PAGO]]-PROVEEDORES[[#This Row],[FECHA DE FACTURACIÓN]])&gt;PROVEEDORES[[#This Row],[PLAZO Días]],"PAGO VENCIDO")</f>
        <v>PAGO VENCIDO</v>
      </c>
      <c r="C770" s="138">
        <f>+VLOOKUP(PROVEEDORES[[#This Row],[PROVEEDOR]],TERCEROS_INFO[#All],2,FALSE)</f>
        <v>30</v>
      </c>
      <c r="D770" s="139">
        <f>+SUMIFS(PROVEEDORES[Total],PROVEEDORES[PROVEEDOR],PROVEEDORES[[#This Row],[PROVEEDOR]],PROVEEDORES[FECHA DE PAGO],"")</f>
        <v>4466504.835</v>
      </c>
      <c r="E770" s="140"/>
      <c r="F770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770" s="127">
        <v>45208</v>
      </c>
      <c r="H770" s="123" t="s">
        <v>18</v>
      </c>
      <c r="I770" s="127">
        <v>45175</v>
      </c>
      <c r="J770" s="124" t="s">
        <v>1068</v>
      </c>
      <c r="K770" s="124" t="s">
        <v>1530</v>
      </c>
      <c r="L770" s="124"/>
      <c r="M770" s="125">
        <v>884468</v>
      </c>
      <c r="N770" s="148">
        <v>168048.92</v>
      </c>
      <c r="O770" s="148">
        <v>0</v>
      </c>
      <c r="P770" s="149">
        <v>0</v>
      </c>
      <c r="Q770" s="148">
        <v>0</v>
      </c>
      <c r="R770" s="150">
        <v>1052516.92</v>
      </c>
      <c r="S7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0" s="135">
        <f ca="1">+IF(PROVEEDORES[[#This Row],[FECHA DE PAGO]]=0,TODAY()-PROVEEDORES[[#This Row],[FECHA DE FACTURACIÓN]]-PROVEEDORES[[#This Row],[PLAZO Días]],0)</f>
        <v>0</v>
      </c>
      <c r="U770" s="135" t="str">
        <f>+VLOOKUP(PROVEEDORES[[#This Row],[PROVEEDOR]],Terceros!$A:$D,4,FALSE)</f>
        <v>2,5% con base</v>
      </c>
      <c r="V770" s="135">
        <f>+YEAR(PROVEEDORES[[#This Row],[FECHA DE FACTURACIÓN]])</f>
        <v>2023</v>
      </c>
      <c r="W770" s="135">
        <f>+MATCH(PROVEEDORES[[#This Row],[año facturado]],Retenciones!$1:$1,0)</f>
        <v>6</v>
      </c>
      <c r="X770" s="136">
        <f>+VLOOKUP(PROVEEDORES[[#This Row],[ID RETENCION]],Retenciones!$A$1:$O$25,PROVEEDORES[[#This Row],[indicador de columna]],FALSE)</f>
        <v>1145000</v>
      </c>
      <c r="Y770" s="137">
        <f>+VLOOKUP(PROVEEDORES[[#This Row],[ID RETENCION]],Retenciones!$A$1:$O$25,2,FALSE)</f>
        <v>2.5000000000000001E-2</v>
      </c>
      <c r="Z770" s="126" t="b">
        <f>+OR(COUNTIF(PROVEEDORES[[#This Row],[PROVEEDOR]],"*"&amp;'Palabra que no opera y Listas d'!$A$2&amp;"*"))</f>
        <v>0</v>
      </c>
    </row>
    <row r="771" spans="1:26" ht="27.75" customHeight="1" x14ac:dyDescent="0.25">
      <c r="A771" s="141" t="str">
        <f>+IF(PROVEEDORES[[#This Row],[FECHA DE PAGO]]=PROVEEDORES[[#This Row],[FECHA DE FACTURACIÓN]],"DE CONTADO","CRÉDITO")</f>
        <v>DE CONTADO</v>
      </c>
      <c r="B771" s="138" t="b">
        <f>+IF((PROVEEDORES[[#This Row],[FECHA DE PAGO]]-PROVEEDORES[[#This Row],[FECHA DE FACTURACIÓN]])&gt;PROVEEDORES[[#This Row],[PLAZO Días]],"PAGO VENCIDO")</f>
        <v>0</v>
      </c>
      <c r="C771" s="138">
        <f>+VLOOKUP(PROVEEDORES[[#This Row],[PROVEEDOR]],TERCEROS_INFO[#All],2,FALSE)</f>
        <v>30</v>
      </c>
      <c r="D771" s="139">
        <f>+SUMIFS(PROVEEDORES[Total],PROVEEDORES[PROVEEDOR],PROVEEDORES[[#This Row],[PROVEEDOR]],PROVEEDORES[FECHA DE PAGO],"")</f>
        <v>0</v>
      </c>
      <c r="E771" s="140"/>
      <c r="F771" s="138" t="str">
        <f>+VLOOKUP(PROVEEDORES[[#This Row],[PROVEEDOR]],
                       Terceros!$A:$F,
                       5,
                       FALSE)</f>
        <v/>
      </c>
      <c r="G771" s="127">
        <v>45208</v>
      </c>
      <c r="H771" s="123" t="s">
        <v>1824</v>
      </c>
      <c r="I771" s="127">
        <v>45208</v>
      </c>
      <c r="J771" s="124"/>
      <c r="K771" s="124" t="s">
        <v>1530</v>
      </c>
      <c r="L771" s="124"/>
      <c r="M771" s="125">
        <v>1000000</v>
      </c>
      <c r="N771" s="148">
        <v>0</v>
      </c>
      <c r="O771" s="148">
        <v>0</v>
      </c>
      <c r="P771" s="149">
        <v>0</v>
      </c>
      <c r="Q771" s="148">
        <v>0</v>
      </c>
      <c r="R771" s="150">
        <v>1000000</v>
      </c>
      <c r="S7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1" s="135">
        <f ca="1">+IF(PROVEEDORES[[#This Row],[FECHA DE PAGO]]=0,TODAY()-PROVEEDORES[[#This Row],[FECHA DE FACTURACIÓN]]-PROVEEDORES[[#This Row],[PLAZO Días]],0)</f>
        <v>0</v>
      </c>
      <c r="U771" s="135">
        <f>+VLOOKUP(PROVEEDORES[[#This Row],[PROVEEDOR]],Terceros!$A:$D,4,FALSE)</f>
        <v>0</v>
      </c>
      <c r="V771" s="135">
        <f>+YEAR(PROVEEDORES[[#This Row],[FECHA DE FACTURACIÓN]])</f>
        <v>2023</v>
      </c>
      <c r="W771" s="135">
        <f>+MATCH(PROVEEDORES[[#This Row],[año facturado]],Retenciones!$1:$1,0)</f>
        <v>6</v>
      </c>
      <c r="X771" s="136">
        <f>+VLOOKUP(PROVEEDORES[[#This Row],[ID RETENCION]],Retenciones!$A$1:$O$25,PROVEEDORES[[#This Row],[indicador de columna]],FALSE)</f>
        <v>0</v>
      </c>
      <c r="Y771" s="137">
        <f>+VLOOKUP(PROVEEDORES[[#This Row],[ID RETENCION]],Retenciones!$A$1:$O$25,2,FALSE)</f>
        <v>0</v>
      </c>
      <c r="Z771" s="126" t="b">
        <f>+OR(COUNTIF(PROVEEDORES[[#This Row],[PROVEEDOR]],"*"&amp;'Palabra que no opera y Listas d'!$A$2&amp;"*"))</f>
        <v>0</v>
      </c>
    </row>
    <row r="772" spans="1:26" ht="27.75" customHeight="1" x14ac:dyDescent="0.25">
      <c r="A772" s="141" t="str">
        <f>+IF(PROVEEDORES[[#This Row],[FECHA DE PAGO]]=PROVEEDORES[[#This Row],[FECHA DE FACTURACIÓN]],"DE CONTADO","CRÉDITO")</f>
        <v>DE CONTADO</v>
      </c>
      <c r="B772" s="138" t="b">
        <f>+IF((PROVEEDORES[[#This Row],[FECHA DE PAGO]]-PROVEEDORES[[#This Row],[FECHA DE FACTURACIÓN]])&gt;PROVEEDORES[[#This Row],[PLAZO Días]],"PAGO VENCIDO")</f>
        <v>0</v>
      </c>
      <c r="C772" s="138">
        <f>+VLOOKUP(PROVEEDORES[[#This Row],[PROVEEDOR]],TERCEROS_INFO[#All],2,FALSE)</f>
        <v>30</v>
      </c>
      <c r="D772" s="139">
        <f>+SUMIFS(PROVEEDORES[Total],PROVEEDORES[PROVEEDOR],PROVEEDORES[[#This Row],[PROVEEDOR]],PROVEEDORES[FECHA DE PAGO],"")</f>
        <v>0</v>
      </c>
      <c r="E772" s="140"/>
      <c r="F772" s="138">
        <f>+VLOOKUP(PROVEEDORES[[#This Row],[PROVEEDOR]],
                       Terceros!$A:$F,
                       5,
                       FALSE)</f>
        <v>0</v>
      </c>
      <c r="G772" s="127">
        <v>45208</v>
      </c>
      <c r="H772" s="123" t="s">
        <v>547</v>
      </c>
      <c r="I772" s="127">
        <v>45208</v>
      </c>
      <c r="J772" s="124" t="s">
        <v>1183</v>
      </c>
      <c r="K772" s="124" t="s">
        <v>1530</v>
      </c>
      <c r="L772" s="124"/>
      <c r="M772" s="125">
        <v>416500</v>
      </c>
      <c r="N772" s="148">
        <v>79135</v>
      </c>
      <c r="O772" s="148">
        <v>0</v>
      </c>
      <c r="P772" s="149">
        <v>0</v>
      </c>
      <c r="Q772" s="148">
        <v>0</v>
      </c>
      <c r="R772" s="150">
        <v>495635</v>
      </c>
      <c r="S7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2" s="135">
        <f ca="1">+IF(PROVEEDORES[[#This Row],[FECHA DE PAGO]]=0,TODAY()-PROVEEDORES[[#This Row],[FECHA DE FACTURACIÓN]]-PROVEEDORES[[#This Row],[PLAZO Días]],0)</f>
        <v>0</v>
      </c>
      <c r="U772" s="135" t="str">
        <f>+VLOOKUP(PROVEEDORES[[#This Row],[PROVEEDOR]],Terceros!$A:$D,4,FALSE)</f>
        <v>2,5% con base</v>
      </c>
      <c r="V772" s="135">
        <f>+YEAR(PROVEEDORES[[#This Row],[FECHA DE FACTURACIÓN]])</f>
        <v>2023</v>
      </c>
      <c r="W772" s="135">
        <f>+MATCH(PROVEEDORES[[#This Row],[año facturado]],Retenciones!$1:$1,0)</f>
        <v>6</v>
      </c>
      <c r="X772" s="136">
        <f>+VLOOKUP(PROVEEDORES[[#This Row],[ID RETENCION]],Retenciones!$A$1:$O$25,PROVEEDORES[[#This Row],[indicador de columna]],FALSE)</f>
        <v>1145000</v>
      </c>
      <c r="Y772" s="137">
        <f>+VLOOKUP(PROVEEDORES[[#This Row],[ID RETENCION]],Retenciones!$A$1:$O$25,2,FALSE)</f>
        <v>2.5000000000000001E-2</v>
      </c>
      <c r="Z772" s="126" t="b">
        <f>+OR(COUNTIF(PROVEEDORES[[#This Row],[PROVEEDOR]],"*"&amp;'Palabra que no opera y Listas d'!$A$2&amp;"*"))</f>
        <v>0</v>
      </c>
    </row>
    <row r="773" spans="1:26" ht="27.75" customHeight="1" x14ac:dyDescent="0.25">
      <c r="A773" s="141" t="str">
        <f>+IF(PROVEEDORES[[#This Row],[FECHA DE PAGO]]=PROVEEDORES[[#This Row],[FECHA DE FACTURACIÓN]],"DE CONTADO","CRÉDITO")</f>
        <v>CRÉDITO</v>
      </c>
      <c r="B773" s="138" t="b">
        <f>+IF((PROVEEDORES[[#This Row],[FECHA DE PAGO]]-PROVEEDORES[[#This Row],[FECHA DE FACTURACIÓN]])&gt;PROVEEDORES[[#This Row],[PLAZO Días]],"PAGO VENCIDO")</f>
        <v>0</v>
      </c>
      <c r="C773" s="138">
        <f>+VLOOKUP(PROVEEDORES[[#This Row],[PROVEEDOR]],TERCEROS_INFO[#All],2,FALSE)</f>
        <v>30</v>
      </c>
      <c r="D773" s="139">
        <f>+SUMIFS(PROVEEDORES[Total],PROVEEDORES[PROVEEDOR],PROVEEDORES[[#This Row],[PROVEEDOR]],PROVEEDORES[FECHA DE PAGO],"")</f>
        <v>4316000</v>
      </c>
      <c r="E773" s="140"/>
      <c r="F773" s="138" t="str">
        <f>+VLOOKUP(PROVEEDORES[[#This Row],[PROVEEDOR]],
                       Terceros!$A:$F,
                       5,
                       FALSE)</f>
        <v/>
      </c>
      <c r="G773" s="127">
        <v>45209</v>
      </c>
      <c r="H773" s="123" t="s">
        <v>1812</v>
      </c>
      <c r="I773" s="127">
        <v>45181</v>
      </c>
      <c r="J773" s="124" t="s">
        <v>1106</v>
      </c>
      <c r="K773" s="124" t="s">
        <v>1530</v>
      </c>
      <c r="L773" s="124"/>
      <c r="M773" s="125">
        <v>1068000</v>
      </c>
      <c r="N773" s="148">
        <v>0</v>
      </c>
      <c r="O773" s="148">
        <v>0</v>
      </c>
      <c r="P773" s="149">
        <v>0</v>
      </c>
      <c r="Q773" s="148">
        <v>0</v>
      </c>
      <c r="R773" s="150">
        <v>1068000</v>
      </c>
      <c r="S7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3" s="135">
        <f ca="1">+IF(PROVEEDORES[[#This Row],[FECHA DE PAGO]]=0,TODAY()-PROVEEDORES[[#This Row],[FECHA DE FACTURACIÓN]]-PROVEEDORES[[#This Row],[PLAZO Días]],0)</f>
        <v>0</v>
      </c>
      <c r="U773" s="135">
        <f>+VLOOKUP(PROVEEDORES[[#This Row],[PROVEEDOR]],Terceros!$A:$D,4,FALSE)</f>
        <v>0</v>
      </c>
      <c r="V773" s="135">
        <f>+YEAR(PROVEEDORES[[#This Row],[FECHA DE FACTURACIÓN]])</f>
        <v>2023</v>
      </c>
      <c r="W773" s="135">
        <f>+MATCH(PROVEEDORES[[#This Row],[año facturado]],Retenciones!$1:$1,0)</f>
        <v>6</v>
      </c>
      <c r="X773" s="136">
        <f>+VLOOKUP(PROVEEDORES[[#This Row],[ID RETENCION]],Retenciones!$A$1:$O$25,PROVEEDORES[[#This Row],[indicador de columna]],FALSE)</f>
        <v>0</v>
      </c>
      <c r="Y773" s="137">
        <f>+VLOOKUP(PROVEEDORES[[#This Row],[ID RETENCION]],Retenciones!$A$1:$O$25,2,FALSE)</f>
        <v>0</v>
      </c>
      <c r="Z773" s="126" t="b">
        <f>+OR(COUNTIF(PROVEEDORES[[#This Row],[PROVEEDOR]],"*"&amp;'Palabra que no opera y Listas d'!$A$2&amp;"*"))</f>
        <v>0</v>
      </c>
    </row>
    <row r="774" spans="1:26" ht="27.75" customHeight="1" x14ac:dyDescent="0.25">
      <c r="A774" s="141" t="str">
        <f>+IF(PROVEEDORES[[#This Row],[FECHA DE PAGO]]=PROVEEDORES[[#This Row],[FECHA DE FACTURACIÓN]],"DE CONTADO","CRÉDITO")</f>
        <v>CRÉDITO</v>
      </c>
      <c r="B774" s="138" t="b">
        <f>+IF((PROVEEDORES[[#This Row],[FECHA DE PAGO]]-PROVEEDORES[[#This Row],[FECHA DE FACTURACIÓN]])&gt;PROVEEDORES[[#This Row],[PLAZO Días]],"PAGO VENCIDO")</f>
        <v>0</v>
      </c>
      <c r="C774" s="138">
        <f>+VLOOKUP(PROVEEDORES[[#This Row],[PROVEEDOR]],TERCEROS_INFO[#All],2,FALSE)</f>
        <v>30</v>
      </c>
      <c r="D774" s="139">
        <f>+SUMIFS(PROVEEDORES[Total],PROVEEDORES[PROVEEDOR],PROVEEDORES[[#This Row],[PROVEEDOR]],PROVEEDORES[FECHA DE PAGO],"")</f>
        <v>0</v>
      </c>
      <c r="E774" s="140"/>
      <c r="F774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774" s="127">
        <v>45209</v>
      </c>
      <c r="H774" s="123" t="s">
        <v>368</v>
      </c>
      <c r="I774" s="127">
        <v>45200</v>
      </c>
      <c r="J774" s="124" t="s">
        <v>1085</v>
      </c>
      <c r="K774" s="124" t="s">
        <v>1530</v>
      </c>
      <c r="L774" s="124"/>
      <c r="M774" s="125">
        <v>20226</v>
      </c>
      <c r="N774" s="148">
        <v>3842.94</v>
      </c>
      <c r="O774" s="148">
        <v>0</v>
      </c>
      <c r="P774" s="149">
        <v>0</v>
      </c>
      <c r="Q774" s="148">
        <v>0</v>
      </c>
      <c r="R774" s="150">
        <v>24068.94</v>
      </c>
      <c r="S7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4" s="135">
        <f ca="1">+IF(PROVEEDORES[[#This Row],[FECHA DE PAGO]]=0,TODAY()-PROVEEDORES[[#This Row],[FECHA DE FACTURACIÓN]]-PROVEEDORES[[#This Row],[PLAZO Días]],0)</f>
        <v>0</v>
      </c>
      <c r="U774" s="135">
        <f>+VLOOKUP(PROVEEDORES[[#This Row],[PROVEEDOR]],Terceros!$A:$D,4,FALSE)</f>
        <v>0</v>
      </c>
      <c r="V774" s="135">
        <f>+YEAR(PROVEEDORES[[#This Row],[FECHA DE FACTURACIÓN]])</f>
        <v>2023</v>
      </c>
      <c r="W774" s="135">
        <f>+MATCH(PROVEEDORES[[#This Row],[año facturado]],Retenciones!$1:$1,0)</f>
        <v>6</v>
      </c>
      <c r="X774" s="136">
        <f>+VLOOKUP(PROVEEDORES[[#This Row],[ID RETENCION]],Retenciones!$A$1:$O$25,PROVEEDORES[[#This Row],[indicador de columna]],FALSE)</f>
        <v>0</v>
      </c>
      <c r="Y774" s="137">
        <f>+VLOOKUP(PROVEEDORES[[#This Row],[ID RETENCION]],Retenciones!$A$1:$O$25,2,FALSE)</f>
        <v>0</v>
      </c>
      <c r="Z774" s="126" t="b">
        <f>+OR(COUNTIF(PROVEEDORES[[#This Row],[PROVEEDOR]],"*"&amp;'Palabra que no opera y Listas d'!$A$2&amp;"*"))</f>
        <v>1</v>
      </c>
    </row>
    <row r="775" spans="1:26" ht="27.75" customHeight="1" x14ac:dyDescent="0.25">
      <c r="A775" s="141" t="str">
        <f>+IF(PROVEEDORES[[#This Row],[FECHA DE PAGO]]=PROVEEDORES[[#This Row],[FECHA DE FACTURACIÓN]],"DE CONTADO","CRÉDITO")</f>
        <v>CRÉDITO</v>
      </c>
      <c r="B775" s="138" t="b">
        <f>+IF((PROVEEDORES[[#This Row],[FECHA DE PAGO]]-PROVEEDORES[[#This Row],[FECHA DE FACTURACIÓN]])&gt;PROVEEDORES[[#This Row],[PLAZO Días]],"PAGO VENCIDO")</f>
        <v>0</v>
      </c>
      <c r="C775" s="138">
        <f>+VLOOKUP(PROVEEDORES[[#This Row],[PROVEEDOR]],TERCEROS_INFO[#All],2,FALSE)</f>
        <v>30</v>
      </c>
      <c r="D775" s="139">
        <f>+SUMIFS(PROVEEDORES[Total],PROVEEDORES[PROVEEDOR],PROVEEDORES[[#This Row],[PROVEEDOR]],PROVEEDORES[FECHA DE PAGO],"")</f>
        <v>0</v>
      </c>
      <c r="E775" s="140"/>
      <c r="F775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775" s="127">
        <v>45209</v>
      </c>
      <c r="H775" s="123" t="s">
        <v>368</v>
      </c>
      <c r="I775" s="127">
        <v>45200</v>
      </c>
      <c r="J775" s="124" t="s">
        <v>1084</v>
      </c>
      <c r="K775" s="124" t="s">
        <v>1530</v>
      </c>
      <c r="L775" s="124"/>
      <c r="M775" s="125">
        <v>908172</v>
      </c>
      <c r="N775" s="148">
        <v>172552.68</v>
      </c>
      <c r="O775" s="148">
        <v>0</v>
      </c>
      <c r="P775" s="149">
        <v>0</v>
      </c>
      <c r="Q775" s="148">
        <v>0</v>
      </c>
      <c r="R775" s="150">
        <v>1080724.68</v>
      </c>
      <c r="S7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5" s="135">
        <f ca="1">+IF(PROVEEDORES[[#This Row],[FECHA DE PAGO]]=0,TODAY()-PROVEEDORES[[#This Row],[FECHA DE FACTURACIÓN]]-PROVEEDORES[[#This Row],[PLAZO Días]],0)</f>
        <v>0</v>
      </c>
      <c r="U775" s="135">
        <f>+VLOOKUP(PROVEEDORES[[#This Row],[PROVEEDOR]],Terceros!$A:$D,4,FALSE)</f>
        <v>0</v>
      </c>
      <c r="V775" s="135">
        <f>+YEAR(PROVEEDORES[[#This Row],[FECHA DE FACTURACIÓN]])</f>
        <v>2023</v>
      </c>
      <c r="W775" s="135">
        <f>+MATCH(PROVEEDORES[[#This Row],[año facturado]],Retenciones!$1:$1,0)</f>
        <v>6</v>
      </c>
      <c r="X775" s="136">
        <f>+VLOOKUP(PROVEEDORES[[#This Row],[ID RETENCION]],Retenciones!$A$1:$O$25,PROVEEDORES[[#This Row],[indicador de columna]],FALSE)</f>
        <v>0</v>
      </c>
      <c r="Y775" s="137">
        <f>+VLOOKUP(PROVEEDORES[[#This Row],[ID RETENCION]],Retenciones!$A$1:$O$25,2,FALSE)</f>
        <v>0</v>
      </c>
      <c r="Z775" s="126" t="b">
        <f>+OR(COUNTIF(PROVEEDORES[[#This Row],[PROVEEDOR]],"*"&amp;'Palabra que no opera y Listas d'!$A$2&amp;"*"))</f>
        <v>1</v>
      </c>
    </row>
    <row r="776" spans="1:26" ht="27.75" customHeight="1" x14ac:dyDescent="0.25">
      <c r="A776" s="141" t="str">
        <f>+IF(PROVEEDORES[[#This Row],[FECHA DE PAGO]]=PROVEEDORES[[#This Row],[FECHA DE FACTURACIÓN]],"DE CONTADO","CRÉDITO")</f>
        <v>CRÉDITO</v>
      </c>
      <c r="B776" s="138" t="b">
        <f>+IF((PROVEEDORES[[#This Row],[FECHA DE PAGO]]-PROVEEDORES[[#This Row],[FECHA DE FACTURACIÓN]])&gt;PROVEEDORES[[#This Row],[PLAZO Días]],"PAGO VENCIDO")</f>
        <v>0</v>
      </c>
      <c r="C776" s="138">
        <f>+VLOOKUP(PROVEEDORES[[#This Row],[PROVEEDOR]],TERCEROS_INFO[#All],2,FALSE)</f>
        <v>30</v>
      </c>
      <c r="D776" s="139">
        <f>+SUMIFS(PROVEEDORES[Total],PROVEEDORES[PROVEEDOR],PROVEEDORES[[#This Row],[PROVEEDOR]],PROVEEDORES[FECHA DE PAGO],"")</f>
        <v>0</v>
      </c>
      <c r="E776" s="140"/>
      <c r="F776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776" s="127">
        <v>45209</v>
      </c>
      <c r="H776" s="123" t="s">
        <v>368</v>
      </c>
      <c r="I776" s="127">
        <v>45200</v>
      </c>
      <c r="J776" s="124" t="s">
        <v>1081</v>
      </c>
      <c r="K776" s="124" t="s">
        <v>1530</v>
      </c>
      <c r="L776" s="124"/>
      <c r="M776" s="125">
        <v>3792544</v>
      </c>
      <c r="N776" s="148">
        <v>720583.36</v>
      </c>
      <c r="O776" s="148">
        <v>0</v>
      </c>
      <c r="P776" s="149">
        <v>0</v>
      </c>
      <c r="Q776" s="148">
        <v>0</v>
      </c>
      <c r="R776" s="150">
        <v>4513127.3600000003</v>
      </c>
      <c r="S7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6" s="135">
        <f ca="1">+IF(PROVEEDORES[[#This Row],[FECHA DE PAGO]]=0,TODAY()-PROVEEDORES[[#This Row],[FECHA DE FACTURACIÓN]]-PROVEEDORES[[#This Row],[PLAZO Días]],0)</f>
        <v>0</v>
      </c>
      <c r="U776" s="135">
        <f>+VLOOKUP(PROVEEDORES[[#This Row],[PROVEEDOR]],Terceros!$A:$D,4,FALSE)</f>
        <v>0</v>
      </c>
      <c r="V776" s="135">
        <f>+YEAR(PROVEEDORES[[#This Row],[FECHA DE FACTURACIÓN]])</f>
        <v>2023</v>
      </c>
      <c r="W776" s="135">
        <f>+MATCH(PROVEEDORES[[#This Row],[año facturado]],Retenciones!$1:$1,0)</f>
        <v>6</v>
      </c>
      <c r="X776" s="136">
        <f>+VLOOKUP(PROVEEDORES[[#This Row],[ID RETENCION]],Retenciones!$A$1:$O$25,PROVEEDORES[[#This Row],[indicador de columna]],FALSE)</f>
        <v>0</v>
      </c>
      <c r="Y776" s="137">
        <f>+VLOOKUP(PROVEEDORES[[#This Row],[ID RETENCION]],Retenciones!$A$1:$O$25,2,FALSE)</f>
        <v>0</v>
      </c>
      <c r="Z776" s="126" t="b">
        <f>+OR(COUNTIF(PROVEEDORES[[#This Row],[PROVEEDOR]],"*"&amp;'Palabra que no opera y Listas d'!$A$2&amp;"*"))</f>
        <v>1</v>
      </c>
    </row>
    <row r="777" spans="1:26" ht="27.75" customHeight="1" x14ac:dyDescent="0.25">
      <c r="A777" s="141" t="str">
        <f>+IF(PROVEEDORES[[#This Row],[FECHA DE PAGO]]=PROVEEDORES[[#This Row],[FECHA DE FACTURACIÓN]],"DE CONTADO","CRÉDITO")</f>
        <v>DE CONTADO</v>
      </c>
      <c r="B777" s="138" t="b">
        <f>+IF((PROVEEDORES[[#This Row],[FECHA DE PAGO]]-PROVEEDORES[[#This Row],[FECHA DE FACTURACIÓN]])&gt;PROVEEDORES[[#This Row],[PLAZO Días]],"PAGO VENCIDO")</f>
        <v>0</v>
      </c>
      <c r="C777" s="138">
        <f>+VLOOKUP(PROVEEDORES[[#This Row],[PROVEEDOR]],TERCEROS_INFO[#All],2,FALSE)</f>
        <v>30</v>
      </c>
      <c r="D777" s="139">
        <f>+SUMIFS(PROVEEDORES[Total],PROVEEDORES[PROVEEDOR],PROVEEDORES[[#This Row],[PROVEEDOR]],PROVEEDORES[FECHA DE PAGO],"")</f>
        <v>1350000</v>
      </c>
      <c r="E777" s="140"/>
      <c r="F777" s="138" t="str">
        <f>+VLOOKUP(PROVEEDORES[[#This Row],[PROVEEDOR]],
                       Terceros!$A:$F,
                       5,
                       FALSE)</f>
        <v/>
      </c>
      <c r="G777" s="127">
        <v>45209</v>
      </c>
      <c r="H777" s="123" t="s">
        <v>1807</v>
      </c>
      <c r="I777" s="127">
        <v>45209</v>
      </c>
      <c r="J777" s="124" t="s">
        <v>1152</v>
      </c>
      <c r="K777" s="124" t="s">
        <v>1530</v>
      </c>
      <c r="L777" s="124"/>
      <c r="M777" s="125">
        <v>1380000</v>
      </c>
      <c r="N777" s="148">
        <v>0</v>
      </c>
      <c r="O777" s="148">
        <v>0</v>
      </c>
      <c r="P777" s="149">
        <v>0</v>
      </c>
      <c r="Q777" s="148">
        <v>0</v>
      </c>
      <c r="R777" s="150">
        <v>1380000</v>
      </c>
      <c r="S7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7" s="135">
        <f ca="1">+IF(PROVEEDORES[[#This Row],[FECHA DE PAGO]]=0,TODAY()-PROVEEDORES[[#This Row],[FECHA DE FACTURACIÓN]]-PROVEEDORES[[#This Row],[PLAZO Días]],0)</f>
        <v>0</v>
      </c>
      <c r="U777" s="135">
        <f>+VLOOKUP(PROVEEDORES[[#This Row],[PROVEEDOR]],Terceros!$A:$D,4,FALSE)</f>
        <v>0</v>
      </c>
      <c r="V777" s="135">
        <f>+YEAR(PROVEEDORES[[#This Row],[FECHA DE FACTURACIÓN]])</f>
        <v>2023</v>
      </c>
      <c r="W777" s="135">
        <f>+MATCH(PROVEEDORES[[#This Row],[año facturado]],Retenciones!$1:$1,0)</f>
        <v>6</v>
      </c>
      <c r="X777" s="136">
        <f>+VLOOKUP(PROVEEDORES[[#This Row],[ID RETENCION]],Retenciones!$A$1:$O$25,PROVEEDORES[[#This Row],[indicador de columna]],FALSE)</f>
        <v>0</v>
      </c>
      <c r="Y777" s="137">
        <f>+VLOOKUP(PROVEEDORES[[#This Row],[ID RETENCION]],Retenciones!$A$1:$O$25,2,FALSE)</f>
        <v>0</v>
      </c>
      <c r="Z777" s="126" t="b">
        <f>+OR(COUNTIF(PROVEEDORES[[#This Row],[PROVEEDOR]],"*"&amp;'Palabra que no opera y Listas d'!$A$2&amp;"*"))</f>
        <v>0</v>
      </c>
    </row>
    <row r="778" spans="1:26" ht="27.75" customHeight="1" x14ac:dyDescent="0.25">
      <c r="A778" s="141" t="str">
        <f>+IF(PROVEEDORES[[#This Row],[FECHA DE PAGO]]=PROVEEDORES[[#This Row],[FECHA DE FACTURACIÓN]],"DE CONTADO","CRÉDITO")</f>
        <v>DE CONTADO</v>
      </c>
      <c r="B778" s="138" t="b">
        <f>+IF((PROVEEDORES[[#This Row],[FECHA DE PAGO]]-PROVEEDORES[[#This Row],[FECHA DE FACTURACIÓN]])&gt;PROVEEDORES[[#This Row],[PLAZO Días]],"PAGO VENCIDO")</f>
        <v>0</v>
      </c>
      <c r="C778" s="138">
        <f>+VLOOKUP(PROVEEDORES[[#This Row],[PROVEEDOR]],TERCEROS_INFO[#All],2,FALSE)</f>
        <v>30</v>
      </c>
      <c r="D778" s="139">
        <f>+SUMIFS(PROVEEDORES[Total],PROVEEDORES[PROVEEDOR],PROVEEDORES[[#This Row],[PROVEEDOR]],PROVEEDORES[FECHA DE PAGO],"")</f>
        <v>0</v>
      </c>
      <c r="E778" s="140"/>
      <c r="F778" s="138" t="str">
        <f>+VLOOKUP(PROVEEDORES[[#This Row],[PROVEEDOR]],
                       Terceros!$A:$F,
                       5,
                       FALSE)</f>
        <v/>
      </c>
      <c r="G778" s="127">
        <v>45210</v>
      </c>
      <c r="H778" s="123" t="s">
        <v>525</v>
      </c>
      <c r="I778" s="127">
        <v>45210</v>
      </c>
      <c r="J778" s="124" t="s">
        <v>1148</v>
      </c>
      <c r="K778" s="124" t="s">
        <v>1530</v>
      </c>
      <c r="L778" s="124"/>
      <c r="M778" s="125">
        <v>180000</v>
      </c>
      <c r="N778" s="148">
        <v>0</v>
      </c>
      <c r="O778" s="148">
        <v>0</v>
      </c>
      <c r="P778" s="149">
        <v>0</v>
      </c>
      <c r="Q778" s="148">
        <v>0</v>
      </c>
      <c r="R778" s="150">
        <v>180000</v>
      </c>
      <c r="S7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8" s="135">
        <f ca="1">+IF(PROVEEDORES[[#This Row],[FECHA DE PAGO]]=0,TODAY()-PROVEEDORES[[#This Row],[FECHA DE FACTURACIÓN]]-PROVEEDORES[[#This Row],[PLAZO Días]],0)</f>
        <v>0</v>
      </c>
      <c r="U778" s="135">
        <f>+VLOOKUP(PROVEEDORES[[#This Row],[PROVEEDOR]],Terceros!$A:$D,4,FALSE)</f>
        <v>0</v>
      </c>
      <c r="V778" s="135">
        <f>+YEAR(PROVEEDORES[[#This Row],[FECHA DE FACTURACIÓN]])</f>
        <v>2023</v>
      </c>
      <c r="W778" s="135">
        <f>+MATCH(PROVEEDORES[[#This Row],[año facturado]],Retenciones!$1:$1,0)</f>
        <v>6</v>
      </c>
      <c r="X778" s="136">
        <f>+VLOOKUP(PROVEEDORES[[#This Row],[ID RETENCION]],Retenciones!$A$1:$O$25,PROVEEDORES[[#This Row],[indicador de columna]],FALSE)</f>
        <v>0</v>
      </c>
      <c r="Y778" s="137">
        <f>+VLOOKUP(PROVEEDORES[[#This Row],[ID RETENCION]],Retenciones!$A$1:$O$25,2,FALSE)</f>
        <v>0</v>
      </c>
      <c r="Z778" s="126" t="b">
        <f>+OR(COUNTIF(PROVEEDORES[[#This Row],[PROVEEDOR]],"*"&amp;'Palabra que no opera y Listas d'!$A$2&amp;"*"))</f>
        <v>0</v>
      </c>
    </row>
    <row r="779" spans="1:26" ht="27.75" customHeight="1" x14ac:dyDescent="0.25">
      <c r="A779" s="141" t="str">
        <f>+IF(PROVEEDORES[[#This Row],[FECHA DE PAGO]]=PROVEEDORES[[#This Row],[FECHA DE FACTURACIÓN]],"DE CONTADO","CRÉDITO")</f>
        <v>DE CONTADO</v>
      </c>
      <c r="B779" s="138" t="b">
        <f>+IF((PROVEEDORES[[#This Row],[FECHA DE PAGO]]-PROVEEDORES[[#This Row],[FECHA DE FACTURACIÓN]])&gt;PROVEEDORES[[#This Row],[PLAZO Días]],"PAGO VENCIDO")</f>
        <v>0</v>
      </c>
      <c r="C779" s="138">
        <f>+VLOOKUP(PROVEEDORES[[#This Row],[PROVEEDOR]],TERCEROS_INFO[#All],2,FALSE)</f>
        <v>30</v>
      </c>
      <c r="D779" s="139">
        <f>+SUMIFS(PROVEEDORES[Total],PROVEEDORES[PROVEEDOR],PROVEEDORES[[#This Row],[PROVEEDOR]],PROVEEDORES[FECHA DE PAGO],"")</f>
        <v>0</v>
      </c>
      <c r="E779" s="140"/>
      <c r="F779" s="138" t="str">
        <f>+VLOOKUP(PROVEEDORES[[#This Row],[PROVEEDOR]],
                       Terceros!$A:$F,
                       5,
                       FALSE)</f>
        <v/>
      </c>
      <c r="G779" s="127">
        <v>45211</v>
      </c>
      <c r="H779" s="123" t="s">
        <v>525</v>
      </c>
      <c r="I779" s="127">
        <v>45211</v>
      </c>
      <c r="J779" s="124" t="s">
        <v>1126</v>
      </c>
      <c r="K779" s="124" t="s">
        <v>1530</v>
      </c>
      <c r="L779" s="124"/>
      <c r="M779" s="125">
        <v>280331</v>
      </c>
      <c r="N779" s="148">
        <v>0</v>
      </c>
      <c r="O779" s="148">
        <v>0</v>
      </c>
      <c r="P779" s="149">
        <v>0</v>
      </c>
      <c r="Q779" s="148">
        <v>0</v>
      </c>
      <c r="R779" s="150">
        <v>280331</v>
      </c>
      <c r="S7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79" s="135">
        <f ca="1">+IF(PROVEEDORES[[#This Row],[FECHA DE PAGO]]=0,TODAY()-PROVEEDORES[[#This Row],[FECHA DE FACTURACIÓN]]-PROVEEDORES[[#This Row],[PLAZO Días]],0)</f>
        <v>0</v>
      </c>
      <c r="U779" s="135">
        <f>+VLOOKUP(PROVEEDORES[[#This Row],[PROVEEDOR]],Terceros!$A:$D,4,FALSE)</f>
        <v>0</v>
      </c>
      <c r="V779" s="135">
        <f>+YEAR(PROVEEDORES[[#This Row],[FECHA DE FACTURACIÓN]])</f>
        <v>2023</v>
      </c>
      <c r="W779" s="135">
        <f>+MATCH(PROVEEDORES[[#This Row],[año facturado]],Retenciones!$1:$1,0)</f>
        <v>6</v>
      </c>
      <c r="X779" s="136">
        <f>+VLOOKUP(PROVEEDORES[[#This Row],[ID RETENCION]],Retenciones!$A$1:$O$25,PROVEEDORES[[#This Row],[indicador de columna]],FALSE)</f>
        <v>0</v>
      </c>
      <c r="Y779" s="137">
        <f>+VLOOKUP(PROVEEDORES[[#This Row],[ID RETENCION]],Retenciones!$A$1:$O$25,2,FALSE)</f>
        <v>0</v>
      </c>
      <c r="Z779" s="126" t="b">
        <f>+OR(COUNTIF(PROVEEDORES[[#This Row],[PROVEEDOR]],"*"&amp;'Palabra que no opera y Listas d'!$A$2&amp;"*"))</f>
        <v>0</v>
      </c>
    </row>
    <row r="780" spans="1:26" ht="27.75" customHeight="1" x14ac:dyDescent="0.25">
      <c r="A780" s="141" t="str">
        <f>+IF(PROVEEDORES[[#This Row],[FECHA DE PAGO]]=PROVEEDORES[[#This Row],[FECHA DE FACTURACIÓN]],"DE CONTADO","CRÉDITO")</f>
        <v>DE CONTADO</v>
      </c>
      <c r="B780" s="138" t="b">
        <f>+IF((PROVEEDORES[[#This Row],[FECHA DE PAGO]]-PROVEEDORES[[#This Row],[FECHA DE FACTURACIÓN]])&gt;PROVEEDORES[[#This Row],[PLAZO Días]],"PAGO VENCIDO")</f>
        <v>0</v>
      </c>
      <c r="C780" s="138">
        <f>+VLOOKUP(PROVEEDORES[[#This Row],[PROVEEDOR]],TERCEROS_INFO[#All],2,FALSE)</f>
        <v>30</v>
      </c>
      <c r="D780" s="139">
        <f>+SUMIFS(PROVEEDORES[Total],PROVEEDORES[PROVEEDOR],PROVEEDORES[[#This Row],[PROVEEDOR]],PROVEEDORES[FECHA DE PAGO],"")</f>
        <v>0</v>
      </c>
      <c r="E780" s="140"/>
      <c r="F780" s="138" t="str">
        <f>+VLOOKUP(PROVEEDORES[[#This Row],[PROVEEDOR]],
                       Terceros!$A:$F,
                       5,
                       FALSE)</f>
        <v/>
      </c>
      <c r="G780" s="127">
        <v>45211</v>
      </c>
      <c r="H780" s="123" t="s">
        <v>1815</v>
      </c>
      <c r="I780" s="127">
        <v>45211</v>
      </c>
      <c r="J780" s="124" t="s">
        <v>1139</v>
      </c>
      <c r="K780" s="124" t="s">
        <v>1530</v>
      </c>
      <c r="L780" s="124"/>
      <c r="M780" s="125">
        <v>550000</v>
      </c>
      <c r="N780" s="148">
        <v>0</v>
      </c>
      <c r="O780" s="148">
        <v>0</v>
      </c>
      <c r="P780" s="149">
        <v>0</v>
      </c>
      <c r="Q780" s="148">
        <v>0</v>
      </c>
      <c r="R780" s="150">
        <v>550000</v>
      </c>
      <c r="S7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0" s="135">
        <f ca="1">+IF(PROVEEDORES[[#This Row],[FECHA DE PAGO]]=0,TODAY()-PROVEEDORES[[#This Row],[FECHA DE FACTURACIÓN]]-PROVEEDORES[[#This Row],[PLAZO Días]],0)</f>
        <v>0</v>
      </c>
      <c r="U780" s="135">
        <f>+VLOOKUP(PROVEEDORES[[#This Row],[PROVEEDOR]],Terceros!$A:$D,4,FALSE)</f>
        <v>0</v>
      </c>
      <c r="V780" s="135">
        <f>+YEAR(PROVEEDORES[[#This Row],[FECHA DE FACTURACIÓN]])</f>
        <v>2023</v>
      </c>
      <c r="W780" s="135">
        <f>+MATCH(PROVEEDORES[[#This Row],[año facturado]],Retenciones!$1:$1,0)</f>
        <v>6</v>
      </c>
      <c r="X780" s="136">
        <f>+VLOOKUP(PROVEEDORES[[#This Row],[ID RETENCION]],Retenciones!$A$1:$O$25,PROVEEDORES[[#This Row],[indicador de columna]],FALSE)</f>
        <v>0</v>
      </c>
      <c r="Y780" s="137">
        <f>+VLOOKUP(PROVEEDORES[[#This Row],[ID RETENCION]],Retenciones!$A$1:$O$25,2,FALSE)</f>
        <v>0</v>
      </c>
      <c r="Z780" s="126" t="b">
        <f>+OR(COUNTIF(PROVEEDORES[[#This Row],[PROVEEDOR]],"*"&amp;'Palabra que no opera y Listas d'!$A$2&amp;"*"))</f>
        <v>0</v>
      </c>
    </row>
    <row r="781" spans="1:26" ht="27.75" customHeight="1" x14ac:dyDescent="0.25">
      <c r="A781" s="141" t="str">
        <f>+IF(PROVEEDORES[[#This Row],[FECHA DE PAGO]]=PROVEEDORES[[#This Row],[FECHA DE FACTURACIÓN]],"DE CONTADO","CRÉDITO")</f>
        <v>CRÉDITO</v>
      </c>
      <c r="B781" s="138" t="b">
        <f>+IF((PROVEEDORES[[#This Row],[FECHA DE PAGO]]-PROVEEDORES[[#This Row],[FECHA DE FACTURACIÓN]])&gt;PROVEEDORES[[#This Row],[PLAZO Días]],"PAGO VENCIDO")</f>
        <v>0</v>
      </c>
      <c r="C781" s="138">
        <f>+VLOOKUP(PROVEEDORES[[#This Row],[PROVEEDOR]],TERCEROS_INFO[#All],2,FALSE)</f>
        <v>30</v>
      </c>
      <c r="D781" s="139">
        <f>+SUMIFS(PROVEEDORES[Total],PROVEEDORES[PROVEEDOR],PROVEEDORES[[#This Row],[PROVEEDOR]],PROVEEDORES[FECHA DE PAGO],"")</f>
        <v>0</v>
      </c>
      <c r="E781" s="140"/>
      <c r="F781" s="138" t="str">
        <f>+VLOOKUP(PROVEEDORES[[#This Row],[PROVEEDOR]],
                       Terceros!$A:$F,
                       5,
                       FALSE)</f>
        <v/>
      </c>
      <c r="G781" s="127">
        <v>45213</v>
      </c>
      <c r="H781" s="123" t="s">
        <v>481</v>
      </c>
      <c r="I781" s="127">
        <v>45212</v>
      </c>
      <c r="J781" s="124" t="s">
        <v>1145</v>
      </c>
      <c r="K781" s="124" t="s">
        <v>1530</v>
      </c>
      <c r="L781" s="124"/>
      <c r="M781" s="125">
        <v>2740000</v>
      </c>
      <c r="N781" s="148">
        <v>0</v>
      </c>
      <c r="O781" s="148">
        <v>0</v>
      </c>
      <c r="P781" s="149">
        <v>0</v>
      </c>
      <c r="Q781" s="148">
        <v>0</v>
      </c>
      <c r="R781" s="150">
        <v>2740000</v>
      </c>
      <c r="S7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1" s="135">
        <f ca="1">+IF(PROVEEDORES[[#This Row],[FECHA DE PAGO]]=0,TODAY()-PROVEEDORES[[#This Row],[FECHA DE FACTURACIÓN]]-PROVEEDORES[[#This Row],[PLAZO Días]],0)</f>
        <v>0</v>
      </c>
      <c r="U781" s="135">
        <f>+VLOOKUP(PROVEEDORES[[#This Row],[PROVEEDOR]],Terceros!$A:$D,4,FALSE)</f>
        <v>0</v>
      </c>
      <c r="V781" s="135">
        <f>+YEAR(PROVEEDORES[[#This Row],[FECHA DE FACTURACIÓN]])</f>
        <v>2023</v>
      </c>
      <c r="W781" s="135">
        <f>+MATCH(PROVEEDORES[[#This Row],[año facturado]],Retenciones!$1:$1,0)</f>
        <v>6</v>
      </c>
      <c r="X781" s="136">
        <f>+VLOOKUP(PROVEEDORES[[#This Row],[ID RETENCION]],Retenciones!$A$1:$O$25,PROVEEDORES[[#This Row],[indicador de columna]],FALSE)</f>
        <v>0</v>
      </c>
      <c r="Y781" s="137">
        <f>+VLOOKUP(PROVEEDORES[[#This Row],[ID RETENCION]],Retenciones!$A$1:$O$25,2,FALSE)</f>
        <v>0</v>
      </c>
      <c r="Z781" s="126" t="b">
        <f>+OR(COUNTIF(PROVEEDORES[[#This Row],[PROVEEDOR]],"*"&amp;'Palabra que no opera y Listas d'!$A$2&amp;"*"))</f>
        <v>0</v>
      </c>
    </row>
    <row r="782" spans="1:26" ht="27.75" customHeight="1" x14ac:dyDescent="0.25">
      <c r="A782" s="141" t="str">
        <f>+IF(PROVEEDORES[[#This Row],[FECHA DE PAGO]]=PROVEEDORES[[#This Row],[FECHA DE FACTURACIÓN]],"DE CONTADO","CRÉDITO")</f>
        <v>CRÉDITO</v>
      </c>
      <c r="B782" s="138" t="str">
        <f>+IF((PROVEEDORES[[#This Row],[FECHA DE PAGO]]-PROVEEDORES[[#This Row],[FECHA DE FACTURACIÓN]])&gt;PROVEEDORES[[#This Row],[PLAZO Días]],"PAGO VENCIDO")</f>
        <v>PAGO VENCIDO</v>
      </c>
      <c r="C782" s="138">
        <f>+VLOOKUP(PROVEEDORES[[#This Row],[PROVEEDOR]],TERCEROS_INFO[#All],2,FALSE)</f>
        <v>30</v>
      </c>
      <c r="D782" s="139">
        <f>+SUMIFS(PROVEEDORES[Total],PROVEEDORES[PROVEEDOR],PROVEEDORES[[#This Row],[PROVEEDOR]],PROVEEDORES[FECHA DE PAGO],"")</f>
        <v>0</v>
      </c>
      <c r="E782" s="140"/>
      <c r="F782" s="138" t="str">
        <f>+VLOOKUP(PROVEEDORES[[#This Row],[PROVEEDOR]],
                       Terceros!$A:$F,
                       5,
                       FALSE)</f>
        <v/>
      </c>
      <c r="G782" s="127">
        <v>45217</v>
      </c>
      <c r="H782" s="123" t="s">
        <v>1811</v>
      </c>
      <c r="I782" s="127">
        <v>45140</v>
      </c>
      <c r="J782" s="124" t="s">
        <v>945</v>
      </c>
      <c r="K782" s="124" t="s">
        <v>1530</v>
      </c>
      <c r="L782" s="124"/>
      <c r="M782" s="125">
        <v>3496000</v>
      </c>
      <c r="N782" s="148">
        <v>0</v>
      </c>
      <c r="O782" s="148">
        <v>0</v>
      </c>
      <c r="P782" s="149">
        <v>0</v>
      </c>
      <c r="Q782" s="148">
        <v>0</v>
      </c>
      <c r="R782" s="150">
        <v>3496000</v>
      </c>
      <c r="S7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2" s="135">
        <f ca="1">+IF(PROVEEDORES[[#This Row],[FECHA DE PAGO]]=0,TODAY()-PROVEEDORES[[#This Row],[FECHA DE FACTURACIÓN]]-PROVEEDORES[[#This Row],[PLAZO Días]],0)</f>
        <v>0</v>
      </c>
      <c r="U782" s="135">
        <f>+VLOOKUP(PROVEEDORES[[#This Row],[PROVEEDOR]],Terceros!$A:$D,4,FALSE)</f>
        <v>0</v>
      </c>
      <c r="V782" s="135">
        <f>+YEAR(PROVEEDORES[[#This Row],[FECHA DE FACTURACIÓN]])</f>
        <v>2023</v>
      </c>
      <c r="W782" s="135">
        <f>+MATCH(PROVEEDORES[[#This Row],[año facturado]],Retenciones!$1:$1,0)</f>
        <v>6</v>
      </c>
      <c r="X782" s="136">
        <f>+VLOOKUP(PROVEEDORES[[#This Row],[ID RETENCION]],Retenciones!$A$1:$O$25,PROVEEDORES[[#This Row],[indicador de columna]],FALSE)</f>
        <v>0</v>
      </c>
      <c r="Y782" s="137">
        <f>+VLOOKUP(PROVEEDORES[[#This Row],[ID RETENCION]],Retenciones!$A$1:$O$25,2,FALSE)</f>
        <v>0</v>
      </c>
      <c r="Z782" s="126" t="b">
        <f>+OR(COUNTIF(PROVEEDORES[[#This Row],[PROVEEDOR]],"*"&amp;'Palabra que no opera y Listas d'!$A$2&amp;"*"))</f>
        <v>0</v>
      </c>
    </row>
    <row r="783" spans="1:26" ht="27.75" customHeight="1" x14ac:dyDescent="0.25">
      <c r="A783" s="141" t="str">
        <f>+IF(PROVEEDORES[[#This Row],[FECHA DE PAGO]]=PROVEEDORES[[#This Row],[FECHA DE FACTURACIÓN]],"DE CONTADO","CRÉDITO")</f>
        <v>CRÉDITO</v>
      </c>
      <c r="B783" s="138" t="str">
        <f>+IF((PROVEEDORES[[#This Row],[FECHA DE PAGO]]-PROVEEDORES[[#This Row],[FECHA DE FACTURACIÓN]])&gt;PROVEEDORES[[#This Row],[PLAZO Días]],"PAGO VENCIDO")</f>
        <v>PAGO VENCIDO</v>
      </c>
      <c r="C783" s="138">
        <f>+VLOOKUP(PROVEEDORES[[#This Row],[PROVEEDOR]],TERCEROS_INFO[#All],2,FALSE)</f>
        <v>30</v>
      </c>
      <c r="D783" s="139">
        <f>+SUMIFS(PROVEEDORES[Total],PROVEEDORES[PROVEEDOR],PROVEEDORES[[#This Row],[PROVEEDOR]],PROVEEDORES[FECHA DE PAGO],"")</f>
        <v>0</v>
      </c>
      <c r="E783" s="140"/>
      <c r="F783" s="138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G783" s="127">
        <v>45218</v>
      </c>
      <c r="H783" s="123" t="s">
        <v>1818</v>
      </c>
      <c r="I783" s="127">
        <v>45153</v>
      </c>
      <c r="J783" s="124">
        <v>31505</v>
      </c>
      <c r="K783" s="124" t="s">
        <v>1530</v>
      </c>
      <c r="L783" s="124"/>
      <c r="M783" s="125">
        <v>116000</v>
      </c>
      <c r="N783" s="148">
        <v>0</v>
      </c>
      <c r="O783" s="148">
        <v>0</v>
      </c>
      <c r="P783" s="149">
        <v>0</v>
      </c>
      <c r="Q783" s="148">
        <v>0</v>
      </c>
      <c r="R783" s="150">
        <v>116000</v>
      </c>
      <c r="S7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3" s="135">
        <f ca="1">+IF(PROVEEDORES[[#This Row],[FECHA DE PAGO]]=0,TODAY()-PROVEEDORES[[#This Row],[FECHA DE FACTURACIÓN]]-PROVEEDORES[[#This Row],[PLAZO Días]],0)</f>
        <v>0</v>
      </c>
      <c r="U783" s="135">
        <f>+VLOOKUP(PROVEEDORES[[#This Row],[PROVEEDOR]],Terceros!$A:$D,4,FALSE)</f>
        <v>0</v>
      </c>
      <c r="V783" s="135">
        <f>+YEAR(PROVEEDORES[[#This Row],[FECHA DE FACTURACIÓN]])</f>
        <v>2023</v>
      </c>
      <c r="W783" s="135">
        <f>+MATCH(PROVEEDORES[[#This Row],[año facturado]],Retenciones!$1:$1,0)</f>
        <v>6</v>
      </c>
      <c r="X783" s="136">
        <f>+VLOOKUP(PROVEEDORES[[#This Row],[ID RETENCION]],Retenciones!$A$1:$O$25,PROVEEDORES[[#This Row],[indicador de columna]],FALSE)</f>
        <v>0</v>
      </c>
      <c r="Y783" s="137">
        <f>+VLOOKUP(PROVEEDORES[[#This Row],[ID RETENCION]],Retenciones!$A$1:$O$25,2,FALSE)</f>
        <v>0</v>
      </c>
      <c r="Z783" s="126" t="b">
        <f>+OR(COUNTIF(PROVEEDORES[[#This Row],[PROVEEDOR]],"*"&amp;'Palabra que no opera y Listas d'!$A$2&amp;"*"))</f>
        <v>0</v>
      </c>
    </row>
    <row r="784" spans="1:26" ht="27.75" customHeight="1" x14ac:dyDescent="0.25">
      <c r="A784" s="141" t="str">
        <f>+IF(PROVEEDORES[[#This Row],[FECHA DE PAGO]]=PROVEEDORES[[#This Row],[FECHA DE FACTURACIÓN]],"DE CONTADO","CRÉDITO")</f>
        <v>CRÉDITO</v>
      </c>
      <c r="B784" s="138" t="str">
        <f>+IF((PROVEEDORES[[#This Row],[FECHA DE PAGO]]-PROVEEDORES[[#This Row],[FECHA DE FACTURACIÓN]])&gt;PROVEEDORES[[#This Row],[PLAZO Días]],"PAGO VENCIDO")</f>
        <v>PAGO VENCIDO</v>
      </c>
      <c r="C784" s="138">
        <f>+VLOOKUP(PROVEEDORES[[#This Row],[PROVEEDOR]],TERCEROS_INFO[#All],2,FALSE)</f>
        <v>30</v>
      </c>
      <c r="D784" s="139">
        <f>+SUMIFS(PROVEEDORES[Total],PROVEEDORES[PROVEEDOR],PROVEEDORES[[#This Row],[PROVEEDOR]],PROVEEDORES[FECHA DE PAGO],"")</f>
        <v>0</v>
      </c>
      <c r="E784" s="140"/>
      <c r="F784" s="138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G784" s="127">
        <v>45218</v>
      </c>
      <c r="H784" s="123" t="s">
        <v>710</v>
      </c>
      <c r="I784" s="127">
        <v>45154</v>
      </c>
      <c r="J784" s="124" t="s">
        <v>1007</v>
      </c>
      <c r="K784" s="124" t="s">
        <v>1530</v>
      </c>
      <c r="L784" s="124"/>
      <c r="M784" s="125">
        <v>6870000</v>
      </c>
      <c r="N784" s="148">
        <v>1305300</v>
      </c>
      <c r="O784" s="148">
        <v>0</v>
      </c>
      <c r="P784" s="149">
        <v>0</v>
      </c>
      <c r="Q784" s="148">
        <v>0</v>
      </c>
      <c r="R784" s="150">
        <v>8175300</v>
      </c>
      <c r="S7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4" s="135">
        <f ca="1">+IF(PROVEEDORES[[#This Row],[FECHA DE PAGO]]=0,TODAY()-PROVEEDORES[[#This Row],[FECHA DE FACTURACIÓN]]-PROVEEDORES[[#This Row],[PLAZO Días]],0)</f>
        <v>0</v>
      </c>
      <c r="U784" s="135">
        <f>+VLOOKUP(PROVEEDORES[[#This Row],[PROVEEDOR]],Terceros!$A:$D,4,FALSE)</f>
        <v>0</v>
      </c>
      <c r="V784" s="135">
        <f>+YEAR(PROVEEDORES[[#This Row],[FECHA DE FACTURACIÓN]])</f>
        <v>2023</v>
      </c>
      <c r="W784" s="135">
        <f>+MATCH(PROVEEDORES[[#This Row],[año facturado]],Retenciones!$1:$1,0)</f>
        <v>6</v>
      </c>
      <c r="X784" s="136">
        <f>+VLOOKUP(PROVEEDORES[[#This Row],[ID RETENCION]],Retenciones!$A$1:$O$25,PROVEEDORES[[#This Row],[indicador de columna]],FALSE)</f>
        <v>0</v>
      </c>
      <c r="Y784" s="137">
        <f>+VLOOKUP(PROVEEDORES[[#This Row],[ID RETENCION]],Retenciones!$A$1:$O$25,2,FALSE)</f>
        <v>0</v>
      </c>
      <c r="Z784" s="126" t="b">
        <f>+OR(COUNTIF(PROVEEDORES[[#This Row],[PROVEEDOR]],"*"&amp;'Palabra que no opera y Listas d'!$A$2&amp;"*"))</f>
        <v>0</v>
      </c>
    </row>
    <row r="785" spans="1:26" ht="27.75" customHeight="1" x14ac:dyDescent="0.25">
      <c r="A785" s="141" t="str">
        <f>+IF(PROVEEDORES[[#This Row],[FECHA DE PAGO]]=PROVEEDORES[[#This Row],[FECHA DE FACTURACIÓN]],"DE CONTADO","CRÉDITO")</f>
        <v>CRÉDITO</v>
      </c>
      <c r="B785" s="138" t="str">
        <f>+IF((PROVEEDORES[[#This Row],[FECHA DE PAGO]]-PROVEEDORES[[#This Row],[FECHA DE FACTURACIÓN]])&gt;PROVEEDORES[[#This Row],[PLAZO Días]],"PAGO VENCIDO")</f>
        <v>PAGO VENCIDO</v>
      </c>
      <c r="C785" s="138">
        <f>+VLOOKUP(PROVEEDORES[[#This Row],[PROVEEDOR]],TERCEROS_INFO[#All],2,FALSE)</f>
        <v>30</v>
      </c>
      <c r="D785" s="139">
        <f>+SUMIFS(PROVEEDORES[Total],PROVEEDORES[PROVEEDOR],PROVEEDORES[[#This Row],[PROVEEDOR]],PROVEEDORES[FECHA DE PAGO],"")</f>
        <v>2028306.6264000002</v>
      </c>
      <c r="E785" s="140"/>
      <c r="F785" s="138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785" s="127">
        <v>45218</v>
      </c>
      <c r="H785" s="123" t="s">
        <v>218</v>
      </c>
      <c r="I785" s="127">
        <v>45169</v>
      </c>
      <c r="J785" s="124" t="s">
        <v>1027</v>
      </c>
      <c r="K785" s="124" t="s">
        <v>1530</v>
      </c>
      <c r="L785" s="124"/>
      <c r="M785" s="125">
        <v>1181915</v>
      </c>
      <c r="N785" s="148">
        <v>224563.85</v>
      </c>
      <c r="O785" s="148">
        <v>0</v>
      </c>
      <c r="P785" s="149">
        <v>2.5000000000000001E-2</v>
      </c>
      <c r="Q785" s="148">
        <v>29547.875</v>
      </c>
      <c r="R785" s="150">
        <v>1376930.9750000001</v>
      </c>
      <c r="S7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5" s="135">
        <f ca="1">+IF(PROVEEDORES[[#This Row],[FECHA DE PAGO]]=0,TODAY()-PROVEEDORES[[#This Row],[FECHA DE FACTURACIÓN]]-PROVEEDORES[[#This Row],[PLAZO Días]],0)</f>
        <v>0</v>
      </c>
      <c r="U785" s="135" t="str">
        <f>+VLOOKUP(PROVEEDORES[[#This Row],[PROVEEDOR]],Terceros!$A:$D,4,FALSE)</f>
        <v>2,5% con base</v>
      </c>
      <c r="V785" s="135">
        <f>+YEAR(PROVEEDORES[[#This Row],[FECHA DE FACTURACIÓN]])</f>
        <v>2023</v>
      </c>
      <c r="W785" s="135">
        <f>+MATCH(PROVEEDORES[[#This Row],[año facturado]],Retenciones!$1:$1,0)</f>
        <v>6</v>
      </c>
      <c r="X785" s="136">
        <f>+VLOOKUP(PROVEEDORES[[#This Row],[ID RETENCION]],Retenciones!$A$1:$O$25,PROVEEDORES[[#This Row],[indicador de columna]],FALSE)</f>
        <v>1145000</v>
      </c>
      <c r="Y785" s="137">
        <f>+VLOOKUP(PROVEEDORES[[#This Row],[ID RETENCION]],Retenciones!$A$1:$O$25,2,FALSE)</f>
        <v>2.5000000000000001E-2</v>
      </c>
      <c r="Z785" s="126" t="b">
        <f>+OR(COUNTIF(PROVEEDORES[[#This Row],[PROVEEDOR]],"*"&amp;'Palabra que no opera y Listas d'!$A$2&amp;"*"))</f>
        <v>0</v>
      </c>
    </row>
    <row r="786" spans="1:26" ht="27.75" customHeight="1" x14ac:dyDescent="0.25">
      <c r="A786" s="141" t="str">
        <f>+IF(PROVEEDORES[[#This Row],[FECHA DE PAGO]]=PROVEEDORES[[#This Row],[FECHA DE FACTURACIÓN]],"DE CONTADO","CRÉDITO")</f>
        <v>CRÉDITO</v>
      </c>
      <c r="B786" s="138" t="b">
        <f>+IF((PROVEEDORES[[#This Row],[FECHA DE PAGO]]-PROVEEDORES[[#This Row],[FECHA DE FACTURACIÓN]])&gt;PROVEEDORES[[#This Row],[PLAZO Días]],"PAGO VENCIDO")</f>
        <v>0</v>
      </c>
      <c r="C786" s="138">
        <f>+VLOOKUP(PROVEEDORES[[#This Row],[PROVEEDOR]],TERCEROS_INFO[#All],2,FALSE)</f>
        <v>30</v>
      </c>
      <c r="D786" s="139">
        <f>+SUMIFS(PROVEEDORES[Total],PROVEEDORES[PROVEEDOR],PROVEEDORES[[#This Row],[PROVEEDOR]],PROVEEDORES[FECHA DE PAGO],"")</f>
        <v>0</v>
      </c>
      <c r="E786" s="140"/>
      <c r="F786" s="138" t="str">
        <f>+VLOOKUP(PROVEEDORES[[#This Row],[PROVEEDOR]],
                       Terceros!$A:$F,
                       5,
                       FALSE)</f>
        <v>facturacion@losmolinos.com.co</v>
      </c>
      <c r="G786" s="127">
        <v>45218</v>
      </c>
      <c r="H786" s="123" t="s">
        <v>376</v>
      </c>
      <c r="I786" s="127">
        <v>45200</v>
      </c>
      <c r="J786" s="124" t="s">
        <v>1116</v>
      </c>
      <c r="K786" s="124" t="s">
        <v>1530</v>
      </c>
      <c r="L786" s="124"/>
      <c r="M786" s="125">
        <v>318603</v>
      </c>
      <c r="N786" s="148">
        <v>0</v>
      </c>
      <c r="O786" s="148">
        <v>0</v>
      </c>
      <c r="P786" s="149">
        <v>0</v>
      </c>
      <c r="Q786" s="148">
        <v>0</v>
      </c>
      <c r="R786" s="150">
        <v>318603</v>
      </c>
      <c r="S7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6" s="135">
        <f ca="1">+IF(PROVEEDORES[[#This Row],[FECHA DE PAGO]]=0,TODAY()-PROVEEDORES[[#This Row],[FECHA DE FACTURACIÓN]]-PROVEEDORES[[#This Row],[PLAZO Días]],0)</f>
        <v>0</v>
      </c>
      <c r="U786" s="135">
        <f>+VLOOKUP(PROVEEDORES[[#This Row],[PROVEEDOR]],Terceros!$A:$D,4,FALSE)</f>
        <v>0</v>
      </c>
      <c r="V786" s="135">
        <f>+YEAR(PROVEEDORES[[#This Row],[FECHA DE FACTURACIÓN]])</f>
        <v>2023</v>
      </c>
      <c r="W786" s="135">
        <f>+MATCH(PROVEEDORES[[#This Row],[año facturado]],Retenciones!$1:$1,0)</f>
        <v>6</v>
      </c>
      <c r="X786" s="136">
        <f>+VLOOKUP(PROVEEDORES[[#This Row],[ID RETENCION]],Retenciones!$A$1:$O$25,PROVEEDORES[[#This Row],[indicador de columna]],FALSE)</f>
        <v>0</v>
      </c>
      <c r="Y786" s="137">
        <f>+VLOOKUP(PROVEEDORES[[#This Row],[ID RETENCION]],Retenciones!$A$1:$O$25,2,FALSE)</f>
        <v>0</v>
      </c>
      <c r="Z786" s="126" t="b">
        <f>+OR(COUNTIF(PROVEEDORES[[#This Row],[PROVEEDOR]],"*"&amp;'Palabra que no opera y Listas d'!$A$2&amp;"*"))</f>
        <v>1</v>
      </c>
    </row>
    <row r="787" spans="1:26" ht="27.75" customHeight="1" x14ac:dyDescent="0.25">
      <c r="A787" s="141" t="str">
        <f>+IF(PROVEEDORES[[#This Row],[FECHA DE PAGO]]=PROVEEDORES[[#This Row],[FECHA DE FACTURACIÓN]],"DE CONTADO","CRÉDITO")</f>
        <v>CRÉDITO</v>
      </c>
      <c r="B787" s="138" t="b">
        <f>+IF((PROVEEDORES[[#This Row],[FECHA DE PAGO]]-PROVEEDORES[[#This Row],[FECHA DE FACTURACIÓN]])&gt;PROVEEDORES[[#This Row],[PLAZO Días]],"PAGO VENCIDO")</f>
        <v>0</v>
      </c>
      <c r="C787" s="138">
        <f>+VLOOKUP(PROVEEDORES[[#This Row],[PROVEEDOR]],TERCEROS_INFO[#All],2,FALSE)</f>
        <v>30</v>
      </c>
      <c r="D787" s="139">
        <f>+SUMIFS(PROVEEDORES[Total],PROVEEDORES[PROVEEDOR],PROVEEDORES[[#This Row],[PROVEEDOR]],PROVEEDORES[FECHA DE PAGO],"")</f>
        <v>0</v>
      </c>
      <c r="E787" s="140"/>
      <c r="F787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787" s="127">
        <v>45218</v>
      </c>
      <c r="H787" s="123" t="s">
        <v>383</v>
      </c>
      <c r="I787" s="127">
        <v>45200</v>
      </c>
      <c r="J787" s="124" t="s">
        <v>1127</v>
      </c>
      <c r="K787" s="124" t="s">
        <v>1530</v>
      </c>
      <c r="L787" s="124"/>
      <c r="M787" s="125">
        <v>3935776</v>
      </c>
      <c r="N787" s="148">
        <v>747797.44000000006</v>
      </c>
      <c r="O787" s="148">
        <v>0</v>
      </c>
      <c r="P787" s="149">
        <v>3.5000000000000003E-2</v>
      </c>
      <c r="Q787" s="148">
        <v>137752.16</v>
      </c>
      <c r="R787" s="150">
        <v>4545821.28</v>
      </c>
      <c r="S7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7" s="135">
        <f ca="1">+IF(PROVEEDORES[[#This Row],[FECHA DE PAGO]]=0,TODAY()-PROVEEDORES[[#This Row],[FECHA DE FACTURACIÓN]]-PROVEEDORES[[#This Row],[PLAZO Días]],0)</f>
        <v>0</v>
      </c>
      <c r="U787" s="135" t="str">
        <f>+VLOOKUP(PROVEEDORES[[#This Row],[PROVEEDOR]],Terceros!$A:$D,4,FALSE)</f>
        <v>3,5% sin base</v>
      </c>
      <c r="V787" s="135">
        <f>+YEAR(PROVEEDORES[[#This Row],[FECHA DE FACTURACIÓN]])</f>
        <v>2023</v>
      </c>
      <c r="W787" s="135">
        <f>+MATCH(PROVEEDORES[[#This Row],[año facturado]],Retenciones!$1:$1,0)</f>
        <v>6</v>
      </c>
      <c r="X787" s="136">
        <f>+VLOOKUP(PROVEEDORES[[#This Row],[ID RETENCION]],Retenciones!$A$1:$O$25,PROVEEDORES[[#This Row],[indicador de columna]],FALSE)</f>
        <v>0</v>
      </c>
      <c r="Y787" s="137">
        <f>+VLOOKUP(PROVEEDORES[[#This Row],[ID RETENCION]],Retenciones!$A$1:$O$25,2,FALSE)</f>
        <v>3.5000000000000003E-2</v>
      </c>
      <c r="Z787" s="126" t="b">
        <f>+OR(COUNTIF(PROVEEDORES[[#This Row],[PROVEEDOR]],"*"&amp;'Palabra que no opera y Listas d'!$A$2&amp;"*"))</f>
        <v>1</v>
      </c>
    </row>
    <row r="788" spans="1:26" ht="27.75" customHeight="1" x14ac:dyDescent="0.25">
      <c r="A788" s="141" t="str">
        <f>+IF(PROVEEDORES[[#This Row],[FECHA DE PAGO]]=PROVEEDORES[[#This Row],[FECHA DE FACTURACIÓN]],"DE CONTADO","CRÉDITO")</f>
        <v>CRÉDITO</v>
      </c>
      <c r="B788" s="138" t="b">
        <f>+IF((PROVEEDORES[[#This Row],[FECHA DE PAGO]]-PROVEEDORES[[#This Row],[FECHA DE FACTURACIÓN]])&gt;PROVEEDORES[[#This Row],[PLAZO Días]],"PAGO VENCIDO")</f>
        <v>0</v>
      </c>
      <c r="C788" s="138">
        <f>+VLOOKUP(PROVEEDORES[[#This Row],[PROVEEDOR]],TERCEROS_INFO[#All],2,FALSE)</f>
        <v>30</v>
      </c>
      <c r="D788" s="139">
        <f>+SUMIFS(PROVEEDORES[Total],PROVEEDORES[PROVEEDOR],PROVEEDORES[[#This Row],[PROVEEDOR]],PROVEEDORES[FECHA DE PAGO],"")</f>
        <v>0</v>
      </c>
      <c r="E788" s="140"/>
      <c r="F788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788" s="127">
        <v>45218</v>
      </c>
      <c r="H788" s="123" t="s">
        <v>394</v>
      </c>
      <c r="I788" s="127">
        <v>45200</v>
      </c>
      <c r="J788" s="124" t="s">
        <v>1118</v>
      </c>
      <c r="K788" s="124" t="s">
        <v>1530</v>
      </c>
      <c r="L788" s="124"/>
      <c r="M788" s="125">
        <v>243611</v>
      </c>
      <c r="N788" s="148">
        <v>46286.090000000004</v>
      </c>
      <c r="O788" s="148">
        <v>0</v>
      </c>
      <c r="P788" s="149">
        <v>3.5000000000000003E-2</v>
      </c>
      <c r="Q788" s="148">
        <v>8526.3850000000002</v>
      </c>
      <c r="R788" s="150">
        <v>281370.70500000002</v>
      </c>
      <c r="S7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8" s="135">
        <f ca="1">+IF(PROVEEDORES[[#This Row],[FECHA DE PAGO]]=0,TODAY()-PROVEEDORES[[#This Row],[FECHA DE FACTURACIÓN]]-PROVEEDORES[[#This Row],[PLAZO Días]],0)</f>
        <v>0</v>
      </c>
      <c r="U788" s="135" t="str">
        <f>+VLOOKUP(PROVEEDORES[[#This Row],[PROVEEDOR]],Terceros!$A:$D,4,FALSE)</f>
        <v>3,5% sin base</v>
      </c>
      <c r="V788" s="135">
        <f>+YEAR(PROVEEDORES[[#This Row],[FECHA DE FACTURACIÓN]])</f>
        <v>2023</v>
      </c>
      <c r="W788" s="135">
        <f>+MATCH(PROVEEDORES[[#This Row],[año facturado]],Retenciones!$1:$1,0)</f>
        <v>6</v>
      </c>
      <c r="X788" s="136">
        <f>+VLOOKUP(PROVEEDORES[[#This Row],[ID RETENCION]],Retenciones!$A$1:$O$25,PROVEEDORES[[#This Row],[indicador de columna]],FALSE)</f>
        <v>0</v>
      </c>
      <c r="Y788" s="137">
        <f>+VLOOKUP(PROVEEDORES[[#This Row],[ID RETENCION]],Retenciones!$A$1:$O$25,2,FALSE)</f>
        <v>3.5000000000000003E-2</v>
      </c>
      <c r="Z788" s="126" t="b">
        <f>+OR(COUNTIF(PROVEEDORES[[#This Row],[PROVEEDOR]],"*"&amp;'Palabra que no opera y Listas d'!$A$2&amp;"*"))</f>
        <v>1</v>
      </c>
    </row>
    <row r="789" spans="1:26" ht="27.75" customHeight="1" x14ac:dyDescent="0.25">
      <c r="A789" s="141" t="str">
        <f>+IF(PROVEEDORES[[#This Row],[FECHA DE PAGO]]=PROVEEDORES[[#This Row],[FECHA DE FACTURACIÓN]],"DE CONTADO","CRÉDITO")</f>
        <v>CRÉDITO</v>
      </c>
      <c r="B789" s="138" t="str">
        <f>+IF((PROVEEDORES[[#This Row],[FECHA DE PAGO]]-PROVEEDORES[[#This Row],[FECHA DE FACTURACIÓN]])&gt;PROVEEDORES[[#This Row],[PLAZO Días]],"PAGO VENCIDO")</f>
        <v>PAGO VENCIDO</v>
      </c>
      <c r="C789" s="138">
        <f>+VLOOKUP(PROVEEDORES[[#This Row],[PROVEEDOR]],TERCEROS_INFO[#All],2,FALSE)</f>
        <v>10</v>
      </c>
      <c r="D789" s="139">
        <f>+SUMIFS(PROVEEDORES[Total],PROVEEDORES[PROVEEDOR],PROVEEDORES[[#This Row],[PROVEEDOR]],PROVEEDORES[FECHA DE PAGO],"")</f>
        <v>0</v>
      </c>
      <c r="E789" s="140"/>
      <c r="F789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789" s="127">
        <v>45218</v>
      </c>
      <c r="H789" s="123" t="s">
        <v>482</v>
      </c>
      <c r="I789" s="127">
        <v>45200</v>
      </c>
      <c r="J789" s="124" t="s">
        <v>1115</v>
      </c>
      <c r="K789" s="124" t="s">
        <v>1530</v>
      </c>
      <c r="L789" s="124"/>
      <c r="M789" s="125">
        <v>5350576</v>
      </c>
      <c r="N789" s="148">
        <v>1016609.4400000001</v>
      </c>
      <c r="O789" s="148">
        <v>0</v>
      </c>
      <c r="P789" s="149">
        <v>0</v>
      </c>
      <c r="Q789" s="148">
        <v>0</v>
      </c>
      <c r="R789" s="150">
        <v>6367185.4400000004</v>
      </c>
      <c r="S7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89" s="135">
        <f ca="1">+IF(PROVEEDORES[[#This Row],[FECHA DE PAGO]]=0,TODAY()-PROVEEDORES[[#This Row],[FECHA DE FACTURACIÓN]]-PROVEEDORES[[#This Row],[PLAZO Días]],0)</f>
        <v>0</v>
      </c>
      <c r="U789" s="135">
        <f>+VLOOKUP(PROVEEDORES[[#This Row],[PROVEEDOR]],Terceros!$A:$D,4,FALSE)</f>
        <v>0</v>
      </c>
      <c r="V789" s="135">
        <f>+YEAR(PROVEEDORES[[#This Row],[FECHA DE FACTURACIÓN]])</f>
        <v>2023</v>
      </c>
      <c r="W789" s="135">
        <f>+MATCH(PROVEEDORES[[#This Row],[año facturado]],Retenciones!$1:$1,0)</f>
        <v>6</v>
      </c>
      <c r="X789" s="136">
        <f>+VLOOKUP(PROVEEDORES[[#This Row],[ID RETENCION]],Retenciones!$A$1:$O$25,PROVEEDORES[[#This Row],[indicador de columna]],FALSE)</f>
        <v>0</v>
      </c>
      <c r="Y789" s="137">
        <f>+VLOOKUP(PROVEEDORES[[#This Row],[ID RETENCION]],Retenciones!$A$1:$O$25,2,FALSE)</f>
        <v>0</v>
      </c>
      <c r="Z789" s="126" t="b">
        <f>+OR(COUNTIF(PROVEEDORES[[#This Row],[PROVEEDOR]],"*"&amp;'Palabra que no opera y Listas d'!$A$2&amp;"*"))</f>
        <v>1</v>
      </c>
    </row>
    <row r="790" spans="1:26" ht="27.75" customHeight="1" x14ac:dyDescent="0.25">
      <c r="A790" s="141" t="str">
        <f>+IF(PROVEEDORES[[#This Row],[FECHA DE PAGO]]=PROVEEDORES[[#This Row],[FECHA DE FACTURACIÓN]],"DE CONTADO","CRÉDITO")</f>
        <v>CRÉDITO</v>
      </c>
      <c r="B790" s="138" t="b">
        <f>+IF((PROVEEDORES[[#This Row],[FECHA DE PAGO]]-PROVEEDORES[[#This Row],[FECHA DE FACTURACIÓN]])&gt;PROVEEDORES[[#This Row],[PLAZO Días]],"PAGO VENCIDO")</f>
        <v>0</v>
      </c>
      <c r="C790" s="138">
        <f>+VLOOKUP(PROVEEDORES[[#This Row],[PROVEEDOR]],TERCEROS_INFO[#All],2,FALSE)</f>
        <v>30</v>
      </c>
      <c r="D790" s="139">
        <f>+SUMIFS(PROVEEDORES[Total],PROVEEDORES[PROVEEDOR],PROVEEDORES[[#This Row],[PROVEEDOR]],PROVEEDORES[FECHA DE PAGO],"")</f>
        <v>0</v>
      </c>
      <c r="E790" s="140"/>
      <c r="F790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790" s="127">
        <v>45218</v>
      </c>
      <c r="H790" s="123" t="s">
        <v>373</v>
      </c>
      <c r="I790" s="127">
        <v>45201</v>
      </c>
      <c r="J790" s="124" t="s">
        <v>1117</v>
      </c>
      <c r="K790" s="124" t="s">
        <v>1530</v>
      </c>
      <c r="L790" s="124"/>
      <c r="M790" s="125">
        <v>1840056</v>
      </c>
      <c r="N790" s="148">
        <v>0</v>
      </c>
      <c r="O790" s="148">
        <v>0</v>
      </c>
      <c r="P790" s="149">
        <v>0</v>
      </c>
      <c r="Q790" s="148">
        <v>0</v>
      </c>
      <c r="R790" s="150">
        <v>1840056</v>
      </c>
      <c r="S7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0" s="135">
        <f ca="1">+IF(PROVEEDORES[[#This Row],[FECHA DE PAGO]]=0,TODAY()-PROVEEDORES[[#This Row],[FECHA DE FACTURACIÓN]]-PROVEEDORES[[#This Row],[PLAZO Días]],0)</f>
        <v>0</v>
      </c>
      <c r="U790" s="135">
        <f>+VLOOKUP(PROVEEDORES[[#This Row],[PROVEEDOR]],Terceros!$A:$D,4,FALSE)</f>
        <v>0</v>
      </c>
      <c r="V790" s="135">
        <f>+YEAR(PROVEEDORES[[#This Row],[FECHA DE FACTURACIÓN]])</f>
        <v>2023</v>
      </c>
      <c r="W790" s="135">
        <f>+MATCH(PROVEEDORES[[#This Row],[año facturado]],Retenciones!$1:$1,0)</f>
        <v>6</v>
      </c>
      <c r="X790" s="136">
        <f>+VLOOKUP(PROVEEDORES[[#This Row],[ID RETENCION]],Retenciones!$A$1:$O$25,PROVEEDORES[[#This Row],[indicador de columna]],FALSE)</f>
        <v>0</v>
      </c>
      <c r="Y790" s="137">
        <f>+VLOOKUP(PROVEEDORES[[#This Row],[ID RETENCION]],Retenciones!$A$1:$O$25,2,FALSE)</f>
        <v>0</v>
      </c>
      <c r="Z790" s="126" t="b">
        <f>+OR(COUNTIF(PROVEEDORES[[#This Row],[PROVEEDOR]],"*"&amp;'Palabra que no opera y Listas d'!$A$2&amp;"*"))</f>
        <v>1</v>
      </c>
    </row>
    <row r="791" spans="1:26" ht="27.75" customHeight="1" x14ac:dyDescent="0.25">
      <c r="A791" s="141" t="str">
        <f>+IF(PROVEEDORES[[#This Row],[FECHA DE PAGO]]=PROVEEDORES[[#This Row],[FECHA DE FACTURACIÓN]],"DE CONTADO","CRÉDITO")</f>
        <v>CRÉDITO</v>
      </c>
      <c r="B791" s="138" t="b">
        <f>+IF((PROVEEDORES[[#This Row],[FECHA DE PAGO]]-PROVEEDORES[[#This Row],[FECHA DE FACTURACIÓN]])&gt;PROVEEDORES[[#This Row],[PLAZO Días]],"PAGO VENCIDO")</f>
        <v>0</v>
      </c>
      <c r="C791" s="138">
        <f>+VLOOKUP(PROVEEDORES[[#This Row],[PROVEEDOR]],TERCEROS_INFO[#All],2,FALSE)</f>
        <v>30</v>
      </c>
      <c r="D791" s="139">
        <f>+SUMIFS(PROVEEDORES[Total],PROVEEDORES[PROVEEDOR],PROVEEDORES[[#This Row],[PROVEEDOR]],PROVEEDORES[FECHA DE PAGO],"")</f>
        <v>0</v>
      </c>
      <c r="E791" s="140"/>
      <c r="F791" s="138" t="str">
        <f>+VLOOKUP(PROVEEDORES[[#This Row],[PROVEEDOR]],
                       Terceros!$A:$F,
                       5,
                       FALSE)</f>
        <v/>
      </c>
      <c r="G791" s="127">
        <v>45218</v>
      </c>
      <c r="H791" s="123" t="s">
        <v>481</v>
      </c>
      <c r="I791" s="127">
        <v>45217</v>
      </c>
      <c r="J791" s="124" t="s">
        <v>1144</v>
      </c>
      <c r="K791" s="124" t="s">
        <v>1530</v>
      </c>
      <c r="L791" s="124"/>
      <c r="M791" s="125">
        <v>6764000</v>
      </c>
      <c r="N791" s="148">
        <v>0</v>
      </c>
      <c r="O791" s="148">
        <v>0</v>
      </c>
      <c r="P791" s="149">
        <v>0</v>
      </c>
      <c r="Q791" s="148">
        <v>0</v>
      </c>
      <c r="R791" s="150">
        <v>6764000</v>
      </c>
      <c r="S7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1" s="135">
        <f ca="1">+IF(PROVEEDORES[[#This Row],[FECHA DE PAGO]]=0,TODAY()-PROVEEDORES[[#This Row],[FECHA DE FACTURACIÓN]]-PROVEEDORES[[#This Row],[PLAZO Días]],0)</f>
        <v>0</v>
      </c>
      <c r="U791" s="135">
        <f>+VLOOKUP(PROVEEDORES[[#This Row],[PROVEEDOR]],Terceros!$A:$D,4,FALSE)</f>
        <v>0</v>
      </c>
      <c r="V791" s="135">
        <f>+YEAR(PROVEEDORES[[#This Row],[FECHA DE FACTURACIÓN]])</f>
        <v>2023</v>
      </c>
      <c r="W791" s="135">
        <f>+MATCH(PROVEEDORES[[#This Row],[año facturado]],Retenciones!$1:$1,0)</f>
        <v>6</v>
      </c>
      <c r="X791" s="136">
        <f>+VLOOKUP(PROVEEDORES[[#This Row],[ID RETENCION]],Retenciones!$A$1:$O$25,PROVEEDORES[[#This Row],[indicador de columna]],FALSE)</f>
        <v>0</v>
      </c>
      <c r="Y791" s="137">
        <f>+VLOOKUP(PROVEEDORES[[#This Row],[ID RETENCION]],Retenciones!$A$1:$O$25,2,FALSE)</f>
        <v>0</v>
      </c>
      <c r="Z791" s="126" t="b">
        <f>+OR(COUNTIF(PROVEEDORES[[#This Row],[PROVEEDOR]],"*"&amp;'Palabra que no opera y Listas d'!$A$2&amp;"*"))</f>
        <v>0</v>
      </c>
    </row>
    <row r="792" spans="1:26" ht="27.75" customHeight="1" x14ac:dyDescent="0.25">
      <c r="A792" s="141" t="str">
        <f>+IF(PROVEEDORES[[#This Row],[FECHA DE PAGO]]=PROVEEDORES[[#This Row],[FECHA DE FACTURACIÓN]],"DE CONTADO","CRÉDITO")</f>
        <v>DE CONTADO</v>
      </c>
      <c r="B792" s="138" t="b">
        <f>+IF((PROVEEDORES[[#This Row],[FECHA DE PAGO]]-PROVEEDORES[[#This Row],[FECHA DE FACTURACIÓN]])&gt;PROVEEDORES[[#This Row],[PLAZO Días]],"PAGO VENCIDO")</f>
        <v>0</v>
      </c>
      <c r="C792" s="138">
        <f>+VLOOKUP(PROVEEDORES[[#This Row],[PROVEEDOR]],TERCEROS_INFO[#All],2,FALSE)</f>
        <v>30</v>
      </c>
      <c r="D792" s="139">
        <f>+SUMIFS(PROVEEDORES[Total],PROVEEDORES[PROVEEDOR],PROVEEDORES[[#This Row],[PROVEEDOR]],PROVEEDORES[FECHA DE PAGO],"")</f>
        <v>0</v>
      </c>
      <c r="E792" s="140"/>
      <c r="F792" s="138" t="str">
        <f>+VLOOKUP(PROVEEDORES[[#This Row],[PROVEEDOR]],
                       Terceros!$A:$F,
                       5,
                       FALSE)</f>
        <v/>
      </c>
      <c r="G792" s="127">
        <v>45218</v>
      </c>
      <c r="H792" s="123" t="s">
        <v>1824</v>
      </c>
      <c r="I792" s="127">
        <v>45218</v>
      </c>
      <c r="J792" s="124"/>
      <c r="K792" s="124" t="s">
        <v>1530</v>
      </c>
      <c r="L792" s="124"/>
      <c r="M792" s="125">
        <v>1000000</v>
      </c>
      <c r="N792" s="148">
        <v>0</v>
      </c>
      <c r="O792" s="148">
        <v>0</v>
      </c>
      <c r="P792" s="149">
        <v>0</v>
      </c>
      <c r="Q792" s="148">
        <v>0</v>
      </c>
      <c r="R792" s="150">
        <v>1000000</v>
      </c>
      <c r="S7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2" s="135">
        <f ca="1">+IF(PROVEEDORES[[#This Row],[FECHA DE PAGO]]=0,TODAY()-PROVEEDORES[[#This Row],[FECHA DE FACTURACIÓN]]-PROVEEDORES[[#This Row],[PLAZO Días]],0)</f>
        <v>0</v>
      </c>
      <c r="U792" s="135">
        <f>+VLOOKUP(PROVEEDORES[[#This Row],[PROVEEDOR]],Terceros!$A:$D,4,FALSE)</f>
        <v>0</v>
      </c>
      <c r="V792" s="135">
        <f>+YEAR(PROVEEDORES[[#This Row],[FECHA DE FACTURACIÓN]])</f>
        <v>2023</v>
      </c>
      <c r="W792" s="135">
        <f>+MATCH(PROVEEDORES[[#This Row],[año facturado]],Retenciones!$1:$1,0)</f>
        <v>6</v>
      </c>
      <c r="X792" s="136">
        <f>+VLOOKUP(PROVEEDORES[[#This Row],[ID RETENCION]],Retenciones!$A$1:$O$25,PROVEEDORES[[#This Row],[indicador de columna]],FALSE)</f>
        <v>0</v>
      </c>
      <c r="Y792" s="137">
        <f>+VLOOKUP(PROVEEDORES[[#This Row],[ID RETENCION]],Retenciones!$A$1:$O$25,2,FALSE)</f>
        <v>0</v>
      </c>
      <c r="Z792" s="126" t="b">
        <f>+OR(COUNTIF(PROVEEDORES[[#This Row],[PROVEEDOR]],"*"&amp;'Palabra que no opera y Listas d'!$A$2&amp;"*"))</f>
        <v>0</v>
      </c>
    </row>
    <row r="793" spans="1:26" ht="27.75" customHeight="1" x14ac:dyDescent="0.25">
      <c r="A793" s="141" t="str">
        <f>+IF(PROVEEDORES[[#This Row],[FECHA DE PAGO]]=PROVEEDORES[[#This Row],[FECHA DE FACTURACIÓN]],"DE CONTADO","CRÉDITO")</f>
        <v>CRÉDITO</v>
      </c>
      <c r="B793" s="138" t="str">
        <f>+IF((PROVEEDORES[[#This Row],[FECHA DE PAGO]]-PROVEEDORES[[#This Row],[FECHA DE FACTURACIÓN]])&gt;PROVEEDORES[[#This Row],[PLAZO Días]],"PAGO VENCIDO")</f>
        <v>PAGO VENCIDO</v>
      </c>
      <c r="C793" s="138">
        <f>+VLOOKUP(PROVEEDORES[[#This Row],[PROVEEDOR]],TERCEROS_INFO[#All],2,FALSE)</f>
        <v>45</v>
      </c>
      <c r="D793" s="139">
        <f>+SUMIFS(PROVEEDORES[Total],PROVEEDORES[PROVEEDOR],PROVEEDORES[[#This Row],[PROVEEDOR]],PROVEEDORES[FECHA DE PAGO],"")</f>
        <v>22186260.039999999</v>
      </c>
      <c r="E793" s="140"/>
      <c r="F793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793" s="127">
        <v>45219</v>
      </c>
      <c r="H793" s="123" t="s">
        <v>19</v>
      </c>
      <c r="I793" s="127">
        <v>45167</v>
      </c>
      <c r="J793" s="124" t="s">
        <v>1021</v>
      </c>
      <c r="K793" s="124" t="s">
        <v>1530</v>
      </c>
      <c r="L793" s="124"/>
      <c r="M793" s="125">
        <v>13296150</v>
      </c>
      <c r="N793" s="148">
        <v>2526268.5</v>
      </c>
      <c r="O793" s="148">
        <v>0</v>
      </c>
      <c r="P793" s="149">
        <v>0</v>
      </c>
      <c r="Q793" s="148">
        <v>0</v>
      </c>
      <c r="R793" s="150">
        <v>15822418.5</v>
      </c>
      <c r="S7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3" s="135">
        <f ca="1">+IF(PROVEEDORES[[#This Row],[FECHA DE PAGO]]=0,TODAY()-PROVEEDORES[[#This Row],[FECHA DE FACTURACIÓN]]-PROVEEDORES[[#This Row],[PLAZO Días]],0)</f>
        <v>0</v>
      </c>
      <c r="U793" s="135">
        <f>+VLOOKUP(PROVEEDORES[[#This Row],[PROVEEDOR]],Terceros!$A:$D,4,FALSE)</f>
        <v>0</v>
      </c>
      <c r="V793" s="135">
        <f>+YEAR(PROVEEDORES[[#This Row],[FECHA DE FACTURACIÓN]])</f>
        <v>2023</v>
      </c>
      <c r="W793" s="135">
        <f>+MATCH(PROVEEDORES[[#This Row],[año facturado]],Retenciones!$1:$1,0)</f>
        <v>6</v>
      </c>
      <c r="X793" s="136">
        <f>+VLOOKUP(PROVEEDORES[[#This Row],[ID RETENCION]],Retenciones!$A$1:$O$25,PROVEEDORES[[#This Row],[indicador de columna]],FALSE)</f>
        <v>0</v>
      </c>
      <c r="Y793" s="137">
        <f>+VLOOKUP(PROVEEDORES[[#This Row],[ID RETENCION]],Retenciones!$A$1:$O$25,2,FALSE)</f>
        <v>0</v>
      </c>
      <c r="Z793" s="126" t="b">
        <f>+OR(COUNTIF(PROVEEDORES[[#This Row],[PROVEEDOR]],"*"&amp;'Palabra que no opera y Listas d'!$A$2&amp;"*"))</f>
        <v>0</v>
      </c>
    </row>
    <row r="794" spans="1:26" ht="27.75" customHeight="1" x14ac:dyDescent="0.25">
      <c r="A794" s="141" t="str">
        <f>+IF(PROVEEDORES[[#This Row],[FECHA DE PAGO]]=PROVEEDORES[[#This Row],[FECHA DE FACTURACIÓN]],"DE CONTADO","CRÉDITO")</f>
        <v>CRÉDITO</v>
      </c>
      <c r="B794" s="138" t="b">
        <f>+IF((PROVEEDORES[[#This Row],[FECHA DE PAGO]]-PROVEEDORES[[#This Row],[FECHA DE FACTURACIÓN]])&gt;PROVEEDORES[[#This Row],[PLAZO Días]],"PAGO VENCIDO")</f>
        <v>0</v>
      </c>
      <c r="C794" s="138">
        <f>+VLOOKUP(PROVEEDORES[[#This Row],[PROVEEDOR]],TERCEROS_INFO[#All],2,FALSE)</f>
        <v>45</v>
      </c>
      <c r="D794" s="139">
        <f>+SUMIFS(PROVEEDORES[Total],PROVEEDORES[PROVEEDOR],PROVEEDORES[[#This Row],[PROVEEDOR]],PROVEEDORES[FECHA DE PAGO],"")</f>
        <v>22186260.039999999</v>
      </c>
      <c r="E794" s="140"/>
      <c r="F794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794" s="127">
        <v>45219</v>
      </c>
      <c r="H794" s="123" t="s">
        <v>19</v>
      </c>
      <c r="I794" s="127">
        <v>45197</v>
      </c>
      <c r="J794" s="124" t="s">
        <v>1052</v>
      </c>
      <c r="K794" s="124" t="s">
        <v>1530</v>
      </c>
      <c r="L794" s="124"/>
      <c r="M794" s="125">
        <v>-5882353</v>
      </c>
      <c r="N794" s="148">
        <v>-1117647.07</v>
      </c>
      <c r="O794" s="148">
        <v>0</v>
      </c>
      <c r="P794" s="149">
        <v>0</v>
      </c>
      <c r="Q794" s="148">
        <v>0</v>
      </c>
      <c r="R794" s="150">
        <v>-7000000.0700000003</v>
      </c>
      <c r="S7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4" s="135">
        <f ca="1">+IF(PROVEEDORES[[#This Row],[FECHA DE PAGO]]=0,TODAY()-PROVEEDORES[[#This Row],[FECHA DE FACTURACIÓN]]-PROVEEDORES[[#This Row],[PLAZO Días]],0)</f>
        <v>0</v>
      </c>
      <c r="U794" s="135">
        <f>+VLOOKUP(PROVEEDORES[[#This Row],[PROVEEDOR]],Terceros!$A:$D,4,FALSE)</f>
        <v>0</v>
      </c>
      <c r="V794" s="135">
        <f>+YEAR(PROVEEDORES[[#This Row],[FECHA DE FACTURACIÓN]])</f>
        <v>2023</v>
      </c>
      <c r="W794" s="135">
        <f>+MATCH(PROVEEDORES[[#This Row],[año facturado]],Retenciones!$1:$1,0)</f>
        <v>6</v>
      </c>
      <c r="X794" s="136">
        <f>+VLOOKUP(PROVEEDORES[[#This Row],[ID RETENCION]],Retenciones!$A$1:$O$25,PROVEEDORES[[#This Row],[indicador de columna]],FALSE)</f>
        <v>0</v>
      </c>
      <c r="Y794" s="137">
        <f>+VLOOKUP(PROVEEDORES[[#This Row],[ID RETENCION]],Retenciones!$A$1:$O$25,2,FALSE)</f>
        <v>0</v>
      </c>
      <c r="Z794" s="126" t="b">
        <f>+OR(COUNTIF(PROVEEDORES[[#This Row],[PROVEEDOR]],"*"&amp;'Palabra que no opera y Listas d'!$A$2&amp;"*"))</f>
        <v>0</v>
      </c>
    </row>
    <row r="795" spans="1:26" ht="27.75" customHeight="1" x14ac:dyDescent="0.25">
      <c r="A795" s="141" t="str">
        <f>+IF(PROVEEDORES[[#This Row],[FECHA DE PAGO]]=PROVEEDORES[[#This Row],[FECHA DE FACTURACIÓN]],"DE CONTADO","CRÉDITO")</f>
        <v>CRÉDITO</v>
      </c>
      <c r="B795" s="138" t="b">
        <f>+IF((PROVEEDORES[[#This Row],[FECHA DE PAGO]]-PROVEEDORES[[#This Row],[FECHA DE FACTURACIÓN]])&gt;PROVEEDORES[[#This Row],[PLAZO Días]],"PAGO VENCIDO")</f>
        <v>0</v>
      </c>
      <c r="C795" s="138">
        <f>+VLOOKUP(PROVEEDORES[[#This Row],[PROVEEDOR]],TERCEROS_INFO[#All],2,FALSE)</f>
        <v>30</v>
      </c>
      <c r="D795" s="139">
        <f>+SUMIFS(PROVEEDORES[Total],PROVEEDORES[PROVEEDOR],PROVEEDORES[[#This Row],[PROVEEDOR]],PROVEEDORES[FECHA DE PAGO],"")</f>
        <v>0</v>
      </c>
      <c r="E795" s="140"/>
      <c r="F795" s="138">
        <f>+VLOOKUP(PROVEEDORES[[#This Row],[PROVEEDOR]],
                       Terceros!$A:$F,
                       5,
                       FALSE)</f>
        <v>0</v>
      </c>
      <c r="G795" s="127">
        <v>45219</v>
      </c>
      <c r="H795" s="123" t="s">
        <v>836</v>
      </c>
      <c r="I795" s="127">
        <v>45217</v>
      </c>
      <c r="J795" s="124"/>
      <c r="K795" s="124" t="s">
        <v>1530</v>
      </c>
      <c r="L795" s="124"/>
      <c r="M795" s="125">
        <v>478000</v>
      </c>
      <c r="N795" s="148">
        <v>0</v>
      </c>
      <c r="O795" s="148">
        <v>0</v>
      </c>
      <c r="P795" s="149">
        <v>0</v>
      </c>
      <c r="Q795" s="148">
        <v>0</v>
      </c>
      <c r="R795" s="150">
        <v>478000</v>
      </c>
      <c r="S7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5" s="135">
        <f ca="1">+IF(PROVEEDORES[[#This Row],[FECHA DE PAGO]]=0,TODAY()-PROVEEDORES[[#This Row],[FECHA DE FACTURACIÓN]]-PROVEEDORES[[#This Row],[PLAZO Días]],0)</f>
        <v>0</v>
      </c>
      <c r="U795" s="135">
        <f>+VLOOKUP(PROVEEDORES[[#This Row],[PROVEEDOR]],Terceros!$A:$D,4,FALSE)</f>
        <v>0</v>
      </c>
      <c r="V795" s="135">
        <f>+YEAR(PROVEEDORES[[#This Row],[FECHA DE FACTURACIÓN]])</f>
        <v>2023</v>
      </c>
      <c r="W795" s="135">
        <f>+MATCH(PROVEEDORES[[#This Row],[año facturado]],Retenciones!$1:$1,0)</f>
        <v>6</v>
      </c>
      <c r="X795" s="136">
        <f>+VLOOKUP(PROVEEDORES[[#This Row],[ID RETENCION]],Retenciones!$A$1:$O$25,PROVEEDORES[[#This Row],[indicador de columna]],FALSE)</f>
        <v>0</v>
      </c>
      <c r="Y795" s="137">
        <f>+VLOOKUP(PROVEEDORES[[#This Row],[ID RETENCION]],Retenciones!$A$1:$O$25,2,FALSE)</f>
        <v>0</v>
      </c>
      <c r="Z795" s="126" t="b">
        <f>+OR(COUNTIF(PROVEEDORES[[#This Row],[PROVEEDOR]],"*"&amp;'Palabra que no opera y Listas d'!$A$2&amp;"*"))</f>
        <v>0</v>
      </c>
    </row>
    <row r="796" spans="1:26" ht="27.75" customHeight="1" x14ac:dyDescent="0.25">
      <c r="A796" s="141" t="str">
        <f>+IF(PROVEEDORES[[#This Row],[FECHA DE PAGO]]=PROVEEDORES[[#This Row],[FECHA DE FACTURACIÓN]],"DE CONTADO","CRÉDITO")</f>
        <v>DE CONTADO</v>
      </c>
      <c r="B796" s="138" t="b">
        <f>+IF((PROVEEDORES[[#This Row],[FECHA DE PAGO]]-PROVEEDORES[[#This Row],[FECHA DE FACTURACIÓN]])&gt;PROVEEDORES[[#This Row],[PLAZO Días]],"PAGO VENCIDO")</f>
        <v>0</v>
      </c>
      <c r="C796" s="138">
        <f>+VLOOKUP(PROVEEDORES[[#This Row],[PROVEEDOR]],TERCEROS_INFO[#All],2,FALSE)</f>
        <v>30</v>
      </c>
      <c r="D796" s="139">
        <f>+SUMIFS(PROVEEDORES[Total],PROVEEDORES[PROVEEDOR],PROVEEDORES[[#This Row],[PROVEEDOR]],PROVEEDORES[FECHA DE PAGO],"")</f>
        <v>0</v>
      </c>
      <c r="E796" s="140"/>
      <c r="F796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796" s="127">
        <v>45219</v>
      </c>
      <c r="H796" s="123" t="s">
        <v>373</v>
      </c>
      <c r="I796" s="127">
        <v>45219</v>
      </c>
      <c r="J796" s="124" t="s">
        <v>1128</v>
      </c>
      <c r="K796" s="124" t="s">
        <v>1530</v>
      </c>
      <c r="L796" s="124"/>
      <c r="M796" s="125">
        <v>196317</v>
      </c>
      <c r="N796" s="148">
        <v>0</v>
      </c>
      <c r="O796" s="148">
        <v>0</v>
      </c>
      <c r="P796" s="149">
        <v>0</v>
      </c>
      <c r="Q796" s="148">
        <v>0</v>
      </c>
      <c r="R796" s="150">
        <v>196317</v>
      </c>
      <c r="S7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6" s="135">
        <f ca="1">+IF(PROVEEDORES[[#This Row],[FECHA DE PAGO]]=0,TODAY()-PROVEEDORES[[#This Row],[FECHA DE FACTURACIÓN]]-PROVEEDORES[[#This Row],[PLAZO Días]],0)</f>
        <v>0</v>
      </c>
      <c r="U796" s="135">
        <f>+VLOOKUP(PROVEEDORES[[#This Row],[PROVEEDOR]],Terceros!$A:$D,4,FALSE)</f>
        <v>0</v>
      </c>
      <c r="V796" s="135">
        <f>+YEAR(PROVEEDORES[[#This Row],[FECHA DE FACTURACIÓN]])</f>
        <v>2023</v>
      </c>
      <c r="W796" s="135">
        <f>+MATCH(PROVEEDORES[[#This Row],[año facturado]],Retenciones!$1:$1,0)</f>
        <v>6</v>
      </c>
      <c r="X796" s="136">
        <f>+VLOOKUP(PROVEEDORES[[#This Row],[ID RETENCION]],Retenciones!$A$1:$O$25,PROVEEDORES[[#This Row],[indicador de columna]],FALSE)</f>
        <v>0</v>
      </c>
      <c r="Y796" s="137">
        <f>+VLOOKUP(PROVEEDORES[[#This Row],[ID RETENCION]],Retenciones!$A$1:$O$25,2,FALSE)</f>
        <v>0</v>
      </c>
      <c r="Z796" s="126" t="b">
        <f>+OR(COUNTIF(PROVEEDORES[[#This Row],[PROVEEDOR]],"*"&amp;'Palabra que no opera y Listas d'!$A$2&amp;"*"))</f>
        <v>1</v>
      </c>
    </row>
    <row r="797" spans="1:26" ht="27.75" customHeight="1" x14ac:dyDescent="0.25">
      <c r="A797" s="141" t="str">
        <f>+IF(PROVEEDORES[[#This Row],[FECHA DE PAGO]]=PROVEEDORES[[#This Row],[FECHA DE FACTURACIÓN]],"DE CONTADO","CRÉDITO")</f>
        <v>DE CONTADO</v>
      </c>
      <c r="B797" s="138" t="b">
        <f>+IF((PROVEEDORES[[#This Row],[FECHA DE PAGO]]-PROVEEDORES[[#This Row],[FECHA DE FACTURACIÓN]])&gt;PROVEEDORES[[#This Row],[PLAZO Días]],"PAGO VENCIDO")</f>
        <v>0</v>
      </c>
      <c r="C797" s="138">
        <f>+VLOOKUP(PROVEEDORES[[#This Row],[PROVEEDOR]],TERCEROS_INFO[#All],2,FALSE)</f>
        <v>30</v>
      </c>
      <c r="D797" s="139">
        <f>+SUMIFS(PROVEEDORES[Total],PROVEEDORES[PROVEEDOR],PROVEEDORES[[#This Row],[PROVEEDOR]],PROVEEDORES[FECHA DE PAGO],"")</f>
        <v>0</v>
      </c>
      <c r="E797" s="140"/>
      <c r="F797" s="138" t="str">
        <f>+VLOOKUP(PROVEEDORES[[#This Row],[PROVEEDOR]],
                       Terceros!$A:$F,
                       5,
                       FALSE)</f>
        <v/>
      </c>
      <c r="G797" s="127">
        <v>45220</v>
      </c>
      <c r="H797" s="123" t="s">
        <v>525</v>
      </c>
      <c r="I797" s="127">
        <v>45220</v>
      </c>
      <c r="J797" s="124" t="s">
        <v>1120</v>
      </c>
      <c r="K797" s="124" t="s">
        <v>1530</v>
      </c>
      <c r="L797" s="124"/>
      <c r="M797" s="125">
        <v>200000</v>
      </c>
      <c r="N797" s="148">
        <v>0</v>
      </c>
      <c r="O797" s="148">
        <v>0</v>
      </c>
      <c r="P797" s="149">
        <v>0</v>
      </c>
      <c r="Q797" s="148">
        <v>0</v>
      </c>
      <c r="R797" s="150">
        <v>200000</v>
      </c>
      <c r="S7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7" s="135">
        <f ca="1">+IF(PROVEEDORES[[#This Row],[FECHA DE PAGO]]=0,TODAY()-PROVEEDORES[[#This Row],[FECHA DE FACTURACIÓN]]-PROVEEDORES[[#This Row],[PLAZO Días]],0)</f>
        <v>0</v>
      </c>
      <c r="U797" s="135">
        <f>+VLOOKUP(PROVEEDORES[[#This Row],[PROVEEDOR]],Terceros!$A:$D,4,FALSE)</f>
        <v>0</v>
      </c>
      <c r="V797" s="135">
        <f>+YEAR(PROVEEDORES[[#This Row],[FECHA DE FACTURACIÓN]])</f>
        <v>2023</v>
      </c>
      <c r="W797" s="135">
        <f>+MATCH(PROVEEDORES[[#This Row],[año facturado]],Retenciones!$1:$1,0)</f>
        <v>6</v>
      </c>
      <c r="X797" s="136">
        <f>+VLOOKUP(PROVEEDORES[[#This Row],[ID RETENCION]],Retenciones!$A$1:$O$25,PROVEEDORES[[#This Row],[indicador de columna]],FALSE)</f>
        <v>0</v>
      </c>
      <c r="Y797" s="137">
        <f>+VLOOKUP(PROVEEDORES[[#This Row],[ID RETENCION]],Retenciones!$A$1:$O$25,2,FALSE)</f>
        <v>0</v>
      </c>
      <c r="Z797" s="126" t="b">
        <f>+OR(COUNTIF(PROVEEDORES[[#This Row],[PROVEEDOR]],"*"&amp;'Palabra que no opera y Listas d'!$A$2&amp;"*"))</f>
        <v>0</v>
      </c>
    </row>
    <row r="798" spans="1:26" ht="27.75" customHeight="1" x14ac:dyDescent="0.25">
      <c r="A798" s="141" t="str">
        <f>+IF(PROVEEDORES[[#This Row],[FECHA DE PAGO]]=PROVEEDORES[[#This Row],[FECHA DE FACTURACIÓN]],"DE CONTADO","CRÉDITO")</f>
        <v>DE CONTADO</v>
      </c>
      <c r="B798" s="138" t="b">
        <f>+IF((PROVEEDORES[[#This Row],[FECHA DE PAGO]]-PROVEEDORES[[#This Row],[FECHA DE FACTURACIÓN]])&gt;PROVEEDORES[[#This Row],[PLAZO Días]],"PAGO VENCIDO")</f>
        <v>0</v>
      </c>
      <c r="C798" s="138">
        <f>+VLOOKUP(PROVEEDORES[[#This Row],[PROVEEDOR]],TERCEROS_INFO[#All],2,FALSE)</f>
        <v>30</v>
      </c>
      <c r="D798" s="139">
        <f>+SUMIFS(PROVEEDORES[Total],PROVEEDORES[PROVEEDOR],PROVEEDORES[[#This Row],[PROVEEDOR]],PROVEEDORES[FECHA DE PAGO],"")</f>
        <v>1350000</v>
      </c>
      <c r="E798" s="140"/>
      <c r="F798" s="138" t="str">
        <f>+VLOOKUP(PROVEEDORES[[#This Row],[PROVEEDOR]],
                       Terceros!$A:$F,
                       5,
                       FALSE)</f>
        <v/>
      </c>
      <c r="G798" s="127">
        <v>45220</v>
      </c>
      <c r="H798" s="123" t="s">
        <v>1807</v>
      </c>
      <c r="I798" s="127">
        <v>45220</v>
      </c>
      <c r="J798" s="124" t="s">
        <v>1153</v>
      </c>
      <c r="K798" s="124" t="s">
        <v>1530</v>
      </c>
      <c r="L798" s="124"/>
      <c r="M798" s="125">
        <v>680000</v>
      </c>
      <c r="N798" s="148">
        <v>0</v>
      </c>
      <c r="O798" s="148">
        <v>0</v>
      </c>
      <c r="P798" s="149">
        <v>0</v>
      </c>
      <c r="Q798" s="148">
        <v>0</v>
      </c>
      <c r="R798" s="150">
        <v>680000</v>
      </c>
      <c r="S7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8" s="135">
        <f ca="1">+IF(PROVEEDORES[[#This Row],[FECHA DE PAGO]]=0,TODAY()-PROVEEDORES[[#This Row],[FECHA DE FACTURACIÓN]]-PROVEEDORES[[#This Row],[PLAZO Días]],0)</f>
        <v>0</v>
      </c>
      <c r="U798" s="135">
        <f>+VLOOKUP(PROVEEDORES[[#This Row],[PROVEEDOR]],Terceros!$A:$D,4,FALSE)</f>
        <v>0</v>
      </c>
      <c r="V798" s="135">
        <f>+YEAR(PROVEEDORES[[#This Row],[FECHA DE FACTURACIÓN]])</f>
        <v>2023</v>
      </c>
      <c r="W798" s="135">
        <f>+MATCH(PROVEEDORES[[#This Row],[año facturado]],Retenciones!$1:$1,0)</f>
        <v>6</v>
      </c>
      <c r="X798" s="136">
        <f>+VLOOKUP(PROVEEDORES[[#This Row],[ID RETENCION]],Retenciones!$A$1:$O$25,PROVEEDORES[[#This Row],[indicador de columna]],FALSE)</f>
        <v>0</v>
      </c>
      <c r="Y798" s="137">
        <f>+VLOOKUP(PROVEEDORES[[#This Row],[ID RETENCION]],Retenciones!$A$1:$O$25,2,FALSE)</f>
        <v>0</v>
      </c>
      <c r="Z798" s="126" t="b">
        <f>+OR(COUNTIF(PROVEEDORES[[#This Row],[PROVEEDOR]],"*"&amp;'Palabra que no opera y Listas d'!$A$2&amp;"*"))</f>
        <v>0</v>
      </c>
    </row>
    <row r="799" spans="1:26" ht="27.75" customHeight="1" x14ac:dyDescent="0.25">
      <c r="A799" s="141" t="str">
        <f>+IF(PROVEEDORES[[#This Row],[FECHA DE PAGO]]=PROVEEDORES[[#This Row],[FECHA DE FACTURACIÓN]],"DE CONTADO","CRÉDITO")</f>
        <v>CRÉDITO</v>
      </c>
      <c r="B799" s="138" t="str">
        <f>+IF((PROVEEDORES[[#This Row],[FECHA DE PAGO]]-PROVEEDORES[[#This Row],[FECHA DE FACTURACIÓN]])&gt;PROVEEDORES[[#This Row],[PLAZO Días]],"PAGO VENCIDO")</f>
        <v>PAGO VENCIDO</v>
      </c>
      <c r="C799" s="138">
        <f>+VLOOKUP(PROVEEDORES[[#This Row],[PROVEEDOR]],TERCEROS_INFO[#All],2,FALSE)</f>
        <v>30</v>
      </c>
      <c r="D799" s="139">
        <f>+SUMIFS(PROVEEDORES[Total],PROVEEDORES[PROVEEDOR],PROVEEDORES[[#This Row],[PROVEEDOR]],PROVEEDORES[FECHA DE PAGO],"")</f>
        <v>0</v>
      </c>
      <c r="E799" s="140"/>
      <c r="F799" s="13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799" s="127">
        <v>45222</v>
      </c>
      <c r="H799" s="123" t="s">
        <v>452</v>
      </c>
      <c r="I799" s="127">
        <v>45187</v>
      </c>
      <c r="J799" s="124" t="s">
        <v>1063</v>
      </c>
      <c r="K799" s="124" t="s">
        <v>1530</v>
      </c>
      <c r="L799" s="124"/>
      <c r="M799" s="125">
        <v>2762184</v>
      </c>
      <c r="N799" s="148">
        <v>524814.96</v>
      </c>
      <c r="O799" s="148">
        <v>0</v>
      </c>
      <c r="P799" s="149">
        <v>2.5000000000000001E-2</v>
      </c>
      <c r="Q799" s="148">
        <v>69054.600000000006</v>
      </c>
      <c r="R799" s="150">
        <v>3217944.36</v>
      </c>
      <c r="S7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799" s="135">
        <f ca="1">+IF(PROVEEDORES[[#This Row],[FECHA DE PAGO]]=0,TODAY()-PROVEEDORES[[#This Row],[FECHA DE FACTURACIÓN]]-PROVEEDORES[[#This Row],[PLAZO Días]],0)</f>
        <v>0</v>
      </c>
      <c r="U799" s="135" t="str">
        <f>+VLOOKUP(PROVEEDORES[[#This Row],[PROVEEDOR]],Terceros!$A:$D,4,FALSE)</f>
        <v>2,5% con base</v>
      </c>
      <c r="V799" s="135">
        <f>+YEAR(PROVEEDORES[[#This Row],[FECHA DE FACTURACIÓN]])</f>
        <v>2023</v>
      </c>
      <c r="W799" s="135">
        <f>+MATCH(PROVEEDORES[[#This Row],[año facturado]],Retenciones!$1:$1,0)</f>
        <v>6</v>
      </c>
      <c r="X799" s="136">
        <f>+VLOOKUP(PROVEEDORES[[#This Row],[ID RETENCION]],Retenciones!$A$1:$O$25,PROVEEDORES[[#This Row],[indicador de columna]],FALSE)</f>
        <v>1145000</v>
      </c>
      <c r="Y799" s="137">
        <f>+VLOOKUP(PROVEEDORES[[#This Row],[ID RETENCION]],Retenciones!$A$1:$O$25,2,FALSE)</f>
        <v>2.5000000000000001E-2</v>
      </c>
      <c r="Z799" s="126" t="b">
        <f>+OR(COUNTIF(PROVEEDORES[[#This Row],[PROVEEDOR]],"*"&amp;'Palabra que no opera y Listas d'!$A$2&amp;"*"))</f>
        <v>0</v>
      </c>
    </row>
    <row r="800" spans="1:26" ht="27.75" customHeight="1" x14ac:dyDescent="0.25">
      <c r="A800" s="141" t="str">
        <f>+IF(PROVEEDORES[[#This Row],[FECHA DE PAGO]]=PROVEEDORES[[#This Row],[FECHA DE FACTURACIÓN]],"DE CONTADO","CRÉDITO")</f>
        <v>CRÉDITO</v>
      </c>
      <c r="B800" s="138" t="b">
        <f>+IF((PROVEEDORES[[#This Row],[FECHA DE PAGO]]-PROVEEDORES[[#This Row],[FECHA DE FACTURACIÓN]])&gt;PROVEEDORES[[#This Row],[PLAZO Días]],"PAGO VENCIDO")</f>
        <v>0</v>
      </c>
      <c r="C800" s="138">
        <f>+VLOOKUP(PROVEEDORES[[#This Row],[PROVEEDOR]],TERCEROS_INFO[#All],2,FALSE)</f>
        <v>30</v>
      </c>
      <c r="D800" s="139">
        <f>+SUMIFS(PROVEEDORES[Total],PROVEEDORES[PROVEEDOR],PROVEEDORES[[#This Row],[PROVEEDOR]],PROVEEDORES[FECHA DE PAGO],"")</f>
        <v>0</v>
      </c>
      <c r="E800" s="140"/>
      <c r="F800" s="138" t="str">
        <f>+VLOOKUP(PROVEEDORES[[#This Row],[PROVEEDOR]],
                       Terceros!$A:$F,
                       5,
                       FALSE)</f>
        <v>gerencia@som-tec.com;girlesa.ruiz@servipilas.com;joriescobar64@gmail.com</v>
      </c>
      <c r="G800" s="127">
        <v>45222</v>
      </c>
      <c r="H800" s="123" t="s">
        <v>1826</v>
      </c>
      <c r="I800" s="127">
        <v>45219</v>
      </c>
      <c r="J800" s="124" t="s">
        <v>1135</v>
      </c>
      <c r="K800" s="124" t="s">
        <v>1530</v>
      </c>
      <c r="L800" s="124"/>
      <c r="M800" s="125">
        <v>2074832</v>
      </c>
      <c r="N800" s="148">
        <v>0</v>
      </c>
      <c r="O800" s="148">
        <v>0</v>
      </c>
      <c r="P800" s="149">
        <v>0</v>
      </c>
      <c r="Q800" s="148">
        <v>0</v>
      </c>
      <c r="R800" s="150">
        <v>2074832</v>
      </c>
      <c r="S8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0" s="135">
        <f ca="1">+IF(PROVEEDORES[[#This Row],[FECHA DE PAGO]]=0,TODAY()-PROVEEDORES[[#This Row],[FECHA DE FACTURACIÓN]]-PROVEEDORES[[#This Row],[PLAZO Días]],0)</f>
        <v>0</v>
      </c>
      <c r="U800" s="135">
        <f>+VLOOKUP(PROVEEDORES[[#This Row],[PROVEEDOR]],Terceros!$A:$D,4,FALSE)</f>
        <v>0</v>
      </c>
      <c r="V800" s="135">
        <f>+YEAR(PROVEEDORES[[#This Row],[FECHA DE FACTURACIÓN]])</f>
        <v>2023</v>
      </c>
      <c r="W800" s="135">
        <f>+MATCH(PROVEEDORES[[#This Row],[año facturado]],Retenciones!$1:$1,0)</f>
        <v>6</v>
      </c>
      <c r="X800" s="136">
        <f>+VLOOKUP(PROVEEDORES[[#This Row],[ID RETENCION]],Retenciones!$A$1:$O$25,PROVEEDORES[[#This Row],[indicador de columna]],FALSE)</f>
        <v>0</v>
      </c>
      <c r="Y800" s="137">
        <f>+VLOOKUP(PROVEEDORES[[#This Row],[ID RETENCION]],Retenciones!$A$1:$O$25,2,FALSE)</f>
        <v>0</v>
      </c>
      <c r="Z800" s="126" t="b">
        <f>+OR(COUNTIF(PROVEEDORES[[#This Row],[PROVEEDOR]],"*"&amp;'Palabra que no opera y Listas d'!$A$2&amp;"*"))</f>
        <v>0</v>
      </c>
    </row>
    <row r="801" spans="1:26" ht="27.75" customHeight="1" x14ac:dyDescent="0.25">
      <c r="A801" s="141" t="str">
        <f>+IF(PROVEEDORES[[#This Row],[FECHA DE PAGO]]=PROVEEDORES[[#This Row],[FECHA DE FACTURACIÓN]],"DE CONTADO","CRÉDITO")</f>
        <v>CRÉDITO</v>
      </c>
      <c r="B801" s="138" t="b">
        <f>+IF((PROVEEDORES[[#This Row],[FECHA DE PAGO]]-PROVEEDORES[[#This Row],[FECHA DE FACTURACIÓN]])&gt;PROVEEDORES[[#This Row],[PLAZO Días]],"PAGO VENCIDO")</f>
        <v>0</v>
      </c>
      <c r="C801" s="138">
        <f>+VLOOKUP(PROVEEDORES[[#This Row],[PROVEEDOR]],TERCEROS_INFO[#All],2,FALSE)</f>
        <v>30</v>
      </c>
      <c r="D801" s="139">
        <f>+SUMIFS(PROVEEDORES[Total],PROVEEDORES[PROVEEDOR],PROVEEDORES[[#This Row],[PROVEEDOR]],PROVEEDORES[FECHA DE PAGO],"")</f>
        <v>0</v>
      </c>
      <c r="E801" s="140"/>
      <c r="F801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801" s="127">
        <v>45222</v>
      </c>
      <c r="H801" s="123" t="s">
        <v>380</v>
      </c>
      <c r="I801" s="127">
        <v>45219</v>
      </c>
      <c r="J801" s="124" t="s">
        <v>1132</v>
      </c>
      <c r="K801" s="124" t="s">
        <v>1530</v>
      </c>
      <c r="L801" s="124"/>
      <c r="M801" s="125">
        <v>3456200</v>
      </c>
      <c r="N801" s="148">
        <v>0</v>
      </c>
      <c r="O801" s="148">
        <v>0</v>
      </c>
      <c r="P801" s="149">
        <v>3.5000000000000003E-2</v>
      </c>
      <c r="Q801" s="148">
        <v>120967.00000000001</v>
      </c>
      <c r="R801" s="150">
        <v>3335233</v>
      </c>
      <c r="S8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1" s="135">
        <f ca="1">+IF(PROVEEDORES[[#This Row],[FECHA DE PAGO]]=0,TODAY()-PROVEEDORES[[#This Row],[FECHA DE FACTURACIÓN]]-PROVEEDORES[[#This Row],[PLAZO Días]],0)</f>
        <v>0</v>
      </c>
      <c r="U801" s="135" t="str">
        <f>+VLOOKUP(PROVEEDORES[[#This Row],[PROVEEDOR]],Terceros!$A:$D,4,FALSE)</f>
        <v>3,5% sin base</v>
      </c>
      <c r="V801" s="135">
        <f>+YEAR(PROVEEDORES[[#This Row],[FECHA DE FACTURACIÓN]])</f>
        <v>2023</v>
      </c>
      <c r="W801" s="135">
        <f>+MATCH(PROVEEDORES[[#This Row],[año facturado]],Retenciones!$1:$1,0)</f>
        <v>6</v>
      </c>
      <c r="X801" s="136">
        <f>+VLOOKUP(PROVEEDORES[[#This Row],[ID RETENCION]],Retenciones!$A$1:$O$25,PROVEEDORES[[#This Row],[indicador de columna]],FALSE)</f>
        <v>0</v>
      </c>
      <c r="Y801" s="137">
        <f>+VLOOKUP(PROVEEDORES[[#This Row],[ID RETENCION]],Retenciones!$A$1:$O$25,2,FALSE)</f>
        <v>3.5000000000000003E-2</v>
      </c>
      <c r="Z801" s="126" t="b">
        <f>+OR(COUNTIF(PROVEEDORES[[#This Row],[PROVEEDOR]],"*"&amp;'Palabra que no opera y Listas d'!$A$2&amp;"*"))</f>
        <v>1</v>
      </c>
    </row>
    <row r="802" spans="1:26" ht="27.75" customHeight="1" x14ac:dyDescent="0.25">
      <c r="A802" s="141" t="str">
        <f>+IF(PROVEEDORES[[#This Row],[FECHA DE PAGO]]=PROVEEDORES[[#This Row],[FECHA DE FACTURACIÓN]],"DE CONTADO","CRÉDITO")</f>
        <v>CRÉDITO</v>
      </c>
      <c r="B802" s="138" t="b">
        <f>+IF((PROVEEDORES[[#This Row],[FECHA DE PAGO]]-PROVEEDORES[[#This Row],[FECHA DE FACTURACIÓN]])&gt;PROVEEDORES[[#This Row],[PLAZO Días]],"PAGO VENCIDO")</f>
        <v>0</v>
      </c>
      <c r="C802" s="138">
        <f>+VLOOKUP(PROVEEDORES[[#This Row],[PROVEEDOR]],TERCEROS_INFO[#All],2,FALSE)</f>
        <v>30</v>
      </c>
      <c r="D802" s="139">
        <f>+SUMIFS(PROVEEDORES[Total],PROVEEDORES[PROVEEDOR],PROVEEDORES[[#This Row],[PROVEEDOR]],PROVEEDORES[FECHA DE PAGO],"")</f>
        <v>0</v>
      </c>
      <c r="E802" s="140"/>
      <c r="F802" s="138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802" s="127">
        <v>45222</v>
      </c>
      <c r="H802" s="123" t="s">
        <v>1130</v>
      </c>
      <c r="I802" s="127">
        <v>45220</v>
      </c>
      <c r="J802" s="124" t="s">
        <v>1131</v>
      </c>
      <c r="K802" s="124" t="s">
        <v>1530</v>
      </c>
      <c r="L802" s="124"/>
      <c r="M802" s="125">
        <v>973672</v>
      </c>
      <c r="N802" s="148">
        <v>184997.68</v>
      </c>
      <c r="O802" s="148">
        <v>0</v>
      </c>
      <c r="P802" s="149">
        <v>0</v>
      </c>
      <c r="Q802" s="148">
        <v>0</v>
      </c>
      <c r="R802" s="150">
        <v>1158669.68</v>
      </c>
      <c r="S8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2" s="135">
        <f ca="1">+IF(PROVEEDORES[[#This Row],[FECHA DE PAGO]]=0,TODAY()-PROVEEDORES[[#This Row],[FECHA DE FACTURACIÓN]]-PROVEEDORES[[#This Row],[PLAZO Días]],0)</f>
        <v>0</v>
      </c>
      <c r="U802" s="135" t="str">
        <f>+VLOOKUP(PROVEEDORES[[#This Row],[PROVEEDOR]],Terceros!$A:$D,4,FALSE)</f>
        <v>2,5% con base</v>
      </c>
      <c r="V802" s="135">
        <f>+YEAR(PROVEEDORES[[#This Row],[FECHA DE FACTURACIÓN]])</f>
        <v>2023</v>
      </c>
      <c r="W802" s="135">
        <f>+MATCH(PROVEEDORES[[#This Row],[año facturado]],Retenciones!$1:$1,0)</f>
        <v>6</v>
      </c>
      <c r="X802" s="136">
        <f>+VLOOKUP(PROVEEDORES[[#This Row],[ID RETENCION]],Retenciones!$A$1:$O$25,PROVEEDORES[[#This Row],[indicador de columna]],FALSE)</f>
        <v>1145000</v>
      </c>
      <c r="Y802" s="137">
        <f>+VLOOKUP(PROVEEDORES[[#This Row],[ID RETENCION]],Retenciones!$A$1:$O$25,2,FALSE)</f>
        <v>2.5000000000000001E-2</v>
      </c>
      <c r="Z802" s="126" t="b">
        <f>+OR(COUNTIF(PROVEEDORES[[#This Row],[PROVEEDOR]],"*"&amp;'Palabra que no opera y Listas d'!$A$2&amp;"*"))</f>
        <v>0</v>
      </c>
    </row>
    <row r="803" spans="1:26" ht="27.75" customHeight="1" x14ac:dyDescent="0.25">
      <c r="A803" s="141" t="str">
        <f>+IF(PROVEEDORES[[#This Row],[FECHA DE PAGO]]=PROVEEDORES[[#This Row],[FECHA DE FACTURACIÓN]],"DE CONTADO","CRÉDITO")</f>
        <v>DE CONTADO</v>
      </c>
      <c r="B803" s="138" t="b">
        <f>+IF((PROVEEDORES[[#This Row],[FECHA DE PAGO]]-PROVEEDORES[[#This Row],[FECHA DE FACTURACIÓN]])&gt;PROVEEDORES[[#This Row],[PLAZO Días]],"PAGO VENCIDO")</f>
        <v>0</v>
      </c>
      <c r="C803" s="138">
        <f>+VLOOKUP(PROVEEDORES[[#This Row],[PROVEEDOR]],TERCEROS_INFO[#All],2,FALSE)</f>
        <v>30</v>
      </c>
      <c r="D803" s="139">
        <f>+SUMIFS(PROVEEDORES[Total],PROVEEDORES[PROVEEDOR],PROVEEDORES[[#This Row],[PROVEEDOR]],PROVEEDORES[FECHA DE PAGO],"")</f>
        <v>0</v>
      </c>
      <c r="E803" s="140"/>
      <c r="F803" s="138" t="str">
        <f>+VLOOKUP(PROVEEDORES[[#This Row],[PROVEEDOR]],
                       Terceros!$A:$F,
                       5,
                       FALSE)</f>
        <v/>
      </c>
      <c r="G803" s="127">
        <v>45222</v>
      </c>
      <c r="H803" s="123" t="s">
        <v>525</v>
      </c>
      <c r="I803" s="127">
        <v>45222</v>
      </c>
      <c r="J803" s="124" t="s">
        <v>1137</v>
      </c>
      <c r="K803" s="124" t="s">
        <v>1530</v>
      </c>
      <c r="L803" s="124"/>
      <c r="M803" s="125">
        <v>172600</v>
      </c>
      <c r="N803" s="148">
        <v>0</v>
      </c>
      <c r="O803" s="148">
        <v>0</v>
      </c>
      <c r="P803" s="149">
        <v>0</v>
      </c>
      <c r="Q803" s="148">
        <v>0</v>
      </c>
      <c r="R803" s="150">
        <v>172600</v>
      </c>
      <c r="S8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3" s="135">
        <f ca="1">+IF(PROVEEDORES[[#This Row],[FECHA DE PAGO]]=0,TODAY()-PROVEEDORES[[#This Row],[FECHA DE FACTURACIÓN]]-PROVEEDORES[[#This Row],[PLAZO Días]],0)</f>
        <v>0</v>
      </c>
      <c r="U803" s="135">
        <f>+VLOOKUP(PROVEEDORES[[#This Row],[PROVEEDOR]],Terceros!$A:$D,4,FALSE)</f>
        <v>0</v>
      </c>
      <c r="V803" s="135">
        <f>+YEAR(PROVEEDORES[[#This Row],[FECHA DE FACTURACIÓN]])</f>
        <v>2023</v>
      </c>
      <c r="W803" s="135">
        <f>+MATCH(PROVEEDORES[[#This Row],[año facturado]],Retenciones!$1:$1,0)</f>
        <v>6</v>
      </c>
      <c r="X803" s="136">
        <f>+VLOOKUP(PROVEEDORES[[#This Row],[ID RETENCION]],Retenciones!$A$1:$O$25,PROVEEDORES[[#This Row],[indicador de columna]],FALSE)</f>
        <v>0</v>
      </c>
      <c r="Y803" s="137">
        <f>+VLOOKUP(PROVEEDORES[[#This Row],[ID RETENCION]],Retenciones!$A$1:$O$25,2,FALSE)</f>
        <v>0</v>
      </c>
      <c r="Z803" s="126" t="b">
        <f>+OR(COUNTIF(PROVEEDORES[[#This Row],[PROVEEDOR]],"*"&amp;'Palabra que no opera y Listas d'!$A$2&amp;"*"))</f>
        <v>0</v>
      </c>
    </row>
    <row r="804" spans="1:26" ht="27.75" customHeight="1" x14ac:dyDescent="0.25">
      <c r="A804" s="141" t="str">
        <f>+IF(PROVEEDORES[[#This Row],[FECHA DE PAGO]]=PROVEEDORES[[#This Row],[FECHA DE FACTURACIÓN]],"DE CONTADO","CRÉDITO")</f>
        <v>DE CONTADO</v>
      </c>
      <c r="B804" s="138" t="b">
        <f>+IF((PROVEEDORES[[#This Row],[FECHA DE PAGO]]-PROVEEDORES[[#This Row],[FECHA DE FACTURACIÓN]])&gt;PROVEEDORES[[#This Row],[PLAZO Días]],"PAGO VENCIDO")</f>
        <v>0</v>
      </c>
      <c r="C804" s="138">
        <f>+VLOOKUP(PROVEEDORES[[#This Row],[PROVEEDOR]],TERCEROS_INFO[#All],2,FALSE)</f>
        <v>30</v>
      </c>
      <c r="D804" s="139">
        <f>+SUMIFS(PROVEEDORES[Total],PROVEEDORES[PROVEEDOR],PROVEEDORES[[#This Row],[PROVEEDOR]],PROVEEDORES[FECHA DE PAGO],"")</f>
        <v>0</v>
      </c>
      <c r="E804" s="140"/>
      <c r="F804" s="138" t="str">
        <f>+VLOOKUP(PROVEEDORES[[#This Row],[PROVEEDOR]],
                       Terceros!$A:$F,
                       5,
                       FALSE)</f>
        <v/>
      </c>
      <c r="G804" s="127">
        <v>45222</v>
      </c>
      <c r="H804" s="123" t="s">
        <v>525</v>
      </c>
      <c r="I804" s="127">
        <v>45222</v>
      </c>
      <c r="J804" s="124" t="s">
        <v>1141</v>
      </c>
      <c r="K804" s="124" t="s">
        <v>1530</v>
      </c>
      <c r="L804" s="124"/>
      <c r="M804" s="125">
        <v>245000</v>
      </c>
      <c r="N804" s="148">
        <v>0</v>
      </c>
      <c r="O804" s="148">
        <v>0</v>
      </c>
      <c r="P804" s="149">
        <v>0</v>
      </c>
      <c r="Q804" s="148">
        <v>0</v>
      </c>
      <c r="R804" s="150">
        <v>245000</v>
      </c>
      <c r="S8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4" s="135">
        <f ca="1">+IF(PROVEEDORES[[#This Row],[FECHA DE PAGO]]=0,TODAY()-PROVEEDORES[[#This Row],[FECHA DE FACTURACIÓN]]-PROVEEDORES[[#This Row],[PLAZO Días]],0)</f>
        <v>0</v>
      </c>
      <c r="U804" s="135">
        <f>+VLOOKUP(PROVEEDORES[[#This Row],[PROVEEDOR]],Terceros!$A:$D,4,FALSE)</f>
        <v>0</v>
      </c>
      <c r="V804" s="135">
        <f>+YEAR(PROVEEDORES[[#This Row],[FECHA DE FACTURACIÓN]])</f>
        <v>2023</v>
      </c>
      <c r="W804" s="135">
        <f>+MATCH(PROVEEDORES[[#This Row],[año facturado]],Retenciones!$1:$1,0)</f>
        <v>6</v>
      </c>
      <c r="X804" s="136">
        <f>+VLOOKUP(PROVEEDORES[[#This Row],[ID RETENCION]],Retenciones!$A$1:$O$25,PROVEEDORES[[#This Row],[indicador de columna]],FALSE)</f>
        <v>0</v>
      </c>
      <c r="Y804" s="137">
        <f>+VLOOKUP(PROVEEDORES[[#This Row],[ID RETENCION]],Retenciones!$A$1:$O$25,2,FALSE)</f>
        <v>0</v>
      </c>
      <c r="Z804" s="126" t="b">
        <f>+OR(COUNTIF(PROVEEDORES[[#This Row],[PROVEEDOR]],"*"&amp;'Palabra que no opera y Listas d'!$A$2&amp;"*"))</f>
        <v>0</v>
      </c>
    </row>
    <row r="805" spans="1:26" ht="27.75" customHeight="1" x14ac:dyDescent="0.25">
      <c r="A805" s="141" t="str">
        <f>+IF(PROVEEDORES[[#This Row],[FECHA DE PAGO]]=PROVEEDORES[[#This Row],[FECHA DE FACTURACIÓN]],"DE CONTADO","CRÉDITO")</f>
        <v>DE CONTADO</v>
      </c>
      <c r="B805" s="138" t="b">
        <f>+IF((PROVEEDORES[[#This Row],[FECHA DE PAGO]]-PROVEEDORES[[#This Row],[FECHA DE FACTURACIÓN]])&gt;PROVEEDORES[[#This Row],[PLAZO Días]],"PAGO VENCIDO")</f>
        <v>0</v>
      </c>
      <c r="C805" s="138">
        <f>+VLOOKUP(PROVEEDORES[[#This Row],[PROVEEDOR]],TERCEROS_INFO[#All],2,FALSE)</f>
        <v>30</v>
      </c>
      <c r="D805" s="139">
        <f>+SUMIFS(PROVEEDORES[Total],PROVEEDORES[PROVEEDOR],PROVEEDORES[[#This Row],[PROVEEDOR]],PROVEEDORES[FECHA DE PAGO],"")</f>
        <v>0</v>
      </c>
      <c r="E805" s="140"/>
      <c r="F805" s="138" t="str">
        <f>+VLOOKUP(PROVEEDORES[[#This Row],[PROVEEDOR]],
                       Terceros!$A:$F,
                       5,
                       FALSE)</f>
        <v/>
      </c>
      <c r="G805" s="127">
        <v>45222</v>
      </c>
      <c r="H805" s="123" t="s">
        <v>525</v>
      </c>
      <c r="I805" s="127">
        <v>45222</v>
      </c>
      <c r="J805" s="124" t="s">
        <v>1142</v>
      </c>
      <c r="K805" s="124" t="s">
        <v>1530</v>
      </c>
      <c r="L805" s="124"/>
      <c r="M805" s="125">
        <v>621000</v>
      </c>
      <c r="N805" s="148">
        <v>0</v>
      </c>
      <c r="O805" s="148">
        <v>0</v>
      </c>
      <c r="P805" s="149">
        <v>0</v>
      </c>
      <c r="Q805" s="148">
        <v>0</v>
      </c>
      <c r="R805" s="150">
        <v>621000</v>
      </c>
      <c r="S8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5" s="135">
        <f ca="1">+IF(PROVEEDORES[[#This Row],[FECHA DE PAGO]]=0,TODAY()-PROVEEDORES[[#This Row],[FECHA DE FACTURACIÓN]]-PROVEEDORES[[#This Row],[PLAZO Días]],0)</f>
        <v>0</v>
      </c>
      <c r="U805" s="135">
        <f>+VLOOKUP(PROVEEDORES[[#This Row],[PROVEEDOR]],Terceros!$A:$D,4,FALSE)</f>
        <v>0</v>
      </c>
      <c r="V805" s="135">
        <f>+YEAR(PROVEEDORES[[#This Row],[FECHA DE FACTURACIÓN]])</f>
        <v>2023</v>
      </c>
      <c r="W805" s="135">
        <f>+MATCH(PROVEEDORES[[#This Row],[año facturado]],Retenciones!$1:$1,0)</f>
        <v>6</v>
      </c>
      <c r="X805" s="136">
        <f>+VLOOKUP(PROVEEDORES[[#This Row],[ID RETENCION]],Retenciones!$A$1:$O$25,PROVEEDORES[[#This Row],[indicador de columna]],FALSE)</f>
        <v>0</v>
      </c>
      <c r="Y805" s="137">
        <f>+VLOOKUP(PROVEEDORES[[#This Row],[ID RETENCION]],Retenciones!$A$1:$O$25,2,FALSE)</f>
        <v>0</v>
      </c>
      <c r="Z805" s="126" t="b">
        <f>+OR(COUNTIF(PROVEEDORES[[#This Row],[PROVEEDOR]],"*"&amp;'Palabra que no opera y Listas d'!$A$2&amp;"*"))</f>
        <v>0</v>
      </c>
    </row>
    <row r="806" spans="1:26" ht="27.75" customHeight="1" x14ac:dyDescent="0.25">
      <c r="A806" s="141" t="str">
        <f>+IF(PROVEEDORES[[#This Row],[FECHA DE PAGO]]=PROVEEDORES[[#This Row],[FECHA DE FACTURACIÓN]],"DE CONTADO","CRÉDITO")</f>
        <v>DE CONTADO</v>
      </c>
      <c r="B806" s="138" t="b">
        <f>+IF((PROVEEDORES[[#This Row],[FECHA DE PAGO]]-PROVEEDORES[[#This Row],[FECHA DE FACTURACIÓN]])&gt;PROVEEDORES[[#This Row],[PLAZO Días]],"PAGO VENCIDO")</f>
        <v>0</v>
      </c>
      <c r="C806" s="138">
        <f>+VLOOKUP(PROVEEDORES[[#This Row],[PROVEEDOR]],TERCEROS_INFO[#All],2,FALSE)</f>
        <v>30</v>
      </c>
      <c r="D806" s="139">
        <f>+SUMIFS(PROVEEDORES[Total],PROVEEDORES[PROVEEDOR],PROVEEDORES[[#This Row],[PROVEEDOR]],PROVEEDORES[FECHA DE PAGO],"")</f>
        <v>0</v>
      </c>
      <c r="E806" s="140"/>
      <c r="F806" s="138" t="str">
        <f>+VLOOKUP(PROVEEDORES[[#This Row],[PROVEEDOR]],
                       Terceros!$A:$F,
                       5,
                       FALSE)</f>
        <v/>
      </c>
      <c r="G806" s="127">
        <v>45222</v>
      </c>
      <c r="H806" s="123" t="s">
        <v>525</v>
      </c>
      <c r="I806" s="127">
        <v>45222</v>
      </c>
      <c r="J806" s="124" t="s">
        <v>1136</v>
      </c>
      <c r="K806" s="124" t="s">
        <v>1530</v>
      </c>
      <c r="L806" s="124"/>
      <c r="M806" s="125">
        <v>628650</v>
      </c>
      <c r="N806" s="148">
        <v>0</v>
      </c>
      <c r="O806" s="148">
        <v>0</v>
      </c>
      <c r="P806" s="149">
        <v>0</v>
      </c>
      <c r="Q806" s="148">
        <v>0</v>
      </c>
      <c r="R806" s="150">
        <v>628650</v>
      </c>
      <c r="S8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6" s="135">
        <f ca="1">+IF(PROVEEDORES[[#This Row],[FECHA DE PAGO]]=0,TODAY()-PROVEEDORES[[#This Row],[FECHA DE FACTURACIÓN]]-PROVEEDORES[[#This Row],[PLAZO Días]],0)</f>
        <v>0</v>
      </c>
      <c r="U806" s="135">
        <f>+VLOOKUP(PROVEEDORES[[#This Row],[PROVEEDOR]],Terceros!$A:$D,4,FALSE)</f>
        <v>0</v>
      </c>
      <c r="V806" s="135">
        <f>+YEAR(PROVEEDORES[[#This Row],[FECHA DE FACTURACIÓN]])</f>
        <v>2023</v>
      </c>
      <c r="W806" s="135">
        <f>+MATCH(PROVEEDORES[[#This Row],[año facturado]],Retenciones!$1:$1,0)</f>
        <v>6</v>
      </c>
      <c r="X806" s="136">
        <f>+VLOOKUP(PROVEEDORES[[#This Row],[ID RETENCION]],Retenciones!$A$1:$O$25,PROVEEDORES[[#This Row],[indicador de columna]],FALSE)</f>
        <v>0</v>
      </c>
      <c r="Y806" s="137">
        <f>+VLOOKUP(PROVEEDORES[[#This Row],[ID RETENCION]],Retenciones!$A$1:$O$25,2,FALSE)</f>
        <v>0</v>
      </c>
      <c r="Z806" s="126" t="b">
        <f>+OR(COUNTIF(PROVEEDORES[[#This Row],[PROVEEDOR]],"*"&amp;'Palabra que no opera y Listas d'!$A$2&amp;"*"))</f>
        <v>0</v>
      </c>
    </row>
    <row r="807" spans="1:26" ht="27.75" customHeight="1" x14ac:dyDescent="0.25">
      <c r="A807" s="141" t="str">
        <f>+IF(PROVEEDORES[[#This Row],[FECHA DE PAGO]]=PROVEEDORES[[#This Row],[FECHA DE FACTURACIÓN]],"DE CONTADO","CRÉDITO")</f>
        <v>DE CONTADO</v>
      </c>
      <c r="B807" s="138" t="b">
        <f>+IF((PROVEEDORES[[#This Row],[FECHA DE PAGO]]-PROVEEDORES[[#This Row],[FECHA DE FACTURACIÓN]])&gt;PROVEEDORES[[#This Row],[PLAZO Días]],"PAGO VENCIDO")</f>
        <v>0</v>
      </c>
      <c r="C807" s="138">
        <f>+VLOOKUP(PROVEEDORES[[#This Row],[PROVEEDOR]],TERCEROS_INFO[#All],2,FALSE)</f>
        <v>30</v>
      </c>
      <c r="D807" s="139">
        <f>+SUMIFS(PROVEEDORES[Total],PROVEEDORES[PROVEEDOR],PROVEEDORES[[#This Row],[PROVEEDOR]],PROVEEDORES[FECHA DE PAGO],"")</f>
        <v>0</v>
      </c>
      <c r="E807" s="140"/>
      <c r="F807" s="138" t="str">
        <f>+VLOOKUP(PROVEEDORES[[#This Row],[PROVEEDOR]],
                       Terceros!$A:$F,
                       5,
                       FALSE)</f>
        <v/>
      </c>
      <c r="G807" s="127">
        <v>45222</v>
      </c>
      <c r="H807" s="123" t="s">
        <v>525</v>
      </c>
      <c r="I807" s="127">
        <v>45222</v>
      </c>
      <c r="J807" s="124" t="s">
        <v>1143</v>
      </c>
      <c r="K807" s="124" t="s">
        <v>1530</v>
      </c>
      <c r="L807" s="124"/>
      <c r="M807" s="125">
        <v>1200000</v>
      </c>
      <c r="N807" s="148">
        <v>0</v>
      </c>
      <c r="O807" s="148">
        <v>0</v>
      </c>
      <c r="P807" s="149">
        <v>0</v>
      </c>
      <c r="Q807" s="148">
        <v>0</v>
      </c>
      <c r="R807" s="150">
        <v>1200000</v>
      </c>
      <c r="S8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7" s="135">
        <f ca="1">+IF(PROVEEDORES[[#This Row],[FECHA DE PAGO]]=0,TODAY()-PROVEEDORES[[#This Row],[FECHA DE FACTURACIÓN]]-PROVEEDORES[[#This Row],[PLAZO Días]],0)</f>
        <v>0</v>
      </c>
      <c r="U807" s="135">
        <f>+VLOOKUP(PROVEEDORES[[#This Row],[PROVEEDOR]],Terceros!$A:$D,4,FALSE)</f>
        <v>0</v>
      </c>
      <c r="V807" s="135">
        <f>+YEAR(PROVEEDORES[[#This Row],[FECHA DE FACTURACIÓN]])</f>
        <v>2023</v>
      </c>
      <c r="W807" s="135">
        <f>+MATCH(PROVEEDORES[[#This Row],[año facturado]],Retenciones!$1:$1,0)</f>
        <v>6</v>
      </c>
      <c r="X807" s="136">
        <f>+VLOOKUP(PROVEEDORES[[#This Row],[ID RETENCION]],Retenciones!$A$1:$O$25,PROVEEDORES[[#This Row],[indicador de columna]],FALSE)</f>
        <v>0</v>
      </c>
      <c r="Y807" s="137">
        <f>+VLOOKUP(PROVEEDORES[[#This Row],[ID RETENCION]],Retenciones!$A$1:$O$25,2,FALSE)</f>
        <v>0</v>
      </c>
      <c r="Z807" s="126" t="b">
        <f>+OR(COUNTIF(PROVEEDORES[[#This Row],[PROVEEDOR]],"*"&amp;'Palabra que no opera y Listas d'!$A$2&amp;"*"))</f>
        <v>0</v>
      </c>
    </row>
    <row r="808" spans="1:26" ht="27.75" customHeight="1" x14ac:dyDescent="0.25">
      <c r="A808" s="141" t="str">
        <f>+IF(PROVEEDORES[[#This Row],[FECHA DE PAGO]]=PROVEEDORES[[#This Row],[FECHA DE FACTURACIÓN]],"DE CONTADO","CRÉDITO")</f>
        <v>DE CONTADO</v>
      </c>
      <c r="B808" s="138" t="b">
        <f>+IF((PROVEEDORES[[#This Row],[FECHA DE PAGO]]-PROVEEDORES[[#This Row],[FECHA DE FACTURACIÓN]])&gt;PROVEEDORES[[#This Row],[PLAZO Días]],"PAGO VENCIDO")</f>
        <v>0</v>
      </c>
      <c r="C808" s="138">
        <f>+VLOOKUP(PROVEEDORES[[#This Row],[PROVEEDOR]],TERCEROS_INFO[#All],2,FALSE)</f>
        <v>30</v>
      </c>
      <c r="D808" s="139">
        <f>+SUMIFS(PROVEEDORES[Total],PROVEEDORES[PROVEEDOR],PROVEEDORES[[#This Row],[PROVEEDOR]],PROVEEDORES[FECHA DE PAGO],"")</f>
        <v>0</v>
      </c>
      <c r="E808" s="140"/>
      <c r="F808" s="138" t="str">
        <f>+VLOOKUP(PROVEEDORES[[#This Row],[PROVEEDOR]],
                       Terceros!$A:$F,
                       5,
                       FALSE)</f>
        <v/>
      </c>
      <c r="G808" s="127">
        <v>45222</v>
      </c>
      <c r="H808" s="123" t="s">
        <v>525</v>
      </c>
      <c r="I808" s="127">
        <v>45222</v>
      </c>
      <c r="J808" s="124" t="s">
        <v>1138</v>
      </c>
      <c r="K808" s="124" t="s">
        <v>1530</v>
      </c>
      <c r="L808" s="124"/>
      <c r="M808" s="125">
        <v>2000000</v>
      </c>
      <c r="N808" s="148">
        <v>0</v>
      </c>
      <c r="O808" s="148">
        <v>0</v>
      </c>
      <c r="P808" s="149">
        <v>0</v>
      </c>
      <c r="Q808" s="148">
        <v>0</v>
      </c>
      <c r="R808" s="150">
        <v>2000000</v>
      </c>
      <c r="S8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8" s="135">
        <f ca="1">+IF(PROVEEDORES[[#This Row],[FECHA DE PAGO]]=0,TODAY()-PROVEEDORES[[#This Row],[FECHA DE FACTURACIÓN]]-PROVEEDORES[[#This Row],[PLAZO Días]],0)</f>
        <v>0</v>
      </c>
      <c r="U808" s="135">
        <f>+VLOOKUP(PROVEEDORES[[#This Row],[PROVEEDOR]],Terceros!$A:$D,4,FALSE)</f>
        <v>0</v>
      </c>
      <c r="V808" s="135">
        <f>+YEAR(PROVEEDORES[[#This Row],[FECHA DE FACTURACIÓN]])</f>
        <v>2023</v>
      </c>
      <c r="W808" s="135">
        <f>+MATCH(PROVEEDORES[[#This Row],[año facturado]],Retenciones!$1:$1,0)</f>
        <v>6</v>
      </c>
      <c r="X808" s="136">
        <f>+VLOOKUP(PROVEEDORES[[#This Row],[ID RETENCION]],Retenciones!$A$1:$O$25,PROVEEDORES[[#This Row],[indicador de columna]],FALSE)</f>
        <v>0</v>
      </c>
      <c r="Y808" s="137">
        <f>+VLOOKUP(PROVEEDORES[[#This Row],[ID RETENCION]],Retenciones!$A$1:$O$25,2,FALSE)</f>
        <v>0</v>
      </c>
      <c r="Z808" s="126" t="b">
        <f>+OR(COUNTIF(PROVEEDORES[[#This Row],[PROVEEDOR]],"*"&amp;'Palabra que no opera y Listas d'!$A$2&amp;"*"))</f>
        <v>0</v>
      </c>
    </row>
    <row r="809" spans="1:26" ht="27.75" customHeight="1" x14ac:dyDescent="0.25">
      <c r="A809" s="141" t="str">
        <f>+IF(PROVEEDORES[[#This Row],[FECHA DE PAGO]]=PROVEEDORES[[#This Row],[FECHA DE FACTURACIÓN]],"DE CONTADO","CRÉDITO")</f>
        <v>CRÉDITO</v>
      </c>
      <c r="B809" s="138" t="b">
        <f>+IF((PROVEEDORES[[#This Row],[FECHA DE PAGO]]-PROVEEDORES[[#This Row],[FECHA DE FACTURACIÓN]])&gt;PROVEEDORES[[#This Row],[PLAZO Días]],"PAGO VENCIDO")</f>
        <v>0</v>
      </c>
      <c r="C809" s="138">
        <f>+VLOOKUP(PROVEEDORES[[#This Row],[PROVEEDOR]],TERCEROS_INFO[#All],2,FALSE)</f>
        <v>30</v>
      </c>
      <c r="D809" s="139">
        <f>+SUMIFS(PROVEEDORES[Total],PROVEEDORES[PROVEEDOR],PROVEEDORES[[#This Row],[PROVEEDOR]],PROVEEDORES[FECHA DE PAGO],"")</f>
        <v>0</v>
      </c>
      <c r="E809" s="140"/>
      <c r="F809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09" s="127">
        <v>45223</v>
      </c>
      <c r="H809" s="123" t="s">
        <v>382</v>
      </c>
      <c r="I809" s="127">
        <v>45200</v>
      </c>
      <c r="J809" s="124" t="s">
        <v>1133</v>
      </c>
      <c r="K809" s="124" t="s">
        <v>1530</v>
      </c>
      <c r="L809" s="124"/>
      <c r="M809" s="125">
        <v>934363</v>
      </c>
      <c r="N809" s="148">
        <v>0</v>
      </c>
      <c r="O809" s="148">
        <v>0</v>
      </c>
      <c r="P809" s="149">
        <v>0</v>
      </c>
      <c r="Q809" s="148">
        <v>0</v>
      </c>
      <c r="R809" s="150">
        <v>934363</v>
      </c>
      <c r="S8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09" s="135">
        <f ca="1">+IF(PROVEEDORES[[#This Row],[FECHA DE PAGO]]=0,TODAY()-PROVEEDORES[[#This Row],[FECHA DE FACTURACIÓN]]-PROVEEDORES[[#This Row],[PLAZO Días]],0)</f>
        <v>0</v>
      </c>
      <c r="U809" s="135">
        <f>+VLOOKUP(PROVEEDORES[[#This Row],[PROVEEDOR]],Terceros!$A:$D,4,FALSE)</f>
        <v>0</v>
      </c>
      <c r="V809" s="135">
        <f>+YEAR(PROVEEDORES[[#This Row],[FECHA DE FACTURACIÓN]])</f>
        <v>2023</v>
      </c>
      <c r="W809" s="135">
        <f>+MATCH(PROVEEDORES[[#This Row],[año facturado]],Retenciones!$1:$1,0)</f>
        <v>6</v>
      </c>
      <c r="X809" s="136">
        <f>+VLOOKUP(PROVEEDORES[[#This Row],[ID RETENCION]],Retenciones!$A$1:$O$25,PROVEEDORES[[#This Row],[indicador de columna]],FALSE)</f>
        <v>0</v>
      </c>
      <c r="Y809" s="137">
        <f>+VLOOKUP(PROVEEDORES[[#This Row],[ID RETENCION]],Retenciones!$A$1:$O$25,2,FALSE)</f>
        <v>0</v>
      </c>
      <c r="Z809" s="126" t="b">
        <f>+OR(COUNTIF(PROVEEDORES[[#This Row],[PROVEEDOR]],"*"&amp;'Palabra que no opera y Listas d'!$A$2&amp;"*"))</f>
        <v>1</v>
      </c>
    </row>
    <row r="810" spans="1:26" ht="27.75" customHeight="1" x14ac:dyDescent="0.25">
      <c r="A810" s="141" t="str">
        <f>+IF(PROVEEDORES[[#This Row],[FECHA DE PAGO]]=PROVEEDORES[[#This Row],[FECHA DE FACTURACIÓN]],"DE CONTADO","CRÉDITO")</f>
        <v>CRÉDITO</v>
      </c>
      <c r="B810" s="138" t="b">
        <f>+IF((PROVEEDORES[[#This Row],[FECHA DE PAGO]]-PROVEEDORES[[#This Row],[FECHA DE FACTURACIÓN]])&gt;PROVEEDORES[[#This Row],[PLAZO Días]],"PAGO VENCIDO")</f>
        <v>0</v>
      </c>
      <c r="C810" s="138">
        <f>+VLOOKUP(PROVEEDORES[[#This Row],[PROVEEDOR]],TERCEROS_INFO[#All],2,FALSE)</f>
        <v>30</v>
      </c>
      <c r="D810" s="139">
        <f>+SUMIFS(PROVEEDORES[Total],PROVEEDORES[PROVEEDOR],PROVEEDORES[[#This Row],[PROVEEDOR]],PROVEEDORES[FECHA DE PAGO],"")</f>
        <v>0</v>
      </c>
      <c r="E810" s="140"/>
      <c r="F810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810" s="127">
        <v>45223</v>
      </c>
      <c r="H810" s="123" t="s">
        <v>382</v>
      </c>
      <c r="I810" s="127">
        <v>45200</v>
      </c>
      <c r="J810" s="124" t="s">
        <v>1134</v>
      </c>
      <c r="K810" s="124" t="s">
        <v>1530</v>
      </c>
      <c r="L810" s="124"/>
      <c r="M810" s="125">
        <v>914023</v>
      </c>
      <c r="N810" s="148">
        <v>0</v>
      </c>
      <c r="O810" s="148">
        <v>0</v>
      </c>
      <c r="P810" s="149">
        <v>0</v>
      </c>
      <c r="Q810" s="148">
        <v>0</v>
      </c>
      <c r="R810" s="150">
        <v>914023</v>
      </c>
      <c r="S8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0" s="135">
        <f ca="1">+IF(PROVEEDORES[[#This Row],[FECHA DE PAGO]]=0,TODAY()-PROVEEDORES[[#This Row],[FECHA DE FACTURACIÓN]]-PROVEEDORES[[#This Row],[PLAZO Días]],0)</f>
        <v>0</v>
      </c>
      <c r="U810" s="135">
        <f>+VLOOKUP(PROVEEDORES[[#This Row],[PROVEEDOR]],Terceros!$A:$D,4,FALSE)</f>
        <v>0</v>
      </c>
      <c r="V810" s="135">
        <f>+YEAR(PROVEEDORES[[#This Row],[FECHA DE FACTURACIÓN]])</f>
        <v>2023</v>
      </c>
      <c r="W810" s="135">
        <f>+MATCH(PROVEEDORES[[#This Row],[año facturado]],Retenciones!$1:$1,0)</f>
        <v>6</v>
      </c>
      <c r="X810" s="136">
        <f>+VLOOKUP(PROVEEDORES[[#This Row],[ID RETENCION]],Retenciones!$A$1:$O$25,PROVEEDORES[[#This Row],[indicador de columna]],FALSE)</f>
        <v>0</v>
      </c>
      <c r="Y810" s="137">
        <f>+VLOOKUP(PROVEEDORES[[#This Row],[ID RETENCION]],Retenciones!$A$1:$O$25,2,FALSE)</f>
        <v>0</v>
      </c>
      <c r="Z810" s="126" t="b">
        <f>+OR(COUNTIF(PROVEEDORES[[#This Row],[PROVEEDOR]],"*"&amp;'Palabra que no opera y Listas d'!$A$2&amp;"*"))</f>
        <v>1</v>
      </c>
    </row>
    <row r="811" spans="1:26" ht="27.75" customHeight="1" x14ac:dyDescent="0.25">
      <c r="A811" s="141" t="str">
        <f>+IF(PROVEEDORES[[#This Row],[FECHA DE PAGO]]=PROVEEDORES[[#This Row],[FECHA DE FACTURACIÓN]],"DE CONTADO","CRÉDITO")</f>
        <v>CRÉDITO</v>
      </c>
      <c r="B811" s="138" t="str">
        <f>+IF((PROVEEDORES[[#This Row],[FECHA DE PAGO]]-PROVEEDORES[[#This Row],[FECHA DE FACTURACIÓN]])&gt;PROVEEDORES[[#This Row],[PLAZO Días]],"PAGO VENCIDO")</f>
        <v>PAGO VENCIDO</v>
      </c>
      <c r="C811" s="138">
        <f>+VLOOKUP(PROVEEDORES[[#This Row],[PROVEEDOR]],TERCEROS_INFO[#All],2,FALSE)</f>
        <v>60</v>
      </c>
      <c r="D811" s="139">
        <f>+SUMIFS(PROVEEDORES[Total],PROVEEDORES[PROVEEDOR],PROVEEDORES[[#This Row],[PROVEEDOR]],PROVEEDORES[FECHA DE PAGO],"")</f>
        <v>0</v>
      </c>
      <c r="E811" s="140"/>
      <c r="F811" s="138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811" s="127">
        <v>45224</v>
      </c>
      <c r="H811" s="123" t="s">
        <v>582</v>
      </c>
      <c r="I811" s="127">
        <v>45155</v>
      </c>
      <c r="J811" s="124" t="s">
        <v>1001</v>
      </c>
      <c r="K811" s="124" t="s">
        <v>1530</v>
      </c>
      <c r="L811" s="124"/>
      <c r="M811" s="125">
        <v>3384000</v>
      </c>
      <c r="N811" s="148">
        <v>642960</v>
      </c>
      <c r="O811" s="148">
        <v>0</v>
      </c>
      <c r="P811" s="149">
        <v>2.5000000000000001E-2</v>
      </c>
      <c r="Q811" s="148">
        <v>84600</v>
      </c>
      <c r="R811" s="150">
        <v>3942360</v>
      </c>
      <c r="S8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1" s="135">
        <f ca="1">+IF(PROVEEDORES[[#This Row],[FECHA DE PAGO]]=0,TODAY()-PROVEEDORES[[#This Row],[FECHA DE FACTURACIÓN]]-PROVEEDORES[[#This Row],[PLAZO Días]],0)</f>
        <v>0</v>
      </c>
      <c r="U811" s="135" t="str">
        <f>+VLOOKUP(PROVEEDORES[[#This Row],[PROVEEDOR]],Terceros!$A:$D,4,FALSE)</f>
        <v>2,5% con base</v>
      </c>
      <c r="V811" s="135">
        <f>+YEAR(PROVEEDORES[[#This Row],[FECHA DE FACTURACIÓN]])</f>
        <v>2023</v>
      </c>
      <c r="W811" s="135">
        <f>+MATCH(PROVEEDORES[[#This Row],[año facturado]],Retenciones!$1:$1,0)</f>
        <v>6</v>
      </c>
      <c r="X811" s="136">
        <f>+VLOOKUP(PROVEEDORES[[#This Row],[ID RETENCION]],Retenciones!$A$1:$O$25,PROVEEDORES[[#This Row],[indicador de columna]],FALSE)</f>
        <v>1145000</v>
      </c>
      <c r="Y811" s="137">
        <f>+VLOOKUP(PROVEEDORES[[#This Row],[ID RETENCION]],Retenciones!$A$1:$O$25,2,FALSE)</f>
        <v>2.5000000000000001E-2</v>
      </c>
      <c r="Z811" s="126" t="b">
        <f>+OR(COUNTIF(PROVEEDORES[[#This Row],[PROVEEDOR]],"*"&amp;'Palabra que no opera y Listas d'!$A$2&amp;"*"))</f>
        <v>0</v>
      </c>
    </row>
    <row r="812" spans="1:26" ht="27.75" customHeight="1" x14ac:dyDescent="0.25">
      <c r="A812" s="141" t="str">
        <f>+IF(PROVEEDORES[[#This Row],[FECHA DE PAGO]]=PROVEEDORES[[#This Row],[FECHA DE FACTURACIÓN]],"DE CONTADO","CRÉDITO")</f>
        <v>CRÉDITO</v>
      </c>
      <c r="B812" s="138" t="str">
        <f>+IF((PROVEEDORES[[#This Row],[FECHA DE PAGO]]-PROVEEDORES[[#This Row],[FECHA DE FACTURACIÓN]])&gt;PROVEEDORES[[#This Row],[PLAZO Días]],"PAGO VENCIDO")</f>
        <v>PAGO VENCIDO</v>
      </c>
      <c r="C812" s="138">
        <f>+VLOOKUP(PROVEEDORES[[#This Row],[PROVEEDOR]],TERCEROS_INFO[#All],2,FALSE)</f>
        <v>30</v>
      </c>
      <c r="D812" s="139">
        <f>+SUMIFS(PROVEEDORES[Total],PROVEEDORES[PROVEEDOR],PROVEEDORES[[#This Row],[PROVEEDOR]],PROVEEDORES[FECHA DE PAGO],"")</f>
        <v>818443.92</v>
      </c>
      <c r="E812" s="140"/>
      <c r="F812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812" s="127">
        <v>45224</v>
      </c>
      <c r="H812" s="123" t="s">
        <v>20</v>
      </c>
      <c r="I812" s="127">
        <v>45168</v>
      </c>
      <c r="J812" s="124" t="s">
        <v>1024</v>
      </c>
      <c r="K812" s="124" t="s">
        <v>1530</v>
      </c>
      <c r="L812" s="124"/>
      <c r="M812" s="125">
        <v>876780</v>
      </c>
      <c r="N812" s="148">
        <v>166588.20000000001</v>
      </c>
      <c r="O812" s="148">
        <v>0</v>
      </c>
      <c r="P812" s="149">
        <v>0</v>
      </c>
      <c r="Q812" s="148">
        <v>0</v>
      </c>
      <c r="R812" s="150">
        <v>1043368.2</v>
      </c>
      <c r="S8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2" s="135">
        <f ca="1">+IF(PROVEEDORES[[#This Row],[FECHA DE PAGO]]=0,TODAY()-PROVEEDORES[[#This Row],[FECHA DE FACTURACIÓN]]-PROVEEDORES[[#This Row],[PLAZO Días]],0)</f>
        <v>0</v>
      </c>
      <c r="U812" s="135" t="str">
        <f>+VLOOKUP(PROVEEDORES[[#This Row],[PROVEEDOR]],Terceros!$A:$D,4,FALSE)</f>
        <v>2,5% con base</v>
      </c>
      <c r="V812" s="135">
        <f>+YEAR(PROVEEDORES[[#This Row],[FECHA DE FACTURACIÓN]])</f>
        <v>2023</v>
      </c>
      <c r="W812" s="135">
        <f>+MATCH(PROVEEDORES[[#This Row],[año facturado]],Retenciones!$1:$1,0)</f>
        <v>6</v>
      </c>
      <c r="X812" s="136">
        <f>+VLOOKUP(PROVEEDORES[[#This Row],[ID RETENCION]],Retenciones!$A$1:$O$25,PROVEEDORES[[#This Row],[indicador de columna]],FALSE)</f>
        <v>1145000</v>
      </c>
      <c r="Y812" s="137">
        <f>+VLOOKUP(PROVEEDORES[[#This Row],[ID RETENCION]],Retenciones!$A$1:$O$25,2,FALSE)</f>
        <v>2.5000000000000001E-2</v>
      </c>
      <c r="Z812" s="126" t="b">
        <f>+OR(COUNTIF(PROVEEDORES[[#This Row],[PROVEEDOR]],"*"&amp;'Palabra que no opera y Listas d'!$A$2&amp;"*"))</f>
        <v>0</v>
      </c>
    </row>
    <row r="813" spans="1:26" ht="27.75" customHeight="1" x14ac:dyDescent="0.25">
      <c r="A813" s="141" t="str">
        <f>+IF(PROVEEDORES[[#This Row],[FECHA DE PAGO]]=PROVEEDORES[[#This Row],[FECHA DE FACTURACIÓN]],"DE CONTADO","CRÉDITO")</f>
        <v>DE CONTADO</v>
      </c>
      <c r="B813" s="138" t="b">
        <f>+IF((PROVEEDORES[[#This Row],[FECHA DE PAGO]]-PROVEEDORES[[#This Row],[FECHA DE FACTURACIÓN]])&gt;PROVEEDORES[[#This Row],[PLAZO Días]],"PAGO VENCIDO")</f>
        <v>0</v>
      </c>
      <c r="C813" s="138">
        <f>+VLOOKUP(PROVEEDORES[[#This Row],[PROVEEDOR]],TERCEROS_INFO[#All],2,FALSE)</f>
        <v>60</v>
      </c>
      <c r="D813" s="139">
        <f>+SUMIFS(PROVEEDORES[Total],PROVEEDORES[PROVEEDOR],PROVEEDORES[[#This Row],[PROVEEDOR]],PROVEEDORES[FECHA DE PAGO],"")</f>
        <v>0</v>
      </c>
      <c r="E813" s="140"/>
      <c r="F813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813" s="127">
        <v>45224</v>
      </c>
      <c r="H813" s="123" t="s">
        <v>65</v>
      </c>
      <c r="I813" s="127">
        <v>45224</v>
      </c>
      <c r="J813" s="124" t="s">
        <v>1140</v>
      </c>
      <c r="K813" s="124" t="s">
        <v>1530</v>
      </c>
      <c r="L813" s="124"/>
      <c r="M813" s="125">
        <v>166386.6</v>
      </c>
      <c r="N813" s="148">
        <v>31613.454000000002</v>
      </c>
      <c r="O813" s="148">
        <v>0</v>
      </c>
      <c r="P813" s="149">
        <v>0</v>
      </c>
      <c r="Q813" s="148">
        <v>0</v>
      </c>
      <c r="R813" s="150">
        <v>198000.054</v>
      </c>
      <c r="S8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3" s="135">
        <f ca="1">+IF(PROVEEDORES[[#This Row],[FECHA DE PAGO]]=0,TODAY()-PROVEEDORES[[#This Row],[FECHA DE FACTURACIÓN]]-PROVEEDORES[[#This Row],[PLAZO Días]],0)</f>
        <v>0</v>
      </c>
      <c r="U813" s="135" t="str">
        <f>+VLOOKUP(PROVEEDORES[[#This Row],[PROVEEDOR]],Terceros!$A:$D,4,FALSE)</f>
        <v>2,5% con base</v>
      </c>
      <c r="V813" s="135">
        <f>+YEAR(PROVEEDORES[[#This Row],[FECHA DE FACTURACIÓN]])</f>
        <v>2023</v>
      </c>
      <c r="W813" s="135">
        <f>+MATCH(PROVEEDORES[[#This Row],[año facturado]],Retenciones!$1:$1,0)</f>
        <v>6</v>
      </c>
      <c r="X813" s="136">
        <f>+VLOOKUP(PROVEEDORES[[#This Row],[ID RETENCION]],Retenciones!$A$1:$O$25,PROVEEDORES[[#This Row],[indicador de columna]],FALSE)</f>
        <v>1145000</v>
      </c>
      <c r="Y813" s="137">
        <f>+VLOOKUP(PROVEEDORES[[#This Row],[ID RETENCION]],Retenciones!$A$1:$O$25,2,FALSE)</f>
        <v>2.5000000000000001E-2</v>
      </c>
      <c r="Z813" s="126" t="b">
        <f>+OR(COUNTIF(PROVEEDORES[[#This Row],[PROVEEDOR]],"*"&amp;'Palabra que no opera y Listas d'!$A$2&amp;"*"))</f>
        <v>0</v>
      </c>
    </row>
    <row r="814" spans="1:26" ht="27.75" customHeight="1" x14ac:dyDescent="0.25">
      <c r="A814" s="141" t="str">
        <f>+IF(PROVEEDORES[[#This Row],[FECHA DE PAGO]]=PROVEEDORES[[#This Row],[FECHA DE FACTURACIÓN]],"DE CONTADO","CRÉDITO")</f>
        <v>DE CONTADO</v>
      </c>
      <c r="B814" s="138" t="b">
        <f>+IF((PROVEEDORES[[#This Row],[FECHA DE PAGO]]-PROVEEDORES[[#This Row],[FECHA DE FACTURACIÓN]])&gt;PROVEEDORES[[#This Row],[PLAZO Días]],"PAGO VENCIDO")</f>
        <v>0</v>
      </c>
      <c r="C814" s="138">
        <f>+VLOOKUP(PROVEEDORES[[#This Row],[PROVEEDOR]],TERCEROS_INFO[#All],2,FALSE)</f>
        <v>30</v>
      </c>
      <c r="D814" s="139">
        <f>+SUMIFS(PROVEEDORES[Total],PROVEEDORES[PROVEEDOR],PROVEEDORES[[#This Row],[PROVEEDOR]],PROVEEDORES[FECHA DE PAGO],"")</f>
        <v>0</v>
      </c>
      <c r="E814" s="140"/>
      <c r="F814" s="138" t="str">
        <f>+VLOOKUP(PROVEEDORES[[#This Row],[PROVEEDOR]],
                       Terceros!$A:$F,
                       5,
                       FALSE)</f>
        <v/>
      </c>
      <c r="G814" s="127">
        <v>45224</v>
      </c>
      <c r="H814" s="123" t="s">
        <v>1824</v>
      </c>
      <c r="I814" s="127">
        <v>45224</v>
      </c>
      <c r="J814" s="124"/>
      <c r="K814" s="124" t="s">
        <v>1530</v>
      </c>
      <c r="L814" s="124"/>
      <c r="M814" s="125">
        <v>800000</v>
      </c>
      <c r="N814" s="148">
        <v>0</v>
      </c>
      <c r="O814" s="148">
        <v>0</v>
      </c>
      <c r="P814" s="149">
        <v>0</v>
      </c>
      <c r="Q814" s="148">
        <v>0</v>
      </c>
      <c r="R814" s="150">
        <v>800000</v>
      </c>
      <c r="S8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4" s="135">
        <f ca="1">+IF(PROVEEDORES[[#This Row],[FECHA DE PAGO]]=0,TODAY()-PROVEEDORES[[#This Row],[FECHA DE FACTURACIÓN]]-PROVEEDORES[[#This Row],[PLAZO Días]],0)</f>
        <v>0</v>
      </c>
      <c r="U814" s="135">
        <f>+VLOOKUP(PROVEEDORES[[#This Row],[PROVEEDOR]],Terceros!$A:$D,4,FALSE)</f>
        <v>0</v>
      </c>
      <c r="V814" s="135">
        <f>+YEAR(PROVEEDORES[[#This Row],[FECHA DE FACTURACIÓN]])</f>
        <v>2023</v>
      </c>
      <c r="W814" s="135">
        <f>+MATCH(PROVEEDORES[[#This Row],[año facturado]],Retenciones!$1:$1,0)</f>
        <v>6</v>
      </c>
      <c r="X814" s="136">
        <f>+VLOOKUP(PROVEEDORES[[#This Row],[ID RETENCION]],Retenciones!$A$1:$O$25,PROVEEDORES[[#This Row],[indicador de columna]],FALSE)</f>
        <v>0</v>
      </c>
      <c r="Y814" s="137">
        <f>+VLOOKUP(PROVEEDORES[[#This Row],[ID RETENCION]],Retenciones!$A$1:$O$25,2,FALSE)</f>
        <v>0</v>
      </c>
      <c r="Z814" s="126" t="b">
        <f>+OR(COUNTIF(PROVEEDORES[[#This Row],[PROVEEDOR]],"*"&amp;'Palabra que no opera y Listas d'!$A$2&amp;"*"))</f>
        <v>0</v>
      </c>
    </row>
    <row r="815" spans="1:26" ht="27.75" customHeight="1" x14ac:dyDescent="0.25">
      <c r="A815" s="141" t="str">
        <f>+IF(PROVEEDORES[[#This Row],[FECHA DE PAGO]]=PROVEEDORES[[#This Row],[FECHA DE FACTURACIÓN]],"DE CONTADO","CRÉDITO")</f>
        <v>CRÉDITO</v>
      </c>
      <c r="B815" s="138" t="str">
        <f>+IF((PROVEEDORES[[#This Row],[FECHA DE PAGO]]-PROVEEDORES[[#This Row],[FECHA DE FACTURACIÓN]])&gt;PROVEEDORES[[#This Row],[PLAZO Días]],"PAGO VENCIDO")</f>
        <v>PAGO VENCIDO</v>
      </c>
      <c r="C815" s="138">
        <f>+VLOOKUP(PROVEEDORES[[#This Row],[PROVEEDOR]],TERCEROS_INFO[#All],2,FALSE)</f>
        <v>60</v>
      </c>
      <c r="D815" s="139">
        <f>+SUMIFS(PROVEEDORES[Total],PROVEEDORES[PROVEEDOR],PROVEEDORES[[#This Row],[PROVEEDOR]],PROVEEDORES[FECHA DE PAGO],"")</f>
        <v>50353355.590000004</v>
      </c>
      <c r="E815" s="140"/>
      <c r="F815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815" s="127">
        <v>45225</v>
      </c>
      <c r="H815" s="123" t="s">
        <v>9</v>
      </c>
      <c r="I815" s="127">
        <v>45156</v>
      </c>
      <c r="J815" s="124" t="s">
        <v>986</v>
      </c>
      <c r="K815" s="124" t="s">
        <v>1530</v>
      </c>
      <c r="L815" s="124"/>
      <c r="M815" s="125">
        <v>-18933650</v>
      </c>
      <c r="N815" s="148">
        <v>-3597393.5</v>
      </c>
      <c r="O815" s="148">
        <v>0</v>
      </c>
      <c r="P815" s="149">
        <v>0</v>
      </c>
      <c r="Q815" s="148">
        <v>0</v>
      </c>
      <c r="R815" s="150">
        <v>-22531043.5</v>
      </c>
      <c r="S8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5" s="135">
        <f ca="1">+IF(PROVEEDORES[[#This Row],[FECHA DE PAGO]]=0,TODAY()-PROVEEDORES[[#This Row],[FECHA DE FACTURACIÓN]]-PROVEEDORES[[#This Row],[PLAZO Días]],0)</f>
        <v>0</v>
      </c>
      <c r="U815" s="135" t="str">
        <f>+VLOOKUP(PROVEEDORES[[#This Row],[PROVEEDOR]],Terceros!$A:$D,4,FALSE)</f>
        <v>2,5% con base</v>
      </c>
      <c r="V815" s="135">
        <f>+YEAR(PROVEEDORES[[#This Row],[FECHA DE FACTURACIÓN]])</f>
        <v>2023</v>
      </c>
      <c r="W815" s="135">
        <f>+MATCH(PROVEEDORES[[#This Row],[año facturado]],Retenciones!$1:$1,0)</f>
        <v>6</v>
      </c>
      <c r="X815" s="136">
        <f>+VLOOKUP(PROVEEDORES[[#This Row],[ID RETENCION]],Retenciones!$A$1:$O$25,PROVEEDORES[[#This Row],[indicador de columna]],FALSE)</f>
        <v>1145000</v>
      </c>
      <c r="Y815" s="137">
        <f>+VLOOKUP(PROVEEDORES[[#This Row],[ID RETENCION]],Retenciones!$A$1:$O$25,2,FALSE)</f>
        <v>2.5000000000000001E-2</v>
      </c>
      <c r="Z815" s="126" t="b">
        <f>+OR(COUNTIF(PROVEEDORES[[#This Row],[PROVEEDOR]],"*"&amp;'Palabra que no opera y Listas d'!$A$2&amp;"*"))</f>
        <v>0</v>
      </c>
    </row>
    <row r="816" spans="1:26" ht="27.75" customHeight="1" x14ac:dyDescent="0.25">
      <c r="A816" s="141" t="str">
        <f>+IF(PROVEEDORES[[#This Row],[FECHA DE PAGO]]=PROVEEDORES[[#This Row],[FECHA DE FACTURACIÓN]],"DE CONTADO","CRÉDITO")</f>
        <v>CRÉDITO</v>
      </c>
      <c r="B816" s="138" t="str">
        <f>+IF((PROVEEDORES[[#This Row],[FECHA DE PAGO]]-PROVEEDORES[[#This Row],[FECHA DE FACTURACIÓN]])&gt;PROVEEDORES[[#This Row],[PLAZO Días]],"PAGO VENCIDO")</f>
        <v>PAGO VENCIDO</v>
      </c>
      <c r="C816" s="138">
        <f>+VLOOKUP(PROVEEDORES[[#This Row],[PROVEEDOR]],TERCEROS_INFO[#All],2,FALSE)</f>
        <v>60</v>
      </c>
      <c r="D816" s="139">
        <f>+SUMIFS(PROVEEDORES[Total],PROVEEDORES[PROVEEDOR],PROVEEDORES[[#This Row],[PROVEEDOR]],PROVEEDORES[FECHA DE PAGO],"")</f>
        <v>50353355.590000004</v>
      </c>
      <c r="E816" s="140"/>
      <c r="F816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816" s="127">
        <v>45225</v>
      </c>
      <c r="H816" s="123" t="s">
        <v>9</v>
      </c>
      <c r="I816" s="127">
        <v>45162</v>
      </c>
      <c r="J816" s="124" t="s">
        <v>1018</v>
      </c>
      <c r="K816" s="124" t="s">
        <v>1530</v>
      </c>
      <c r="L816" s="124"/>
      <c r="M816" s="125">
        <v>62709092</v>
      </c>
      <c r="N816" s="148">
        <v>11914727.48</v>
      </c>
      <c r="O816" s="148">
        <v>0</v>
      </c>
      <c r="P816" s="149">
        <v>2.5000000000000001E-2</v>
      </c>
      <c r="Q816" s="148">
        <v>1567727.3</v>
      </c>
      <c r="R816" s="150">
        <v>73056092.180000007</v>
      </c>
      <c r="S8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6" s="135">
        <f ca="1">+IF(PROVEEDORES[[#This Row],[FECHA DE PAGO]]=0,TODAY()-PROVEEDORES[[#This Row],[FECHA DE FACTURACIÓN]]-PROVEEDORES[[#This Row],[PLAZO Días]],0)</f>
        <v>0</v>
      </c>
      <c r="U816" s="135" t="str">
        <f>+VLOOKUP(PROVEEDORES[[#This Row],[PROVEEDOR]],Terceros!$A:$D,4,FALSE)</f>
        <v>2,5% con base</v>
      </c>
      <c r="V816" s="135">
        <f>+YEAR(PROVEEDORES[[#This Row],[FECHA DE FACTURACIÓN]])</f>
        <v>2023</v>
      </c>
      <c r="W816" s="135">
        <f>+MATCH(PROVEEDORES[[#This Row],[año facturado]],Retenciones!$1:$1,0)</f>
        <v>6</v>
      </c>
      <c r="X816" s="136">
        <f>+VLOOKUP(PROVEEDORES[[#This Row],[ID RETENCION]],Retenciones!$A$1:$O$25,PROVEEDORES[[#This Row],[indicador de columna]],FALSE)</f>
        <v>1145000</v>
      </c>
      <c r="Y816" s="137">
        <f>+VLOOKUP(PROVEEDORES[[#This Row],[ID RETENCION]],Retenciones!$A$1:$O$25,2,FALSE)</f>
        <v>2.5000000000000001E-2</v>
      </c>
      <c r="Z816" s="126" t="b">
        <f>+OR(COUNTIF(PROVEEDORES[[#This Row],[PROVEEDOR]],"*"&amp;'Palabra que no opera y Listas d'!$A$2&amp;"*"))</f>
        <v>0</v>
      </c>
    </row>
    <row r="817" spans="1:26" ht="27.75" customHeight="1" x14ac:dyDescent="0.25">
      <c r="A817" s="141" t="str">
        <f>+IF(PROVEEDORES[[#This Row],[FECHA DE PAGO]]=PROVEEDORES[[#This Row],[FECHA DE FACTURACIÓN]],"DE CONTADO","CRÉDITO")</f>
        <v>CRÉDITO</v>
      </c>
      <c r="B817" s="138" t="b">
        <f>+IF((PROVEEDORES[[#This Row],[FECHA DE PAGO]]-PROVEEDORES[[#This Row],[FECHA DE FACTURACIÓN]])&gt;PROVEEDORES[[#This Row],[PLAZO Días]],"PAGO VENCIDO")</f>
        <v>0</v>
      </c>
      <c r="C817" s="138">
        <f>+VLOOKUP(PROVEEDORES[[#This Row],[PROVEEDOR]],TERCEROS_INFO[#All],2,FALSE)</f>
        <v>60</v>
      </c>
      <c r="D817" s="139">
        <f>+SUMIFS(PROVEEDORES[Total],PROVEEDORES[PROVEEDOR],PROVEEDORES[[#This Row],[PROVEEDOR]],PROVEEDORES[FECHA DE PAGO],"")</f>
        <v>50353355.590000004</v>
      </c>
      <c r="E817" s="140"/>
      <c r="F817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817" s="127">
        <v>45225</v>
      </c>
      <c r="H817" s="123" t="s">
        <v>9</v>
      </c>
      <c r="I817" s="127">
        <v>45203</v>
      </c>
      <c r="J817" s="124" t="s">
        <v>1086</v>
      </c>
      <c r="K817" s="124" t="s">
        <v>1530</v>
      </c>
      <c r="L817" s="124"/>
      <c r="M817" s="125">
        <v>-159664</v>
      </c>
      <c r="N817" s="148">
        <v>-30336.16</v>
      </c>
      <c r="O817" s="148">
        <v>0</v>
      </c>
      <c r="P817" s="149">
        <v>0</v>
      </c>
      <c r="Q817" s="148">
        <v>0</v>
      </c>
      <c r="R817" s="150">
        <v>-190000.16</v>
      </c>
      <c r="S8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7" s="135">
        <f ca="1">+IF(PROVEEDORES[[#This Row],[FECHA DE PAGO]]=0,TODAY()-PROVEEDORES[[#This Row],[FECHA DE FACTURACIÓN]]-PROVEEDORES[[#This Row],[PLAZO Días]],0)</f>
        <v>0</v>
      </c>
      <c r="U817" s="135" t="str">
        <f>+VLOOKUP(PROVEEDORES[[#This Row],[PROVEEDOR]],Terceros!$A:$D,4,FALSE)</f>
        <v>2,5% con base</v>
      </c>
      <c r="V817" s="135">
        <f>+YEAR(PROVEEDORES[[#This Row],[FECHA DE FACTURACIÓN]])</f>
        <v>2023</v>
      </c>
      <c r="W817" s="135">
        <f>+MATCH(PROVEEDORES[[#This Row],[año facturado]],Retenciones!$1:$1,0)</f>
        <v>6</v>
      </c>
      <c r="X817" s="136">
        <f>+VLOOKUP(PROVEEDORES[[#This Row],[ID RETENCION]],Retenciones!$A$1:$O$25,PROVEEDORES[[#This Row],[indicador de columna]],FALSE)</f>
        <v>1145000</v>
      </c>
      <c r="Y817" s="137">
        <f>+VLOOKUP(PROVEEDORES[[#This Row],[ID RETENCION]],Retenciones!$A$1:$O$25,2,FALSE)</f>
        <v>2.5000000000000001E-2</v>
      </c>
      <c r="Z817" s="126" t="b">
        <f>+OR(COUNTIF(PROVEEDORES[[#This Row],[PROVEEDOR]],"*"&amp;'Palabra que no opera y Listas d'!$A$2&amp;"*"))</f>
        <v>0</v>
      </c>
    </row>
    <row r="818" spans="1:26" ht="27.75" customHeight="1" x14ac:dyDescent="0.25">
      <c r="A818" s="141" t="str">
        <f>+IF(PROVEEDORES[[#This Row],[FECHA DE PAGO]]=PROVEEDORES[[#This Row],[FECHA DE FACTURACIÓN]],"DE CONTADO","CRÉDITO")</f>
        <v>DE CONTADO</v>
      </c>
      <c r="B818" s="138" t="b">
        <f>+IF((PROVEEDORES[[#This Row],[FECHA DE PAGO]]-PROVEEDORES[[#This Row],[FECHA DE FACTURACIÓN]])&gt;PROVEEDORES[[#This Row],[PLAZO Días]],"PAGO VENCIDO")</f>
        <v>0</v>
      </c>
      <c r="C818" s="138">
        <f>+VLOOKUP(PROVEEDORES[[#This Row],[PROVEEDOR]],TERCEROS_INFO[#All],2,FALSE)</f>
        <v>30</v>
      </c>
      <c r="D818" s="139">
        <f>+SUMIFS(PROVEEDORES[Total],PROVEEDORES[PROVEEDOR],PROVEEDORES[[#This Row],[PROVEEDOR]],PROVEEDORES[FECHA DE PAGO],"")</f>
        <v>0</v>
      </c>
      <c r="E818" s="140"/>
      <c r="F818" s="138" t="str">
        <f>+VLOOKUP(PROVEEDORES[[#This Row],[PROVEEDOR]],
                       Terceros!$A:$F,
                       5,
                       FALSE)</f>
        <v/>
      </c>
      <c r="G818" s="127">
        <v>45226</v>
      </c>
      <c r="H818" s="123" t="s">
        <v>525</v>
      </c>
      <c r="I818" s="127">
        <v>45226</v>
      </c>
      <c r="J818" s="124" t="s">
        <v>1120</v>
      </c>
      <c r="K818" s="124" t="s">
        <v>1530</v>
      </c>
      <c r="L818" s="124"/>
      <c r="M818" s="125">
        <v>200000</v>
      </c>
      <c r="N818" s="148">
        <v>0</v>
      </c>
      <c r="O818" s="148">
        <v>0</v>
      </c>
      <c r="P818" s="149">
        <v>0</v>
      </c>
      <c r="Q818" s="148">
        <v>0</v>
      </c>
      <c r="R818" s="150">
        <v>200000</v>
      </c>
      <c r="S8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8" s="135">
        <f ca="1">+IF(PROVEEDORES[[#This Row],[FECHA DE PAGO]]=0,TODAY()-PROVEEDORES[[#This Row],[FECHA DE FACTURACIÓN]]-PROVEEDORES[[#This Row],[PLAZO Días]],0)</f>
        <v>0</v>
      </c>
      <c r="U818" s="135">
        <f>+VLOOKUP(PROVEEDORES[[#This Row],[PROVEEDOR]],Terceros!$A:$D,4,FALSE)</f>
        <v>0</v>
      </c>
      <c r="V818" s="135">
        <f>+YEAR(PROVEEDORES[[#This Row],[FECHA DE FACTURACIÓN]])</f>
        <v>2023</v>
      </c>
      <c r="W818" s="135">
        <f>+MATCH(PROVEEDORES[[#This Row],[año facturado]],Retenciones!$1:$1,0)</f>
        <v>6</v>
      </c>
      <c r="X818" s="136">
        <f>+VLOOKUP(PROVEEDORES[[#This Row],[ID RETENCION]],Retenciones!$A$1:$O$25,PROVEEDORES[[#This Row],[indicador de columna]],FALSE)</f>
        <v>0</v>
      </c>
      <c r="Y818" s="137">
        <f>+VLOOKUP(PROVEEDORES[[#This Row],[ID RETENCION]],Retenciones!$A$1:$O$25,2,FALSE)</f>
        <v>0</v>
      </c>
      <c r="Z818" s="126" t="b">
        <f>+OR(COUNTIF(PROVEEDORES[[#This Row],[PROVEEDOR]],"*"&amp;'Palabra que no opera y Listas d'!$A$2&amp;"*"))</f>
        <v>0</v>
      </c>
    </row>
    <row r="819" spans="1:26" ht="27.75" customHeight="1" x14ac:dyDescent="0.25">
      <c r="A819" s="141" t="str">
        <f>+IF(PROVEEDORES[[#This Row],[FECHA DE PAGO]]=PROVEEDORES[[#This Row],[FECHA DE FACTURACIÓN]],"DE CONTADO","CRÉDITO")</f>
        <v>DE CONTADO</v>
      </c>
      <c r="B819" s="138" t="b">
        <f>+IF((PROVEEDORES[[#This Row],[FECHA DE PAGO]]-PROVEEDORES[[#This Row],[FECHA DE FACTURACIÓN]])&gt;PROVEEDORES[[#This Row],[PLAZO Días]],"PAGO VENCIDO")</f>
        <v>0</v>
      </c>
      <c r="C819" s="138">
        <f>+VLOOKUP(PROVEEDORES[[#This Row],[PROVEEDOR]],TERCEROS_INFO[#All],2,FALSE)</f>
        <v>30</v>
      </c>
      <c r="D819" s="139">
        <f>+SUMIFS(PROVEEDORES[Total],PROVEEDORES[PROVEEDOR],PROVEEDORES[[#This Row],[PROVEEDOR]],PROVEEDORES[FECHA DE PAGO],"")</f>
        <v>0</v>
      </c>
      <c r="E819" s="140"/>
      <c r="F819" s="138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819" s="127">
        <v>45226</v>
      </c>
      <c r="H819" s="123" t="s">
        <v>1186</v>
      </c>
      <c r="I819" s="127">
        <v>45226</v>
      </c>
      <c r="J819" s="124" t="s">
        <v>1187</v>
      </c>
      <c r="K819" s="124" t="s">
        <v>1530</v>
      </c>
      <c r="L819" s="124"/>
      <c r="M819" s="125">
        <v>702352</v>
      </c>
      <c r="N819" s="148">
        <v>133446.88</v>
      </c>
      <c r="O819" s="148">
        <v>0</v>
      </c>
      <c r="P819" s="149">
        <v>0</v>
      </c>
      <c r="Q819" s="148">
        <v>0</v>
      </c>
      <c r="R819" s="150">
        <v>835798.88</v>
      </c>
      <c r="S8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19" s="135">
        <f ca="1">+IF(PROVEEDORES[[#This Row],[FECHA DE PAGO]]=0,TODAY()-PROVEEDORES[[#This Row],[FECHA DE FACTURACIÓN]]-PROVEEDORES[[#This Row],[PLAZO Días]],0)</f>
        <v>0</v>
      </c>
      <c r="U819" s="135" t="str">
        <f>+VLOOKUP(PROVEEDORES[[#This Row],[PROVEEDOR]],Terceros!$A:$D,4,FALSE)</f>
        <v>2,5% con base</v>
      </c>
      <c r="V819" s="135">
        <f>+YEAR(PROVEEDORES[[#This Row],[FECHA DE FACTURACIÓN]])</f>
        <v>2023</v>
      </c>
      <c r="W819" s="135">
        <f>+MATCH(PROVEEDORES[[#This Row],[año facturado]],Retenciones!$1:$1,0)</f>
        <v>6</v>
      </c>
      <c r="X819" s="136">
        <f>+VLOOKUP(PROVEEDORES[[#This Row],[ID RETENCION]],Retenciones!$A$1:$O$25,PROVEEDORES[[#This Row],[indicador de columna]],FALSE)</f>
        <v>1145000</v>
      </c>
      <c r="Y819" s="137">
        <f>+VLOOKUP(PROVEEDORES[[#This Row],[ID RETENCION]],Retenciones!$A$1:$O$25,2,FALSE)</f>
        <v>2.5000000000000001E-2</v>
      </c>
      <c r="Z819" s="126" t="b">
        <f>+OR(COUNTIF(PROVEEDORES[[#This Row],[PROVEEDOR]],"*"&amp;'Palabra que no opera y Listas d'!$A$2&amp;"*"))</f>
        <v>0</v>
      </c>
    </row>
    <row r="820" spans="1:26" ht="27.75" customHeight="1" x14ac:dyDescent="0.25">
      <c r="A820" s="141" t="str">
        <f>+IF(PROVEEDORES[[#This Row],[FECHA DE PAGO]]=PROVEEDORES[[#This Row],[FECHA DE FACTURACIÓN]],"DE CONTADO","CRÉDITO")</f>
        <v>DE CONTADO</v>
      </c>
      <c r="B820" s="138" t="b">
        <f>+IF((PROVEEDORES[[#This Row],[FECHA DE PAGO]]-PROVEEDORES[[#This Row],[FECHA DE FACTURACIÓN]])&gt;PROVEEDORES[[#This Row],[PLAZO Días]],"PAGO VENCIDO")</f>
        <v>0</v>
      </c>
      <c r="C820" s="138">
        <f>+VLOOKUP(PROVEEDORES[[#This Row],[PROVEEDOR]],TERCEROS_INFO[#All],2,FALSE)</f>
        <v>60</v>
      </c>
      <c r="D820" s="139">
        <f>+SUMIFS(PROVEEDORES[Total],PROVEEDORES[PROVEEDOR],PROVEEDORES[[#This Row],[PROVEEDOR]],PROVEEDORES[FECHA DE PAGO],"")</f>
        <v>0</v>
      </c>
      <c r="E820" s="140"/>
      <c r="F820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820" s="127">
        <v>45229</v>
      </c>
      <c r="H820" s="123" t="s">
        <v>65</v>
      </c>
      <c r="I820" s="127">
        <v>45229</v>
      </c>
      <c r="J820" s="124" t="s">
        <v>1197</v>
      </c>
      <c r="K820" s="124" t="s">
        <v>1530</v>
      </c>
      <c r="L820" s="124"/>
      <c r="M820" s="125">
        <v>-7563025</v>
      </c>
      <c r="N820" s="148">
        <v>-1436974.75</v>
      </c>
      <c r="O820" s="148">
        <v>0</v>
      </c>
      <c r="P820" s="149">
        <v>0</v>
      </c>
      <c r="Q820" s="148">
        <v>0</v>
      </c>
      <c r="R820" s="150">
        <v>-8999999.75</v>
      </c>
      <c r="S8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0" s="135">
        <f ca="1">+IF(PROVEEDORES[[#This Row],[FECHA DE PAGO]]=0,TODAY()-PROVEEDORES[[#This Row],[FECHA DE FACTURACIÓN]]-PROVEEDORES[[#This Row],[PLAZO Días]],0)</f>
        <v>0</v>
      </c>
      <c r="U820" s="135" t="str">
        <f>+VLOOKUP(PROVEEDORES[[#This Row],[PROVEEDOR]],Terceros!$A:$D,4,FALSE)</f>
        <v>2,5% con base</v>
      </c>
      <c r="V820" s="135">
        <f>+YEAR(PROVEEDORES[[#This Row],[FECHA DE FACTURACIÓN]])</f>
        <v>2023</v>
      </c>
      <c r="W820" s="135">
        <f>+MATCH(PROVEEDORES[[#This Row],[año facturado]],Retenciones!$1:$1,0)</f>
        <v>6</v>
      </c>
      <c r="X820" s="136">
        <f>+VLOOKUP(PROVEEDORES[[#This Row],[ID RETENCION]],Retenciones!$A$1:$O$25,PROVEEDORES[[#This Row],[indicador de columna]],FALSE)</f>
        <v>1145000</v>
      </c>
      <c r="Y820" s="137">
        <f>+VLOOKUP(PROVEEDORES[[#This Row],[ID RETENCION]],Retenciones!$A$1:$O$25,2,FALSE)</f>
        <v>2.5000000000000001E-2</v>
      </c>
      <c r="Z820" s="126" t="b">
        <f>+OR(COUNTIF(PROVEEDORES[[#This Row],[PROVEEDOR]],"*"&amp;'Palabra que no opera y Listas d'!$A$2&amp;"*"))</f>
        <v>0</v>
      </c>
    </row>
    <row r="821" spans="1:26" ht="27.75" customHeight="1" x14ac:dyDescent="0.25">
      <c r="A821" s="141" t="str">
        <f>+IF(PROVEEDORES[[#This Row],[FECHA DE PAGO]]=PROVEEDORES[[#This Row],[FECHA DE FACTURACIÓN]],"DE CONTADO","CRÉDITO")</f>
        <v>DE CONTADO</v>
      </c>
      <c r="B821" s="138" t="e">
        <f>+IF((PROVEEDORES[[#This Row],[FECHA DE PAGO]]-PROVEEDORES[[#This Row],[FECHA DE FACTURACIÓN]])&gt;PROVEEDORES[[#This Row],[PLAZO Días]],"PAGO VENCIDO")</f>
        <v>#N/A</v>
      </c>
      <c r="C821" s="138" t="e">
        <f>+VLOOKUP(PROVEEDORES[[#This Row],[PROVEEDOR]],TERCEROS_INFO[#All],2,FALSE)</f>
        <v>#N/A</v>
      </c>
      <c r="D821" s="139">
        <f>+SUMIFS(PROVEEDORES[Total],PROVEEDORES[PROVEEDOR],PROVEEDORES[[#This Row],[PROVEEDOR]],PROVEEDORES[FECHA DE PAGO],"")</f>
        <v>0</v>
      </c>
      <c r="E821" s="140"/>
      <c r="F821" s="138" t="e">
        <f>+VLOOKUP(PROVEEDORES[[#This Row],[PROVEEDOR]],
                       Terceros!$A:$F,
                       5,
                       FALSE)</f>
        <v>#N/A</v>
      </c>
      <c r="G821" s="127">
        <v>45230</v>
      </c>
      <c r="H821" s="123" t="s">
        <v>1873</v>
      </c>
      <c r="I821" s="127">
        <v>45230</v>
      </c>
      <c r="J821" s="124">
        <v>313196</v>
      </c>
      <c r="K821" s="124" t="s">
        <v>1530</v>
      </c>
      <c r="L821" s="124"/>
      <c r="M821" s="125">
        <v>2262000</v>
      </c>
      <c r="N821" s="148">
        <v>0</v>
      </c>
      <c r="O821" s="148">
        <v>0</v>
      </c>
      <c r="P821" s="149">
        <v>0</v>
      </c>
      <c r="Q821" s="148">
        <v>0</v>
      </c>
      <c r="R821" s="150">
        <v>2262000</v>
      </c>
      <c r="S8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1" s="135">
        <f ca="1">+IF(PROVEEDORES[[#This Row],[FECHA DE PAGO]]=0,TODAY()-PROVEEDORES[[#This Row],[FECHA DE FACTURACIÓN]]-PROVEEDORES[[#This Row],[PLAZO Días]],0)</f>
        <v>0</v>
      </c>
      <c r="U821" s="135" t="e">
        <f>+VLOOKUP(PROVEEDORES[[#This Row],[PROVEEDOR]],Terceros!$A:$D,4,FALSE)</f>
        <v>#N/A</v>
      </c>
      <c r="V821" s="135">
        <f>+YEAR(PROVEEDORES[[#This Row],[FECHA DE FACTURACIÓN]])</f>
        <v>2023</v>
      </c>
      <c r="W821" s="135">
        <f>+MATCH(PROVEEDORES[[#This Row],[año facturado]],Retenciones!$1:$1,0)</f>
        <v>6</v>
      </c>
      <c r="X821" s="136" t="e">
        <f>+VLOOKUP(PROVEEDORES[[#This Row],[ID RETENCION]],Retenciones!$A$1:$O$25,PROVEEDORES[[#This Row],[indicador de columna]],FALSE)</f>
        <v>#N/A</v>
      </c>
      <c r="Y821" s="137" t="e">
        <f>+VLOOKUP(PROVEEDORES[[#This Row],[ID RETENCION]],Retenciones!$A$1:$O$25,2,FALSE)</f>
        <v>#N/A</v>
      </c>
      <c r="Z821" s="126" t="b">
        <f>+OR(COUNTIF(PROVEEDORES[[#This Row],[PROVEEDOR]],"*"&amp;'Palabra que no opera y Listas d'!$A$2&amp;"*"))</f>
        <v>0</v>
      </c>
    </row>
    <row r="822" spans="1:26" ht="27.75" customHeight="1" x14ac:dyDescent="0.25">
      <c r="A822" s="141" t="str">
        <f>+IF(PROVEEDORES[[#This Row],[FECHA DE PAGO]]=PROVEEDORES[[#This Row],[FECHA DE FACTURACIÓN]],"DE CONTADO","CRÉDITO")</f>
        <v>DE CONTADO</v>
      </c>
      <c r="B822" s="138" t="b">
        <f>+IF((PROVEEDORES[[#This Row],[FECHA DE PAGO]]-PROVEEDORES[[#This Row],[FECHA DE FACTURACIÓN]])&gt;PROVEEDORES[[#This Row],[PLAZO Días]],"PAGO VENCIDO")</f>
        <v>0</v>
      </c>
      <c r="C822" s="138">
        <f>+VLOOKUP(PROVEEDORES[[#This Row],[PROVEEDOR]],TERCEROS_INFO[#All],2,FALSE)</f>
        <v>30</v>
      </c>
      <c r="D822" s="139">
        <f>+SUMIFS(PROVEEDORES[Total],PROVEEDORES[PROVEEDOR],PROVEEDORES[[#This Row],[PROVEEDOR]],PROVEEDORES[FECHA DE PAGO],"")</f>
        <v>0</v>
      </c>
      <c r="E822" s="140"/>
      <c r="F822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22" s="127">
        <v>45230</v>
      </c>
      <c r="H822" s="123" t="s">
        <v>1865</v>
      </c>
      <c r="I822" s="127">
        <v>45230</v>
      </c>
      <c r="J822" s="124" t="s">
        <v>1191</v>
      </c>
      <c r="K822" s="124" t="s">
        <v>1530</v>
      </c>
      <c r="L822" s="124"/>
      <c r="M822" s="125">
        <v>1790000</v>
      </c>
      <c r="N822" s="148">
        <v>0</v>
      </c>
      <c r="O822" s="148">
        <v>0</v>
      </c>
      <c r="P822" s="149">
        <v>0</v>
      </c>
      <c r="Q822" s="148">
        <v>0</v>
      </c>
      <c r="R822" s="150">
        <v>1790000</v>
      </c>
      <c r="S8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2" s="135">
        <f ca="1">+IF(PROVEEDORES[[#This Row],[FECHA DE PAGO]]=0,TODAY()-PROVEEDORES[[#This Row],[FECHA DE FACTURACIÓN]]-PROVEEDORES[[#This Row],[PLAZO Días]],0)</f>
        <v>0</v>
      </c>
      <c r="U822" s="135">
        <f>+VLOOKUP(PROVEEDORES[[#This Row],[PROVEEDOR]],Terceros!$A:$D,4,FALSE)</f>
        <v>0</v>
      </c>
      <c r="V822" s="135">
        <f>+YEAR(PROVEEDORES[[#This Row],[FECHA DE FACTURACIÓN]])</f>
        <v>2023</v>
      </c>
      <c r="W822" s="135">
        <f>+MATCH(PROVEEDORES[[#This Row],[año facturado]],Retenciones!$1:$1,0)</f>
        <v>6</v>
      </c>
      <c r="X822" s="136">
        <f>+VLOOKUP(PROVEEDORES[[#This Row],[ID RETENCION]],Retenciones!$A$1:$O$25,PROVEEDORES[[#This Row],[indicador de columna]],FALSE)</f>
        <v>0</v>
      </c>
      <c r="Y822" s="137">
        <f>+VLOOKUP(PROVEEDORES[[#This Row],[ID RETENCION]],Retenciones!$A$1:$O$25,2,FALSE)</f>
        <v>0</v>
      </c>
      <c r="Z822" s="126" t="b">
        <f>+OR(COUNTIF(PROVEEDORES[[#This Row],[PROVEEDOR]],"*"&amp;'Palabra que no opera y Listas d'!$A$2&amp;"*"))</f>
        <v>0</v>
      </c>
    </row>
    <row r="823" spans="1:26" ht="27.75" customHeight="1" x14ac:dyDescent="0.25">
      <c r="A823" s="141" t="str">
        <f>+IF(PROVEEDORES[[#This Row],[FECHA DE PAGO]]=PROVEEDORES[[#This Row],[FECHA DE FACTURACIÓN]],"DE CONTADO","CRÉDITO")</f>
        <v>DE CONTADO</v>
      </c>
      <c r="B823" s="138" t="b">
        <f>+IF((PROVEEDORES[[#This Row],[FECHA DE PAGO]]-PROVEEDORES[[#This Row],[FECHA DE FACTURACIÓN]])&gt;PROVEEDORES[[#This Row],[PLAZO Días]],"PAGO VENCIDO")</f>
        <v>0</v>
      </c>
      <c r="C823" s="138">
        <f>+VLOOKUP(PROVEEDORES[[#This Row],[PROVEEDOR]],TERCEROS_INFO[#All],2,FALSE)</f>
        <v>30</v>
      </c>
      <c r="D823" s="139">
        <f>+SUMIFS(PROVEEDORES[Total],PROVEEDORES[PROVEEDOR],PROVEEDORES[[#This Row],[PROVEEDOR]],PROVEEDORES[FECHA DE PAGO],"")</f>
        <v>0</v>
      </c>
      <c r="E823" s="140"/>
      <c r="F823" s="138" t="str">
        <f>+VLOOKUP(PROVEEDORES[[#This Row],[PROVEEDOR]],
                       Terceros!$A:$F,
                       5,
                       FALSE)</f>
        <v/>
      </c>
      <c r="G823" s="127">
        <v>45230</v>
      </c>
      <c r="H823" s="123" t="s">
        <v>525</v>
      </c>
      <c r="I823" s="127">
        <v>45230</v>
      </c>
      <c r="J823" s="124" t="s">
        <v>1531</v>
      </c>
      <c r="K823" s="124" t="s">
        <v>1530</v>
      </c>
      <c r="L823" s="124"/>
      <c r="M823" s="125">
        <v>0</v>
      </c>
      <c r="N823" s="148">
        <v>0</v>
      </c>
      <c r="O823" s="148">
        <v>0</v>
      </c>
      <c r="P823" s="149">
        <v>0</v>
      </c>
      <c r="Q823" s="148">
        <v>0</v>
      </c>
      <c r="R823" s="150">
        <v>0</v>
      </c>
      <c r="S8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3" s="135">
        <f ca="1">+IF(PROVEEDORES[[#This Row],[FECHA DE PAGO]]=0,TODAY()-PROVEEDORES[[#This Row],[FECHA DE FACTURACIÓN]]-PROVEEDORES[[#This Row],[PLAZO Días]],0)</f>
        <v>0</v>
      </c>
      <c r="U823" s="135">
        <f>+VLOOKUP(PROVEEDORES[[#This Row],[PROVEEDOR]],Terceros!$A:$D,4,FALSE)</f>
        <v>0</v>
      </c>
      <c r="V823" s="135">
        <f>+YEAR(PROVEEDORES[[#This Row],[FECHA DE FACTURACIÓN]])</f>
        <v>2023</v>
      </c>
      <c r="W823" s="135">
        <f>+MATCH(PROVEEDORES[[#This Row],[año facturado]],Retenciones!$1:$1,0)</f>
        <v>6</v>
      </c>
      <c r="X823" s="136">
        <f>+VLOOKUP(PROVEEDORES[[#This Row],[ID RETENCION]],Retenciones!$A$1:$O$25,PROVEEDORES[[#This Row],[indicador de columna]],FALSE)</f>
        <v>0</v>
      </c>
      <c r="Y823" s="137">
        <f>+VLOOKUP(PROVEEDORES[[#This Row],[ID RETENCION]],Retenciones!$A$1:$O$25,2,FALSE)</f>
        <v>0</v>
      </c>
      <c r="Z823" s="126" t="b">
        <f>+OR(COUNTIF(PROVEEDORES[[#This Row],[PROVEEDOR]],"*"&amp;'Palabra que no opera y Listas d'!$A$2&amp;"*"))</f>
        <v>0</v>
      </c>
    </row>
    <row r="824" spans="1:26" ht="27.75" customHeight="1" x14ac:dyDescent="0.25">
      <c r="A824" s="141" t="str">
        <f>+IF(PROVEEDORES[[#This Row],[FECHA DE PAGO]]=PROVEEDORES[[#This Row],[FECHA DE FACTURACIÓN]],"DE CONTADO","CRÉDITO")</f>
        <v>DE CONTADO</v>
      </c>
      <c r="B824" s="138" t="b">
        <f>+IF((PROVEEDORES[[#This Row],[FECHA DE PAGO]]-PROVEEDORES[[#This Row],[FECHA DE FACTURACIÓN]])&gt;PROVEEDORES[[#This Row],[PLAZO Días]],"PAGO VENCIDO")</f>
        <v>0</v>
      </c>
      <c r="C824" s="138">
        <f>+VLOOKUP(PROVEEDORES[[#This Row],[PROVEEDOR]],TERCEROS_INFO[#All],2,FALSE)</f>
        <v>30</v>
      </c>
      <c r="D824" s="139">
        <f>+SUMIFS(PROVEEDORES[Total],PROVEEDORES[PROVEEDOR],PROVEEDORES[[#This Row],[PROVEEDOR]],PROVEEDORES[FECHA DE PAGO],"")</f>
        <v>0</v>
      </c>
      <c r="E824" s="140"/>
      <c r="F824" s="138" t="str">
        <f>+VLOOKUP(PROVEEDORES[[#This Row],[PROVEEDOR]],
                       Terceros!$A:$F,
                       5,
                       FALSE)</f>
        <v/>
      </c>
      <c r="G824" s="127">
        <v>45230</v>
      </c>
      <c r="H824" s="123" t="s">
        <v>525</v>
      </c>
      <c r="I824" s="127">
        <v>45230</v>
      </c>
      <c r="J824" s="124" t="s">
        <v>478</v>
      </c>
      <c r="K824" s="124" t="s">
        <v>1530</v>
      </c>
      <c r="L824" s="124"/>
      <c r="M824" s="125">
        <v>144000</v>
      </c>
      <c r="N824" s="148">
        <v>0</v>
      </c>
      <c r="O824" s="148">
        <v>0</v>
      </c>
      <c r="P824" s="149">
        <v>0</v>
      </c>
      <c r="Q824" s="148">
        <v>0</v>
      </c>
      <c r="R824" s="150">
        <v>144000</v>
      </c>
      <c r="S8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4" s="135">
        <f ca="1">+IF(PROVEEDORES[[#This Row],[FECHA DE PAGO]]=0,TODAY()-PROVEEDORES[[#This Row],[FECHA DE FACTURACIÓN]]-PROVEEDORES[[#This Row],[PLAZO Días]],0)</f>
        <v>0</v>
      </c>
      <c r="U824" s="135">
        <f>+VLOOKUP(PROVEEDORES[[#This Row],[PROVEEDOR]],Terceros!$A:$D,4,FALSE)</f>
        <v>0</v>
      </c>
      <c r="V824" s="135">
        <f>+YEAR(PROVEEDORES[[#This Row],[FECHA DE FACTURACIÓN]])</f>
        <v>2023</v>
      </c>
      <c r="W824" s="135">
        <f>+MATCH(PROVEEDORES[[#This Row],[año facturado]],Retenciones!$1:$1,0)</f>
        <v>6</v>
      </c>
      <c r="X824" s="136">
        <f>+VLOOKUP(PROVEEDORES[[#This Row],[ID RETENCION]],Retenciones!$A$1:$O$25,PROVEEDORES[[#This Row],[indicador de columna]],FALSE)</f>
        <v>0</v>
      </c>
      <c r="Y824" s="137">
        <f>+VLOOKUP(PROVEEDORES[[#This Row],[ID RETENCION]],Retenciones!$A$1:$O$25,2,FALSE)</f>
        <v>0</v>
      </c>
      <c r="Z824" s="126" t="b">
        <f>+OR(COUNTIF(PROVEEDORES[[#This Row],[PROVEEDOR]],"*"&amp;'Palabra que no opera y Listas d'!$A$2&amp;"*"))</f>
        <v>0</v>
      </c>
    </row>
    <row r="825" spans="1:26" ht="27.75" customHeight="1" x14ac:dyDescent="0.25">
      <c r="A825" s="141" t="str">
        <f>+IF(PROVEEDORES[[#This Row],[FECHA DE PAGO]]=PROVEEDORES[[#This Row],[FECHA DE FACTURACIÓN]],"DE CONTADO","CRÉDITO")</f>
        <v>DE CONTADO</v>
      </c>
      <c r="B825" s="138" t="b">
        <f>+IF((PROVEEDORES[[#This Row],[FECHA DE PAGO]]-PROVEEDORES[[#This Row],[FECHA DE FACTURACIÓN]])&gt;PROVEEDORES[[#This Row],[PLAZO Días]],"PAGO VENCIDO")</f>
        <v>0</v>
      </c>
      <c r="C825" s="138">
        <f>+VLOOKUP(PROVEEDORES[[#This Row],[PROVEEDOR]],TERCEROS_INFO[#All],2,FALSE)</f>
        <v>30</v>
      </c>
      <c r="D825" s="139">
        <f>+SUMIFS(PROVEEDORES[Total],PROVEEDORES[PROVEEDOR],PROVEEDORES[[#This Row],[PROVEEDOR]],PROVEEDORES[FECHA DE PAGO],"")</f>
        <v>0</v>
      </c>
      <c r="E825" s="140"/>
      <c r="F825" s="138" t="str">
        <f>+VLOOKUP(PROVEEDORES[[#This Row],[PROVEEDOR]],
                       Terceros!$A:$F,
                       5,
                       FALSE)</f>
        <v/>
      </c>
      <c r="G825" s="127">
        <v>45230</v>
      </c>
      <c r="H825" s="123" t="s">
        <v>525</v>
      </c>
      <c r="I825" s="127">
        <v>45230</v>
      </c>
      <c r="J825" s="124" t="s">
        <v>479</v>
      </c>
      <c r="K825" s="124" t="s">
        <v>1530</v>
      </c>
      <c r="L825" s="124"/>
      <c r="M825" s="125">
        <v>157900</v>
      </c>
      <c r="N825" s="148">
        <v>0</v>
      </c>
      <c r="O825" s="148">
        <v>0</v>
      </c>
      <c r="P825" s="149">
        <v>0</v>
      </c>
      <c r="Q825" s="148">
        <v>0</v>
      </c>
      <c r="R825" s="150">
        <v>157900</v>
      </c>
      <c r="S8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5" s="135">
        <f ca="1">+IF(PROVEEDORES[[#This Row],[FECHA DE PAGO]]=0,TODAY()-PROVEEDORES[[#This Row],[FECHA DE FACTURACIÓN]]-PROVEEDORES[[#This Row],[PLAZO Días]],0)</f>
        <v>0</v>
      </c>
      <c r="U825" s="135">
        <f>+VLOOKUP(PROVEEDORES[[#This Row],[PROVEEDOR]],Terceros!$A:$D,4,FALSE)</f>
        <v>0</v>
      </c>
      <c r="V825" s="135">
        <f>+YEAR(PROVEEDORES[[#This Row],[FECHA DE FACTURACIÓN]])</f>
        <v>2023</v>
      </c>
      <c r="W825" s="135">
        <f>+MATCH(PROVEEDORES[[#This Row],[año facturado]],Retenciones!$1:$1,0)</f>
        <v>6</v>
      </c>
      <c r="X825" s="136">
        <f>+VLOOKUP(PROVEEDORES[[#This Row],[ID RETENCION]],Retenciones!$A$1:$O$25,PROVEEDORES[[#This Row],[indicador de columna]],FALSE)</f>
        <v>0</v>
      </c>
      <c r="Y825" s="137">
        <f>+VLOOKUP(PROVEEDORES[[#This Row],[ID RETENCION]],Retenciones!$A$1:$O$25,2,FALSE)</f>
        <v>0</v>
      </c>
      <c r="Z825" s="126" t="b">
        <f>+OR(COUNTIF(PROVEEDORES[[#This Row],[PROVEEDOR]],"*"&amp;'Palabra que no opera y Listas d'!$A$2&amp;"*"))</f>
        <v>0</v>
      </c>
    </row>
    <row r="826" spans="1:26" ht="27.75" customHeight="1" x14ac:dyDescent="0.25">
      <c r="A826" s="141" t="str">
        <f>+IF(PROVEEDORES[[#This Row],[FECHA DE PAGO]]=PROVEEDORES[[#This Row],[FECHA DE FACTURACIÓN]],"DE CONTADO","CRÉDITO")</f>
        <v>DE CONTADO</v>
      </c>
      <c r="B826" s="138" t="b">
        <f>+IF((PROVEEDORES[[#This Row],[FECHA DE PAGO]]-PROVEEDORES[[#This Row],[FECHA DE FACTURACIÓN]])&gt;PROVEEDORES[[#This Row],[PLAZO Días]],"PAGO VENCIDO")</f>
        <v>0</v>
      </c>
      <c r="C826" s="138">
        <f>+VLOOKUP(PROVEEDORES[[#This Row],[PROVEEDOR]],TERCEROS_INFO[#All],2,FALSE)</f>
        <v>30</v>
      </c>
      <c r="D826" s="139">
        <f>+SUMIFS(PROVEEDORES[Total],PROVEEDORES[PROVEEDOR],PROVEEDORES[[#This Row],[PROVEEDOR]],PROVEEDORES[FECHA DE PAGO],"")</f>
        <v>0</v>
      </c>
      <c r="E826" s="140"/>
      <c r="F826" s="138" t="str">
        <f>+VLOOKUP(PROVEEDORES[[#This Row],[PROVEEDOR]],
                       Terceros!$A:$F,
                       5,
                       FALSE)</f>
        <v/>
      </c>
      <c r="G826" s="127">
        <v>45230</v>
      </c>
      <c r="H826" s="123" t="s">
        <v>525</v>
      </c>
      <c r="I826" s="127">
        <v>45230</v>
      </c>
      <c r="J826" s="124" t="s">
        <v>480</v>
      </c>
      <c r="K826" s="124" t="s">
        <v>1530</v>
      </c>
      <c r="L826" s="124"/>
      <c r="M826" s="125">
        <v>160000</v>
      </c>
      <c r="N826" s="148">
        <v>0</v>
      </c>
      <c r="O826" s="148">
        <v>0</v>
      </c>
      <c r="P826" s="149">
        <v>0</v>
      </c>
      <c r="Q826" s="148">
        <v>0</v>
      </c>
      <c r="R826" s="150">
        <v>160000</v>
      </c>
      <c r="S8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6" s="135">
        <f ca="1">+IF(PROVEEDORES[[#This Row],[FECHA DE PAGO]]=0,TODAY()-PROVEEDORES[[#This Row],[FECHA DE FACTURACIÓN]]-PROVEEDORES[[#This Row],[PLAZO Días]],0)</f>
        <v>0</v>
      </c>
      <c r="U826" s="135">
        <f>+VLOOKUP(PROVEEDORES[[#This Row],[PROVEEDOR]],Terceros!$A:$D,4,FALSE)</f>
        <v>0</v>
      </c>
      <c r="V826" s="135">
        <f>+YEAR(PROVEEDORES[[#This Row],[FECHA DE FACTURACIÓN]])</f>
        <v>2023</v>
      </c>
      <c r="W826" s="135">
        <f>+MATCH(PROVEEDORES[[#This Row],[año facturado]],Retenciones!$1:$1,0)</f>
        <v>6</v>
      </c>
      <c r="X826" s="136">
        <f>+VLOOKUP(PROVEEDORES[[#This Row],[ID RETENCION]],Retenciones!$A$1:$O$25,PROVEEDORES[[#This Row],[indicador de columna]],FALSE)</f>
        <v>0</v>
      </c>
      <c r="Y826" s="137">
        <f>+VLOOKUP(PROVEEDORES[[#This Row],[ID RETENCION]],Retenciones!$A$1:$O$25,2,FALSE)</f>
        <v>0</v>
      </c>
      <c r="Z826" s="126" t="b">
        <f>+OR(COUNTIF(PROVEEDORES[[#This Row],[PROVEEDOR]],"*"&amp;'Palabra que no opera y Listas d'!$A$2&amp;"*"))</f>
        <v>0</v>
      </c>
    </row>
    <row r="827" spans="1:26" ht="27.75" customHeight="1" x14ac:dyDescent="0.25">
      <c r="A827" s="141" t="str">
        <f>+IF(PROVEEDORES[[#This Row],[FECHA DE PAGO]]=PROVEEDORES[[#This Row],[FECHA DE FACTURACIÓN]],"DE CONTADO","CRÉDITO")</f>
        <v>DE CONTADO</v>
      </c>
      <c r="B827" s="138" t="b">
        <f>+IF((PROVEEDORES[[#This Row],[FECHA DE PAGO]]-PROVEEDORES[[#This Row],[FECHA DE FACTURACIÓN]])&gt;PROVEEDORES[[#This Row],[PLAZO Días]],"PAGO VENCIDO")</f>
        <v>0</v>
      </c>
      <c r="C827" s="138">
        <f>+VLOOKUP(PROVEEDORES[[#This Row],[PROVEEDOR]],TERCEROS_INFO[#All],2,FALSE)</f>
        <v>30</v>
      </c>
      <c r="D827" s="139">
        <f>+SUMIFS(PROVEEDORES[Total],PROVEEDORES[PROVEEDOR],PROVEEDORES[[#This Row],[PROVEEDOR]],PROVEEDORES[FECHA DE PAGO],"")</f>
        <v>0</v>
      </c>
      <c r="E827" s="140"/>
      <c r="F827" s="138" t="str">
        <f>+VLOOKUP(PROVEEDORES[[#This Row],[PROVEEDOR]],
                       Terceros!$A:$F,
                       5,
                       FALSE)</f>
        <v/>
      </c>
      <c r="G827" s="127">
        <v>45230</v>
      </c>
      <c r="H827" s="123" t="s">
        <v>525</v>
      </c>
      <c r="I827" s="127">
        <v>45230</v>
      </c>
      <c r="J827" s="124" t="s">
        <v>476</v>
      </c>
      <c r="K827" s="124" t="s">
        <v>1530</v>
      </c>
      <c r="L827" s="124"/>
      <c r="M827" s="125">
        <v>267000</v>
      </c>
      <c r="N827" s="148">
        <v>0</v>
      </c>
      <c r="O827" s="148">
        <v>0</v>
      </c>
      <c r="P827" s="149">
        <v>0</v>
      </c>
      <c r="Q827" s="148">
        <v>0</v>
      </c>
      <c r="R827" s="150">
        <v>267000</v>
      </c>
      <c r="S8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7" s="135">
        <f ca="1">+IF(PROVEEDORES[[#This Row],[FECHA DE PAGO]]=0,TODAY()-PROVEEDORES[[#This Row],[FECHA DE FACTURACIÓN]]-PROVEEDORES[[#This Row],[PLAZO Días]],0)</f>
        <v>0</v>
      </c>
      <c r="U827" s="135">
        <f>+VLOOKUP(PROVEEDORES[[#This Row],[PROVEEDOR]],Terceros!$A:$D,4,FALSE)</f>
        <v>0</v>
      </c>
      <c r="V827" s="135">
        <f>+YEAR(PROVEEDORES[[#This Row],[FECHA DE FACTURACIÓN]])</f>
        <v>2023</v>
      </c>
      <c r="W827" s="135">
        <f>+MATCH(PROVEEDORES[[#This Row],[año facturado]],Retenciones!$1:$1,0)</f>
        <v>6</v>
      </c>
      <c r="X827" s="136">
        <f>+VLOOKUP(PROVEEDORES[[#This Row],[ID RETENCION]],Retenciones!$A$1:$O$25,PROVEEDORES[[#This Row],[indicador de columna]],FALSE)</f>
        <v>0</v>
      </c>
      <c r="Y827" s="137">
        <f>+VLOOKUP(PROVEEDORES[[#This Row],[ID RETENCION]],Retenciones!$A$1:$O$25,2,FALSE)</f>
        <v>0</v>
      </c>
      <c r="Z827" s="126" t="b">
        <f>+OR(COUNTIF(PROVEEDORES[[#This Row],[PROVEEDOR]],"*"&amp;'Palabra que no opera y Listas d'!$A$2&amp;"*"))</f>
        <v>0</v>
      </c>
    </row>
    <row r="828" spans="1:26" ht="27.75" customHeight="1" x14ac:dyDescent="0.25">
      <c r="A828" s="141" t="str">
        <f>+IF(PROVEEDORES[[#This Row],[FECHA DE PAGO]]=PROVEEDORES[[#This Row],[FECHA DE FACTURACIÓN]],"DE CONTADO","CRÉDITO")</f>
        <v>DE CONTADO</v>
      </c>
      <c r="B828" s="138" t="b">
        <f>+IF((PROVEEDORES[[#This Row],[FECHA DE PAGO]]-PROVEEDORES[[#This Row],[FECHA DE FACTURACIÓN]])&gt;PROVEEDORES[[#This Row],[PLAZO Días]],"PAGO VENCIDO")</f>
        <v>0</v>
      </c>
      <c r="C828" s="138">
        <f>+VLOOKUP(PROVEEDORES[[#This Row],[PROVEEDOR]],TERCEROS_INFO[#All],2,FALSE)</f>
        <v>30</v>
      </c>
      <c r="D828" s="139">
        <f>+SUMIFS(PROVEEDORES[Total],PROVEEDORES[PROVEEDOR],PROVEEDORES[[#This Row],[PROVEEDOR]],PROVEEDORES[FECHA DE PAGO],"")</f>
        <v>0</v>
      </c>
      <c r="E828" s="140"/>
      <c r="F828" s="138" t="str">
        <f>+VLOOKUP(PROVEEDORES[[#This Row],[PROVEEDOR]],
                       Terceros!$A:$F,
                       5,
                       FALSE)</f>
        <v/>
      </c>
      <c r="G828" s="127">
        <v>45230</v>
      </c>
      <c r="H828" s="123" t="s">
        <v>525</v>
      </c>
      <c r="I828" s="127">
        <v>45230</v>
      </c>
      <c r="J828" s="124" t="s">
        <v>477</v>
      </c>
      <c r="K828" s="124" t="s">
        <v>1530</v>
      </c>
      <c r="L828" s="124"/>
      <c r="M828" s="125">
        <v>1574050</v>
      </c>
      <c r="N828" s="148">
        <v>0</v>
      </c>
      <c r="O828" s="148">
        <v>0</v>
      </c>
      <c r="P828" s="149">
        <v>0</v>
      </c>
      <c r="Q828" s="148">
        <v>0</v>
      </c>
      <c r="R828" s="150">
        <v>1574050</v>
      </c>
      <c r="S8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8" s="135">
        <f ca="1">+IF(PROVEEDORES[[#This Row],[FECHA DE PAGO]]=0,TODAY()-PROVEEDORES[[#This Row],[FECHA DE FACTURACIÓN]]-PROVEEDORES[[#This Row],[PLAZO Días]],0)</f>
        <v>0</v>
      </c>
      <c r="U828" s="135">
        <f>+VLOOKUP(PROVEEDORES[[#This Row],[PROVEEDOR]],Terceros!$A:$D,4,FALSE)</f>
        <v>0</v>
      </c>
      <c r="V828" s="135">
        <f>+YEAR(PROVEEDORES[[#This Row],[FECHA DE FACTURACIÓN]])</f>
        <v>2023</v>
      </c>
      <c r="W828" s="135">
        <f>+MATCH(PROVEEDORES[[#This Row],[año facturado]],Retenciones!$1:$1,0)</f>
        <v>6</v>
      </c>
      <c r="X828" s="136">
        <f>+VLOOKUP(PROVEEDORES[[#This Row],[ID RETENCION]],Retenciones!$A$1:$O$25,PROVEEDORES[[#This Row],[indicador de columna]],FALSE)</f>
        <v>0</v>
      </c>
      <c r="Y828" s="137">
        <f>+VLOOKUP(PROVEEDORES[[#This Row],[ID RETENCION]],Retenciones!$A$1:$O$25,2,FALSE)</f>
        <v>0</v>
      </c>
      <c r="Z828" s="126" t="b">
        <f>+OR(COUNTIF(PROVEEDORES[[#This Row],[PROVEEDOR]],"*"&amp;'Palabra que no opera y Listas d'!$A$2&amp;"*"))</f>
        <v>0</v>
      </c>
    </row>
    <row r="829" spans="1:26" ht="27.75" customHeight="1" x14ac:dyDescent="0.25">
      <c r="A829" s="141" t="str">
        <f>+IF(PROVEEDORES[[#This Row],[FECHA DE PAGO]]=PROVEEDORES[[#This Row],[FECHA DE FACTURACIÓN]],"DE CONTADO","CRÉDITO")</f>
        <v>DE CONTADO</v>
      </c>
      <c r="B829" s="138" t="b">
        <f>+IF((PROVEEDORES[[#This Row],[FECHA DE PAGO]]-PROVEEDORES[[#This Row],[FECHA DE FACTURACIÓN]])&gt;PROVEEDORES[[#This Row],[PLAZO Días]],"PAGO VENCIDO")</f>
        <v>0</v>
      </c>
      <c r="C829" s="138">
        <f>+VLOOKUP(PROVEEDORES[[#This Row],[PROVEEDOR]],TERCEROS_INFO[#All],2,FALSE)</f>
        <v>30</v>
      </c>
      <c r="D829" s="139">
        <f>+SUMIFS(PROVEEDORES[Total],PROVEEDORES[PROVEEDOR],PROVEEDORES[[#This Row],[PROVEEDOR]],PROVEEDORES[FECHA DE PAGO],"")</f>
        <v>134000</v>
      </c>
      <c r="E829" s="140"/>
      <c r="F829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829" s="127">
        <v>45231</v>
      </c>
      <c r="H829" s="123" t="s">
        <v>1808</v>
      </c>
      <c r="I829" s="127">
        <v>45231</v>
      </c>
      <c r="J829" s="124" t="s">
        <v>1276</v>
      </c>
      <c r="K829" s="124" t="s">
        <v>1530</v>
      </c>
      <c r="L829" s="124"/>
      <c r="M829" s="125">
        <v>39000</v>
      </c>
      <c r="N829" s="148">
        <v>0</v>
      </c>
      <c r="O829" s="148">
        <v>0</v>
      </c>
      <c r="P829" s="149">
        <v>0</v>
      </c>
      <c r="Q829" s="148">
        <v>0</v>
      </c>
      <c r="R829" s="150">
        <v>39000</v>
      </c>
      <c r="S8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29" s="135">
        <f ca="1">+IF(PROVEEDORES[[#This Row],[FECHA DE PAGO]]=0,TODAY()-PROVEEDORES[[#This Row],[FECHA DE FACTURACIÓN]]-PROVEEDORES[[#This Row],[PLAZO Días]],0)</f>
        <v>0</v>
      </c>
      <c r="U829" s="135">
        <f>+VLOOKUP(PROVEEDORES[[#This Row],[PROVEEDOR]],Terceros!$A:$D,4,FALSE)</f>
        <v>0</v>
      </c>
      <c r="V829" s="135">
        <f>+YEAR(PROVEEDORES[[#This Row],[FECHA DE FACTURACIÓN]])</f>
        <v>2023</v>
      </c>
      <c r="W829" s="135">
        <f>+MATCH(PROVEEDORES[[#This Row],[año facturado]],Retenciones!$1:$1,0)</f>
        <v>6</v>
      </c>
      <c r="X829" s="136">
        <f>+VLOOKUP(PROVEEDORES[[#This Row],[ID RETENCION]],Retenciones!$A$1:$O$25,PROVEEDORES[[#This Row],[indicador de columna]],FALSE)</f>
        <v>0</v>
      </c>
      <c r="Y829" s="137">
        <f>+VLOOKUP(PROVEEDORES[[#This Row],[ID RETENCION]],Retenciones!$A$1:$O$25,2,FALSE)</f>
        <v>0</v>
      </c>
      <c r="Z829" s="126" t="b">
        <f>+OR(COUNTIF(PROVEEDORES[[#This Row],[PROVEEDOR]],"*"&amp;'Palabra que no opera y Listas d'!$A$2&amp;"*"))</f>
        <v>0</v>
      </c>
    </row>
    <row r="830" spans="1:26" ht="27.75" customHeight="1" x14ac:dyDescent="0.25">
      <c r="A830" s="141" t="str">
        <f>+IF(PROVEEDORES[[#This Row],[FECHA DE PAGO]]=PROVEEDORES[[#This Row],[FECHA DE FACTURACIÓN]],"DE CONTADO","CRÉDITO")</f>
        <v>DE CONTADO</v>
      </c>
      <c r="B830" s="138" t="b">
        <f>+IF((PROVEEDORES[[#This Row],[FECHA DE PAGO]]-PROVEEDORES[[#This Row],[FECHA DE FACTURACIÓN]])&gt;PROVEEDORES[[#This Row],[PLAZO Días]],"PAGO VENCIDO")</f>
        <v>0</v>
      </c>
      <c r="C830" s="138">
        <f>+VLOOKUP(PROVEEDORES[[#This Row],[PROVEEDOR]],TERCEROS_INFO[#All],2,FALSE)</f>
        <v>30</v>
      </c>
      <c r="D830" s="139">
        <f>+SUMIFS(PROVEEDORES[Total],PROVEEDORES[PROVEEDOR],PROVEEDORES[[#This Row],[PROVEEDOR]],PROVEEDORES[FECHA DE PAGO],"")</f>
        <v>134000</v>
      </c>
      <c r="E830" s="140"/>
      <c r="F830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830" s="127">
        <v>45231</v>
      </c>
      <c r="H830" s="123" t="s">
        <v>1808</v>
      </c>
      <c r="I830" s="127">
        <v>45231</v>
      </c>
      <c r="J830" s="124" t="s">
        <v>1275</v>
      </c>
      <c r="K830" s="124" t="s">
        <v>1530</v>
      </c>
      <c r="L830" s="124"/>
      <c r="M830" s="125">
        <v>45000</v>
      </c>
      <c r="N830" s="148">
        <v>0</v>
      </c>
      <c r="O830" s="148">
        <v>0</v>
      </c>
      <c r="P830" s="149">
        <v>0</v>
      </c>
      <c r="Q830" s="148">
        <v>0</v>
      </c>
      <c r="R830" s="150">
        <v>45000</v>
      </c>
      <c r="S8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0" s="135">
        <f ca="1">+IF(PROVEEDORES[[#This Row],[FECHA DE PAGO]]=0,TODAY()-PROVEEDORES[[#This Row],[FECHA DE FACTURACIÓN]]-PROVEEDORES[[#This Row],[PLAZO Días]],0)</f>
        <v>0</v>
      </c>
      <c r="U830" s="135">
        <f>+VLOOKUP(PROVEEDORES[[#This Row],[PROVEEDOR]],Terceros!$A:$D,4,FALSE)</f>
        <v>0</v>
      </c>
      <c r="V830" s="135">
        <f>+YEAR(PROVEEDORES[[#This Row],[FECHA DE FACTURACIÓN]])</f>
        <v>2023</v>
      </c>
      <c r="W830" s="135">
        <f>+MATCH(PROVEEDORES[[#This Row],[año facturado]],Retenciones!$1:$1,0)</f>
        <v>6</v>
      </c>
      <c r="X830" s="136">
        <f>+VLOOKUP(PROVEEDORES[[#This Row],[ID RETENCION]],Retenciones!$A$1:$O$25,PROVEEDORES[[#This Row],[indicador de columna]],FALSE)</f>
        <v>0</v>
      </c>
      <c r="Y830" s="137">
        <f>+VLOOKUP(PROVEEDORES[[#This Row],[ID RETENCION]],Retenciones!$A$1:$O$25,2,FALSE)</f>
        <v>0</v>
      </c>
      <c r="Z830" s="126" t="b">
        <f>+OR(COUNTIF(PROVEEDORES[[#This Row],[PROVEEDOR]],"*"&amp;'Palabra que no opera y Listas d'!$A$2&amp;"*"))</f>
        <v>0</v>
      </c>
    </row>
    <row r="831" spans="1:26" ht="27.75" customHeight="1" x14ac:dyDescent="0.25">
      <c r="A831" s="141" t="str">
        <f>+IF(PROVEEDORES[[#This Row],[FECHA DE PAGO]]=PROVEEDORES[[#This Row],[FECHA DE FACTURACIÓN]],"DE CONTADO","CRÉDITO")</f>
        <v>DE CONTADO</v>
      </c>
      <c r="B831" s="138" t="b">
        <f>+IF((PROVEEDORES[[#This Row],[FECHA DE PAGO]]-PROVEEDORES[[#This Row],[FECHA DE FACTURACIÓN]])&gt;PROVEEDORES[[#This Row],[PLAZO Días]],"PAGO VENCIDO")</f>
        <v>0</v>
      </c>
      <c r="C831" s="138">
        <f>+VLOOKUP(PROVEEDORES[[#This Row],[PROVEEDOR]],TERCEROS_INFO[#All],2,FALSE)</f>
        <v>30</v>
      </c>
      <c r="D831" s="139">
        <f>+SUMIFS(PROVEEDORES[Total],PROVEEDORES[PROVEEDOR],PROVEEDORES[[#This Row],[PROVEEDOR]],PROVEEDORES[FECHA DE PAGO],"")</f>
        <v>0</v>
      </c>
      <c r="E831" s="140"/>
      <c r="F831" s="138" t="str">
        <f>+VLOOKUP(PROVEEDORES[[#This Row],[PROVEEDOR]],
                       Terceros!$A:$F,
                       5,
                       FALSE)</f>
        <v/>
      </c>
      <c r="G831" s="127">
        <v>45231</v>
      </c>
      <c r="H831" s="123" t="s">
        <v>525</v>
      </c>
      <c r="I831" s="127">
        <v>45231</v>
      </c>
      <c r="J831" s="124" t="s">
        <v>1215</v>
      </c>
      <c r="K831" s="124" t="s">
        <v>1530</v>
      </c>
      <c r="L831" s="124"/>
      <c r="M831" s="125">
        <v>120000</v>
      </c>
      <c r="N831" s="148">
        <v>0</v>
      </c>
      <c r="O831" s="148">
        <v>0</v>
      </c>
      <c r="P831" s="149">
        <v>0</v>
      </c>
      <c r="Q831" s="148">
        <v>0</v>
      </c>
      <c r="R831" s="150">
        <v>120000</v>
      </c>
      <c r="S8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1" s="135">
        <f ca="1">+IF(PROVEEDORES[[#This Row],[FECHA DE PAGO]]=0,TODAY()-PROVEEDORES[[#This Row],[FECHA DE FACTURACIÓN]]-PROVEEDORES[[#This Row],[PLAZO Días]],0)</f>
        <v>0</v>
      </c>
      <c r="U831" s="135">
        <f>+VLOOKUP(PROVEEDORES[[#This Row],[PROVEEDOR]],Terceros!$A:$D,4,FALSE)</f>
        <v>0</v>
      </c>
      <c r="V831" s="135">
        <f>+YEAR(PROVEEDORES[[#This Row],[FECHA DE FACTURACIÓN]])</f>
        <v>2023</v>
      </c>
      <c r="W831" s="135">
        <f>+MATCH(PROVEEDORES[[#This Row],[año facturado]],Retenciones!$1:$1,0)</f>
        <v>6</v>
      </c>
      <c r="X831" s="136">
        <f>+VLOOKUP(PROVEEDORES[[#This Row],[ID RETENCION]],Retenciones!$A$1:$O$25,PROVEEDORES[[#This Row],[indicador de columna]],FALSE)</f>
        <v>0</v>
      </c>
      <c r="Y831" s="137">
        <f>+VLOOKUP(PROVEEDORES[[#This Row],[ID RETENCION]],Retenciones!$A$1:$O$25,2,FALSE)</f>
        <v>0</v>
      </c>
      <c r="Z831" s="126" t="b">
        <f>+OR(COUNTIF(PROVEEDORES[[#This Row],[PROVEEDOR]],"*"&amp;'Palabra que no opera y Listas d'!$A$2&amp;"*"))</f>
        <v>0</v>
      </c>
    </row>
    <row r="832" spans="1:26" ht="27.75" customHeight="1" x14ac:dyDescent="0.25">
      <c r="A832" s="141" t="str">
        <f>+IF(PROVEEDORES[[#This Row],[FECHA DE PAGO]]=PROVEEDORES[[#This Row],[FECHA DE FACTURACIÓN]],"DE CONTADO","CRÉDITO")</f>
        <v>DE CONTADO</v>
      </c>
      <c r="B832" s="138" t="b">
        <f>+IF((PROVEEDORES[[#This Row],[FECHA DE PAGO]]-PROVEEDORES[[#This Row],[FECHA DE FACTURACIÓN]])&gt;PROVEEDORES[[#This Row],[PLAZO Días]],"PAGO VENCIDO")</f>
        <v>0</v>
      </c>
      <c r="C832" s="138">
        <f>+VLOOKUP(PROVEEDORES[[#This Row],[PROVEEDOR]],TERCEROS_INFO[#All],2,FALSE)</f>
        <v>30</v>
      </c>
      <c r="D832" s="139">
        <f>+SUMIFS(PROVEEDORES[Total],PROVEEDORES[PROVEEDOR],PROVEEDORES[[#This Row],[PROVEEDOR]],PROVEEDORES[FECHA DE PAGO],"")</f>
        <v>0</v>
      </c>
      <c r="E832" s="140"/>
      <c r="F832" s="138" t="str">
        <f>+VLOOKUP(PROVEEDORES[[#This Row],[PROVEEDOR]],
                       Terceros!$A:$F,
                       5,
                       FALSE)</f>
        <v/>
      </c>
      <c r="G832" s="127">
        <v>45231</v>
      </c>
      <c r="H832" s="123" t="s">
        <v>525</v>
      </c>
      <c r="I832" s="127">
        <v>45231</v>
      </c>
      <c r="J832" s="124" t="s">
        <v>1212</v>
      </c>
      <c r="K832" s="124" t="s">
        <v>1530</v>
      </c>
      <c r="L832" s="124"/>
      <c r="M832" s="125">
        <v>420000</v>
      </c>
      <c r="N832" s="148">
        <v>0</v>
      </c>
      <c r="O832" s="148">
        <v>0</v>
      </c>
      <c r="P832" s="149">
        <v>0</v>
      </c>
      <c r="Q832" s="148">
        <v>0</v>
      </c>
      <c r="R832" s="150">
        <v>420000</v>
      </c>
      <c r="S8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2" s="135">
        <f ca="1">+IF(PROVEEDORES[[#This Row],[FECHA DE PAGO]]=0,TODAY()-PROVEEDORES[[#This Row],[FECHA DE FACTURACIÓN]]-PROVEEDORES[[#This Row],[PLAZO Días]],0)</f>
        <v>0</v>
      </c>
      <c r="U832" s="135">
        <f>+VLOOKUP(PROVEEDORES[[#This Row],[PROVEEDOR]],Terceros!$A:$D,4,FALSE)</f>
        <v>0</v>
      </c>
      <c r="V832" s="135">
        <f>+YEAR(PROVEEDORES[[#This Row],[FECHA DE FACTURACIÓN]])</f>
        <v>2023</v>
      </c>
      <c r="W832" s="135">
        <f>+MATCH(PROVEEDORES[[#This Row],[año facturado]],Retenciones!$1:$1,0)</f>
        <v>6</v>
      </c>
      <c r="X832" s="136">
        <f>+VLOOKUP(PROVEEDORES[[#This Row],[ID RETENCION]],Retenciones!$A$1:$O$25,PROVEEDORES[[#This Row],[indicador de columna]],FALSE)</f>
        <v>0</v>
      </c>
      <c r="Y832" s="137">
        <f>+VLOOKUP(PROVEEDORES[[#This Row],[ID RETENCION]],Retenciones!$A$1:$O$25,2,FALSE)</f>
        <v>0</v>
      </c>
      <c r="Z832" s="126" t="b">
        <f>+OR(COUNTIF(PROVEEDORES[[#This Row],[PROVEEDOR]],"*"&amp;'Palabra que no opera y Listas d'!$A$2&amp;"*"))</f>
        <v>0</v>
      </c>
    </row>
    <row r="833" spans="1:26" ht="27.75" customHeight="1" x14ac:dyDescent="0.25">
      <c r="A833" s="141" t="str">
        <f>+IF(PROVEEDORES[[#This Row],[FECHA DE PAGO]]=PROVEEDORES[[#This Row],[FECHA DE FACTURACIÓN]],"DE CONTADO","CRÉDITO")</f>
        <v>DE CONTADO</v>
      </c>
      <c r="B833" s="138" t="b">
        <f>+IF((PROVEEDORES[[#This Row],[FECHA DE PAGO]]-PROVEEDORES[[#This Row],[FECHA DE FACTURACIÓN]])&gt;PROVEEDORES[[#This Row],[PLAZO Días]],"PAGO VENCIDO")</f>
        <v>0</v>
      </c>
      <c r="C833" s="138">
        <f>+VLOOKUP(PROVEEDORES[[#This Row],[PROVEEDOR]],TERCEROS_INFO[#All],2,FALSE)</f>
        <v>30</v>
      </c>
      <c r="D833" s="139">
        <f>+SUMIFS(PROVEEDORES[Total],PROVEEDORES[PROVEEDOR],PROVEEDORES[[#This Row],[PROVEEDOR]],PROVEEDORES[FECHA DE PAGO],"")</f>
        <v>1350000</v>
      </c>
      <c r="E833" s="140"/>
      <c r="F833" s="138" t="str">
        <f>+VLOOKUP(PROVEEDORES[[#This Row],[PROVEEDOR]],
                       Terceros!$A:$F,
                       5,
                       FALSE)</f>
        <v/>
      </c>
      <c r="G833" s="127">
        <v>45231</v>
      </c>
      <c r="H833" s="123" t="s">
        <v>1807</v>
      </c>
      <c r="I833" s="127">
        <v>45231</v>
      </c>
      <c r="J833" s="124" t="s">
        <v>1216</v>
      </c>
      <c r="K833" s="124" t="s">
        <v>1530</v>
      </c>
      <c r="L833" s="124"/>
      <c r="M833" s="125">
        <v>810000</v>
      </c>
      <c r="N833" s="148">
        <v>0</v>
      </c>
      <c r="O833" s="148">
        <v>0</v>
      </c>
      <c r="P833" s="149">
        <v>0</v>
      </c>
      <c r="Q833" s="148">
        <v>0</v>
      </c>
      <c r="R833" s="150">
        <v>810000</v>
      </c>
      <c r="S8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3" s="135">
        <f ca="1">+IF(PROVEEDORES[[#This Row],[FECHA DE PAGO]]=0,TODAY()-PROVEEDORES[[#This Row],[FECHA DE FACTURACIÓN]]-PROVEEDORES[[#This Row],[PLAZO Días]],0)</f>
        <v>0</v>
      </c>
      <c r="U833" s="135">
        <f>+VLOOKUP(PROVEEDORES[[#This Row],[PROVEEDOR]],Terceros!$A:$D,4,FALSE)</f>
        <v>0</v>
      </c>
      <c r="V833" s="135">
        <f>+YEAR(PROVEEDORES[[#This Row],[FECHA DE FACTURACIÓN]])</f>
        <v>2023</v>
      </c>
      <c r="W833" s="135">
        <f>+MATCH(PROVEEDORES[[#This Row],[año facturado]],Retenciones!$1:$1,0)</f>
        <v>6</v>
      </c>
      <c r="X833" s="136">
        <f>+VLOOKUP(PROVEEDORES[[#This Row],[ID RETENCION]],Retenciones!$A$1:$O$25,PROVEEDORES[[#This Row],[indicador de columna]],FALSE)</f>
        <v>0</v>
      </c>
      <c r="Y833" s="137">
        <f>+VLOOKUP(PROVEEDORES[[#This Row],[ID RETENCION]],Retenciones!$A$1:$O$25,2,FALSE)</f>
        <v>0</v>
      </c>
      <c r="Z833" s="126" t="b">
        <f>+OR(COUNTIF(PROVEEDORES[[#This Row],[PROVEEDOR]],"*"&amp;'Palabra que no opera y Listas d'!$A$2&amp;"*"))</f>
        <v>0</v>
      </c>
    </row>
    <row r="834" spans="1:26" ht="27.75" customHeight="1" x14ac:dyDescent="0.25">
      <c r="A834" s="141" t="str">
        <f>+IF(PROVEEDORES[[#This Row],[FECHA DE PAGO]]=PROVEEDORES[[#This Row],[FECHA DE FACTURACIÓN]],"DE CONTADO","CRÉDITO")</f>
        <v>DE CONTADO</v>
      </c>
      <c r="B834" s="138" t="b">
        <f>+IF((PROVEEDORES[[#This Row],[FECHA DE PAGO]]-PROVEEDORES[[#This Row],[FECHA DE FACTURACIÓN]])&gt;PROVEEDORES[[#This Row],[PLAZO Días]],"PAGO VENCIDO")</f>
        <v>0</v>
      </c>
      <c r="C834" s="138">
        <f>+VLOOKUP(PROVEEDORES[[#This Row],[PROVEEDOR]],TERCEROS_INFO[#All],2,FALSE)</f>
        <v>30</v>
      </c>
      <c r="D834" s="139">
        <f>+SUMIFS(PROVEEDORES[Total],PROVEEDORES[PROVEEDOR],PROVEEDORES[[#This Row],[PROVEEDOR]],PROVEEDORES[FECHA DE PAGO],"")</f>
        <v>0</v>
      </c>
      <c r="E834" s="140"/>
      <c r="F834" s="138" t="str">
        <f>+VLOOKUP(PROVEEDORES[[#This Row],[PROVEEDOR]],
                       Terceros!$A:$F,
                       5,
                       FALSE)</f>
        <v/>
      </c>
      <c r="G834" s="127">
        <v>45231</v>
      </c>
      <c r="H834" s="123" t="s">
        <v>1803</v>
      </c>
      <c r="I834" s="127">
        <v>45231</v>
      </c>
      <c r="J834" s="124" t="s">
        <v>1277</v>
      </c>
      <c r="K834" s="124" t="s">
        <v>1530</v>
      </c>
      <c r="L834" s="124"/>
      <c r="M834" s="125">
        <v>1234000</v>
      </c>
      <c r="N834" s="148">
        <v>0</v>
      </c>
      <c r="O834" s="148">
        <v>0</v>
      </c>
      <c r="P834" s="149">
        <v>0</v>
      </c>
      <c r="Q834" s="148">
        <v>0</v>
      </c>
      <c r="R834" s="150">
        <v>1234000</v>
      </c>
      <c r="S8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4" s="135">
        <f ca="1">+IF(PROVEEDORES[[#This Row],[FECHA DE PAGO]]=0,TODAY()-PROVEEDORES[[#This Row],[FECHA DE FACTURACIÓN]]-PROVEEDORES[[#This Row],[PLAZO Días]],0)</f>
        <v>0</v>
      </c>
      <c r="U834" s="135">
        <f>+VLOOKUP(PROVEEDORES[[#This Row],[PROVEEDOR]],Terceros!$A:$D,4,FALSE)</f>
        <v>0</v>
      </c>
      <c r="V834" s="135">
        <f>+YEAR(PROVEEDORES[[#This Row],[FECHA DE FACTURACIÓN]])</f>
        <v>2023</v>
      </c>
      <c r="W834" s="135">
        <f>+MATCH(PROVEEDORES[[#This Row],[año facturado]],Retenciones!$1:$1,0)</f>
        <v>6</v>
      </c>
      <c r="X834" s="136">
        <f>+VLOOKUP(PROVEEDORES[[#This Row],[ID RETENCION]],Retenciones!$A$1:$O$25,PROVEEDORES[[#This Row],[indicador de columna]],FALSE)</f>
        <v>0</v>
      </c>
      <c r="Y834" s="137">
        <f>+VLOOKUP(PROVEEDORES[[#This Row],[ID RETENCION]],Retenciones!$A$1:$O$25,2,FALSE)</f>
        <v>0</v>
      </c>
      <c r="Z834" s="126" t="b">
        <f>+OR(COUNTIF(PROVEEDORES[[#This Row],[PROVEEDOR]],"*"&amp;'Palabra que no opera y Listas d'!$A$2&amp;"*"))</f>
        <v>0</v>
      </c>
    </row>
    <row r="835" spans="1:26" ht="27.75" customHeight="1" x14ac:dyDescent="0.25">
      <c r="A835" s="141" t="str">
        <f>+IF(PROVEEDORES[[#This Row],[FECHA DE PAGO]]=PROVEEDORES[[#This Row],[FECHA DE FACTURACIÓN]],"DE CONTADO","CRÉDITO")</f>
        <v>CRÉDITO</v>
      </c>
      <c r="B835" s="138" t="str">
        <f>+IF((PROVEEDORES[[#This Row],[FECHA DE PAGO]]-PROVEEDORES[[#This Row],[FECHA DE FACTURACIÓN]])&gt;PROVEEDORES[[#This Row],[PLAZO Días]],"PAGO VENCIDO")</f>
        <v>PAGO VENCIDO</v>
      </c>
      <c r="C835" s="138">
        <f>+VLOOKUP(PROVEEDORES[[#This Row],[PROVEEDOR]],TERCEROS_INFO[#All],2,FALSE)</f>
        <v>30</v>
      </c>
      <c r="D835" s="139">
        <f>+SUMIFS(PROVEEDORES[Total],PROVEEDORES[PROVEEDOR],PROVEEDORES[[#This Row],[PROVEEDOR]],PROVEEDORES[FECHA DE PAGO],"")</f>
        <v>5813868.5099999998</v>
      </c>
      <c r="E835" s="140"/>
      <c r="F835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835" s="127">
        <v>45232</v>
      </c>
      <c r="H835" s="123" t="s">
        <v>24</v>
      </c>
      <c r="I835" s="127">
        <v>44998</v>
      </c>
      <c r="J835" s="124" t="s">
        <v>491</v>
      </c>
      <c r="K835" s="124" t="s">
        <v>504</v>
      </c>
      <c r="L835" s="124"/>
      <c r="M835" s="125">
        <v>-1680672</v>
      </c>
      <c r="N835" s="148">
        <v>-319327.68</v>
      </c>
      <c r="O835" s="148">
        <v>0</v>
      </c>
      <c r="P835" s="149">
        <v>0</v>
      </c>
      <c r="Q835" s="148">
        <v>0</v>
      </c>
      <c r="R835" s="150">
        <v>-1999999.68</v>
      </c>
      <c r="S8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5" s="135">
        <f ca="1">+IF(PROVEEDORES[[#This Row],[FECHA DE PAGO]]=0,TODAY()-PROVEEDORES[[#This Row],[FECHA DE FACTURACIÓN]]-PROVEEDORES[[#This Row],[PLAZO Días]],0)</f>
        <v>0</v>
      </c>
      <c r="U835" s="135" t="str">
        <f>+VLOOKUP(PROVEEDORES[[#This Row],[PROVEEDOR]],Terceros!$A:$D,4,FALSE)</f>
        <v>2,5% con base</v>
      </c>
      <c r="V835" s="135">
        <f>+YEAR(PROVEEDORES[[#This Row],[FECHA DE FACTURACIÓN]])</f>
        <v>2023</v>
      </c>
      <c r="W835" s="135">
        <f>+MATCH(PROVEEDORES[[#This Row],[año facturado]],Retenciones!$1:$1,0)</f>
        <v>6</v>
      </c>
      <c r="X835" s="136">
        <f>+VLOOKUP(PROVEEDORES[[#This Row],[ID RETENCION]],Retenciones!$A$1:$O$25,PROVEEDORES[[#This Row],[indicador de columna]],FALSE)</f>
        <v>1145000</v>
      </c>
      <c r="Y835" s="137">
        <f>+VLOOKUP(PROVEEDORES[[#This Row],[ID RETENCION]],Retenciones!$A$1:$O$25,2,FALSE)</f>
        <v>2.5000000000000001E-2</v>
      </c>
      <c r="Z835" s="126" t="b">
        <f>+OR(COUNTIF(PROVEEDORES[[#This Row],[PROVEEDOR]],"*"&amp;'Palabra que no opera y Listas d'!$A$2&amp;"*"))</f>
        <v>0</v>
      </c>
    </row>
    <row r="836" spans="1:26" ht="27.75" customHeight="1" x14ac:dyDescent="0.25">
      <c r="A836" s="141" t="str">
        <f>+IF(PROVEEDORES[[#This Row],[FECHA DE PAGO]]=PROVEEDORES[[#This Row],[FECHA DE FACTURACIÓN]],"DE CONTADO","CRÉDITO")</f>
        <v>CRÉDITO</v>
      </c>
      <c r="B836" s="138" t="b">
        <f>+IF((PROVEEDORES[[#This Row],[FECHA DE PAGO]]-PROVEEDORES[[#This Row],[FECHA DE FACTURACIÓN]])&gt;PROVEEDORES[[#This Row],[PLAZO Días]],"PAGO VENCIDO")</f>
        <v>0</v>
      </c>
      <c r="C836" s="138">
        <f>+VLOOKUP(PROVEEDORES[[#This Row],[PROVEEDOR]],TERCEROS_INFO[#All],2,FALSE)</f>
        <v>90</v>
      </c>
      <c r="D836" s="139">
        <f>+SUMIFS(PROVEEDORES[Total],PROVEEDORES[PROVEEDOR],PROVEEDORES[[#This Row],[PROVEEDOR]],PROVEEDORES[FECHA DE PAGO],"")</f>
        <v>0</v>
      </c>
      <c r="E836" s="140"/>
      <c r="F836" s="13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836" s="127">
        <v>45232</v>
      </c>
      <c r="H836" s="123" t="s">
        <v>32</v>
      </c>
      <c r="I836" s="127">
        <v>45146</v>
      </c>
      <c r="J836" s="124" t="s">
        <v>973</v>
      </c>
      <c r="K836" s="124" t="s">
        <v>1530</v>
      </c>
      <c r="L836" s="124"/>
      <c r="M836" s="125">
        <v>4565000</v>
      </c>
      <c r="N836" s="148">
        <v>867350</v>
      </c>
      <c r="O836" s="148">
        <v>0</v>
      </c>
      <c r="P836" s="149">
        <v>2.5000000000000001E-2</v>
      </c>
      <c r="Q836" s="148">
        <v>114125</v>
      </c>
      <c r="R836" s="150">
        <v>5318225</v>
      </c>
      <c r="S8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6" s="135">
        <f ca="1">+IF(PROVEEDORES[[#This Row],[FECHA DE PAGO]]=0,TODAY()-PROVEEDORES[[#This Row],[FECHA DE FACTURACIÓN]]-PROVEEDORES[[#This Row],[PLAZO Días]],0)</f>
        <v>0</v>
      </c>
      <c r="U836" s="135" t="str">
        <f>+VLOOKUP(PROVEEDORES[[#This Row],[PROVEEDOR]],Terceros!$A:$D,4,FALSE)</f>
        <v>2,5% con base</v>
      </c>
      <c r="V836" s="135">
        <f>+YEAR(PROVEEDORES[[#This Row],[FECHA DE FACTURACIÓN]])</f>
        <v>2023</v>
      </c>
      <c r="W836" s="135">
        <f>+MATCH(PROVEEDORES[[#This Row],[año facturado]],Retenciones!$1:$1,0)</f>
        <v>6</v>
      </c>
      <c r="X836" s="136">
        <f>+VLOOKUP(PROVEEDORES[[#This Row],[ID RETENCION]],Retenciones!$A$1:$O$25,PROVEEDORES[[#This Row],[indicador de columna]],FALSE)</f>
        <v>1145000</v>
      </c>
      <c r="Y836" s="137">
        <f>+VLOOKUP(PROVEEDORES[[#This Row],[ID RETENCION]],Retenciones!$A$1:$O$25,2,FALSE)</f>
        <v>2.5000000000000001E-2</v>
      </c>
      <c r="Z836" s="126" t="b">
        <f>+OR(COUNTIF(PROVEEDORES[[#This Row],[PROVEEDOR]],"*"&amp;'Palabra que no opera y Listas d'!$A$2&amp;"*"))</f>
        <v>0</v>
      </c>
    </row>
    <row r="837" spans="1:26" ht="27.75" customHeight="1" x14ac:dyDescent="0.25">
      <c r="A837" s="141" t="str">
        <f>+IF(PROVEEDORES[[#This Row],[FECHA DE PAGO]]=PROVEEDORES[[#This Row],[FECHA DE FACTURACIÓN]],"DE CONTADO","CRÉDITO")</f>
        <v>CRÉDITO</v>
      </c>
      <c r="B837" s="138" t="b">
        <f>+IF((PROVEEDORES[[#This Row],[FECHA DE PAGO]]-PROVEEDORES[[#This Row],[FECHA DE FACTURACIÓN]])&gt;PROVEEDORES[[#This Row],[PLAZO Días]],"PAGO VENCIDO")</f>
        <v>0</v>
      </c>
      <c r="C837" s="138">
        <f>+VLOOKUP(PROVEEDORES[[#This Row],[PROVEEDOR]],TERCEROS_INFO[#All],2,FALSE)</f>
        <v>90</v>
      </c>
      <c r="D837" s="139">
        <f>+SUMIFS(PROVEEDORES[Total],PROVEEDORES[PROVEEDOR],PROVEEDORES[[#This Row],[PROVEEDOR]],PROVEEDORES[FECHA DE PAGO],"")</f>
        <v>17710735.315650001</v>
      </c>
      <c r="E837" s="140"/>
      <c r="F837" s="13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837" s="127">
        <v>45232</v>
      </c>
      <c r="H837" s="123" t="s">
        <v>12</v>
      </c>
      <c r="I837" s="127">
        <v>45152</v>
      </c>
      <c r="J837" s="124" t="s">
        <v>975</v>
      </c>
      <c r="K837" s="124" t="s">
        <v>1530</v>
      </c>
      <c r="L837" s="124"/>
      <c r="M837" s="125">
        <v>-436975</v>
      </c>
      <c r="N837" s="148">
        <v>-83025.25</v>
      </c>
      <c r="O837" s="148">
        <v>0</v>
      </c>
      <c r="P837" s="149">
        <v>0</v>
      </c>
      <c r="Q837" s="148">
        <v>0</v>
      </c>
      <c r="R837" s="150">
        <v>-520000.25</v>
      </c>
      <c r="S8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7" s="135">
        <f ca="1">+IF(PROVEEDORES[[#This Row],[FECHA DE PAGO]]=0,TODAY()-PROVEEDORES[[#This Row],[FECHA DE FACTURACIÓN]]-PROVEEDORES[[#This Row],[PLAZO Días]],0)</f>
        <v>0</v>
      </c>
      <c r="U837" s="135" t="str">
        <f>+VLOOKUP(PROVEEDORES[[#This Row],[PROVEEDOR]],Terceros!$A:$D,4,FALSE)</f>
        <v>2,5% con base</v>
      </c>
      <c r="V837" s="135">
        <f>+YEAR(PROVEEDORES[[#This Row],[FECHA DE FACTURACIÓN]])</f>
        <v>2023</v>
      </c>
      <c r="W837" s="135">
        <f>+MATCH(PROVEEDORES[[#This Row],[año facturado]],Retenciones!$1:$1,0)</f>
        <v>6</v>
      </c>
      <c r="X837" s="136">
        <f>+VLOOKUP(PROVEEDORES[[#This Row],[ID RETENCION]],Retenciones!$A$1:$O$25,PROVEEDORES[[#This Row],[indicador de columna]],FALSE)</f>
        <v>1145000</v>
      </c>
      <c r="Y837" s="137">
        <f>+VLOOKUP(PROVEEDORES[[#This Row],[ID RETENCION]],Retenciones!$A$1:$O$25,2,FALSE)</f>
        <v>2.5000000000000001E-2</v>
      </c>
      <c r="Z837" s="126" t="b">
        <f>+OR(COUNTIF(PROVEEDORES[[#This Row],[PROVEEDOR]],"*"&amp;'Palabra que no opera y Listas d'!$A$2&amp;"*"))</f>
        <v>0</v>
      </c>
    </row>
    <row r="838" spans="1:26" ht="27.75" customHeight="1" x14ac:dyDescent="0.25">
      <c r="A838" s="141" t="str">
        <f>+IF(PROVEEDORES[[#This Row],[FECHA DE PAGO]]=PROVEEDORES[[#This Row],[FECHA DE FACTURACIÓN]],"DE CONTADO","CRÉDITO")</f>
        <v>CRÉDITO</v>
      </c>
      <c r="B838" s="138" t="b">
        <f>+IF((PROVEEDORES[[#This Row],[FECHA DE PAGO]]-PROVEEDORES[[#This Row],[FECHA DE FACTURACIÓN]])&gt;PROVEEDORES[[#This Row],[PLAZO Días]],"PAGO VENCIDO")</f>
        <v>0</v>
      </c>
      <c r="C838" s="138">
        <f>+VLOOKUP(PROVEEDORES[[#This Row],[PROVEEDOR]],TERCEROS_INFO[#All],2,FALSE)</f>
        <v>90</v>
      </c>
      <c r="D838" s="139">
        <f>+SUMIFS(PROVEEDORES[Total],PROVEEDORES[PROVEEDOR],PROVEEDORES[[#This Row],[PROVEEDOR]],PROVEEDORES[FECHA DE PAGO],"")</f>
        <v>17710735.315650001</v>
      </c>
      <c r="E838" s="140"/>
      <c r="F838" s="13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838" s="127">
        <v>45232</v>
      </c>
      <c r="H838" s="123" t="s">
        <v>12</v>
      </c>
      <c r="I838" s="127">
        <v>45155</v>
      </c>
      <c r="J838" s="124" t="s">
        <v>1002</v>
      </c>
      <c r="K838" s="124" t="s">
        <v>1530</v>
      </c>
      <c r="L838" s="124"/>
      <c r="M838" s="125">
        <v>5567234</v>
      </c>
      <c r="N838" s="148">
        <v>1057774.46</v>
      </c>
      <c r="O838" s="148">
        <v>0</v>
      </c>
      <c r="P838" s="149">
        <v>2.5000000000000001E-2</v>
      </c>
      <c r="Q838" s="148">
        <v>139180.85</v>
      </c>
      <c r="R838" s="150">
        <v>6485827.6100000003</v>
      </c>
      <c r="S8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8" s="135">
        <f ca="1">+IF(PROVEEDORES[[#This Row],[FECHA DE PAGO]]=0,TODAY()-PROVEEDORES[[#This Row],[FECHA DE FACTURACIÓN]]-PROVEEDORES[[#This Row],[PLAZO Días]],0)</f>
        <v>0</v>
      </c>
      <c r="U838" s="135" t="str">
        <f>+VLOOKUP(PROVEEDORES[[#This Row],[PROVEEDOR]],Terceros!$A:$D,4,FALSE)</f>
        <v>2,5% con base</v>
      </c>
      <c r="V838" s="135">
        <f>+YEAR(PROVEEDORES[[#This Row],[FECHA DE FACTURACIÓN]])</f>
        <v>2023</v>
      </c>
      <c r="W838" s="135">
        <f>+MATCH(PROVEEDORES[[#This Row],[año facturado]],Retenciones!$1:$1,0)</f>
        <v>6</v>
      </c>
      <c r="X838" s="136">
        <f>+VLOOKUP(PROVEEDORES[[#This Row],[ID RETENCION]],Retenciones!$A$1:$O$25,PROVEEDORES[[#This Row],[indicador de columna]],FALSE)</f>
        <v>1145000</v>
      </c>
      <c r="Y838" s="137">
        <f>+VLOOKUP(PROVEEDORES[[#This Row],[ID RETENCION]],Retenciones!$A$1:$O$25,2,FALSE)</f>
        <v>2.5000000000000001E-2</v>
      </c>
      <c r="Z838" s="126" t="b">
        <f>+OR(COUNTIF(PROVEEDORES[[#This Row],[PROVEEDOR]],"*"&amp;'Palabra que no opera y Listas d'!$A$2&amp;"*"))</f>
        <v>0</v>
      </c>
    </row>
    <row r="839" spans="1:26" ht="27.75" customHeight="1" x14ac:dyDescent="0.25">
      <c r="A839" s="141" t="str">
        <f>+IF(PROVEEDORES[[#This Row],[FECHA DE PAGO]]=PROVEEDORES[[#This Row],[FECHA DE FACTURACIÓN]],"DE CONTADO","CRÉDITO")</f>
        <v>CRÉDITO</v>
      </c>
      <c r="B839" s="138" t="str">
        <f>+IF((PROVEEDORES[[#This Row],[FECHA DE PAGO]]-PROVEEDORES[[#This Row],[FECHA DE FACTURACIÓN]])&gt;PROVEEDORES[[#This Row],[PLAZO Días]],"PAGO VENCIDO")</f>
        <v>PAGO VENCIDO</v>
      </c>
      <c r="C839" s="138">
        <f>+VLOOKUP(PROVEEDORES[[#This Row],[PROVEEDOR]],TERCEROS_INFO[#All],2,FALSE)</f>
        <v>30</v>
      </c>
      <c r="D839" s="139">
        <f>+SUMIFS(PROVEEDORES[Total],PROVEEDORES[PROVEEDOR],PROVEEDORES[[#This Row],[PROVEEDOR]],PROVEEDORES[FECHA DE PAGO],"")</f>
        <v>5813868.5099999998</v>
      </c>
      <c r="E839" s="140"/>
      <c r="F839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839" s="127">
        <v>45232</v>
      </c>
      <c r="H839" s="123" t="s">
        <v>24</v>
      </c>
      <c r="I839" s="127">
        <v>45162</v>
      </c>
      <c r="J839" s="124">
        <v>5042020</v>
      </c>
      <c r="K839" s="124" t="s">
        <v>504</v>
      </c>
      <c r="L839" s="124"/>
      <c r="M839" s="125">
        <v>798720</v>
      </c>
      <c r="N839" s="148">
        <v>151756.79999999999</v>
      </c>
      <c r="O839" s="148">
        <v>0</v>
      </c>
      <c r="P839" s="149">
        <v>0</v>
      </c>
      <c r="Q839" s="148">
        <v>0</v>
      </c>
      <c r="R839" s="150">
        <v>950476.80000000005</v>
      </c>
      <c r="S8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39" s="135">
        <f ca="1">+IF(PROVEEDORES[[#This Row],[FECHA DE PAGO]]=0,TODAY()-PROVEEDORES[[#This Row],[FECHA DE FACTURACIÓN]]-PROVEEDORES[[#This Row],[PLAZO Días]],0)</f>
        <v>0</v>
      </c>
      <c r="U839" s="135" t="str">
        <f>+VLOOKUP(PROVEEDORES[[#This Row],[PROVEEDOR]],Terceros!$A:$D,4,FALSE)</f>
        <v>2,5% con base</v>
      </c>
      <c r="V839" s="135">
        <f>+YEAR(PROVEEDORES[[#This Row],[FECHA DE FACTURACIÓN]])</f>
        <v>2023</v>
      </c>
      <c r="W839" s="135">
        <f>+MATCH(PROVEEDORES[[#This Row],[año facturado]],Retenciones!$1:$1,0)</f>
        <v>6</v>
      </c>
      <c r="X839" s="136">
        <f>+VLOOKUP(PROVEEDORES[[#This Row],[ID RETENCION]],Retenciones!$A$1:$O$25,PROVEEDORES[[#This Row],[indicador de columna]],FALSE)</f>
        <v>1145000</v>
      </c>
      <c r="Y839" s="137">
        <f>+VLOOKUP(PROVEEDORES[[#This Row],[ID RETENCION]],Retenciones!$A$1:$O$25,2,FALSE)</f>
        <v>2.5000000000000001E-2</v>
      </c>
      <c r="Z839" s="126" t="b">
        <f>+OR(COUNTIF(PROVEEDORES[[#This Row],[PROVEEDOR]],"*"&amp;'Palabra que no opera y Listas d'!$A$2&amp;"*"))</f>
        <v>0</v>
      </c>
    </row>
    <row r="840" spans="1:26" ht="27.75" customHeight="1" x14ac:dyDescent="0.25">
      <c r="A840" s="141" t="str">
        <f>+IF(PROVEEDORES[[#This Row],[FECHA DE PAGO]]=PROVEEDORES[[#This Row],[FECHA DE FACTURACIÓN]],"DE CONTADO","CRÉDITO")</f>
        <v>CRÉDITO</v>
      </c>
      <c r="B840" s="138" t="b">
        <f>+IF((PROVEEDORES[[#This Row],[FECHA DE PAGO]]-PROVEEDORES[[#This Row],[FECHA DE FACTURACIÓN]])&gt;PROVEEDORES[[#This Row],[PLAZO Días]],"PAGO VENCIDO")</f>
        <v>0</v>
      </c>
      <c r="C840" s="138">
        <f>+VLOOKUP(PROVEEDORES[[#This Row],[PROVEEDOR]],TERCEROS_INFO[#All],2,FALSE)</f>
        <v>90</v>
      </c>
      <c r="D840" s="139">
        <f>+SUMIFS(PROVEEDORES[Total],PROVEEDORES[PROVEEDOR],PROVEEDORES[[#This Row],[PROVEEDOR]],PROVEEDORES[FECHA DE PAGO],"")</f>
        <v>0</v>
      </c>
      <c r="E840" s="140"/>
      <c r="F840" s="13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840" s="127">
        <v>45232</v>
      </c>
      <c r="H840" s="123" t="s">
        <v>32</v>
      </c>
      <c r="I840" s="127">
        <v>45167</v>
      </c>
      <c r="J840" s="124" t="s">
        <v>1023</v>
      </c>
      <c r="K840" s="124" t="s">
        <v>1530</v>
      </c>
      <c r="L840" s="124"/>
      <c r="M840" s="125">
        <v>6926500</v>
      </c>
      <c r="N840" s="148">
        <v>1316035</v>
      </c>
      <c r="O840" s="148">
        <v>0</v>
      </c>
      <c r="P840" s="149">
        <v>2.5000000000000001E-2</v>
      </c>
      <c r="Q840" s="148">
        <v>173162.5</v>
      </c>
      <c r="R840" s="150">
        <v>8069372.5</v>
      </c>
      <c r="S8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0" s="135">
        <f ca="1">+IF(PROVEEDORES[[#This Row],[FECHA DE PAGO]]=0,TODAY()-PROVEEDORES[[#This Row],[FECHA DE FACTURACIÓN]]-PROVEEDORES[[#This Row],[PLAZO Días]],0)</f>
        <v>0</v>
      </c>
      <c r="U840" s="135" t="str">
        <f>+VLOOKUP(PROVEEDORES[[#This Row],[PROVEEDOR]],Terceros!$A:$D,4,FALSE)</f>
        <v>2,5% con base</v>
      </c>
      <c r="V840" s="135">
        <f>+YEAR(PROVEEDORES[[#This Row],[FECHA DE FACTURACIÓN]])</f>
        <v>2023</v>
      </c>
      <c r="W840" s="135">
        <f>+MATCH(PROVEEDORES[[#This Row],[año facturado]],Retenciones!$1:$1,0)</f>
        <v>6</v>
      </c>
      <c r="X840" s="136">
        <f>+VLOOKUP(PROVEEDORES[[#This Row],[ID RETENCION]],Retenciones!$A$1:$O$25,PROVEEDORES[[#This Row],[indicador de columna]],FALSE)</f>
        <v>1145000</v>
      </c>
      <c r="Y840" s="137">
        <f>+VLOOKUP(PROVEEDORES[[#This Row],[ID RETENCION]],Retenciones!$A$1:$O$25,2,FALSE)</f>
        <v>2.5000000000000001E-2</v>
      </c>
      <c r="Z840" s="126" t="b">
        <f>+OR(COUNTIF(PROVEEDORES[[#This Row],[PROVEEDOR]],"*"&amp;'Palabra que no opera y Listas d'!$A$2&amp;"*"))</f>
        <v>0</v>
      </c>
    </row>
    <row r="841" spans="1:26" ht="27.75" customHeight="1" x14ac:dyDescent="0.25">
      <c r="A841" s="141" t="str">
        <f>+IF(PROVEEDORES[[#This Row],[FECHA DE PAGO]]=PROVEEDORES[[#This Row],[FECHA DE FACTURACIÓN]],"DE CONTADO","CRÉDITO")</f>
        <v>CRÉDITO</v>
      </c>
      <c r="B841" s="138" t="str">
        <f>+IF((PROVEEDORES[[#This Row],[FECHA DE PAGO]]-PROVEEDORES[[#This Row],[FECHA DE FACTURACIÓN]])&gt;PROVEEDORES[[#This Row],[PLAZO Días]],"PAGO VENCIDO")</f>
        <v>PAGO VENCIDO</v>
      </c>
      <c r="C841" s="138">
        <f>+VLOOKUP(PROVEEDORES[[#This Row],[PROVEEDOR]],TERCEROS_INFO[#All],2,FALSE)</f>
        <v>30</v>
      </c>
      <c r="D841" s="139">
        <f>+SUMIFS(PROVEEDORES[Total],PROVEEDORES[PROVEEDOR],PROVEEDORES[[#This Row],[PROVEEDOR]],PROVEEDORES[FECHA DE PAGO],"")</f>
        <v>5813868.5099999998</v>
      </c>
      <c r="E841" s="140"/>
      <c r="F841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841" s="127">
        <v>45232</v>
      </c>
      <c r="H841" s="123" t="s">
        <v>24</v>
      </c>
      <c r="I841" s="127">
        <v>45174</v>
      </c>
      <c r="J841" s="124" t="s">
        <v>1054</v>
      </c>
      <c r="K841" s="124" t="s">
        <v>504</v>
      </c>
      <c r="L841" s="124"/>
      <c r="M841" s="125">
        <v>444528</v>
      </c>
      <c r="N841" s="148">
        <v>84460.32</v>
      </c>
      <c r="O841" s="148">
        <v>0</v>
      </c>
      <c r="P841" s="149">
        <v>0</v>
      </c>
      <c r="Q841" s="148">
        <v>0</v>
      </c>
      <c r="R841" s="150">
        <v>528988.32000000007</v>
      </c>
      <c r="S8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1" s="135">
        <f ca="1">+IF(PROVEEDORES[[#This Row],[FECHA DE PAGO]]=0,TODAY()-PROVEEDORES[[#This Row],[FECHA DE FACTURACIÓN]]-PROVEEDORES[[#This Row],[PLAZO Días]],0)</f>
        <v>0</v>
      </c>
      <c r="U841" s="135" t="str">
        <f>+VLOOKUP(PROVEEDORES[[#This Row],[PROVEEDOR]],Terceros!$A:$D,4,FALSE)</f>
        <v>2,5% con base</v>
      </c>
      <c r="V841" s="135">
        <f>+YEAR(PROVEEDORES[[#This Row],[FECHA DE FACTURACIÓN]])</f>
        <v>2023</v>
      </c>
      <c r="W841" s="135">
        <f>+MATCH(PROVEEDORES[[#This Row],[año facturado]],Retenciones!$1:$1,0)</f>
        <v>6</v>
      </c>
      <c r="X841" s="136">
        <f>+VLOOKUP(PROVEEDORES[[#This Row],[ID RETENCION]],Retenciones!$A$1:$O$25,PROVEEDORES[[#This Row],[indicador de columna]],FALSE)</f>
        <v>1145000</v>
      </c>
      <c r="Y841" s="137">
        <f>+VLOOKUP(PROVEEDORES[[#This Row],[ID RETENCION]],Retenciones!$A$1:$O$25,2,FALSE)</f>
        <v>2.5000000000000001E-2</v>
      </c>
      <c r="Z841" s="126" t="b">
        <f>+OR(COUNTIF(PROVEEDORES[[#This Row],[PROVEEDOR]],"*"&amp;'Palabra que no opera y Listas d'!$A$2&amp;"*"))</f>
        <v>0</v>
      </c>
    </row>
    <row r="842" spans="1:26" ht="27.75" customHeight="1" x14ac:dyDescent="0.25">
      <c r="A842" s="141" t="str">
        <f>+IF(PROVEEDORES[[#This Row],[FECHA DE PAGO]]=PROVEEDORES[[#This Row],[FECHA DE FACTURACIÓN]],"DE CONTADO","CRÉDITO")</f>
        <v>CRÉDITO</v>
      </c>
      <c r="B842" s="138" t="str">
        <f>+IF((PROVEEDORES[[#This Row],[FECHA DE PAGO]]-PROVEEDORES[[#This Row],[FECHA DE FACTURACIÓN]])&gt;PROVEEDORES[[#This Row],[PLAZO Días]],"PAGO VENCIDO")</f>
        <v>PAGO VENCIDO</v>
      </c>
      <c r="C842" s="138">
        <f>+VLOOKUP(PROVEEDORES[[#This Row],[PROVEEDOR]],TERCEROS_INFO[#All],2,FALSE)</f>
        <v>30</v>
      </c>
      <c r="D842" s="139">
        <f>+SUMIFS(PROVEEDORES[Total],PROVEEDORES[PROVEEDOR],PROVEEDORES[[#This Row],[PROVEEDOR]],PROVEEDORES[FECHA DE PAGO],"")</f>
        <v>1695707.16</v>
      </c>
      <c r="E842" s="140"/>
      <c r="F842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842" s="127">
        <v>45232</v>
      </c>
      <c r="H842" s="123" t="s">
        <v>194</v>
      </c>
      <c r="I842" s="127">
        <v>45184</v>
      </c>
      <c r="J842" s="124" t="s">
        <v>1056</v>
      </c>
      <c r="K842" s="124" t="s">
        <v>1530</v>
      </c>
      <c r="L842" s="124"/>
      <c r="M842" s="125">
        <v>174783</v>
      </c>
      <c r="N842" s="148">
        <v>33208.769999999997</v>
      </c>
      <c r="O842" s="148">
        <v>0</v>
      </c>
      <c r="P842" s="149">
        <v>0</v>
      </c>
      <c r="Q842" s="148">
        <v>0</v>
      </c>
      <c r="R842" s="150">
        <v>207991.77</v>
      </c>
      <c r="S8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2" s="135">
        <f ca="1">+IF(PROVEEDORES[[#This Row],[FECHA DE PAGO]]=0,TODAY()-PROVEEDORES[[#This Row],[FECHA DE FACTURACIÓN]]-PROVEEDORES[[#This Row],[PLAZO Días]],0)</f>
        <v>0</v>
      </c>
      <c r="U842" s="135">
        <f>+VLOOKUP(PROVEEDORES[[#This Row],[PROVEEDOR]],Terceros!$A:$D,4,FALSE)</f>
        <v>0</v>
      </c>
      <c r="V842" s="135">
        <f>+YEAR(PROVEEDORES[[#This Row],[FECHA DE FACTURACIÓN]])</f>
        <v>2023</v>
      </c>
      <c r="W842" s="135">
        <f>+MATCH(PROVEEDORES[[#This Row],[año facturado]],Retenciones!$1:$1,0)</f>
        <v>6</v>
      </c>
      <c r="X842" s="136">
        <f>+VLOOKUP(PROVEEDORES[[#This Row],[ID RETENCION]],Retenciones!$A$1:$O$25,PROVEEDORES[[#This Row],[indicador de columna]],FALSE)</f>
        <v>0</v>
      </c>
      <c r="Y842" s="137">
        <f>+VLOOKUP(PROVEEDORES[[#This Row],[ID RETENCION]],Retenciones!$A$1:$O$25,2,FALSE)</f>
        <v>0</v>
      </c>
      <c r="Z842" s="126" t="b">
        <f>+OR(COUNTIF(PROVEEDORES[[#This Row],[PROVEEDOR]],"*"&amp;'Palabra que no opera y Listas d'!$A$2&amp;"*"))</f>
        <v>0</v>
      </c>
    </row>
    <row r="843" spans="1:26" ht="27.75" customHeight="1" x14ac:dyDescent="0.25">
      <c r="A843" s="141" t="str">
        <f>+IF(PROVEEDORES[[#This Row],[FECHA DE PAGO]]=PROVEEDORES[[#This Row],[FECHA DE FACTURACIÓN]],"DE CONTADO","CRÉDITO")</f>
        <v>CRÉDITO</v>
      </c>
      <c r="B843" s="138" t="str">
        <f>+IF((PROVEEDORES[[#This Row],[FECHA DE PAGO]]-PROVEEDORES[[#This Row],[FECHA DE FACTURACIÓN]])&gt;PROVEEDORES[[#This Row],[PLAZO Días]],"PAGO VENCIDO")</f>
        <v>PAGO VENCIDO</v>
      </c>
      <c r="C843" s="138">
        <f>+VLOOKUP(PROVEEDORES[[#This Row],[PROVEEDOR]],TERCEROS_INFO[#All],2,FALSE)</f>
        <v>30</v>
      </c>
      <c r="D843" s="139">
        <f>+SUMIFS(PROVEEDORES[Total],PROVEEDORES[PROVEEDOR],PROVEEDORES[[#This Row],[PROVEEDOR]],PROVEEDORES[FECHA DE PAGO],"")</f>
        <v>5813868.5099999998</v>
      </c>
      <c r="E843" s="140"/>
      <c r="F843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843" s="127">
        <v>45232</v>
      </c>
      <c r="H843" s="123" t="s">
        <v>24</v>
      </c>
      <c r="I843" s="127">
        <v>45185</v>
      </c>
      <c r="J843" s="124" t="s">
        <v>1053</v>
      </c>
      <c r="K843" s="124" t="s">
        <v>504</v>
      </c>
      <c r="L843" s="124"/>
      <c r="M843" s="125">
        <v>4376000</v>
      </c>
      <c r="N843" s="148">
        <v>831440</v>
      </c>
      <c r="O843" s="148">
        <v>0</v>
      </c>
      <c r="P843" s="149">
        <v>2.5000000000000001E-2</v>
      </c>
      <c r="Q843" s="148">
        <v>109400</v>
      </c>
      <c r="R843" s="150">
        <v>5098040</v>
      </c>
      <c r="S8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3" s="135">
        <f ca="1">+IF(PROVEEDORES[[#This Row],[FECHA DE PAGO]]=0,TODAY()-PROVEEDORES[[#This Row],[FECHA DE FACTURACIÓN]]-PROVEEDORES[[#This Row],[PLAZO Días]],0)</f>
        <v>0</v>
      </c>
      <c r="U843" s="135" t="str">
        <f>+VLOOKUP(PROVEEDORES[[#This Row],[PROVEEDOR]],Terceros!$A:$D,4,FALSE)</f>
        <v>2,5% con base</v>
      </c>
      <c r="V843" s="135">
        <f>+YEAR(PROVEEDORES[[#This Row],[FECHA DE FACTURACIÓN]])</f>
        <v>2023</v>
      </c>
      <c r="W843" s="135">
        <f>+MATCH(PROVEEDORES[[#This Row],[año facturado]],Retenciones!$1:$1,0)</f>
        <v>6</v>
      </c>
      <c r="X843" s="136">
        <f>+VLOOKUP(PROVEEDORES[[#This Row],[ID RETENCION]],Retenciones!$A$1:$O$25,PROVEEDORES[[#This Row],[indicador de columna]],FALSE)</f>
        <v>1145000</v>
      </c>
      <c r="Y843" s="137">
        <f>+VLOOKUP(PROVEEDORES[[#This Row],[ID RETENCION]],Retenciones!$A$1:$O$25,2,FALSE)</f>
        <v>2.5000000000000001E-2</v>
      </c>
      <c r="Z843" s="126" t="b">
        <f>+OR(COUNTIF(PROVEEDORES[[#This Row],[PROVEEDOR]],"*"&amp;'Palabra que no opera y Listas d'!$A$2&amp;"*"))</f>
        <v>0</v>
      </c>
    </row>
    <row r="844" spans="1:26" ht="27.75" customHeight="1" x14ac:dyDescent="0.25">
      <c r="A844" s="141" t="str">
        <f>+IF(PROVEEDORES[[#This Row],[FECHA DE PAGO]]=PROVEEDORES[[#This Row],[FECHA DE FACTURACIÓN]],"DE CONTADO","CRÉDITO")</f>
        <v>CRÉDITO</v>
      </c>
      <c r="B844" s="138" t="str">
        <f>+IF((PROVEEDORES[[#This Row],[FECHA DE PAGO]]-PROVEEDORES[[#This Row],[FECHA DE FACTURACIÓN]])&gt;PROVEEDORES[[#This Row],[PLAZO Días]],"PAGO VENCIDO")</f>
        <v>PAGO VENCIDO</v>
      </c>
      <c r="C844" s="138">
        <f>+VLOOKUP(PROVEEDORES[[#This Row],[PROVEEDOR]],TERCEROS_INFO[#All],2,FALSE)</f>
        <v>30</v>
      </c>
      <c r="D844" s="139">
        <f>+SUMIFS(PROVEEDORES[Total],PROVEEDORES[PROVEEDOR],PROVEEDORES[[#This Row],[PROVEEDOR]],PROVEEDORES[FECHA DE PAGO],"")</f>
        <v>5813868.5099999998</v>
      </c>
      <c r="E844" s="140"/>
      <c r="F844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844" s="127">
        <v>45232</v>
      </c>
      <c r="H844" s="123" t="s">
        <v>24</v>
      </c>
      <c r="I844" s="127">
        <v>45187</v>
      </c>
      <c r="J844" s="124" t="s">
        <v>1520</v>
      </c>
      <c r="K844" s="124" t="s">
        <v>504</v>
      </c>
      <c r="L844" s="124"/>
      <c r="M844" s="125">
        <v>-354192</v>
      </c>
      <c r="N844" s="148">
        <v>-67296.479999999996</v>
      </c>
      <c r="O844" s="148">
        <v>0</v>
      </c>
      <c r="P844" s="149">
        <v>0</v>
      </c>
      <c r="Q844" s="148">
        <v>0</v>
      </c>
      <c r="R844" s="150">
        <v>-421488.48</v>
      </c>
      <c r="S8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4" s="135">
        <f ca="1">+IF(PROVEEDORES[[#This Row],[FECHA DE PAGO]]=0,TODAY()-PROVEEDORES[[#This Row],[FECHA DE FACTURACIÓN]]-PROVEEDORES[[#This Row],[PLAZO Días]],0)</f>
        <v>0</v>
      </c>
      <c r="U844" s="135" t="str">
        <f>+VLOOKUP(PROVEEDORES[[#This Row],[PROVEEDOR]],Terceros!$A:$D,4,FALSE)</f>
        <v>2,5% con base</v>
      </c>
      <c r="V844" s="135">
        <f>+YEAR(PROVEEDORES[[#This Row],[FECHA DE FACTURACIÓN]])</f>
        <v>2023</v>
      </c>
      <c r="W844" s="135">
        <f>+MATCH(PROVEEDORES[[#This Row],[año facturado]],Retenciones!$1:$1,0)</f>
        <v>6</v>
      </c>
      <c r="X844" s="136">
        <f>+VLOOKUP(PROVEEDORES[[#This Row],[ID RETENCION]],Retenciones!$A$1:$O$25,PROVEEDORES[[#This Row],[indicador de columna]],FALSE)</f>
        <v>1145000</v>
      </c>
      <c r="Y844" s="137">
        <f>+VLOOKUP(PROVEEDORES[[#This Row],[ID RETENCION]],Retenciones!$A$1:$O$25,2,FALSE)</f>
        <v>2.5000000000000001E-2</v>
      </c>
      <c r="Z844" s="126" t="b">
        <f>+OR(COUNTIF(PROVEEDORES[[#This Row],[PROVEEDOR]],"*"&amp;'Palabra que no opera y Listas d'!$A$2&amp;"*"))</f>
        <v>0</v>
      </c>
    </row>
    <row r="845" spans="1:26" ht="27.75" customHeight="1" x14ac:dyDescent="0.25">
      <c r="A845" s="141" t="str">
        <f>+IF(PROVEEDORES[[#This Row],[FECHA DE PAGO]]=PROVEEDORES[[#This Row],[FECHA DE FACTURACIÓN]],"DE CONTADO","CRÉDITO")</f>
        <v>CRÉDITO</v>
      </c>
      <c r="B845" s="138" t="str">
        <f>+IF((PROVEEDORES[[#This Row],[FECHA DE PAGO]]-PROVEEDORES[[#This Row],[FECHA DE FACTURACIÓN]])&gt;PROVEEDORES[[#This Row],[PLAZO Días]],"PAGO VENCIDO")</f>
        <v>PAGO VENCIDO</v>
      </c>
      <c r="C845" s="138">
        <f>+VLOOKUP(PROVEEDORES[[#This Row],[PROVEEDOR]],TERCEROS_INFO[#All],2,FALSE)</f>
        <v>30</v>
      </c>
      <c r="D845" s="139">
        <f>+SUMIFS(PROVEEDORES[Total],PROVEEDORES[PROVEEDOR],PROVEEDORES[[#This Row],[PROVEEDOR]],PROVEEDORES[FECHA DE PAGO],"")</f>
        <v>5813868.5099999998</v>
      </c>
      <c r="E845" s="140"/>
      <c r="F845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845" s="127">
        <v>45232</v>
      </c>
      <c r="H845" s="123" t="s">
        <v>24</v>
      </c>
      <c r="I845" s="127">
        <v>45194</v>
      </c>
      <c r="J845" s="124" t="s">
        <v>1054</v>
      </c>
      <c r="K845" s="124" t="s">
        <v>504</v>
      </c>
      <c r="L845" s="124"/>
      <c r="M845" s="125">
        <v>5600000</v>
      </c>
      <c r="N845" s="148">
        <v>1064000</v>
      </c>
      <c r="O845" s="148">
        <v>0</v>
      </c>
      <c r="P845" s="149">
        <v>2.5000000000000001E-2</v>
      </c>
      <c r="Q845" s="148">
        <v>140000</v>
      </c>
      <c r="R845" s="150">
        <v>6524000</v>
      </c>
      <c r="S8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5" s="135">
        <f ca="1">+IF(PROVEEDORES[[#This Row],[FECHA DE PAGO]]=0,TODAY()-PROVEEDORES[[#This Row],[FECHA DE FACTURACIÓN]]-PROVEEDORES[[#This Row],[PLAZO Días]],0)</f>
        <v>0</v>
      </c>
      <c r="U845" s="135" t="str">
        <f>+VLOOKUP(PROVEEDORES[[#This Row],[PROVEEDOR]],Terceros!$A:$D,4,FALSE)</f>
        <v>2,5% con base</v>
      </c>
      <c r="V845" s="135">
        <f>+YEAR(PROVEEDORES[[#This Row],[FECHA DE FACTURACIÓN]])</f>
        <v>2023</v>
      </c>
      <c r="W845" s="135">
        <f>+MATCH(PROVEEDORES[[#This Row],[año facturado]],Retenciones!$1:$1,0)</f>
        <v>6</v>
      </c>
      <c r="X845" s="136">
        <f>+VLOOKUP(PROVEEDORES[[#This Row],[ID RETENCION]],Retenciones!$A$1:$O$25,PROVEEDORES[[#This Row],[indicador de columna]],FALSE)</f>
        <v>1145000</v>
      </c>
      <c r="Y845" s="137">
        <f>+VLOOKUP(PROVEEDORES[[#This Row],[ID RETENCION]],Retenciones!$A$1:$O$25,2,FALSE)</f>
        <v>2.5000000000000001E-2</v>
      </c>
      <c r="Z845" s="126" t="b">
        <f>+OR(COUNTIF(PROVEEDORES[[#This Row],[PROVEEDOR]],"*"&amp;'Palabra que no opera y Listas d'!$A$2&amp;"*"))</f>
        <v>0</v>
      </c>
    </row>
    <row r="846" spans="1:26" ht="27.75" customHeight="1" x14ac:dyDescent="0.25">
      <c r="A846" s="141" t="str">
        <f>+IF(PROVEEDORES[[#This Row],[FECHA DE PAGO]]=PROVEEDORES[[#This Row],[FECHA DE FACTURACIÓN]],"DE CONTADO","CRÉDITO")</f>
        <v>CRÉDITO</v>
      </c>
      <c r="B846" s="138" t="str">
        <f>+IF((PROVEEDORES[[#This Row],[FECHA DE PAGO]]-PROVEEDORES[[#This Row],[FECHA DE FACTURACIÓN]])&gt;PROVEEDORES[[#This Row],[PLAZO Días]],"PAGO VENCIDO")</f>
        <v>PAGO VENCIDO</v>
      </c>
      <c r="C846" s="138">
        <f>+VLOOKUP(PROVEEDORES[[#This Row],[PROVEEDOR]],TERCEROS_INFO[#All],2,FALSE)</f>
        <v>30</v>
      </c>
      <c r="D846" s="139">
        <f>+SUMIFS(PROVEEDORES[Total],PROVEEDORES[PROVEEDOR],PROVEEDORES[[#This Row],[PROVEEDOR]],PROVEEDORES[FECHA DE PAGO],"")</f>
        <v>1695707.16</v>
      </c>
      <c r="E846" s="140"/>
      <c r="F846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846" s="127">
        <v>45232</v>
      </c>
      <c r="H846" s="123" t="s">
        <v>194</v>
      </c>
      <c r="I846" s="127">
        <v>45196</v>
      </c>
      <c r="J846" s="124" t="s">
        <v>1088</v>
      </c>
      <c r="K846" s="124" t="s">
        <v>1530</v>
      </c>
      <c r="L846" s="124"/>
      <c r="M846" s="125">
        <v>893952</v>
      </c>
      <c r="N846" s="148">
        <v>169850.88</v>
      </c>
      <c r="O846" s="148">
        <v>0</v>
      </c>
      <c r="P846" s="149">
        <v>0</v>
      </c>
      <c r="Q846" s="148">
        <v>0</v>
      </c>
      <c r="R846" s="150">
        <v>1063802.8799999999</v>
      </c>
      <c r="S8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6" s="135">
        <f ca="1">+IF(PROVEEDORES[[#This Row],[FECHA DE PAGO]]=0,TODAY()-PROVEEDORES[[#This Row],[FECHA DE FACTURACIÓN]]-PROVEEDORES[[#This Row],[PLAZO Días]],0)</f>
        <v>0</v>
      </c>
      <c r="U846" s="135">
        <f>+VLOOKUP(PROVEEDORES[[#This Row],[PROVEEDOR]],Terceros!$A:$D,4,FALSE)</f>
        <v>0</v>
      </c>
      <c r="V846" s="135">
        <f>+YEAR(PROVEEDORES[[#This Row],[FECHA DE FACTURACIÓN]])</f>
        <v>2023</v>
      </c>
      <c r="W846" s="135">
        <f>+MATCH(PROVEEDORES[[#This Row],[año facturado]],Retenciones!$1:$1,0)</f>
        <v>6</v>
      </c>
      <c r="X846" s="136">
        <f>+VLOOKUP(PROVEEDORES[[#This Row],[ID RETENCION]],Retenciones!$A$1:$O$25,PROVEEDORES[[#This Row],[indicador de columna]],FALSE)</f>
        <v>0</v>
      </c>
      <c r="Y846" s="137">
        <f>+VLOOKUP(PROVEEDORES[[#This Row],[ID RETENCION]],Retenciones!$A$1:$O$25,2,FALSE)</f>
        <v>0</v>
      </c>
      <c r="Z846" s="126" t="b">
        <f>+OR(COUNTIF(PROVEEDORES[[#This Row],[PROVEEDOR]],"*"&amp;'Palabra que no opera y Listas d'!$A$2&amp;"*"))</f>
        <v>0</v>
      </c>
    </row>
    <row r="847" spans="1:26" ht="27.75" customHeight="1" x14ac:dyDescent="0.25">
      <c r="A847" s="141" t="str">
        <f>+IF(PROVEEDORES[[#This Row],[FECHA DE PAGO]]=PROVEEDORES[[#This Row],[FECHA DE FACTURACIÓN]],"DE CONTADO","CRÉDITO")</f>
        <v>CRÉDITO</v>
      </c>
      <c r="B847" s="138" t="b">
        <f>+IF((PROVEEDORES[[#This Row],[FECHA DE PAGO]]-PROVEEDORES[[#This Row],[FECHA DE FACTURACIÓN]])&gt;PROVEEDORES[[#This Row],[PLAZO Días]],"PAGO VENCIDO")</f>
        <v>0</v>
      </c>
      <c r="C847" s="138">
        <f>+VLOOKUP(PROVEEDORES[[#This Row],[PROVEEDOR]],TERCEROS_INFO[#All],2,FALSE)</f>
        <v>30</v>
      </c>
      <c r="D847" s="139">
        <f>+SUMIFS(PROVEEDORES[Total],PROVEEDORES[PROVEEDOR],PROVEEDORES[[#This Row],[PROVEEDOR]],PROVEEDORES[FECHA DE PAGO],"")</f>
        <v>0</v>
      </c>
      <c r="E847" s="140"/>
      <c r="F847" s="138" t="str">
        <f>+VLOOKUP(PROVEEDORES[[#This Row],[PROVEEDOR]],
                       Terceros!$A:$F,
                       5,
                       FALSE)</f>
        <v/>
      </c>
      <c r="G847" s="127">
        <v>45232</v>
      </c>
      <c r="H847" s="123" t="s">
        <v>481</v>
      </c>
      <c r="I847" s="127">
        <v>45231</v>
      </c>
      <c r="J847" s="124" t="s">
        <v>1282</v>
      </c>
      <c r="K847" s="124" t="s">
        <v>1530</v>
      </c>
      <c r="L847" s="124"/>
      <c r="M847" s="125">
        <v>5136000</v>
      </c>
      <c r="N847" s="148">
        <v>0</v>
      </c>
      <c r="O847" s="148">
        <v>0</v>
      </c>
      <c r="P847" s="149">
        <v>0</v>
      </c>
      <c r="Q847" s="148">
        <v>0</v>
      </c>
      <c r="R847" s="150">
        <v>5136000</v>
      </c>
      <c r="S8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7" s="135">
        <f ca="1">+IF(PROVEEDORES[[#This Row],[FECHA DE PAGO]]=0,TODAY()-PROVEEDORES[[#This Row],[FECHA DE FACTURACIÓN]]-PROVEEDORES[[#This Row],[PLAZO Días]],0)</f>
        <v>0</v>
      </c>
      <c r="U847" s="135">
        <f>+VLOOKUP(PROVEEDORES[[#This Row],[PROVEEDOR]],Terceros!$A:$D,4,FALSE)</f>
        <v>0</v>
      </c>
      <c r="V847" s="135">
        <f>+YEAR(PROVEEDORES[[#This Row],[FECHA DE FACTURACIÓN]])</f>
        <v>2023</v>
      </c>
      <c r="W847" s="135">
        <f>+MATCH(PROVEEDORES[[#This Row],[año facturado]],Retenciones!$1:$1,0)</f>
        <v>6</v>
      </c>
      <c r="X847" s="136">
        <f>+VLOOKUP(PROVEEDORES[[#This Row],[ID RETENCION]],Retenciones!$A$1:$O$25,PROVEEDORES[[#This Row],[indicador de columna]],FALSE)</f>
        <v>0</v>
      </c>
      <c r="Y847" s="137">
        <f>+VLOOKUP(PROVEEDORES[[#This Row],[ID RETENCION]],Retenciones!$A$1:$O$25,2,FALSE)</f>
        <v>0</v>
      </c>
      <c r="Z847" s="126" t="b">
        <f>+OR(COUNTIF(PROVEEDORES[[#This Row],[PROVEEDOR]],"*"&amp;'Palabra que no opera y Listas d'!$A$2&amp;"*"))</f>
        <v>0</v>
      </c>
    </row>
    <row r="848" spans="1:26" ht="27.75" customHeight="1" x14ac:dyDescent="0.25">
      <c r="A848" s="141" t="str">
        <f>+IF(PROVEEDORES[[#This Row],[FECHA DE PAGO]]=PROVEEDORES[[#This Row],[FECHA DE FACTURACIÓN]],"DE CONTADO","CRÉDITO")</f>
        <v>CRÉDITO</v>
      </c>
      <c r="B848" s="138" t="b">
        <f>+IF((PROVEEDORES[[#This Row],[FECHA DE PAGO]]-PROVEEDORES[[#This Row],[FECHA DE FACTURACIÓN]])&gt;PROVEEDORES[[#This Row],[PLAZO Días]],"PAGO VENCIDO")</f>
        <v>0</v>
      </c>
      <c r="C848" s="138">
        <f>+VLOOKUP(PROVEEDORES[[#This Row],[PROVEEDOR]],TERCEROS_INFO[#All],2,FALSE)</f>
        <v>30</v>
      </c>
      <c r="D848" s="139">
        <f>+SUMIFS(PROVEEDORES[Total],PROVEEDORES[PROVEEDOR],PROVEEDORES[[#This Row],[PROVEEDOR]],PROVEEDORES[FECHA DE PAGO],"")</f>
        <v>0</v>
      </c>
      <c r="E848" s="140"/>
      <c r="F848" s="138" t="str">
        <f>+VLOOKUP(PROVEEDORES[[#This Row],[PROVEEDOR]],
                       Terceros!$A:$F,
                       5,
                       FALSE)</f>
        <v>PSE</v>
      </c>
      <c r="G848" s="127">
        <v>45232</v>
      </c>
      <c r="H848" s="123" t="s">
        <v>390</v>
      </c>
      <c r="I848" s="127">
        <v>45231</v>
      </c>
      <c r="J848" s="124"/>
      <c r="K848" s="124" t="s">
        <v>1530</v>
      </c>
      <c r="L848" s="124"/>
      <c r="M848" s="125">
        <v>620524</v>
      </c>
      <c r="N848" s="148">
        <v>0</v>
      </c>
      <c r="O848" s="148">
        <v>0</v>
      </c>
      <c r="P848" s="149">
        <v>0</v>
      </c>
      <c r="Q848" s="148">
        <v>0</v>
      </c>
      <c r="R848" s="150">
        <v>620524</v>
      </c>
      <c r="S8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8" s="135">
        <f ca="1">+IF(PROVEEDORES[[#This Row],[FECHA DE PAGO]]=0,TODAY()-PROVEEDORES[[#This Row],[FECHA DE FACTURACIÓN]]-PROVEEDORES[[#This Row],[PLAZO Días]],0)</f>
        <v>0</v>
      </c>
      <c r="U848" s="135">
        <f>+VLOOKUP(PROVEEDORES[[#This Row],[PROVEEDOR]],Terceros!$A:$D,4,FALSE)</f>
        <v>0</v>
      </c>
      <c r="V848" s="135">
        <f>+YEAR(PROVEEDORES[[#This Row],[FECHA DE FACTURACIÓN]])</f>
        <v>2023</v>
      </c>
      <c r="W848" s="135">
        <f>+MATCH(PROVEEDORES[[#This Row],[año facturado]],Retenciones!$1:$1,0)</f>
        <v>6</v>
      </c>
      <c r="X848" s="136">
        <f>+VLOOKUP(PROVEEDORES[[#This Row],[ID RETENCION]],Retenciones!$A$1:$O$25,PROVEEDORES[[#This Row],[indicador de columna]],FALSE)</f>
        <v>0</v>
      </c>
      <c r="Y848" s="137">
        <f>+VLOOKUP(PROVEEDORES[[#This Row],[ID RETENCION]],Retenciones!$A$1:$O$25,2,FALSE)</f>
        <v>0</v>
      </c>
      <c r="Z848" s="126" t="b">
        <f>+OR(COUNTIF(PROVEEDORES[[#This Row],[PROVEEDOR]],"*"&amp;'Palabra que no opera y Listas d'!$A$2&amp;"*"))</f>
        <v>1</v>
      </c>
    </row>
    <row r="849" spans="1:26" ht="27.75" customHeight="1" x14ac:dyDescent="0.25">
      <c r="A849" s="141" t="str">
        <f>+IF(PROVEEDORES[[#This Row],[FECHA DE PAGO]]=PROVEEDORES[[#This Row],[FECHA DE FACTURACIÓN]],"DE CONTADO","CRÉDITO")</f>
        <v>DE CONTADO</v>
      </c>
      <c r="B849" s="138" t="b">
        <f>+IF((PROVEEDORES[[#This Row],[FECHA DE PAGO]]-PROVEEDORES[[#This Row],[FECHA DE FACTURACIÓN]])&gt;PROVEEDORES[[#This Row],[PLAZO Días]],"PAGO VENCIDO")</f>
        <v>0</v>
      </c>
      <c r="C849" s="138">
        <f>+VLOOKUP(PROVEEDORES[[#This Row],[PROVEEDOR]],TERCEROS_INFO[#All],2,FALSE)</f>
        <v>30</v>
      </c>
      <c r="D849" s="139">
        <f>+SUMIFS(PROVEEDORES[Total],PROVEEDORES[PROVEEDOR],PROVEEDORES[[#This Row],[PROVEEDOR]],PROVEEDORES[FECHA DE PAGO],"")</f>
        <v>0</v>
      </c>
      <c r="E849" s="140"/>
      <c r="F849" s="138" t="str">
        <f>+VLOOKUP(PROVEEDORES[[#This Row],[PROVEEDOR]],
                       Terceros!$A:$F,
                       5,
                       FALSE)</f>
        <v/>
      </c>
      <c r="G849" s="127">
        <v>45232</v>
      </c>
      <c r="H849" s="123" t="s">
        <v>1824</v>
      </c>
      <c r="I849" s="127">
        <v>45232</v>
      </c>
      <c r="J849" s="124"/>
      <c r="K849" s="124" t="s">
        <v>1530</v>
      </c>
      <c r="L849" s="124"/>
      <c r="M849" s="125">
        <v>1000000</v>
      </c>
      <c r="N849" s="148">
        <v>0</v>
      </c>
      <c r="O849" s="148">
        <v>0</v>
      </c>
      <c r="P849" s="149">
        <v>0</v>
      </c>
      <c r="Q849" s="148">
        <v>0</v>
      </c>
      <c r="R849" s="150">
        <v>1000000</v>
      </c>
      <c r="S8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49" s="135">
        <f ca="1">+IF(PROVEEDORES[[#This Row],[FECHA DE PAGO]]=0,TODAY()-PROVEEDORES[[#This Row],[FECHA DE FACTURACIÓN]]-PROVEEDORES[[#This Row],[PLAZO Días]],0)</f>
        <v>0</v>
      </c>
      <c r="U849" s="135">
        <f>+VLOOKUP(PROVEEDORES[[#This Row],[PROVEEDOR]],Terceros!$A:$D,4,FALSE)</f>
        <v>0</v>
      </c>
      <c r="V849" s="135">
        <f>+YEAR(PROVEEDORES[[#This Row],[FECHA DE FACTURACIÓN]])</f>
        <v>2023</v>
      </c>
      <c r="W849" s="135">
        <f>+MATCH(PROVEEDORES[[#This Row],[año facturado]],Retenciones!$1:$1,0)</f>
        <v>6</v>
      </c>
      <c r="X849" s="136">
        <f>+VLOOKUP(PROVEEDORES[[#This Row],[ID RETENCION]],Retenciones!$A$1:$O$25,PROVEEDORES[[#This Row],[indicador de columna]],FALSE)</f>
        <v>0</v>
      </c>
      <c r="Y849" s="137">
        <f>+VLOOKUP(PROVEEDORES[[#This Row],[ID RETENCION]],Retenciones!$A$1:$O$25,2,FALSE)</f>
        <v>0</v>
      </c>
      <c r="Z849" s="126" t="b">
        <f>+OR(COUNTIF(PROVEEDORES[[#This Row],[PROVEEDOR]],"*"&amp;'Palabra que no opera y Listas d'!$A$2&amp;"*"))</f>
        <v>0</v>
      </c>
    </row>
    <row r="850" spans="1:26" ht="27.75" customHeight="1" x14ac:dyDescent="0.25">
      <c r="A850" s="141" t="str">
        <f>+IF(PROVEEDORES[[#This Row],[FECHA DE PAGO]]=PROVEEDORES[[#This Row],[FECHA DE FACTURACIÓN]],"DE CONTADO","CRÉDITO")</f>
        <v>CRÉDITO</v>
      </c>
      <c r="B850" s="138" t="b">
        <f>+IF((PROVEEDORES[[#This Row],[FECHA DE PAGO]]-PROVEEDORES[[#This Row],[FECHA DE FACTURACIÓN]])&gt;PROVEEDORES[[#This Row],[PLAZO Días]],"PAGO VENCIDO")</f>
        <v>0</v>
      </c>
      <c r="C850" s="138">
        <f>+VLOOKUP(PROVEEDORES[[#This Row],[PROVEEDOR]],TERCEROS_INFO[#All],2,FALSE)</f>
        <v>30</v>
      </c>
      <c r="D850" s="139">
        <f>+SUMIFS(PROVEEDORES[Total],PROVEEDORES[PROVEEDOR],PROVEEDORES[[#This Row],[PROVEEDOR]],PROVEEDORES[FECHA DE PAGO],"")</f>
        <v>0</v>
      </c>
      <c r="E850" s="140"/>
      <c r="F850" s="138" t="str">
        <f>+VLOOKUP(PROVEEDORES[[#This Row],[PROVEEDOR]],
                       Terceros!$A:$F,
                       5,
                       FALSE)</f>
        <v/>
      </c>
      <c r="G850" s="127">
        <v>45233</v>
      </c>
      <c r="H850" s="123" t="s">
        <v>481</v>
      </c>
      <c r="I850" s="127">
        <v>45232</v>
      </c>
      <c r="J850" s="124" t="s">
        <v>1283</v>
      </c>
      <c r="K850" s="124" t="s">
        <v>1530</v>
      </c>
      <c r="L850" s="124"/>
      <c r="M850" s="125">
        <v>2700000</v>
      </c>
      <c r="N850" s="148">
        <v>0</v>
      </c>
      <c r="O850" s="148">
        <v>0</v>
      </c>
      <c r="P850" s="149">
        <v>0</v>
      </c>
      <c r="Q850" s="148">
        <v>0</v>
      </c>
      <c r="R850" s="150">
        <v>2700000</v>
      </c>
      <c r="S8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0" s="135">
        <f ca="1">+IF(PROVEEDORES[[#This Row],[FECHA DE PAGO]]=0,TODAY()-PROVEEDORES[[#This Row],[FECHA DE FACTURACIÓN]]-PROVEEDORES[[#This Row],[PLAZO Días]],0)</f>
        <v>0</v>
      </c>
      <c r="U850" s="135">
        <f>+VLOOKUP(PROVEEDORES[[#This Row],[PROVEEDOR]],Terceros!$A:$D,4,FALSE)</f>
        <v>0</v>
      </c>
      <c r="V850" s="135">
        <f>+YEAR(PROVEEDORES[[#This Row],[FECHA DE FACTURACIÓN]])</f>
        <v>2023</v>
      </c>
      <c r="W850" s="135">
        <f>+MATCH(PROVEEDORES[[#This Row],[año facturado]],Retenciones!$1:$1,0)</f>
        <v>6</v>
      </c>
      <c r="X850" s="136">
        <f>+VLOOKUP(PROVEEDORES[[#This Row],[ID RETENCION]],Retenciones!$A$1:$O$25,PROVEEDORES[[#This Row],[indicador de columna]],FALSE)</f>
        <v>0</v>
      </c>
      <c r="Y850" s="137">
        <f>+VLOOKUP(PROVEEDORES[[#This Row],[ID RETENCION]],Retenciones!$A$1:$O$25,2,FALSE)</f>
        <v>0</v>
      </c>
      <c r="Z850" s="126" t="b">
        <f>+OR(COUNTIF(PROVEEDORES[[#This Row],[PROVEEDOR]],"*"&amp;'Palabra que no opera y Listas d'!$A$2&amp;"*"))</f>
        <v>0</v>
      </c>
    </row>
    <row r="851" spans="1:26" ht="27.75" customHeight="1" x14ac:dyDescent="0.25">
      <c r="A851" s="141" t="str">
        <f>+IF(PROVEEDORES[[#This Row],[FECHA DE PAGO]]=PROVEEDORES[[#This Row],[FECHA DE FACTURACIÓN]],"DE CONTADO","CRÉDITO")</f>
        <v>DE CONTADO</v>
      </c>
      <c r="B851" s="138" t="b">
        <f>+IF((PROVEEDORES[[#This Row],[FECHA DE PAGO]]-PROVEEDORES[[#This Row],[FECHA DE FACTURACIÓN]])&gt;PROVEEDORES[[#This Row],[PLAZO Días]],"PAGO VENCIDO")</f>
        <v>0</v>
      </c>
      <c r="C851" s="138">
        <f>+VLOOKUP(PROVEEDORES[[#This Row],[PROVEEDOR]],TERCEROS_INFO[#All],2,FALSE)</f>
        <v>30</v>
      </c>
      <c r="D851" s="139">
        <f>+SUMIFS(PROVEEDORES[Total],PROVEEDORES[PROVEEDOR],PROVEEDORES[[#This Row],[PROVEEDOR]],PROVEEDORES[FECHA DE PAGO],"")</f>
        <v>0</v>
      </c>
      <c r="E851" s="140"/>
      <c r="F851" s="138">
        <f>+VLOOKUP(PROVEEDORES[[#This Row],[PROVEEDOR]],
                       Terceros!$A:$F,
                       5,
                       FALSE)</f>
        <v>0</v>
      </c>
      <c r="G851" s="127">
        <v>45233</v>
      </c>
      <c r="H851" s="123" t="s">
        <v>836</v>
      </c>
      <c r="I851" s="127">
        <v>45233</v>
      </c>
      <c r="J851" s="124"/>
      <c r="K851" s="124" t="s">
        <v>1530</v>
      </c>
      <c r="L851" s="124"/>
      <c r="M851" s="125">
        <v>389000</v>
      </c>
      <c r="N851" s="148">
        <v>0</v>
      </c>
      <c r="O851" s="148">
        <v>0</v>
      </c>
      <c r="P851" s="149">
        <v>0</v>
      </c>
      <c r="Q851" s="148">
        <v>0</v>
      </c>
      <c r="R851" s="150">
        <v>389000</v>
      </c>
      <c r="S8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1" s="135">
        <f ca="1">+IF(PROVEEDORES[[#This Row],[FECHA DE PAGO]]=0,TODAY()-PROVEEDORES[[#This Row],[FECHA DE FACTURACIÓN]]-PROVEEDORES[[#This Row],[PLAZO Días]],0)</f>
        <v>0</v>
      </c>
      <c r="U851" s="135">
        <f>+VLOOKUP(PROVEEDORES[[#This Row],[PROVEEDOR]],Terceros!$A:$D,4,FALSE)</f>
        <v>0</v>
      </c>
      <c r="V851" s="135">
        <f>+YEAR(PROVEEDORES[[#This Row],[FECHA DE FACTURACIÓN]])</f>
        <v>2023</v>
      </c>
      <c r="W851" s="135">
        <f>+MATCH(PROVEEDORES[[#This Row],[año facturado]],Retenciones!$1:$1,0)</f>
        <v>6</v>
      </c>
      <c r="X851" s="136">
        <f>+VLOOKUP(PROVEEDORES[[#This Row],[ID RETENCION]],Retenciones!$A$1:$O$25,PROVEEDORES[[#This Row],[indicador de columna]],FALSE)</f>
        <v>0</v>
      </c>
      <c r="Y851" s="137">
        <f>+VLOOKUP(PROVEEDORES[[#This Row],[ID RETENCION]],Retenciones!$A$1:$O$25,2,FALSE)</f>
        <v>0</v>
      </c>
      <c r="Z851" s="126" t="b">
        <f>+OR(COUNTIF(PROVEEDORES[[#This Row],[PROVEEDOR]],"*"&amp;'Palabra que no opera y Listas d'!$A$2&amp;"*"))</f>
        <v>0</v>
      </c>
    </row>
    <row r="852" spans="1:26" ht="27.75" customHeight="1" x14ac:dyDescent="0.25">
      <c r="A852" s="141" t="str">
        <f>+IF(PROVEEDORES[[#This Row],[FECHA DE PAGO]]=PROVEEDORES[[#This Row],[FECHA DE FACTURACIÓN]],"DE CONTADO","CRÉDITO")</f>
        <v>CRÉDITO</v>
      </c>
      <c r="B852" s="138" t="b">
        <f>+IF((PROVEEDORES[[#This Row],[FECHA DE PAGO]]-PROVEEDORES[[#This Row],[FECHA DE FACTURACIÓN]])&gt;PROVEEDORES[[#This Row],[PLAZO Días]],"PAGO VENCIDO")</f>
        <v>0</v>
      </c>
      <c r="C852" s="138">
        <f>+VLOOKUP(PROVEEDORES[[#This Row],[PROVEEDOR]],TERCEROS_INFO[#All],2,FALSE)</f>
        <v>30</v>
      </c>
      <c r="D852" s="139">
        <f>+SUMIFS(PROVEEDORES[Total],PROVEEDORES[PROVEEDOR],PROVEEDORES[[#This Row],[PROVEEDOR]],PROVEEDORES[FECHA DE PAGO],"")</f>
        <v>0</v>
      </c>
      <c r="E852" s="140"/>
      <c r="F852" s="138">
        <f>+VLOOKUP(PROVEEDORES[[#This Row],[PROVEEDOR]],
                       Terceros!$A:$F,
                       5,
                       FALSE)</f>
        <v>0</v>
      </c>
      <c r="G852" s="127">
        <v>45234</v>
      </c>
      <c r="H852" s="123" t="s">
        <v>387</v>
      </c>
      <c r="I852" s="127">
        <v>45231</v>
      </c>
      <c r="J852" s="124" t="s">
        <v>173</v>
      </c>
      <c r="K852" s="124" t="s">
        <v>1530</v>
      </c>
      <c r="L852" s="124"/>
      <c r="M852" s="125">
        <v>411454</v>
      </c>
      <c r="N852" s="148">
        <v>0</v>
      </c>
      <c r="O852" s="148">
        <v>0</v>
      </c>
      <c r="P852" s="149">
        <v>0</v>
      </c>
      <c r="Q852" s="148">
        <v>0</v>
      </c>
      <c r="R852" s="150">
        <v>411454</v>
      </c>
      <c r="S8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2" s="135">
        <f ca="1">+IF(PROVEEDORES[[#This Row],[FECHA DE PAGO]]=0,TODAY()-PROVEEDORES[[#This Row],[FECHA DE FACTURACIÓN]]-PROVEEDORES[[#This Row],[PLAZO Días]],0)</f>
        <v>0</v>
      </c>
      <c r="U852" s="135">
        <f>+VLOOKUP(PROVEEDORES[[#This Row],[PROVEEDOR]],Terceros!$A:$D,4,FALSE)</f>
        <v>0</v>
      </c>
      <c r="V852" s="135">
        <f>+YEAR(PROVEEDORES[[#This Row],[FECHA DE FACTURACIÓN]])</f>
        <v>2023</v>
      </c>
      <c r="W852" s="135">
        <f>+MATCH(PROVEEDORES[[#This Row],[año facturado]],Retenciones!$1:$1,0)</f>
        <v>6</v>
      </c>
      <c r="X852" s="136">
        <f>+VLOOKUP(PROVEEDORES[[#This Row],[ID RETENCION]],Retenciones!$A$1:$O$25,PROVEEDORES[[#This Row],[indicador de columna]],FALSE)</f>
        <v>0</v>
      </c>
      <c r="Y852" s="137">
        <f>+VLOOKUP(PROVEEDORES[[#This Row],[ID RETENCION]],Retenciones!$A$1:$O$25,2,FALSE)</f>
        <v>0</v>
      </c>
      <c r="Z852" s="126" t="b">
        <f>+OR(COUNTIF(PROVEEDORES[[#This Row],[PROVEEDOR]],"*"&amp;'Palabra que no opera y Listas d'!$A$2&amp;"*"))</f>
        <v>1</v>
      </c>
    </row>
    <row r="853" spans="1:26" ht="27.75" customHeight="1" x14ac:dyDescent="0.25">
      <c r="A853" s="141" t="str">
        <f>+IF(PROVEEDORES[[#This Row],[FECHA DE PAGO]]=PROVEEDORES[[#This Row],[FECHA DE FACTURACIÓN]],"DE CONTADO","CRÉDITO")</f>
        <v>DE CONTADO</v>
      </c>
      <c r="B853" s="138" t="b">
        <f>+IF((PROVEEDORES[[#This Row],[FECHA DE PAGO]]-PROVEEDORES[[#This Row],[FECHA DE FACTURACIÓN]])&gt;PROVEEDORES[[#This Row],[PLAZO Días]],"PAGO VENCIDO")</f>
        <v>0</v>
      </c>
      <c r="C853" s="138">
        <f>+VLOOKUP(PROVEEDORES[[#This Row],[PROVEEDOR]],TERCEROS_INFO[#All],2,FALSE)</f>
        <v>30</v>
      </c>
      <c r="D853" s="139">
        <f>+SUMIFS(PROVEEDORES[Total],PROVEEDORES[PROVEEDOR],PROVEEDORES[[#This Row],[PROVEEDOR]],PROVEEDORES[FECHA DE PAGO],"")</f>
        <v>1350000</v>
      </c>
      <c r="E853" s="140"/>
      <c r="F853" s="138" t="str">
        <f>+VLOOKUP(PROVEEDORES[[#This Row],[PROVEEDOR]],
                       Terceros!$A:$F,
                       5,
                       FALSE)</f>
        <v/>
      </c>
      <c r="G853" s="127">
        <v>45234</v>
      </c>
      <c r="H853" s="123" t="s">
        <v>1807</v>
      </c>
      <c r="I853" s="127">
        <v>45234</v>
      </c>
      <c r="J853" s="124" t="s">
        <v>1214</v>
      </c>
      <c r="K853" s="124" t="s">
        <v>1530</v>
      </c>
      <c r="L853" s="124"/>
      <c r="M853" s="125">
        <v>520000</v>
      </c>
      <c r="N853" s="148">
        <v>0</v>
      </c>
      <c r="O853" s="148">
        <v>0</v>
      </c>
      <c r="P853" s="149">
        <v>0</v>
      </c>
      <c r="Q853" s="148">
        <v>0</v>
      </c>
      <c r="R853" s="150">
        <v>520000</v>
      </c>
      <c r="S8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3" s="135">
        <f ca="1">+IF(PROVEEDORES[[#This Row],[FECHA DE PAGO]]=0,TODAY()-PROVEEDORES[[#This Row],[FECHA DE FACTURACIÓN]]-PROVEEDORES[[#This Row],[PLAZO Días]],0)</f>
        <v>0</v>
      </c>
      <c r="U853" s="135">
        <f>+VLOOKUP(PROVEEDORES[[#This Row],[PROVEEDOR]],Terceros!$A:$D,4,FALSE)</f>
        <v>0</v>
      </c>
      <c r="V853" s="135">
        <f>+YEAR(PROVEEDORES[[#This Row],[FECHA DE FACTURACIÓN]])</f>
        <v>2023</v>
      </c>
      <c r="W853" s="135">
        <f>+MATCH(PROVEEDORES[[#This Row],[año facturado]],Retenciones!$1:$1,0)</f>
        <v>6</v>
      </c>
      <c r="X853" s="136">
        <f>+VLOOKUP(PROVEEDORES[[#This Row],[ID RETENCION]],Retenciones!$A$1:$O$25,PROVEEDORES[[#This Row],[indicador de columna]],FALSE)</f>
        <v>0</v>
      </c>
      <c r="Y853" s="137">
        <f>+VLOOKUP(PROVEEDORES[[#This Row],[ID RETENCION]],Retenciones!$A$1:$O$25,2,FALSE)</f>
        <v>0</v>
      </c>
      <c r="Z853" s="126" t="b">
        <f>+OR(COUNTIF(PROVEEDORES[[#This Row],[PROVEEDOR]],"*"&amp;'Palabra que no opera y Listas d'!$A$2&amp;"*"))</f>
        <v>0</v>
      </c>
    </row>
    <row r="854" spans="1:26" ht="27.75" customHeight="1" x14ac:dyDescent="0.25">
      <c r="A854" s="141" t="str">
        <f>+IF(PROVEEDORES[[#This Row],[FECHA DE PAGO]]=PROVEEDORES[[#This Row],[FECHA DE FACTURACIÓN]],"DE CONTADO","CRÉDITO")</f>
        <v>CRÉDITO</v>
      </c>
      <c r="B854" s="138" t="str">
        <f>+IF((PROVEEDORES[[#This Row],[FECHA DE PAGO]]-PROVEEDORES[[#This Row],[FECHA DE FACTURACIÓN]])&gt;PROVEEDORES[[#This Row],[PLAZO Días]],"PAGO VENCIDO")</f>
        <v>PAGO VENCIDO</v>
      </c>
      <c r="C854" s="138">
        <f>+VLOOKUP(PROVEEDORES[[#This Row],[PROVEEDOR]],TERCEROS_INFO[#All],2,FALSE)</f>
        <v>30</v>
      </c>
      <c r="D854" s="139">
        <f>+SUMIFS(PROVEEDORES[Total],PROVEEDORES[PROVEEDOR],PROVEEDORES[[#This Row],[PROVEEDOR]],PROVEEDORES[FECHA DE PAGO],"")</f>
        <v>3130000</v>
      </c>
      <c r="E854" s="140"/>
      <c r="F854" s="138">
        <f>+VLOOKUP(PROVEEDORES[[#This Row],[PROVEEDOR]],
                       Terceros!$A:$F,
                       5,
                       FALSE)</f>
        <v>0</v>
      </c>
      <c r="G854" s="127">
        <v>45237</v>
      </c>
      <c r="H854" s="123" t="s">
        <v>472</v>
      </c>
      <c r="I854" s="127">
        <v>45170</v>
      </c>
      <c r="J854" s="124">
        <v>4847</v>
      </c>
      <c r="K854" s="124" t="s">
        <v>1530</v>
      </c>
      <c r="L854" s="124"/>
      <c r="M854" s="125">
        <v>450000</v>
      </c>
      <c r="N854" s="148">
        <v>0</v>
      </c>
      <c r="O854" s="148">
        <v>0</v>
      </c>
      <c r="P854" s="149">
        <v>0</v>
      </c>
      <c r="Q854" s="148">
        <v>0</v>
      </c>
      <c r="R854" s="150">
        <v>450000</v>
      </c>
      <c r="S8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4" s="135">
        <f ca="1">+IF(PROVEEDORES[[#This Row],[FECHA DE PAGO]]=0,TODAY()-PROVEEDORES[[#This Row],[FECHA DE FACTURACIÓN]]-PROVEEDORES[[#This Row],[PLAZO Días]],0)</f>
        <v>0</v>
      </c>
      <c r="U854" s="135">
        <f>+VLOOKUP(PROVEEDORES[[#This Row],[PROVEEDOR]],Terceros!$A:$D,4,FALSE)</f>
        <v>0</v>
      </c>
      <c r="V854" s="135">
        <f>+YEAR(PROVEEDORES[[#This Row],[FECHA DE FACTURACIÓN]])</f>
        <v>2023</v>
      </c>
      <c r="W854" s="135">
        <f>+MATCH(PROVEEDORES[[#This Row],[año facturado]],Retenciones!$1:$1,0)</f>
        <v>6</v>
      </c>
      <c r="X854" s="136">
        <f>+VLOOKUP(PROVEEDORES[[#This Row],[ID RETENCION]],Retenciones!$A$1:$O$25,PROVEEDORES[[#This Row],[indicador de columna]],FALSE)</f>
        <v>0</v>
      </c>
      <c r="Y854" s="137">
        <f>+VLOOKUP(PROVEEDORES[[#This Row],[ID RETENCION]],Retenciones!$A$1:$O$25,2,FALSE)</f>
        <v>0</v>
      </c>
      <c r="Z854" s="126" t="b">
        <f>+OR(COUNTIF(PROVEEDORES[[#This Row],[PROVEEDOR]],"*"&amp;'Palabra que no opera y Listas d'!$A$2&amp;"*"))</f>
        <v>0</v>
      </c>
    </row>
    <row r="855" spans="1:26" ht="27.75" customHeight="1" x14ac:dyDescent="0.25">
      <c r="A855" s="141" t="str">
        <f>+IF(PROVEEDORES[[#This Row],[FECHA DE PAGO]]=PROVEEDORES[[#This Row],[FECHA DE FACTURACIÓN]],"DE CONTADO","CRÉDITO")</f>
        <v>CRÉDITO</v>
      </c>
      <c r="B855" s="138" t="str">
        <f>+IF((PROVEEDORES[[#This Row],[FECHA DE PAGO]]-PROVEEDORES[[#This Row],[FECHA DE FACTURACIÓN]])&gt;PROVEEDORES[[#This Row],[PLAZO Días]],"PAGO VENCIDO")</f>
        <v>PAGO VENCIDO</v>
      </c>
      <c r="C855" s="138">
        <f>+VLOOKUP(PROVEEDORES[[#This Row],[PROVEEDOR]],TERCEROS_INFO[#All],2,FALSE)</f>
        <v>45</v>
      </c>
      <c r="D855" s="139">
        <f>+SUMIFS(PROVEEDORES[Total],PROVEEDORES[PROVEEDOR],PROVEEDORES[[#This Row],[PROVEEDOR]],PROVEEDORES[FECHA DE PAGO],"")</f>
        <v>22186260.039999999</v>
      </c>
      <c r="E855" s="140"/>
      <c r="F855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855" s="127">
        <v>45237</v>
      </c>
      <c r="H855" s="123" t="s">
        <v>19</v>
      </c>
      <c r="I855" s="127">
        <v>45177</v>
      </c>
      <c r="J855" s="124" t="s">
        <v>1055</v>
      </c>
      <c r="K855" s="124" t="s">
        <v>1530</v>
      </c>
      <c r="L855" s="124"/>
      <c r="M855" s="125">
        <v>723695</v>
      </c>
      <c r="N855" s="148">
        <v>137502.04999999999</v>
      </c>
      <c r="O855" s="148">
        <v>0</v>
      </c>
      <c r="P855" s="149">
        <v>0</v>
      </c>
      <c r="Q855" s="148">
        <v>0</v>
      </c>
      <c r="R855" s="150">
        <v>861197.05</v>
      </c>
      <c r="S8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5" s="135">
        <f ca="1">+IF(PROVEEDORES[[#This Row],[FECHA DE PAGO]]=0,TODAY()-PROVEEDORES[[#This Row],[FECHA DE FACTURACIÓN]]-PROVEEDORES[[#This Row],[PLAZO Días]],0)</f>
        <v>0</v>
      </c>
      <c r="U855" s="135">
        <f>+VLOOKUP(PROVEEDORES[[#This Row],[PROVEEDOR]],Terceros!$A:$D,4,FALSE)</f>
        <v>0</v>
      </c>
      <c r="V855" s="135">
        <f>+YEAR(PROVEEDORES[[#This Row],[FECHA DE FACTURACIÓN]])</f>
        <v>2023</v>
      </c>
      <c r="W855" s="135">
        <f>+MATCH(PROVEEDORES[[#This Row],[año facturado]],Retenciones!$1:$1,0)</f>
        <v>6</v>
      </c>
      <c r="X855" s="136">
        <f>+VLOOKUP(PROVEEDORES[[#This Row],[ID RETENCION]],Retenciones!$A$1:$O$25,PROVEEDORES[[#This Row],[indicador de columna]],FALSE)</f>
        <v>0</v>
      </c>
      <c r="Y855" s="137">
        <f>+VLOOKUP(PROVEEDORES[[#This Row],[ID RETENCION]],Retenciones!$A$1:$O$25,2,FALSE)</f>
        <v>0</v>
      </c>
      <c r="Z855" s="126" t="b">
        <f>+OR(COUNTIF(PROVEEDORES[[#This Row],[PROVEEDOR]],"*"&amp;'Palabra que no opera y Listas d'!$A$2&amp;"*"))</f>
        <v>0</v>
      </c>
    </row>
    <row r="856" spans="1:26" ht="27.75" customHeight="1" x14ac:dyDescent="0.25">
      <c r="A856" s="141" t="str">
        <f>+IF(PROVEEDORES[[#This Row],[FECHA DE PAGO]]=PROVEEDORES[[#This Row],[FECHA DE FACTURACIÓN]],"DE CONTADO","CRÉDITO")</f>
        <v>CRÉDITO</v>
      </c>
      <c r="B856" s="138" t="str">
        <f>+IF((PROVEEDORES[[#This Row],[FECHA DE PAGO]]-PROVEEDORES[[#This Row],[FECHA DE FACTURACIÓN]])&gt;PROVEEDORES[[#This Row],[PLAZO Días]],"PAGO VENCIDO")</f>
        <v>PAGO VENCIDO</v>
      </c>
      <c r="C856" s="138">
        <f>+VLOOKUP(PROVEEDORES[[#This Row],[PROVEEDOR]],TERCEROS_INFO[#All],2,FALSE)</f>
        <v>30</v>
      </c>
      <c r="D856" s="139">
        <f>+SUMIFS(PROVEEDORES[Total],PROVEEDORES[PROVEEDOR],PROVEEDORES[[#This Row],[PROVEEDOR]],PROVEEDORES[FECHA DE PAGO],"")</f>
        <v>0</v>
      </c>
      <c r="E856" s="140"/>
      <c r="F856" s="138">
        <f>+VLOOKUP(PROVEEDORES[[#This Row],[PROVEEDOR]],
                       Terceros!$A:$F,
                       5,
                       FALSE)</f>
        <v>0</v>
      </c>
      <c r="G856" s="127">
        <v>45237</v>
      </c>
      <c r="H856" s="123" t="s">
        <v>475</v>
      </c>
      <c r="I856" s="127">
        <v>45184</v>
      </c>
      <c r="J856" s="124" t="s">
        <v>1100</v>
      </c>
      <c r="K856" s="124" t="s">
        <v>1530</v>
      </c>
      <c r="L856" s="124"/>
      <c r="M856" s="125">
        <v>1958700</v>
      </c>
      <c r="N856" s="148">
        <v>0</v>
      </c>
      <c r="O856" s="148">
        <v>0</v>
      </c>
      <c r="P856" s="149">
        <v>0</v>
      </c>
      <c r="Q856" s="148">
        <v>0</v>
      </c>
      <c r="R856" s="150">
        <v>1958700</v>
      </c>
      <c r="S8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6" s="135">
        <f ca="1">+IF(PROVEEDORES[[#This Row],[FECHA DE PAGO]]=0,TODAY()-PROVEEDORES[[#This Row],[FECHA DE FACTURACIÓN]]-PROVEEDORES[[#This Row],[PLAZO Días]],0)</f>
        <v>0</v>
      </c>
      <c r="U856" s="135">
        <f>+VLOOKUP(PROVEEDORES[[#This Row],[PROVEEDOR]],Terceros!$A:$D,4,FALSE)</f>
        <v>0</v>
      </c>
      <c r="V856" s="135">
        <f>+YEAR(PROVEEDORES[[#This Row],[FECHA DE FACTURACIÓN]])</f>
        <v>2023</v>
      </c>
      <c r="W856" s="135">
        <f>+MATCH(PROVEEDORES[[#This Row],[año facturado]],Retenciones!$1:$1,0)</f>
        <v>6</v>
      </c>
      <c r="X856" s="136">
        <f>+VLOOKUP(PROVEEDORES[[#This Row],[ID RETENCION]],Retenciones!$A$1:$O$25,PROVEEDORES[[#This Row],[indicador de columna]],FALSE)</f>
        <v>0</v>
      </c>
      <c r="Y856" s="137">
        <f>+VLOOKUP(PROVEEDORES[[#This Row],[ID RETENCION]],Retenciones!$A$1:$O$25,2,FALSE)</f>
        <v>0</v>
      </c>
      <c r="Z856" s="126" t="b">
        <f>+OR(COUNTIF(PROVEEDORES[[#This Row],[PROVEEDOR]],"*"&amp;'Palabra que no opera y Listas d'!$A$2&amp;"*"))</f>
        <v>0</v>
      </c>
    </row>
    <row r="857" spans="1:26" ht="27.75" customHeight="1" x14ac:dyDescent="0.25">
      <c r="A857" s="141" t="str">
        <f>+IF(PROVEEDORES[[#This Row],[FECHA DE PAGO]]=PROVEEDORES[[#This Row],[FECHA DE FACTURACIÓN]],"DE CONTADO","CRÉDITO")</f>
        <v>CRÉDITO</v>
      </c>
      <c r="B857" s="138" t="str">
        <f>+IF((PROVEEDORES[[#This Row],[FECHA DE PAGO]]-PROVEEDORES[[#This Row],[FECHA DE FACTURACIÓN]])&gt;PROVEEDORES[[#This Row],[PLAZO Días]],"PAGO VENCIDO")</f>
        <v>PAGO VENCIDO</v>
      </c>
      <c r="C857" s="138">
        <f>+VLOOKUP(PROVEEDORES[[#This Row],[PROVEEDOR]],TERCEROS_INFO[#All],2,FALSE)</f>
        <v>30</v>
      </c>
      <c r="D857" s="139">
        <f>+SUMIFS(PROVEEDORES[Total],PROVEEDORES[PROVEEDOR],PROVEEDORES[[#This Row],[PROVEEDOR]],PROVEEDORES[FECHA DE PAGO],"")</f>
        <v>0</v>
      </c>
      <c r="E857" s="140"/>
      <c r="F857" s="138" t="str">
        <f>+VLOOKUP(PROVEEDORES[[#This Row],[PROVEEDOR]],
                       Terceros!$A:$F,
                       5,
                       FALSE)</f>
        <v/>
      </c>
      <c r="G857" s="127">
        <v>45237</v>
      </c>
      <c r="H857" s="123" t="s">
        <v>1811</v>
      </c>
      <c r="I857" s="127">
        <v>45187</v>
      </c>
      <c r="J857" s="124" t="s">
        <v>1098</v>
      </c>
      <c r="K857" s="124" t="s">
        <v>1530</v>
      </c>
      <c r="L857" s="124"/>
      <c r="M857" s="125">
        <v>1242500</v>
      </c>
      <c r="N857" s="148">
        <v>0</v>
      </c>
      <c r="O857" s="148">
        <v>0</v>
      </c>
      <c r="P857" s="149">
        <v>0</v>
      </c>
      <c r="Q857" s="148">
        <v>0</v>
      </c>
      <c r="R857" s="150">
        <v>1242500</v>
      </c>
      <c r="S8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7" s="135">
        <f ca="1">+IF(PROVEEDORES[[#This Row],[FECHA DE PAGO]]=0,TODAY()-PROVEEDORES[[#This Row],[FECHA DE FACTURACIÓN]]-PROVEEDORES[[#This Row],[PLAZO Días]],0)</f>
        <v>0</v>
      </c>
      <c r="U857" s="135">
        <f>+VLOOKUP(PROVEEDORES[[#This Row],[PROVEEDOR]],Terceros!$A:$D,4,FALSE)</f>
        <v>0</v>
      </c>
      <c r="V857" s="135">
        <f>+YEAR(PROVEEDORES[[#This Row],[FECHA DE FACTURACIÓN]])</f>
        <v>2023</v>
      </c>
      <c r="W857" s="135">
        <f>+MATCH(PROVEEDORES[[#This Row],[año facturado]],Retenciones!$1:$1,0)</f>
        <v>6</v>
      </c>
      <c r="X857" s="136">
        <f>+VLOOKUP(PROVEEDORES[[#This Row],[ID RETENCION]],Retenciones!$A$1:$O$25,PROVEEDORES[[#This Row],[indicador de columna]],FALSE)</f>
        <v>0</v>
      </c>
      <c r="Y857" s="137">
        <f>+VLOOKUP(PROVEEDORES[[#This Row],[ID RETENCION]],Retenciones!$A$1:$O$25,2,FALSE)</f>
        <v>0</v>
      </c>
      <c r="Z857" s="126" t="b">
        <f>+OR(COUNTIF(PROVEEDORES[[#This Row],[PROVEEDOR]],"*"&amp;'Palabra que no opera y Listas d'!$A$2&amp;"*"))</f>
        <v>0</v>
      </c>
    </row>
    <row r="858" spans="1:26" ht="27.75" customHeight="1" x14ac:dyDescent="0.25">
      <c r="A858" s="141" t="str">
        <f>+IF(PROVEEDORES[[#This Row],[FECHA DE PAGO]]=PROVEEDORES[[#This Row],[FECHA DE FACTURACIÓN]],"DE CONTADO","CRÉDITO")</f>
        <v>CRÉDITO</v>
      </c>
      <c r="B858" s="138" t="str">
        <f>+IF((PROVEEDORES[[#This Row],[FECHA DE PAGO]]-PROVEEDORES[[#This Row],[FECHA DE FACTURACIÓN]])&gt;PROVEEDORES[[#This Row],[PLAZO Días]],"PAGO VENCIDO")</f>
        <v>PAGO VENCIDO</v>
      </c>
      <c r="C858" s="138">
        <f>+VLOOKUP(PROVEEDORES[[#This Row],[PROVEEDOR]],TERCEROS_INFO[#All],2,FALSE)</f>
        <v>30</v>
      </c>
      <c r="D858" s="139">
        <f>+SUMIFS(PROVEEDORES[Total],PROVEEDORES[PROVEEDOR],PROVEEDORES[[#This Row],[PROVEEDOR]],PROVEEDORES[FECHA DE PAGO],"")</f>
        <v>5427539.2800000003</v>
      </c>
      <c r="E858" s="140"/>
      <c r="F858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858" s="127">
        <v>45237</v>
      </c>
      <c r="H858" s="123" t="s">
        <v>11</v>
      </c>
      <c r="I858" s="127">
        <v>45188</v>
      </c>
      <c r="J858" s="124" t="s">
        <v>1064</v>
      </c>
      <c r="K858" s="124" t="s">
        <v>1530</v>
      </c>
      <c r="L858" s="124"/>
      <c r="M858" s="125">
        <v>2631937</v>
      </c>
      <c r="N858" s="148">
        <v>500068.03</v>
      </c>
      <c r="O858" s="148">
        <v>0</v>
      </c>
      <c r="P858" s="149">
        <v>2.5000000000000001E-2</v>
      </c>
      <c r="Q858" s="148">
        <v>65798.425000000003</v>
      </c>
      <c r="R858" s="150">
        <v>3066206.6050000004</v>
      </c>
      <c r="S8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8" s="135">
        <f ca="1">+IF(PROVEEDORES[[#This Row],[FECHA DE PAGO]]=0,TODAY()-PROVEEDORES[[#This Row],[FECHA DE FACTURACIÓN]]-PROVEEDORES[[#This Row],[PLAZO Días]],0)</f>
        <v>0</v>
      </c>
      <c r="U858" s="135" t="str">
        <f>+VLOOKUP(PROVEEDORES[[#This Row],[PROVEEDOR]],Terceros!$A:$D,4,FALSE)</f>
        <v>2,5% con base</v>
      </c>
      <c r="V858" s="135">
        <f>+YEAR(PROVEEDORES[[#This Row],[FECHA DE FACTURACIÓN]])</f>
        <v>2023</v>
      </c>
      <c r="W858" s="135">
        <f>+MATCH(PROVEEDORES[[#This Row],[año facturado]],Retenciones!$1:$1,0)</f>
        <v>6</v>
      </c>
      <c r="X858" s="136">
        <f>+VLOOKUP(PROVEEDORES[[#This Row],[ID RETENCION]],Retenciones!$A$1:$O$25,PROVEEDORES[[#This Row],[indicador de columna]],FALSE)</f>
        <v>1145000</v>
      </c>
      <c r="Y858" s="137">
        <f>+VLOOKUP(PROVEEDORES[[#This Row],[ID RETENCION]],Retenciones!$A$1:$O$25,2,FALSE)</f>
        <v>2.5000000000000001E-2</v>
      </c>
      <c r="Z858" s="126" t="b">
        <f>+OR(COUNTIF(PROVEEDORES[[#This Row],[PROVEEDOR]],"*"&amp;'Palabra que no opera y Listas d'!$A$2&amp;"*"))</f>
        <v>0</v>
      </c>
    </row>
    <row r="859" spans="1:26" ht="27.75" customHeight="1" x14ac:dyDescent="0.25">
      <c r="A859" s="141" t="str">
        <f>+IF(PROVEEDORES[[#This Row],[FECHA DE PAGO]]=PROVEEDORES[[#This Row],[FECHA DE FACTURACIÓN]],"DE CONTADO","CRÉDITO")</f>
        <v>CRÉDITO</v>
      </c>
      <c r="B859" s="138" t="str">
        <f>+IF((PROVEEDORES[[#This Row],[FECHA DE PAGO]]-PROVEEDORES[[#This Row],[FECHA DE FACTURACIÓN]])&gt;PROVEEDORES[[#This Row],[PLAZO Días]],"PAGO VENCIDO")</f>
        <v>PAGO VENCIDO</v>
      </c>
      <c r="C859" s="138">
        <f>+VLOOKUP(PROVEEDORES[[#This Row],[PROVEEDOR]],TERCEROS_INFO[#All],2,FALSE)</f>
        <v>30</v>
      </c>
      <c r="D859" s="139">
        <f>+SUMIFS(PROVEEDORES[Total],PROVEEDORES[PROVEEDOR],PROVEEDORES[[#This Row],[PROVEEDOR]],PROVEEDORES[FECHA DE PAGO],"")</f>
        <v>3130000</v>
      </c>
      <c r="E859" s="140"/>
      <c r="F859" s="138">
        <f>+VLOOKUP(PROVEEDORES[[#This Row],[PROVEEDOR]],
                       Terceros!$A:$F,
                       5,
                       FALSE)</f>
        <v>0</v>
      </c>
      <c r="G859" s="127">
        <v>45237</v>
      </c>
      <c r="H859" s="123" t="s">
        <v>472</v>
      </c>
      <c r="I859" s="127">
        <v>45190</v>
      </c>
      <c r="J859" s="124">
        <v>5470</v>
      </c>
      <c r="K859" s="124" t="s">
        <v>1530</v>
      </c>
      <c r="L859" s="124"/>
      <c r="M859" s="125">
        <v>375000</v>
      </c>
      <c r="N859" s="148">
        <v>0</v>
      </c>
      <c r="O859" s="148">
        <v>0</v>
      </c>
      <c r="P859" s="149">
        <v>0</v>
      </c>
      <c r="Q859" s="148">
        <v>0</v>
      </c>
      <c r="R859" s="150">
        <v>375000</v>
      </c>
      <c r="S8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59" s="135">
        <f ca="1">+IF(PROVEEDORES[[#This Row],[FECHA DE PAGO]]=0,TODAY()-PROVEEDORES[[#This Row],[FECHA DE FACTURACIÓN]]-PROVEEDORES[[#This Row],[PLAZO Días]],0)</f>
        <v>0</v>
      </c>
      <c r="U859" s="135">
        <f>+VLOOKUP(PROVEEDORES[[#This Row],[PROVEEDOR]],Terceros!$A:$D,4,FALSE)</f>
        <v>0</v>
      </c>
      <c r="V859" s="135">
        <f>+YEAR(PROVEEDORES[[#This Row],[FECHA DE FACTURACIÓN]])</f>
        <v>2023</v>
      </c>
      <c r="W859" s="135">
        <f>+MATCH(PROVEEDORES[[#This Row],[año facturado]],Retenciones!$1:$1,0)</f>
        <v>6</v>
      </c>
      <c r="X859" s="136">
        <f>+VLOOKUP(PROVEEDORES[[#This Row],[ID RETENCION]],Retenciones!$A$1:$O$25,PROVEEDORES[[#This Row],[indicador de columna]],FALSE)</f>
        <v>0</v>
      </c>
      <c r="Y859" s="137">
        <f>+VLOOKUP(PROVEEDORES[[#This Row],[ID RETENCION]],Retenciones!$A$1:$O$25,2,FALSE)</f>
        <v>0</v>
      </c>
      <c r="Z859" s="126" t="b">
        <f>+OR(COUNTIF(PROVEEDORES[[#This Row],[PROVEEDOR]],"*"&amp;'Palabra que no opera y Listas d'!$A$2&amp;"*"))</f>
        <v>0</v>
      </c>
    </row>
    <row r="860" spans="1:26" ht="27.75" customHeight="1" x14ac:dyDescent="0.25">
      <c r="A860" s="141" t="str">
        <f>+IF(PROVEEDORES[[#This Row],[FECHA DE PAGO]]=PROVEEDORES[[#This Row],[FECHA DE FACTURACIÓN]],"DE CONTADO","CRÉDITO")</f>
        <v>CRÉDITO</v>
      </c>
      <c r="B860" s="138" t="b">
        <f>+IF((PROVEEDORES[[#This Row],[FECHA DE PAGO]]-PROVEEDORES[[#This Row],[FECHA DE FACTURACIÓN]])&gt;PROVEEDORES[[#This Row],[PLAZO Días]],"PAGO VENCIDO")</f>
        <v>0</v>
      </c>
      <c r="C860" s="138">
        <f>+VLOOKUP(PROVEEDORES[[#This Row],[PROVEEDOR]],TERCEROS_INFO[#All],2,FALSE)</f>
        <v>45</v>
      </c>
      <c r="D860" s="139">
        <f>+SUMIFS(PROVEEDORES[Total],PROVEEDORES[PROVEEDOR],PROVEEDORES[[#This Row],[PROVEEDOR]],PROVEEDORES[FECHA DE PAGO],"")</f>
        <v>22186260.039999999</v>
      </c>
      <c r="E860" s="140"/>
      <c r="F860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860" s="127">
        <v>45237</v>
      </c>
      <c r="H860" s="123" t="s">
        <v>19</v>
      </c>
      <c r="I860" s="127">
        <v>45197</v>
      </c>
      <c r="J860" s="124" t="s">
        <v>1073</v>
      </c>
      <c r="K860" s="124" t="s">
        <v>1530</v>
      </c>
      <c r="L860" s="124"/>
      <c r="M860" s="125">
        <v>6110400</v>
      </c>
      <c r="N860" s="148">
        <v>1160976</v>
      </c>
      <c r="O860" s="148">
        <v>0</v>
      </c>
      <c r="P860" s="149">
        <v>0</v>
      </c>
      <c r="Q860" s="148">
        <v>0</v>
      </c>
      <c r="R860" s="150">
        <v>7271376</v>
      </c>
      <c r="S8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0" s="135">
        <f ca="1">+IF(PROVEEDORES[[#This Row],[FECHA DE PAGO]]=0,TODAY()-PROVEEDORES[[#This Row],[FECHA DE FACTURACIÓN]]-PROVEEDORES[[#This Row],[PLAZO Días]],0)</f>
        <v>0</v>
      </c>
      <c r="U860" s="135">
        <f>+VLOOKUP(PROVEEDORES[[#This Row],[PROVEEDOR]],Terceros!$A:$D,4,FALSE)</f>
        <v>0</v>
      </c>
      <c r="V860" s="135">
        <f>+YEAR(PROVEEDORES[[#This Row],[FECHA DE FACTURACIÓN]])</f>
        <v>2023</v>
      </c>
      <c r="W860" s="135">
        <f>+MATCH(PROVEEDORES[[#This Row],[año facturado]],Retenciones!$1:$1,0)</f>
        <v>6</v>
      </c>
      <c r="X860" s="136">
        <f>+VLOOKUP(PROVEEDORES[[#This Row],[ID RETENCION]],Retenciones!$A$1:$O$25,PROVEEDORES[[#This Row],[indicador de columna]],FALSE)</f>
        <v>0</v>
      </c>
      <c r="Y860" s="137">
        <f>+VLOOKUP(PROVEEDORES[[#This Row],[ID RETENCION]],Retenciones!$A$1:$O$25,2,FALSE)</f>
        <v>0</v>
      </c>
      <c r="Z860" s="126" t="b">
        <f>+OR(COUNTIF(PROVEEDORES[[#This Row],[PROVEEDOR]],"*"&amp;'Palabra que no opera y Listas d'!$A$2&amp;"*"))</f>
        <v>0</v>
      </c>
    </row>
    <row r="861" spans="1:26" ht="27.75" customHeight="1" x14ac:dyDescent="0.25">
      <c r="A861" s="141" t="str">
        <f>+IF(PROVEEDORES[[#This Row],[FECHA DE PAGO]]=PROVEEDORES[[#This Row],[FECHA DE FACTURACIÓN]],"DE CONTADO","CRÉDITO")</f>
        <v>CRÉDITO</v>
      </c>
      <c r="B861" s="138" t="str">
        <f>+IF((PROVEEDORES[[#This Row],[FECHA DE PAGO]]-PROVEEDORES[[#This Row],[FECHA DE FACTURACIÓN]])&gt;PROVEEDORES[[#This Row],[PLAZO Días]],"PAGO VENCIDO")</f>
        <v>PAGO VENCIDO</v>
      </c>
      <c r="C861" s="138">
        <f>+VLOOKUP(PROVEEDORES[[#This Row],[PROVEEDOR]],TERCEROS_INFO[#All],2,FALSE)</f>
        <v>30</v>
      </c>
      <c r="D861" s="139">
        <f>+SUMIFS(PROVEEDORES[Total],PROVEEDORES[PROVEEDOR],PROVEEDORES[[#This Row],[PROVEEDOR]],PROVEEDORES[FECHA DE PAGO],"")</f>
        <v>5427539.2800000003</v>
      </c>
      <c r="E861" s="140"/>
      <c r="F861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861" s="127">
        <v>45237</v>
      </c>
      <c r="H861" s="123" t="s">
        <v>11</v>
      </c>
      <c r="I861" s="127">
        <v>45197</v>
      </c>
      <c r="J861" s="124" t="s">
        <v>1087</v>
      </c>
      <c r="K861" s="124" t="s">
        <v>1530</v>
      </c>
      <c r="L861" s="124"/>
      <c r="M861" s="125">
        <v>2329416</v>
      </c>
      <c r="N861" s="148">
        <v>442589.04</v>
      </c>
      <c r="O861" s="148">
        <v>0</v>
      </c>
      <c r="P861" s="149">
        <v>2.5000000000000001E-2</v>
      </c>
      <c r="Q861" s="148">
        <v>58235.4</v>
      </c>
      <c r="R861" s="150">
        <v>2713769.64</v>
      </c>
      <c r="S8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1" s="135">
        <f ca="1">+IF(PROVEEDORES[[#This Row],[FECHA DE PAGO]]=0,TODAY()-PROVEEDORES[[#This Row],[FECHA DE FACTURACIÓN]]-PROVEEDORES[[#This Row],[PLAZO Días]],0)</f>
        <v>0</v>
      </c>
      <c r="U861" s="135" t="str">
        <f>+VLOOKUP(PROVEEDORES[[#This Row],[PROVEEDOR]],Terceros!$A:$D,4,FALSE)</f>
        <v>2,5% con base</v>
      </c>
      <c r="V861" s="135">
        <f>+YEAR(PROVEEDORES[[#This Row],[FECHA DE FACTURACIÓN]])</f>
        <v>2023</v>
      </c>
      <c r="W861" s="135">
        <f>+MATCH(PROVEEDORES[[#This Row],[año facturado]],Retenciones!$1:$1,0)</f>
        <v>6</v>
      </c>
      <c r="X861" s="136">
        <f>+VLOOKUP(PROVEEDORES[[#This Row],[ID RETENCION]],Retenciones!$A$1:$O$25,PROVEEDORES[[#This Row],[indicador de columna]],FALSE)</f>
        <v>1145000</v>
      </c>
      <c r="Y861" s="137">
        <f>+VLOOKUP(PROVEEDORES[[#This Row],[ID RETENCION]],Retenciones!$A$1:$O$25,2,FALSE)</f>
        <v>2.5000000000000001E-2</v>
      </c>
      <c r="Z861" s="126" t="b">
        <f>+OR(COUNTIF(PROVEEDORES[[#This Row],[PROVEEDOR]],"*"&amp;'Palabra que no opera y Listas d'!$A$2&amp;"*"))</f>
        <v>0</v>
      </c>
    </row>
    <row r="862" spans="1:26" ht="27.75" customHeight="1" x14ac:dyDescent="0.25">
      <c r="A862" s="141" t="str">
        <f>+IF(PROVEEDORES[[#This Row],[FECHA DE PAGO]]=PROVEEDORES[[#This Row],[FECHA DE FACTURACIÓN]],"DE CONTADO","CRÉDITO")</f>
        <v>CRÉDITO</v>
      </c>
      <c r="B862" s="138" t="str">
        <f>+IF((PROVEEDORES[[#This Row],[FECHA DE PAGO]]-PROVEEDORES[[#This Row],[FECHA DE FACTURACIÓN]])&gt;PROVEEDORES[[#This Row],[PLAZO Días]],"PAGO VENCIDO")</f>
        <v>PAGO VENCIDO</v>
      </c>
      <c r="C862" s="138">
        <f>+VLOOKUP(PROVEEDORES[[#This Row],[PROVEEDOR]],TERCEROS_INFO[#All],2,FALSE)</f>
        <v>30</v>
      </c>
      <c r="D862" s="139">
        <f>+SUMIFS(PROVEEDORES[Total],PROVEEDORES[PROVEEDOR],PROVEEDORES[[#This Row],[PROVEEDOR]],PROVEEDORES[FECHA DE PAGO],"")</f>
        <v>3130000</v>
      </c>
      <c r="E862" s="140"/>
      <c r="F862" s="138">
        <f>+VLOOKUP(PROVEEDORES[[#This Row],[PROVEEDOR]],
                       Terceros!$A:$F,
                       5,
                       FALSE)</f>
        <v>0</v>
      </c>
      <c r="G862" s="127">
        <v>45237</v>
      </c>
      <c r="H862" s="123" t="s">
        <v>472</v>
      </c>
      <c r="I862" s="127">
        <v>45198</v>
      </c>
      <c r="J862" s="124">
        <v>5729</v>
      </c>
      <c r="K862" s="124" t="s">
        <v>1530</v>
      </c>
      <c r="L862" s="124"/>
      <c r="M862" s="125">
        <v>1740000</v>
      </c>
      <c r="N862" s="148">
        <v>0</v>
      </c>
      <c r="O862" s="148">
        <v>0</v>
      </c>
      <c r="P862" s="149">
        <v>0</v>
      </c>
      <c r="Q862" s="148">
        <v>0</v>
      </c>
      <c r="R862" s="150">
        <v>1740000</v>
      </c>
      <c r="S8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2" s="135">
        <f ca="1">+IF(PROVEEDORES[[#This Row],[FECHA DE PAGO]]=0,TODAY()-PROVEEDORES[[#This Row],[FECHA DE FACTURACIÓN]]-PROVEEDORES[[#This Row],[PLAZO Días]],0)</f>
        <v>0</v>
      </c>
      <c r="U862" s="135">
        <f>+VLOOKUP(PROVEEDORES[[#This Row],[PROVEEDOR]],Terceros!$A:$D,4,FALSE)</f>
        <v>0</v>
      </c>
      <c r="V862" s="135">
        <f>+YEAR(PROVEEDORES[[#This Row],[FECHA DE FACTURACIÓN]])</f>
        <v>2023</v>
      </c>
      <c r="W862" s="135">
        <f>+MATCH(PROVEEDORES[[#This Row],[año facturado]],Retenciones!$1:$1,0)</f>
        <v>6</v>
      </c>
      <c r="X862" s="136">
        <f>+VLOOKUP(PROVEEDORES[[#This Row],[ID RETENCION]],Retenciones!$A$1:$O$25,PROVEEDORES[[#This Row],[indicador de columna]],FALSE)</f>
        <v>0</v>
      </c>
      <c r="Y862" s="137">
        <f>+VLOOKUP(PROVEEDORES[[#This Row],[ID RETENCION]],Retenciones!$A$1:$O$25,2,FALSE)</f>
        <v>0</v>
      </c>
      <c r="Z862" s="126" t="b">
        <f>+OR(COUNTIF(PROVEEDORES[[#This Row],[PROVEEDOR]],"*"&amp;'Palabra que no opera y Listas d'!$A$2&amp;"*"))</f>
        <v>0</v>
      </c>
    </row>
    <row r="863" spans="1:26" ht="27.75" customHeight="1" x14ac:dyDescent="0.25">
      <c r="A863" s="141" t="str">
        <f>+IF(PROVEEDORES[[#This Row],[FECHA DE PAGO]]=PROVEEDORES[[#This Row],[FECHA DE FACTURACIÓN]],"DE CONTADO","CRÉDITO")</f>
        <v>CRÉDITO</v>
      </c>
      <c r="B863" s="138" t="str">
        <f>+IF((PROVEEDORES[[#This Row],[FECHA DE PAGO]]-PROVEEDORES[[#This Row],[FECHA DE FACTURACIÓN]])&gt;PROVEEDORES[[#This Row],[PLAZO Días]],"PAGO VENCIDO")</f>
        <v>PAGO VENCIDO</v>
      </c>
      <c r="C863" s="138">
        <f>+VLOOKUP(PROVEEDORES[[#This Row],[PROVEEDOR]],TERCEROS_INFO[#All],2,FALSE)</f>
        <v>30</v>
      </c>
      <c r="D863" s="139">
        <f>+SUMIFS(PROVEEDORES[Total],PROVEEDORES[PROVEEDOR],PROVEEDORES[[#This Row],[PROVEEDOR]],PROVEEDORES[FECHA DE PAGO],"")</f>
        <v>0</v>
      </c>
      <c r="E863" s="140"/>
      <c r="F863" s="138" t="str">
        <f>+VLOOKUP(PROVEEDORES[[#This Row],[PROVEEDOR]],
                       Terceros!$A:$F,
                       5,
                       FALSE)</f>
        <v>oag15@hotmail.com;girlesa.ruiz@servipilas.com;joriescobar64@gmail.com</v>
      </c>
      <c r="G863" s="127">
        <v>45237</v>
      </c>
      <c r="H863" s="123" t="s">
        <v>1163</v>
      </c>
      <c r="I863" s="127">
        <v>45205</v>
      </c>
      <c r="J863" s="124" t="s">
        <v>1165</v>
      </c>
      <c r="K863" s="124" t="s">
        <v>1530</v>
      </c>
      <c r="L863" s="124"/>
      <c r="M863" s="125">
        <v>757984</v>
      </c>
      <c r="N863" s="148">
        <v>144016.95999999999</v>
      </c>
      <c r="O863" s="148">
        <v>0</v>
      </c>
      <c r="P863" s="149">
        <v>0</v>
      </c>
      <c r="Q863" s="148">
        <v>0</v>
      </c>
      <c r="R863" s="150">
        <v>902000.96</v>
      </c>
      <c r="S8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3" s="135">
        <f ca="1">+IF(PROVEEDORES[[#This Row],[FECHA DE PAGO]]=0,TODAY()-PROVEEDORES[[#This Row],[FECHA DE FACTURACIÓN]]-PROVEEDORES[[#This Row],[PLAZO Días]],0)</f>
        <v>0</v>
      </c>
      <c r="U863" s="135" t="str">
        <f>+VLOOKUP(PROVEEDORES[[#This Row],[PROVEEDOR]],Terceros!$A:$D,4,FALSE)</f>
        <v>2,5% con base</v>
      </c>
      <c r="V863" s="135">
        <f>+YEAR(PROVEEDORES[[#This Row],[FECHA DE FACTURACIÓN]])</f>
        <v>2023</v>
      </c>
      <c r="W863" s="135">
        <f>+MATCH(PROVEEDORES[[#This Row],[año facturado]],Retenciones!$1:$1,0)</f>
        <v>6</v>
      </c>
      <c r="X863" s="136">
        <f>+VLOOKUP(PROVEEDORES[[#This Row],[ID RETENCION]],Retenciones!$A$1:$O$25,PROVEEDORES[[#This Row],[indicador de columna]],FALSE)</f>
        <v>1145000</v>
      </c>
      <c r="Y863" s="137">
        <f>+VLOOKUP(PROVEEDORES[[#This Row],[ID RETENCION]],Retenciones!$A$1:$O$25,2,FALSE)</f>
        <v>2.5000000000000001E-2</v>
      </c>
      <c r="Z863" s="126" t="b">
        <f>+OR(COUNTIF(PROVEEDORES[[#This Row],[PROVEEDOR]],"*"&amp;'Palabra que no opera y Listas d'!$A$2&amp;"*"))</f>
        <v>0</v>
      </c>
    </row>
    <row r="864" spans="1:26" ht="27.75" customHeight="1" x14ac:dyDescent="0.25">
      <c r="A864" s="141" t="str">
        <f>+IF(PROVEEDORES[[#This Row],[FECHA DE PAGO]]=PROVEEDORES[[#This Row],[FECHA DE FACTURACIÓN]],"DE CONTADO","CRÉDITO")</f>
        <v>DE CONTADO</v>
      </c>
      <c r="B864" s="138" t="b">
        <f>+IF((PROVEEDORES[[#This Row],[FECHA DE PAGO]]-PROVEEDORES[[#This Row],[FECHA DE FACTURACIÓN]])&gt;PROVEEDORES[[#This Row],[PLAZO Días]],"PAGO VENCIDO")</f>
        <v>0</v>
      </c>
      <c r="C864" s="138">
        <f>+VLOOKUP(PROVEEDORES[[#This Row],[PROVEEDOR]],TERCEROS_INFO[#All],2,FALSE)</f>
        <v>30</v>
      </c>
      <c r="D864" s="139">
        <f>+SUMIFS(PROVEEDORES[Total],PROVEEDORES[PROVEEDOR],PROVEEDORES[[#This Row],[PROVEEDOR]],PROVEEDORES[FECHA DE PAGO],"")</f>
        <v>0</v>
      </c>
      <c r="E864" s="140"/>
      <c r="F864" s="138" t="str">
        <f>+VLOOKUP(PROVEEDORES[[#This Row],[PROVEEDOR]],
                       Terceros!$A:$F,
                       5,
                       FALSE)</f>
        <v/>
      </c>
      <c r="G864" s="127">
        <v>45237</v>
      </c>
      <c r="H864" s="123" t="s">
        <v>1824</v>
      </c>
      <c r="I864" s="127">
        <v>45237</v>
      </c>
      <c r="J864" s="124"/>
      <c r="K864" s="124" t="s">
        <v>1530</v>
      </c>
      <c r="L864" s="124"/>
      <c r="M864" s="125">
        <v>1000000</v>
      </c>
      <c r="N864" s="148">
        <v>0</v>
      </c>
      <c r="O864" s="148">
        <v>0</v>
      </c>
      <c r="P864" s="149">
        <v>0</v>
      </c>
      <c r="Q864" s="148">
        <v>0</v>
      </c>
      <c r="R864" s="150">
        <v>1000000</v>
      </c>
      <c r="S8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4" s="135">
        <f ca="1">+IF(PROVEEDORES[[#This Row],[FECHA DE PAGO]]=0,TODAY()-PROVEEDORES[[#This Row],[FECHA DE FACTURACIÓN]]-PROVEEDORES[[#This Row],[PLAZO Días]],0)</f>
        <v>0</v>
      </c>
      <c r="U864" s="135">
        <f>+VLOOKUP(PROVEEDORES[[#This Row],[PROVEEDOR]],Terceros!$A:$D,4,FALSE)</f>
        <v>0</v>
      </c>
      <c r="V864" s="135">
        <f>+YEAR(PROVEEDORES[[#This Row],[FECHA DE FACTURACIÓN]])</f>
        <v>2023</v>
      </c>
      <c r="W864" s="135">
        <f>+MATCH(PROVEEDORES[[#This Row],[año facturado]],Retenciones!$1:$1,0)</f>
        <v>6</v>
      </c>
      <c r="X864" s="136">
        <f>+VLOOKUP(PROVEEDORES[[#This Row],[ID RETENCION]],Retenciones!$A$1:$O$25,PROVEEDORES[[#This Row],[indicador de columna]],FALSE)</f>
        <v>0</v>
      </c>
      <c r="Y864" s="137">
        <f>+VLOOKUP(PROVEEDORES[[#This Row],[ID RETENCION]],Retenciones!$A$1:$O$25,2,FALSE)</f>
        <v>0</v>
      </c>
      <c r="Z864" s="126" t="b">
        <f>+OR(COUNTIF(PROVEEDORES[[#This Row],[PROVEEDOR]],"*"&amp;'Palabra que no opera y Listas d'!$A$2&amp;"*"))</f>
        <v>0</v>
      </c>
    </row>
    <row r="865" spans="1:26" ht="27.75" customHeight="1" x14ac:dyDescent="0.25">
      <c r="A865" s="141" t="str">
        <f>+IF(PROVEEDORES[[#This Row],[FECHA DE PAGO]]=PROVEEDORES[[#This Row],[FECHA DE FACTURACIÓN]],"DE CONTADO","CRÉDITO")</f>
        <v>DE CONTADO</v>
      </c>
      <c r="B865" s="138" t="b">
        <f>+IF((PROVEEDORES[[#This Row],[FECHA DE PAGO]]-PROVEEDORES[[#This Row],[FECHA DE FACTURACIÓN]])&gt;PROVEEDORES[[#This Row],[PLAZO Días]],"PAGO VENCIDO")</f>
        <v>0</v>
      </c>
      <c r="C865" s="138">
        <f>+VLOOKUP(PROVEEDORES[[#This Row],[PROVEEDOR]],TERCEROS_INFO[#All],2,FALSE)</f>
        <v>30</v>
      </c>
      <c r="D865" s="139">
        <f>+SUMIFS(PROVEEDORES[Total],PROVEEDORES[PROVEEDOR],PROVEEDORES[[#This Row],[PROVEEDOR]],PROVEEDORES[FECHA DE PAGO],"")</f>
        <v>3130000</v>
      </c>
      <c r="E865" s="140"/>
      <c r="F865" s="138">
        <f>+VLOOKUP(PROVEEDORES[[#This Row],[PROVEEDOR]],
                       Terceros!$A:$F,
                       5,
                       FALSE)</f>
        <v>0</v>
      </c>
      <c r="G865" s="127">
        <v>45237</v>
      </c>
      <c r="H865" s="123" t="s">
        <v>472</v>
      </c>
      <c r="I865" s="127">
        <v>45237</v>
      </c>
      <c r="J865" s="124" t="s">
        <v>1243</v>
      </c>
      <c r="K865" s="124" t="s">
        <v>1530</v>
      </c>
      <c r="L865" s="124"/>
      <c r="M865" s="125">
        <v>400000</v>
      </c>
      <c r="N865" s="148">
        <v>0</v>
      </c>
      <c r="O865" s="148">
        <v>0</v>
      </c>
      <c r="P865" s="149">
        <v>0</v>
      </c>
      <c r="Q865" s="148">
        <v>0</v>
      </c>
      <c r="R865" s="150">
        <v>400000</v>
      </c>
      <c r="S8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5" s="135">
        <f ca="1">+IF(PROVEEDORES[[#This Row],[FECHA DE PAGO]]=0,TODAY()-PROVEEDORES[[#This Row],[FECHA DE FACTURACIÓN]]-PROVEEDORES[[#This Row],[PLAZO Días]],0)</f>
        <v>0</v>
      </c>
      <c r="U865" s="135">
        <f>+VLOOKUP(PROVEEDORES[[#This Row],[PROVEEDOR]],Terceros!$A:$D,4,FALSE)</f>
        <v>0</v>
      </c>
      <c r="V865" s="135">
        <f>+YEAR(PROVEEDORES[[#This Row],[FECHA DE FACTURACIÓN]])</f>
        <v>2023</v>
      </c>
      <c r="W865" s="135">
        <f>+MATCH(PROVEEDORES[[#This Row],[año facturado]],Retenciones!$1:$1,0)</f>
        <v>6</v>
      </c>
      <c r="X865" s="136">
        <f>+VLOOKUP(PROVEEDORES[[#This Row],[ID RETENCION]],Retenciones!$A$1:$O$25,PROVEEDORES[[#This Row],[indicador de columna]],FALSE)</f>
        <v>0</v>
      </c>
      <c r="Y865" s="137">
        <f>+VLOOKUP(PROVEEDORES[[#This Row],[ID RETENCION]],Retenciones!$A$1:$O$25,2,FALSE)</f>
        <v>0</v>
      </c>
      <c r="Z865" s="126" t="b">
        <f>+OR(COUNTIF(PROVEEDORES[[#This Row],[PROVEEDOR]],"*"&amp;'Palabra que no opera y Listas d'!$A$2&amp;"*"))</f>
        <v>0</v>
      </c>
    </row>
    <row r="866" spans="1:26" ht="27.75" customHeight="1" x14ac:dyDescent="0.25">
      <c r="A866" s="141" t="str">
        <f>+IF(PROVEEDORES[[#This Row],[FECHA DE PAGO]]=PROVEEDORES[[#This Row],[FECHA DE FACTURACIÓN]],"DE CONTADO","CRÉDITO")</f>
        <v>CRÉDITO</v>
      </c>
      <c r="B866" s="138" t="str">
        <f>+IF((PROVEEDORES[[#This Row],[FECHA DE PAGO]]-PROVEEDORES[[#This Row],[FECHA DE FACTURACIÓN]])&gt;PROVEEDORES[[#This Row],[PLAZO Días]],"PAGO VENCIDO")</f>
        <v>PAGO VENCIDO</v>
      </c>
      <c r="C866" s="138">
        <f>+VLOOKUP(PROVEEDORES[[#This Row],[PROVEEDOR]],TERCEROS_INFO[#All],2,FALSE)</f>
        <v>30</v>
      </c>
      <c r="D866" s="139">
        <f>+SUMIFS(PROVEEDORES[Total],PROVEEDORES[PROVEEDOR],PROVEEDORES[[#This Row],[PROVEEDOR]],PROVEEDORES[FECHA DE PAGO],"")</f>
        <v>0</v>
      </c>
      <c r="E866" s="140"/>
      <c r="F866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66" s="127">
        <v>45239</v>
      </c>
      <c r="H866" s="123" t="s">
        <v>1820</v>
      </c>
      <c r="I866" s="127">
        <v>45140</v>
      </c>
      <c r="J866" s="124">
        <v>328151</v>
      </c>
      <c r="K866" s="124" t="s">
        <v>1530</v>
      </c>
      <c r="L866" s="124"/>
      <c r="M866" s="125">
        <v>780000</v>
      </c>
      <c r="N866" s="148">
        <v>0</v>
      </c>
      <c r="O866" s="148">
        <v>0</v>
      </c>
      <c r="P866" s="149">
        <v>0</v>
      </c>
      <c r="Q866" s="148">
        <v>0</v>
      </c>
      <c r="R866" s="150">
        <v>780000</v>
      </c>
      <c r="S8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6" s="135">
        <f ca="1">+IF(PROVEEDORES[[#This Row],[FECHA DE PAGO]]=0,TODAY()-PROVEEDORES[[#This Row],[FECHA DE FACTURACIÓN]]-PROVEEDORES[[#This Row],[PLAZO Días]],0)</f>
        <v>0</v>
      </c>
      <c r="U866" s="135">
        <f>+VLOOKUP(PROVEEDORES[[#This Row],[PROVEEDOR]],Terceros!$A:$D,4,FALSE)</f>
        <v>0</v>
      </c>
      <c r="V866" s="135">
        <f>+YEAR(PROVEEDORES[[#This Row],[FECHA DE FACTURACIÓN]])</f>
        <v>2023</v>
      </c>
      <c r="W866" s="135">
        <f>+MATCH(PROVEEDORES[[#This Row],[año facturado]],Retenciones!$1:$1,0)</f>
        <v>6</v>
      </c>
      <c r="X866" s="136">
        <f>+VLOOKUP(PROVEEDORES[[#This Row],[ID RETENCION]],Retenciones!$A$1:$O$25,PROVEEDORES[[#This Row],[indicador de columna]],FALSE)</f>
        <v>0</v>
      </c>
      <c r="Y866" s="137">
        <f>+VLOOKUP(PROVEEDORES[[#This Row],[ID RETENCION]],Retenciones!$A$1:$O$25,2,FALSE)</f>
        <v>0</v>
      </c>
      <c r="Z866" s="126" t="b">
        <f>+OR(COUNTIF(PROVEEDORES[[#This Row],[PROVEEDOR]],"*"&amp;'Palabra que no opera y Listas d'!$A$2&amp;"*"))</f>
        <v>0</v>
      </c>
    </row>
    <row r="867" spans="1:26" ht="27.75" customHeight="1" x14ac:dyDescent="0.25">
      <c r="A867" s="141" t="str">
        <f>+IF(PROVEEDORES[[#This Row],[FECHA DE PAGO]]=PROVEEDORES[[#This Row],[FECHA DE FACTURACIÓN]],"DE CONTADO","CRÉDITO")</f>
        <v>CRÉDITO</v>
      </c>
      <c r="B867" s="138" t="str">
        <f>+IF((PROVEEDORES[[#This Row],[FECHA DE PAGO]]-PROVEEDORES[[#This Row],[FECHA DE FACTURACIÓN]])&gt;PROVEEDORES[[#This Row],[PLAZO Días]],"PAGO VENCIDO")</f>
        <v>PAGO VENCIDO</v>
      </c>
      <c r="C867" s="138">
        <f>+VLOOKUP(PROVEEDORES[[#This Row],[PROVEEDOR]],TERCEROS_INFO[#All],2,FALSE)</f>
        <v>30</v>
      </c>
      <c r="D867" s="139">
        <f>+SUMIFS(PROVEEDORES[Total],PROVEEDORES[PROVEEDOR],PROVEEDORES[[#This Row],[PROVEEDOR]],PROVEEDORES[FECHA DE PAGO],"")</f>
        <v>0</v>
      </c>
      <c r="E867" s="140"/>
      <c r="F867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67" s="127">
        <v>45239</v>
      </c>
      <c r="H867" s="123" t="s">
        <v>1820</v>
      </c>
      <c r="I867" s="127">
        <v>45177</v>
      </c>
      <c r="J867" s="124">
        <v>550829</v>
      </c>
      <c r="K867" s="124" t="s">
        <v>1530</v>
      </c>
      <c r="L867" s="124"/>
      <c r="M867" s="125">
        <v>130000</v>
      </c>
      <c r="N867" s="148">
        <v>0</v>
      </c>
      <c r="O867" s="148">
        <v>0</v>
      </c>
      <c r="P867" s="149">
        <v>0</v>
      </c>
      <c r="Q867" s="148">
        <v>0</v>
      </c>
      <c r="R867" s="150">
        <v>130000</v>
      </c>
      <c r="S8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7" s="135">
        <f ca="1">+IF(PROVEEDORES[[#This Row],[FECHA DE PAGO]]=0,TODAY()-PROVEEDORES[[#This Row],[FECHA DE FACTURACIÓN]]-PROVEEDORES[[#This Row],[PLAZO Días]],0)</f>
        <v>0</v>
      </c>
      <c r="U867" s="135">
        <f>+VLOOKUP(PROVEEDORES[[#This Row],[PROVEEDOR]],Terceros!$A:$D,4,FALSE)</f>
        <v>0</v>
      </c>
      <c r="V867" s="135">
        <f>+YEAR(PROVEEDORES[[#This Row],[FECHA DE FACTURACIÓN]])</f>
        <v>2023</v>
      </c>
      <c r="W867" s="135">
        <f>+MATCH(PROVEEDORES[[#This Row],[año facturado]],Retenciones!$1:$1,0)</f>
        <v>6</v>
      </c>
      <c r="X867" s="136">
        <f>+VLOOKUP(PROVEEDORES[[#This Row],[ID RETENCION]],Retenciones!$A$1:$O$25,PROVEEDORES[[#This Row],[indicador de columna]],FALSE)</f>
        <v>0</v>
      </c>
      <c r="Y867" s="137">
        <f>+VLOOKUP(PROVEEDORES[[#This Row],[ID RETENCION]],Retenciones!$A$1:$O$25,2,FALSE)</f>
        <v>0</v>
      </c>
      <c r="Z867" s="126" t="b">
        <f>+OR(COUNTIF(PROVEEDORES[[#This Row],[PROVEEDOR]],"*"&amp;'Palabra que no opera y Listas d'!$A$2&amp;"*"))</f>
        <v>0</v>
      </c>
    </row>
    <row r="868" spans="1:26" ht="27.75" customHeight="1" x14ac:dyDescent="0.25">
      <c r="A868" s="141" t="str">
        <f>+IF(PROVEEDORES[[#This Row],[FECHA DE PAGO]]=PROVEEDORES[[#This Row],[FECHA DE FACTURACIÓN]],"DE CONTADO","CRÉDITO")</f>
        <v>CRÉDITO</v>
      </c>
      <c r="B868" s="138" t="str">
        <f>+IF((PROVEEDORES[[#This Row],[FECHA DE PAGO]]-PROVEEDORES[[#This Row],[FECHA DE FACTURACIÓN]])&gt;PROVEEDORES[[#This Row],[PLAZO Días]],"PAGO VENCIDO")</f>
        <v>PAGO VENCIDO</v>
      </c>
      <c r="C868" s="138">
        <f>+VLOOKUP(PROVEEDORES[[#This Row],[PROVEEDOR]],TERCEROS_INFO[#All],2,FALSE)</f>
        <v>45</v>
      </c>
      <c r="D868" s="139">
        <f>+SUMIFS(PROVEEDORES[Total],PROVEEDORES[PROVEEDOR],PROVEEDORES[[#This Row],[PROVEEDOR]],PROVEEDORES[FECHA DE PAGO],"")</f>
        <v>2446500</v>
      </c>
      <c r="E868" s="140"/>
      <c r="F868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868" s="127">
        <v>45239</v>
      </c>
      <c r="H868" s="123" t="s">
        <v>10</v>
      </c>
      <c r="I868" s="127">
        <v>45184</v>
      </c>
      <c r="J868" s="124" t="s">
        <v>1061</v>
      </c>
      <c r="K868" s="124" t="s">
        <v>1530</v>
      </c>
      <c r="L868" s="124"/>
      <c r="M868" s="125">
        <v>2520000</v>
      </c>
      <c r="N868" s="148">
        <v>478800</v>
      </c>
      <c r="O868" s="148">
        <v>0</v>
      </c>
      <c r="P868" s="149">
        <v>2.5000000000000001E-2</v>
      </c>
      <c r="Q868" s="148">
        <v>63000</v>
      </c>
      <c r="R868" s="150">
        <v>2935800</v>
      </c>
      <c r="S8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8" s="135">
        <f ca="1">+IF(PROVEEDORES[[#This Row],[FECHA DE PAGO]]=0,TODAY()-PROVEEDORES[[#This Row],[FECHA DE FACTURACIÓN]]-PROVEEDORES[[#This Row],[PLAZO Días]],0)</f>
        <v>0</v>
      </c>
      <c r="U868" s="135" t="str">
        <f>+VLOOKUP(PROVEEDORES[[#This Row],[PROVEEDOR]],Terceros!$A:$D,4,FALSE)</f>
        <v>2,5% con base</v>
      </c>
      <c r="V868" s="135">
        <f>+YEAR(PROVEEDORES[[#This Row],[FECHA DE FACTURACIÓN]])</f>
        <v>2023</v>
      </c>
      <c r="W868" s="135">
        <f>+MATCH(PROVEEDORES[[#This Row],[año facturado]],Retenciones!$1:$1,0)</f>
        <v>6</v>
      </c>
      <c r="X868" s="136">
        <f>+VLOOKUP(PROVEEDORES[[#This Row],[ID RETENCION]],Retenciones!$A$1:$O$25,PROVEEDORES[[#This Row],[indicador de columna]],FALSE)</f>
        <v>1145000</v>
      </c>
      <c r="Y868" s="137">
        <f>+VLOOKUP(PROVEEDORES[[#This Row],[ID RETENCION]],Retenciones!$A$1:$O$25,2,FALSE)</f>
        <v>2.5000000000000001E-2</v>
      </c>
      <c r="Z868" s="126" t="b">
        <f>+OR(COUNTIF(PROVEEDORES[[#This Row],[PROVEEDOR]],"*"&amp;'Palabra que no opera y Listas d'!$A$2&amp;"*"))</f>
        <v>0</v>
      </c>
    </row>
    <row r="869" spans="1:26" ht="27.75" customHeight="1" x14ac:dyDescent="0.25">
      <c r="A869" s="141" t="str">
        <f>+IF(PROVEEDORES[[#This Row],[FECHA DE PAGO]]=PROVEEDORES[[#This Row],[FECHA DE FACTURACIÓN]],"DE CONTADO","CRÉDITO")</f>
        <v>CRÉDITO</v>
      </c>
      <c r="B869" s="138" t="str">
        <f>+IF((PROVEEDORES[[#This Row],[FECHA DE PAGO]]-PROVEEDORES[[#This Row],[FECHA DE FACTURACIÓN]])&gt;PROVEEDORES[[#This Row],[PLAZO Días]],"PAGO VENCIDO")</f>
        <v>PAGO VENCIDO</v>
      </c>
      <c r="C869" s="138">
        <f>+VLOOKUP(PROVEEDORES[[#This Row],[PROVEEDOR]],TERCEROS_INFO[#All],2,FALSE)</f>
        <v>30</v>
      </c>
      <c r="D869" s="139">
        <f>+SUMIFS(PROVEEDORES[Total],PROVEEDORES[PROVEEDOR],PROVEEDORES[[#This Row],[PROVEEDOR]],PROVEEDORES[FECHA DE PAGO],"")</f>
        <v>4466504.835</v>
      </c>
      <c r="E869" s="140"/>
      <c r="F869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869" s="127">
        <v>45239</v>
      </c>
      <c r="H869" s="123" t="s">
        <v>18</v>
      </c>
      <c r="I869" s="127">
        <v>45190</v>
      </c>
      <c r="J869" s="124" t="s">
        <v>1069</v>
      </c>
      <c r="K869" s="124" t="s">
        <v>1530</v>
      </c>
      <c r="L869" s="124"/>
      <c r="M869" s="125">
        <v>804018</v>
      </c>
      <c r="N869" s="148">
        <v>152763.42000000001</v>
      </c>
      <c r="O869" s="148">
        <v>0</v>
      </c>
      <c r="P869" s="149">
        <v>0</v>
      </c>
      <c r="Q869" s="148">
        <v>0</v>
      </c>
      <c r="R869" s="150">
        <v>956781.42</v>
      </c>
      <c r="S8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69" s="135">
        <f ca="1">+IF(PROVEEDORES[[#This Row],[FECHA DE PAGO]]=0,TODAY()-PROVEEDORES[[#This Row],[FECHA DE FACTURACIÓN]]-PROVEEDORES[[#This Row],[PLAZO Días]],0)</f>
        <v>0</v>
      </c>
      <c r="U869" s="135" t="str">
        <f>+VLOOKUP(PROVEEDORES[[#This Row],[PROVEEDOR]],Terceros!$A:$D,4,FALSE)</f>
        <v>2,5% con base</v>
      </c>
      <c r="V869" s="135">
        <f>+YEAR(PROVEEDORES[[#This Row],[FECHA DE FACTURACIÓN]])</f>
        <v>2023</v>
      </c>
      <c r="W869" s="135">
        <f>+MATCH(PROVEEDORES[[#This Row],[año facturado]],Retenciones!$1:$1,0)</f>
        <v>6</v>
      </c>
      <c r="X869" s="136">
        <f>+VLOOKUP(PROVEEDORES[[#This Row],[ID RETENCION]],Retenciones!$A$1:$O$25,PROVEEDORES[[#This Row],[indicador de columna]],FALSE)</f>
        <v>1145000</v>
      </c>
      <c r="Y869" s="137">
        <f>+VLOOKUP(PROVEEDORES[[#This Row],[ID RETENCION]],Retenciones!$A$1:$O$25,2,FALSE)</f>
        <v>2.5000000000000001E-2</v>
      </c>
      <c r="Z869" s="126" t="b">
        <f>+OR(COUNTIF(PROVEEDORES[[#This Row],[PROVEEDOR]],"*"&amp;'Palabra que no opera y Listas d'!$A$2&amp;"*"))</f>
        <v>0</v>
      </c>
    </row>
    <row r="870" spans="1:26" ht="27.75" customHeight="1" x14ac:dyDescent="0.25">
      <c r="A870" s="141" t="str">
        <f>+IF(PROVEEDORES[[#This Row],[FECHA DE PAGO]]=PROVEEDORES[[#This Row],[FECHA DE FACTURACIÓN]],"DE CONTADO","CRÉDITO")</f>
        <v>CRÉDITO</v>
      </c>
      <c r="B870" s="138" t="str">
        <f>+IF((PROVEEDORES[[#This Row],[FECHA DE PAGO]]-PROVEEDORES[[#This Row],[FECHA DE FACTURACIÓN]])&gt;PROVEEDORES[[#This Row],[PLAZO Días]],"PAGO VENCIDO")</f>
        <v>PAGO VENCIDO</v>
      </c>
      <c r="C870" s="138">
        <f>+VLOOKUP(PROVEEDORES[[#This Row],[PROVEEDOR]],TERCEROS_INFO[#All],2,FALSE)</f>
        <v>30</v>
      </c>
      <c r="D870" s="139">
        <f>+SUMIFS(PROVEEDORES[Total],PROVEEDORES[PROVEEDOR],PROVEEDORES[[#This Row],[PROVEEDOR]],PROVEEDORES[FECHA DE PAGO],"")</f>
        <v>4466504.835</v>
      </c>
      <c r="E870" s="140"/>
      <c r="F870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870" s="127">
        <v>45239</v>
      </c>
      <c r="H870" s="123" t="s">
        <v>18</v>
      </c>
      <c r="I870" s="127">
        <v>45198</v>
      </c>
      <c r="J870" s="124" t="s">
        <v>1094</v>
      </c>
      <c r="K870" s="124" t="s">
        <v>1530</v>
      </c>
      <c r="L870" s="124"/>
      <c r="M870" s="125">
        <v>2031499</v>
      </c>
      <c r="N870" s="148">
        <v>385984.81</v>
      </c>
      <c r="O870" s="148">
        <v>0</v>
      </c>
      <c r="P870" s="149">
        <v>2.5000000000000001E-2</v>
      </c>
      <c r="Q870" s="148">
        <v>50787.475000000006</v>
      </c>
      <c r="R870" s="150">
        <v>2366696.335</v>
      </c>
      <c r="S8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0" s="135">
        <f ca="1">+IF(PROVEEDORES[[#This Row],[FECHA DE PAGO]]=0,TODAY()-PROVEEDORES[[#This Row],[FECHA DE FACTURACIÓN]]-PROVEEDORES[[#This Row],[PLAZO Días]],0)</f>
        <v>0</v>
      </c>
      <c r="U870" s="135" t="str">
        <f>+VLOOKUP(PROVEEDORES[[#This Row],[PROVEEDOR]],Terceros!$A:$D,4,FALSE)</f>
        <v>2,5% con base</v>
      </c>
      <c r="V870" s="135">
        <f>+YEAR(PROVEEDORES[[#This Row],[FECHA DE FACTURACIÓN]])</f>
        <v>2023</v>
      </c>
      <c r="W870" s="135">
        <f>+MATCH(PROVEEDORES[[#This Row],[año facturado]],Retenciones!$1:$1,0)</f>
        <v>6</v>
      </c>
      <c r="X870" s="136">
        <f>+VLOOKUP(PROVEEDORES[[#This Row],[ID RETENCION]],Retenciones!$A$1:$O$25,PROVEEDORES[[#This Row],[indicador de columna]],FALSE)</f>
        <v>1145000</v>
      </c>
      <c r="Y870" s="137">
        <f>+VLOOKUP(PROVEEDORES[[#This Row],[ID RETENCION]],Retenciones!$A$1:$O$25,2,FALSE)</f>
        <v>2.5000000000000001E-2</v>
      </c>
      <c r="Z870" s="126" t="b">
        <f>+OR(COUNTIF(PROVEEDORES[[#This Row],[PROVEEDOR]],"*"&amp;'Palabra que no opera y Listas d'!$A$2&amp;"*"))</f>
        <v>0</v>
      </c>
    </row>
    <row r="871" spans="1:26" ht="27.75" customHeight="1" x14ac:dyDescent="0.25">
      <c r="A871" s="141" t="str">
        <f>+IF(PROVEEDORES[[#This Row],[FECHA DE PAGO]]=PROVEEDORES[[#This Row],[FECHA DE FACTURACIÓN]],"DE CONTADO","CRÉDITO")</f>
        <v>CRÉDITO</v>
      </c>
      <c r="B871" s="138" t="str">
        <f>+IF((PROVEEDORES[[#This Row],[FECHA DE PAGO]]-PROVEEDORES[[#This Row],[FECHA DE FACTURACIÓN]])&gt;PROVEEDORES[[#This Row],[PLAZO Días]],"PAGO VENCIDO")</f>
        <v>PAGO VENCIDO</v>
      </c>
      <c r="C871" s="138">
        <f>+VLOOKUP(PROVEEDORES[[#This Row],[PROVEEDOR]],TERCEROS_INFO[#All],2,FALSE)</f>
        <v>30</v>
      </c>
      <c r="D871" s="139">
        <f>+SUMIFS(PROVEEDORES[Total],PROVEEDORES[PROVEEDOR],PROVEEDORES[[#This Row],[PROVEEDOR]],PROVEEDORES[FECHA DE PAGO],"")</f>
        <v>4466504.835</v>
      </c>
      <c r="E871" s="140"/>
      <c r="F871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871" s="127">
        <v>45239</v>
      </c>
      <c r="H871" s="123" t="s">
        <v>18</v>
      </c>
      <c r="I871" s="127">
        <v>45203</v>
      </c>
      <c r="J871" s="124" t="s">
        <v>1093</v>
      </c>
      <c r="K871" s="124" t="s">
        <v>1530</v>
      </c>
      <c r="L871" s="124"/>
      <c r="M871" s="125">
        <v>3099280</v>
      </c>
      <c r="N871" s="148">
        <v>588863.19999999995</v>
      </c>
      <c r="O871" s="148">
        <v>0</v>
      </c>
      <c r="P871" s="149">
        <v>2.5000000000000001E-2</v>
      </c>
      <c r="Q871" s="148">
        <v>77482</v>
      </c>
      <c r="R871" s="150">
        <v>3610661.2</v>
      </c>
      <c r="S8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1" s="135">
        <f ca="1">+IF(PROVEEDORES[[#This Row],[FECHA DE PAGO]]=0,TODAY()-PROVEEDORES[[#This Row],[FECHA DE FACTURACIÓN]]-PROVEEDORES[[#This Row],[PLAZO Días]],0)</f>
        <v>0</v>
      </c>
      <c r="U871" s="135" t="str">
        <f>+VLOOKUP(PROVEEDORES[[#This Row],[PROVEEDOR]],Terceros!$A:$D,4,FALSE)</f>
        <v>2,5% con base</v>
      </c>
      <c r="V871" s="135">
        <f>+YEAR(PROVEEDORES[[#This Row],[FECHA DE FACTURACIÓN]])</f>
        <v>2023</v>
      </c>
      <c r="W871" s="135">
        <f>+MATCH(PROVEEDORES[[#This Row],[año facturado]],Retenciones!$1:$1,0)</f>
        <v>6</v>
      </c>
      <c r="X871" s="136">
        <f>+VLOOKUP(PROVEEDORES[[#This Row],[ID RETENCION]],Retenciones!$A$1:$O$25,PROVEEDORES[[#This Row],[indicador de columna]],FALSE)</f>
        <v>1145000</v>
      </c>
      <c r="Y871" s="137">
        <f>+VLOOKUP(PROVEEDORES[[#This Row],[ID RETENCION]],Retenciones!$A$1:$O$25,2,FALSE)</f>
        <v>2.5000000000000001E-2</v>
      </c>
      <c r="Z871" s="126" t="b">
        <f>+OR(COUNTIF(PROVEEDORES[[#This Row],[PROVEEDOR]],"*"&amp;'Palabra que no opera y Listas d'!$A$2&amp;"*"))</f>
        <v>0</v>
      </c>
    </row>
    <row r="872" spans="1:26" ht="27.75" customHeight="1" x14ac:dyDescent="0.25">
      <c r="A872" s="141" t="str">
        <f>+IF(PROVEEDORES[[#This Row],[FECHA DE PAGO]]=PROVEEDORES[[#This Row],[FECHA DE FACTURACIÓN]],"DE CONTADO","CRÉDITO")</f>
        <v>CRÉDITO</v>
      </c>
      <c r="B872" s="138" t="b">
        <f>+IF((PROVEEDORES[[#This Row],[FECHA DE PAGO]]-PROVEEDORES[[#This Row],[FECHA DE FACTURACIÓN]])&gt;PROVEEDORES[[#This Row],[PLAZO Días]],"PAGO VENCIDO")</f>
        <v>0</v>
      </c>
      <c r="C872" s="138">
        <f>+VLOOKUP(PROVEEDORES[[#This Row],[PROVEEDOR]],TERCEROS_INFO[#All],2,FALSE)</f>
        <v>30</v>
      </c>
      <c r="D872" s="139">
        <f>+SUMIFS(PROVEEDORES[Total],PROVEEDORES[PROVEEDOR],PROVEEDORES[[#This Row],[PROVEEDOR]],PROVEEDORES[FECHA DE PAGO],"")</f>
        <v>0</v>
      </c>
      <c r="E872" s="140"/>
      <c r="F872" s="138">
        <f>+VLOOKUP(PROVEEDORES[[#This Row],[PROVEEDOR]],
                       Terceros!$A:$F,
                       5,
                       FALSE)</f>
        <v>0</v>
      </c>
      <c r="G872" s="127">
        <v>45239</v>
      </c>
      <c r="H872" s="123" t="s">
        <v>387</v>
      </c>
      <c r="I872" s="127">
        <v>45231</v>
      </c>
      <c r="J872" s="124" t="s">
        <v>441</v>
      </c>
      <c r="K872" s="124" t="s">
        <v>1530</v>
      </c>
      <c r="L872" s="124"/>
      <c r="M872" s="125">
        <v>129083</v>
      </c>
      <c r="N872" s="148">
        <v>0</v>
      </c>
      <c r="O872" s="148">
        <v>0</v>
      </c>
      <c r="P872" s="149">
        <v>0</v>
      </c>
      <c r="Q872" s="148">
        <v>0</v>
      </c>
      <c r="R872" s="150">
        <v>129083</v>
      </c>
      <c r="S8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2" s="135">
        <f ca="1">+IF(PROVEEDORES[[#This Row],[FECHA DE PAGO]]=0,TODAY()-PROVEEDORES[[#This Row],[FECHA DE FACTURACIÓN]]-PROVEEDORES[[#This Row],[PLAZO Días]],0)</f>
        <v>0</v>
      </c>
      <c r="U872" s="135">
        <f>+VLOOKUP(PROVEEDORES[[#This Row],[PROVEEDOR]],Terceros!$A:$D,4,FALSE)</f>
        <v>0</v>
      </c>
      <c r="V872" s="135">
        <f>+YEAR(PROVEEDORES[[#This Row],[FECHA DE FACTURACIÓN]])</f>
        <v>2023</v>
      </c>
      <c r="W872" s="135">
        <f>+MATCH(PROVEEDORES[[#This Row],[año facturado]],Retenciones!$1:$1,0)</f>
        <v>6</v>
      </c>
      <c r="X872" s="136">
        <f>+VLOOKUP(PROVEEDORES[[#This Row],[ID RETENCION]],Retenciones!$A$1:$O$25,PROVEEDORES[[#This Row],[indicador de columna]],FALSE)</f>
        <v>0</v>
      </c>
      <c r="Y872" s="137">
        <f>+VLOOKUP(PROVEEDORES[[#This Row],[ID RETENCION]],Retenciones!$A$1:$O$25,2,FALSE)</f>
        <v>0</v>
      </c>
      <c r="Z872" s="126" t="b">
        <f>+OR(COUNTIF(PROVEEDORES[[#This Row],[PROVEEDOR]],"*"&amp;'Palabra que no opera y Listas d'!$A$2&amp;"*"))</f>
        <v>1</v>
      </c>
    </row>
    <row r="873" spans="1:26" ht="27.75" customHeight="1" x14ac:dyDescent="0.25">
      <c r="A873" s="141" t="str">
        <f>+IF(PROVEEDORES[[#This Row],[FECHA DE PAGO]]=PROVEEDORES[[#This Row],[FECHA DE FACTURACIÓN]],"DE CONTADO","CRÉDITO")</f>
        <v>CRÉDITO</v>
      </c>
      <c r="B873" s="138" t="b">
        <f>+IF((PROVEEDORES[[#This Row],[FECHA DE PAGO]]-PROVEEDORES[[#This Row],[FECHA DE FACTURACIÓN]])&gt;PROVEEDORES[[#This Row],[PLAZO Días]],"PAGO VENCIDO")</f>
        <v>0</v>
      </c>
      <c r="C873" s="138">
        <f>+VLOOKUP(PROVEEDORES[[#This Row],[PROVEEDOR]],TERCEROS_INFO[#All],2,FALSE)</f>
        <v>30</v>
      </c>
      <c r="D873" s="139">
        <f>+SUMIFS(PROVEEDORES[Total],PROVEEDORES[PROVEEDOR],PROVEEDORES[[#This Row],[PROVEEDOR]],PROVEEDORES[FECHA DE PAGO],"")</f>
        <v>0</v>
      </c>
      <c r="E873" s="140"/>
      <c r="F873" s="138" t="str">
        <f>+VLOOKUP(PROVEEDORES[[#This Row],[PROVEEDOR]],
                       Terceros!$A:$F,
                       5,
                       FALSE)</f>
        <v/>
      </c>
      <c r="G873" s="127">
        <v>45239</v>
      </c>
      <c r="H873" s="123" t="s">
        <v>481</v>
      </c>
      <c r="I873" s="127">
        <v>45238</v>
      </c>
      <c r="J873" s="124" t="s">
        <v>1284</v>
      </c>
      <c r="K873" s="124" t="s">
        <v>1530</v>
      </c>
      <c r="L873" s="124"/>
      <c r="M873" s="125">
        <v>2128000</v>
      </c>
      <c r="N873" s="148">
        <v>0</v>
      </c>
      <c r="O873" s="148">
        <v>0</v>
      </c>
      <c r="P873" s="149">
        <v>0</v>
      </c>
      <c r="Q873" s="148">
        <v>0</v>
      </c>
      <c r="R873" s="150">
        <v>2128000</v>
      </c>
      <c r="S8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3" s="135">
        <f ca="1">+IF(PROVEEDORES[[#This Row],[FECHA DE PAGO]]=0,TODAY()-PROVEEDORES[[#This Row],[FECHA DE FACTURACIÓN]]-PROVEEDORES[[#This Row],[PLAZO Días]],0)</f>
        <v>0</v>
      </c>
      <c r="U873" s="135">
        <f>+VLOOKUP(PROVEEDORES[[#This Row],[PROVEEDOR]],Terceros!$A:$D,4,FALSE)</f>
        <v>0</v>
      </c>
      <c r="V873" s="135">
        <f>+YEAR(PROVEEDORES[[#This Row],[FECHA DE FACTURACIÓN]])</f>
        <v>2023</v>
      </c>
      <c r="W873" s="135">
        <f>+MATCH(PROVEEDORES[[#This Row],[año facturado]],Retenciones!$1:$1,0)</f>
        <v>6</v>
      </c>
      <c r="X873" s="136">
        <f>+VLOOKUP(PROVEEDORES[[#This Row],[ID RETENCION]],Retenciones!$A$1:$O$25,PROVEEDORES[[#This Row],[indicador de columna]],FALSE)</f>
        <v>0</v>
      </c>
      <c r="Y873" s="137">
        <f>+VLOOKUP(PROVEEDORES[[#This Row],[ID RETENCION]],Retenciones!$A$1:$O$25,2,FALSE)</f>
        <v>0</v>
      </c>
      <c r="Z873" s="126" t="b">
        <f>+OR(COUNTIF(PROVEEDORES[[#This Row],[PROVEEDOR]],"*"&amp;'Palabra que no opera y Listas d'!$A$2&amp;"*"))</f>
        <v>0</v>
      </c>
    </row>
    <row r="874" spans="1:26" ht="27.75" customHeight="1" x14ac:dyDescent="0.25">
      <c r="A874" s="141" t="str">
        <f>+IF(PROVEEDORES[[#This Row],[FECHA DE PAGO]]=PROVEEDORES[[#This Row],[FECHA DE FACTURACIÓN]],"DE CONTADO","CRÉDITO")</f>
        <v>DE CONTADO</v>
      </c>
      <c r="B874" s="138" t="b">
        <f>+IF((PROVEEDORES[[#This Row],[FECHA DE PAGO]]-PROVEEDORES[[#This Row],[FECHA DE FACTURACIÓN]])&gt;PROVEEDORES[[#This Row],[PLAZO Días]],"PAGO VENCIDO")</f>
        <v>0</v>
      </c>
      <c r="C874" s="138">
        <f>+VLOOKUP(PROVEEDORES[[#This Row],[PROVEEDOR]],TERCEROS_INFO[#All],2,FALSE)</f>
        <v>30</v>
      </c>
      <c r="D874" s="139">
        <f>+SUMIFS(PROVEEDORES[Total],PROVEEDORES[PROVEEDOR],PROVEEDORES[[#This Row],[PROVEEDOR]],PROVEEDORES[FECHA DE PAGO],"")</f>
        <v>0</v>
      </c>
      <c r="E874" s="140"/>
      <c r="F874" s="138">
        <f>+VLOOKUP(PROVEEDORES[[#This Row],[PROVEEDOR]],
                       Terceros!$A:$F,
                       5,
                       FALSE)</f>
        <v>0</v>
      </c>
      <c r="G874" s="127">
        <v>45239</v>
      </c>
      <c r="H874" s="123" t="s">
        <v>387</v>
      </c>
      <c r="I874" s="127">
        <v>45239</v>
      </c>
      <c r="J874" s="124" t="s">
        <v>1193</v>
      </c>
      <c r="K874" s="124" t="s">
        <v>1530</v>
      </c>
      <c r="L874" s="124"/>
      <c r="M874" s="125">
        <v>1482303</v>
      </c>
      <c r="N874" s="148">
        <v>0</v>
      </c>
      <c r="O874" s="148">
        <v>0</v>
      </c>
      <c r="P874" s="149">
        <v>0</v>
      </c>
      <c r="Q874" s="148">
        <v>0</v>
      </c>
      <c r="R874" s="150">
        <v>1482303</v>
      </c>
      <c r="S8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4" s="135">
        <f ca="1">+IF(PROVEEDORES[[#This Row],[FECHA DE PAGO]]=0,TODAY()-PROVEEDORES[[#This Row],[FECHA DE FACTURACIÓN]]-PROVEEDORES[[#This Row],[PLAZO Días]],0)</f>
        <v>0</v>
      </c>
      <c r="U874" s="135">
        <f>+VLOOKUP(PROVEEDORES[[#This Row],[PROVEEDOR]],Terceros!$A:$D,4,FALSE)</f>
        <v>0</v>
      </c>
      <c r="V874" s="135">
        <f>+YEAR(PROVEEDORES[[#This Row],[FECHA DE FACTURACIÓN]])</f>
        <v>2023</v>
      </c>
      <c r="W874" s="135">
        <f>+MATCH(PROVEEDORES[[#This Row],[año facturado]],Retenciones!$1:$1,0)</f>
        <v>6</v>
      </c>
      <c r="X874" s="136">
        <f>+VLOOKUP(PROVEEDORES[[#This Row],[ID RETENCION]],Retenciones!$A$1:$O$25,PROVEEDORES[[#This Row],[indicador de columna]],FALSE)</f>
        <v>0</v>
      </c>
      <c r="Y874" s="137">
        <f>+VLOOKUP(PROVEEDORES[[#This Row],[ID RETENCION]],Retenciones!$A$1:$O$25,2,FALSE)</f>
        <v>0</v>
      </c>
      <c r="Z874" s="126" t="b">
        <f>+OR(COUNTIF(PROVEEDORES[[#This Row],[PROVEEDOR]],"*"&amp;'Palabra que no opera y Listas d'!$A$2&amp;"*"))</f>
        <v>1</v>
      </c>
    </row>
    <row r="875" spans="1:26" ht="27.75" customHeight="1" x14ac:dyDescent="0.25">
      <c r="A875" s="141" t="str">
        <f>+IF(PROVEEDORES[[#This Row],[FECHA DE PAGO]]=PROVEEDORES[[#This Row],[FECHA DE FACTURACIÓN]],"DE CONTADO","CRÉDITO")</f>
        <v>CRÉDITO</v>
      </c>
      <c r="B875" s="138" t="b">
        <f>+IF((PROVEEDORES[[#This Row],[FECHA DE PAGO]]-PROVEEDORES[[#This Row],[FECHA DE FACTURACIÓN]])&gt;PROVEEDORES[[#This Row],[PLAZO Días]],"PAGO VENCIDO")</f>
        <v>0</v>
      </c>
      <c r="C875" s="138">
        <f>+VLOOKUP(PROVEEDORES[[#This Row],[PROVEEDOR]],TERCEROS_INFO[#All],2,FALSE)</f>
        <v>30</v>
      </c>
      <c r="D875" s="139">
        <f>+SUMIFS(PROVEEDORES[Total],PROVEEDORES[PROVEEDOR],PROVEEDORES[[#This Row],[PROVEEDOR]],PROVEEDORES[FECHA DE PAGO],"")</f>
        <v>0</v>
      </c>
      <c r="E875" s="140"/>
      <c r="F875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875" s="127">
        <v>45240</v>
      </c>
      <c r="H875" s="123" t="s">
        <v>368</v>
      </c>
      <c r="I875" s="127">
        <v>45231</v>
      </c>
      <c r="J875" s="124" t="s">
        <v>1195</v>
      </c>
      <c r="K875" s="124" t="s">
        <v>1530</v>
      </c>
      <c r="L875" s="124"/>
      <c r="M875" s="125">
        <v>908172</v>
      </c>
      <c r="N875" s="148">
        <v>172552.68</v>
      </c>
      <c r="O875" s="148">
        <v>0</v>
      </c>
      <c r="P875" s="149">
        <v>0</v>
      </c>
      <c r="Q875" s="148">
        <v>0</v>
      </c>
      <c r="R875" s="150">
        <v>1080724.68</v>
      </c>
      <c r="S8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5" s="135">
        <f ca="1">+IF(PROVEEDORES[[#This Row],[FECHA DE PAGO]]=0,TODAY()-PROVEEDORES[[#This Row],[FECHA DE FACTURACIÓN]]-PROVEEDORES[[#This Row],[PLAZO Días]],0)</f>
        <v>0</v>
      </c>
      <c r="U875" s="135">
        <f>+VLOOKUP(PROVEEDORES[[#This Row],[PROVEEDOR]],Terceros!$A:$D,4,FALSE)</f>
        <v>0</v>
      </c>
      <c r="V875" s="135">
        <f>+YEAR(PROVEEDORES[[#This Row],[FECHA DE FACTURACIÓN]])</f>
        <v>2023</v>
      </c>
      <c r="W875" s="135">
        <f>+MATCH(PROVEEDORES[[#This Row],[año facturado]],Retenciones!$1:$1,0)</f>
        <v>6</v>
      </c>
      <c r="X875" s="136">
        <f>+VLOOKUP(PROVEEDORES[[#This Row],[ID RETENCION]],Retenciones!$A$1:$O$25,PROVEEDORES[[#This Row],[indicador de columna]],FALSE)</f>
        <v>0</v>
      </c>
      <c r="Y875" s="137">
        <f>+VLOOKUP(PROVEEDORES[[#This Row],[ID RETENCION]],Retenciones!$A$1:$O$25,2,FALSE)</f>
        <v>0</v>
      </c>
      <c r="Z875" s="126" t="b">
        <f>+OR(COUNTIF(PROVEEDORES[[#This Row],[PROVEEDOR]],"*"&amp;'Palabra que no opera y Listas d'!$A$2&amp;"*"))</f>
        <v>1</v>
      </c>
    </row>
    <row r="876" spans="1:26" ht="27.75" customHeight="1" x14ac:dyDescent="0.25">
      <c r="A876" s="141" t="str">
        <f>+IF(PROVEEDORES[[#This Row],[FECHA DE PAGO]]=PROVEEDORES[[#This Row],[FECHA DE FACTURACIÓN]],"DE CONTADO","CRÉDITO")</f>
        <v>CRÉDITO</v>
      </c>
      <c r="B876" s="138" t="b">
        <f>+IF((PROVEEDORES[[#This Row],[FECHA DE PAGO]]-PROVEEDORES[[#This Row],[FECHA DE FACTURACIÓN]])&gt;PROVEEDORES[[#This Row],[PLAZO Días]],"PAGO VENCIDO")</f>
        <v>0</v>
      </c>
      <c r="C876" s="138">
        <f>+VLOOKUP(PROVEEDORES[[#This Row],[PROVEEDOR]],TERCEROS_INFO[#All],2,FALSE)</f>
        <v>30</v>
      </c>
      <c r="D876" s="139">
        <f>+SUMIFS(PROVEEDORES[Total],PROVEEDORES[PROVEEDOR],PROVEEDORES[[#This Row],[PROVEEDOR]],PROVEEDORES[FECHA DE PAGO],"")</f>
        <v>0</v>
      </c>
      <c r="E876" s="140"/>
      <c r="F876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876" s="127">
        <v>45240</v>
      </c>
      <c r="H876" s="123" t="s">
        <v>368</v>
      </c>
      <c r="I876" s="127">
        <v>45231</v>
      </c>
      <c r="J876" s="124" t="s">
        <v>1196</v>
      </c>
      <c r="K876" s="124" t="s">
        <v>1530</v>
      </c>
      <c r="L876" s="124"/>
      <c r="M876" s="125">
        <v>3792544</v>
      </c>
      <c r="N876" s="148">
        <v>720583.36</v>
      </c>
      <c r="O876" s="148">
        <v>0</v>
      </c>
      <c r="P876" s="149">
        <v>0</v>
      </c>
      <c r="Q876" s="148">
        <v>0</v>
      </c>
      <c r="R876" s="150">
        <v>4513127.3600000003</v>
      </c>
      <c r="S8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6" s="135">
        <f ca="1">+IF(PROVEEDORES[[#This Row],[FECHA DE PAGO]]=0,TODAY()-PROVEEDORES[[#This Row],[FECHA DE FACTURACIÓN]]-PROVEEDORES[[#This Row],[PLAZO Días]],0)</f>
        <v>0</v>
      </c>
      <c r="U876" s="135">
        <f>+VLOOKUP(PROVEEDORES[[#This Row],[PROVEEDOR]],Terceros!$A:$D,4,FALSE)</f>
        <v>0</v>
      </c>
      <c r="V876" s="135">
        <f>+YEAR(PROVEEDORES[[#This Row],[FECHA DE FACTURACIÓN]])</f>
        <v>2023</v>
      </c>
      <c r="W876" s="135">
        <f>+MATCH(PROVEEDORES[[#This Row],[año facturado]],Retenciones!$1:$1,0)</f>
        <v>6</v>
      </c>
      <c r="X876" s="136">
        <f>+VLOOKUP(PROVEEDORES[[#This Row],[ID RETENCION]],Retenciones!$A$1:$O$25,PROVEEDORES[[#This Row],[indicador de columna]],FALSE)</f>
        <v>0</v>
      </c>
      <c r="Y876" s="137">
        <f>+VLOOKUP(PROVEEDORES[[#This Row],[ID RETENCION]],Retenciones!$A$1:$O$25,2,FALSE)</f>
        <v>0</v>
      </c>
      <c r="Z876" s="126" t="b">
        <f>+OR(COUNTIF(PROVEEDORES[[#This Row],[PROVEEDOR]],"*"&amp;'Palabra que no opera y Listas d'!$A$2&amp;"*"))</f>
        <v>1</v>
      </c>
    </row>
    <row r="877" spans="1:26" ht="27.75" customHeight="1" x14ac:dyDescent="0.25">
      <c r="A877" s="141" t="str">
        <f>+IF(PROVEEDORES[[#This Row],[FECHA DE PAGO]]=PROVEEDORES[[#This Row],[FECHA DE FACTURACIÓN]],"DE CONTADO","CRÉDITO")</f>
        <v>CRÉDITO</v>
      </c>
      <c r="B877" s="138" t="b">
        <f>+IF((PROVEEDORES[[#This Row],[FECHA DE PAGO]]-PROVEEDORES[[#This Row],[FECHA DE FACTURACIÓN]])&gt;PROVEEDORES[[#This Row],[PLAZO Días]],"PAGO VENCIDO")</f>
        <v>0</v>
      </c>
      <c r="C877" s="138">
        <f>+VLOOKUP(PROVEEDORES[[#This Row],[PROVEEDOR]],TERCEROS_INFO[#All],2,FALSE)</f>
        <v>30</v>
      </c>
      <c r="D877" s="139">
        <f>+SUMIFS(PROVEEDORES[Total],PROVEEDORES[PROVEEDOR],PROVEEDORES[[#This Row],[PROVEEDOR]],PROVEEDORES[FECHA DE PAGO],"")</f>
        <v>0</v>
      </c>
      <c r="E877" s="140"/>
      <c r="F877" s="138">
        <f>+VLOOKUP(PROVEEDORES[[#This Row],[PROVEEDOR]],
                       Terceros!$A:$F,
                       5,
                       FALSE)</f>
        <v>0</v>
      </c>
      <c r="G877" s="127">
        <v>45240</v>
      </c>
      <c r="H877" s="123" t="s">
        <v>1805</v>
      </c>
      <c r="I877" s="127">
        <v>45231</v>
      </c>
      <c r="J877" s="124" t="s">
        <v>1236</v>
      </c>
      <c r="K877" s="124" t="s">
        <v>1530</v>
      </c>
      <c r="L877" s="124"/>
      <c r="M877" s="125">
        <v>1128000</v>
      </c>
      <c r="N877" s="148">
        <v>0</v>
      </c>
      <c r="O877" s="148">
        <v>0</v>
      </c>
      <c r="P877" s="149">
        <v>0</v>
      </c>
      <c r="Q877" s="148">
        <v>0</v>
      </c>
      <c r="R877" s="150">
        <v>1128000</v>
      </c>
      <c r="S8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7" s="135">
        <f ca="1">+IF(PROVEEDORES[[#This Row],[FECHA DE PAGO]]=0,TODAY()-PROVEEDORES[[#This Row],[FECHA DE FACTURACIÓN]]-PROVEEDORES[[#This Row],[PLAZO Días]],0)</f>
        <v>0</v>
      </c>
      <c r="U877" s="135">
        <f>+VLOOKUP(PROVEEDORES[[#This Row],[PROVEEDOR]],Terceros!$A:$D,4,FALSE)</f>
        <v>0</v>
      </c>
      <c r="V877" s="135">
        <f>+YEAR(PROVEEDORES[[#This Row],[FECHA DE FACTURACIÓN]])</f>
        <v>2023</v>
      </c>
      <c r="W877" s="135">
        <f>+MATCH(PROVEEDORES[[#This Row],[año facturado]],Retenciones!$1:$1,0)</f>
        <v>6</v>
      </c>
      <c r="X877" s="136">
        <f>+VLOOKUP(PROVEEDORES[[#This Row],[ID RETENCION]],Retenciones!$A$1:$O$25,PROVEEDORES[[#This Row],[indicador de columna]],FALSE)</f>
        <v>0</v>
      </c>
      <c r="Y877" s="137">
        <f>+VLOOKUP(PROVEEDORES[[#This Row],[ID RETENCION]],Retenciones!$A$1:$O$25,2,FALSE)</f>
        <v>0</v>
      </c>
      <c r="Z877" s="126" t="b">
        <f>+OR(COUNTIF(PROVEEDORES[[#This Row],[PROVEEDOR]],"*"&amp;'Palabra que no opera y Listas d'!$A$2&amp;"*"))</f>
        <v>0</v>
      </c>
    </row>
    <row r="878" spans="1:26" ht="27.75" customHeight="1" x14ac:dyDescent="0.25">
      <c r="A878" s="141" t="str">
        <f>+IF(PROVEEDORES[[#This Row],[FECHA DE PAGO]]=PROVEEDORES[[#This Row],[FECHA DE FACTURACIÓN]],"DE CONTADO","CRÉDITO")</f>
        <v>CRÉDITO</v>
      </c>
      <c r="B878" s="138" t="b">
        <f>+IF((PROVEEDORES[[#This Row],[FECHA DE PAGO]]-PROVEEDORES[[#This Row],[FECHA DE FACTURACIÓN]])&gt;PROVEEDORES[[#This Row],[PLAZO Días]],"PAGO VENCIDO")</f>
        <v>0</v>
      </c>
      <c r="C878" s="138">
        <f>+VLOOKUP(PROVEEDORES[[#This Row],[PROVEEDOR]],TERCEROS_INFO[#All],2,FALSE)</f>
        <v>10</v>
      </c>
      <c r="D878" s="139">
        <f>+SUMIFS(PROVEEDORES[Total],PROVEEDORES[PROVEEDOR],PROVEEDORES[[#This Row],[PROVEEDOR]],PROVEEDORES[FECHA DE PAGO],"")</f>
        <v>0</v>
      </c>
      <c r="E878" s="140"/>
      <c r="F878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878" s="127">
        <v>45240</v>
      </c>
      <c r="H878" s="123" t="s">
        <v>482</v>
      </c>
      <c r="I878" s="127">
        <v>45231</v>
      </c>
      <c r="J878" s="124" t="s">
        <v>1194</v>
      </c>
      <c r="K878" s="124" t="s">
        <v>1530</v>
      </c>
      <c r="L878" s="124"/>
      <c r="M878" s="125">
        <v>5350576</v>
      </c>
      <c r="N878" s="148">
        <v>1016609.4400000001</v>
      </c>
      <c r="O878" s="148">
        <v>0</v>
      </c>
      <c r="P878" s="149">
        <v>0</v>
      </c>
      <c r="Q878" s="148">
        <v>0</v>
      </c>
      <c r="R878" s="150">
        <v>6367185.4400000004</v>
      </c>
      <c r="S8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8" s="135">
        <f ca="1">+IF(PROVEEDORES[[#This Row],[FECHA DE PAGO]]=0,TODAY()-PROVEEDORES[[#This Row],[FECHA DE FACTURACIÓN]]-PROVEEDORES[[#This Row],[PLAZO Días]],0)</f>
        <v>0</v>
      </c>
      <c r="U878" s="135">
        <f>+VLOOKUP(PROVEEDORES[[#This Row],[PROVEEDOR]],Terceros!$A:$D,4,FALSE)</f>
        <v>0</v>
      </c>
      <c r="V878" s="135">
        <f>+YEAR(PROVEEDORES[[#This Row],[FECHA DE FACTURACIÓN]])</f>
        <v>2023</v>
      </c>
      <c r="W878" s="135">
        <f>+MATCH(PROVEEDORES[[#This Row],[año facturado]],Retenciones!$1:$1,0)</f>
        <v>6</v>
      </c>
      <c r="X878" s="136">
        <f>+VLOOKUP(PROVEEDORES[[#This Row],[ID RETENCION]],Retenciones!$A$1:$O$25,PROVEEDORES[[#This Row],[indicador de columna]],FALSE)</f>
        <v>0</v>
      </c>
      <c r="Y878" s="137">
        <f>+VLOOKUP(PROVEEDORES[[#This Row],[ID RETENCION]],Retenciones!$A$1:$O$25,2,FALSE)</f>
        <v>0</v>
      </c>
      <c r="Z878" s="126" t="b">
        <f>+OR(COUNTIF(PROVEEDORES[[#This Row],[PROVEEDOR]],"*"&amp;'Palabra que no opera y Listas d'!$A$2&amp;"*"))</f>
        <v>1</v>
      </c>
    </row>
    <row r="879" spans="1:26" ht="27.75" customHeight="1" x14ac:dyDescent="0.25">
      <c r="A879" s="141" t="str">
        <f>+IF(PROVEEDORES[[#This Row],[FECHA DE PAGO]]=PROVEEDORES[[#This Row],[FECHA DE FACTURACIÓN]],"DE CONTADO","CRÉDITO")</f>
        <v>CRÉDITO</v>
      </c>
      <c r="B879" s="138" t="str">
        <f>+IF((PROVEEDORES[[#This Row],[FECHA DE PAGO]]-PROVEEDORES[[#This Row],[FECHA DE FACTURACIÓN]])&gt;PROVEEDORES[[#This Row],[PLAZO Días]],"PAGO VENCIDO")</f>
        <v>PAGO VENCIDO</v>
      </c>
      <c r="C879" s="138">
        <f>+VLOOKUP(PROVEEDORES[[#This Row],[PROVEEDOR]],TERCEROS_INFO[#All],2,FALSE)</f>
        <v>30</v>
      </c>
      <c r="D879" s="139">
        <f>+SUMIFS(PROVEEDORES[Total],PROVEEDORES[PROVEEDOR],PROVEEDORES[[#This Row],[PROVEEDOR]],PROVEEDORES[FECHA DE PAGO],"")</f>
        <v>8456975.129999999</v>
      </c>
      <c r="E879" s="140"/>
      <c r="F879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879" s="127">
        <v>45244</v>
      </c>
      <c r="H879" s="123" t="s">
        <v>1464</v>
      </c>
      <c r="I879" s="127">
        <v>45196</v>
      </c>
      <c r="J879" s="124" t="s">
        <v>1095</v>
      </c>
      <c r="K879" s="124" t="s">
        <v>1530</v>
      </c>
      <c r="L879" s="124"/>
      <c r="M879" s="125">
        <v>2740335</v>
      </c>
      <c r="N879" s="148">
        <v>520663.65</v>
      </c>
      <c r="O879" s="148">
        <v>0</v>
      </c>
      <c r="P879" s="149">
        <v>2.5000000000000001E-2</v>
      </c>
      <c r="Q879" s="148">
        <v>68508.375</v>
      </c>
      <c r="R879" s="150">
        <v>3192490.2749999999</v>
      </c>
      <c r="S8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79" s="135">
        <f ca="1">+IF(PROVEEDORES[[#This Row],[FECHA DE PAGO]]=0,TODAY()-PROVEEDORES[[#This Row],[FECHA DE FACTURACIÓN]]-PROVEEDORES[[#This Row],[PLAZO Días]],0)</f>
        <v>0</v>
      </c>
      <c r="U879" s="135" t="str">
        <f>+VLOOKUP(PROVEEDORES[[#This Row],[PROVEEDOR]],Terceros!$A:$D,4,FALSE)</f>
        <v>2,5% con base</v>
      </c>
      <c r="V879" s="135">
        <f>+YEAR(PROVEEDORES[[#This Row],[FECHA DE FACTURACIÓN]])</f>
        <v>2023</v>
      </c>
      <c r="W879" s="135">
        <f>+MATCH(PROVEEDORES[[#This Row],[año facturado]],Retenciones!$1:$1,0)</f>
        <v>6</v>
      </c>
      <c r="X879" s="136">
        <f>+VLOOKUP(PROVEEDORES[[#This Row],[ID RETENCION]],Retenciones!$A$1:$O$25,PROVEEDORES[[#This Row],[indicador de columna]],FALSE)</f>
        <v>1145000</v>
      </c>
      <c r="Y879" s="137">
        <f>+VLOOKUP(PROVEEDORES[[#This Row],[ID RETENCION]],Retenciones!$A$1:$O$25,2,FALSE)</f>
        <v>2.5000000000000001E-2</v>
      </c>
      <c r="Z879" s="126" t="b">
        <f>+OR(COUNTIF(PROVEEDORES[[#This Row],[PROVEEDOR]],"*"&amp;'Palabra que no opera y Listas d'!$A$2&amp;"*"))</f>
        <v>0</v>
      </c>
    </row>
    <row r="880" spans="1:26" ht="27.75" customHeight="1" x14ac:dyDescent="0.25">
      <c r="A880" s="141" t="str">
        <f>+IF(PROVEEDORES[[#This Row],[FECHA DE PAGO]]=PROVEEDORES[[#This Row],[FECHA DE FACTURACIÓN]],"DE CONTADO","CRÉDITO")</f>
        <v>CRÉDITO</v>
      </c>
      <c r="B880" s="138" t="str">
        <f>+IF((PROVEEDORES[[#This Row],[FECHA DE PAGO]]-PROVEEDORES[[#This Row],[FECHA DE FACTURACIÓN]])&gt;PROVEEDORES[[#This Row],[PLAZO Días]],"PAGO VENCIDO")</f>
        <v>PAGO VENCIDO</v>
      </c>
      <c r="C880" s="138">
        <f>+VLOOKUP(PROVEEDORES[[#This Row],[PROVEEDOR]],TERCEROS_INFO[#All],2,FALSE)</f>
        <v>30</v>
      </c>
      <c r="D880" s="139">
        <f>+SUMIFS(PROVEEDORES[Total],PROVEEDORES[PROVEEDOR],PROVEEDORES[[#This Row],[PROVEEDOR]],PROVEEDORES[FECHA DE PAGO],"")</f>
        <v>8456975.129999999</v>
      </c>
      <c r="E880" s="140"/>
      <c r="F880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880" s="127">
        <v>45244</v>
      </c>
      <c r="H880" s="123" t="s">
        <v>1464</v>
      </c>
      <c r="I880" s="127">
        <v>45203</v>
      </c>
      <c r="J880" s="124" t="s">
        <v>1158</v>
      </c>
      <c r="K880" s="124" t="s">
        <v>1530</v>
      </c>
      <c r="L880" s="124"/>
      <c r="M880" s="125">
        <v>168068</v>
      </c>
      <c r="N880" s="148">
        <v>31932.920000000002</v>
      </c>
      <c r="O880" s="148">
        <v>0</v>
      </c>
      <c r="P880" s="149">
        <v>0</v>
      </c>
      <c r="Q880" s="148">
        <v>0</v>
      </c>
      <c r="R880" s="150">
        <v>200000.92</v>
      </c>
      <c r="S8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0" s="135">
        <f ca="1">+IF(PROVEEDORES[[#This Row],[FECHA DE PAGO]]=0,TODAY()-PROVEEDORES[[#This Row],[FECHA DE FACTURACIÓN]]-PROVEEDORES[[#This Row],[PLAZO Días]],0)</f>
        <v>0</v>
      </c>
      <c r="U880" s="135" t="str">
        <f>+VLOOKUP(PROVEEDORES[[#This Row],[PROVEEDOR]],Terceros!$A:$D,4,FALSE)</f>
        <v>2,5% con base</v>
      </c>
      <c r="V880" s="135">
        <f>+YEAR(PROVEEDORES[[#This Row],[FECHA DE FACTURACIÓN]])</f>
        <v>2023</v>
      </c>
      <c r="W880" s="135">
        <f>+MATCH(PROVEEDORES[[#This Row],[año facturado]],Retenciones!$1:$1,0)</f>
        <v>6</v>
      </c>
      <c r="X880" s="136">
        <f>+VLOOKUP(PROVEEDORES[[#This Row],[ID RETENCION]],Retenciones!$A$1:$O$25,PROVEEDORES[[#This Row],[indicador de columna]],FALSE)</f>
        <v>1145000</v>
      </c>
      <c r="Y880" s="137">
        <f>+VLOOKUP(PROVEEDORES[[#This Row],[ID RETENCION]],Retenciones!$A$1:$O$25,2,FALSE)</f>
        <v>2.5000000000000001E-2</v>
      </c>
      <c r="Z880" s="126" t="b">
        <f>+OR(COUNTIF(PROVEEDORES[[#This Row],[PROVEEDOR]],"*"&amp;'Palabra que no opera y Listas d'!$A$2&amp;"*"))</f>
        <v>0</v>
      </c>
    </row>
    <row r="881" spans="1:26" ht="27.75" customHeight="1" x14ac:dyDescent="0.25">
      <c r="A881" s="141" t="str">
        <f>+IF(PROVEEDORES[[#This Row],[FECHA DE PAGO]]=PROVEEDORES[[#This Row],[FECHA DE FACTURACIÓN]],"DE CONTADO","CRÉDITO")</f>
        <v>CRÉDITO</v>
      </c>
      <c r="B881" s="138" t="str">
        <f>+IF((PROVEEDORES[[#This Row],[FECHA DE PAGO]]-PROVEEDORES[[#This Row],[FECHA DE FACTURACIÓN]])&gt;PROVEEDORES[[#This Row],[PLAZO Días]],"PAGO VENCIDO")</f>
        <v>PAGO VENCIDO</v>
      </c>
      <c r="C881" s="138">
        <f>+VLOOKUP(PROVEEDORES[[#This Row],[PROVEEDOR]],TERCEROS_INFO[#All],2,FALSE)</f>
        <v>30</v>
      </c>
      <c r="D881" s="139">
        <f>+SUMIFS(PROVEEDORES[Total],PROVEEDORES[PROVEEDOR],PROVEEDORES[[#This Row],[PROVEEDOR]],PROVEEDORES[FECHA DE PAGO],"")</f>
        <v>2095000</v>
      </c>
      <c r="E881" s="140"/>
      <c r="F881" s="13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881" s="127">
        <v>45244</v>
      </c>
      <c r="H881" s="123" t="s">
        <v>1804</v>
      </c>
      <c r="I881" s="127">
        <v>45210</v>
      </c>
      <c r="J881" s="124" t="s">
        <v>1155</v>
      </c>
      <c r="K881" s="124" t="s">
        <v>1530</v>
      </c>
      <c r="L881" s="124"/>
      <c r="M881" s="125">
        <v>986500</v>
      </c>
      <c r="N881" s="148">
        <v>0</v>
      </c>
      <c r="O881" s="148">
        <v>0</v>
      </c>
      <c r="P881" s="149">
        <v>0</v>
      </c>
      <c r="Q881" s="148">
        <v>0</v>
      </c>
      <c r="R881" s="150">
        <v>986500</v>
      </c>
      <c r="S8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1" s="135">
        <f ca="1">+IF(PROVEEDORES[[#This Row],[FECHA DE PAGO]]=0,TODAY()-PROVEEDORES[[#This Row],[FECHA DE FACTURACIÓN]]-PROVEEDORES[[#This Row],[PLAZO Días]],0)</f>
        <v>0</v>
      </c>
      <c r="U881" s="135">
        <f>+VLOOKUP(PROVEEDORES[[#This Row],[PROVEEDOR]],Terceros!$A:$D,4,FALSE)</f>
        <v>0</v>
      </c>
      <c r="V881" s="135">
        <f>+YEAR(PROVEEDORES[[#This Row],[FECHA DE FACTURACIÓN]])</f>
        <v>2023</v>
      </c>
      <c r="W881" s="135">
        <f>+MATCH(PROVEEDORES[[#This Row],[año facturado]],Retenciones!$1:$1,0)</f>
        <v>6</v>
      </c>
      <c r="X881" s="136">
        <f>+VLOOKUP(PROVEEDORES[[#This Row],[ID RETENCION]],Retenciones!$A$1:$O$25,PROVEEDORES[[#This Row],[indicador de columna]],FALSE)</f>
        <v>0</v>
      </c>
      <c r="Y881" s="137">
        <f>+VLOOKUP(PROVEEDORES[[#This Row],[ID RETENCION]],Retenciones!$A$1:$O$25,2,FALSE)</f>
        <v>0</v>
      </c>
      <c r="Z881" s="126" t="b">
        <f>+OR(COUNTIF(PROVEEDORES[[#This Row],[PROVEEDOR]],"*"&amp;'Palabra que no opera y Listas d'!$A$2&amp;"*"))</f>
        <v>0</v>
      </c>
    </row>
    <row r="882" spans="1:26" ht="27.75" customHeight="1" x14ac:dyDescent="0.25">
      <c r="A882" s="141" t="str">
        <f>+IF(PROVEEDORES[[#This Row],[FECHA DE PAGO]]=PROVEEDORES[[#This Row],[FECHA DE FACTURACIÓN]],"DE CONTADO","CRÉDITO")</f>
        <v>DE CONTADO</v>
      </c>
      <c r="B882" s="138" t="e">
        <f>+IF((PROVEEDORES[[#This Row],[FECHA DE PAGO]]-PROVEEDORES[[#This Row],[FECHA DE FACTURACIÓN]])&gt;PROVEEDORES[[#This Row],[PLAZO Días]],"PAGO VENCIDO")</f>
        <v>#N/A</v>
      </c>
      <c r="C882" s="138" t="e">
        <f>+VLOOKUP(PROVEEDORES[[#This Row],[PROVEEDOR]],TERCEROS_INFO[#All],2,FALSE)</f>
        <v>#N/A</v>
      </c>
      <c r="D882" s="139">
        <f>+SUMIFS(PROVEEDORES[Total],PROVEEDORES[PROVEEDOR],PROVEEDORES[[#This Row],[PROVEEDOR]],PROVEEDORES[FECHA DE PAGO],"")</f>
        <v>0</v>
      </c>
      <c r="E882" s="140"/>
      <c r="F882" s="138" t="e">
        <f>+VLOOKUP(PROVEEDORES[[#This Row],[PROVEEDOR]],
                       Terceros!$A:$F,
                       5,
                       FALSE)</f>
        <v>#N/A</v>
      </c>
      <c r="G882" s="127">
        <v>45244</v>
      </c>
      <c r="H882" s="123" t="s">
        <v>1873</v>
      </c>
      <c r="I882" s="127">
        <v>45244</v>
      </c>
      <c r="J882" s="124">
        <v>310278</v>
      </c>
      <c r="K882" s="124" t="s">
        <v>1530</v>
      </c>
      <c r="L882" s="124"/>
      <c r="M882" s="125">
        <v>2296000</v>
      </c>
      <c r="N882" s="148">
        <v>0</v>
      </c>
      <c r="O882" s="148">
        <v>0</v>
      </c>
      <c r="P882" s="149">
        <v>0</v>
      </c>
      <c r="Q882" s="148">
        <v>0</v>
      </c>
      <c r="R882" s="150">
        <v>2296000</v>
      </c>
      <c r="S8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2" s="135">
        <f ca="1">+IF(PROVEEDORES[[#This Row],[FECHA DE PAGO]]=0,TODAY()-PROVEEDORES[[#This Row],[FECHA DE FACTURACIÓN]]-PROVEEDORES[[#This Row],[PLAZO Días]],0)</f>
        <v>0</v>
      </c>
      <c r="U882" s="135" t="e">
        <f>+VLOOKUP(PROVEEDORES[[#This Row],[PROVEEDOR]],Terceros!$A:$D,4,FALSE)</f>
        <v>#N/A</v>
      </c>
      <c r="V882" s="135">
        <f>+YEAR(PROVEEDORES[[#This Row],[FECHA DE FACTURACIÓN]])</f>
        <v>2023</v>
      </c>
      <c r="W882" s="135">
        <f>+MATCH(PROVEEDORES[[#This Row],[año facturado]],Retenciones!$1:$1,0)</f>
        <v>6</v>
      </c>
      <c r="X882" s="136" t="e">
        <f>+VLOOKUP(PROVEEDORES[[#This Row],[ID RETENCION]],Retenciones!$A$1:$O$25,PROVEEDORES[[#This Row],[indicador de columna]],FALSE)</f>
        <v>#N/A</v>
      </c>
      <c r="Y882" s="137" t="e">
        <f>+VLOOKUP(PROVEEDORES[[#This Row],[ID RETENCION]],Retenciones!$A$1:$O$25,2,FALSE)</f>
        <v>#N/A</v>
      </c>
      <c r="Z882" s="126" t="b">
        <f>+OR(COUNTIF(PROVEEDORES[[#This Row],[PROVEEDOR]],"*"&amp;'Palabra que no opera y Listas d'!$A$2&amp;"*"))</f>
        <v>0</v>
      </c>
    </row>
    <row r="883" spans="1:26" ht="27.75" customHeight="1" x14ac:dyDescent="0.25">
      <c r="A883" s="141" t="str">
        <f>+IF(PROVEEDORES[[#This Row],[FECHA DE PAGO]]=PROVEEDORES[[#This Row],[FECHA DE FACTURACIÓN]],"DE CONTADO","CRÉDITO")</f>
        <v>DE CONTADO</v>
      </c>
      <c r="B883" s="138" t="e">
        <f>+IF((PROVEEDORES[[#This Row],[FECHA DE PAGO]]-PROVEEDORES[[#This Row],[FECHA DE FACTURACIÓN]])&gt;PROVEEDORES[[#This Row],[PLAZO Días]],"PAGO VENCIDO")</f>
        <v>#N/A</v>
      </c>
      <c r="C883" s="138" t="e">
        <f>+VLOOKUP(PROVEEDORES[[#This Row],[PROVEEDOR]],TERCEROS_INFO[#All],2,FALSE)</f>
        <v>#N/A</v>
      </c>
      <c r="D883" s="139">
        <f>+SUMIFS(PROVEEDORES[Total],PROVEEDORES[PROVEEDOR],PROVEEDORES[[#This Row],[PROVEEDOR]],PROVEEDORES[FECHA DE PAGO],"")</f>
        <v>0</v>
      </c>
      <c r="E883" s="140"/>
      <c r="F883" s="138" t="e">
        <f>+VLOOKUP(PROVEEDORES[[#This Row],[PROVEEDOR]],
                       Terceros!$A:$F,
                       5,
                       FALSE)</f>
        <v>#N/A</v>
      </c>
      <c r="G883" s="127">
        <v>45244</v>
      </c>
      <c r="H883" s="123" t="s">
        <v>1873</v>
      </c>
      <c r="I883" s="127">
        <v>45244</v>
      </c>
      <c r="J883" s="124">
        <v>310278</v>
      </c>
      <c r="K883" s="124" t="s">
        <v>1530</v>
      </c>
      <c r="L883" s="124"/>
      <c r="M883" s="125">
        <v>1036000</v>
      </c>
      <c r="N883" s="148">
        <v>0</v>
      </c>
      <c r="O883" s="148">
        <v>0</v>
      </c>
      <c r="P883" s="149">
        <v>0</v>
      </c>
      <c r="Q883" s="148">
        <v>0</v>
      </c>
      <c r="R883" s="150">
        <v>1036000</v>
      </c>
      <c r="S8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3" s="135">
        <f ca="1">+IF(PROVEEDORES[[#This Row],[FECHA DE PAGO]]=0,TODAY()-PROVEEDORES[[#This Row],[FECHA DE FACTURACIÓN]]-PROVEEDORES[[#This Row],[PLAZO Días]],0)</f>
        <v>0</v>
      </c>
      <c r="U883" s="135" t="e">
        <f>+VLOOKUP(PROVEEDORES[[#This Row],[PROVEEDOR]],Terceros!$A:$D,4,FALSE)</f>
        <v>#N/A</v>
      </c>
      <c r="V883" s="135">
        <f>+YEAR(PROVEEDORES[[#This Row],[FECHA DE FACTURACIÓN]])</f>
        <v>2023</v>
      </c>
      <c r="W883" s="135">
        <f>+MATCH(PROVEEDORES[[#This Row],[año facturado]],Retenciones!$1:$1,0)</f>
        <v>6</v>
      </c>
      <c r="X883" s="136" t="e">
        <f>+VLOOKUP(PROVEEDORES[[#This Row],[ID RETENCION]],Retenciones!$A$1:$O$25,PROVEEDORES[[#This Row],[indicador de columna]],FALSE)</f>
        <v>#N/A</v>
      </c>
      <c r="Y883" s="137" t="e">
        <f>+VLOOKUP(PROVEEDORES[[#This Row],[ID RETENCION]],Retenciones!$A$1:$O$25,2,FALSE)</f>
        <v>#N/A</v>
      </c>
      <c r="Z883" s="126" t="b">
        <f>+OR(COUNTIF(PROVEEDORES[[#This Row],[PROVEEDOR]],"*"&amp;'Palabra que no opera y Listas d'!$A$2&amp;"*"))</f>
        <v>0</v>
      </c>
    </row>
    <row r="884" spans="1:26" ht="27.75" customHeight="1" x14ac:dyDescent="0.25">
      <c r="A884" s="141" t="str">
        <f>+IF(PROVEEDORES[[#This Row],[FECHA DE PAGO]]=PROVEEDORES[[#This Row],[FECHA DE FACTURACIÓN]],"DE CONTADO","CRÉDITO")</f>
        <v>DE CONTADO</v>
      </c>
      <c r="B884" s="138" t="b">
        <f>+IF((PROVEEDORES[[#This Row],[FECHA DE PAGO]]-PROVEEDORES[[#This Row],[FECHA DE FACTURACIÓN]])&gt;PROVEEDORES[[#This Row],[PLAZO Días]],"PAGO VENCIDO")</f>
        <v>0</v>
      </c>
      <c r="C884" s="138">
        <f>+VLOOKUP(PROVEEDORES[[#This Row],[PROVEEDOR]],TERCEROS_INFO[#All],2,FALSE)</f>
        <v>30</v>
      </c>
      <c r="D884" s="139">
        <f>+SUMIFS(PROVEEDORES[Total],PROVEEDORES[PROVEEDOR],PROVEEDORES[[#This Row],[PROVEEDOR]],PROVEEDORES[FECHA DE PAGO],"")</f>
        <v>0</v>
      </c>
      <c r="E884" s="140"/>
      <c r="F884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884" s="127">
        <v>45244</v>
      </c>
      <c r="H884" s="123" t="s">
        <v>1865</v>
      </c>
      <c r="I884" s="127">
        <v>45244</v>
      </c>
      <c r="J884" s="124" t="s">
        <v>1227</v>
      </c>
      <c r="K884" s="124" t="s">
        <v>1530</v>
      </c>
      <c r="L884" s="124"/>
      <c r="M884" s="125">
        <v>2313921</v>
      </c>
      <c r="N884" s="148">
        <v>0</v>
      </c>
      <c r="O884" s="148">
        <v>0</v>
      </c>
      <c r="P884" s="149">
        <v>0</v>
      </c>
      <c r="Q884" s="148">
        <v>0</v>
      </c>
      <c r="R884" s="150">
        <v>2313921</v>
      </c>
      <c r="S8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4" s="135">
        <f ca="1">+IF(PROVEEDORES[[#This Row],[FECHA DE PAGO]]=0,TODAY()-PROVEEDORES[[#This Row],[FECHA DE FACTURACIÓN]]-PROVEEDORES[[#This Row],[PLAZO Días]],0)</f>
        <v>0</v>
      </c>
      <c r="U884" s="135">
        <f>+VLOOKUP(PROVEEDORES[[#This Row],[PROVEEDOR]],Terceros!$A:$D,4,FALSE)</f>
        <v>0</v>
      </c>
      <c r="V884" s="135">
        <f>+YEAR(PROVEEDORES[[#This Row],[FECHA DE FACTURACIÓN]])</f>
        <v>2023</v>
      </c>
      <c r="W884" s="135">
        <f>+MATCH(PROVEEDORES[[#This Row],[año facturado]],Retenciones!$1:$1,0)</f>
        <v>6</v>
      </c>
      <c r="X884" s="136">
        <f>+VLOOKUP(PROVEEDORES[[#This Row],[ID RETENCION]],Retenciones!$A$1:$O$25,PROVEEDORES[[#This Row],[indicador de columna]],FALSE)</f>
        <v>0</v>
      </c>
      <c r="Y884" s="137">
        <f>+VLOOKUP(PROVEEDORES[[#This Row],[ID RETENCION]],Retenciones!$A$1:$O$25,2,FALSE)</f>
        <v>0</v>
      </c>
      <c r="Z884" s="126" t="b">
        <f>+OR(COUNTIF(PROVEEDORES[[#This Row],[PROVEEDOR]],"*"&amp;'Palabra que no opera y Listas d'!$A$2&amp;"*"))</f>
        <v>0</v>
      </c>
    </row>
    <row r="885" spans="1:26" ht="27.75" customHeight="1" x14ac:dyDescent="0.25">
      <c r="A885" s="141" t="str">
        <f>+IF(PROVEEDORES[[#This Row],[FECHA DE PAGO]]=PROVEEDORES[[#This Row],[FECHA DE FACTURACIÓN]],"DE CONTADO","CRÉDITO")</f>
        <v>DE CONTADO</v>
      </c>
      <c r="B885" s="138" t="b">
        <f>+IF((PROVEEDORES[[#This Row],[FECHA DE PAGO]]-PROVEEDORES[[#This Row],[FECHA DE FACTURACIÓN]])&gt;PROVEEDORES[[#This Row],[PLAZO Días]],"PAGO VENCIDO")</f>
        <v>0</v>
      </c>
      <c r="C885" s="138">
        <f>+VLOOKUP(PROVEEDORES[[#This Row],[PROVEEDOR]],TERCEROS_INFO[#All],2,FALSE)</f>
        <v>30</v>
      </c>
      <c r="D885" s="139">
        <f>+SUMIFS(PROVEEDORES[Total],PROVEEDORES[PROVEEDOR],PROVEEDORES[[#This Row],[PROVEEDOR]],PROVEEDORES[FECHA DE PAGO],"")</f>
        <v>0</v>
      </c>
      <c r="E885" s="140"/>
      <c r="F885" s="138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885" s="127">
        <v>45244</v>
      </c>
      <c r="H885" s="123" t="s">
        <v>1186</v>
      </c>
      <c r="I885" s="127">
        <v>45244</v>
      </c>
      <c r="J885" s="124" t="s">
        <v>1250</v>
      </c>
      <c r="K885" s="124" t="s">
        <v>1530</v>
      </c>
      <c r="L885" s="124"/>
      <c r="M885" s="125">
        <v>502938</v>
      </c>
      <c r="N885" s="148">
        <v>95558.22</v>
      </c>
      <c r="O885" s="148">
        <v>0</v>
      </c>
      <c r="P885" s="149">
        <v>0</v>
      </c>
      <c r="Q885" s="148">
        <v>0</v>
      </c>
      <c r="R885" s="150">
        <v>598496.22</v>
      </c>
      <c r="S8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5" s="135">
        <f ca="1">+IF(PROVEEDORES[[#This Row],[FECHA DE PAGO]]=0,TODAY()-PROVEEDORES[[#This Row],[FECHA DE FACTURACIÓN]]-PROVEEDORES[[#This Row],[PLAZO Días]],0)</f>
        <v>0</v>
      </c>
      <c r="U885" s="135" t="str">
        <f>+VLOOKUP(PROVEEDORES[[#This Row],[PROVEEDOR]],Terceros!$A:$D,4,FALSE)</f>
        <v>2,5% con base</v>
      </c>
      <c r="V885" s="135">
        <f>+YEAR(PROVEEDORES[[#This Row],[FECHA DE FACTURACIÓN]])</f>
        <v>2023</v>
      </c>
      <c r="W885" s="135">
        <f>+MATCH(PROVEEDORES[[#This Row],[año facturado]],Retenciones!$1:$1,0)</f>
        <v>6</v>
      </c>
      <c r="X885" s="136">
        <f>+VLOOKUP(PROVEEDORES[[#This Row],[ID RETENCION]],Retenciones!$A$1:$O$25,PROVEEDORES[[#This Row],[indicador de columna]],FALSE)</f>
        <v>1145000</v>
      </c>
      <c r="Y885" s="137">
        <f>+VLOOKUP(PROVEEDORES[[#This Row],[ID RETENCION]],Retenciones!$A$1:$O$25,2,FALSE)</f>
        <v>2.5000000000000001E-2</v>
      </c>
      <c r="Z885" s="126" t="b">
        <f>+OR(COUNTIF(PROVEEDORES[[#This Row],[PROVEEDOR]],"*"&amp;'Palabra que no opera y Listas d'!$A$2&amp;"*"))</f>
        <v>0</v>
      </c>
    </row>
    <row r="886" spans="1:26" ht="27.75" customHeight="1" x14ac:dyDescent="0.25">
      <c r="A886" s="141" t="str">
        <f>+IF(PROVEEDORES[[#This Row],[FECHA DE PAGO]]=PROVEEDORES[[#This Row],[FECHA DE FACTURACIÓN]],"DE CONTADO","CRÉDITO")</f>
        <v>CRÉDITO</v>
      </c>
      <c r="B886" s="138" t="str">
        <f>+IF((PROVEEDORES[[#This Row],[FECHA DE PAGO]]-PROVEEDORES[[#This Row],[FECHA DE FACTURACIÓN]])&gt;PROVEEDORES[[#This Row],[PLAZO Días]],"PAGO VENCIDO")</f>
        <v>PAGO VENCIDO</v>
      </c>
      <c r="C886" s="138">
        <f>+VLOOKUP(PROVEEDORES[[#This Row],[PROVEEDOR]],TERCEROS_INFO[#All],2,FALSE)</f>
        <v>13</v>
      </c>
      <c r="D886" s="139">
        <f>+SUMIFS(PROVEEDORES[Total],PROVEEDORES[PROVEEDOR],PROVEEDORES[[#This Row],[PROVEEDOR]],PROVEEDORES[FECHA DE PAGO],"")</f>
        <v>0</v>
      </c>
      <c r="E886" s="140"/>
      <c r="F886" s="138">
        <f>+VLOOKUP(PROVEEDORES[[#This Row],[PROVEEDOR]],
                       Terceros!$A:$F,
                       5,
                       FALSE)</f>
        <v>0</v>
      </c>
      <c r="G886" s="127">
        <v>45245</v>
      </c>
      <c r="H886" s="123" t="s">
        <v>389</v>
      </c>
      <c r="I886" s="127">
        <v>45231</v>
      </c>
      <c r="J886" s="124"/>
      <c r="K886" s="124" t="s">
        <v>1530</v>
      </c>
      <c r="L886" s="124"/>
      <c r="M886" s="125">
        <v>959182</v>
      </c>
      <c r="N886" s="148">
        <v>0</v>
      </c>
      <c r="O886" s="148">
        <v>0</v>
      </c>
      <c r="P886" s="149">
        <v>0</v>
      </c>
      <c r="Q886" s="148">
        <v>0</v>
      </c>
      <c r="R886" s="150">
        <v>959182</v>
      </c>
      <c r="S8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6" s="135">
        <f ca="1">+IF(PROVEEDORES[[#This Row],[FECHA DE PAGO]]=0,TODAY()-PROVEEDORES[[#This Row],[FECHA DE FACTURACIÓN]]-PROVEEDORES[[#This Row],[PLAZO Días]],0)</f>
        <v>0</v>
      </c>
      <c r="U886" s="135">
        <f>+VLOOKUP(PROVEEDORES[[#This Row],[PROVEEDOR]],Terceros!$A:$D,4,FALSE)</f>
        <v>0</v>
      </c>
      <c r="V886" s="135">
        <f>+YEAR(PROVEEDORES[[#This Row],[FECHA DE FACTURACIÓN]])</f>
        <v>2023</v>
      </c>
      <c r="W886" s="135">
        <f>+MATCH(PROVEEDORES[[#This Row],[año facturado]],Retenciones!$1:$1,0)</f>
        <v>6</v>
      </c>
      <c r="X886" s="136">
        <f>+VLOOKUP(PROVEEDORES[[#This Row],[ID RETENCION]],Retenciones!$A$1:$O$25,PROVEEDORES[[#This Row],[indicador de columna]],FALSE)</f>
        <v>0</v>
      </c>
      <c r="Y886" s="137">
        <f>+VLOOKUP(PROVEEDORES[[#This Row],[ID RETENCION]],Retenciones!$A$1:$O$25,2,FALSE)</f>
        <v>0</v>
      </c>
      <c r="Z886" s="126" t="b">
        <f>+OR(COUNTIF(PROVEEDORES[[#This Row],[PROVEEDOR]],"*"&amp;'Palabra que no opera y Listas d'!$A$2&amp;"*"))</f>
        <v>1</v>
      </c>
    </row>
    <row r="887" spans="1:26" ht="27.75" customHeight="1" x14ac:dyDescent="0.25">
      <c r="A887" s="141" t="str">
        <f>+IF(PROVEEDORES[[#This Row],[FECHA DE PAGO]]=PROVEEDORES[[#This Row],[FECHA DE FACTURACIÓN]],"DE CONTADO","CRÉDITO")</f>
        <v>DE CONTADO</v>
      </c>
      <c r="B887" s="138" t="b">
        <f>+IF((PROVEEDORES[[#This Row],[FECHA DE PAGO]]-PROVEEDORES[[#This Row],[FECHA DE FACTURACIÓN]])&gt;PROVEEDORES[[#This Row],[PLAZO Días]],"PAGO VENCIDO")</f>
        <v>0</v>
      </c>
      <c r="C887" s="138">
        <f>+VLOOKUP(PROVEEDORES[[#This Row],[PROVEEDOR]],TERCEROS_INFO[#All],2,FALSE)</f>
        <v>30</v>
      </c>
      <c r="D887" s="139">
        <f>+SUMIFS(PROVEEDORES[Total],PROVEEDORES[PROVEEDOR],PROVEEDORES[[#This Row],[PROVEEDOR]],PROVEEDORES[FECHA DE PAGO],"")</f>
        <v>0</v>
      </c>
      <c r="E887" s="140"/>
      <c r="F887" s="138" t="str">
        <f>+VLOOKUP(PROVEEDORES[[#This Row],[PROVEEDOR]],
                       Terceros!$A:$F,
                       5,
                       FALSE)</f>
        <v/>
      </c>
      <c r="G887" s="127">
        <v>45245</v>
      </c>
      <c r="H887" s="123" t="s">
        <v>525</v>
      </c>
      <c r="I887" s="127">
        <v>45245</v>
      </c>
      <c r="J887" s="124" t="s">
        <v>1281</v>
      </c>
      <c r="K887" s="124" t="s">
        <v>1530</v>
      </c>
      <c r="L887" s="124"/>
      <c r="M887" s="125">
        <v>600000</v>
      </c>
      <c r="N887" s="148">
        <v>0</v>
      </c>
      <c r="O887" s="148">
        <v>0</v>
      </c>
      <c r="P887" s="149">
        <v>0</v>
      </c>
      <c r="Q887" s="148">
        <v>0</v>
      </c>
      <c r="R887" s="150">
        <v>600000</v>
      </c>
      <c r="S8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7" s="135">
        <f ca="1">+IF(PROVEEDORES[[#This Row],[FECHA DE PAGO]]=0,TODAY()-PROVEEDORES[[#This Row],[FECHA DE FACTURACIÓN]]-PROVEEDORES[[#This Row],[PLAZO Días]],0)</f>
        <v>0</v>
      </c>
      <c r="U887" s="135">
        <f>+VLOOKUP(PROVEEDORES[[#This Row],[PROVEEDOR]],Terceros!$A:$D,4,FALSE)</f>
        <v>0</v>
      </c>
      <c r="V887" s="135">
        <f>+YEAR(PROVEEDORES[[#This Row],[FECHA DE FACTURACIÓN]])</f>
        <v>2023</v>
      </c>
      <c r="W887" s="135">
        <f>+MATCH(PROVEEDORES[[#This Row],[año facturado]],Retenciones!$1:$1,0)</f>
        <v>6</v>
      </c>
      <c r="X887" s="136">
        <f>+VLOOKUP(PROVEEDORES[[#This Row],[ID RETENCION]],Retenciones!$A$1:$O$25,PROVEEDORES[[#This Row],[indicador de columna]],FALSE)</f>
        <v>0</v>
      </c>
      <c r="Y887" s="137">
        <f>+VLOOKUP(PROVEEDORES[[#This Row],[ID RETENCION]],Retenciones!$A$1:$O$25,2,FALSE)</f>
        <v>0</v>
      </c>
      <c r="Z887" s="126" t="b">
        <f>+OR(COUNTIF(PROVEEDORES[[#This Row],[PROVEEDOR]],"*"&amp;'Palabra que no opera y Listas d'!$A$2&amp;"*"))</f>
        <v>0</v>
      </c>
    </row>
    <row r="888" spans="1:26" ht="27.75" customHeight="1" x14ac:dyDescent="0.25">
      <c r="A888" s="141" t="str">
        <f>+IF(PROVEEDORES[[#This Row],[FECHA DE PAGO]]=PROVEEDORES[[#This Row],[FECHA DE FACTURACIÓN]],"DE CONTADO","CRÉDITO")</f>
        <v>DE CONTADO</v>
      </c>
      <c r="B888" s="138" t="b">
        <f>+IF((PROVEEDORES[[#This Row],[FECHA DE PAGO]]-PROVEEDORES[[#This Row],[FECHA DE FACTURACIÓN]])&gt;PROVEEDORES[[#This Row],[PLAZO Días]],"PAGO VENCIDO")</f>
        <v>0</v>
      </c>
      <c r="C888" s="138">
        <f>+VLOOKUP(PROVEEDORES[[#This Row],[PROVEEDOR]],TERCEROS_INFO[#All],2,FALSE)</f>
        <v>30</v>
      </c>
      <c r="D888" s="139">
        <f>+SUMIFS(PROVEEDORES[Total],PROVEEDORES[PROVEEDOR],PROVEEDORES[[#This Row],[PROVEEDOR]],PROVEEDORES[FECHA DE PAGO],"")</f>
        <v>1350000</v>
      </c>
      <c r="E888" s="140"/>
      <c r="F888" s="138" t="str">
        <f>+VLOOKUP(PROVEEDORES[[#This Row],[PROVEEDOR]],
                       Terceros!$A:$F,
                       5,
                       FALSE)</f>
        <v/>
      </c>
      <c r="G888" s="127">
        <v>45245</v>
      </c>
      <c r="H888" s="123" t="s">
        <v>1807</v>
      </c>
      <c r="I888" s="127">
        <v>45245</v>
      </c>
      <c r="J888" s="124" t="s">
        <v>1278</v>
      </c>
      <c r="K888" s="124" t="s">
        <v>1530</v>
      </c>
      <c r="L888" s="124"/>
      <c r="M888" s="125">
        <v>460000</v>
      </c>
      <c r="N888" s="148">
        <v>0</v>
      </c>
      <c r="O888" s="148">
        <v>0</v>
      </c>
      <c r="P888" s="149">
        <v>0</v>
      </c>
      <c r="Q888" s="148">
        <v>0</v>
      </c>
      <c r="R888" s="150">
        <v>460000</v>
      </c>
      <c r="S8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8" s="135">
        <f ca="1">+IF(PROVEEDORES[[#This Row],[FECHA DE PAGO]]=0,TODAY()-PROVEEDORES[[#This Row],[FECHA DE FACTURACIÓN]]-PROVEEDORES[[#This Row],[PLAZO Días]],0)</f>
        <v>0</v>
      </c>
      <c r="U888" s="135">
        <f>+VLOOKUP(PROVEEDORES[[#This Row],[PROVEEDOR]],Terceros!$A:$D,4,FALSE)</f>
        <v>0</v>
      </c>
      <c r="V888" s="135">
        <f>+YEAR(PROVEEDORES[[#This Row],[FECHA DE FACTURACIÓN]])</f>
        <v>2023</v>
      </c>
      <c r="W888" s="135">
        <f>+MATCH(PROVEEDORES[[#This Row],[año facturado]],Retenciones!$1:$1,0)</f>
        <v>6</v>
      </c>
      <c r="X888" s="136">
        <f>+VLOOKUP(PROVEEDORES[[#This Row],[ID RETENCION]],Retenciones!$A$1:$O$25,PROVEEDORES[[#This Row],[indicador de columna]],FALSE)</f>
        <v>0</v>
      </c>
      <c r="Y888" s="137">
        <f>+VLOOKUP(PROVEEDORES[[#This Row],[ID RETENCION]],Retenciones!$A$1:$O$25,2,FALSE)</f>
        <v>0</v>
      </c>
      <c r="Z888" s="126" t="b">
        <f>+OR(COUNTIF(PROVEEDORES[[#This Row],[PROVEEDOR]],"*"&amp;'Palabra que no opera y Listas d'!$A$2&amp;"*"))</f>
        <v>0</v>
      </c>
    </row>
    <row r="889" spans="1:26" ht="27.75" customHeight="1" x14ac:dyDescent="0.25">
      <c r="A889" s="141" t="str">
        <f>+IF(PROVEEDORES[[#This Row],[FECHA DE PAGO]]=PROVEEDORES[[#This Row],[FECHA DE FACTURACIÓN]],"DE CONTADO","CRÉDITO")</f>
        <v>CRÉDITO</v>
      </c>
      <c r="B889" s="138" t="str">
        <f>+IF((PROVEEDORES[[#This Row],[FECHA DE PAGO]]-PROVEEDORES[[#This Row],[FECHA DE FACTURACIÓN]])&gt;PROVEEDORES[[#This Row],[PLAZO Días]],"PAGO VENCIDO")</f>
        <v>PAGO VENCIDO</v>
      </c>
      <c r="C889" s="138">
        <f>+VLOOKUP(PROVEEDORES[[#This Row],[PROVEEDOR]],TERCEROS_INFO[#All],2,FALSE)</f>
        <v>30</v>
      </c>
      <c r="D889" s="139">
        <f>+SUMIFS(PROVEEDORES[Total],PROVEEDORES[PROVEEDOR],PROVEEDORES[[#This Row],[PROVEEDOR]],PROVEEDORES[FECHA DE PAGO],"")</f>
        <v>1460000.29</v>
      </c>
      <c r="E889" s="140"/>
      <c r="F889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89" s="127">
        <v>45246</v>
      </c>
      <c r="H889" s="123" t="s">
        <v>131</v>
      </c>
      <c r="I889" s="127">
        <v>45156</v>
      </c>
      <c r="J889" s="124" t="s">
        <v>500</v>
      </c>
      <c r="K889" s="124" t="s">
        <v>1530</v>
      </c>
      <c r="L889" s="124"/>
      <c r="M889" s="125">
        <v>-537815</v>
      </c>
      <c r="N889" s="148">
        <v>-102184.85</v>
      </c>
      <c r="O889" s="148">
        <v>0</v>
      </c>
      <c r="P889" s="149">
        <v>0</v>
      </c>
      <c r="Q889" s="148">
        <v>0</v>
      </c>
      <c r="R889" s="150">
        <v>-639999.85</v>
      </c>
      <c r="S8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89" s="135">
        <f ca="1">+IF(PROVEEDORES[[#This Row],[FECHA DE PAGO]]=0,TODAY()-PROVEEDORES[[#This Row],[FECHA DE FACTURACIÓN]]-PROVEEDORES[[#This Row],[PLAZO Días]],0)</f>
        <v>0</v>
      </c>
      <c r="U889" s="135" t="str">
        <f>+VLOOKUP(PROVEEDORES[[#This Row],[PROVEEDOR]],Terceros!$A:$D,4,FALSE)</f>
        <v>2,5% con base</v>
      </c>
      <c r="V889" s="135">
        <f>+YEAR(PROVEEDORES[[#This Row],[FECHA DE FACTURACIÓN]])</f>
        <v>2023</v>
      </c>
      <c r="W889" s="135">
        <f>+MATCH(PROVEEDORES[[#This Row],[año facturado]],Retenciones!$1:$1,0)</f>
        <v>6</v>
      </c>
      <c r="X889" s="136">
        <f>+VLOOKUP(PROVEEDORES[[#This Row],[ID RETENCION]],Retenciones!$A$1:$O$25,PROVEEDORES[[#This Row],[indicador de columna]],FALSE)</f>
        <v>1145000</v>
      </c>
      <c r="Y889" s="137">
        <f>+VLOOKUP(PROVEEDORES[[#This Row],[ID RETENCION]],Retenciones!$A$1:$O$25,2,FALSE)</f>
        <v>2.5000000000000001E-2</v>
      </c>
      <c r="Z889" s="126" t="b">
        <f>+OR(COUNTIF(PROVEEDORES[[#This Row],[PROVEEDOR]],"*"&amp;'Palabra que no opera y Listas d'!$A$2&amp;"*"))</f>
        <v>0</v>
      </c>
    </row>
    <row r="890" spans="1:26" ht="27.75" customHeight="1" x14ac:dyDescent="0.25">
      <c r="A890" s="141" t="str">
        <f>+IF(PROVEEDORES[[#This Row],[FECHA DE PAGO]]=PROVEEDORES[[#This Row],[FECHA DE FACTURACIÓN]],"DE CONTADO","CRÉDITO")</f>
        <v>CRÉDITO</v>
      </c>
      <c r="B890" s="138" t="str">
        <f>+IF((PROVEEDORES[[#This Row],[FECHA DE PAGO]]-PROVEEDORES[[#This Row],[FECHA DE FACTURACIÓN]])&gt;PROVEEDORES[[#This Row],[PLAZO Días]],"PAGO VENCIDO")</f>
        <v>PAGO VENCIDO</v>
      </c>
      <c r="C890" s="138">
        <f>+VLOOKUP(PROVEEDORES[[#This Row],[PROVEEDOR]],TERCEROS_INFO[#All],2,FALSE)</f>
        <v>30</v>
      </c>
      <c r="D890" s="139">
        <f>+SUMIFS(PROVEEDORES[Total],PROVEEDORES[PROVEEDOR],PROVEEDORES[[#This Row],[PROVEEDOR]],PROVEEDORES[FECHA DE PAGO],"")</f>
        <v>1460000.29</v>
      </c>
      <c r="E890" s="140"/>
      <c r="F890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90" s="127">
        <v>45246</v>
      </c>
      <c r="H890" s="123" t="s">
        <v>131</v>
      </c>
      <c r="I890" s="127">
        <v>45177</v>
      </c>
      <c r="J890" s="124" t="s">
        <v>1058</v>
      </c>
      <c r="K890" s="124" t="s">
        <v>1530</v>
      </c>
      <c r="L890" s="124"/>
      <c r="M890" s="125">
        <v>3048739</v>
      </c>
      <c r="N890" s="148">
        <v>579260.41</v>
      </c>
      <c r="O890" s="148">
        <v>0</v>
      </c>
      <c r="P890" s="149">
        <v>2.5000000000000001E-2</v>
      </c>
      <c r="Q890" s="148">
        <v>76218.475000000006</v>
      </c>
      <c r="R890" s="150">
        <v>3551780.9350000001</v>
      </c>
      <c r="S8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0" s="135">
        <f ca="1">+IF(PROVEEDORES[[#This Row],[FECHA DE PAGO]]=0,TODAY()-PROVEEDORES[[#This Row],[FECHA DE FACTURACIÓN]]-PROVEEDORES[[#This Row],[PLAZO Días]],0)</f>
        <v>0</v>
      </c>
      <c r="U890" s="135" t="str">
        <f>+VLOOKUP(PROVEEDORES[[#This Row],[PROVEEDOR]],Terceros!$A:$D,4,FALSE)</f>
        <v>2,5% con base</v>
      </c>
      <c r="V890" s="135">
        <f>+YEAR(PROVEEDORES[[#This Row],[FECHA DE FACTURACIÓN]])</f>
        <v>2023</v>
      </c>
      <c r="W890" s="135">
        <f>+MATCH(PROVEEDORES[[#This Row],[año facturado]],Retenciones!$1:$1,0)</f>
        <v>6</v>
      </c>
      <c r="X890" s="136">
        <f>+VLOOKUP(PROVEEDORES[[#This Row],[ID RETENCION]],Retenciones!$A$1:$O$25,PROVEEDORES[[#This Row],[indicador de columna]],FALSE)</f>
        <v>1145000</v>
      </c>
      <c r="Y890" s="137">
        <f>+VLOOKUP(PROVEEDORES[[#This Row],[ID RETENCION]],Retenciones!$A$1:$O$25,2,FALSE)</f>
        <v>2.5000000000000001E-2</v>
      </c>
      <c r="Z890" s="126" t="b">
        <f>+OR(COUNTIF(PROVEEDORES[[#This Row],[PROVEEDOR]],"*"&amp;'Palabra que no opera y Listas d'!$A$2&amp;"*"))</f>
        <v>0</v>
      </c>
    </row>
    <row r="891" spans="1:26" ht="27.75" customHeight="1" x14ac:dyDescent="0.25">
      <c r="A891" s="141" t="str">
        <f>+IF(PROVEEDORES[[#This Row],[FECHA DE PAGO]]=PROVEEDORES[[#This Row],[FECHA DE FACTURACIÓN]],"DE CONTADO","CRÉDITO")</f>
        <v>CRÉDITO</v>
      </c>
      <c r="B891" s="138" t="str">
        <f>+IF((PROVEEDORES[[#This Row],[FECHA DE PAGO]]-PROVEEDORES[[#This Row],[FECHA DE FACTURACIÓN]])&gt;PROVEEDORES[[#This Row],[PLAZO Días]],"PAGO VENCIDO")</f>
        <v>PAGO VENCIDO</v>
      </c>
      <c r="C891" s="138">
        <f>+VLOOKUP(PROVEEDORES[[#This Row],[PROVEEDOR]],TERCEROS_INFO[#All],2,FALSE)</f>
        <v>30</v>
      </c>
      <c r="D891" s="139">
        <f>+SUMIFS(PROVEEDORES[Total],PROVEEDORES[PROVEEDOR],PROVEEDORES[[#This Row],[PROVEEDOR]],PROVEEDORES[FECHA DE PAGO],"")</f>
        <v>0</v>
      </c>
      <c r="E891" s="140"/>
      <c r="F891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91" s="127">
        <v>45246</v>
      </c>
      <c r="H891" s="123" t="s">
        <v>948</v>
      </c>
      <c r="I891" s="127">
        <v>45178</v>
      </c>
      <c r="J891" s="124" t="s">
        <v>1067</v>
      </c>
      <c r="K891" s="124" t="s">
        <v>1530</v>
      </c>
      <c r="L891" s="124"/>
      <c r="M891" s="125">
        <v>1157983</v>
      </c>
      <c r="N891" s="148">
        <v>220016.77</v>
      </c>
      <c r="O891" s="148">
        <v>0</v>
      </c>
      <c r="P891" s="149">
        <v>2.5000000000000001E-2</v>
      </c>
      <c r="Q891" s="148">
        <v>28949.575000000001</v>
      </c>
      <c r="R891" s="150">
        <v>1349050.1950000001</v>
      </c>
      <c r="S8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1" s="135">
        <f ca="1">+IF(PROVEEDORES[[#This Row],[FECHA DE PAGO]]=0,TODAY()-PROVEEDORES[[#This Row],[FECHA DE FACTURACIÓN]]-PROVEEDORES[[#This Row],[PLAZO Días]],0)</f>
        <v>0</v>
      </c>
      <c r="U891" s="135" t="str">
        <f>+VLOOKUP(PROVEEDORES[[#This Row],[PROVEEDOR]],Terceros!$A:$D,4,FALSE)</f>
        <v>2,5% con base</v>
      </c>
      <c r="V891" s="135">
        <f>+YEAR(PROVEEDORES[[#This Row],[FECHA DE FACTURACIÓN]])</f>
        <v>2023</v>
      </c>
      <c r="W891" s="135">
        <f>+MATCH(PROVEEDORES[[#This Row],[año facturado]],Retenciones!$1:$1,0)</f>
        <v>6</v>
      </c>
      <c r="X891" s="136">
        <f>+VLOOKUP(PROVEEDORES[[#This Row],[ID RETENCION]],Retenciones!$A$1:$O$25,PROVEEDORES[[#This Row],[indicador de columna]],FALSE)</f>
        <v>1145000</v>
      </c>
      <c r="Y891" s="137">
        <f>+VLOOKUP(PROVEEDORES[[#This Row],[ID RETENCION]],Retenciones!$A$1:$O$25,2,FALSE)</f>
        <v>2.5000000000000001E-2</v>
      </c>
      <c r="Z891" s="126" t="b">
        <f>+OR(COUNTIF(PROVEEDORES[[#This Row],[PROVEEDOR]],"*"&amp;'Palabra que no opera y Listas d'!$A$2&amp;"*"))</f>
        <v>0</v>
      </c>
    </row>
    <row r="892" spans="1:26" ht="27.75" customHeight="1" x14ac:dyDescent="0.25">
      <c r="A892" s="141" t="str">
        <f>+IF(PROVEEDORES[[#This Row],[FECHA DE PAGO]]=PROVEEDORES[[#This Row],[FECHA DE FACTURACIÓN]],"DE CONTADO","CRÉDITO")</f>
        <v>CRÉDITO</v>
      </c>
      <c r="B892" s="138" t="str">
        <f>+IF((PROVEEDORES[[#This Row],[FECHA DE PAGO]]-PROVEEDORES[[#This Row],[FECHA DE FACTURACIÓN]])&gt;PROVEEDORES[[#This Row],[PLAZO Días]],"PAGO VENCIDO")</f>
        <v>PAGO VENCIDO</v>
      </c>
      <c r="C892" s="138">
        <f>+VLOOKUP(PROVEEDORES[[#This Row],[PROVEEDOR]],TERCEROS_INFO[#All],2,FALSE)</f>
        <v>30</v>
      </c>
      <c r="D892" s="139">
        <f>+SUMIFS(PROVEEDORES[Total],PROVEEDORES[PROVEEDOR],PROVEEDORES[[#This Row],[PROVEEDOR]],PROVEEDORES[FECHA DE PAGO],"")</f>
        <v>1460000.29</v>
      </c>
      <c r="E892" s="140"/>
      <c r="F892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92" s="127">
        <v>45246</v>
      </c>
      <c r="H892" s="123" t="s">
        <v>131</v>
      </c>
      <c r="I892" s="127">
        <v>45184</v>
      </c>
      <c r="J892" s="124" t="s">
        <v>1060</v>
      </c>
      <c r="K892" s="124" t="s">
        <v>1530</v>
      </c>
      <c r="L892" s="124"/>
      <c r="M892" s="125">
        <v>-210084</v>
      </c>
      <c r="N892" s="148">
        <v>-39915.96</v>
      </c>
      <c r="O892" s="148">
        <v>0</v>
      </c>
      <c r="P892" s="149">
        <v>0</v>
      </c>
      <c r="Q892" s="148">
        <v>0</v>
      </c>
      <c r="R892" s="150">
        <v>-249999.96</v>
      </c>
      <c r="S8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2" s="135">
        <f ca="1">+IF(PROVEEDORES[[#This Row],[FECHA DE PAGO]]=0,TODAY()-PROVEEDORES[[#This Row],[FECHA DE FACTURACIÓN]]-PROVEEDORES[[#This Row],[PLAZO Días]],0)</f>
        <v>0</v>
      </c>
      <c r="U892" s="135" t="str">
        <f>+VLOOKUP(PROVEEDORES[[#This Row],[PROVEEDOR]],Terceros!$A:$D,4,FALSE)</f>
        <v>2,5% con base</v>
      </c>
      <c r="V892" s="135">
        <f>+YEAR(PROVEEDORES[[#This Row],[FECHA DE FACTURACIÓN]])</f>
        <v>2023</v>
      </c>
      <c r="W892" s="135">
        <f>+MATCH(PROVEEDORES[[#This Row],[año facturado]],Retenciones!$1:$1,0)</f>
        <v>6</v>
      </c>
      <c r="X892" s="136">
        <f>+VLOOKUP(PROVEEDORES[[#This Row],[ID RETENCION]],Retenciones!$A$1:$O$25,PROVEEDORES[[#This Row],[indicador de columna]],FALSE)</f>
        <v>1145000</v>
      </c>
      <c r="Y892" s="137">
        <f>+VLOOKUP(PROVEEDORES[[#This Row],[ID RETENCION]],Retenciones!$A$1:$O$25,2,FALSE)</f>
        <v>2.5000000000000001E-2</v>
      </c>
      <c r="Z892" s="126" t="b">
        <f>+OR(COUNTIF(PROVEEDORES[[#This Row],[PROVEEDOR]],"*"&amp;'Palabra que no opera y Listas d'!$A$2&amp;"*"))</f>
        <v>0</v>
      </c>
    </row>
    <row r="893" spans="1:26" ht="27.75" customHeight="1" x14ac:dyDescent="0.25">
      <c r="A893" s="141" t="str">
        <f>+IF(PROVEEDORES[[#This Row],[FECHA DE PAGO]]=PROVEEDORES[[#This Row],[FECHA DE FACTURACIÓN]],"DE CONTADO","CRÉDITO")</f>
        <v>CRÉDITO</v>
      </c>
      <c r="B893" s="138" t="str">
        <f>+IF((PROVEEDORES[[#This Row],[FECHA DE PAGO]]-PROVEEDORES[[#This Row],[FECHA DE FACTURACIÓN]])&gt;PROVEEDORES[[#This Row],[PLAZO Días]],"PAGO VENCIDO")</f>
        <v>PAGO VENCIDO</v>
      </c>
      <c r="C893" s="138">
        <f>+VLOOKUP(PROVEEDORES[[#This Row],[PROVEEDOR]],TERCEROS_INFO[#All],2,FALSE)</f>
        <v>30</v>
      </c>
      <c r="D893" s="139">
        <f>+SUMIFS(PROVEEDORES[Total],PROVEEDORES[PROVEEDOR],PROVEEDORES[[#This Row],[PROVEEDOR]],PROVEEDORES[FECHA DE PAGO],"")</f>
        <v>1460000.29</v>
      </c>
      <c r="E893" s="140"/>
      <c r="F893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893" s="127">
        <v>45246</v>
      </c>
      <c r="H893" s="123" t="s">
        <v>131</v>
      </c>
      <c r="I893" s="127">
        <v>45184</v>
      </c>
      <c r="J893" s="124" t="s">
        <v>1059</v>
      </c>
      <c r="K893" s="124" t="s">
        <v>1530</v>
      </c>
      <c r="L893" s="124"/>
      <c r="M893" s="125">
        <v>483193</v>
      </c>
      <c r="N893" s="148">
        <v>91806.67</v>
      </c>
      <c r="O893" s="148">
        <v>0</v>
      </c>
      <c r="P893" s="149">
        <v>0</v>
      </c>
      <c r="Q893" s="148">
        <v>0</v>
      </c>
      <c r="R893" s="150">
        <v>574999.67000000004</v>
      </c>
      <c r="S8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3" s="135">
        <f ca="1">+IF(PROVEEDORES[[#This Row],[FECHA DE PAGO]]=0,TODAY()-PROVEEDORES[[#This Row],[FECHA DE FACTURACIÓN]]-PROVEEDORES[[#This Row],[PLAZO Días]],0)</f>
        <v>0</v>
      </c>
      <c r="U893" s="135" t="str">
        <f>+VLOOKUP(PROVEEDORES[[#This Row],[PROVEEDOR]],Terceros!$A:$D,4,FALSE)</f>
        <v>2,5% con base</v>
      </c>
      <c r="V893" s="135">
        <f>+YEAR(PROVEEDORES[[#This Row],[FECHA DE FACTURACIÓN]])</f>
        <v>2023</v>
      </c>
      <c r="W893" s="135">
        <f>+MATCH(PROVEEDORES[[#This Row],[año facturado]],Retenciones!$1:$1,0)</f>
        <v>6</v>
      </c>
      <c r="X893" s="136">
        <f>+VLOOKUP(PROVEEDORES[[#This Row],[ID RETENCION]],Retenciones!$A$1:$O$25,PROVEEDORES[[#This Row],[indicador de columna]],FALSE)</f>
        <v>1145000</v>
      </c>
      <c r="Y893" s="137">
        <f>+VLOOKUP(PROVEEDORES[[#This Row],[ID RETENCION]],Retenciones!$A$1:$O$25,2,FALSE)</f>
        <v>2.5000000000000001E-2</v>
      </c>
      <c r="Z893" s="126" t="b">
        <f>+OR(COUNTIF(PROVEEDORES[[#This Row],[PROVEEDOR]],"*"&amp;'Palabra que no opera y Listas d'!$A$2&amp;"*"))</f>
        <v>0</v>
      </c>
    </row>
    <row r="894" spans="1:26" ht="27.75" customHeight="1" x14ac:dyDescent="0.25">
      <c r="A894" s="141" t="str">
        <f>+IF(PROVEEDORES[[#This Row],[FECHA DE PAGO]]=PROVEEDORES[[#This Row],[FECHA DE FACTURACIÓN]],"DE CONTADO","CRÉDITO")</f>
        <v>CRÉDITO</v>
      </c>
      <c r="B894" s="138" t="str">
        <f>+IF((PROVEEDORES[[#This Row],[FECHA DE PAGO]]-PROVEEDORES[[#This Row],[FECHA DE FACTURACIÓN]])&gt;PROVEEDORES[[#This Row],[PLAZO Días]],"PAGO VENCIDO")</f>
        <v>PAGO VENCIDO</v>
      </c>
      <c r="C894" s="138">
        <f>+VLOOKUP(PROVEEDORES[[#This Row],[PROVEEDOR]],TERCEROS_INFO[#All],2,FALSE)</f>
        <v>45</v>
      </c>
      <c r="D894" s="139">
        <f>+SUMIFS(PROVEEDORES[Total],PROVEEDORES[PROVEEDOR],PROVEEDORES[[#This Row],[PROVEEDOR]],PROVEEDORES[FECHA DE PAGO],"")</f>
        <v>22186260.039999999</v>
      </c>
      <c r="E894" s="140"/>
      <c r="F894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894" s="127">
        <v>45246</v>
      </c>
      <c r="H894" s="123" t="s">
        <v>19</v>
      </c>
      <c r="I894" s="127">
        <v>45197</v>
      </c>
      <c r="J894" s="124" t="s">
        <v>1075</v>
      </c>
      <c r="K894" s="124" t="s">
        <v>1530</v>
      </c>
      <c r="L894" s="124"/>
      <c r="M894" s="125">
        <v>13085520</v>
      </c>
      <c r="N894" s="148">
        <v>2486248.7999999998</v>
      </c>
      <c r="O894" s="148">
        <v>0</v>
      </c>
      <c r="P894" s="149">
        <v>0</v>
      </c>
      <c r="Q894" s="148">
        <v>0</v>
      </c>
      <c r="R894" s="150">
        <v>15571768.800000001</v>
      </c>
      <c r="S8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4" s="135">
        <f ca="1">+IF(PROVEEDORES[[#This Row],[FECHA DE PAGO]]=0,TODAY()-PROVEEDORES[[#This Row],[FECHA DE FACTURACIÓN]]-PROVEEDORES[[#This Row],[PLAZO Días]],0)</f>
        <v>0</v>
      </c>
      <c r="U894" s="135">
        <f>+VLOOKUP(PROVEEDORES[[#This Row],[PROVEEDOR]],Terceros!$A:$D,4,FALSE)</f>
        <v>0</v>
      </c>
      <c r="V894" s="135">
        <f>+YEAR(PROVEEDORES[[#This Row],[FECHA DE FACTURACIÓN]])</f>
        <v>2023</v>
      </c>
      <c r="W894" s="135">
        <f>+MATCH(PROVEEDORES[[#This Row],[año facturado]],Retenciones!$1:$1,0)</f>
        <v>6</v>
      </c>
      <c r="X894" s="136">
        <f>+VLOOKUP(PROVEEDORES[[#This Row],[ID RETENCION]],Retenciones!$A$1:$O$25,PROVEEDORES[[#This Row],[indicador de columna]],FALSE)</f>
        <v>0</v>
      </c>
      <c r="Y894" s="137">
        <f>+VLOOKUP(PROVEEDORES[[#This Row],[ID RETENCION]],Retenciones!$A$1:$O$25,2,FALSE)</f>
        <v>0</v>
      </c>
      <c r="Z894" s="126" t="b">
        <f>+OR(COUNTIF(PROVEEDORES[[#This Row],[PROVEEDOR]],"*"&amp;'Palabra que no opera y Listas d'!$A$2&amp;"*"))</f>
        <v>0</v>
      </c>
    </row>
    <row r="895" spans="1:26" ht="27.75" customHeight="1" x14ac:dyDescent="0.25">
      <c r="A895" s="141" t="str">
        <f>+IF(PROVEEDORES[[#This Row],[FECHA DE PAGO]]=PROVEEDORES[[#This Row],[FECHA DE FACTURACIÓN]],"DE CONTADO","CRÉDITO")</f>
        <v>CRÉDITO</v>
      </c>
      <c r="B895" s="138" t="b">
        <f>+IF((PROVEEDORES[[#This Row],[FECHA DE PAGO]]-PROVEEDORES[[#This Row],[FECHA DE FACTURACIÓN]])&gt;PROVEEDORES[[#This Row],[PLAZO Días]],"PAGO VENCIDO")</f>
        <v>0</v>
      </c>
      <c r="C895" s="138">
        <f>+VLOOKUP(PROVEEDORES[[#This Row],[PROVEEDOR]],TERCEROS_INFO[#All],2,FALSE)</f>
        <v>60</v>
      </c>
      <c r="D895" s="139">
        <f>+SUMIFS(PROVEEDORES[Total],PROVEEDORES[PROVEEDOR],PROVEEDORES[[#This Row],[PROVEEDOR]],PROVEEDORES[FECHA DE PAGO],"")</f>
        <v>0</v>
      </c>
      <c r="E895" s="140"/>
      <c r="F895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895" s="127">
        <v>45246</v>
      </c>
      <c r="H895" s="123" t="s">
        <v>65</v>
      </c>
      <c r="I895" s="127">
        <v>45218</v>
      </c>
      <c r="J895" s="124" t="s">
        <v>1166</v>
      </c>
      <c r="K895" s="124" t="s">
        <v>1530</v>
      </c>
      <c r="L895" s="124"/>
      <c r="M895" s="125">
        <v>5488200</v>
      </c>
      <c r="N895" s="148">
        <v>1042758</v>
      </c>
      <c r="O895" s="148">
        <v>0</v>
      </c>
      <c r="P895" s="149">
        <v>2.5000000000000001E-2</v>
      </c>
      <c r="Q895" s="148">
        <v>137205</v>
      </c>
      <c r="R895" s="150">
        <v>6393753</v>
      </c>
      <c r="S8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5" s="135">
        <f ca="1">+IF(PROVEEDORES[[#This Row],[FECHA DE PAGO]]=0,TODAY()-PROVEEDORES[[#This Row],[FECHA DE FACTURACIÓN]]-PROVEEDORES[[#This Row],[PLAZO Días]],0)</f>
        <v>0</v>
      </c>
      <c r="U895" s="135" t="str">
        <f>+VLOOKUP(PROVEEDORES[[#This Row],[PROVEEDOR]],Terceros!$A:$D,4,FALSE)</f>
        <v>2,5% con base</v>
      </c>
      <c r="V895" s="135">
        <f>+YEAR(PROVEEDORES[[#This Row],[FECHA DE FACTURACIÓN]])</f>
        <v>2023</v>
      </c>
      <c r="W895" s="135">
        <f>+MATCH(PROVEEDORES[[#This Row],[año facturado]],Retenciones!$1:$1,0)</f>
        <v>6</v>
      </c>
      <c r="X895" s="136">
        <f>+VLOOKUP(PROVEEDORES[[#This Row],[ID RETENCION]],Retenciones!$A$1:$O$25,PROVEEDORES[[#This Row],[indicador de columna]],FALSE)</f>
        <v>1145000</v>
      </c>
      <c r="Y895" s="137">
        <f>+VLOOKUP(PROVEEDORES[[#This Row],[ID RETENCION]],Retenciones!$A$1:$O$25,2,FALSE)</f>
        <v>2.5000000000000001E-2</v>
      </c>
      <c r="Z895" s="126" t="b">
        <f>+OR(COUNTIF(PROVEEDORES[[#This Row],[PROVEEDOR]],"*"&amp;'Palabra que no opera y Listas d'!$A$2&amp;"*"))</f>
        <v>0</v>
      </c>
    </row>
    <row r="896" spans="1:26" ht="27.75" customHeight="1" x14ac:dyDescent="0.25">
      <c r="A896" s="141" t="str">
        <f>+IF(PROVEEDORES[[#This Row],[FECHA DE PAGO]]=PROVEEDORES[[#This Row],[FECHA DE FACTURACIÓN]],"DE CONTADO","CRÉDITO")</f>
        <v>CRÉDITO</v>
      </c>
      <c r="B896" s="138" t="b">
        <f>+IF((PROVEEDORES[[#This Row],[FECHA DE PAGO]]-PROVEEDORES[[#This Row],[FECHA DE FACTURACIÓN]])&gt;PROVEEDORES[[#This Row],[PLAZO Días]],"PAGO VENCIDO")</f>
        <v>0</v>
      </c>
      <c r="C896" s="138">
        <f>+VLOOKUP(PROVEEDORES[[#This Row],[PROVEEDOR]],TERCEROS_INFO[#All],2,FALSE)</f>
        <v>60</v>
      </c>
      <c r="D896" s="139">
        <f>+SUMIFS(PROVEEDORES[Total],PROVEEDORES[PROVEEDOR],PROVEEDORES[[#This Row],[PROVEEDOR]],PROVEEDORES[FECHA DE PAGO],"")</f>
        <v>0</v>
      </c>
      <c r="E896" s="140"/>
      <c r="F896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896" s="127">
        <v>45246</v>
      </c>
      <c r="H896" s="123" t="s">
        <v>65</v>
      </c>
      <c r="I896" s="127">
        <v>45218</v>
      </c>
      <c r="J896" s="124" t="s">
        <v>1167</v>
      </c>
      <c r="K896" s="124" t="s">
        <v>1530</v>
      </c>
      <c r="L896" s="124"/>
      <c r="M896" s="125">
        <v>1478700</v>
      </c>
      <c r="N896" s="148">
        <v>280953</v>
      </c>
      <c r="O896" s="148">
        <v>0</v>
      </c>
      <c r="P896" s="149">
        <v>2.5000000000000001E-2</v>
      </c>
      <c r="Q896" s="148">
        <v>36967.5</v>
      </c>
      <c r="R896" s="150">
        <v>1722685.5</v>
      </c>
      <c r="S8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6" s="135">
        <f ca="1">+IF(PROVEEDORES[[#This Row],[FECHA DE PAGO]]=0,TODAY()-PROVEEDORES[[#This Row],[FECHA DE FACTURACIÓN]]-PROVEEDORES[[#This Row],[PLAZO Días]],0)</f>
        <v>0</v>
      </c>
      <c r="U896" s="135" t="str">
        <f>+VLOOKUP(PROVEEDORES[[#This Row],[PROVEEDOR]],Terceros!$A:$D,4,FALSE)</f>
        <v>2,5% con base</v>
      </c>
      <c r="V896" s="135">
        <f>+YEAR(PROVEEDORES[[#This Row],[FECHA DE FACTURACIÓN]])</f>
        <v>2023</v>
      </c>
      <c r="W896" s="135">
        <f>+MATCH(PROVEEDORES[[#This Row],[año facturado]],Retenciones!$1:$1,0)</f>
        <v>6</v>
      </c>
      <c r="X896" s="136">
        <f>+VLOOKUP(PROVEEDORES[[#This Row],[ID RETENCION]],Retenciones!$A$1:$O$25,PROVEEDORES[[#This Row],[indicador de columna]],FALSE)</f>
        <v>1145000</v>
      </c>
      <c r="Y896" s="137">
        <f>+VLOOKUP(PROVEEDORES[[#This Row],[ID RETENCION]],Retenciones!$A$1:$O$25,2,FALSE)</f>
        <v>2.5000000000000001E-2</v>
      </c>
      <c r="Z896" s="126" t="b">
        <f>+OR(COUNTIF(PROVEEDORES[[#This Row],[PROVEEDOR]],"*"&amp;'Palabra que no opera y Listas d'!$A$2&amp;"*"))</f>
        <v>0</v>
      </c>
    </row>
    <row r="897" spans="1:26" ht="27.75" customHeight="1" x14ac:dyDescent="0.25">
      <c r="A897" s="141" t="str">
        <f>+IF(PROVEEDORES[[#This Row],[FECHA DE PAGO]]=PROVEEDORES[[#This Row],[FECHA DE FACTURACIÓN]],"DE CONTADO","CRÉDITO")</f>
        <v>CRÉDITO</v>
      </c>
      <c r="B897" s="138" t="b">
        <f>+IF((PROVEEDORES[[#This Row],[FECHA DE PAGO]]-PROVEEDORES[[#This Row],[FECHA DE FACTURACIÓN]])&gt;PROVEEDORES[[#This Row],[PLAZO Días]],"PAGO VENCIDO")</f>
        <v>0</v>
      </c>
      <c r="C897" s="138">
        <f>+VLOOKUP(PROVEEDORES[[#This Row],[PROVEEDOR]],TERCEROS_INFO[#All],2,FALSE)</f>
        <v>30</v>
      </c>
      <c r="D897" s="139">
        <f>+SUMIFS(PROVEEDORES[Total],PROVEEDORES[PROVEEDOR],PROVEEDORES[[#This Row],[PROVEEDOR]],PROVEEDORES[FECHA DE PAGO],"")</f>
        <v>0</v>
      </c>
      <c r="E897" s="140"/>
      <c r="F897" s="138" t="str">
        <f>+VLOOKUP(PROVEEDORES[[#This Row],[PROVEEDOR]],
                       Terceros!$A:$F,
                       5,
                       FALSE)</f>
        <v>facturacion@losmolinos.com.co</v>
      </c>
      <c r="G897" s="127">
        <v>45246</v>
      </c>
      <c r="H897" s="123" t="s">
        <v>376</v>
      </c>
      <c r="I897" s="127">
        <v>45231</v>
      </c>
      <c r="J897" s="124" t="s">
        <v>1201</v>
      </c>
      <c r="K897" s="124" t="s">
        <v>1530</v>
      </c>
      <c r="L897" s="124"/>
      <c r="M897" s="125">
        <v>318603</v>
      </c>
      <c r="N897" s="148">
        <v>0</v>
      </c>
      <c r="O897" s="148">
        <v>0</v>
      </c>
      <c r="P897" s="149">
        <v>0</v>
      </c>
      <c r="Q897" s="148">
        <v>0</v>
      </c>
      <c r="R897" s="150">
        <v>318603</v>
      </c>
      <c r="S8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7" s="135">
        <f ca="1">+IF(PROVEEDORES[[#This Row],[FECHA DE PAGO]]=0,TODAY()-PROVEEDORES[[#This Row],[FECHA DE FACTURACIÓN]]-PROVEEDORES[[#This Row],[PLAZO Días]],0)</f>
        <v>0</v>
      </c>
      <c r="U897" s="135">
        <f>+VLOOKUP(PROVEEDORES[[#This Row],[PROVEEDOR]],Terceros!$A:$D,4,FALSE)</f>
        <v>0</v>
      </c>
      <c r="V897" s="135">
        <f>+YEAR(PROVEEDORES[[#This Row],[FECHA DE FACTURACIÓN]])</f>
        <v>2023</v>
      </c>
      <c r="W897" s="135">
        <f>+MATCH(PROVEEDORES[[#This Row],[año facturado]],Retenciones!$1:$1,0)</f>
        <v>6</v>
      </c>
      <c r="X897" s="136">
        <f>+VLOOKUP(PROVEEDORES[[#This Row],[ID RETENCION]],Retenciones!$A$1:$O$25,PROVEEDORES[[#This Row],[indicador de columna]],FALSE)</f>
        <v>0</v>
      </c>
      <c r="Y897" s="137">
        <f>+VLOOKUP(PROVEEDORES[[#This Row],[ID RETENCION]],Retenciones!$A$1:$O$25,2,FALSE)</f>
        <v>0</v>
      </c>
      <c r="Z897" s="126" t="b">
        <f>+OR(COUNTIF(PROVEEDORES[[#This Row],[PROVEEDOR]],"*"&amp;'Palabra que no opera y Listas d'!$A$2&amp;"*"))</f>
        <v>1</v>
      </c>
    </row>
    <row r="898" spans="1:26" ht="27.75" customHeight="1" x14ac:dyDescent="0.25">
      <c r="A898" s="141" t="str">
        <f>+IF(PROVEEDORES[[#This Row],[FECHA DE PAGO]]=PROVEEDORES[[#This Row],[FECHA DE FACTURACIÓN]],"DE CONTADO","CRÉDITO")</f>
        <v>CRÉDITO</v>
      </c>
      <c r="B898" s="138" t="b">
        <f>+IF((PROVEEDORES[[#This Row],[FECHA DE PAGO]]-PROVEEDORES[[#This Row],[FECHA DE FACTURACIÓN]])&gt;PROVEEDORES[[#This Row],[PLAZO Días]],"PAGO VENCIDO")</f>
        <v>0</v>
      </c>
      <c r="C898" s="138">
        <f>+VLOOKUP(PROVEEDORES[[#This Row],[PROVEEDOR]],TERCEROS_INFO[#All],2,FALSE)</f>
        <v>30</v>
      </c>
      <c r="D898" s="139">
        <f>+SUMIFS(PROVEEDORES[Total],PROVEEDORES[PROVEEDOR],PROVEEDORES[[#This Row],[PROVEEDOR]],PROVEEDORES[FECHA DE PAGO],"")</f>
        <v>0</v>
      </c>
      <c r="E898" s="140"/>
      <c r="F898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898" s="127">
        <v>45246</v>
      </c>
      <c r="H898" s="123" t="s">
        <v>394</v>
      </c>
      <c r="I898" s="127">
        <v>45231</v>
      </c>
      <c r="J898" s="124" t="s">
        <v>1200</v>
      </c>
      <c r="K898" s="124" t="s">
        <v>1530</v>
      </c>
      <c r="L898" s="124"/>
      <c r="M898" s="125">
        <v>243611</v>
      </c>
      <c r="N898" s="148">
        <v>46286.090000000004</v>
      </c>
      <c r="O898" s="148">
        <v>0</v>
      </c>
      <c r="P898" s="149">
        <v>3.5000000000000003E-2</v>
      </c>
      <c r="Q898" s="148">
        <v>8526.3850000000002</v>
      </c>
      <c r="R898" s="150">
        <v>281370.70500000002</v>
      </c>
      <c r="S8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8" s="135">
        <f ca="1">+IF(PROVEEDORES[[#This Row],[FECHA DE PAGO]]=0,TODAY()-PROVEEDORES[[#This Row],[FECHA DE FACTURACIÓN]]-PROVEEDORES[[#This Row],[PLAZO Días]],0)</f>
        <v>0</v>
      </c>
      <c r="U898" s="135" t="str">
        <f>+VLOOKUP(PROVEEDORES[[#This Row],[PROVEEDOR]],Terceros!$A:$D,4,FALSE)</f>
        <v>3,5% sin base</v>
      </c>
      <c r="V898" s="135">
        <f>+YEAR(PROVEEDORES[[#This Row],[FECHA DE FACTURACIÓN]])</f>
        <v>2023</v>
      </c>
      <c r="W898" s="135">
        <f>+MATCH(PROVEEDORES[[#This Row],[año facturado]],Retenciones!$1:$1,0)</f>
        <v>6</v>
      </c>
      <c r="X898" s="136">
        <f>+VLOOKUP(PROVEEDORES[[#This Row],[ID RETENCION]],Retenciones!$A$1:$O$25,PROVEEDORES[[#This Row],[indicador de columna]],FALSE)</f>
        <v>0</v>
      </c>
      <c r="Y898" s="137">
        <f>+VLOOKUP(PROVEEDORES[[#This Row],[ID RETENCION]],Retenciones!$A$1:$O$25,2,FALSE)</f>
        <v>3.5000000000000003E-2</v>
      </c>
      <c r="Z898" s="126" t="b">
        <f>+OR(COUNTIF(PROVEEDORES[[#This Row],[PROVEEDOR]],"*"&amp;'Palabra que no opera y Listas d'!$A$2&amp;"*"))</f>
        <v>1</v>
      </c>
    </row>
    <row r="899" spans="1:26" ht="27.75" customHeight="1" x14ac:dyDescent="0.25">
      <c r="A899" s="141" t="str">
        <f>+IF(PROVEEDORES[[#This Row],[FECHA DE PAGO]]=PROVEEDORES[[#This Row],[FECHA DE FACTURACIÓN]],"DE CONTADO","CRÉDITO")</f>
        <v>CRÉDITO</v>
      </c>
      <c r="B899" s="138" t="b">
        <f>+IF((PROVEEDORES[[#This Row],[FECHA DE PAGO]]-PROVEEDORES[[#This Row],[FECHA DE FACTURACIÓN]])&gt;PROVEEDORES[[#This Row],[PLAZO Días]],"PAGO VENCIDO")</f>
        <v>0</v>
      </c>
      <c r="C899" s="138">
        <f>+VLOOKUP(PROVEEDORES[[#This Row],[PROVEEDOR]],TERCEROS_INFO[#All],2,FALSE)</f>
        <v>30</v>
      </c>
      <c r="D899" s="139">
        <f>+SUMIFS(PROVEEDORES[Total],PROVEEDORES[PROVEEDOR],PROVEEDORES[[#This Row],[PROVEEDOR]],PROVEEDORES[FECHA DE PAGO],"")</f>
        <v>0</v>
      </c>
      <c r="E899" s="140"/>
      <c r="F899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899" s="127">
        <v>45246</v>
      </c>
      <c r="H899" s="123" t="s">
        <v>373</v>
      </c>
      <c r="I899" s="127">
        <v>45232</v>
      </c>
      <c r="J899" s="124" t="s">
        <v>1202</v>
      </c>
      <c r="K899" s="124" t="s">
        <v>1530</v>
      </c>
      <c r="L899" s="124"/>
      <c r="M899" s="125">
        <v>1840056</v>
      </c>
      <c r="N899" s="148">
        <v>0</v>
      </c>
      <c r="O899" s="148">
        <v>0</v>
      </c>
      <c r="P899" s="149">
        <v>0</v>
      </c>
      <c r="Q899" s="148">
        <v>0</v>
      </c>
      <c r="R899" s="150">
        <v>1840056</v>
      </c>
      <c r="S8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899" s="135">
        <f ca="1">+IF(PROVEEDORES[[#This Row],[FECHA DE PAGO]]=0,TODAY()-PROVEEDORES[[#This Row],[FECHA DE FACTURACIÓN]]-PROVEEDORES[[#This Row],[PLAZO Días]],0)</f>
        <v>0</v>
      </c>
      <c r="U899" s="135">
        <f>+VLOOKUP(PROVEEDORES[[#This Row],[PROVEEDOR]],Terceros!$A:$D,4,FALSE)</f>
        <v>0</v>
      </c>
      <c r="V899" s="135">
        <f>+YEAR(PROVEEDORES[[#This Row],[FECHA DE FACTURACIÓN]])</f>
        <v>2023</v>
      </c>
      <c r="W899" s="135">
        <f>+MATCH(PROVEEDORES[[#This Row],[año facturado]],Retenciones!$1:$1,0)</f>
        <v>6</v>
      </c>
      <c r="X899" s="136">
        <f>+VLOOKUP(PROVEEDORES[[#This Row],[ID RETENCION]],Retenciones!$A$1:$O$25,PROVEEDORES[[#This Row],[indicador de columna]],FALSE)</f>
        <v>0</v>
      </c>
      <c r="Y899" s="137">
        <f>+VLOOKUP(PROVEEDORES[[#This Row],[ID RETENCION]],Retenciones!$A$1:$O$25,2,FALSE)</f>
        <v>0</v>
      </c>
      <c r="Z899" s="126" t="b">
        <f>+OR(COUNTIF(PROVEEDORES[[#This Row],[PROVEEDOR]],"*"&amp;'Palabra que no opera y Listas d'!$A$2&amp;"*"))</f>
        <v>1</v>
      </c>
    </row>
    <row r="900" spans="1:26" ht="27.75" customHeight="1" x14ac:dyDescent="0.25">
      <c r="A900" s="141" t="str">
        <f>+IF(PROVEEDORES[[#This Row],[FECHA DE PAGO]]=PROVEEDORES[[#This Row],[FECHA DE FACTURACIÓN]],"DE CONTADO","CRÉDITO")</f>
        <v>CRÉDITO</v>
      </c>
      <c r="B900" s="138" t="b">
        <f>+IF((PROVEEDORES[[#This Row],[FECHA DE PAGO]]-PROVEEDORES[[#This Row],[FECHA DE FACTURACIÓN]])&gt;PROVEEDORES[[#This Row],[PLAZO Días]],"PAGO VENCIDO")</f>
        <v>0</v>
      </c>
      <c r="C900" s="138">
        <f>+VLOOKUP(PROVEEDORES[[#This Row],[PROVEEDOR]],TERCEROS_INFO[#All],2,FALSE)</f>
        <v>30</v>
      </c>
      <c r="D900" s="139">
        <f>+SUMIFS(PROVEEDORES[Total],PROVEEDORES[PROVEEDOR],PROVEEDORES[[#This Row],[PROVEEDOR]],PROVEEDORES[FECHA DE PAGO],"")</f>
        <v>0</v>
      </c>
      <c r="E900" s="140"/>
      <c r="F900" s="138" t="str">
        <f>+VLOOKUP(PROVEEDORES[[#This Row],[PROVEEDOR]],
                       Terceros!$A:$F,
                       5,
                       FALSE)</f>
        <v/>
      </c>
      <c r="G900" s="127">
        <v>45246</v>
      </c>
      <c r="H900" s="123" t="s">
        <v>481</v>
      </c>
      <c r="I900" s="127">
        <v>45245</v>
      </c>
      <c r="J900" s="124" t="s">
        <v>1285</v>
      </c>
      <c r="K900" s="124" t="s">
        <v>1530</v>
      </c>
      <c r="L900" s="124"/>
      <c r="M900" s="125">
        <v>4811000</v>
      </c>
      <c r="N900" s="148">
        <v>0</v>
      </c>
      <c r="O900" s="148">
        <v>0</v>
      </c>
      <c r="P900" s="149">
        <v>0</v>
      </c>
      <c r="Q900" s="148">
        <v>0</v>
      </c>
      <c r="R900" s="150">
        <v>4811000</v>
      </c>
      <c r="S9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0" s="135">
        <f ca="1">+IF(PROVEEDORES[[#This Row],[FECHA DE PAGO]]=0,TODAY()-PROVEEDORES[[#This Row],[FECHA DE FACTURACIÓN]]-PROVEEDORES[[#This Row],[PLAZO Días]],0)</f>
        <v>0</v>
      </c>
      <c r="U900" s="135">
        <f>+VLOOKUP(PROVEEDORES[[#This Row],[PROVEEDOR]],Terceros!$A:$D,4,FALSE)</f>
        <v>0</v>
      </c>
      <c r="V900" s="135">
        <f>+YEAR(PROVEEDORES[[#This Row],[FECHA DE FACTURACIÓN]])</f>
        <v>2023</v>
      </c>
      <c r="W900" s="135">
        <f>+MATCH(PROVEEDORES[[#This Row],[año facturado]],Retenciones!$1:$1,0)</f>
        <v>6</v>
      </c>
      <c r="X900" s="136">
        <f>+VLOOKUP(PROVEEDORES[[#This Row],[ID RETENCION]],Retenciones!$A$1:$O$25,PROVEEDORES[[#This Row],[indicador de columna]],FALSE)</f>
        <v>0</v>
      </c>
      <c r="Y900" s="137">
        <f>+VLOOKUP(PROVEEDORES[[#This Row],[ID RETENCION]],Retenciones!$A$1:$O$25,2,FALSE)</f>
        <v>0</v>
      </c>
      <c r="Z900" s="126" t="b">
        <f>+OR(COUNTIF(PROVEEDORES[[#This Row],[PROVEEDOR]],"*"&amp;'Palabra que no opera y Listas d'!$A$2&amp;"*"))</f>
        <v>0</v>
      </c>
    </row>
    <row r="901" spans="1:26" ht="27.75" customHeight="1" x14ac:dyDescent="0.25">
      <c r="A901" s="141" t="str">
        <f>+IF(PROVEEDORES[[#This Row],[FECHA DE PAGO]]=PROVEEDORES[[#This Row],[FECHA DE FACTURACIÓN]],"DE CONTADO","CRÉDITO")</f>
        <v>DE CONTADO</v>
      </c>
      <c r="B901" s="138" t="b">
        <f>+IF((PROVEEDORES[[#This Row],[FECHA DE PAGO]]-PROVEEDORES[[#This Row],[FECHA DE FACTURACIÓN]])&gt;PROVEEDORES[[#This Row],[PLAZO Días]],"PAGO VENCIDO")</f>
        <v>0</v>
      </c>
      <c r="C901" s="138">
        <f>+VLOOKUP(PROVEEDORES[[#This Row],[PROVEEDOR]],TERCEROS_INFO[#All],2,FALSE)</f>
        <v>30</v>
      </c>
      <c r="D901" s="139">
        <f>+SUMIFS(PROVEEDORES[Total],PROVEEDORES[PROVEEDOR],PROVEEDORES[[#This Row],[PROVEEDOR]],PROVEEDORES[FECHA DE PAGO],"")</f>
        <v>0</v>
      </c>
      <c r="E901" s="140"/>
      <c r="F901" s="138">
        <f>+VLOOKUP(PROVEEDORES[[#This Row],[PROVEEDOR]],
                       Terceros!$A:$F,
                       5,
                       FALSE)</f>
        <v>0</v>
      </c>
      <c r="G901" s="127">
        <v>45246</v>
      </c>
      <c r="H901" s="123" t="s">
        <v>1122</v>
      </c>
      <c r="I901" s="127">
        <v>45246</v>
      </c>
      <c r="J901" s="124" t="s">
        <v>1233</v>
      </c>
      <c r="K901" s="124" t="s">
        <v>1530</v>
      </c>
      <c r="L901" s="124"/>
      <c r="M901" s="125">
        <v>258800</v>
      </c>
      <c r="N901" s="148">
        <v>0</v>
      </c>
      <c r="O901" s="148">
        <v>0</v>
      </c>
      <c r="P901" s="149">
        <v>0</v>
      </c>
      <c r="Q901" s="148">
        <v>0</v>
      </c>
      <c r="R901" s="150">
        <v>258800</v>
      </c>
      <c r="S9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1" s="135">
        <f ca="1">+IF(PROVEEDORES[[#This Row],[FECHA DE PAGO]]=0,TODAY()-PROVEEDORES[[#This Row],[FECHA DE FACTURACIÓN]]-PROVEEDORES[[#This Row],[PLAZO Días]],0)</f>
        <v>0</v>
      </c>
      <c r="U901" s="135">
        <f>+VLOOKUP(PROVEEDORES[[#This Row],[PROVEEDOR]],Terceros!$A:$D,4,FALSE)</f>
        <v>0</v>
      </c>
      <c r="V901" s="135">
        <f>+YEAR(PROVEEDORES[[#This Row],[FECHA DE FACTURACIÓN]])</f>
        <v>2023</v>
      </c>
      <c r="W901" s="135">
        <f>+MATCH(PROVEEDORES[[#This Row],[año facturado]],Retenciones!$1:$1,0)</f>
        <v>6</v>
      </c>
      <c r="X901" s="136">
        <f>+VLOOKUP(PROVEEDORES[[#This Row],[ID RETENCION]],Retenciones!$A$1:$O$25,PROVEEDORES[[#This Row],[indicador de columna]],FALSE)</f>
        <v>0</v>
      </c>
      <c r="Y901" s="137">
        <f>+VLOOKUP(PROVEEDORES[[#This Row],[ID RETENCION]],Retenciones!$A$1:$O$25,2,FALSE)</f>
        <v>0</v>
      </c>
      <c r="Z901" s="126" t="b">
        <f>+OR(COUNTIF(PROVEEDORES[[#This Row],[PROVEEDOR]],"*"&amp;'Palabra que no opera y Listas d'!$A$2&amp;"*"))</f>
        <v>0</v>
      </c>
    </row>
    <row r="902" spans="1:26" ht="27.75" customHeight="1" x14ac:dyDescent="0.25">
      <c r="A902" s="141" t="str">
        <f>+IF(PROVEEDORES[[#This Row],[FECHA DE PAGO]]=PROVEEDORES[[#This Row],[FECHA DE FACTURACIÓN]],"DE CONTADO","CRÉDITO")</f>
        <v>CRÉDITO</v>
      </c>
      <c r="B902" s="138" t="str">
        <f>+IF((PROVEEDORES[[#This Row],[FECHA DE PAGO]]-PROVEEDORES[[#This Row],[FECHA DE FACTURACIÓN]])&gt;PROVEEDORES[[#This Row],[PLAZO Días]],"PAGO VENCIDO")</f>
        <v>PAGO VENCIDO</v>
      </c>
      <c r="C902" s="138">
        <f>+VLOOKUP(PROVEEDORES[[#This Row],[PROVEEDOR]],TERCEROS_INFO[#All],2,FALSE)</f>
        <v>60</v>
      </c>
      <c r="D902" s="139">
        <f>+SUMIFS(PROVEEDORES[Total],PROVEEDORES[PROVEEDOR],PROVEEDORES[[#This Row],[PROVEEDOR]],PROVEEDORES[FECHA DE PAGO],"")</f>
        <v>0</v>
      </c>
      <c r="E902" s="140"/>
      <c r="F902" s="138">
        <f>+VLOOKUP(PROVEEDORES[[#This Row],[PROVEEDOR]],
                       Terceros!$A:$F,
                       5,
                       FALSE)</f>
        <v>0</v>
      </c>
      <c r="G902" s="127">
        <v>45247</v>
      </c>
      <c r="H902" s="123" t="s">
        <v>445</v>
      </c>
      <c r="I902" s="127">
        <v>45169</v>
      </c>
      <c r="J902" s="124" t="s">
        <v>1019</v>
      </c>
      <c r="K902" s="124" t="s">
        <v>1530</v>
      </c>
      <c r="L902" s="124"/>
      <c r="M902" s="125">
        <v>4550503</v>
      </c>
      <c r="N902" s="148">
        <v>864595.57000000007</v>
      </c>
      <c r="O902" s="148">
        <v>0</v>
      </c>
      <c r="P902" s="149">
        <v>0</v>
      </c>
      <c r="Q902" s="148">
        <v>0</v>
      </c>
      <c r="R902" s="150">
        <v>5415098.5700000003</v>
      </c>
      <c r="S9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2" s="135">
        <f ca="1">+IF(PROVEEDORES[[#This Row],[FECHA DE PAGO]]=0,TODAY()-PROVEEDORES[[#This Row],[FECHA DE FACTURACIÓN]]-PROVEEDORES[[#This Row],[PLAZO Días]],0)</f>
        <v>0</v>
      </c>
      <c r="U902" s="135">
        <f>+VLOOKUP(PROVEEDORES[[#This Row],[PROVEEDOR]],Terceros!$A:$D,4,FALSE)</f>
        <v>0</v>
      </c>
      <c r="V902" s="135">
        <f>+YEAR(PROVEEDORES[[#This Row],[FECHA DE FACTURACIÓN]])</f>
        <v>2023</v>
      </c>
      <c r="W902" s="135">
        <f>+MATCH(PROVEEDORES[[#This Row],[año facturado]],Retenciones!$1:$1,0)</f>
        <v>6</v>
      </c>
      <c r="X902" s="136">
        <f>+VLOOKUP(PROVEEDORES[[#This Row],[ID RETENCION]],Retenciones!$A$1:$O$25,PROVEEDORES[[#This Row],[indicador de columna]],FALSE)</f>
        <v>0</v>
      </c>
      <c r="Y902" s="137">
        <f>+VLOOKUP(PROVEEDORES[[#This Row],[ID RETENCION]],Retenciones!$A$1:$O$25,2,FALSE)</f>
        <v>0</v>
      </c>
      <c r="Z902" s="126" t="b">
        <f>+OR(COUNTIF(PROVEEDORES[[#This Row],[PROVEEDOR]],"*"&amp;'Palabra que no opera y Listas d'!$A$2&amp;"*"))</f>
        <v>1</v>
      </c>
    </row>
    <row r="903" spans="1:26" ht="27.75" customHeight="1" x14ac:dyDescent="0.25">
      <c r="A903" s="141" t="str">
        <f>+IF(PROVEEDORES[[#This Row],[FECHA DE PAGO]]=PROVEEDORES[[#This Row],[FECHA DE FACTURACIÓN]],"DE CONTADO","CRÉDITO")</f>
        <v>CRÉDITO</v>
      </c>
      <c r="B903" s="138" t="str">
        <f>+IF((PROVEEDORES[[#This Row],[FECHA DE PAGO]]-PROVEEDORES[[#This Row],[FECHA DE FACTURACIÓN]])&gt;PROVEEDORES[[#This Row],[PLAZO Días]],"PAGO VENCIDO")</f>
        <v>PAGO VENCIDO</v>
      </c>
      <c r="C903" s="138">
        <f>+VLOOKUP(PROVEEDORES[[#This Row],[PROVEEDOR]],TERCEROS_INFO[#All],2,FALSE)</f>
        <v>30</v>
      </c>
      <c r="D903" s="139">
        <f>+SUMIFS(PROVEEDORES[Total],PROVEEDORES[PROVEEDOR],PROVEEDORES[[#This Row],[PROVEEDOR]],PROVEEDORES[FECHA DE PAGO],"")</f>
        <v>0</v>
      </c>
      <c r="E903" s="140"/>
      <c r="F903" s="138" t="str">
        <f>+VLOOKUP(PROVEEDORES[[#This Row],[PROVEEDOR]],
                       Terceros!$A:$F,
                       5,
                       FALSE)</f>
        <v/>
      </c>
      <c r="G903" s="127">
        <v>45247</v>
      </c>
      <c r="H903" s="123" t="s">
        <v>1811</v>
      </c>
      <c r="I903" s="127">
        <v>45180</v>
      </c>
      <c r="J903" s="124" t="s">
        <v>1099</v>
      </c>
      <c r="K903" s="124" t="s">
        <v>1530</v>
      </c>
      <c r="L903" s="124"/>
      <c r="M903" s="125">
        <v>2720000</v>
      </c>
      <c r="N903" s="148">
        <v>0</v>
      </c>
      <c r="O903" s="148">
        <v>0</v>
      </c>
      <c r="P903" s="149">
        <v>0</v>
      </c>
      <c r="Q903" s="148">
        <v>0</v>
      </c>
      <c r="R903" s="150">
        <v>2720000</v>
      </c>
      <c r="S9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3" s="135">
        <f ca="1">+IF(PROVEEDORES[[#This Row],[FECHA DE PAGO]]=0,TODAY()-PROVEEDORES[[#This Row],[FECHA DE FACTURACIÓN]]-PROVEEDORES[[#This Row],[PLAZO Días]],0)</f>
        <v>0</v>
      </c>
      <c r="U903" s="135">
        <f>+VLOOKUP(PROVEEDORES[[#This Row],[PROVEEDOR]],Terceros!$A:$D,4,FALSE)</f>
        <v>0</v>
      </c>
      <c r="V903" s="135">
        <f>+YEAR(PROVEEDORES[[#This Row],[FECHA DE FACTURACIÓN]])</f>
        <v>2023</v>
      </c>
      <c r="W903" s="135">
        <f>+MATCH(PROVEEDORES[[#This Row],[año facturado]],Retenciones!$1:$1,0)</f>
        <v>6</v>
      </c>
      <c r="X903" s="136">
        <f>+VLOOKUP(PROVEEDORES[[#This Row],[ID RETENCION]],Retenciones!$A$1:$O$25,PROVEEDORES[[#This Row],[indicador de columna]],FALSE)</f>
        <v>0</v>
      </c>
      <c r="Y903" s="137">
        <f>+VLOOKUP(PROVEEDORES[[#This Row],[ID RETENCION]],Retenciones!$A$1:$O$25,2,FALSE)</f>
        <v>0</v>
      </c>
      <c r="Z903" s="126" t="b">
        <f>+OR(COUNTIF(PROVEEDORES[[#This Row],[PROVEEDOR]],"*"&amp;'Palabra que no opera y Listas d'!$A$2&amp;"*"))</f>
        <v>0</v>
      </c>
    </row>
    <row r="904" spans="1:26" ht="27.75" customHeight="1" x14ac:dyDescent="0.25">
      <c r="A904" s="141" t="str">
        <f>+IF(PROVEEDORES[[#This Row],[FECHA DE PAGO]]=PROVEEDORES[[#This Row],[FECHA DE FACTURACIÓN]],"DE CONTADO","CRÉDITO")</f>
        <v>CRÉDITO</v>
      </c>
      <c r="B904" s="138" t="str">
        <f>+IF((PROVEEDORES[[#This Row],[FECHA DE PAGO]]-PROVEEDORES[[#This Row],[FECHA DE FACTURACIÓN]])&gt;PROVEEDORES[[#This Row],[PLAZO Días]],"PAGO VENCIDO")</f>
        <v>PAGO VENCIDO</v>
      </c>
      <c r="C904" s="138">
        <f>+VLOOKUP(PROVEEDORES[[#This Row],[PROVEEDOR]],TERCEROS_INFO[#All],2,FALSE)</f>
        <v>30</v>
      </c>
      <c r="D904" s="139">
        <f>+SUMIFS(PROVEEDORES[Total],PROVEEDORES[PROVEEDOR],PROVEEDORES[[#This Row],[PROVEEDOR]],PROVEEDORES[FECHA DE PAGO],"")</f>
        <v>2080356.81</v>
      </c>
      <c r="E904" s="140"/>
      <c r="F904" s="13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904" s="127">
        <v>45247</v>
      </c>
      <c r="H904" s="123" t="s">
        <v>31</v>
      </c>
      <c r="I904" s="127">
        <v>45210</v>
      </c>
      <c r="J904" s="124" t="s">
        <v>1175</v>
      </c>
      <c r="K904" s="124" t="s">
        <v>1530</v>
      </c>
      <c r="L904" s="124"/>
      <c r="M904" s="125">
        <v>3224873</v>
      </c>
      <c r="N904" s="148">
        <v>612725.87</v>
      </c>
      <c r="O904" s="148">
        <v>0</v>
      </c>
      <c r="P904" s="149">
        <v>2.5000000000000001E-2</v>
      </c>
      <c r="Q904" s="148">
        <v>80621.825000000012</v>
      </c>
      <c r="R904" s="150">
        <v>3756977.0449999999</v>
      </c>
      <c r="S9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4" s="135">
        <f ca="1">+IF(PROVEEDORES[[#This Row],[FECHA DE PAGO]]=0,TODAY()-PROVEEDORES[[#This Row],[FECHA DE FACTURACIÓN]]-PROVEEDORES[[#This Row],[PLAZO Días]],0)</f>
        <v>0</v>
      </c>
      <c r="U904" s="135" t="str">
        <f>+VLOOKUP(PROVEEDORES[[#This Row],[PROVEEDOR]],Terceros!$A:$D,4,FALSE)</f>
        <v>2,5% con base</v>
      </c>
      <c r="V904" s="135">
        <f>+YEAR(PROVEEDORES[[#This Row],[FECHA DE FACTURACIÓN]])</f>
        <v>2023</v>
      </c>
      <c r="W904" s="135">
        <f>+MATCH(PROVEEDORES[[#This Row],[año facturado]],Retenciones!$1:$1,0)</f>
        <v>6</v>
      </c>
      <c r="X904" s="136">
        <f>+VLOOKUP(PROVEEDORES[[#This Row],[ID RETENCION]],Retenciones!$A$1:$O$25,PROVEEDORES[[#This Row],[indicador de columna]],FALSE)</f>
        <v>1145000</v>
      </c>
      <c r="Y904" s="137">
        <f>+VLOOKUP(PROVEEDORES[[#This Row],[ID RETENCION]],Retenciones!$A$1:$O$25,2,FALSE)</f>
        <v>2.5000000000000001E-2</v>
      </c>
      <c r="Z904" s="126" t="b">
        <f>+OR(COUNTIF(PROVEEDORES[[#This Row],[PROVEEDOR]],"*"&amp;'Palabra que no opera y Listas d'!$A$2&amp;"*"))</f>
        <v>0</v>
      </c>
    </row>
    <row r="905" spans="1:26" ht="27.75" customHeight="1" x14ac:dyDescent="0.25">
      <c r="A905" s="141" t="str">
        <f>+IF(PROVEEDORES[[#This Row],[FECHA DE PAGO]]=PROVEEDORES[[#This Row],[FECHA DE FACTURACIÓN]],"DE CONTADO","CRÉDITO")</f>
        <v>CRÉDITO</v>
      </c>
      <c r="B905" s="138" t="str">
        <f>+IF((PROVEEDORES[[#This Row],[FECHA DE PAGO]]-PROVEEDORES[[#This Row],[FECHA DE FACTURACIÓN]])&gt;PROVEEDORES[[#This Row],[PLAZO Días]],"PAGO VENCIDO")</f>
        <v>PAGO VENCIDO</v>
      </c>
      <c r="C905" s="138">
        <f>+VLOOKUP(PROVEEDORES[[#This Row],[PROVEEDOR]],TERCEROS_INFO[#All],2,FALSE)</f>
        <v>30</v>
      </c>
      <c r="D905" s="139">
        <f>+SUMIFS(PROVEEDORES[Total],PROVEEDORES[PROVEEDOR],PROVEEDORES[[#This Row],[PROVEEDOR]],PROVEEDORES[FECHA DE PAGO],"")</f>
        <v>4316000</v>
      </c>
      <c r="E905" s="140"/>
      <c r="F905" s="138" t="str">
        <f>+VLOOKUP(PROVEEDORES[[#This Row],[PROVEEDOR]],
                       Terceros!$A:$F,
                       5,
                       FALSE)</f>
        <v/>
      </c>
      <c r="G905" s="127">
        <v>45247</v>
      </c>
      <c r="H905" s="123" t="s">
        <v>1812</v>
      </c>
      <c r="I905" s="127">
        <v>45211</v>
      </c>
      <c r="J905" s="124" t="s">
        <v>1156</v>
      </c>
      <c r="K905" s="124" t="s">
        <v>1530</v>
      </c>
      <c r="L905" s="124"/>
      <c r="M905" s="125">
        <v>534000</v>
      </c>
      <c r="N905" s="148">
        <v>0</v>
      </c>
      <c r="O905" s="148">
        <v>0</v>
      </c>
      <c r="P905" s="149">
        <v>0</v>
      </c>
      <c r="Q905" s="148">
        <v>0</v>
      </c>
      <c r="R905" s="150">
        <v>534000</v>
      </c>
      <c r="S9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5" s="135">
        <f ca="1">+IF(PROVEEDORES[[#This Row],[FECHA DE PAGO]]=0,TODAY()-PROVEEDORES[[#This Row],[FECHA DE FACTURACIÓN]]-PROVEEDORES[[#This Row],[PLAZO Días]],0)</f>
        <v>0</v>
      </c>
      <c r="U905" s="135">
        <f>+VLOOKUP(PROVEEDORES[[#This Row],[PROVEEDOR]],Terceros!$A:$D,4,FALSE)</f>
        <v>0</v>
      </c>
      <c r="V905" s="135">
        <f>+YEAR(PROVEEDORES[[#This Row],[FECHA DE FACTURACIÓN]])</f>
        <v>2023</v>
      </c>
      <c r="W905" s="135">
        <f>+MATCH(PROVEEDORES[[#This Row],[año facturado]],Retenciones!$1:$1,0)</f>
        <v>6</v>
      </c>
      <c r="X905" s="136">
        <f>+VLOOKUP(PROVEEDORES[[#This Row],[ID RETENCION]],Retenciones!$A$1:$O$25,PROVEEDORES[[#This Row],[indicador de columna]],FALSE)</f>
        <v>0</v>
      </c>
      <c r="Y905" s="137">
        <f>+VLOOKUP(PROVEEDORES[[#This Row],[ID RETENCION]],Retenciones!$A$1:$O$25,2,FALSE)</f>
        <v>0</v>
      </c>
      <c r="Z905" s="126" t="b">
        <f>+OR(COUNTIF(PROVEEDORES[[#This Row],[PROVEEDOR]],"*"&amp;'Palabra que no opera y Listas d'!$A$2&amp;"*"))</f>
        <v>0</v>
      </c>
    </row>
    <row r="906" spans="1:26" ht="27.75" customHeight="1" x14ac:dyDescent="0.25">
      <c r="A906" s="141" t="str">
        <f>+IF(PROVEEDORES[[#This Row],[FECHA DE PAGO]]=PROVEEDORES[[#This Row],[FECHA DE FACTURACIÓN]],"DE CONTADO","CRÉDITO")</f>
        <v>CRÉDITO</v>
      </c>
      <c r="B906" s="138" t="str">
        <f>+IF((PROVEEDORES[[#This Row],[FECHA DE PAGO]]-PROVEEDORES[[#This Row],[FECHA DE FACTURACIÓN]])&gt;PROVEEDORES[[#This Row],[PLAZO Días]],"PAGO VENCIDO")</f>
        <v>PAGO VENCIDO</v>
      </c>
      <c r="C906" s="138">
        <f>+VLOOKUP(PROVEEDORES[[#This Row],[PROVEEDOR]],TERCEROS_INFO[#All],2,FALSE)</f>
        <v>30</v>
      </c>
      <c r="D906" s="139">
        <f>+SUMIFS(PROVEEDORES[Total],PROVEEDORES[PROVEEDOR],PROVEEDORES[[#This Row],[PROVEEDOR]],PROVEEDORES[FECHA DE PAGO],"")</f>
        <v>1776037.21</v>
      </c>
      <c r="E906" s="140"/>
      <c r="F906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06" s="127">
        <v>45247</v>
      </c>
      <c r="H906" s="123" t="s">
        <v>17</v>
      </c>
      <c r="I906" s="127">
        <v>45212</v>
      </c>
      <c r="J906" s="124" t="s">
        <v>1184</v>
      </c>
      <c r="K906" s="124" t="s">
        <v>1530</v>
      </c>
      <c r="L906" s="124"/>
      <c r="M906" s="125">
        <v>267442</v>
      </c>
      <c r="N906" s="148">
        <v>50813.98</v>
      </c>
      <c r="O906" s="148">
        <v>0</v>
      </c>
      <c r="P906" s="149">
        <v>0</v>
      </c>
      <c r="Q906" s="148">
        <v>0</v>
      </c>
      <c r="R906" s="150">
        <v>318255.98</v>
      </c>
      <c r="S9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6" s="135">
        <f ca="1">+IF(PROVEEDORES[[#This Row],[FECHA DE PAGO]]=0,TODAY()-PROVEEDORES[[#This Row],[FECHA DE FACTURACIÓN]]-PROVEEDORES[[#This Row],[PLAZO Días]],0)</f>
        <v>0</v>
      </c>
      <c r="U906" s="135">
        <f>+VLOOKUP(PROVEEDORES[[#This Row],[PROVEEDOR]],Terceros!$A:$D,4,FALSE)</f>
        <v>0</v>
      </c>
      <c r="V906" s="135">
        <f>+YEAR(PROVEEDORES[[#This Row],[FECHA DE FACTURACIÓN]])</f>
        <v>2023</v>
      </c>
      <c r="W906" s="135">
        <f>+MATCH(PROVEEDORES[[#This Row],[año facturado]],Retenciones!$1:$1,0)</f>
        <v>6</v>
      </c>
      <c r="X906" s="136">
        <f>+VLOOKUP(PROVEEDORES[[#This Row],[ID RETENCION]],Retenciones!$A$1:$O$25,PROVEEDORES[[#This Row],[indicador de columna]],FALSE)</f>
        <v>0</v>
      </c>
      <c r="Y906" s="137">
        <f>+VLOOKUP(PROVEEDORES[[#This Row],[ID RETENCION]],Retenciones!$A$1:$O$25,2,FALSE)</f>
        <v>0</v>
      </c>
      <c r="Z906" s="126" t="b">
        <f>+OR(COUNTIF(PROVEEDORES[[#This Row],[PROVEEDOR]],"*"&amp;'Palabra que no opera y Listas d'!$A$2&amp;"*"))</f>
        <v>0</v>
      </c>
    </row>
    <row r="907" spans="1:26" ht="27.75" customHeight="1" x14ac:dyDescent="0.25">
      <c r="A907" s="141" t="str">
        <f>+IF(PROVEEDORES[[#This Row],[FECHA DE PAGO]]=PROVEEDORES[[#This Row],[FECHA DE FACTURACIÓN]],"DE CONTADO","CRÉDITO")</f>
        <v>DE CONTADO</v>
      </c>
      <c r="B907" s="138" t="b">
        <f>+IF((PROVEEDORES[[#This Row],[FECHA DE PAGO]]-PROVEEDORES[[#This Row],[FECHA DE FACTURACIÓN]])&gt;PROVEEDORES[[#This Row],[PLAZO Días]],"PAGO VENCIDO")</f>
        <v>0</v>
      </c>
      <c r="C907" s="138">
        <f>+VLOOKUP(PROVEEDORES[[#This Row],[PROVEEDOR]],TERCEROS_INFO[#All],2,FALSE)</f>
        <v>30</v>
      </c>
      <c r="D907" s="139">
        <f>+SUMIFS(PROVEEDORES[Total],PROVEEDORES[PROVEEDOR],PROVEEDORES[[#This Row],[PROVEEDOR]],PROVEEDORES[FECHA DE PAGO],"")</f>
        <v>0</v>
      </c>
      <c r="E907" s="140"/>
      <c r="F907" s="138" t="str">
        <f>+VLOOKUP(PROVEEDORES[[#This Row],[PROVEEDOR]],
                       Terceros!$A:$F,
                       5,
                       FALSE)</f>
        <v/>
      </c>
      <c r="G907" s="127">
        <v>45247</v>
      </c>
      <c r="H907" s="123" t="s">
        <v>525</v>
      </c>
      <c r="I907" s="127">
        <v>45247</v>
      </c>
      <c r="J907" s="124" t="s">
        <v>1234</v>
      </c>
      <c r="K907" s="124" t="s">
        <v>1530</v>
      </c>
      <c r="L907" s="124"/>
      <c r="M907" s="125">
        <v>200000</v>
      </c>
      <c r="N907" s="148">
        <v>0</v>
      </c>
      <c r="O907" s="148">
        <v>0</v>
      </c>
      <c r="P907" s="149">
        <v>0</v>
      </c>
      <c r="Q907" s="148">
        <v>0</v>
      </c>
      <c r="R907" s="150">
        <v>200000</v>
      </c>
      <c r="S9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7" s="135">
        <f ca="1">+IF(PROVEEDORES[[#This Row],[FECHA DE PAGO]]=0,TODAY()-PROVEEDORES[[#This Row],[FECHA DE FACTURACIÓN]]-PROVEEDORES[[#This Row],[PLAZO Días]],0)</f>
        <v>0</v>
      </c>
      <c r="U907" s="135">
        <f>+VLOOKUP(PROVEEDORES[[#This Row],[PROVEEDOR]],Terceros!$A:$D,4,FALSE)</f>
        <v>0</v>
      </c>
      <c r="V907" s="135">
        <f>+YEAR(PROVEEDORES[[#This Row],[FECHA DE FACTURACIÓN]])</f>
        <v>2023</v>
      </c>
      <c r="W907" s="135">
        <f>+MATCH(PROVEEDORES[[#This Row],[año facturado]],Retenciones!$1:$1,0)</f>
        <v>6</v>
      </c>
      <c r="X907" s="136">
        <f>+VLOOKUP(PROVEEDORES[[#This Row],[ID RETENCION]],Retenciones!$A$1:$O$25,PROVEEDORES[[#This Row],[indicador de columna]],FALSE)</f>
        <v>0</v>
      </c>
      <c r="Y907" s="137">
        <f>+VLOOKUP(PROVEEDORES[[#This Row],[ID RETENCION]],Retenciones!$A$1:$O$25,2,FALSE)</f>
        <v>0</v>
      </c>
      <c r="Z907" s="126" t="b">
        <f>+OR(COUNTIF(PROVEEDORES[[#This Row],[PROVEEDOR]],"*"&amp;'Palabra que no opera y Listas d'!$A$2&amp;"*"))</f>
        <v>0</v>
      </c>
    </row>
    <row r="908" spans="1:26" ht="27.75" customHeight="1" x14ac:dyDescent="0.25">
      <c r="A908" s="141" t="str">
        <f>+IF(PROVEEDORES[[#This Row],[FECHA DE PAGO]]=PROVEEDORES[[#This Row],[FECHA DE FACTURACIÓN]],"DE CONTADO","CRÉDITO")</f>
        <v>DE CONTADO</v>
      </c>
      <c r="B908" s="138" t="b">
        <f>+IF((PROVEEDORES[[#This Row],[FECHA DE PAGO]]-PROVEEDORES[[#This Row],[FECHA DE FACTURACIÓN]])&gt;PROVEEDORES[[#This Row],[PLAZO Días]],"PAGO VENCIDO")</f>
        <v>0</v>
      </c>
      <c r="C908" s="138">
        <f>+VLOOKUP(PROVEEDORES[[#This Row],[PROVEEDOR]],TERCEROS_INFO[#All],2,FALSE)</f>
        <v>30</v>
      </c>
      <c r="D908" s="139">
        <f>+SUMIFS(PROVEEDORES[Total],PROVEEDORES[PROVEEDOR],PROVEEDORES[[#This Row],[PROVEEDOR]],PROVEEDORES[FECHA DE PAGO],"")</f>
        <v>0</v>
      </c>
      <c r="E908" s="140"/>
      <c r="F908" s="138" t="str">
        <f>+VLOOKUP(PROVEEDORES[[#This Row],[PROVEEDOR]],
                       Terceros!$A:$F,
                       5,
                       FALSE)</f>
        <v/>
      </c>
      <c r="G908" s="127">
        <v>45247</v>
      </c>
      <c r="H908" s="123" t="s">
        <v>525</v>
      </c>
      <c r="I908" s="127">
        <v>45247</v>
      </c>
      <c r="J908" s="124" t="s">
        <v>1120</v>
      </c>
      <c r="K908" s="124" t="s">
        <v>1530</v>
      </c>
      <c r="L908" s="124"/>
      <c r="M908" s="125">
        <v>200000</v>
      </c>
      <c r="N908" s="148">
        <v>0</v>
      </c>
      <c r="O908" s="148">
        <v>0</v>
      </c>
      <c r="P908" s="149">
        <v>0</v>
      </c>
      <c r="Q908" s="148">
        <v>0</v>
      </c>
      <c r="R908" s="150">
        <v>200000</v>
      </c>
      <c r="S9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8" s="135">
        <f ca="1">+IF(PROVEEDORES[[#This Row],[FECHA DE PAGO]]=0,TODAY()-PROVEEDORES[[#This Row],[FECHA DE FACTURACIÓN]]-PROVEEDORES[[#This Row],[PLAZO Días]],0)</f>
        <v>0</v>
      </c>
      <c r="U908" s="135">
        <f>+VLOOKUP(PROVEEDORES[[#This Row],[PROVEEDOR]],Terceros!$A:$D,4,FALSE)</f>
        <v>0</v>
      </c>
      <c r="V908" s="135">
        <f>+YEAR(PROVEEDORES[[#This Row],[FECHA DE FACTURACIÓN]])</f>
        <v>2023</v>
      </c>
      <c r="W908" s="135">
        <f>+MATCH(PROVEEDORES[[#This Row],[año facturado]],Retenciones!$1:$1,0)</f>
        <v>6</v>
      </c>
      <c r="X908" s="136">
        <f>+VLOOKUP(PROVEEDORES[[#This Row],[ID RETENCION]],Retenciones!$A$1:$O$25,PROVEEDORES[[#This Row],[indicador de columna]],FALSE)</f>
        <v>0</v>
      </c>
      <c r="Y908" s="137">
        <f>+VLOOKUP(PROVEEDORES[[#This Row],[ID RETENCION]],Retenciones!$A$1:$O$25,2,FALSE)</f>
        <v>0</v>
      </c>
      <c r="Z908" s="126" t="b">
        <f>+OR(COUNTIF(PROVEEDORES[[#This Row],[PROVEEDOR]],"*"&amp;'Palabra que no opera y Listas d'!$A$2&amp;"*"))</f>
        <v>0</v>
      </c>
    </row>
    <row r="909" spans="1:26" ht="27.75" customHeight="1" x14ac:dyDescent="0.25">
      <c r="A909" s="141" t="str">
        <f>+IF(PROVEEDORES[[#This Row],[FECHA DE PAGO]]=PROVEEDORES[[#This Row],[FECHA DE FACTURACIÓN]],"DE CONTADO","CRÉDITO")</f>
        <v>DE CONTADO</v>
      </c>
      <c r="B909" s="138" t="b">
        <f>+IF((PROVEEDORES[[#This Row],[FECHA DE PAGO]]-PROVEEDORES[[#This Row],[FECHA DE FACTURACIÓN]])&gt;PROVEEDORES[[#This Row],[PLAZO Días]],"PAGO VENCIDO")</f>
        <v>0</v>
      </c>
      <c r="C909" s="138">
        <f>+VLOOKUP(PROVEEDORES[[#This Row],[PROVEEDOR]],TERCEROS_INFO[#All],2,FALSE)</f>
        <v>30</v>
      </c>
      <c r="D909" s="139">
        <f>+SUMIFS(PROVEEDORES[Total],PROVEEDORES[PROVEEDOR],PROVEEDORES[[#This Row],[PROVEEDOR]],PROVEEDORES[FECHA DE PAGO],"")</f>
        <v>0</v>
      </c>
      <c r="E909" s="140"/>
      <c r="F909" s="138">
        <f>+VLOOKUP(PROVEEDORES[[#This Row],[PROVEEDOR]],
                       Terceros!$A:$F,
                       5,
                       FALSE)</f>
        <v>0</v>
      </c>
      <c r="G909" s="127">
        <v>45247</v>
      </c>
      <c r="H909" s="123" t="s">
        <v>861</v>
      </c>
      <c r="I909" s="127">
        <v>45247</v>
      </c>
      <c r="J909" s="124" t="s">
        <v>1279</v>
      </c>
      <c r="K909" s="124" t="s">
        <v>1530</v>
      </c>
      <c r="L909" s="124"/>
      <c r="M909" s="125">
        <v>438000</v>
      </c>
      <c r="N909" s="148">
        <v>0</v>
      </c>
      <c r="O909" s="148">
        <v>0</v>
      </c>
      <c r="P909" s="149">
        <v>0</v>
      </c>
      <c r="Q909" s="148">
        <v>0</v>
      </c>
      <c r="R909" s="150">
        <v>438000</v>
      </c>
      <c r="S9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09" s="135">
        <f ca="1">+IF(PROVEEDORES[[#This Row],[FECHA DE PAGO]]=0,TODAY()-PROVEEDORES[[#This Row],[FECHA DE FACTURACIÓN]]-PROVEEDORES[[#This Row],[PLAZO Días]],0)</f>
        <v>0</v>
      </c>
      <c r="U909" s="135">
        <f>+VLOOKUP(PROVEEDORES[[#This Row],[PROVEEDOR]],Terceros!$A:$D,4,FALSE)</f>
        <v>0</v>
      </c>
      <c r="V909" s="135">
        <f>+YEAR(PROVEEDORES[[#This Row],[FECHA DE FACTURACIÓN]])</f>
        <v>2023</v>
      </c>
      <c r="W909" s="135">
        <f>+MATCH(PROVEEDORES[[#This Row],[año facturado]],Retenciones!$1:$1,0)</f>
        <v>6</v>
      </c>
      <c r="X909" s="136">
        <f>+VLOOKUP(PROVEEDORES[[#This Row],[ID RETENCION]],Retenciones!$A$1:$O$25,PROVEEDORES[[#This Row],[indicador de columna]],FALSE)</f>
        <v>0</v>
      </c>
      <c r="Y909" s="137">
        <f>+VLOOKUP(PROVEEDORES[[#This Row],[ID RETENCION]],Retenciones!$A$1:$O$25,2,FALSE)</f>
        <v>0</v>
      </c>
      <c r="Z909" s="126" t="b">
        <f>+OR(COUNTIF(PROVEEDORES[[#This Row],[PROVEEDOR]],"*"&amp;'Palabra que no opera y Listas d'!$A$2&amp;"*"))</f>
        <v>0</v>
      </c>
    </row>
    <row r="910" spans="1:26" ht="27.75" customHeight="1" x14ac:dyDescent="0.25">
      <c r="A910" s="141" t="str">
        <f>+IF(PROVEEDORES[[#This Row],[FECHA DE PAGO]]=PROVEEDORES[[#This Row],[FECHA DE FACTURACIÓN]],"DE CONTADO","CRÉDITO")</f>
        <v>DE CONTADO</v>
      </c>
      <c r="B910" s="138" t="b">
        <f>+IF((PROVEEDORES[[#This Row],[FECHA DE PAGO]]-PROVEEDORES[[#This Row],[FECHA DE FACTURACIÓN]])&gt;PROVEEDORES[[#This Row],[PLAZO Días]],"PAGO VENCIDO")</f>
        <v>0</v>
      </c>
      <c r="C910" s="138">
        <f>+VLOOKUP(PROVEEDORES[[#This Row],[PROVEEDOR]],TERCEROS_INFO[#All],2,FALSE)</f>
        <v>30</v>
      </c>
      <c r="D910" s="139">
        <f>+SUMIFS(PROVEEDORES[Total],PROVEEDORES[PROVEEDOR],PROVEEDORES[[#This Row],[PROVEEDOR]],PROVEEDORES[FECHA DE PAGO],"")</f>
        <v>0</v>
      </c>
      <c r="E910" s="140"/>
      <c r="F910" s="138" t="str">
        <f>+VLOOKUP(PROVEEDORES[[#This Row],[PROVEEDOR]],
                       Terceros!$A:$F,
                       5,
                       FALSE)</f>
        <v/>
      </c>
      <c r="G910" s="127">
        <v>45247</v>
      </c>
      <c r="H910" s="123" t="s">
        <v>1824</v>
      </c>
      <c r="I910" s="127">
        <v>45247</v>
      </c>
      <c r="J910" s="124"/>
      <c r="K910" s="124" t="s">
        <v>1530</v>
      </c>
      <c r="L910" s="124"/>
      <c r="M910" s="125">
        <v>1000000</v>
      </c>
      <c r="N910" s="148">
        <v>0</v>
      </c>
      <c r="O910" s="148">
        <v>0</v>
      </c>
      <c r="P910" s="149">
        <v>0</v>
      </c>
      <c r="Q910" s="148">
        <v>0</v>
      </c>
      <c r="R910" s="150">
        <v>1000000</v>
      </c>
      <c r="S9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0" s="135">
        <f ca="1">+IF(PROVEEDORES[[#This Row],[FECHA DE PAGO]]=0,TODAY()-PROVEEDORES[[#This Row],[FECHA DE FACTURACIÓN]]-PROVEEDORES[[#This Row],[PLAZO Días]],0)</f>
        <v>0</v>
      </c>
      <c r="U910" s="135">
        <f>+VLOOKUP(PROVEEDORES[[#This Row],[PROVEEDOR]],Terceros!$A:$D,4,FALSE)</f>
        <v>0</v>
      </c>
      <c r="V910" s="135">
        <f>+YEAR(PROVEEDORES[[#This Row],[FECHA DE FACTURACIÓN]])</f>
        <v>2023</v>
      </c>
      <c r="W910" s="135">
        <f>+MATCH(PROVEEDORES[[#This Row],[año facturado]],Retenciones!$1:$1,0)</f>
        <v>6</v>
      </c>
      <c r="X910" s="136">
        <f>+VLOOKUP(PROVEEDORES[[#This Row],[ID RETENCION]],Retenciones!$A$1:$O$25,PROVEEDORES[[#This Row],[indicador de columna]],FALSE)</f>
        <v>0</v>
      </c>
      <c r="Y910" s="137">
        <f>+VLOOKUP(PROVEEDORES[[#This Row],[ID RETENCION]],Retenciones!$A$1:$O$25,2,FALSE)</f>
        <v>0</v>
      </c>
      <c r="Z910" s="126" t="b">
        <f>+OR(COUNTIF(PROVEEDORES[[#This Row],[PROVEEDOR]],"*"&amp;'Palabra que no opera y Listas d'!$A$2&amp;"*"))</f>
        <v>0</v>
      </c>
    </row>
    <row r="911" spans="1:26" ht="27.75" customHeight="1" x14ac:dyDescent="0.25">
      <c r="A911" s="141" t="str">
        <f>+IF(PROVEEDORES[[#This Row],[FECHA DE PAGO]]=PROVEEDORES[[#This Row],[FECHA DE FACTURACIÓN]],"DE CONTADO","CRÉDITO")</f>
        <v>DE CONTADO</v>
      </c>
      <c r="B911" s="138" t="b">
        <f>+IF((PROVEEDORES[[#This Row],[FECHA DE PAGO]]-PROVEEDORES[[#This Row],[FECHA DE FACTURACIÓN]])&gt;PROVEEDORES[[#This Row],[PLAZO Días]],"PAGO VENCIDO")</f>
        <v>0</v>
      </c>
      <c r="C911" s="138">
        <f>+VLOOKUP(PROVEEDORES[[#This Row],[PROVEEDOR]],TERCEROS_INFO[#All],2,FALSE)</f>
        <v>30</v>
      </c>
      <c r="D911" s="139">
        <f>+SUMIFS(PROVEEDORES[Total],PROVEEDORES[PROVEEDOR],PROVEEDORES[[#This Row],[PROVEEDOR]],PROVEEDORES[FECHA DE PAGO],"")</f>
        <v>0</v>
      </c>
      <c r="E911" s="140"/>
      <c r="F911" s="138">
        <f>+VLOOKUP(PROVEEDORES[[#This Row],[PROVEEDOR]],
                       Terceros!$A:$F,
                       5,
                       FALSE)</f>
        <v>0</v>
      </c>
      <c r="G911" s="127">
        <v>45247</v>
      </c>
      <c r="H911" s="123" t="s">
        <v>836</v>
      </c>
      <c r="I911" s="127">
        <v>45247</v>
      </c>
      <c r="J911" s="124"/>
      <c r="K911" s="124" t="s">
        <v>1530</v>
      </c>
      <c r="L911" s="124"/>
      <c r="M911" s="125">
        <v>417000</v>
      </c>
      <c r="N911" s="148">
        <v>0</v>
      </c>
      <c r="O911" s="148">
        <v>0</v>
      </c>
      <c r="P911" s="149">
        <v>0</v>
      </c>
      <c r="Q911" s="148">
        <v>0</v>
      </c>
      <c r="R911" s="150">
        <v>417000</v>
      </c>
      <c r="S9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1" s="135">
        <f ca="1">+IF(PROVEEDORES[[#This Row],[FECHA DE PAGO]]=0,TODAY()-PROVEEDORES[[#This Row],[FECHA DE FACTURACIÓN]]-PROVEEDORES[[#This Row],[PLAZO Días]],0)</f>
        <v>0</v>
      </c>
      <c r="U911" s="135">
        <f>+VLOOKUP(PROVEEDORES[[#This Row],[PROVEEDOR]],Terceros!$A:$D,4,FALSE)</f>
        <v>0</v>
      </c>
      <c r="V911" s="135">
        <f>+YEAR(PROVEEDORES[[#This Row],[FECHA DE FACTURACIÓN]])</f>
        <v>2023</v>
      </c>
      <c r="W911" s="135">
        <f>+MATCH(PROVEEDORES[[#This Row],[año facturado]],Retenciones!$1:$1,0)</f>
        <v>6</v>
      </c>
      <c r="X911" s="136">
        <f>+VLOOKUP(PROVEEDORES[[#This Row],[ID RETENCION]],Retenciones!$A$1:$O$25,PROVEEDORES[[#This Row],[indicador de columna]],FALSE)</f>
        <v>0</v>
      </c>
      <c r="Y911" s="137">
        <f>+VLOOKUP(PROVEEDORES[[#This Row],[ID RETENCION]],Retenciones!$A$1:$O$25,2,FALSE)</f>
        <v>0</v>
      </c>
      <c r="Z911" s="126" t="b">
        <f>+OR(COUNTIF(PROVEEDORES[[#This Row],[PROVEEDOR]],"*"&amp;'Palabra que no opera y Listas d'!$A$2&amp;"*"))</f>
        <v>0</v>
      </c>
    </row>
    <row r="912" spans="1:26" ht="27.75" customHeight="1" x14ac:dyDescent="0.25">
      <c r="A912" s="141" t="str">
        <f>+IF(PROVEEDORES[[#This Row],[FECHA DE PAGO]]=PROVEEDORES[[#This Row],[FECHA DE FACTURACIÓN]],"DE CONTADO","CRÉDITO")</f>
        <v>CRÉDITO</v>
      </c>
      <c r="B912" s="138" t="str">
        <f>+IF((PROVEEDORES[[#This Row],[FECHA DE PAGO]]-PROVEEDORES[[#This Row],[FECHA DE FACTURACIÓN]])&gt;PROVEEDORES[[#This Row],[PLAZO Días]],"PAGO VENCIDO")</f>
        <v>PAGO VENCIDO</v>
      </c>
      <c r="C912" s="138">
        <f>+VLOOKUP(PROVEEDORES[[#This Row],[PROVEEDOR]],TERCEROS_INFO[#All],2,FALSE)</f>
        <v>0</v>
      </c>
      <c r="D912" s="139">
        <f>+SUMIFS(PROVEEDORES[Total],PROVEEDORES[PROVEEDOR],PROVEEDORES[[#This Row],[PROVEEDOR]],PROVEEDORES[FECHA DE PAGO],"")</f>
        <v>0</v>
      </c>
      <c r="E912" s="140"/>
      <c r="F912" s="138" t="str">
        <f>+VLOOKUP(PROVEEDORES[[#This Row],[PROVEEDOR]],
                       Terceros!$A:$F,
                       5,
                       FALSE)</f>
        <v>operaciones@ilux.com.co;girlesa.ruiz@servipilas.com;joriescobar64@gmail.com</v>
      </c>
      <c r="G912" s="127">
        <v>45250</v>
      </c>
      <c r="H912" s="123" t="s">
        <v>1124</v>
      </c>
      <c r="I912" s="127">
        <v>45210</v>
      </c>
      <c r="J912" s="124" t="s">
        <v>1204</v>
      </c>
      <c r="K912" s="124" t="s">
        <v>1530</v>
      </c>
      <c r="L912" s="124"/>
      <c r="M912" s="125">
        <v>-1168669</v>
      </c>
      <c r="N912" s="148">
        <v>-222047.11000000002</v>
      </c>
      <c r="O912" s="148">
        <v>0</v>
      </c>
      <c r="P912" s="149">
        <v>0</v>
      </c>
      <c r="Q912" s="148">
        <v>0</v>
      </c>
      <c r="R912" s="150">
        <v>-1390716.11</v>
      </c>
      <c r="S9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2" s="135">
        <f ca="1">+IF(PROVEEDORES[[#This Row],[FECHA DE PAGO]]=0,TODAY()-PROVEEDORES[[#This Row],[FECHA DE FACTURACIÓN]]-PROVEEDORES[[#This Row],[PLAZO Días]],0)</f>
        <v>0</v>
      </c>
      <c r="U912" s="135" t="str">
        <f>+VLOOKUP(PROVEEDORES[[#This Row],[PROVEEDOR]],Terceros!$A:$D,4,FALSE)</f>
        <v>4% con base</v>
      </c>
      <c r="V912" s="135">
        <f>+YEAR(PROVEEDORES[[#This Row],[FECHA DE FACTURACIÓN]])</f>
        <v>2023</v>
      </c>
      <c r="W912" s="135">
        <f>+MATCH(PROVEEDORES[[#This Row],[año facturado]],Retenciones!$1:$1,0)</f>
        <v>6</v>
      </c>
      <c r="X912" s="136">
        <f>+VLOOKUP(PROVEEDORES[[#This Row],[ID RETENCION]],Retenciones!$A$1:$O$25,PROVEEDORES[[#This Row],[indicador de columna]],FALSE)</f>
        <v>170000</v>
      </c>
      <c r="Y912" s="137">
        <f>+VLOOKUP(PROVEEDORES[[#This Row],[ID RETENCION]],Retenciones!$A$1:$O$25,2,FALSE)</f>
        <v>0.04</v>
      </c>
      <c r="Z912" s="126" t="b">
        <f>+OR(COUNTIF(PROVEEDORES[[#This Row],[PROVEEDOR]],"*"&amp;'Palabra que no opera y Listas d'!$A$2&amp;"*"))</f>
        <v>0</v>
      </c>
    </row>
    <row r="913" spans="1:26" ht="27.75" customHeight="1" x14ac:dyDescent="0.25">
      <c r="A913" s="141" t="str">
        <f>+IF(PROVEEDORES[[#This Row],[FECHA DE PAGO]]=PROVEEDORES[[#This Row],[FECHA DE FACTURACIÓN]],"DE CONTADO","CRÉDITO")</f>
        <v>CRÉDITO</v>
      </c>
      <c r="B913" s="138" t="str">
        <f>+IF((PROVEEDORES[[#This Row],[FECHA DE PAGO]]-PROVEEDORES[[#This Row],[FECHA DE FACTURACIÓN]])&gt;PROVEEDORES[[#This Row],[PLAZO Días]],"PAGO VENCIDO")</f>
        <v>PAGO VENCIDO</v>
      </c>
      <c r="C913" s="138">
        <f>+VLOOKUP(PROVEEDORES[[#This Row],[PROVEEDOR]],TERCEROS_INFO[#All],2,FALSE)</f>
        <v>0</v>
      </c>
      <c r="D913" s="139">
        <f>+SUMIFS(PROVEEDORES[Total],PROVEEDORES[PROVEEDOR],PROVEEDORES[[#This Row],[PROVEEDOR]],PROVEEDORES[FECHA DE PAGO],"")</f>
        <v>0</v>
      </c>
      <c r="E913" s="140"/>
      <c r="F913" s="138" t="str">
        <f>+VLOOKUP(PROVEEDORES[[#This Row],[PROVEEDOR]],
                       Terceros!$A:$F,
                       5,
                       FALSE)</f>
        <v>operaciones@ilux.com.co;girlesa.ruiz@servipilas.com;joriescobar64@gmail.com</v>
      </c>
      <c r="G913" s="127">
        <v>45250</v>
      </c>
      <c r="H913" s="123" t="s">
        <v>1124</v>
      </c>
      <c r="I913" s="127">
        <v>45210</v>
      </c>
      <c r="J913" s="124" t="s">
        <v>1203</v>
      </c>
      <c r="K913" s="124" t="s">
        <v>1530</v>
      </c>
      <c r="L913" s="124"/>
      <c r="M913" s="125">
        <v>-759339</v>
      </c>
      <c r="N913" s="148">
        <v>-144274.41</v>
      </c>
      <c r="O913" s="148">
        <v>0</v>
      </c>
      <c r="P913" s="149">
        <v>0</v>
      </c>
      <c r="Q913" s="148">
        <v>0</v>
      </c>
      <c r="R913" s="150">
        <v>-903613.41</v>
      </c>
      <c r="S9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3" s="135">
        <f ca="1">+IF(PROVEEDORES[[#This Row],[FECHA DE PAGO]]=0,TODAY()-PROVEEDORES[[#This Row],[FECHA DE FACTURACIÓN]]-PROVEEDORES[[#This Row],[PLAZO Días]],0)</f>
        <v>0</v>
      </c>
      <c r="U913" s="135" t="str">
        <f>+VLOOKUP(PROVEEDORES[[#This Row],[PROVEEDOR]],Terceros!$A:$D,4,FALSE)</f>
        <v>4% con base</v>
      </c>
      <c r="V913" s="135">
        <f>+YEAR(PROVEEDORES[[#This Row],[FECHA DE FACTURACIÓN]])</f>
        <v>2023</v>
      </c>
      <c r="W913" s="135">
        <f>+MATCH(PROVEEDORES[[#This Row],[año facturado]],Retenciones!$1:$1,0)</f>
        <v>6</v>
      </c>
      <c r="X913" s="136">
        <f>+VLOOKUP(PROVEEDORES[[#This Row],[ID RETENCION]],Retenciones!$A$1:$O$25,PROVEEDORES[[#This Row],[indicador de columna]],FALSE)</f>
        <v>170000</v>
      </c>
      <c r="Y913" s="137">
        <f>+VLOOKUP(PROVEEDORES[[#This Row],[ID RETENCION]],Retenciones!$A$1:$O$25,2,FALSE)</f>
        <v>0.04</v>
      </c>
      <c r="Z913" s="126" t="b">
        <f>+OR(COUNTIF(PROVEEDORES[[#This Row],[PROVEEDOR]],"*"&amp;'Palabra que no opera y Listas d'!$A$2&amp;"*"))</f>
        <v>0</v>
      </c>
    </row>
    <row r="914" spans="1:26" ht="27.75" customHeight="1" x14ac:dyDescent="0.25">
      <c r="A914" s="141" t="str">
        <f>+IF(PROVEEDORES[[#This Row],[FECHA DE PAGO]]=PROVEEDORES[[#This Row],[FECHA DE FACTURACIÓN]],"DE CONTADO","CRÉDITO")</f>
        <v>CRÉDITO</v>
      </c>
      <c r="B914" s="138" t="str">
        <f>+IF((PROVEEDORES[[#This Row],[FECHA DE PAGO]]-PROVEEDORES[[#This Row],[FECHA DE FACTURACIÓN]])&gt;PROVEEDORES[[#This Row],[PLAZO Días]],"PAGO VENCIDO")</f>
        <v>PAGO VENCIDO</v>
      </c>
      <c r="C914" s="138">
        <f>+VLOOKUP(PROVEEDORES[[#This Row],[PROVEEDOR]],TERCEROS_INFO[#All],2,FALSE)</f>
        <v>20</v>
      </c>
      <c r="D914" s="139">
        <f>+SUMIFS(PROVEEDORES[Total],PROVEEDORES[PROVEEDOR],PROVEEDORES[[#This Row],[PROVEEDOR]],PROVEEDORES[FECHA DE PAGO],"")</f>
        <v>0</v>
      </c>
      <c r="E914" s="140"/>
      <c r="F914" s="138">
        <f>+VLOOKUP(PROVEEDORES[[#This Row],[PROVEEDOR]],
                       Terceros!$A:$F,
                       5,
                       FALSE)</f>
        <v>0</v>
      </c>
      <c r="G914" s="127">
        <v>45250</v>
      </c>
      <c r="H914" s="123" t="s">
        <v>1825</v>
      </c>
      <c r="I914" s="127">
        <v>45218</v>
      </c>
      <c r="J914" s="124" t="s">
        <v>890</v>
      </c>
      <c r="K914" s="124" t="s">
        <v>1530</v>
      </c>
      <c r="L914" s="124"/>
      <c r="M914" s="125">
        <v>445473</v>
      </c>
      <c r="N914" s="148">
        <v>0</v>
      </c>
      <c r="O914" s="148">
        <v>0</v>
      </c>
      <c r="P914" s="149">
        <v>0</v>
      </c>
      <c r="Q914" s="148">
        <v>0</v>
      </c>
      <c r="R914" s="150">
        <v>445473</v>
      </c>
      <c r="S9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4" s="135">
        <f ca="1">+IF(PROVEEDORES[[#This Row],[FECHA DE PAGO]]=0,TODAY()-PROVEEDORES[[#This Row],[FECHA DE FACTURACIÓN]]-PROVEEDORES[[#This Row],[PLAZO Días]],0)</f>
        <v>0</v>
      </c>
      <c r="U914" s="135">
        <f>+VLOOKUP(PROVEEDORES[[#This Row],[PROVEEDOR]],Terceros!$A:$D,4,FALSE)</f>
        <v>0</v>
      </c>
      <c r="V914" s="135">
        <f>+YEAR(PROVEEDORES[[#This Row],[FECHA DE FACTURACIÓN]])</f>
        <v>2023</v>
      </c>
      <c r="W914" s="135">
        <f>+MATCH(PROVEEDORES[[#This Row],[año facturado]],Retenciones!$1:$1,0)</f>
        <v>6</v>
      </c>
      <c r="X914" s="136">
        <f>+VLOOKUP(PROVEEDORES[[#This Row],[ID RETENCION]],Retenciones!$A$1:$O$25,PROVEEDORES[[#This Row],[indicador de columna]],FALSE)</f>
        <v>0</v>
      </c>
      <c r="Y914" s="137">
        <f>+VLOOKUP(PROVEEDORES[[#This Row],[ID RETENCION]],Retenciones!$A$1:$O$25,2,FALSE)</f>
        <v>0</v>
      </c>
      <c r="Z914" s="126" t="b">
        <f>+OR(COUNTIF(PROVEEDORES[[#This Row],[PROVEEDOR]],"*"&amp;'Palabra que no opera y Listas d'!$A$2&amp;"*"))</f>
        <v>0</v>
      </c>
    </row>
    <row r="915" spans="1:26" ht="27.75" customHeight="1" x14ac:dyDescent="0.25">
      <c r="A915" s="141" t="str">
        <f>+IF(PROVEEDORES[[#This Row],[FECHA DE PAGO]]=PROVEEDORES[[#This Row],[FECHA DE FACTURACIÓN]],"DE CONTADO","CRÉDITO")</f>
        <v>CRÉDITO</v>
      </c>
      <c r="B915" s="138" t="b">
        <f>+IF((PROVEEDORES[[#This Row],[FECHA DE PAGO]]-PROVEEDORES[[#This Row],[FECHA DE FACTURACIÓN]])&gt;PROVEEDORES[[#This Row],[PLAZO Días]],"PAGO VENCIDO")</f>
        <v>0</v>
      </c>
      <c r="C915" s="138">
        <f>+VLOOKUP(PROVEEDORES[[#This Row],[PROVEEDOR]],TERCEROS_INFO[#All],2,FALSE)</f>
        <v>180</v>
      </c>
      <c r="D915" s="139">
        <f>+SUMIFS(PROVEEDORES[Total],PROVEEDORES[PROVEEDOR],PROVEEDORES[[#This Row],[PROVEEDOR]],PROVEEDORES[FECHA DE PAGO],"")</f>
        <v>0</v>
      </c>
      <c r="E915" s="140"/>
      <c r="F915" s="138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915" s="127">
        <v>45250</v>
      </c>
      <c r="H915" s="123" t="s">
        <v>370</v>
      </c>
      <c r="I915" s="127">
        <v>45231</v>
      </c>
      <c r="J915" s="124" t="s">
        <v>1237</v>
      </c>
      <c r="K915" s="124" t="s">
        <v>1530</v>
      </c>
      <c r="L915" s="124"/>
      <c r="M915" s="125">
        <v>442906</v>
      </c>
      <c r="N915" s="148">
        <v>22145.300000000003</v>
      </c>
      <c r="O915" s="148">
        <v>0</v>
      </c>
      <c r="P915" s="149">
        <v>0</v>
      </c>
      <c r="Q915" s="148">
        <v>0</v>
      </c>
      <c r="R915" s="150">
        <v>465051.3</v>
      </c>
      <c r="S9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5" s="135">
        <f ca="1">+IF(PROVEEDORES[[#This Row],[FECHA DE PAGO]]=0,TODAY()-PROVEEDORES[[#This Row],[FECHA DE FACTURACIÓN]]-PROVEEDORES[[#This Row],[PLAZO Días]],0)</f>
        <v>0</v>
      </c>
      <c r="U915" s="135" t="str">
        <f>+VLOOKUP(PROVEEDORES[[#This Row],[PROVEEDOR]],Terceros!$A:$D,4,FALSE)</f>
        <v>2,5% con base</v>
      </c>
      <c r="V915" s="135">
        <f>+YEAR(PROVEEDORES[[#This Row],[FECHA DE FACTURACIÓN]])</f>
        <v>2023</v>
      </c>
      <c r="W915" s="135">
        <f>+MATCH(PROVEEDORES[[#This Row],[año facturado]],Retenciones!$1:$1,0)</f>
        <v>6</v>
      </c>
      <c r="X915" s="136">
        <f>+VLOOKUP(PROVEEDORES[[#This Row],[ID RETENCION]],Retenciones!$A$1:$O$25,PROVEEDORES[[#This Row],[indicador de columna]],FALSE)</f>
        <v>1145000</v>
      </c>
      <c r="Y915" s="137">
        <f>+VLOOKUP(PROVEEDORES[[#This Row],[ID RETENCION]],Retenciones!$A$1:$O$25,2,FALSE)</f>
        <v>2.5000000000000001E-2</v>
      </c>
      <c r="Z915" s="126" t="b">
        <f>+OR(COUNTIF(PROVEEDORES[[#This Row],[PROVEEDOR]],"*"&amp;'Palabra que no opera y Listas d'!$A$2&amp;"*"))</f>
        <v>1</v>
      </c>
    </row>
    <row r="916" spans="1:26" ht="27.75" customHeight="1" x14ac:dyDescent="0.25">
      <c r="A916" s="141" t="str">
        <f>+IF(PROVEEDORES[[#This Row],[FECHA DE PAGO]]=PROVEEDORES[[#This Row],[FECHA DE FACTURACIÓN]],"DE CONTADO","CRÉDITO")</f>
        <v>CRÉDITO</v>
      </c>
      <c r="B916" s="138" t="b">
        <f>+IF((PROVEEDORES[[#This Row],[FECHA DE PAGO]]-PROVEEDORES[[#This Row],[FECHA DE FACTURACIÓN]])&gt;PROVEEDORES[[#This Row],[PLAZO Días]],"PAGO VENCIDO")</f>
        <v>0</v>
      </c>
      <c r="C916" s="138">
        <f>+VLOOKUP(PROVEEDORES[[#This Row],[PROVEEDOR]],TERCEROS_INFO[#All],2,FALSE)</f>
        <v>30</v>
      </c>
      <c r="D916" s="139">
        <f>+SUMIFS(PROVEEDORES[Total],PROVEEDORES[PROVEEDOR],PROVEEDORES[[#This Row],[PROVEEDOR]],PROVEEDORES[FECHA DE PAGO],"")</f>
        <v>0</v>
      </c>
      <c r="E916" s="140"/>
      <c r="F916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16" s="127">
        <v>45250</v>
      </c>
      <c r="H916" s="123" t="s">
        <v>382</v>
      </c>
      <c r="I916" s="127">
        <v>45231</v>
      </c>
      <c r="J916" s="124" t="s">
        <v>1207</v>
      </c>
      <c r="K916" s="124" t="s">
        <v>1530</v>
      </c>
      <c r="L916" s="124"/>
      <c r="M916" s="125">
        <v>934363</v>
      </c>
      <c r="N916" s="148">
        <v>0</v>
      </c>
      <c r="O916" s="148">
        <v>0</v>
      </c>
      <c r="P916" s="149">
        <v>0</v>
      </c>
      <c r="Q916" s="148">
        <v>0</v>
      </c>
      <c r="R916" s="150">
        <v>934363</v>
      </c>
      <c r="S9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6" s="135">
        <f ca="1">+IF(PROVEEDORES[[#This Row],[FECHA DE PAGO]]=0,TODAY()-PROVEEDORES[[#This Row],[FECHA DE FACTURACIÓN]]-PROVEEDORES[[#This Row],[PLAZO Días]],0)</f>
        <v>0</v>
      </c>
      <c r="U916" s="135">
        <f>+VLOOKUP(PROVEEDORES[[#This Row],[PROVEEDOR]],Terceros!$A:$D,4,FALSE)</f>
        <v>0</v>
      </c>
      <c r="V916" s="135">
        <f>+YEAR(PROVEEDORES[[#This Row],[FECHA DE FACTURACIÓN]])</f>
        <v>2023</v>
      </c>
      <c r="W916" s="135">
        <f>+MATCH(PROVEEDORES[[#This Row],[año facturado]],Retenciones!$1:$1,0)</f>
        <v>6</v>
      </c>
      <c r="X916" s="136">
        <f>+VLOOKUP(PROVEEDORES[[#This Row],[ID RETENCION]],Retenciones!$A$1:$O$25,PROVEEDORES[[#This Row],[indicador de columna]],FALSE)</f>
        <v>0</v>
      </c>
      <c r="Y916" s="137">
        <f>+VLOOKUP(PROVEEDORES[[#This Row],[ID RETENCION]],Retenciones!$A$1:$O$25,2,FALSE)</f>
        <v>0</v>
      </c>
      <c r="Z916" s="126" t="b">
        <f>+OR(COUNTIF(PROVEEDORES[[#This Row],[PROVEEDOR]],"*"&amp;'Palabra que no opera y Listas d'!$A$2&amp;"*"))</f>
        <v>1</v>
      </c>
    </row>
    <row r="917" spans="1:26" ht="27.75" customHeight="1" x14ac:dyDescent="0.25">
      <c r="A917" s="141" t="str">
        <f>+IF(PROVEEDORES[[#This Row],[FECHA DE PAGO]]=PROVEEDORES[[#This Row],[FECHA DE FACTURACIÓN]],"DE CONTADO","CRÉDITO")</f>
        <v>CRÉDITO</v>
      </c>
      <c r="B917" s="138" t="b">
        <f>+IF((PROVEEDORES[[#This Row],[FECHA DE PAGO]]-PROVEEDORES[[#This Row],[FECHA DE FACTURACIÓN]])&gt;PROVEEDORES[[#This Row],[PLAZO Días]],"PAGO VENCIDO")</f>
        <v>0</v>
      </c>
      <c r="C917" s="138">
        <f>+VLOOKUP(PROVEEDORES[[#This Row],[PROVEEDOR]],TERCEROS_INFO[#All],2,FALSE)</f>
        <v>30</v>
      </c>
      <c r="D917" s="139">
        <f>+SUMIFS(PROVEEDORES[Total],PROVEEDORES[PROVEEDOR],PROVEEDORES[[#This Row],[PROVEEDOR]],PROVEEDORES[FECHA DE PAGO],"")</f>
        <v>0</v>
      </c>
      <c r="E917" s="140"/>
      <c r="F917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917" s="127">
        <v>45250</v>
      </c>
      <c r="H917" s="123" t="s">
        <v>382</v>
      </c>
      <c r="I917" s="127">
        <v>45231</v>
      </c>
      <c r="J917" s="124" t="s">
        <v>1208</v>
      </c>
      <c r="K917" s="124" t="s">
        <v>1530</v>
      </c>
      <c r="L917" s="124"/>
      <c r="M917" s="125">
        <v>914023</v>
      </c>
      <c r="N917" s="148">
        <v>0</v>
      </c>
      <c r="O917" s="148">
        <v>0</v>
      </c>
      <c r="P917" s="149">
        <v>0</v>
      </c>
      <c r="Q917" s="148">
        <v>0</v>
      </c>
      <c r="R917" s="150">
        <v>914023</v>
      </c>
      <c r="S9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7" s="135">
        <f ca="1">+IF(PROVEEDORES[[#This Row],[FECHA DE PAGO]]=0,TODAY()-PROVEEDORES[[#This Row],[FECHA DE FACTURACIÓN]]-PROVEEDORES[[#This Row],[PLAZO Días]],0)</f>
        <v>0</v>
      </c>
      <c r="U917" s="135">
        <f>+VLOOKUP(PROVEEDORES[[#This Row],[PROVEEDOR]],Terceros!$A:$D,4,FALSE)</f>
        <v>0</v>
      </c>
      <c r="V917" s="135">
        <f>+YEAR(PROVEEDORES[[#This Row],[FECHA DE FACTURACIÓN]])</f>
        <v>2023</v>
      </c>
      <c r="W917" s="135">
        <f>+MATCH(PROVEEDORES[[#This Row],[año facturado]],Retenciones!$1:$1,0)</f>
        <v>6</v>
      </c>
      <c r="X917" s="136">
        <f>+VLOOKUP(PROVEEDORES[[#This Row],[ID RETENCION]],Retenciones!$A$1:$O$25,PROVEEDORES[[#This Row],[indicador de columna]],FALSE)</f>
        <v>0</v>
      </c>
      <c r="Y917" s="137">
        <f>+VLOOKUP(PROVEEDORES[[#This Row],[ID RETENCION]],Retenciones!$A$1:$O$25,2,FALSE)</f>
        <v>0</v>
      </c>
      <c r="Z917" s="126" t="b">
        <f>+OR(COUNTIF(PROVEEDORES[[#This Row],[PROVEEDOR]],"*"&amp;'Palabra que no opera y Listas d'!$A$2&amp;"*"))</f>
        <v>1</v>
      </c>
    </row>
    <row r="918" spans="1:26" ht="27.75" customHeight="1" x14ac:dyDescent="0.25">
      <c r="A918" s="141" t="str">
        <f>+IF(PROVEEDORES[[#This Row],[FECHA DE PAGO]]=PROVEEDORES[[#This Row],[FECHA DE FACTURACIÓN]],"DE CONTADO","CRÉDITO")</f>
        <v>CRÉDITO</v>
      </c>
      <c r="B918" s="138" t="b">
        <f>+IF((PROVEEDORES[[#This Row],[FECHA DE PAGO]]-PROVEEDORES[[#This Row],[FECHA DE FACTURACIÓN]])&gt;PROVEEDORES[[#This Row],[PLAZO Días]],"PAGO VENCIDO")</f>
        <v>0</v>
      </c>
      <c r="C918" s="138">
        <f>+VLOOKUP(PROVEEDORES[[#This Row],[PROVEEDOR]],TERCEROS_INFO[#All],2,FALSE)</f>
        <v>30</v>
      </c>
      <c r="D918" s="139">
        <f>+SUMIFS(PROVEEDORES[Total],PROVEEDORES[PROVEEDOR],PROVEEDORES[[#This Row],[PROVEEDOR]],PROVEEDORES[FECHA DE PAGO],"")</f>
        <v>0</v>
      </c>
      <c r="E918" s="140"/>
      <c r="F918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918" s="127">
        <v>45250</v>
      </c>
      <c r="H918" s="123" t="s">
        <v>383</v>
      </c>
      <c r="I918" s="127">
        <v>45231</v>
      </c>
      <c r="J918" s="124" t="s">
        <v>1235</v>
      </c>
      <c r="K918" s="124" t="s">
        <v>1530</v>
      </c>
      <c r="L918" s="124"/>
      <c r="M918" s="125">
        <v>3935776</v>
      </c>
      <c r="N918" s="148">
        <v>747797.44000000006</v>
      </c>
      <c r="O918" s="148">
        <v>0</v>
      </c>
      <c r="P918" s="149">
        <v>3.5000000000000003E-2</v>
      </c>
      <c r="Q918" s="148">
        <v>137752.16</v>
      </c>
      <c r="R918" s="150">
        <v>4545821.28</v>
      </c>
      <c r="S9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8" s="135">
        <f ca="1">+IF(PROVEEDORES[[#This Row],[FECHA DE PAGO]]=0,TODAY()-PROVEEDORES[[#This Row],[FECHA DE FACTURACIÓN]]-PROVEEDORES[[#This Row],[PLAZO Días]],0)</f>
        <v>0</v>
      </c>
      <c r="U918" s="135" t="str">
        <f>+VLOOKUP(PROVEEDORES[[#This Row],[PROVEEDOR]],Terceros!$A:$D,4,FALSE)</f>
        <v>3,5% sin base</v>
      </c>
      <c r="V918" s="135">
        <f>+YEAR(PROVEEDORES[[#This Row],[FECHA DE FACTURACIÓN]])</f>
        <v>2023</v>
      </c>
      <c r="W918" s="135">
        <f>+MATCH(PROVEEDORES[[#This Row],[año facturado]],Retenciones!$1:$1,0)</f>
        <v>6</v>
      </c>
      <c r="X918" s="136">
        <f>+VLOOKUP(PROVEEDORES[[#This Row],[ID RETENCION]],Retenciones!$A$1:$O$25,PROVEEDORES[[#This Row],[indicador de columna]],FALSE)</f>
        <v>0</v>
      </c>
      <c r="Y918" s="137">
        <f>+VLOOKUP(PROVEEDORES[[#This Row],[ID RETENCION]],Retenciones!$A$1:$O$25,2,FALSE)</f>
        <v>3.5000000000000003E-2</v>
      </c>
      <c r="Z918" s="126" t="b">
        <f>+OR(COUNTIF(PROVEEDORES[[#This Row],[PROVEEDOR]],"*"&amp;'Palabra que no opera y Listas d'!$A$2&amp;"*"))</f>
        <v>1</v>
      </c>
    </row>
    <row r="919" spans="1:26" ht="27.75" customHeight="1" x14ac:dyDescent="0.25">
      <c r="A919" s="141" t="str">
        <f>+IF(PROVEEDORES[[#This Row],[FECHA DE PAGO]]=PROVEEDORES[[#This Row],[FECHA DE FACTURACIÓN]],"DE CONTADO","CRÉDITO")</f>
        <v>DE CONTADO</v>
      </c>
      <c r="B919" s="138" t="b">
        <f>+IF((PROVEEDORES[[#This Row],[FECHA DE PAGO]]-PROVEEDORES[[#This Row],[FECHA DE FACTURACIÓN]])&gt;PROVEEDORES[[#This Row],[PLAZO Días]],"PAGO VENCIDO")</f>
        <v>0</v>
      </c>
      <c r="C919" s="138">
        <f>+VLOOKUP(PROVEEDORES[[#This Row],[PROVEEDOR]],TERCEROS_INFO[#All],2,FALSE)</f>
        <v>0</v>
      </c>
      <c r="D919" s="139">
        <f>+SUMIFS(PROVEEDORES[Total],PROVEEDORES[PROVEEDOR],PROVEEDORES[[#This Row],[PROVEEDOR]],PROVEEDORES[FECHA DE PAGO],"")</f>
        <v>0</v>
      </c>
      <c r="E919" s="140"/>
      <c r="F919" s="138" t="str">
        <f>+VLOOKUP(PROVEEDORES[[#This Row],[PROVEEDOR]],
                       Terceros!$A:$F,
                       5,
                       FALSE)</f>
        <v>operaciones@ilux.com.co;girlesa.ruiz@servipilas.com;joriescobar64@gmail.com</v>
      </c>
      <c r="G919" s="127">
        <v>45250</v>
      </c>
      <c r="H919" s="123" t="s">
        <v>1124</v>
      </c>
      <c r="I919" s="127">
        <v>45250</v>
      </c>
      <c r="J919" s="124" t="s">
        <v>1205</v>
      </c>
      <c r="K919" s="124" t="s">
        <v>1530</v>
      </c>
      <c r="L919" s="124"/>
      <c r="M919" s="125">
        <v>1964150</v>
      </c>
      <c r="N919" s="148">
        <v>373188.5</v>
      </c>
      <c r="O919" s="148">
        <v>0</v>
      </c>
      <c r="P919" s="149">
        <v>0.04</v>
      </c>
      <c r="Q919" s="148">
        <v>78566</v>
      </c>
      <c r="R919" s="150">
        <v>2258772.5</v>
      </c>
      <c r="S9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19" s="135">
        <f ca="1">+IF(PROVEEDORES[[#This Row],[FECHA DE PAGO]]=0,TODAY()-PROVEEDORES[[#This Row],[FECHA DE FACTURACIÓN]]-PROVEEDORES[[#This Row],[PLAZO Días]],0)</f>
        <v>0</v>
      </c>
      <c r="U919" s="135" t="str">
        <f>+VLOOKUP(PROVEEDORES[[#This Row],[PROVEEDOR]],Terceros!$A:$D,4,FALSE)</f>
        <v>4% con base</v>
      </c>
      <c r="V919" s="135">
        <f>+YEAR(PROVEEDORES[[#This Row],[FECHA DE FACTURACIÓN]])</f>
        <v>2023</v>
      </c>
      <c r="W919" s="135">
        <f>+MATCH(PROVEEDORES[[#This Row],[año facturado]],Retenciones!$1:$1,0)</f>
        <v>6</v>
      </c>
      <c r="X919" s="136">
        <f>+VLOOKUP(PROVEEDORES[[#This Row],[ID RETENCION]],Retenciones!$A$1:$O$25,PROVEEDORES[[#This Row],[indicador de columna]],FALSE)</f>
        <v>170000</v>
      </c>
      <c r="Y919" s="137">
        <f>+VLOOKUP(PROVEEDORES[[#This Row],[ID RETENCION]],Retenciones!$A$1:$O$25,2,FALSE)</f>
        <v>0.04</v>
      </c>
      <c r="Z919" s="126" t="b">
        <f>+OR(COUNTIF(PROVEEDORES[[#This Row],[PROVEEDOR]],"*"&amp;'Palabra que no opera y Listas d'!$A$2&amp;"*"))</f>
        <v>0</v>
      </c>
    </row>
    <row r="920" spans="1:26" ht="27.75" customHeight="1" x14ac:dyDescent="0.25">
      <c r="A920" s="141" t="str">
        <f>+IF(PROVEEDORES[[#This Row],[FECHA DE PAGO]]=PROVEEDORES[[#This Row],[FECHA DE FACTURACIÓN]],"DE CONTADO","CRÉDITO")</f>
        <v>DE CONTADO</v>
      </c>
      <c r="B920" s="138" t="b">
        <f>+IF((PROVEEDORES[[#This Row],[FECHA DE PAGO]]-PROVEEDORES[[#This Row],[FECHA DE FACTURACIÓN]])&gt;PROVEEDORES[[#This Row],[PLAZO Días]],"PAGO VENCIDO")</f>
        <v>0</v>
      </c>
      <c r="C920" s="138">
        <f>+VLOOKUP(PROVEEDORES[[#This Row],[PROVEEDOR]],TERCEROS_INFO[#All],2,FALSE)</f>
        <v>0</v>
      </c>
      <c r="D920" s="139">
        <f>+SUMIFS(PROVEEDORES[Total],PROVEEDORES[PROVEEDOR],PROVEEDORES[[#This Row],[PROVEEDOR]],PROVEEDORES[FECHA DE PAGO],"")</f>
        <v>0</v>
      </c>
      <c r="E920" s="140"/>
      <c r="F920" s="138" t="str">
        <f>+VLOOKUP(PROVEEDORES[[#This Row],[PROVEEDOR]],
                       Terceros!$A:$F,
                       5,
                       FALSE)</f>
        <v>operaciones@ilux.com.co;girlesa.ruiz@servipilas.com;joriescobar64@gmail.com</v>
      </c>
      <c r="G920" s="127">
        <v>45250</v>
      </c>
      <c r="H920" s="123" t="s">
        <v>1124</v>
      </c>
      <c r="I920" s="127">
        <v>45250</v>
      </c>
      <c r="J920" s="124" t="s">
        <v>1206</v>
      </c>
      <c r="K920" s="124" t="s">
        <v>1530</v>
      </c>
      <c r="L920" s="124"/>
      <c r="M920" s="125">
        <v>1276200</v>
      </c>
      <c r="N920" s="148">
        <v>242478</v>
      </c>
      <c r="O920" s="148">
        <v>0</v>
      </c>
      <c r="P920" s="149">
        <v>0.04</v>
      </c>
      <c r="Q920" s="148">
        <v>51048</v>
      </c>
      <c r="R920" s="150">
        <v>1467630</v>
      </c>
      <c r="S9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0" s="135">
        <f ca="1">+IF(PROVEEDORES[[#This Row],[FECHA DE PAGO]]=0,TODAY()-PROVEEDORES[[#This Row],[FECHA DE FACTURACIÓN]]-PROVEEDORES[[#This Row],[PLAZO Días]],0)</f>
        <v>0</v>
      </c>
      <c r="U920" s="135" t="str">
        <f>+VLOOKUP(PROVEEDORES[[#This Row],[PROVEEDOR]],Terceros!$A:$D,4,FALSE)</f>
        <v>4% con base</v>
      </c>
      <c r="V920" s="135">
        <f>+YEAR(PROVEEDORES[[#This Row],[FECHA DE FACTURACIÓN]])</f>
        <v>2023</v>
      </c>
      <c r="W920" s="135">
        <f>+MATCH(PROVEEDORES[[#This Row],[año facturado]],Retenciones!$1:$1,0)</f>
        <v>6</v>
      </c>
      <c r="X920" s="136">
        <f>+VLOOKUP(PROVEEDORES[[#This Row],[ID RETENCION]],Retenciones!$A$1:$O$25,PROVEEDORES[[#This Row],[indicador de columna]],FALSE)</f>
        <v>170000</v>
      </c>
      <c r="Y920" s="137">
        <f>+VLOOKUP(PROVEEDORES[[#This Row],[ID RETENCION]],Retenciones!$A$1:$O$25,2,FALSE)</f>
        <v>0.04</v>
      </c>
      <c r="Z920" s="126" t="b">
        <f>+OR(COUNTIF(PROVEEDORES[[#This Row],[PROVEEDOR]],"*"&amp;'Palabra que no opera y Listas d'!$A$2&amp;"*"))</f>
        <v>0</v>
      </c>
    </row>
    <row r="921" spans="1:26" ht="27.75" customHeight="1" x14ac:dyDescent="0.25">
      <c r="A921" s="141" t="str">
        <f>+IF(PROVEEDORES[[#This Row],[FECHA DE PAGO]]=PROVEEDORES[[#This Row],[FECHA DE FACTURACIÓN]],"DE CONTADO","CRÉDITO")</f>
        <v>DE CONTADO</v>
      </c>
      <c r="B921" s="138" t="b">
        <f>+IF((PROVEEDORES[[#This Row],[FECHA DE PAGO]]-PROVEEDORES[[#This Row],[FECHA DE FACTURACIÓN]])&gt;PROVEEDORES[[#This Row],[PLAZO Días]],"PAGO VENCIDO")</f>
        <v>0</v>
      </c>
      <c r="C921" s="138">
        <f>+VLOOKUP(PROVEEDORES[[#This Row],[PROVEEDOR]],TERCEROS_INFO[#All],2,FALSE)</f>
        <v>30</v>
      </c>
      <c r="D921" s="139">
        <f>+SUMIFS(PROVEEDORES[Total],PROVEEDORES[PROVEEDOR],PROVEEDORES[[#This Row],[PROVEEDOR]],PROVEEDORES[FECHA DE PAGO],"")</f>
        <v>0</v>
      </c>
      <c r="E921" s="140"/>
      <c r="F921" s="138" t="str">
        <f>+VLOOKUP(PROVEEDORES[[#This Row],[PROVEEDOR]],
                       Terceros!$A:$F,
                       5,
                       FALSE)</f>
        <v/>
      </c>
      <c r="G921" s="127">
        <v>45250</v>
      </c>
      <c r="H921" s="123" t="s">
        <v>525</v>
      </c>
      <c r="I921" s="127">
        <v>45250</v>
      </c>
      <c r="J921" s="124" t="s">
        <v>1280</v>
      </c>
      <c r="K921" s="124" t="s">
        <v>1530</v>
      </c>
      <c r="L921" s="124"/>
      <c r="M921" s="125">
        <v>190000</v>
      </c>
      <c r="N921" s="148">
        <v>0</v>
      </c>
      <c r="O921" s="148">
        <v>0</v>
      </c>
      <c r="P921" s="149">
        <v>0</v>
      </c>
      <c r="Q921" s="148">
        <v>0</v>
      </c>
      <c r="R921" s="150">
        <v>190000</v>
      </c>
      <c r="S9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1" s="135">
        <f ca="1">+IF(PROVEEDORES[[#This Row],[FECHA DE PAGO]]=0,TODAY()-PROVEEDORES[[#This Row],[FECHA DE FACTURACIÓN]]-PROVEEDORES[[#This Row],[PLAZO Días]],0)</f>
        <v>0</v>
      </c>
      <c r="U921" s="135">
        <f>+VLOOKUP(PROVEEDORES[[#This Row],[PROVEEDOR]],Terceros!$A:$D,4,FALSE)</f>
        <v>0</v>
      </c>
      <c r="V921" s="135">
        <f>+YEAR(PROVEEDORES[[#This Row],[FECHA DE FACTURACIÓN]])</f>
        <v>2023</v>
      </c>
      <c r="W921" s="135">
        <f>+MATCH(PROVEEDORES[[#This Row],[año facturado]],Retenciones!$1:$1,0)</f>
        <v>6</v>
      </c>
      <c r="X921" s="136">
        <f>+VLOOKUP(PROVEEDORES[[#This Row],[ID RETENCION]],Retenciones!$A$1:$O$25,PROVEEDORES[[#This Row],[indicador de columna]],FALSE)</f>
        <v>0</v>
      </c>
      <c r="Y921" s="137">
        <f>+VLOOKUP(PROVEEDORES[[#This Row],[ID RETENCION]],Retenciones!$A$1:$O$25,2,FALSE)</f>
        <v>0</v>
      </c>
      <c r="Z921" s="126" t="b">
        <f>+OR(COUNTIF(PROVEEDORES[[#This Row],[PROVEEDOR]],"*"&amp;'Palabra que no opera y Listas d'!$A$2&amp;"*"))</f>
        <v>0</v>
      </c>
    </row>
    <row r="922" spans="1:26" ht="27.75" customHeight="1" x14ac:dyDescent="0.25">
      <c r="A922" s="141" t="str">
        <f>+IF(PROVEEDORES[[#This Row],[FECHA DE PAGO]]=PROVEEDORES[[#This Row],[FECHA DE FACTURACIÓN]],"DE CONTADO","CRÉDITO")</f>
        <v>DE CONTADO</v>
      </c>
      <c r="B922" s="138" t="b">
        <f>+IF((PROVEEDORES[[#This Row],[FECHA DE PAGO]]-PROVEEDORES[[#This Row],[FECHA DE FACTURACIÓN]])&gt;PROVEEDORES[[#This Row],[PLAZO Días]],"PAGO VENCIDO")</f>
        <v>0</v>
      </c>
      <c r="C922" s="138">
        <f>+VLOOKUP(PROVEEDORES[[#This Row],[PROVEEDOR]],TERCEROS_INFO[#All],2,FALSE)</f>
        <v>30</v>
      </c>
      <c r="D922" s="139">
        <f>+SUMIFS(PROVEEDORES[Total],PROVEEDORES[PROVEEDOR],PROVEEDORES[[#This Row],[PROVEEDOR]],PROVEEDORES[FECHA DE PAGO],"")</f>
        <v>0</v>
      </c>
      <c r="E922" s="140"/>
      <c r="F922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922" s="127">
        <v>45250</v>
      </c>
      <c r="H922" s="123" t="s">
        <v>380</v>
      </c>
      <c r="I922" s="127">
        <v>45250</v>
      </c>
      <c r="J922" s="124" t="s">
        <v>1232</v>
      </c>
      <c r="K922" s="124" t="s">
        <v>1530</v>
      </c>
      <c r="L922" s="124"/>
      <c r="M922" s="125">
        <v>3456200</v>
      </c>
      <c r="N922" s="148">
        <v>0</v>
      </c>
      <c r="O922" s="148">
        <v>0</v>
      </c>
      <c r="P922" s="149">
        <v>3.5000000000000003E-2</v>
      </c>
      <c r="Q922" s="148">
        <v>120967.00000000001</v>
      </c>
      <c r="R922" s="150">
        <v>3335233</v>
      </c>
      <c r="S9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2" s="135">
        <f ca="1">+IF(PROVEEDORES[[#This Row],[FECHA DE PAGO]]=0,TODAY()-PROVEEDORES[[#This Row],[FECHA DE FACTURACIÓN]]-PROVEEDORES[[#This Row],[PLAZO Días]],0)</f>
        <v>0</v>
      </c>
      <c r="U922" s="135" t="str">
        <f>+VLOOKUP(PROVEEDORES[[#This Row],[PROVEEDOR]],Terceros!$A:$D,4,FALSE)</f>
        <v>3,5% sin base</v>
      </c>
      <c r="V922" s="135">
        <f>+YEAR(PROVEEDORES[[#This Row],[FECHA DE FACTURACIÓN]])</f>
        <v>2023</v>
      </c>
      <c r="W922" s="135">
        <f>+MATCH(PROVEEDORES[[#This Row],[año facturado]],Retenciones!$1:$1,0)</f>
        <v>6</v>
      </c>
      <c r="X922" s="136">
        <f>+VLOOKUP(PROVEEDORES[[#This Row],[ID RETENCION]],Retenciones!$A$1:$O$25,PROVEEDORES[[#This Row],[indicador de columna]],FALSE)</f>
        <v>0</v>
      </c>
      <c r="Y922" s="137">
        <f>+VLOOKUP(PROVEEDORES[[#This Row],[ID RETENCION]],Retenciones!$A$1:$O$25,2,FALSE)</f>
        <v>3.5000000000000003E-2</v>
      </c>
      <c r="Z922" s="126" t="b">
        <f>+OR(COUNTIF(PROVEEDORES[[#This Row],[PROVEEDOR]],"*"&amp;'Palabra que no opera y Listas d'!$A$2&amp;"*"))</f>
        <v>1</v>
      </c>
    </row>
    <row r="923" spans="1:26" ht="27.75" customHeight="1" x14ac:dyDescent="0.25">
      <c r="A923" s="141" t="str">
        <f>+IF(PROVEEDORES[[#This Row],[FECHA DE PAGO]]=PROVEEDORES[[#This Row],[FECHA DE FACTURACIÓN]],"DE CONTADO","CRÉDITO")</f>
        <v>CRÉDITO</v>
      </c>
      <c r="B923" s="138" t="str">
        <f>+IF((PROVEEDORES[[#This Row],[FECHA DE PAGO]]-PROVEEDORES[[#This Row],[FECHA DE FACTURACIÓN]])&gt;PROVEEDORES[[#This Row],[PLAZO Días]],"PAGO VENCIDO")</f>
        <v>PAGO VENCIDO</v>
      </c>
      <c r="C923" s="138">
        <f>+VLOOKUP(PROVEEDORES[[#This Row],[PROVEEDOR]],TERCEROS_INFO[#All],2,FALSE)</f>
        <v>60</v>
      </c>
      <c r="D923" s="139">
        <f>+SUMIFS(PROVEEDORES[Total],PROVEEDORES[PROVEEDOR],PROVEEDORES[[#This Row],[PROVEEDOR]],PROVEEDORES[FECHA DE PAGO],"")</f>
        <v>0</v>
      </c>
      <c r="E923" s="140"/>
      <c r="F923" s="138">
        <f>+VLOOKUP(PROVEEDORES[[#This Row],[PROVEEDOR]],
                       Terceros!$A:$F,
                       5,
                       FALSE)</f>
        <v>0</v>
      </c>
      <c r="G923" s="127">
        <v>45251</v>
      </c>
      <c r="H923" s="123" t="s">
        <v>445</v>
      </c>
      <c r="I923" s="127">
        <v>45169</v>
      </c>
      <c r="J923" s="124" t="s">
        <v>1020</v>
      </c>
      <c r="K923" s="124" t="s">
        <v>1530</v>
      </c>
      <c r="L923" s="124"/>
      <c r="M923" s="125">
        <v>2318282</v>
      </c>
      <c r="N923" s="148">
        <v>440473.58</v>
      </c>
      <c r="O923" s="148">
        <v>0</v>
      </c>
      <c r="P923" s="149">
        <v>0</v>
      </c>
      <c r="Q923" s="148">
        <v>0</v>
      </c>
      <c r="R923" s="150">
        <v>2758755.58</v>
      </c>
      <c r="S9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3" s="135">
        <f ca="1">+IF(PROVEEDORES[[#This Row],[FECHA DE PAGO]]=0,TODAY()-PROVEEDORES[[#This Row],[FECHA DE FACTURACIÓN]]-PROVEEDORES[[#This Row],[PLAZO Días]],0)</f>
        <v>0</v>
      </c>
      <c r="U923" s="135">
        <f>+VLOOKUP(PROVEEDORES[[#This Row],[PROVEEDOR]],Terceros!$A:$D,4,FALSE)</f>
        <v>0</v>
      </c>
      <c r="V923" s="135">
        <f>+YEAR(PROVEEDORES[[#This Row],[FECHA DE FACTURACIÓN]])</f>
        <v>2023</v>
      </c>
      <c r="W923" s="135">
        <f>+MATCH(PROVEEDORES[[#This Row],[año facturado]],Retenciones!$1:$1,0)</f>
        <v>6</v>
      </c>
      <c r="X923" s="136">
        <f>+VLOOKUP(PROVEEDORES[[#This Row],[ID RETENCION]],Retenciones!$A$1:$O$25,PROVEEDORES[[#This Row],[indicador de columna]],FALSE)</f>
        <v>0</v>
      </c>
      <c r="Y923" s="137">
        <f>+VLOOKUP(PROVEEDORES[[#This Row],[ID RETENCION]],Retenciones!$A$1:$O$25,2,FALSE)</f>
        <v>0</v>
      </c>
      <c r="Z923" s="126" t="b">
        <f>+OR(COUNTIF(PROVEEDORES[[#This Row],[PROVEEDOR]],"*"&amp;'Palabra que no opera y Listas d'!$A$2&amp;"*"))</f>
        <v>1</v>
      </c>
    </row>
    <row r="924" spans="1:26" ht="27.75" customHeight="1" x14ac:dyDescent="0.25">
      <c r="A924" s="141" t="str">
        <f>+IF(PROVEEDORES[[#This Row],[FECHA DE PAGO]]=PROVEEDORES[[#This Row],[FECHA DE FACTURACIÓN]],"DE CONTADO","CRÉDITO")</f>
        <v>CRÉDITO</v>
      </c>
      <c r="B924" s="138" t="str">
        <f>+IF((PROVEEDORES[[#This Row],[FECHA DE PAGO]]-PROVEEDORES[[#This Row],[FECHA DE FACTURACIÓN]])&gt;PROVEEDORES[[#This Row],[PLAZO Días]],"PAGO VENCIDO")</f>
        <v>PAGO VENCIDO</v>
      </c>
      <c r="C924" s="138">
        <f>+VLOOKUP(PROVEEDORES[[#This Row],[PROVEEDOR]],TERCEROS_INFO[#All],2,FALSE)</f>
        <v>30</v>
      </c>
      <c r="D924" s="139">
        <f>+SUMIFS(PROVEEDORES[Total],PROVEEDORES[PROVEEDOR],PROVEEDORES[[#This Row],[PROVEEDOR]],PROVEEDORES[FECHA DE PAGO],"")</f>
        <v>0</v>
      </c>
      <c r="E924" s="140"/>
      <c r="F924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924" s="127">
        <v>45251</v>
      </c>
      <c r="H924" s="123" t="s">
        <v>1865</v>
      </c>
      <c r="I924" s="127">
        <v>45190</v>
      </c>
      <c r="J924" s="124">
        <v>677</v>
      </c>
      <c r="K924" s="124" t="s">
        <v>1530</v>
      </c>
      <c r="L924" s="124"/>
      <c r="M924" s="125">
        <v>329080</v>
      </c>
      <c r="N924" s="148">
        <v>0</v>
      </c>
      <c r="O924" s="148">
        <v>0</v>
      </c>
      <c r="P924" s="149">
        <v>0</v>
      </c>
      <c r="Q924" s="148">
        <v>0</v>
      </c>
      <c r="R924" s="150">
        <v>329080</v>
      </c>
      <c r="S9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4" s="135">
        <f ca="1">+IF(PROVEEDORES[[#This Row],[FECHA DE PAGO]]=0,TODAY()-PROVEEDORES[[#This Row],[FECHA DE FACTURACIÓN]]-PROVEEDORES[[#This Row],[PLAZO Días]],0)</f>
        <v>0</v>
      </c>
      <c r="U924" s="135">
        <f>+VLOOKUP(PROVEEDORES[[#This Row],[PROVEEDOR]],Terceros!$A:$D,4,FALSE)</f>
        <v>0</v>
      </c>
      <c r="V924" s="135">
        <f>+YEAR(PROVEEDORES[[#This Row],[FECHA DE FACTURACIÓN]])</f>
        <v>2023</v>
      </c>
      <c r="W924" s="135">
        <f>+MATCH(PROVEEDORES[[#This Row],[año facturado]],Retenciones!$1:$1,0)</f>
        <v>6</v>
      </c>
      <c r="X924" s="136">
        <f>+VLOOKUP(PROVEEDORES[[#This Row],[ID RETENCION]],Retenciones!$A$1:$O$25,PROVEEDORES[[#This Row],[indicador de columna]],FALSE)</f>
        <v>0</v>
      </c>
      <c r="Y924" s="137">
        <f>+VLOOKUP(PROVEEDORES[[#This Row],[ID RETENCION]],Retenciones!$A$1:$O$25,2,FALSE)</f>
        <v>0</v>
      </c>
      <c r="Z924" s="126" t="b">
        <f>+OR(COUNTIF(PROVEEDORES[[#This Row],[PROVEEDOR]],"*"&amp;'Palabra que no opera y Listas d'!$A$2&amp;"*"))</f>
        <v>0</v>
      </c>
    </row>
    <row r="925" spans="1:26" ht="27.75" customHeight="1" x14ac:dyDescent="0.25">
      <c r="A925" s="141" t="str">
        <f>+IF(PROVEEDORES[[#This Row],[FECHA DE PAGO]]=PROVEEDORES[[#This Row],[FECHA DE FACTURACIÓN]],"DE CONTADO","CRÉDITO")</f>
        <v>CRÉDITO</v>
      </c>
      <c r="B925" s="138" t="str">
        <f>+IF((PROVEEDORES[[#This Row],[FECHA DE PAGO]]-PROVEEDORES[[#This Row],[FECHA DE FACTURACIÓN]])&gt;PROVEEDORES[[#This Row],[PLAZO Días]],"PAGO VENCIDO")</f>
        <v>PAGO VENCIDO</v>
      </c>
      <c r="C925" s="138">
        <f>+VLOOKUP(PROVEEDORES[[#This Row],[PROVEEDOR]],TERCEROS_INFO[#All],2,FALSE)</f>
        <v>30</v>
      </c>
      <c r="D925" s="139">
        <f>+SUMIFS(PROVEEDORES[Total],PROVEEDORES[PROVEEDOR],PROVEEDORES[[#This Row],[PROVEEDOR]],PROVEEDORES[FECHA DE PAGO],"")</f>
        <v>0</v>
      </c>
      <c r="E925" s="140"/>
      <c r="F925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925" s="127">
        <v>45251</v>
      </c>
      <c r="H925" s="123" t="s">
        <v>1865</v>
      </c>
      <c r="I925" s="127">
        <v>45190</v>
      </c>
      <c r="J925" s="124">
        <v>673</v>
      </c>
      <c r="K925" s="124" t="s">
        <v>1530</v>
      </c>
      <c r="L925" s="124"/>
      <c r="M925" s="125">
        <v>64581</v>
      </c>
      <c r="N925" s="148">
        <v>0</v>
      </c>
      <c r="O925" s="148">
        <v>0</v>
      </c>
      <c r="P925" s="149">
        <v>0</v>
      </c>
      <c r="Q925" s="148">
        <v>0</v>
      </c>
      <c r="R925" s="150">
        <v>64581</v>
      </c>
      <c r="S9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5" s="135">
        <f ca="1">+IF(PROVEEDORES[[#This Row],[FECHA DE PAGO]]=0,TODAY()-PROVEEDORES[[#This Row],[FECHA DE FACTURACIÓN]]-PROVEEDORES[[#This Row],[PLAZO Días]],0)</f>
        <v>0</v>
      </c>
      <c r="U925" s="135">
        <f>+VLOOKUP(PROVEEDORES[[#This Row],[PROVEEDOR]],Terceros!$A:$D,4,FALSE)</f>
        <v>0</v>
      </c>
      <c r="V925" s="135">
        <f>+YEAR(PROVEEDORES[[#This Row],[FECHA DE FACTURACIÓN]])</f>
        <v>2023</v>
      </c>
      <c r="W925" s="135">
        <f>+MATCH(PROVEEDORES[[#This Row],[año facturado]],Retenciones!$1:$1,0)</f>
        <v>6</v>
      </c>
      <c r="X925" s="136">
        <f>+VLOOKUP(PROVEEDORES[[#This Row],[ID RETENCION]],Retenciones!$A$1:$O$25,PROVEEDORES[[#This Row],[indicador de columna]],FALSE)</f>
        <v>0</v>
      </c>
      <c r="Y925" s="137">
        <f>+VLOOKUP(PROVEEDORES[[#This Row],[ID RETENCION]],Retenciones!$A$1:$O$25,2,FALSE)</f>
        <v>0</v>
      </c>
      <c r="Z925" s="126" t="b">
        <f>+OR(COUNTIF(PROVEEDORES[[#This Row],[PROVEEDOR]],"*"&amp;'Palabra que no opera y Listas d'!$A$2&amp;"*"))</f>
        <v>0</v>
      </c>
    </row>
    <row r="926" spans="1:26" ht="27.75" customHeight="1" x14ac:dyDescent="0.25">
      <c r="A926" s="141" t="str">
        <f>+IF(PROVEEDORES[[#This Row],[FECHA DE PAGO]]=PROVEEDORES[[#This Row],[FECHA DE FACTURACIÓN]],"DE CONTADO","CRÉDITO")</f>
        <v>CRÉDITO</v>
      </c>
      <c r="B926" s="138" t="str">
        <f>+IF((PROVEEDORES[[#This Row],[FECHA DE PAGO]]-PROVEEDORES[[#This Row],[FECHA DE FACTURACIÓN]])&gt;PROVEEDORES[[#This Row],[PLAZO Días]],"PAGO VENCIDO")</f>
        <v>PAGO VENCIDO</v>
      </c>
      <c r="C926" s="138">
        <f>+VLOOKUP(PROVEEDORES[[#This Row],[PROVEEDOR]],TERCEROS_INFO[#All],2,FALSE)</f>
        <v>30</v>
      </c>
      <c r="D926" s="139">
        <f>+SUMIFS(PROVEEDORES[Total],PROVEEDORES[PROVEEDOR],PROVEEDORES[[#This Row],[PROVEEDOR]],PROVEEDORES[FECHA DE PAGO],"")</f>
        <v>0</v>
      </c>
      <c r="E926" s="140"/>
      <c r="F926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926" s="127">
        <v>45251</v>
      </c>
      <c r="H926" s="123" t="s">
        <v>1865</v>
      </c>
      <c r="I926" s="127">
        <v>45190</v>
      </c>
      <c r="J926" s="124">
        <v>674</v>
      </c>
      <c r="K926" s="124" t="s">
        <v>1530</v>
      </c>
      <c r="L926" s="124"/>
      <c r="M926" s="125">
        <v>169907</v>
      </c>
      <c r="N926" s="148">
        <v>0</v>
      </c>
      <c r="O926" s="148">
        <v>0</v>
      </c>
      <c r="P926" s="149">
        <v>0</v>
      </c>
      <c r="Q926" s="148">
        <v>0</v>
      </c>
      <c r="R926" s="150">
        <v>169907</v>
      </c>
      <c r="S9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6" s="135">
        <f ca="1">+IF(PROVEEDORES[[#This Row],[FECHA DE PAGO]]=0,TODAY()-PROVEEDORES[[#This Row],[FECHA DE FACTURACIÓN]]-PROVEEDORES[[#This Row],[PLAZO Días]],0)</f>
        <v>0</v>
      </c>
      <c r="U926" s="135">
        <f>+VLOOKUP(PROVEEDORES[[#This Row],[PROVEEDOR]],Terceros!$A:$D,4,FALSE)</f>
        <v>0</v>
      </c>
      <c r="V926" s="135">
        <f>+YEAR(PROVEEDORES[[#This Row],[FECHA DE FACTURACIÓN]])</f>
        <v>2023</v>
      </c>
      <c r="W926" s="135">
        <f>+MATCH(PROVEEDORES[[#This Row],[año facturado]],Retenciones!$1:$1,0)</f>
        <v>6</v>
      </c>
      <c r="X926" s="136">
        <f>+VLOOKUP(PROVEEDORES[[#This Row],[ID RETENCION]],Retenciones!$A$1:$O$25,PROVEEDORES[[#This Row],[indicador de columna]],FALSE)</f>
        <v>0</v>
      </c>
      <c r="Y926" s="137">
        <f>+VLOOKUP(PROVEEDORES[[#This Row],[ID RETENCION]],Retenciones!$A$1:$O$25,2,FALSE)</f>
        <v>0</v>
      </c>
      <c r="Z926" s="126" t="b">
        <f>+OR(COUNTIF(PROVEEDORES[[#This Row],[PROVEEDOR]],"*"&amp;'Palabra que no opera y Listas d'!$A$2&amp;"*"))</f>
        <v>0</v>
      </c>
    </row>
    <row r="927" spans="1:26" ht="27.75" customHeight="1" x14ac:dyDescent="0.25">
      <c r="A927" s="141" t="str">
        <f>+IF(PROVEEDORES[[#This Row],[FECHA DE PAGO]]=PROVEEDORES[[#This Row],[FECHA DE FACTURACIÓN]],"DE CONTADO","CRÉDITO")</f>
        <v>CRÉDITO</v>
      </c>
      <c r="B927" s="138" t="str">
        <f>+IF((PROVEEDORES[[#This Row],[FECHA DE PAGO]]-PROVEEDORES[[#This Row],[FECHA DE FACTURACIÓN]])&gt;PROVEEDORES[[#This Row],[PLAZO Días]],"PAGO VENCIDO")</f>
        <v>PAGO VENCIDO</v>
      </c>
      <c r="C927" s="138">
        <f>+VLOOKUP(PROVEEDORES[[#This Row],[PROVEEDOR]],TERCEROS_INFO[#All],2,FALSE)</f>
        <v>30</v>
      </c>
      <c r="D927" s="139">
        <f>+SUMIFS(PROVEEDORES[Total],PROVEEDORES[PROVEEDOR],PROVEEDORES[[#This Row],[PROVEEDOR]],PROVEEDORES[FECHA DE PAGO],"")</f>
        <v>0</v>
      </c>
      <c r="E927" s="140"/>
      <c r="F927" s="13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927" s="127">
        <v>45251</v>
      </c>
      <c r="H927" s="123" t="s">
        <v>1802</v>
      </c>
      <c r="I927" s="127">
        <v>45195</v>
      </c>
      <c r="J927" s="124" t="s">
        <v>1105</v>
      </c>
      <c r="K927" s="124" t="s">
        <v>1530</v>
      </c>
      <c r="L927" s="124"/>
      <c r="M927" s="125">
        <v>4316750</v>
      </c>
      <c r="N927" s="148">
        <v>0</v>
      </c>
      <c r="O927" s="148">
        <v>0</v>
      </c>
      <c r="P927" s="149">
        <v>0</v>
      </c>
      <c r="Q927" s="148">
        <v>0</v>
      </c>
      <c r="R927" s="150">
        <v>4316750</v>
      </c>
      <c r="S9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7" s="135">
        <f ca="1">+IF(PROVEEDORES[[#This Row],[FECHA DE PAGO]]=0,TODAY()-PROVEEDORES[[#This Row],[FECHA DE FACTURACIÓN]]-PROVEEDORES[[#This Row],[PLAZO Días]],0)</f>
        <v>0</v>
      </c>
      <c r="U927" s="135">
        <f>+VLOOKUP(PROVEEDORES[[#This Row],[PROVEEDOR]],Terceros!$A:$D,4,FALSE)</f>
        <v>0</v>
      </c>
      <c r="V927" s="135">
        <f>+YEAR(PROVEEDORES[[#This Row],[FECHA DE FACTURACIÓN]])</f>
        <v>2023</v>
      </c>
      <c r="W927" s="135">
        <f>+MATCH(PROVEEDORES[[#This Row],[año facturado]],Retenciones!$1:$1,0)</f>
        <v>6</v>
      </c>
      <c r="X927" s="136">
        <f>+VLOOKUP(PROVEEDORES[[#This Row],[ID RETENCION]],Retenciones!$A$1:$O$25,PROVEEDORES[[#This Row],[indicador de columna]],FALSE)</f>
        <v>0</v>
      </c>
      <c r="Y927" s="137">
        <f>+VLOOKUP(PROVEEDORES[[#This Row],[ID RETENCION]],Retenciones!$A$1:$O$25,2,FALSE)</f>
        <v>0</v>
      </c>
      <c r="Z927" s="126" t="b">
        <f>+OR(COUNTIF(PROVEEDORES[[#This Row],[PROVEEDOR]],"*"&amp;'Palabra que no opera y Listas d'!$A$2&amp;"*"))</f>
        <v>0</v>
      </c>
    </row>
    <row r="928" spans="1:26" ht="27.75" customHeight="1" x14ac:dyDescent="0.25">
      <c r="A928" s="141" t="str">
        <f>+IF(PROVEEDORES[[#This Row],[FECHA DE PAGO]]=PROVEEDORES[[#This Row],[FECHA DE FACTURACIÓN]],"DE CONTADO","CRÉDITO")</f>
        <v>CRÉDITO</v>
      </c>
      <c r="B928" s="138" t="str">
        <f>+IF((PROVEEDORES[[#This Row],[FECHA DE PAGO]]-PROVEEDORES[[#This Row],[FECHA DE FACTURACIÓN]])&gt;PROVEEDORES[[#This Row],[PLAZO Días]],"PAGO VENCIDO")</f>
        <v>PAGO VENCIDO</v>
      </c>
      <c r="C928" s="138">
        <f>+VLOOKUP(PROVEEDORES[[#This Row],[PROVEEDOR]],TERCEROS_INFO[#All],2,FALSE)</f>
        <v>30</v>
      </c>
      <c r="D928" s="139">
        <f>+SUMIFS(PROVEEDORES[Total],PROVEEDORES[PROVEEDOR],PROVEEDORES[[#This Row],[PROVEEDOR]],PROVEEDORES[FECHA DE PAGO],"")</f>
        <v>0</v>
      </c>
      <c r="E928" s="140"/>
      <c r="F928" s="13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928" s="127">
        <v>45251</v>
      </c>
      <c r="H928" s="123" t="s">
        <v>43</v>
      </c>
      <c r="I928" s="127">
        <v>45196</v>
      </c>
      <c r="J928" s="124" t="s">
        <v>1091</v>
      </c>
      <c r="K928" s="124" t="s">
        <v>1530</v>
      </c>
      <c r="L928" s="124"/>
      <c r="M928" s="125">
        <v>3669700</v>
      </c>
      <c r="N928" s="148">
        <v>697243</v>
      </c>
      <c r="O928" s="148">
        <v>0</v>
      </c>
      <c r="P928" s="149">
        <v>2.5000000000000001E-2</v>
      </c>
      <c r="Q928" s="148">
        <v>91742.5</v>
      </c>
      <c r="R928" s="150">
        <v>4275200.5</v>
      </c>
      <c r="S9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8" s="135">
        <f ca="1">+IF(PROVEEDORES[[#This Row],[FECHA DE PAGO]]=0,TODAY()-PROVEEDORES[[#This Row],[FECHA DE FACTURACIÓN]]-PROVEEDORES[[#This Row],[PLAZO Días]],0)</f>
        <v>0</v>
      </c>
      <c r="U928" s="135" t="str">
        <f>+VLOOKUP(PROVEEDORES[[#This Row],[PROVEEDOR]],Terceros!$A:$D,4,FALSE)</f>
        <v>2,5% con base</v>
      </c>
      <c r="V928" s="135">
        <f>+YEAR(PROVEEDORES[[#This Row],[FECHA DE FACTURACIÓN]])</f>
        <v>2023</v>
      </c>
      <c r="W928" s="135">
        <f>+MATCH(PROVEEDORES[[#This Row],[año facturado]],Retenciones!$1:$1,0)</f>
        <v>6</v>
      </c>
      <c r="X928" s="136">
        <f>+VLOOKUP(PROVEEDORES[[#This Row],[ID RETENCION]],Retenciones!$A$1:$O$25,PROVEEDORES[[#This Row],[indicador de columna]],FALSE)</f>
        <v>1145000</v>
      </c>
      <c r="Y928" s="137">
        <f>+VLOOKUP(PROVEEDORES[[#This Row],[ID RETENCION]],Retenciones!$A$1:$O$25,2,FALSE)</f>
        <v>2.5000000000000001E-2</v>
      </c>
      <c r="Z928" s="126" t="b">
        <f>+OR(COUNTIF(PROVEEDORES[[#This Row],[PROVEEDOR]],"*"&amp;'Palabra que no opera y Listas d'!$A$2&amp;"*"))</f>
        <v>0</v>
      </c>
    </row>
    <row r="929" spans="1:26" ht="27.75" customHeight="1" x14ac:dyDescent="0.25">
      <c r="A929" s="141" t="str">
        <f>+IF(PROVEEDORES[[#This Row],[FECHA DE PAGO]]=PROVEEDORES[[#This Row],[FECHA DE FACTURACIÓN]],"DE CONTADO","CRÉDITO")</f>
        <v>CRÉDITO</v>
      </c>
      <c r="B929" s="138" t="str">
        <f>+IF((PROVEEDORES[[#This Row],[FECHA DE PAGO]]-PROVEEDORES[[#This Row],[FECHA DE FACTURACIÓN]])&gt;PROVEEDORES[[#This Row],[PLAZO Días]],"PAGO VENCIDO")</f>
        <v>PAGO VENCIDO</v>
      </c>
      <c r="C929" s="138">
        <f>+VLOOKUP(PROVEEDORES[[#This Row],[PROVEEDOR]],TERCEROS_INFO[#All],2,FALSE)</f>
        <v>30</v>
      </c>
      <c r="D929" s="139">
        <f>+SUMIFS(PROVEEDORES[Total],PROVEEDORES[PROVEEDOR],PROVEEDORES[[#This Row],[PROVEEDOR]],PROVEEDORES[FECHA DE PAGO],"")</f>
        <v>0</v>
      </c>
      <c r="E929" s="140"/>
      <c r="F929" s="138" t="str">
        <f>+VLOOKUP(PROVEEDORES[[#This Row],[PROVEEDOR]],
                       Terceros!$A:$F,
                       5,
                       FALSE)</f>
        <v>jarlysas@gmail.com;o.clockinternational@gmail.com;girlesa.ruiz@servipilas.com;joriescobar64@gmail.com</v>
      </c>
      <c r="G929" s="127">
        <v>45251</v>
      </c>
      <c r="H929" s="123" t="s">
        <v>193</v>
      </c>
      <c r="I929" s="127">
        <v>45197</v>
      </c>
      <c r="J929" s="124" t="s">
        <v>1090</v>
      </c>
      <c r="K929" s="124" t="s">
        <v>1530</v>
      </c>
      <c r="L929" s="124"/>
      <c r="M929" s="125">
        <v>2637500</v>
      </c>
      <c r="N929" s="148">
        <v>501125</v>
      </c>
      <c r="O929" s="148">
        <v>0</v>
      </c>
      <c r="P929" s="149">
        <v>2.5000000000000001E-2</v>
      </c>
      <c r="Q929" s="148">
        <v>65937.5</v>
      </c>
      <c r="R929" s="150">
        <v>3072687.5</v>
      </c>
      <c r="S9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29" s="135">
        <f ca="1">+IF(PROVEEDORES[[#This Row],[FECHA DE PAGO]]=0,TODAY()-PROVEEDORES[[#This Row],[FECHA DE FACTURACIÓN]]-PROVEEDORES[[#This Row],[PLAZO Días]],0)</f>
        <v>0</v>
      </c>
      <c r="U929" s="135" t="str">
        <f>+VLOOKUP(PROVEEDORES[[#This Row],[PROVEEDOR]],Terceros!$A:$D,4,FALSE)</f>
        <v>2,5% con base</v>
      </c>
      <c r="V929" s="135">
        <f>+YEAR(PROVEEDORES[[#This Row],[FECHA DE FACTURACIÓN]])</f>
        <v>2023</v>
      </c>
      <c r="W929" s="135">
        <f>+MATCH(PROVEEDORES[[#This Row],[año facturado]],Retenciones!$1:$1,0)</f>
        <v>6</v>
      </c>
      <c r="X929" s="136">
        <f>+VLOOKUP(PROVEEDORES[[#This Row],[ID RETENCION]],Retenciones!$A$1:$O$25,PROVEEDORES[[#This Row],[indicador de columna]],FALSE)</f>
        <v>1145000</v>
      </c>
      <c r="Y929" s="137">
        <f>+VLOOKUP(PROVEEDORES[[#This Row],[ID RETENCION]],Retenciones!$A$1:$O$25,2,FALSE)</f>
        <v>2.5000000000000001E-2</v>
      </c>
      <c r="Z929" s="126" t="b">
        <f>+OR(COUNTIF(PROVEEDORES[[#This Row],[PROVEEDOR]],"*"&amp;'Palabra que no opera y Listas d'!$A$2&amp;"*"))</f>
        <v>0</v>
      </c>
    </row>
    <row r="930" spans="1:26" ht="27.75" customHeight="1" x14ac:dyDescent="0.25">
      <c r="A930" s="141" t="str">
        <f>+IF(PROVEEDORES[[#This Row],[FECHA DE PAGO]]=PROVEEDORES[[#This Row],[FECHA DE FACTURACIÓN]],"DE CONTADO","CRÉDITO")</f>
        <v>CRÉDITO</v>
      </c>
      <c r="B930" s="138" t="str">
        <f>+IF((PROVEEDORES[[#This Row],[FECHA DE PAGO]]-PROVEEDORES[[#This Row],[FECHA DE FACTURACIÓN]])&gt;PROVEEDORES[[#This Row],[PLAZO Días]],"PAGO VENCIDO")</f>
        <v>PAGO VENCIDO</v>
      </c>
      <c r="C930" s="138">
        <f>+VLOOKUP(PROVEEDORES[[#This Row],[PROVEEDOR]],TERCEROS_INFO[#All],2,FALSE)</f>
        <v>45</v>
      </c>
      <c r="D930" s="139">
        <f>+SUMIFS(PROVEEDORES[Total],PROVEEDORES[PROVEEDOR],PROVEEDORES[[#This Row],[PROVEEDOR]],PROVEEDORES[FECHA DE PAGO],"")</f>
        <v>22186260.039999999</v>
      </c>
      <c r="E930" s="140"/>
      <c r="F930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30" s="127">
        <v>45251</v>
      </c>
      <c r="H930" s="123" t="s">
        <v>19</v>
      </c>
      <c r="I930" s="127">
        <v>45197</v>
      </c>
      <c r="J930" s="124" t="s">
        <v>1074</v>
      </c>
      <c r="K930" s="124" t="s">
        <v>1530</v>
      </c>
      <c r="L930" s="124"/>
      <c r="M930" s="125">
        <v>12678160</v>
      </c>
      <c r="N930" s="148">
        <v>2408850.4</v>
      </c>
      <c r="O930" s="148">
        <v>0</v>
      </c>
      <c r="P930" s="149">
        <v>0</v>
      </c>
      <c r="Q930" s="148">
        <v>0</v>
      </c>
      <c r="R930" s="150">
        <v>15087010.4</v>
      </c>
      <c r="S9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0" s="135">
        <f ca="1">+IF(PROVEEDORES[[#This Row],[FECHA DE PAGO]]=0,TODAY()-PROVEEDORES[[#This Row],[FECHA DE FACTURACIÓN]]-PROVEEDORES[[#This Row],[PLAZO Días]],0)</f>
        <v>0</v>
      </c>
      <c r="U930" s="135">
        <f>+VLOOKUP(PROVEEDORES[[#This Row],[PROVEEDOR]],Terceros!$A:$D,4,FALSE)</f>
        <v>0</v>
      </c>
      <c r="V930" s="135">
        <f>+YEAR(PROVEEDORES[[#This Row],[FECHA DE FACTURACIÓN]])</f>
        <v>2023</v>
      </c>
      <c r="W930" s="135">
        <f>+MATCH(PROVEEDORES[[#This Row],[año facturado]],Retenciones!$1:$1,0)</f>
        <v>6</v>
      </c>
      <c r="X930" s="136">
        <f>+VLOOKUP(PROVEEDORES[[#This Row],[ID RETENCION]],Retenciones!$A$1:$O$25,PROVEEDORES[[#This Row],[indicador de columna]],FALSE)</f>
        <v>0</v>
      </c>
      <c r="Y930" s="137">
        <f>+VLOOKUP(PROVEEDORES[[#This Row],[ID RETENCION]],Retenciones!$A$1:$O$25,2,FALSE)</f>
        <v>0</v>
      </c>
      <c r="Z930" s="126" t="b">
        <f>+OR(COUNTIF(PROVEEDORES[[#This Row],[PROVEEDOR]],"*"&amp;'Palabra que no opera y Listas d'!$A$2&amp;"*"))</f>
        <v>0</v>
      </c>
    </row>
    <row r="931" spans="1:26" ht="27.75" customHeight="1" x14ac:dyDescent="0.25">
      <c r="A931" s="141" t="str">
        <f>+IF(PROVEEDORES[[#This Row],[FECHA DE PAGO]]=PROVEEDORES[[#This Row],[FECHA DE FACTURACIÓN]],"DE CONTADO","CRÉDITO")</f>
        <v>CRÉDITO</v>
      </c>
      <c r="B931" s="138" t="str">
        <f>+IF((PROVEEDORES[[#This Row],[FECHA DE PAGO]]-PROVEEDORES[[#This Row],[FECHA DE FACTURACIÓN]])&gt;PROVEEDORES[[#This Row],[PLAZO Días]],"PAGO VENCIDO")</f>
        <v>PAGO VENCIDO</v>
      </c>
      <c r="C931" s="138">
        <f>+VLOOKUP(PROVEEDORES[[#This Row],[PROVEEDOR]],TERCEROS_INFO[#All],2,FALSE)</f>
        <v>30</v>
      </c>
      <c r="D931" s="139">
        <f>+SUMIFS(PROVEEDORES[Total],PROVEEDORES[PROVEEDOR],PROVEEDORES[[#This Row],[PROVEEDOR]],PROVEEDORES[FECHA DE PAGO],"")</f>
        <v>0</v>
      </c>
      <c r="E931" s="140"/>
      <c r="F931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931" s="127">
        <v>45251</v>
      </c>
      <c r="H931" s="123" t="s">
        <v>1865</v>
      </c>
      <c r="I931" s="127">
        <v>45198</v>
      </c>
      <c r="J931" s="124" t="s">
        <v>1078</v>
      </c>
      <c r="K931" s="124" t="s">
        <v>1530</v>
      </c>
      <c r="L931" s="124"/>
      <c r="M931" s="125">
        <v>287350</v>
      </c>
      <c r="N931" s="148">
        <v>0</v>
      </c>
      <c r="O931" s="148">
        <v>0</v>
      </c>
      <c r="P931" s="149">
        <v>0</v>
      </c>
      <c r="Q931" s="148">
        <v>0</v>
      </c>
      <c r="R931" s="150">
        <v>287350</v>
      </c>
      <c r="S9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1" s="135">
        <f ca="1">+IF(PROVEEDORES[[#This Row],[FECHA DE PAGO]]=0,TODAY()-PROVEEDORES[[#This Row],[FECHA DE FACTURACIÓN]]-PROVEEDORES[[#This Row],[PLAZO Días]],0)</f>
        <v>0</v>
      </c>
      <c r="U931" s="135">
        <f>+VLOOKUP(PROVEEDORES[[#This Row],[PROVEEDOR]],Terceros!$A:$D,4,FALSE)</f>
        <v>0</v>
      </c>
      <c r="V931" s="135">
        <f>+YEAR(PROVEEDORES[[#This Row],[FECHA DE FACTURACIÓN]])</f>
        <v>2023</v>
      </c>
      <c r="W931" s="135">
        <f>+MATCH(PROVEEDORES[[#This Row],[año facturado]],Retenciones!$1:$1,0)</f>
        <v>6</v>
      </c>
      <c r="X931" s="136">
        <f>+VLOOKUP(PROVEEDORES[[#This Row],[ID RETENCION]],Retenciones!$A$1:$O$25,PROVEEDORES[[#This Row],[indicador de columna]],FALSE)</f>
        <v>0</v>
      </c>
      <c r="Y931" s="137">
        <f>+VLOOKUP(PROVEEDORES[[#This Row],[ID RETENCION]],Retenciones!$A$1:$O$25,2,FALSE)</f>
        <v>0</v>
      </c>
      <c r="Z931" s="126" t="b">
        <f>+OR(COUNTIF(PROVEEDORES[[#This Row],[PROVEEDOR]],"*"&amp;'Palabra que no opera y Listas d'!$A$2&amp;"*"))</f>
        <v>0</v>
      </c>
    </row>
    <row r="932" spans="1:26" ht="27.75" customHeight="1" x14ac:dyDescent="0.25">
      <c r="A932" s="141" t="str">
        <f>+IF(PROVEEDORES[[#This Row],[FECHA DE PAGO]]=PROVEEDORES[[#This Row],[FECHA DE FACTURACIÓN]],"DE CONTADO","CRÉDITO")</f>
        <v>CRÉDITO</v>
      </c>
      <c r="B932" s="138" t="str">
        <f>+IF((PROVEEDORES[[#This Row],[FECHA DE PAGO]]-PROVEEDORES[[#This Row],[FECHA DE FACTURACIÓN]])&gt;PROVEEDORES[[#This Row],[PLAZO Días]],"PAGO VENCIDO")</f>
        <v>PAGO VENCIDO</v>
      </c>
      <c r="C932" s="138">
        <f>+VLOOKUP(PROVEEDORES[[#This Row],[PROVEEDOR]],TERCEROS_INFO[#All],2,FALSE)</f>
        <v>30</v>
      </c>
      <c r="D932" s="139">
        <f>+SUMIFS(PROVEEDORES[Total],PROVEEDORES[PROVEEDOR],PROVEEDORES[[#This Row],[PROVEEDOR]],PROVEEDORES[FECHA DE PAGO],"")</f>
        <v>0</v>
      </c>
      <c r="E932" s="140"/>
      <c r="F932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932" s="127">
        <v>45251</v>
      </c>
      <c r="H932" s="123" t="s">
        <v>1865</v>
      </c>
      <c r="I932" s="127">
        <v>45198</v>
      </c>
      <c r="J932" s="124" t="s">
        <v>1080</v>
      </c>
      <c r="K932" s="124" t="s">
        <v>1530</v>
      </c>
      <c r="L932" s="124"/>
      <c r="M932" s="125">
        <v>7823</v>
      </c>
      <c r="N932" s="148">
        <v>0</v>
      </c>
      <c r="O932" s="148">
        <v>0</v>
      </c>
      <c r="P932" s="149">
        <v>0</v>
      </c>
      <c r="Q932" s="148">
        <v>0</v>
      </c>
      <c r="R932" s="150">
        <v>7823</v>
      </c>
      <c r="S9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2" s="135">
        <f ca="1">+IF(PROVEEDORES[[#This Row],[FECHA DE PAGO]]=0,TODAY()-PROVEEDORES[[#This Row],[FECHA DE FACTURACIÓN]]-PROVEEDORES[[#This Row],[PLAZO Días]],0)</f>
        <v>0</v>
      </c>
      <c r="U932" s="135">
        <f>+VLOOKUP(PROVEEDORES[[#This Row],[PROVEEDOR]],Terceros!$A:$D,4,FALSE)</f>
        <v>0</v>
      </c>
      <c r="V932" s="135">
        <f>+YEAR(PROVEEDORES[[#This Row],[FECHA DE FACTURACIÓN]])</f>
        <v>2023</v>
      </c>
      <c r="W932" s="135">
        <f>+MATCH(PROVEEDORES[[#This Row],[año facturado]],Retenciones!$1:$1,0)</f>
        <v>6</v>
      </c>
      <c r="X932" s="136">
        <f>+VLOOKUP(PROVEEDORES[[#This Row],[ID RETENCION]],Retenciones!$A$1:$O$25,PROVEEDORES[[#This Row],[indicador de columna]],FALSE)</f>
        <v>0</v>
      </c>
      <c r="Y932" s="137">
        <f>+VLOOKUP(PROVEEDORES[[#This Row],[ID RETENCION]],Retenciones!$A$1:$O$25,2,FALSE)</f>
        <v>0</v>
      </c>
      <c r="Z932" s="126" t="b">
        <f>+OR(COUNTIF(PROVEEDORES[[#This Row],[PROVEEDOR]],"*"&amp;'Palabra que no opera y Listas d'!$A$2&amp;"*"))</f>
        <v>0</v>
      </c>
    </row>
    <row r="933" spans="1:26" ht="27.75" customHeight="1" x14ac:dyDescent="0.25">
      <c r="A933" s="141" t="str">
        <f>+IF(PROVEEDORES[[#This Row],[FECHA DE PAGO]]=PROVEEDORES[[#This Row],[FECHA DE FACTURACIÓN]],"DE CONTADO","CRÉDITO")</f>
        <v>CRÉDITO</v>
      </c>
      <c r="B933" s="138" t="str">
        <f>+IF((PROVEEDORES[[#This Row],[FECHA DE PAGO]]-PROVEEDORES[[#This Row],[FECHA DE FACTURACIÓN]])&gt;PROVEEDORES[[#This Row],[PLAZO Días]],"PAGO VENCIDO")</f>
        <v>PAGO VENCIDO</v>
      </c>
      <c r="C933" s="138">
        <f>+VLOOKUP(PROVEEDORES[[#This Row],[PROVEEDOR]],TERCEROS_INFO[#All],2,FALSE)</f>
        <v>45</v>
      </c>
      <c r="D933" s="139">
        <f>+SUMIFS(PROVEEDORES[Total],PROVEEDORES[PROVEEDOR],PROVEEDORES[[#This Row],[PROVEEDOR]],PROVEEDORES[FECHA DE PAGO],"")</f>
        <v>22186260.039999999</v>
      </c>
      <c r="E933" s="140"/>
      <c r="F933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33" s="127">
        <v>45251</v>
      </c>
      <c r="H933" s="123" t="s">
        <v>19</v>
      </c>
      <c r="I933" s="127">
        <v>45198</v>
      </c>
      <c r="J933" s="124" t="s">
        <v>1072</v>
      </c>
      <c r="K933" s="124" t="s">
        <v>1530</v>
      </c>
      <c r="L933" s="124"/>
      <c r="M933" s="125">
        <v>814720</v>
      </c>
      <c r="N933" s="148">
        <v>154796.79999999999</v>
      </c>
      <c r="O933" s="148">
        <v>0</v>
      </c>
      <c r="P933" s="149">
        <v>0</v>
      </c>
      <c r="Q933" s="148">
        <v>0</v>
      </c>
      <c r="R933" s="150">
        <v>969516.8</v>
      </c>
      <c r="S9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3" s="135">
        <f ca="1">+IF(PROVEEDORES[[#This Row],[FECHA DE PAGO]]=0,TODAY()-PROVEEDORES[[#This Row],[FECHA DE FACTURACIÓN]]-PROVEEDORES[[#This Row],[PLAZO Días]],0)</f>
        <v>0</v>
      </c>
      <c r="U933" s="135">
        <f>+VLOOKUP(PROVEEDORES[[#This Row],[PROVEEDOR]],Terceros!$A:$D,4,FALSE)</f>
        <v>0</v>
      </c>
      <c r="V933" s="135">
        <f>+YEAR(PROVEEDORES[[#This Row],[FECHA DE FACTURACIÓN]])</f>
        <v>2023</v>
      </c>
      <c r="W933" s="135">
        <f>+MATCH(PROVEEDORES[[#This Row],[año facturado]],Retenciones!$1:$1,0)</f>
        <v>6</v>
      </c>
      <c r="X933" s="136">
        <f>+VLOOKUP(PROVEEDORES[[#This Row],[ID RETENCION]],Retenciones!$A$1:$O$25,PROVEEDORES[[#This Row],[indicador de columna]],FALSE)</f>
        <v>0</v>
      </c>
      <c r="Y933" s="137">
        <f>+VLOOKUP(PROVEEDORES[[#This Row],[ID RETENCION]],Retenciones!$A$1:$O$25,2,FALSE)</f>
        <v>0</v>
      </c>
      <c r="Z933" s="126" t="b">
        <f>+OR(COUNTIF(PROVEEDORES[[#This Row],[PROVEEDOR]],"*"&amp;'Palabra que no opera y Listas d'!$A$2&amp;"*"))</f>
        <v>0</v>
      </c>
    </row>
    <row r="934" spans="1:26" ht="27.75" customHeight="1" x14ac:dyDescent="0.25">
      <c r="A934" s="141" t="str">
        <f>+IF(PROVEEDORES[[#This Row],[FECHA DE PAGO]]=PROVEEDORES[[#This Row],[FECHA DE FACTURACIÓN]],"DE CONTADO","CRÉDITO")</f>
        <v>CRÉDITO</v>
      </c>
      <c r="B934" s="138" t="str">
        <f>+IF((PROVEEDORES[[#This Row],[FECHA DE PAGO]]-PROVEEDORES[[#This Row],[FECHA DE FACTURACIÓN]])&gt;PROVEEDORES[[#This Row],[PLAZO Días]],"PAGO VENCIDO")</f>
        <v>PAGO VENCIDO</v>
      </c>
      <c r="C934" s="138">
        <f>+VLOOKUP(PROVEEDORES[[#This Row],[PROVEEDOR]],TERCEROS_INFO[#All],2,FALSE)</f>
        <v>30</v>
      </c>
      <c r="D934" s="139">
        <f>+SUMIFS(PROVEEDORES[Total],PROVEEDORES[PROVEEDOR],PROVEEDORES[[#This Row],[PROVEEDOR]],PROVEEDORES[FECHA DE PAGO],"")</f>
        <v>0</v>
      </c>
      <c r="E934" s="140"/>
      <c r="F934" s="13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934" s="127">
        <v>45251</v>
      </c>
      <c r="H934" s="123" t="s">
        <v>43</v>
      </c>
      <c r="I934" s="127">
        <v>45201</v>
      </c>
      <c r="J934" s="124" t="s">
        <v>1092</v>
      </c>
      <c r="K934" s="124" t="s">
        <v>1530</v>
      </c>
      <c r="L934" s="124"/>
      <c r="M934" s="125">
        <v>1664650</v>
      </c>
      <c r="N934" s="148">
        <v>316283.5</v>
      </c>
      <c r="O934" s="148">
        <v>0</v>
      </c>
      <c r="P934" s="149">
        <v>2.5000000000000001E-2</v>
      </c>
      <c r="Q934" s="148">
        <v>41616.25</v>
      </c>
      <c r="R934" s="150">
        <v>1939317.25</v>
      </c>
      <c r="S9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4" s="135">
        <f ca="1">+IF(PROVEEDORES[[#This Row],[FECHA DE PAGO]]=0,TODAY()-PROVEEDORES[[#This Row],[FECHA DE FACTURACIÓN]]-PROVEEDORES[[#This Row],[PLAZO Días]],0)</f>
        <v>0</v>
      </c>
      <c r="U934" s="135" t="str">
        <f>+VLOOKUP(PROVEEDORES[[#This Row],[PROVEEDOR]],Terceros!$A:$D,4,FALSE)</f>
        <v>2,5% con base</v>
      </c>
      <c r="V934" s="135">
        <f>+YEAR(PROVEEDORES[[#This Row],[FECHA DE FACTURACIÓN]])</f>
        <v>2023</v>
      </c>
      <c r="W934" s="135">
        <f>+MATCH(PROVEEDORES[[#This Row],[año facturado]],Retenciones!$1:$1,0)</f>
        <v>6</v>
      </c>
      <c r="X934" s="136">
        <f>+VLOOKUP(PROVEEDORES[[#This Row],[ID RETENCION]],Retenciones!$A$1:$O$25,PROVEEDORES[[#This Row],[indicador de columna]],FALSE)</f>
        <v>1145000</v>
      </c>
      <c r="Y934" s="137">
        <f>+VLOOKUP(PROVEEDORES[[#This Row],[ID RETENCION]],Retenciones!$A$1:$O$25,2,FALSE)</f>
        <v>2.5000000000000001E-2</v>
      </c>
      <c r="Z934" s="126" t="b">
        <f>+OR(COUNTIF(PROVEEDORES[[#This Row],[PROVEEDOR]],"*"&amp;'Palabra que no opera y Listas d'!$A$2&amp;"*"))</f>
        <v>0</v>
      </c>
    </row>
    <row r="935" spans="1:26" ht="27.75" customHeight="1" x14ac:dyDescent="0.25">
      <c r="A935" s="141" t="str">
        <f>+IF(PROVEEDORES[[#This Row],[FECHA DE PAGO]]=PROVEEDORES[[#This Row],[FECHA DE FACTURACIÓN]],"DE CONTADO","CRÉDITO")</f>
        <v>CRÉDITO</v>
      </c>
      <c r="B935" s="138" t="b">
        <f>+IF((PROVEEDORES[[#This Row],[FECHA DE PAGO]]-PROVEEDORES[[#This Row],[FECHA DE FACTURACIÓN]])&gt;PROVEEDORES[[#This Row],[PLAZO Días]],"PAGO VENCIDO")</f>
        <v>0</v>
      </c>
      <c r="C935" s="138">
        <f>+VLOOKUP(PROVEEDORES[[#This Row],[PROVEEDOR]],TERCEROS_INFO[#All],2,FALSE)</f>
        <v>60</v>
      </c>
      <c r="D935" s="139">
        <f>+SUMIFS(PROVEEDORES[Total],PROVEEDORES[PROVEEDOR],PROVEEDORES[[#This Row],[PROVEEDOR]],PROVEEDORES[FECHA DE PAGO],"")</f>
        <v>1730482</v>
      </c>
      <c r="E935" s="140"/>
      <c r="F935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35" s="127">
        <v>45251</v>
      </c>
      <c r="H935" s="123" t="s">
        <v>222</v>
      </c>
      <c r="I935" s="127">
        <v>45215</v>
      </c>
      <c r="J935" s="124">
        <v>1805</v>
      </c>
      <c r="K935" s="124" t="s">
        <v>1530</v>
      </c>
      <c r="L935" s="124"/>
      <c r="M935" s="125">
        <v>619200</v>
      </c>
      <c r="N935" s="148">
        <v>0</v>
      </c>
      <c r="O935" s="148">
        <v>0</v>
      </c>
      <c r="P935" s="149">
        <v>0</v>
      </c>
      <c r="Q935" s="148">
        <v>0</v>
      </c>
      <c r="R935" s="150">
        <v>619200</v>
      </c>
      <c r="S9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5" s="135">
        <f ca="1">+IF(PROVEEDORES[[#This Row],[FECHA DE PAGO]]=0,TODAY()-PROVEEDORES[[#This Row],[FECHA DE FACTURACIÓN]]-PROVEEDORES[[#This Row],[PLAZO Días]],0)</f>
        <v>0</v>
      </c>
      <c r="U935" s="135">
        <f>+VLOOKUP(PROVEEDORES[[#This Row],[PROVEEDOR]],Terceros!$A:$D,4,FALSE)</f>
        <v>0</v>
      </c>
      <c r="V935" s="135">
        <f>+YEAR(PROVEEDORES[[#This Row],[FECHA DE FACTURACIÓN]])</f>
        <v>2023</v>
      </c>
      <c r="W935" s="135">
        <f>+MATCH(PROVEEDORES[[#This Row],[año facturado]],Retenciones!$1:$1,0)</f>
        <v>6</v>
      </c>
      <c r="X935" s="136">
        <f>+VLOOKUP(PROVEEDORES[[#This Row],[ID RETENCION]],Retenciones!$A$1:$O$25,PROVEEDORES[[#This Row],[indicador de columna]],FALSE)</f>
        <v>0</v>
      </c>
      <c r="Y935" s="137">
        <f>+VLOOKUP(PROVEEDORES[[#This Row],[ID RETENCION]],Retenciones!$A$1:$O$25,2,FALSE)</f>
        <v>0</v>
      </c>
      <c r="Z935" s="126" t="b">
        <f>+OR(COUNTIF(PROVEEDORES[[#This Row],[PROVEEDOR]],"*"&amp;'Palabra que no opera y Listas d'!$A$2&amp;"*"))</f>
        <v>0</v>
      </c>
    </row>
    <row r="936" spans="1:26" ht="27.75" customHeight="1" x14ac:dyDescent="0.25">
      <c r="A936" s="141" t="str">
        <f>+IF(PROVEEDORES[[#This Row],[FECHA DE PAGO]]=PROVEEDORES[[#This Row],[FECHA DE FACTURACIÓN]],"DE CONTADO","CRÉDITO")</f>
        <v>CRÉDITO</v>
      </c>
      <c r="B936" s="138" t="str">
        <f>+IF((PROVEEDORES[[#This Row],[FECHA DE PAGO]]-PROVEEDORES[[#This Row],[FECHA DE FACTURACIÓN]])&gt;PROVEEDORES[[#This Row],[PLAZO Días]],"PAGO VENCIDO")</f>
        <v>PAGO VENCIDO</v>
      </c>
      <c r="C936" s="138">
        <f>+VLOOKUP(PROVEEDORES[[#This Row],[PROVEEDOR]],TERCEROS_INFO[#All],2,FALSE)</f>
        <v>30</v>
      </c>
      <c r="D936" s="139">
        <f>+SUMIFS(PROVEEDORES[Total],PROVEEDORES[PROVEEDOR],PROVEEDORES[[#This Row],[PROVEEDOR]],PROVEEDORES[FECHA DE PAGO],"")</f>
        <v>0</v>
      </c>
      <c r="E936" s="140"/>
      <c r="F936" s="13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936" s="127">
        <v>45251</v>
      </c>
      <c r="H936" s="123" t="s">
        <v>452</v>
      </c>
      <c r="I936" s="127">
        <v>45216</v>
      </c>
      <c r="J936" s="124" t="s">
        <v>1181</v>
      </c>
      <c r="K936" s="124" t="s">
        <v>1530</v>
      </c>
      <c r="L936" s="124"/>
      <c r="M936" s="125">
        <v>884121</v>
      </c>
      <c r="N936" s="148">
        <v>167982.99</v>
      </c>
      <c r="O936" s="148">
        <v>0</v>
      </c>
      <c r="P936" s="149">
        <v>0</v>
      </c>
      <c r="Q936" s="148">
        <v>0</v>
      </c>
      <c r="R936" s="150">
        <v>1052103.99</v>
      </c>
      <c r="S9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6" s="135">
        <f ca="1">+IF(PROVEEDORES[[#This Row],[FECHA DE PAGO]]=0,TODAY()-PROVEEDORES[[#This Row],[FECHA DE FACTURACIÓN]]-PROVEEDORES[[#This Row],[PLAZO Días]],0)</f>
        <v>0</v>
      </c>
      <c r="U936" s="135" t="str">
        <f>+VLOOKUP(PROVEEDORES[[#This Row],[PROVEEDOR]],Terceros!$A:$D,4,FALSE)</f>
        <v>2,5% con base</v>
      </c>
      <c r="V936" s="135">
        <f>+YEAR(PROVEEDORES[[#This Row],[FECHA DE FACTURACIÓN]])</f>
        <v>2023</v>
      </c>
      <c r="W936" s="135">
        <f>+MATCH(PROVEEDORES[[#This Row],[año facturado]],Retenciones!$1:$1,0)</f>
        <v>6</v>
      </c>
      <c r="X936" s="136">
        <f>+VLOOKUP(PROVEEDORES[[#This Row],[ID RETENCION]],Retenciones!$A$1:$O$25,PROVEEDORES[[#This Row],[indicador de columna]],FALSE)</f>
        <v>1145000</v>
      </c>
      <c r="Y936" s="137">
        <f>+VLOOKUP(PROVEEDORES[[#This Row],[ID RETENCION]],Retenciones!$A$1:$O$25,2,FALSE)</f>
        <v>2.5000000000000001E-2</v>
      </c>
      <c r="Z936" s="126" t="b">
        <f>+OR(COUNTIF(PROVEEDORES[[#This Row],[PROVEEDOR]],"*"&amp;'Palabra que no opera y Listas d'!$A$2&amp;"*"))</f>
        <v>0</v>
      </c>
    </row>
    <row r="937" spans="1:26" ht="27.75" customHeight="1" x14ac:dyDescent="0.25">
      <c r="A937" s="141" t="str">
        <f>+IF(PROVEEDORES[[#This Row],[FECHA DE PAGO]]=PROVEEDORES[[#This Row],[FECHA DE FACTURACIÓN]],"DE CONTADO","CRÉDITO")</f>
        <v>CRÉDITO</v>
      </c>
      <c r="B937" s="138" t="b">
        <f>+IF((PROVEEDORES[[#This Row],[FECHA DE PAGO]]-PROVEEDORES[[#This Row],[FECHA DE FACTURACIÓN]])&gt;PROVEEDORES[[#This Row],[PLAZO Días]],"PAGO VENCIDO")</f>
        <v>0</v>
      </c>
      <c r="C937" s="138">
        <f>+VLOOKUP(PROVEEDORES[[#This Row],[PROVEEDOR]],TERCEROS_INFO[#All],2,FALSE)</f>
        <v>60</v>
      </c>
      <c r="D937" s="139">
        <f>+SUMIFS(PROVEEDORES[Total],PROVEEDORES[PROVEEDOR],PROVEEDORES[[#This Row],[PROVEEDOR]],PROVEEDORES[FECHA DE PAGO],"")</f>
        <v>1730482</v>
      </c>
      <c r="E937" s="140"/>
      <c r="F937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37" s="127">
        <v>45251</v>
      </c>
      <c r="H937" s="123" t="s">
        <v>222</v>
      </c>
      <c r="I937" s="127">
        <v>45217</v>
      </c>
      <c r="J937" s="124">
        <v>1812</v>
      </c>
      <c r="K937" s="124" t="s">
        <v>1530</v>
      </c>
      <c r="L937" s="124"/>
      <c r="M937" s="125">
        <v>533200</v>
      </c>
      <c r="N937" s="148">
        <v>0</v>
      </c>
      <c r="O937" s="148">
        <v>0</v>
      </c>
      <c r="P937" s="149">
        <v>0</v>
      </c>
      <c r="Q937" s="148">
        <v>0</v>
      </c>
      <c r="R937" s="150">
        <v>533200</v>
      </c>
      <c r="S9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7" s="135">
        <f ca="1">+IF(PROVEEDORES[[#This Row],[FECHA DE PAGO]]=0,TODAY()-PROVEEDORES[[#This Row],[FECHA DE FACTURACIÓN]]-PROVEEDORES[[#This Row],[PLAZO Días]],0)</f>
        <v>0</v>
      </c>
      <c r="U937" s="135">
        <f>+VLOOKUP(PROVEEDORES[[#This Row],[PROVEEDOR]],Terceros!$A:$D,4,FALSE)</f>
        <v>0</v>
      </c>
      <c r="V937" s="135">
        <f>+YEAR(PROVEEDORES[[#This Row],[FECHA DE FACTURACIÓN]])</f>
        <v>2023</v>
      </c>
      <c r="W937" s="135">
        <f>+MATCH(PROVEEDORES[[#This Row],[año facturado]],Retenciones!$1:$1,0)</f>
        <v>6</v>
      </c>
      <c r="X937" s="136">
        <f>+VLOOKUP(PROVEEDORES[[#This Row],[ID RETENCION]],Retenciones!$A$1:$O$25,PROVEEDORES[[#This Row],[indicador de columna]],FALSE)</f>
        <v>0</v>
      </c>
      <c r="Y937" s="137">
        <f>+VLOOKUP(PROVEEDORES[[#This Row],[ID RETENCION]],Retenciones!$A$1:$O$25,2,FALSE)</f>
        <v>0</v>
      </c>
      <c r="Z937" s="126" t="b">
        <f>+OR(COUNTIF(PROVEEDORES[[#This Row],[PROVEEDOR]],"*"&amp;'Palabra que no opera y Listas d'!$A$2&amp;"*"))</f>
        <v>0</v>
      </c>
    </row>
    <row r="938" spans="1:26" ht="27.75" customHeight="1" x14ac:dyDescent="0.25">
      <c r="A938" s="141" t="str">
        <f>+IF(PROVEEDORES[[#This Row],[FECHA DE PAGO]]=PROVEEDORES[[#This Row],[FECHA DE FACTURACIÓN]],"DE CONTADO","CRÉDITO")</f>
        <v>CRÉDITO</v>
      </c>
      <c r="B938" s="138" t="b">
        <f>+IF((PROVEEDORES[[#This Row],[FECHA DE PAGO]]-PROVEEDORES[[#This Row],[FECHA DE FACTURACIÓN]])&gt;PROVEEDORES[[#This Row],[PLAZO Días]],"PAGO VENCIDO")</f>
        <v>0</v>
      </c>
      <c r="C938" s="138">
        <f>+VLOOKUP(PROVEEDORES[[#This Row],[PROVEEDOR]],TERCEROS_INFO[#All],2,FALSE)</f>
        <v>60</v>
      </c>
      <c r="D938" s="139">
        <f>+SUMIFS(PROVEEDORES[Total],PROVEEDORES[PROVEEDOR],PROVEEDORES[[#This Row],[PROVEEDOR]],PROVEEDORES[FECHA DE PAGO],"")</f>
        <v>1730482</v>
      </c>
      <c r="E938" s="140"/>
      <c r="F938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38" s="127">
        <v>45251</v>
      </c>
      <c r="H938" s="123" t="s">
        <v>222</v>
      </c>
      <c r="I938" s="127">
        <v>45226</v>
      </c>
      <c r="J938" s="124">
        <v>1814</v>
      </c>
      <c r="K938" s="124" t="s">
        <v>1530</v>
      </c>
      <c r="L938" s="124"/>
      <c r="M938" s="125">
        <v>430000</v>
      </c>
      <c r="N938" s="148">
        <v>0</v>
      </c>
      <c r="O938" s="148">
        <v>0</v>
      </c>
      <c r="P938" s="149">
        <v>0</v>
      </c>
      <c r="Q938" s="148">
        <v>0</v>
      </c>
      <c r="R938" s="150">
        <v>430000</v>
      </c>
      <c r="S9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8" s="135">
        <f ca="1">+IF(PROVEEDORES[[#This Row],[FECHA DE PAGO]]=0,TODAY()-PROVEEDORES[[#This Row],[FECHA DE FACTURACIÓN]]-PROVEEDORES[[#This Row],[PLAZO Días]],0)</f>
        <v>0</v>
      </c>
      <c r="U938" s="135">
        <f>+VLOOKUP(PROVEEDORES[[#This Row],[PROVEEDOR]],Terceros!$A:$D,4,FALSE)</f>
        <v>0</v>
      </c>
      <c r="V938" s="135">
        <f>+YEAR(PROVEEDORES[[#This Row],[FECHA DE FACTURACIÓN]])</f>
        <v>2023</v>
      </c>
      <c r="W938" s="135">
        <f>+MATCH(PROVEEDORES[[#This Row],[año facturado]],Retenciones!$1:$1,0)</f>
        <v>6</v>
      </c>
      <c r="X938" s="136">
        <f>+VLOOKUP(PROVEEDORES[[#This Row],[ID RETENCION]],Retenciones!$A$1:$O$25,PROVEEDORES[[#This Row],[indicador de columna]],FALSE)</f>
        <v>0</v>
      </c>
      <c r="Y938" s="137">
        <f>+VLOOKUP(PROVEEDORES[[#This Row],[ID RETENCION]],Retenciones!$A$1:$O$25,2,FALSE)</f>
        <v>0</v>
      </c>
      <c r="Z938" s="126" t="b">
        <f>+OR(COUNTIF(PROVEEDORES[[#This Row],[PROVEEDOR]],"*"&amp;'Palabra que no opera y Listas d'!$A$2&amp;"*"))</f>
        <v>0</v>
      </c>
    </row>
    <row r="939" spans="1:26" ht="27.75" customHeight="1" x14ac:dyDescent="0.25">
      <c r="A939" s="141" t="str">
        <f>+IF(PROVEEDORES[[#This Row],[FECHA DE PAGO]]=PROVEEDORES[[#This Row],[FECHA DE FACTURACIÓN]],"DE CONTADO","CRÉDITO")</f>
        <v>CRÉDITO</v>
      </c>
      <c r="B939" s="138" t="b">
        <f>+IF((PROVEEDORES[[#This Row],[FECHA DE PAGO]]-PROVEEDORES[[#This Row],[FECHA DE FACTURACIÓN]])&gt;PROVEEDORES[[#This Row],[PLAZO Días]],"PAGO VENCIDO")</f>
        <v>0</v>
      </c>
      <c r="C939" s="138">
        <f>+VLOOKUP(PROVEEDORES[[#This Row],[PROVEEDOR]],TERCEROS_INFO[#All],2,FALSE)</f>
        <v>45</v>
      </c>
      <c r="D939" s="139">
        <f>+SUMIFS(PROVEEDORES[Total],PROVEEDORES[PROVEEDOR],PROVEEDORES[[#This Row],[PROVEEDOR]],PROVEEDORES[FECHA DE PAGO],"")</f>
        <v>0</v>
      </c>
      <c r="E939" s="140"/>
      <c r="F939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39" s="127">
        <v>45251</v>
      </c>
      <c r="H939" s="123" t="s">
        <v>224</v>
      </c>
      <c r="I939" s="127">
        <v>45230</v>
      </c>
      <c r="J939" s="124">
        <v>1819</v>
      </c>
      <c r="K939" s="124" t="s">
        <v>1530</v>
      </c>
      <c r="L939" s="124"/>
      <c r="M939" s="125">
        <v>3074500</v>
      </c>
      <c r="N939" s="148">
        <v>0</v>
      </c>
      <c r="O939" s="148">
        <v>0</v>
      </c>
      <c r="P939" s="149">
        <v>0</v>
      </c>
      <c r="Q939" s="148">
        <v>0</v>
      </c>
      <c r="R939" s="150">
        <v>3074500</v>
      </c>
      <c r="S9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39" s="135">
        <f ca="1">+IF(PROVEEDORES[[#This Row],[FECHA DE PAGO]]=0,TODAY()-PROVEEDORES[[#This Row],[FECHA DE FACTURACIÓN]]-PROVEEDORES[[#This Row],[PLAZO Días]],0)</f>
        <v>0</v>
      </c>
      <c r="U939" s="135">
        <f>+VLOOKUP(PROVEEDORES[[#This Row],[PROVEEDOR]],Terceros!$A:$D,4,FALSE)</f>
        <v>0</v>
      </c>
      <c r="V939" s="135">
        <f>+YEAR(PROVEEDORES[[#This Row],[FECHA DE FACTURACIÓN]])</f>
        <v>2023</v>
      </c>
      <c r="W939" s="135">
        <f>+MATCH(PROVEEDORES[[#This Row],[año facturado]],Retenciones!$1:$1,0)</f>
        <v>6</v>
      </c>
      <c r="X939" s="136">
        <f>+VLOOKUP(PROVEEDORES[[#This Row],[ID RETENCION]],Retenciones!$A$1:$O$25,PROVEEDORES[[#This Row],[indicador de columna]],FALSE)</f>
        <v>0</v>
      </c>
      <c r="Y939" s="137">
        <f>+VLOOKUP(PROVEEDORES[[#This Row],[ID RETENCION]],Retenciones!$A$1:$O$25,2,FALSE)</f>
        <v>0</v>
      </c>
      <c r="Z939" s="126" t="b">
        <f>+OR(COUNTIF(PROVEEDORES[[#This Row],[PROVEEDOR]],"*"&amp;'Palabra que no opera y Listas d'!$A$2&amp;"*"))</f>
        <v>0</v>
      </c>
    </row>
    <row r="940" spans="1:26" ht="27.75" customHeight="1" x14ac:dyDescent="0.25">
      <c r="A940" s="141" t="str">
        <f>+IF(PROVEEDORES[[#This Row],[FECHA DE PAGO]]=PROVEEDORES[[#This Row],[FECHA DE FACTURACIÓN]],"DE CONTADO","CRÉDITO")</f>
        <v>CRÉDITO</v>
      </c>
      <c r="B940" s="138" t="b">
        <f>+IF((PROVEEDORES[[#This Row],[FECHA DE PAGO]]-PROVEEDORES[[#This Row],[FECHA DE FACTURACIÓN]])&gt;PROVEEDORES[[#This Row],[PLAZO Días]],"PAGO VENCIDO")</f>
        <v>0</v>
      </c>
      <c r="C940" s="138">
        <f>+VLOOKUP(PROVEEDORES[[#This Row],[PROVEEDOR]],TERCEROS_INFO[#All],2,FALSE)</f>
        <v>60</v>
      </c>
      <c r="D940" s="139">
        <f>+SUMIFS(PROVEEDORES[Total],PROVEEDORES[PROVEEDOR],PROVEEDORES[[#This Row],[PROVEEDOR]],PROVEEDORES[FECHA DE PAGO],"")</f>
        <v>1730482</v>
      </c>
      <c r="E940" s="140"/>
      <c r="F940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40" s="127">
        <v>45251</v>
      </c>
      <c r="H940" s="123" t="s">
        <v>222</v>
      </c>
      <c r="I940" s="127">
        <v>45233</v>
      </c>
      <c r="J940" s="124">
        <v>1822</v>
      </c>
      <c r="K940" s="124" t="s">
        <v>1530</v>
      </c>
      <c r="L940" s="124"/>
      <c r="M940" s="125">
        <v>344000</v>
      </c>
      <c r="N940" s="148">
        <v>0</v>
      </c>
      <c r="O940" s="148">
        <v>0</v>
      </c>
      <c r="P940" s="149">
        <v>0</v>
      </c>
      <c r="Q940" s="148">
        <v>0</v>
      </c>
      <c r="R940" s="150">
        <v>344000</v>
      </c>
      <c r="S9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0" s="135">
        <f ca="1">+IF(PROVEEDORES[[#This Row],[FECHA DE PAGO]]=0,TODAY()-PROVEEDORES[[#This Row],[FECHA DE FACTURACIÓN]]-PROVEEDORES[[#This Row],[PLAZO Días]],0)</f>
        <v>0</v>
      </c>
      <c r="U940" s="135">
        <f>+VLOOKUP(PROVEEDORES[[#This Row],[PROVEEDOR]],Terceros!$A:$D,4,FALSE)</f>
        <v>0</v>
      </c>
      <c r="V940" s="135">
        <f>+YEAR(PROVEEDORES[[#This Row],[FECHA DE FACTURACIÓN]])</f>
        <v>2023</v>
      </c>
      <c r="W940" s="135">
        <f>+MATCH(PROVEEDORES[[#This Row],[año facturado]],Retenciones!$1:$1,0)</f>
        <v>6</v>
      </c>
      <c r="X940" s="136">
        <f>+VLOOKUP(PROVEEDORES[[#This Row],[ID RETENCION]],Retenciones!$A$1:$O$25,PROVEEDORES[[#This Row],[indicador de columna]],FALSE)</f>
        <v>0</v>
      </c>
      <c r="Y940" s="137">
        <f>+VLOOKUP(PROVEEDORES[[#This Row],[ID RETENCION]],Retenciones!$A$1:$O$25,2,FALSE)</f>
        <v>0</v>
      </c>
      <c r="Z940" s="126" t="b">
        <f>+OR(COUNTIF(PROVEEDORES[[#This Row],[PROVEEDOR]],"*"&amp;'Palabra que no opera y Listas d'!$A$2&amp;"*"))</f>
        <v>0</v>
      </c>
    </row>
    <row r="941" spans="1:26" ht="27.75" customHeight="1" x14ac:dyDescent="0.25">
      <c r="A941" s="141" t="str">
        <f>+IF(PROVEEDORES[[#This Row],[FECHA DE PAGO]]=PROVEEDORES[[#This Row],[FECHA DE FACTURACIÓN]],"DE CONTADO","CRÉDITO")</f>
        <v>CRÉDITO</v>
      </c>
      <c r="B941" s="138" t="b">
        <f>+IF((PROVEEDORES[[#This Row],[FECHA DE PAGO]]-PROVEEDORES[[#This Row],[FECHA DE FACTURACIÓN]])&gt;PROVEEDORES[[#This Row],[PLAZO Días]],"PAGO VENCIDO")</f>
        <v>0</v>
      </c>
      <c r="C941" s="138">
        <f>+VLOOKUP(PROVEEDORES[[#This Row],[PROVEEDOR]],TERCEROS_INFO[#All],2,FALSE)</f>
        <v>60</v>
      </c>
      <c r="D941" s="139">
        <f>+SUMIFS(PROVEEDORES[Total],PROVEEDORES[PROVEEDOR],PROVEEDORES[[#This Row],[PROVEEDOR]],PROVEEDORES[FECHA DE PAGO],"")</f>
        <v>1730482</v>
      </c>
      <c r="E941" s="140"/>
      <c r="F941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41" s="127">
        <v>45251</v>
      </c>
      <c r="H941" s="123" t="s">
        <v>222</v>
      </c>
      <c r="I941" s="127">
        <v>45233</v>
      </c>
      <c r="J941" s="124">
        <v>1826</v>
      </c>
      <c r="K941" s="124" t="s">
        <v>1530</v>
      </c>
      <c r="L941" s="124"/>
      <c r="M941" s="125">
        <v>395600</v>
      </c>
      <c r="N941" s="148">
        <v>0</v>
      </c>
      <c r="O941" s="148">
        <v>0</v>
      </c>
      <c r="P941" s="149">
        <v>0</v>
      </c>
      <c r="Q941" s="148">
        <v>0</v>
      </c>
      <c r="R941" s="150">
        <v>395600</v>
      </c>
      <c r="S9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1" s="135">
        <f ca="1">+IF(PROVEEDORES[[#This Row],[FECHA DE PAGO]]=0,TODAY()-PROVEEDORES[[#This Row],[FECHA DE FACTURACIÓN]]-PROVEEDORES[[#This Row],[PLAZO Días]],0)</f>
        <v>0</v>
      </c>
      <c r="U941" s="135">
        <f>+VLOOKUP(PROVEEDORES[[#This Row],[PROVEEDOR]],Terceros!$A:$D,4,FALSE)</f>
        <v>0</v>
      </c>
      <c r="V941" s="135">
        <f>+YEAR(PROVEEDORES[[#This Row],[FECHA DE FACTURACIÓN]])</f>
        <v>2023</v>
      </c>
      <c r="W941" s="135">
        <f>+MATCH(PROVEEDORES[[#This Row],[año facturado]],Retenciones!$1:$1,0)</f>
        <v>6</v>
      </c>
      <c r="X941" s="136">
        <f>+VLOOKUP(PROVEEDORES[[#This Row],[ID RETENCION]],Retenciones!$A$1:$O$25,PROVEEDORES[[#This Row],[indicador de columna]],FALSE)</f>
        <v>0</v>
      </c>
      <c r="Y941" s="137">
        <f>+VLOOKUP(PROVEEDORES[[#This Row],[ID RETENCION]],Retenciones!$A$1:$O$25,2,FALSE)</f>
        <v>0</v>
      </c>
      <c r="Z941" s="126" t="b">
        <f>+OR(COUNTIF(PROVEEDORES[[#This Row],[PROVEEDOR]],"*"&amp;'Palabra que no opera y Listas d'!$A$2&amp;"*"))</f>
        <v>0</v>
      </c>
    </row>
    <row r="942" spans="1:26" ht="27.75" customHeight="1" x14ac:dyDescent="0.25">
      <c r="A942" s="141" t="str">
        <f>+IF(PROVEEDORES[[#This Row],[FECHA DE PAGO]]=PROVEEDORES[[#This Row],[FECHA DE FACTURACIÓN]],"DE CONTADO","CRÉDITO")</f>
        <v>CRÉDITO</v>
      </c>
      <c r="B942" s="138" t="b">
        <f>+IF((PROVEEDORES[[#This Row],[FECHA DE PAGO]]-PROVEEDORES[[#This Row],[FECHA DE FACTURACIÓN]])&gt;PROVEEDORES[[#This Row],[PLAZO Días]],"PAGO VENCIDO")</f>
        <v>0</v>
      </c>
      <c r="C942" s="138">
        <f>+VLOOKUP(PROVEEDORES[[#This Row],[PROVEEDOR]],TERCEROS_INFO[#All],2,FALSE)</f>
        <v>45</v>
      </c>
      <c r="D942" s="139">
        <f>+SUMIFS(PROVEEDORES[Total],PROVEEDORES[PROVEEDOR],PROVEEDORES[[#This Row],[PROVEEDOR]],PROVEEDORES[FECHA DE PAGO],"")</f>
        <v>0</v>
      </c>
      <c r="E942" s="140"/>
      <c r="F942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942" s="127">
        <v>45251</v>
      </c>
      <c r="H942" s="123" t="s">
        <v>224</v>
      </c>
      <c r="I942" s="127">
        <v>45237</v>
      </c>
      <c r="J942" s="124">
        <v>1827</v>
      </c>
      <c r="K942" s="124" t="s">
        <v>1530</v>
      </c>
      <c r="L942" s="124"/>
      <c r="M942" s="125">
        <v>1885550</v>
      </c>
      <c r="N942" s="148">
        <v>0</v>
      </c>
      <c r="O942" s="148">
        <v>0</v>
      </c>
      <c r="P942" s="149">
        <v>0</v>
      </c>
      <c r="Q942" s="148">
        <v>0</v>
      </c>
      <c r="R942" s="150">
        <v>1885550</v>
      </c>
      <c r="S9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2" s="135">
        <f ca="1">+IF(PROVEEDORES[[#This Row],[FECHA DE PAGO]]=0,TODAY()-PROVEEDORES[[#This Row],[FECHA DE FACTURACIÓN]]-PROVEEDORES[[#This Row],[PLAZO Días]],0)</f>
        <v>0</v>
      </c>
      <c r="U942" s="135">
        <f>+VLOOKUP(PROVEEDORES[[#This Row],[PROVEEDOR]],Terceros!$A:$D,4,FALSE)</f>
        <v>0</v>
      </c>
      <c r="V942" s="135">
        <f>+YEAR(PROVEEDORES[[#This Row],[FECHA DE FACTURACIÓN]])</f>
        <v>2023</v>
      </c>
      <c r="W942" s="135">
        <f>+MATCH(PROVEEDORES[[#This Row],[año facturado]],Retenciones!$1:$1,0)</f>
        <v>6</v>
      </c>
      <c r="X942" s="136">
        <f>+VLOOKUP(PROVEEDORES[[#This Row],[ID RETENCION]],Retenciones!$A$1:$O$25,PROVEEDORES[[#This Row],[indicador de columna]],FALSE)</f>
        <v>0</v>
      </c>
      <c r="Y942" s="137">
        <f>+VLOOKUP(PROVEEDORES[[#This Row],[ID RETENCION]],Retenciones!$A$1:$O$25,2,FALSE)</f>
        <v>0</v>
      </c>
      <c r="Z942" s="126" t="b">
        <f>+OR(COUNTIF(PROVEEDORES[[#This Row],[PROVEEDOR]],"*"&amp;'Palabra que no opera y Listas d'!$A$2&amp;"*"))</f>
        <v>0</v>
      </c>
    </row>
    <row r="943" spans="1:26" ht="27.75" customHeight="1" x14ac:dyDescent="0.25">
      <c r="A943" s="141" t="str">
        <f>+IF(PROVEEDORES[[#This Row],[FECHA DE PAGO]]=PROVEEDORES[[#This Row],[FECHA DE FACTURACIÓN]],"DE CONTADO","CRÉDITO")</f>
        <v>CRÉDITO</v>
      </c>
      <c r="B943" s="138" t="b">
        <f>+IF((PROVEEDORES[[#This Row],[FECHA DE PAGO]]-PROVEEDORES[[#This Row],[FECHA DE FACTURACIÓN]])&gt;PROVEEDORES[[#This Row],[PLAZO Días]],"PAGO VENCIDO")</f>
        <v>0</v>
      </c>
      <c r="C943" s="138">
        <f>+VLOOKUP(PROVEEDORES[[#This Row],[PROVEEDOR]],TERCEROS_INFO[#All],2,FALSE)</f>
        <v>30</v>
      </c>
      <c r="D943" s="139">
        <f>+SUMIFS(PROVEEDORES[Total],PROVEEDORES[PROVEEDOR],PROVEEDORES[[#This Row],[PROVEEDOR]],PROVEEDORES[FECHA DE PAGO],"")</f>
        <v>0</v>
      </c>
      <c r="E943" s="140"/>
      <c r="F943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943" s="127">
        <v>45251</v>
      </c>
      <c r="H943" s="123" t="s">
        <v>1865</v>
      </c>
      <c r="I943" s="127">
        <v>45238</v>
      </c>
      <c r="J943" s="124" t="s">
        <v>1192</v>
      </c>
      <c r="K943" s="124" t="s">
        <v>1530</v>
      </c>
      <c r="L943" s="124"/>
      <c r="M943" s="125">
        <v>129550</v>
      </c>
      <c r="N943" s="148">
        <v>0</v>
      </c>
      <c r="O943" s="148">
        <v>0</v>
      </c>
      <c r="P943" s="149">
        <v>0</v>
      </c>
      <c r="Q943" s="148">
        <v>0</v>
      </c>
      <c r="R943" s="150">
        <v>129550</v>
      </c>
      <c r="S9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3" s="135">
        <f ca="1">+IF(PROVEEDORES[[#This Row],[FECHA DE PAGO]]=0,TODAY()-PROVEEDORES[[#This Row],[FECHA DE FACTURACIÓN]]-PROVEEDORES[[#This Row],[PLAZO Días]],0)</f>
        <v>0</v>
      </c>
      <c r="U943" s="135">
        <f>+VLOOKUP(PROVEEDORES[[#This Row],[PROVEEDOR]],Terceros!$A:$D,4,FALSE)</f>
        <v>0</v>
      </c>
      <c r="V943" s="135">
        <f>+YEAR(PROVEEDORES[[#This Row],[FECHA DE FACTURACIÓN]])</f>
        <v>2023</v>
      </c>
      <c r="W943" s="135">
        <f>+MATCH(PROVEEDORES[[#This Row],[año facturado]],Retenciones!$1:$1,0)</f>
        <v>6</v>
      </c>
      <c r="X943" s="136">
        <f>+VLOOKUP(PROVEEDORES[[#This Row],[ID RETENCION]],Retenciones!$A$1:$O$25,PROVEEDORES[[#This Row],[indicador de columna]],FALSE)</f>
        <v>0</v>
      </c>
      <c r="Y943" s="137">
        <f>+VLOOKUP(PROVEEDORES[[#This Row],[ID RETENCION]],Retenciones!$A$1:$O$25,2,FALSE)</f>
        <v>0</v>
      </c>
      <c r="Z943" s="126" t="b">
        <f>+OR(COUNTIF(PROVEEDORES[[#This Row],[PROVEEDOR]],"*"&amp;'Palabra que no opera y Listas d'!$A$2&amp;"*"))</f>
        <v>0</v>
      </c>
    </row>
    <row r="944" spans="1:26" ht="27.75" customHeight="1" x14ac:dyDescent="0.25">
      <c r="A944" s="141" t="str">
        <f>+IF(PROVEEDORES[[#This Row],[FECHA DE PAGO]]=PROVEEDORES[[#This Row],[FECHA DE FACTURACIÓN]],"DE CONTADO","CRÉDITO")</f>
        <v>CRÉDITO</v>
      </c>
      <c r="B944" s="138" t="b">
        <f>+IF((PROVEEDORES[[#This Row],[FECHA DE PAGO]]-PROVEEDORES[[#This Row],[FECHA DE FACTURACIÓN]])&gt;PROVEEDORES[[#This Row],[PLAZO Días]],"PAGO VENCIDO")</f>
        <v>0</v>
      </c>
      <c r="C944" s="138">
        <f>+VLOOKUP(PROVEEDORES[[#This Row],[PROVEEDOR]],TERCEROS_INFO[#All],2,FALSE)</f>
        <v>30</v>
      </c>
      <c r="D944" s="139">
        <f>+SUMIFS(PROVEEDORES[Total],PROVEEDORES[PROVEEDOR],PROVEEDORES[[#This Row],[PROVEEDOR]],PROVEEDORES[FECHA DE PAGO],"")</f>
        <v>0</v>
      </c>
      <c r="E944" s="140"/>
      <c r="F944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944" s="127">
        <v>45251</v>
      </c>
      <c r="H944" s="123" t="s">
        <v>1865</v>
      </c>
      <c r="I944" s="127">
        <v>45247</v>
      </c>
      <c r="J944" s="124" t="s">
        <v>1226</v>
      </c>
      <c r="K944" s="124" t="s">
        <v>1530</v>
      </c>
      <c r="L944" s="124"/>
      <c r="M944" s="125">
        <v>7880</v>
      </c>
      <c r="N944" s="148">
        <v>0</v>
      </c>
      <c r="O944" s="148">
        <v>0</v>
      </c>
      <c r="P944" s="149">
        <v>0</v>
      </c>
      <c r="Q944" s="148">
        <v>0</v>
      </c>
      <c r="R944" s="150">
        <v>7880</v>
      </c>
      <c r="S9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4" s="135">
        <f ca="1">+IF(PROVEEDORES[[#This Row],[FECHA DE PAGO]]=0,TODAY()-PROVEEDORES[[#This Row],[FECHA DE FACTURACIÓN]]-PROVEEDORES[[#This Row],[PLAZO Días]],0)</f>
        <v>0</v>
      </c>
      <c r="U944" s="135">
        <f>+VLOOKUP(PROVEEDORES[[#This Row],[PROVEEDOR]],Terceros!$A:$D,4,FALSE)</f>
        <v>0</v>
      </c>
      <c r="V944" s="135">
        <f>+YEAR(PROVEEDORES[[#This Row],[FECHA DE FACTURACIÓN]])</f>
        <v>2023</v>
      </c>
      <c r="W944" s="135">
        <f>+MATCH(PROVEEDORES[[#This Row],[año facturado]],Retenciones!$1:$1,0)</f>
        <v>6</v>
      </c>
      <c r="X944" s="136">
        <f>+VLOOKUP(PROVEEDORES[[#This Row],[ID RETENCION]],Retenciones!$A$1:$O$25,PROVEEDORES[[#This Row],[indicador de columna]],FALSE)</f>
        <v>0</v>
      </c>
      <c r="Y944" s="137">
        <f>+VLOOKUP(PROVEEDORES[[#This Row],[ID RETENCION]],Retenciones!$A$1:$O$25,2,FALSE)</f>
        <v>0</v>
      </c>
      <c r="Z944" s="126" t="b">
        <f>+OR(COUNTIF(PROVEEDORES[[#This Row],[PROVEEDOR]],"*"&amp;'Palabra que no opera y Listas d'!$A$2&amp;"*"))</f>
        <v>0</v>
      </c>
    </row>
    <row r="945" spans="1:26" ht="27.75" customHeight="1" x14ac:dyDescent="0.25">
      <c r="A945" s="141" t="str">
        <f>+IF(PROVEEDORES[[#This Row],[FECHA DE PAGO]]=PROVEEDORES[[#This Row],[FECHA DE FACTURACIÓN]],"DE CONTADO","CRÉDITO")</f>
        <v>CRÉDITO</v>
      </c>
      <c r="B945" s="138" t="str">
        <f>+IF((PROVEEDORES[[#This Row],[FECHA DE PAGO]]-PROVEEDORES[[#This Row],[FECHA DE FACTURACIÓN]])&gt;PROVEEDORES[[#This Row],[PLAZO Días]],"PAGO VENCIDO")</f>
        <v>PAGO VENCIDO</v>
      </c>
      <c r="C945" s="138">
        <f>+VLOOKUP(PROVEEDORES[[#This Row],[PROVEEDOR]],TERCEROS_INFO[#All],2,FALSE)</f>
        <v>0</v>
      </c>
      <c r="D945" s="139">
        <f>+SUMIFS(PROVEEDORES[Total],PROVEEDORES[PROVEEDOR],PROVEEDORES[[#This Row],[PROVEEDOR]],PROVEEDORES[FECHA DE PAGO],"")</f>
        <v>0</v>
      </c>
      <c r="E945" s="140"/>
      <c r="F945" s="138" t="str">
        <f>+VLOOKUP(PROVEEDORES[[#This Row],[PROVEEDOR]],
                       Terceros!$A:$F,
                       5,
                       FALSE)</f>
        <v>contabilidad@comercialweb.com.co;info@servipilas.com</v>
      </c>
      <c r="G945" s="127">
        <v>45251</v>
      </c>
      <c r="H945" s="123" t="s">
        <v>560</v>
      </c>
      <c r="I945" s="127">
        <v>45250</v>
      </c>
      <c r="J945" s="124">
        <v>2077</v>
      </c>
      <c r="K945" s="124" t="s">
        <v>1530</v>
      </c>
      <c r="L945" s="124"/>
      <c r="M945" s="125">
        <v>600000</v>
      </c>
      <c r="N945" s="148">
        <v>0</v>
      </c>
      <c r="O945" s="148">
        <v>0</v>
      </c>
      <c r="P945" s="149">
        <v>0</v>
      </c>
      <c r="Q945" s="148">
        <v>0</v>
      </c>
      <c r="R945" s="150">
        <v>600000</v>
      </c>
      <c r="S9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5" s="135">
        <f ca="1">+IF(PROVEEDORES[[#This Row],[FECHA DE PAGO]]=0,TODAY()-PROVEEDORES[[#This Row],[FECHA DE FACTURACIÓN]]-PROVEEDORES[[#This Row],[PLAZO Días]],0)</f>
        <v>0</v>
      </c>
      <c r="U945" s="135">
        <f>+VLOOKUP(PROVEEDORES[[#This Row],[PROVEEDOR]],Terceros!$A:$D,4,FALSE)</f>
        <v>0</v>
      </c>
      <c r="V945" s="135">
        <f>+YEAR(PROVEEDORES[[#This Row],[FECHA DE FACTURACIÓN]])</f>
        <v>2023</v>
      </c>
      <c r="W945" s="135">
        <f>+MATCH(PROVEEDORES[[#This Row],[año facturado]],Retenciones!$1:$1,0)</f>
        <v>6</v>
      </c>
      <c r="X945" s="136">
        <f>+VLOOKUP(PROVEEDORES[[#This Row],[ID RETENCION]],Retenciones!$A$1:$O$25,PROVEEDORES[[#This Row],[indicador de columna]],FALSE)</f>
        <v>0</v>
      </c>
      <c r="Y945" s="137">
        <f>+VLOOKUP(PROVEEDORES[[#This Row],[ID RETENCION]],Retenciones!$A$1:$O$25,2,FALSE)</f>
        <v>0</v>
      </c>
      <c r="Z945" s="126" t="b">
        <f>+OR(COUNTIF(PROVEEDORES[[#This Row],[PROVEEDOR]],"*"&amp;'Palabra que no opera y Listas d'!$A$2&amp;"*"))</f>
        <v>1</v>
      </c>
    </row>
    <row r="946" spans="1:26" ht="27.75" customHeight="1" x14ac:dyDescent="0.25">
      <c r="A946" s="141" t="str">
        <f>+IF(PROVEEDORES[[#This Row],[FECHA DE PAGO]]=PROVEEDORES[[#This Row],[FECHA DE FACTURACIÓN]],"DE CONTADO","CRÉDITO")</f>
        <v>DE CONTADO</v>
      </c>
      <c r="B946" s="138" t="b">
        <f>+IF((PROVEEDORES[[#This Row],[FECHA DE PAGO]]-PROVEEDORES[[#This Row],[FECHA DE FACTURACIÓN]])&gt;PROVEEDORES[[#This Row],[PLAZO Días]],"PAGO VENCIDO")</f>
        <v>0</v>
      </c>
      <c r="C946" s="138">
        <f>+VLOOKUP(PROVEEDORES[[#This Row],[PROVEEDOR]],TERCEROS_INFO[#All],2,FALSE)</f>
        <v>60</v>
      </c>
      <c r="D946" s="139">
        <f>+SUMIFS(PROVEEDORES[Total],PROVEEDORES[PROVEEDOR],PROVEEDORES[[#This Row],[PROVEEDOR]],PROVEEDORES[FECHA DE PAGO],"")</f>
        <v>0</v>
      </c>
      <c r="E946" s="140"/>
      <c r="F946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946" s="127">
        <v>45251</v>
      </c>
      <c r="H946" s="123" t="s">
        <v>65</v>
      </c>
      <c r="I946" s="127">
        <v>45251</v>
      </c>
      <c r="J946" s="124" t="s">
        <v>1527</v>
      </c>
      <c r="K946" s="124" t="s">
        <v>1530</v>
      </c>
      <c r="L946" s="124"/>
      <c r="M946" s="125">
        <v>-3100000</v>
      </c>
      <c r="N946" s="148">
        <v>-589000</v>
      </c>
      <c r="O946" s="148">
        <v>0</v>
      </c>
      <c r="P946" s="149">
        <v>0</v>
      </c>
      <c r="Q946" s="148">
        <v>0</v>
      </c>
      <c r="R946" s="150">
        <v>0</v>
      </c>
      <c r="S9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6" s="135">
        <f ca="1">+IF(PROVEEDORES[[#This Row],[FECHA DE PAGO]]=0,TODAY()-PROVEEDORES[[#This Row],[FECHA DE FACTURACIÓN]]-PROVEEDORES[[#This Row],[PLAZO Días]],0)</f>
        <v>0</v>
      </c>
      <c r="U946" s="135" t="str">
        <f>+VLOOKUP(PROVEEDORES[[#This Row],[PROVEEDOR]],Terceros!$A:$D,4,FALSE)</f>
        <v>2,5% con base</v>
      </c>
      <c r="V946" s="135">
        <f>+YEAR(PROVEEDORES[[#This Row],[FECHA DE FACTURACIÓN]])</f>
        <v>2023</v>
      </c>
      <c r="W946" s="135">
        <f>+MATCH(PROVEEDORES[[#This Row],[año facturado]],Retenciones!$1:$1,0)</f>
        <v>6</v>
      </c>
      <c r="X946" s="136">
        <f>+VLOOKUP(PROVEEDORES[[#This Row],[ID RETENCION]],Retenciones!$A$1:$O$25,PROVEEDORES[[#This Row],[indicador de columna]],FALSE)</f>
        <v>1145000</v>
      </c>
      <c r="Y946" s="137">
        <f>+VLOOKUP(PROVEEDORES[[#This Row],[ID RETENCION]],Retenciones!$A$1:$O$25,2,FALSE)</f>
        <v>2.5000000000000001E-2</v>
      </c>
      <c r="Z946" s="126" t="b">
        <f>+OR(COUNTIF(PROVEEDORES[[#This Row],[PROVEEDOR]],"*"&amp;'Palabra que no opera y Listas d'!$A$2&amp;"*"))</f>
        <v>0</v>
      </c>
    </row>
    <row r="947" spans="1:26" ht="27.75" customHeight="1" x14ac:dyDescent="0.25">
      <c r="A947" s="141" t="str">
        <f>+IF(PROVEEDORES[[#This Row],[FECHA DE PAGO]]=PROVEEDORES[[#This Row],[FECHA DE FACTURACIÓN]],"DE CONTADO","CRÉDITO")</f>
        <v>DE CONTADO</v>
      </c>
      <c r="B947" s="138" t="b">
        <f>+IF((PROVEEDORES[[#This Row],[FECHA DE PAGO]]-PROVEEDORES[[#This Row],[FECHA DE FACTURACIÓN]])&gt;PROVEEDORES[[#This Row],[PLAZO Días]],"PAGO VENCIDO")</f>
        <v>0</v>
      </c>
      <c r="C947" s="138">
        <f>+VLOOKUP(PROVEEDORES[[#This Row],[PROVEEDOR]],TERCEROS_INFO[#All],2,FALSE)</f>
        <v>60</v>
      </c>
      <c r="D947" s="139">
        <f>+SUMIFS(PROVEEDORES[Total],PROVEEDORES[PROVEEDOR],PROVEEDORES[[#This Row],[PROVEEDOR]],PROVEEDORES[FECHA DE PAGO],"")</f>
        <v>0</v>
      </c>
      <c r="E947" s="140"/>
      <c r="F947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947" s="127">
        <v>45252</v>
      </c>
      <c r="H947" s="123" t="s">
        <v>65</v>
      </c>
      <c r="I947" s="127">
        <v>45252</v>
      </c>
      <c r="J947" s="124" t="s">
        <v>1455</v>
      </c>
      <c r="K947" s="124" t="s">
        <v>1530</v>
      </c>
      <c r="L947" s="124"/>
      <c r="M947" s="125">
        <v>-2100840</v>
      </c>
      <c r="N947" s="148">
        <v>-399159.6</v>
      </c>
      <c r="O947" s="148">
        <v>0</v>
      </c>
      <c r="P947" s="149">
        <v>0</v>
      </c>
      <c r="Q947" s="148">
        <v>0</v>
      </c>
      <c r="R947" s="150">
        <v>-2499999.6</v>
      </c>
      <c r="S9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7" s="135">
        <f ca="1">+IF(PROVEEDORES[[#This Row],[FECHA DE PAGO]]=0,TODAY()-PROVEEDORES[[#This Row],[FECHA DE FACTURACIÓN]]-PROVEEDORES[[#This Row],[PLAZO Días]],0)</f>
        <v>0</v>
      </c>
      <c r="U947" s="135" t="str">
        <f>+VLOOKUP(PROVEEDORES[[#This Row],[PROVEEDOR]],Terceros!$A:$D,4,FALSE)</f>
        <v>2,5% con base</v>
      </c>
      <c r="V947" s="135">
        <f>+YEAR(PROVEEDORES[[#This Row],[FECHA DE FACTURACIÓN]])</f>
        <v>2023</v>
      </c>
      <c r="W947" s="135">
        <f>+MATCH(PROVEEDORES[[#This Row],[año facturado]],Retenciones!$1:$1,0)</f>
        <v>6</v>
      </c>
      <c r="X947" s="136">
        <f>+VLOOKUP(PROVEEDORES[[#This Row],[ID RETENCION]],Retenciones!$A$1:$O$25,PROVEEDORES[[#This Row],[indicador de columna]],FALSE)</f>
        <v>1145000</v>
      </c>
      <c r="Y947" s="137">
        <f>+VLOOKUP(PROVEEDORES[[#This Row],[ID RETENCION]],Retenciones!$A$1:$O$25,2,FALSE)</f>
        <v>2.5000000000000001E-2</v>
      </c>
      <c r="Z947" s="126" t="b">
        <f>+OR(COUNTIF(PROVEEDORES[[#This Row],[PROVEEDOR]],"*"&amp;'Palabra que no opera y Listas d'!$A$2&amp;"*"))</f>
        <v>0</v>
      </c>
    </row>
    <row r="948" spans="1:26" ht="27.75" customHeight="1" x14ac:dyDescent="0.25">
      <c r="A948" s="141" t="str">
        <f>+IF(PROVEEDORES[[#This Row],[FECHA DE PAGO]]=PROVEEDORES[[#This Row],[FECHA DE FACTURACIÓN]],"DE CONTADO","CRÉDITO")</f>
        <v>CRÉDITO</v>
      </c>
      <c r="B948" s="138" t="str">
        <f>+IF((PROVEEDORES[[#This Row],[FECHA DE PAGO]]-PROVEEDORES[[#This Row],[FECHA DE FACTURACIÓN]])&gt;PROVEEDORES[[#This Row],[PLAZO Días]],"PAGO VENCIDO")</f>
        <v>PAGO VENCIDO</v>
      </c>
      <c r="C948" s="138">
        <f>+VLOOKUP(PROVEEDORES[[#This Row],[PROVEEDOR]],TERCEROS_INFO[#All],2,FALSE)</f>
        <v>30</v>
      </c>
      <c r="D948" s="139">
        <f>+SUMIFS(PROVEEDORES[Total],PROVEEDORES[PROVEEDOR],PROVEEDORES[[#This Row],[PROVEEDOR]],PROVEEDORES[FECHA DE PAGO],"")</f>
        <v>1695707.16</v>
      </c>
      <c r="E948" s="140"/>
      <c r="F948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948" s="127">
        <v>45253</v>
      </c>
      <c r="H948" s="123" t="s">
        <v>194</v>
      </c>
      <c r="I948" s="127">
        <v>45213</v>
      </c>
      <c r="J948" s="124" t="s">
        <v>1177</v>
      </c>
      <c r="K948" s="124" t="s">
        <v>1530</v>
      </c>
      <c r="L948" s="124"/>
      <c r="M948" s="125">
        <v>3001258</v>
      </c>
      <c r="N948" s="148">
        <v>570239.02</v>
      </c>
      <c r="O948" s="148">
        <v>0</v>
      </c>
      <c r="P948" s="149">
        <v>0</v>
      </c>
      <c r="Q948" s="148">
        <v>0</v>
      </c>
      <c r="R948" s="150">
        <v>3571497.02</v>
      </c>
      <c r="S9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8" s="135">
        <f ca="1">+IF(PROVEEDORES[[#This Row],[FECHA DE PAGO]]=0,TODAY()-PROVEEDORES[[#This Row],[FECHA DE FACTURACIÓN]]-PROVEEDORES[[#This Row],[PLAZO Días]],0)</f>
        <v>0</v>
      </c>
      <c r="U948" s="135">
        <f>+VLOOKUP(PROVEEDORES[[#This Row],[PROVEEDOR]],Terceros!$A:$D,4,FALSE)</f>
        <v>0</v>
      </c>
      <c r="V948" s="135">
        <f>+YEAR(PROVEEDORES[[#This Row],[FECHA DE FACTURACIÓN]])</f>
        <v>2023</v>
      </c>
      <c r="W948" s="135">
        <f>+MATCH(PROVEEDORES[[#This Row],[año facturado]],Retenciones!$1:$1,0)</f>
        <v>6</v>
      </c>
      <c r="X948" s="136">
        <f>+VLOOKUP(PROVEEDORES[[#This Row],[ID RETENCION]],Retenciones!$A$1:$O$25,PROVEEDORES[[#This Row],[indicador de columna]],FALSE)</f>
        <v>0</v>
      </c>
      <c r="Y948" s="137">
        <f>+VLOOKUP(PROVEEDORES[[#This Row],[ID RETENCION]],Retenciones!$A$1:$O$25,2,FALSE)</f>
        <v>0</v>
      </c>
      <c r="Z948" s="126" t="b">
        <f>+OR(COUNTIF(PROVEEDORES[[#This Row],[PROVEEDOR]],"*"&amp;'Palabra que no opera y Listas d'!$A$2&amp;"*"))</f>
        <v>0</v>
      </c>
    </row>
    <row r="949" spans="1:26" ht="27.75" customHeight="1" x14ac:dyDescent="0.25">
      <c r="A949" s="141" t="str">
        <f>+IF(PROVEEDORES[[#This Row],[FECHA DE PAGO]]=PROVEEDORES[[#This Row],[FECHA DE FACTURACIÓN]],"DE CONTADO","CRÉDITO")</f>
        <v>CRÉDITO</v>
      </c>
      <c r="B949" s="138" t="b">
        <f>+IF((PROVEEDORES[[#This Row],[FECHA DE PAGO]]-PROVEEDORES[[#This Row],[FECHA DE FACTURACIÓN]])&gt;PROVEEDORES[[#This Row],[PLAZO Días]],"PAGO VENCIDO")</f>
        <v>0</v>
      </c>
      <c r="C949" s="138">
        <f>+VLOOKUP(PROVEEDORES[[#This Row],[PROVEEDOR]],TERCEROS_INFO[#All],2,FALSE)</f>
        <v>30</v>
      </c>
      <c r="D949" s="139">
        <f>+SUMIFS(PROVEEDORES[Total],PROVEEDORES[PROVEEDOR],PROVEEDORES[[#This Row],[PROVEEDOR]],PROVEEDORES[FECHA DE PAGO],"")</f>
        <v>0</v>
      </c>
      <c r="E949" s="140"/>
      <c r="F949" s="138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949" s="127">
        <v>45253</v>
      </c>
      <c r="H949" s="123" t="s">
        <v>1130</v>
      </c>
      <c r="I949" s="127">
        <v>45252</v>
      </c>
      <c r="J949" s="124" t="s">
        <v>1239</v>
      </c>
      <c r="K949" s="124" t="s">
        <v>1530</v>
      </c>
      <c r="L949" s="124"/>
      <c r="M949" s="125">
        <v>41008</v>
      </c>
      <c r="N949" s="148">
        <v>7791.52</v>
      </c>
      <c r="O949" s="148">
        <v>0</v>
      </c>
      <c r="P949" s="149">
        <v>0</v>
      </c>
      <c r="Q949" s="148">
        <v>0</v>
      </c>
      <c r="R949" s="150">
        <v>48799.520000000004</v>
      </c>
      <c r="S9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49" s="135">
        <f ca="1">+IF(PROVEEDORES[[#This Row],[FECHA DE PAGO]]=0,TODAY()-PROVEEDORES[[#This Row],[FECHA DE FACTURACIÓN]]-PROVEEDORES[[#This Row],[PLAZO Días]],0)</f>
        <v>0</v>
      </c>
      <c r="U949" s="135" t="str">
        <f>+VLOOKUP(PROVEEDORES[[#This Row],[PROVEEDOR]],Terceros!$A:$D,4,FALSE)</f>
        <v>2,5% con base</v>
      </c>
      <c r="V949" s="135">
        <f>+YEAR(PROVEEDORES[[#This Row],[FECHA DE FACTURACIÓN]])</f>
        <v>2023</v>
      </c>
      <c r="W949" s="135">
        <f>+MATCH(PROVEEDORES[[#This Row],[año facturado]],Retenciones!$1:$1,0)</f>
        <v>6</v>
      </c>
      <c r="X949" s="136">
        <f>+VLOOKUP(PROVEEDORES[[#This Row],[ID RETENCION]],Retenciones!$A$1:$O$25,PROVEEDORES[[#This Row],[indicador de columna]],FALSE)</f>
        <v>1145000</v>
      </c>
      <c r="Y949" s="137">
        <f>+VLOOKUP(PROVEEDORES[[#This Row],[ID RETENCION]],Retenciones!$A$1:$O$25,2,FALSE)</f>
        <v>2.5000000000000001E-2</v>
      </c>
      <c r="Z949" s="126" t="b">
        <f>+OR(COUNTIF(PROVEEDORES[[#This Row],[PROVEEDOR]],"*"&amp;'Palabra que no opera y Listas d'!$A$2&amp;"*"))</f>
        <v>0</v>
      </c>
    </row>
    <row r="950" spans="1:26" ht="27.75" customHeight="1" x14ac:dyDescent="0.25">
      <c r="A950" s="141" t="str">
        <f>+IF(PROVEEDORES[[#This Row],[FECHA DE PAGO]]=PROVEEDORES[[#This Row],[FECHA DE FACTURACIÓN]],"DE CONTADO","CRÉDITO")</f>
        <v>CRÉDITO</v>
      </c>
      <c r="B950" s="138" t="b">
        <f>+IF((PROVEEDORES[[#This Row],[FECHA DE PAGO]]-PROVEEDORES[[#This Row],[FECHA DE FACTURACIÓN]])&gt;PROVEEDORES[[#This Row],[PLAZO Días]],"PAGO VENCIDO")</f>
        <v>0</v>
      </c>
      <c r="C950" s="138">
        <f>+VLOOKUP(PROVEEDORES[[#This Row],[PROVEEDOR]],TERCEROS_INFO[#All],2,FALSE)</f>
        <v>30</v>
      </c>
      <c r="D950" s="139">
        <f>+SUMIFS(PROVEEDORES[Total],PROVEEDORES[PROVEEDOR],PROVEEDORES[[#This Row],[PROVEEDOR]],PROVEEDORES[FECHA DE PAGO],"")</f>
        <v>0</v>
      </c>
      <c r="E950" s="140"/>
      <c r="F950" s="138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950" s="127">
        <v>45253</v>
      </c>
      <c r="H950" s="123" t="s">
        <v>1130</v>
      </c>
      <c r="I950" s="127">
        <v>45252</v>
      </c>
      <c r="J950" s="124" t="s">
        <v>1238</v>
      </c>
      <c r="K950" s="124" t="s">
        <v>1530</v>
      </c>
      <c r="L950" s="124"/>
      <c r="M950" s="125">
        <v>897647</v>
      </c>
      <c r="N950" s="148">
        <v>170552.93</v>
      </c>
      <c r="O950" s="148">
        <v>0</v>
      </c>
      <c r="P950" s="149">
        <v>0</v>
      </c>
      <c r="Q950" s="148">
        <v>0</v>
      </c>
      <c r="R950" s="150">
        <v>1068199.93</v>
      </c>
      <c r="S9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0" s="135">
        <f ca="1">+IF(PROVEEDORES[[#This Row],[FECHA DE PAGO]]=0,TODAY()-PROVEEDORES[[#This Row],[FECHA DE FACTURACIÓN]]-PROVEEDORES[[#This Row],[PLAZO Días]],0)</f>
        <v>0</v>
      </c>
      <c r="U950" s="135" t="str">
        <f>+VLOOKUP(PROVEEDORES[[#This Row],[PROVEEDOR]],Terceros!$A:$D,4,FALSE)</f>
        <v>2,5% con base</v>
      </c>
      <c r="V950" s="135">
        <f>+YEAR(PROVEEDORES[[#This Row],[FECHA DE FACTURACIÓN]])</f>
        <v>2023</v>
      </c>
      <c r="W950" s="135">
        <f>+MATCH(PROVEEDORES[[#This Row],[año facturado]],Retenciones!$1:$1,0)</f>
        <v>6</v>
      </c>
      <c r="X950" s="136">
        <f>+VLOOKUP(PROVEEDORES[[#This Row],[ID RETENCION]],Retenciones!$A$1:$O$25,PROVEEDORES[[#This Row],[indicador de columna]],FALSE)</f>
        <v>1145000</v>
      </c>
      <c r="Y950" s="137">
        <f>+VLOOKUP(PROVEEDORES[[#This Row],[ID RETENCION]],Retenciones!$A$1:$O$25,2,FALSE)</f>
        <v>2.5000000000000001E-2</v>
      </c>
      <c r="Z950" s="126" t="b">
        <f>+OR(COUNTIF(PROVEEDORES[[#This Row],[PROVEEDOR]],"*"&amp;'Palabra que no opera y Listas d'!$A$2&amp;"*"))</f>
        <v>0</v>
      </c>
    </row>
    <row r="951" spans="1:26" ht="27.75" customHeight="1" x14ac:dyDescent="0.25">
      <c r="A951" s="141" t="str">
        <f>+IF(PROVEEDORES[[#This Row],[FECHA DE PAGO]]=PROVEEDORES[[#This Row],[FECHA DE FACTURACIÓN]],"DE CONTADO","CRÉDITO")</f>
        <v>DE CONTADO</v>
      </c>
      <c r="B951" s="138" t="b">
        <f>+IF((PROVEEDORES[[#This Row],[FECHA DE PAGO]]-PROVEEDORES[[#This Row],[FECHA DE FACTURACIÓN]])&gt;PROVEEDORES[[#This Row],[PLAZO Días]],"PAGO VENCIDO")</f>
        <v>0</v>
      </c>
      <c r="C951" s="138">
        <f>+VLOOKUP(PROVEEDORES[[#This Row],[PROVEEDOR]],TERCEROS_INFO[#All],2,FALSE)</f>
        <v>30</v>
      </c>
      <c r="D951" s="139">
        <f>+SUMIFS(PROVEEDORES[Total],PROVEEDORES[PROVEEDOR],PROVEEDORES[[#This Row],[PROVEEDOR]],PROVEEDORES[FECHA DE PAGO],"")</f>
        <v>0</v>
      </c>
      <c r="E951" s="140"/>
      <c r="F951" s="138" t="str">
        <f>+VLOOKUP(PROVEEDORES[[#This Row],[PROVEEDOR]],
                       Terceros!$A:$F,
                       5,
                       FALSE)</f>
        <v/>
      </c>
      <c r="G951" s="127">
        <v>45253</v>
      </c>
      <c r="H951" s="123" t="s">
        <v>481</v>
      </c>
      <c r="I951" s="127">
        <v>45253</v>
      </c>
      <c r="J951" s="124" t="s">
        <v>1286</v>
      </c>
      <c r="K951" s="124" t="s">
        <v>1530</v>
      </c>
      <c r="L951" s="124"/>
      <c r="M951" s="125">
        <v>730000</v>
      </c>
      <c r="N951" s="148">
        <v>0</v>
      </c>
      <c r="O951" s="148">
        <v>0</v>
      </c>
      <c r="P951" s="149">
        <v>0</v>
      </c>
      <c r="Q951" s="148">
        <v>0</v>
      </c>
      <c r="R951" s="150">
        <v>730000</v>
      </c>
      <c r="S9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1" s="135">
        <f ca="1">+IF(PROVEEDORES[[#This Row],[FECHA DE PAGO]]=0,TODAY()-PROVEEDORES[[#This Row],[FECHA DE FACTURACIÓN]]-PROVEEDORES[[#This Row],[PLAZO Días]],0)</f>
        <v>0</v>
      </c>
      <c r="U951" s="135">
        <f>+VLOOKUP(PROVEEDORES[[#This Row],[PROVEEDOR]],Terceros!$A:$D,4,FALSE)</f>
        <v>0</v>
      </c>
      <c r="V951" s="135">
        <f>+YEAR(PROVEEDORES[[#This Row],[FECHA DE FACTURACIÓN]])</f>
        <v>2023</v>
      </c>
      <c r="W951" s="135">
        <f>+MATCH(PROVEEDORES[[#This Row],[año facturado]],Retenciones!$1:$1,0)</f>
        <v>6</v>
      </c>
      <c r="X951" s="136">
        <f>+VLOOKUP(PROVEEDORES[[#This Row],[ID RETENCION]],Retenciones!$A$1:$O$25,PROVEEDORES[[#This Row],[indicador de columna]],FALSE)</f>
        <v>0</v>
      </c>
      <c r="Y951" s="137">
        <f>+VLOOKUP(PROVEEDORES[[#This Row],[ID RETENCION]],Retenciones!$A$1:$O$25,2,FALSE)</f>
        <v>0</v>
      </c>
      <c r="Z951" s="126" t="b">
        <f>+OR(COUNTIF(PROVEEDORES[[#This Row],[PROVEEDOR]],"*"&amp;'Palabra que no opera y Listas d'!$A$2&amp;"*"))</f>
        <v>0</v>
      </c>
    </row>
    <row r="952" spans="1:26" ht="27.75" customHeight="1" x14ac:dyDescent="0.25">
      <c r="A952" s="141" t="str">
        <f>+IF(PROVEEDORES[[#This Row],[FECHA DE PAGO]]=PROVEEDORES[[#This Row],[FECHA DE FACTURACIÓN]],"DE CONTADO","CRÉDITO")</f>
        <v>CRÉDITO</v>
      </c>
      <c r="B952" s="138" t="str">
        <f>+IF((PROVEEDORES[[#This Row],[FECHA DE PAGO]]-PROVEEDORES[[#This Row],[FECHA DE FACTURACIÓN]])&gt;PROVEEDORES[[#This Row],[PLAZO Días]],"PAGO VENCIDO")</f>
        <v>PAGO VENCIDO</v>
      </c>
      <c r="C952" s="138">
        <f>+VLOOKUP(PROVEEDORES[[#This Row],[PROVEEDOR]],TERCEROS_INFO[#All],2,FALSE)</f>
        <v>30</v>
      </c>
      <c r="D952" s="139">
        <f>+SUMIFS(PROVEEDORES[Total],PROVEEDORES[PROVEEDOR],PROVEEDORES[[#This Row],[PROVEEDOR]],PROVEEDORES[FECHA DE PAGO],"")</f>
        <v>12628497</v>
      </c>
      <c r="E952" s="140"/>
      <c r="F952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52" s="127">
        <v>45257</v>
      </c>
      <c r="H952" s="123" t="s">
        <v>451</v>
      </c>
      <c r="I952" s="127">
        <v>45200</v>
      </c>
      <c r="J952" s="124" t="s">
        <v>491</v>
      </c>
      <c r="K952" s="124" t="s">
        <v>1530</v>
      </c>
      <c r="L952" s="124"/>
      <c r="M952" s="125">
        <v>-310017</v>
      </c>
      <c r="N952" s="148">
        <v>-58903.23</v>
      </c>
      <c r="O952" s="148">
        <v>0</v>
      </c>
      <c r="P952" s="149">
        <v>0</v>
      </c>
      <c r="Q952" s="148">
        <v>0</v>
      </c>
      <c r="R952" s="150">
        <v>-368920.23</v>
      </c>
      <c r="S9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2" s="135">
        <f ca="1">+IF(PROVEEDORES[[#This Row],[FECHA DE PAGO]]=0,TODAY()-PROVEEDORES[[#This Row],[FECHA DE FACTURACIÓN]]-PROVEEDORES[[#This Row],[PLAZO Días]],0)</f>
        <v>0</v>
      </c>
      <c r="U952" s="135" t="str">
        <f>+VLOOKUP(PROVEEDORES[[#This Row],[PROVEEDOR]],Terceros!$A:$D,4,FALSE)</f>
        <v>2,5% con base</v>
      </c>
      <c r="V952" s="135">
        <f>+YEAR(PROVEEDORES[[#This Row],[FECHA DE FACTURACIÓN]])</f>
        <v>2023</v>
      </c>
      <c r="W952" s="135">
        <f>+MATCH(PROVEEDORES[[#This Row],[año facturado]],Retenciones!$1:$1,0)</f>
        <v>6</v>
      </c>
      <c r="X952" s="136">
        <f>+VLOOKUP(PROVEEDORES[[#This Row],[ID RETENCION]],Retenciones!$A$1:$O$25,PROVEEDORES[[#This Row],[indicador de columna]],FALSE)</f>
        <v>1145000</v>
      </c>
      <c r="Y952" s="137">
        <f>+VLOOKUP(PROVEEDORES[[#This Row],[ID RETENCION]],Retenciones!$A$1:$O$25,2,FALSE)</f>
        <v>2.5000000000000001E-2</v>
      </c>
      <c r="Z952" s="126" t="b">
        <f>+OR(COUNTIF(PROVEEDORES[[#This Row],[PROVEEDOR]],"*"&amp;'Palabra que no opera y Listas d'!$A$2&amp;"*"))</f>
        <v>0</v>
      </c>
    </row>
    <row r="953" spans="1:26" ht="27.75" customHeight="1" x14ac:dyDescent="0.25">
      <c r="A953" s="141" t="str">
        <f>+IF(PROVEEDORES[[#This Row],[FECHA DE PAGO]]=PROVEEDORES[[#This Row],[FECHA DE FACTURACIÓN]],"DE CONTADO","CRÉDITO")</f>
        <v>CRÉDITO</v>
      </c>
      <c r="B953" s="138" t="str">
        <f>+IF((PROVEEDORES[[#This Row],[FECHA DE PAGO]]-PROVEEDORES[[#This Row],[FECHA DE FACTURACIÓN]])&gt;PROVEEDORES[[#This Row],[PLAZO Días]],"PAGO VENCIDO")</f>
        <v>PAGO VENCIDO</v>
      </c>
      <c r="C953" s="138">
        <f>+VLOOKUP(PROVEEDORES[[#This Row],[PROVEEDOR]],TERCEROS_INFO[#All],2,FALSE)</f>
        <v>30</v>
      </c>
      <c r="D953" s="139">
        <f>+SUMIFS(PROVEEDORES[Total],PROVEEDORES[PROVEEDOR],PROVEEDORES[[#This Row],[PROVEEDOR]],PROVEEDORES[FECHA DE PAGO],"")</f>
        <v>12628497</v>
      </c>
      <c r="E953" s="140"/>
      <c r="F953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953" s="127">
        <v>45257</v>
      </c>
      <c r="H953" s="123" t="s">
        <v>451</v>
      </c>
      <c r="I953" s="127">
        <v>45203</v>
      </c>
      <c r="J953" s="124" t="s">
        <v>1089</v>
      </c>
      <c r="K953" s="124" t="s">
        <v>1530</v>
      </c>
      <c r="L953" s="124"/>
      <c r="M953" s="125">
        <v>4116710</v>
      </c>
      <c r="N953" s="148">
        <v>782174.9</v>
      </c>
      <c r="O953" s="148">
        <v>0</v>
      </c>
      <c r="P953" s="149">
        <v>2.5000000000000001E-2</v>
      </c>
      <c r="Q953" s="148">
        <v>102917.75</v>
      </c>
      <c r="R953" s="150">
        <v>4795967.1500000004</v>
      </c>
      <c r="S9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3" s="135">
        <f ca="1">+IF(PROVEEDORES[[#This Row],[FECHA DE PAGO]]=0,TODAY()-PROVEEDORES[[#This Row],[FECHA DE FACTURACIÓN]]-PROVEEDORES[[#This Row],[PLAZO Días]],0)</f>
        <v>0</v>
      </c>
      <c r="U953" s="135" t="str">
        <f>+VLOOKUP(PROVEEDORES[[#This Row],[PROVEEDOR]],Terceros!$A:$D,4,FALSE)</f>
        <v>2,5% con base</v>
      </c>
      <c r="V953" s="135">
        <f>+YEAR(PROVEEDORES[[#This Row],[FECHA DE FACTURACIÓN]])</f>
        <v>2023</v>
      </c>
      <c r="W953" s="135">
        <f>+MATCH(PROVEEDORES[[#This Row],[año facturado]],Retenciones!$1:$1,0)</f>
        <v>6</v>
      </c>
      <c r="X953" s="136">
        <f>+VLOOKUP(PROVEEDORES[[#This Row],[ID RETENCION]],Retenciones!$A$1:$O$25,PROVEEDORES[[#This Row],[indicador de columna]],FALSE)</f>
        <v>1145000</v>
      </c>
      <c r="Y953" s="137">
        <f>+VLOOKUP(PROVEEDORES[[#This Row],[ID RETENCION]],Retenciones!$A$1:$O$25,2,FALSE)</f>
        <v>2.5000000000000001E-2</v>
      </c>
      <c r="Z953" s="126" t="b">
        <f>+OR(COUNTIF(PROVEEDORES[[#This Row],[PROVEEDOR]],"*"&amp;'Palabra que no opera y Listas d'!$A$2&amp;"*"))</f>
        <v>0</v>
      </c>
    </row>
    <row r="954" spans="1:26" ht="27.75" customHeight="1" x14ac:dyDescent="0.25">
      <c r="A954" s="141" t="str">
        <f>+IF(PROVEEDORES[[#This Row],[FECHA DE PAGO]]=PROVEEDORES[[#This Row],[FECHA DE FACTURACIÓN]],"DE CONTADO","CRÉDITO")</f>
        <v>CRÉDITO</v>
      </c>
      <c r="B954" s="138" t="str">
        <f>+IF((PROVEEDORES[[#This Row],[FECHA DE PAGO]]-PROVEEDORES[[#This Row],[FECHA DE FACTURACIÓN]])&gt;PROVEEDORES[[#This Row],[PLAZO Días]],"PAGO VENCIDO")</f>
        <v>PAGO VENCIDO</v>
      </c>
      <c r="C954" s="138">
        <f>+VLOOKUP(PROVEEDORES[[#This Row],[PROVEEDOR]],TERCEROS_INFO[#All],2,FALSE)</f>
        <v>30</v>
      </c>
      <c r="D954" s="139">
        <f>+SUMIFS(PROVEEDORES[Total],PROVEEDORES[PROVEEDOR],PROVEEDORES[[#This Row],[PROVEEDOR]],PROVEEDORES[FECHA DE PAGO],"")</f>
        <v>818443.92</v>
      </c>
      <c r="E954" s="140"/>
      <c r="F954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954" s="127">
        <v>45257</v>
      </c>
      <c r="H954" s="123" t="s">
        <v>20</v>
      </c>
      <c r="I954" s="127">
        <v>45208</v>
      </c>
      <c r="J954" s="124" t="s">
        <v>1171</v>
      </c>
      <c r="K954" s="124" t="s">
        <v>1530</v>
      </c>
      <c r="L954" s="124"/>
      <c r="M954" s="125">
        <v>647990</v>
      </c>
      <c r="N954" s="148">
        <v>123118.1</v>
      </c>
      <c r="O954" s="148">
        <v>0</v>
      </c>
      <c r="P954" s="149">
        <v>0</v>
      </c>
      <c r="Q954" s="148">
        <v>0</v>
      </c>
      <c r="R954" s="150">
        <v>771108.1</v>
      </c>
      <c r="S9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4" s="135">
        <f ca="1">+IF(PROVEEDORES[[#This Row],[FECHA DE PAGO]]=0,TODAY()-PROVEEDORES[[#This Row],[FECHA DE FACTURACIÓN]]-PROVEEDORES[[#This Row],[PLAZO Días]],0)</f>
        <v>0</v>
      </c>
      <c r="U954" s="135" t="str">
        <f>+VLOOKUP(PROVEEDORES[[#This Row],[PROVEEDOR]],Terceros!$A:$D,4,FALSE)</f>
        <v>2,5% con base</v>
      </c>
      <c r="V954" s="135">
        <f>+YEAR(PROVEEDORES[[#This Row],[FECHA DE FACTURACIÓN]])</f>
        <v>2023</v>
      </c>
      <c r="W954" s="135">
        <f>+MATCH(PROVEEDORES[[#This Row],[año facturado]],Retenciones!$1:$1,0)</f>
        <v>6</v>
      </c>
      <c r="X954" s="136">
        <f>+VLOOKUP(PROVEEDORES[[#This Row],[ID RETENCION]],Retenciones!$A$1:$O$25,PROVEEDORES[[#This Row],[indicador de columna]],FALSE)</f>
        <v>1145000</v>
      </c>
      <c r="Y954" s="137">
        <f>+VLOOKUP(PROVEEDORES[[#This Row],[ID RETENCION]],Retenciones!$A$1:$O$25,2,FALSE)</f>
        <v>2.5000000000000001E-2</v>
      </c>
      <c r="Z954" s="126" t="b">
        <f>+OR(COUNTIF(PROVEEDORES[[#This Row],[PROVEEDOR]],"*"&amp;'Palabra que no opera y Listas d'!$A$2&amp;"*"))</f>
        <v>0</v>
      </c>
    </row>
    <row r="955" spans="1:26" ht="27.75" customHeight="1" x14ac:dyDescent="0.25">
      <c r="A955" s="141" t="str">
        <f>+IF(PROVEEDORES[[#This Row],[FECHA DE PAGO]]=PROVEEDORES[[#This Row],[FECHA DE FACTURACIÓN]],"DE CONTADO","CRÉDITO")</f>
        <v>CRÉDITO</v>
      </c>
      <c r="B955" s="138" t="str">
        <f>+IF((PROVEEDORES[[#This Row],[FECHA DE PAGO]]-PROVEEDORES[[#This Row],[FECHA DE FACTURACIÓN]])&gt;PROVEEDORES[[#This Row],[PLAZO Días]],"PAGO VENCIDO")</f>
        <v>PAGO VENCIDO</v>
      </c>
      <c r="C955" s="138">
        <f>+VLOOKUP(PROVEEDORES[[#This Row],[PROVEEDOR]],TERCEROS_INFO[#All],2,FALSE)</f>
        <v>30</v>
      </c>
      <c r="D955" s="139">
        <f>+SUMIFS(PROVEEDORES[Total],PROVEEDORES[PROVEEDOR],PROVEEDORES[[#This Row],[PROVEEDOR]],PROVEEDORES[FECHA DE PAGO],"")</f>
        <v>818443.92</v>
      </c>
      <c r="E955" s="140"/>
      <c r="F955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955" s="127">
        <v>45257</v>
      </c>
      <c r="H955" s="123" t="s">
        <v>20</v>
      </c>
      <c r="I955" s="127">
        <v>45208</v>
      </c>
      <c r="J955" s="124" t="s">
        <v>1172</v>
      </c>
      <c r="K955" s="124" t="s">
        <v>1530</v>
      </c>
      <c r="L955" s="124"/>
      <c r="M955" s="125">
        <v>944000</v>
      </c>
      <c r="N955" s="148">
        <v>179360</v>
      </c>
      <c r="O955" s="148">
        <v>0</v>
      </c>
      <c r="P955" s="149">
        <v>0</v>
      </c>
      <c r="Q955" s="148">
        <v>0</v>
      </c>
      <c r="R955" s="150">
        <v>1123360</v>
      </c>
      <c r="S9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5" s="135">
        <f ca="1">+IF(PROVEEDORES[[#This Row],[FECHA DE PAGO]]=0,TODAY()-PROVEEDORES[[#This Row],[FECHA DE FACTURACIÓN]]-PROVEEDORES[[#This Row],[PLAZO Días]],0)</f>
        <v>0</v>
      </c>
      <c r="U955" s="135" t="str">
        <f>+VLOOKUP(PROVEEDORES[[#This Row],[PROVEEDOR]],Terceros!$A:$D,4,FALSE)</f>
        <v>2,5% con base</v>
      </c>
      <c r="V955" s="135">
        <f>+YEAR(PROVEEDORES[[#This Row],[FECHA DE FACTURACIÓN]])</f>
        <v>2023</v>
      </c>
      <c r="W955" s="135">
        <f>+MATCH(PROVEEDORES[[#This Row],[año facturado]],Retenciones!$1:$1,0)</f>
        <v>6</v>
      </c>
      <c r="X955" s="136">
        <f>+VLOOKUP(PROVEEDORES[[#This Row],[ID RETENCION]],Retenciones!$A$1:$O$25,PROVEEDORES[[#This Row],[indicador de columna]],FALSE)</f>
        <v>1145000</v>
      </c>
      <c r="Y955" s="137">
        <f>+VLOOKUP(PROVEEDORES[[#This Row],[ID RETENCION]],Retenciones!$A$1:$O$25,2,FALSE)</f>
        <v>2.5000000000000001E-2</v>
      </c>
      <c r="Z955" s="126" t="b">
        <f>+OR(COUNTIF(PROVEEDORES[[#This Row],[PROVEEDOR]],"*"&amp;'Palabra que no opera y Listas d'!$A$2&amp;"*"))</f>
        <v>0</v>
      </c>
    </row>
    <row r="956" spans="1:26" ht="27.75" customHeight="1" x14ac:dyDescent="0.25">
      <c r="A956" s="141" t="str">
        <f>+IF(PROVEEDORES[[#This Row],[FECHA DE PAGO]]=PROVEEDORES[[#This Row],[FECHA DE FACTURACIÓN]],"DE CONTADO","CRÉDITO")</f>
        <v>CRÉDITO</v>
      </c>
      <c r="B956" s="138" t="str">
        <f>+IF((PROVEEDORES[[#This Row],[FECHA DE PAGO]]-PROVEEDORES[[#This Row],[FECHA DE FACTURACIÓN]])&gt;PROVEEDORES[[#This Row],[PLAZO Días]],"PAGO VENCIDO")</f>
        <v>PAGO VENCIDO</v>
      </c>
      <c r="C956" s="138">
        <f>+VLOOKUP(PROVEEDORES[[#This Row],[PROVEEDOR]],TERCEROS_INFO[#All],2,FALSE)</f>
        <v>30</v>
      </c>
      <c r="D956" s="139">
        <f>+SUMIFS(PROVEEDORES[Total],PROVEEDORES[PROVEEDOR],PROVEEDORES[[#This Row],[PROVEEDOR]],PROVEEDORES[FECHA DE PAGO],"")</f>
        <v>0</v>
      </c>
      <c r="E956" s="140"/>
      <c r="F956" s="138">
        <f>+VLOOKUP(PROVEEDORES[[#This Row],[PROVEEDOR]],
                       Terceros!$A:$F,
                       5,
                       FALSE)</f>
        <v>0</v>
      </c>
      <c r="G956" s="127">
        <v>45257</v>
      </c>
      <c r="H956" s="123" t="s">
        <v>1170</v>
      </c>
      <c r="I956" s="127">
        <v>45209</v>
      </c>
      <c r="J956" s="124" t="s">
        <v>1154</v>
      </c>
      <c r="K956" s="124" t="s">
        <v>1530</v>
      </c>
      <c r="L956" s="124"/>
      <c r="M956" s="125">
        <v>2224000</v>
      </c>
      <c r="N956" s="148">
        <v>0</v>
      </c>
      <c r="O956" s="148">
        <v>0</v>
      </c>
      <c r="P956" s="149">
        <v>0</v>
      </c>
      <c r="Q956" s="148">
        <v>0</v>
      </c>
      <c r="R956" s="150">
        <v>2224000</v>
      </c>
      <c r="S9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6" s="135">
        <f ca="1">+IF(PROVEEDORES[[#This Row],[FECHA DE PAGO]]=0,TODAY()-PROVEEDORES[[#This Row],[FECHA DE FACTURACIÓN]]-PROVEEDORES[[#This Row],[PLAZO Días]],0)</f>
        <v>0</v>
      </c>
      <c r="U956" s="135">
        <f>+VLOOKUP(PROVEEDORES[[#This Row],[PROVEEDOR]],Terceros!$A:$D,4,FALSE)</f>
        <v>0</v>
      </c>
      <c r="V956" s="135">
        <f>+YEAR(PROVEEDORES[[#This Row],[FECHA DE FACTURACIÓN]])</f>
        <v>2023</v>
      </c>
      <c r="W956" s="135">
        <f>+MATCH(PROVEEDORES[[#This Row],[año facturado]],Retenciones!$1:$1,0)</f>
        <v>6</v>
      </c>
      <c r="X956" s="136">
        <f>+VLOOKUP(PROVEEDORES[[#This Row],[ID RETENCION]],Retenciones!$A$1:$O$25,PROVEEDORES[[#This Row],[indicador de columna]],FALSE)</f>
        <v>0</v>
      </c>
      <c r="Y956" s="137">
        <f>+VLOOKUP(PROVEEDORES[[#This Row],[ID RETENCION]],Retenciones!$A$1:$O$25,2,FALSE)</f>
        <v>0</v>
      </c>
      <c r="Z956" s="126" t="b">
        <f>+OR(COUNTIF(PROVEEDORES[[#This Row],[PROVEEDOR]],"*"&amp;'Palabra que no opera y Listas d'!$A$2&amp;"*"))</f>
        <v>0</v>
      </c>
    </row>
    <row r="957" spans="1:26" ht="27.75" customHeight="1" x14ac:dyDescent="0.25">
      <c r="A957" s="141" t="str">
        <f>+IF(PROVEEDORES[[#This Row],[FECHA DE PAGO]]=PROVEEDORES[[#This Row],[FECHA DE FACTURACIÓN]],"DE CONTADO","CRÉDITO")</f>
        <v>CRÉDITO</v>
      </c>
      <c r="B957" s="138" t="str">
        <f>+IF((PROVEEDORES[[#This Row],[FECHA DE PAGO]]-PROVEEDORES[[#This Row],[FECHA DE FACTURACIÓN]])&gt;PROVEEDORES[[#This Row],[PLAZO Días]],"PAGO VENCIDO")</f>
        <v>PAGO VENCIDO</v>
      </c>
      <c r="C957" s="138">
        <f>+VLOOKUP(PROVEEDORES[[#This Row],[PROVEEDOR]],TERCEROS_INFO[#All],2,FALSE)</f>
        <v>30</v>
      </c>
      <c r="D957" s="139">
        <f>+SUMIFS(PROVEEDORES[Total],PROVEEDORES[PROVEEDOR],PROVEEDORES[[#This Row],[PROVEEDOR]],PROVEEDORES[FECHA DE PAGO],"")</f>
        <v>0</v>
      </c>
      <c r="E957" s="140"/>
      <c r="F957" s="138" t="str">
        <f>+VLOOKUP(PROVEEDORES[[#This Row],[PROVEEDOR]],
                       Terceros!$A:$F,
                       5,
                       FALSE)</f>
        <v/>
      </c>
      <c r="G957" s="127">
        <v>45257</v>
      </c>
      <c r="H957" s="123" t="s">
        <v>525</v>
      </c>
      <c r="I957" s="127">
        <v>45210</v>
      </c>
      <c r="J957" s="124" t="s">
        <v>1151</v>
      </c>
      <c r="K957" s="124" t="s">
        <v>1530</v>
      </c>
      <c r="L957" s="124"/>
      <c r="M957" s="125">
        <v>3841000</v>
      </c>
      <c r="N957" s="148">
        <v>0</v>
      </c>
      <c r="O957" s="148">
        <v>0</v>
      </c>
      <c r="P957" s="149">
        <v>0</v>
      </c>
      <c r="Q957" s="148">
        <v>0</v>
      </c>
      <c r="R957" s="150">
        <v>3841000</v>
      </c>
      <c r="S9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7" s="135">
        <f ca="1">+IF(PROVEEDORES[[#This Row],[FECHA DE PAGO]]=0,TODAY()-PROVEEDORES[[#This Row],[FECHA DE FACTURACIÓN]]-PROVEEDORES[[#This Row],[PLAZO Días]],0)</f>
        <v>0</v>
      </c>
      <c r="U957" s="135">
        <f>+VLOOKUP(PROVEEDORES[[#This Row],[PROVEEDOR]],Terceros!$A:$D,4,FALSE)</f>
        <v>0</v>
      </c>
      <c r="V957" s="135">
        <f>+YEAR(PROVEEDORES[[#This Row],[FECHA DE FACTURACIÓN]])</f>
        <v>2023</v>
      </c>
      <c r="W957" s="135">
        <f>+MATCH(PROVEEDORES[[#This Row],[año facturado]],Retenciones!$1:$1,0)</f>
        <v>6</v>
      </c>
      <c r="X957" s="136">
        <f>+VLOOKUP(PROVEEDORES[[#This Row],[ID RETENCION]],Retenciones!$A$1:$O$25,PROVEEDORES[[#This Row],[indicador de columna]],FALSE)</f>
        <v>0</v>
      </c>
      <c r="Y957" s="137">
        <f>+VLOOKUP(PROVEEDORES[[#This Row],[ID RETENCION]],Retenciones!$A$1:$O$25,2,FALSE)</f>
        <v>0</v>
      </c>
      <c r="Z957" s="126" t="b">
        <f>+OR(COUNTIF(PROVEEDORES[[#This Row],[PROVEEDOR]],"*"&amp;'Palabra que no opera y Listas d'!$A$2&amp;"*"))</f>
        <v>0</v>
      </c>
    </row>
    <row r="958" spans="1:26" ht="27.75" customHeight="1" x14ac:dyDescent="0.25">
      <c r="A958" s="141" t="str">
        <f>+IF(PROVEEDORES[[#This Row],[FECHA DE PAGO]]=PROVEEDORES[[#This Row],[FECHA DE FACTURACIÓN]],"DE CONTADO","CRÉDITO")</f>
        <v>CRÉDITO</v>
      </c>
      <c r="B958" s="138" t="str">
        <f>+IF((PROVEEDORES[[#This Row],[FECHA DE PAGO]]-PROVEEDORES[[#This Row],[FECHA DE FACTURACIÓN]])&gt;PROVEEDORES[[#This Row],[PLAZO Días]],"PAGO VENCIDO")</f>
        <v>PAGO VENCIDO</v>
      </c>
      <c r="C958" s="138">
        <f>+VLOOKUP(PROVEEDORES[[#This Row],[PROVEEDOR]],TERCEROS_INFO[#All],2,FALSE)</f>
        <v>30</v>
      </c>
      <c r="D958" s="139">
        <f>+SUMIFS(PROVEEDORES[Total],PROVEEDORES[PROVEEDOR],PROVEEDORES[[#This Row],[PROVEEDOR]],PROVEEDORES[FECHA DE PAGO],"")</f>
        <v>0</v>
      </c>
      <c r="E958" s="140"/>
      <c r="F958" s="138" t="str">
        <f>+VLOOKUP(PROVEEDORES[[#This Row],[PROVEEDOR]],
                       Terceros!$A:$F,
                       5,
                       FALSE)</f>
        <v/>
      </c>
      <c r="G958" s="127">
        <v>45257</v>
      </c>
      <c r="H958" s="123" t="s">
        <v>1811</v>
      </c>
      <c r="I958" s="127">
        <v>45218</v>
      </c>
      <c r="J958" s="124" t="s">
        <v>1147</v>
      </c>
      <c r="K958" s="124" t="s">
        <v>1530</v>
      </c>
      <c r="L958" s="124"/>
      <c r="M958" s="125">
        <v>425000</v>
      </c>
      <c r="N958" s="148">
        <v>0</v>
      </c>
      <c r="O958" s="148">
        <v>0</v>
      </c>
      <c r="P958" s="149">
        <v>0</v>
      </c>
      <c r="Q958" s="148">
        <v>0</v>
      </c>
      <c r="R958" s="150">
        <v>425000</v>
      </c>
      <c r="S9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8" s="135">
        <f ca="1">+IF(PROVEEDORES[[#This Row],[FECHA DE PAGO]]=0,TODAY()-PROVEEDORES[[#This Row],[FECHA DE FACTURACIÓN]]-PROVEEDORES[[#This Row],[PLAZO Días]],0)</f>
        <v>0</v>
      </c>
      <c r="U958" s="135">
        <f>+VLOOKUP(PROVEEDORES[[#This Row],[PROVEEDOR]],Terceros!$A:$D,4,FALSE)</f>
        <v>0</v>
      </c>
      <c r="V958" s="135">
        <f>+YEAR(PROVEEDORES[[#This Row],[FECHA DE FACTURACIÓN]])</f>
        <v>2023</v>
      </c>
      <c r="W958" s="135">
        <f>+MATCH(PROVEEDORES[[#This Row],[año facturado]],Retenciones!$1:$1,0)</f>
        <v>6</v>
      </c>
      <c r="X958" s="136">
        <f>+VLOOKUP(PROVEEDORES[[#This Row],[ID RETENCION]],Retenciones!$A$1:$O$25,PROVEEDORES[[#This Row],[indicador de columna]],FALSE)</f>
        <v>0</v>
      </c>
      <c r="Y958" s="137">
        <f>+VLOOKUP(PROVEEDORES[[#This Row],[ID RETENCION]],Retenciones!$A$1:$O$25,2,FALSE)</f>
        <v>0</v>
      </c>
      <c r="Z958" s="126" t="b">
        <f>+OR(COUNTIF(PROVEEDORES[[#This Row],[PROVEEDOR]],"*"&amp;'Palabra que no opera y Listas d'!$A$2&amp;"*"))</f>
        <v>0</v>
      </c>
    </row>
    <row r="959" spans="1:26" ht="27.75" customHeight="1" x14ac:dyDescent="0.25">
      <c r="A959" s="141" t="str">
        <f>+IF(PROVEEDORES[[#This Row],[FECHA DE PAGO]]=PROVEEDORES[[#This Row],[FECHA DE FACTURACIÓN]],"DE CONTADO","CRÉDITO")</f>
        <v>CRÉDITO</v>
      </c>
      <c r="B959" s="138" t="str">
        <f>+IF((PROVEEDORES[[#This Row],[FECHA DE PAGO]]-PROVEEDORES[[#This Row],[FECHA DE FACTURACIÓN]])&gt;PROVEEDORES[[#This Row],[PLAZO Días]],"PAGO VENCIDO")</f>
        <v>PAGO VENCIDO</v>
      </c>
      <c r="C959" s="138">
        <f>+VLOOKUP(PROVEEDORES[[#This Row],[PROVEEDOR]],TERCEROS_INFO[#All],2,FALSE)</f>
        <v>30</v>
      </c>
      <c r="D959" s="139">
        <f>+SUMIFS(PROVEEDORES[Total],PROVEEDORES[PROVEEDOR],PROVEEDORES[[#This Row],[PROVEEDOR]],PROVEEDORES[FECHA DE PAGO],"")</f>
        <v>818443.92</v>
      </c>
      <c r="E959" s="140"/>
      <c r="F959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959" s="127">
        <v>45257</v>
      </c>
      <c r="H959" s="123" t="s">
        <v>20</v>
      </c>
      <c r="I959" s="127">
        <v>45219</v>
      </c>
      <c r="J959" s="124" t="s">
        <v>1173</v>
      </c>
      <c r="K959" s="124" t="s">
        <v>1530</v>
      </c>
      <c r="L959" s="124"/>
      <c r="M959" s="125">
        <v>1442750</v>
      </c>
      <c r="N959" s="148">
        <v>274122.5</v>
      </c>
      <c r="O959" s="148">
        <v>0</v>
      </c>
      <c r="P959" s="149">
        <v>2.5000000000000001E-2</v>
      </c>
      <c r="Q959" s="148">
        <v>36068.75</v>
      </c>
      <c r="R959" s="150">
        <v>1680803.75</v>
      </c>
      <c r="S9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59" s="135">
        <f ca="1">+IF(PROVEEDORES[[#This Row],[FECHA DE PAGO]]=0,TODAY()-PROVEEDORES[[#This Row],[FECHA DE FACTURACIÓN]]-PROVEEDORES[[#This Row],[PLAZO Días]],0)</f>
        <v>0</v>
      </c>
      <c r="U959" s="135" t="str">
        <f>+VLOOKUP(PROVEEDORES[[#This Row],[PROVEEDOR]],Terceros!$A:$D,4,FALSE)</f>
        <v>2,5% con base</v>
      </c>
      <c r="V959" s="135">
        <f>+YEAR(PROVEEDORES[[#This Row],[FECHA DE FACTURACIÓN]])</f>
        <v>2023</v>
      </c>
      <c r="W959" s="135">
        <f>+MATCH(PROVEEDORES[[#This Row],[año facturado]],Retenciones!$1:$1,0)</f>
        <v>6</v>
      </c>
      <c r="X959" s="136">
        <f>+VLOOKUP(PROVEEDORES[[#This Row],[ID RETENCION]],Retenciones!$A$1:$O$25,PROVEEDORES[[#This Row],[indicador de columna]],FALSE)</f>
        <v>1145000</v>
      </c>
      <c r="Y959" s="137">
        <f>+VLOOKUP(PROVEEDORES[[#This Row],[ID RETENCION]],Retenciones!$A$1:$O$25,2,FALSE)</f>
        <v>2.5000000000000001E-2</v>
      </c>
      <c r="Z959" s="126" t="b">
        <f>+OR(COUNTIF(PROVEEDORES[[#This Row],[PROVEEDOR]],"*"&amp;'Palabra que no opera y Listas d'!$A$2&amp;"*"))</f>
        <v>0</v>
      </c>
    </row>
    <row r="960" spans="1:26" ht="27.75" customHeight="1" x14ac:dyDescent="0.25">
      <c r="A960" s="141" t="str">
        <f>+IF(PROVEEDORES[[#This Row],[FECHA DE PAGO]]=PROVEEDORES[[#This Row],[FECHA DE FACTURACIÓN]],"DE CONTADO","CRÉDITO")</f>
        <v>CRÉDITO</v>
      </c>
      <c r="B960" s="138" t="b">
        <f>+IF((PROVEEDORES[[#This Row],[FECHA DE PAGO]]-PROVEEDORES[[#This Row],[FECHA DE FACTURACIÓN]])&gt;PROVEEDORES[[#This Row],[PLAZO Días]],"PAGO VENCIDO")</f>
        <v>0</v>
      </c>
      <c r="C960" s="138">
        <f>+VLOOKUP(PROVEEDORES[[#This Row],[PROVEEDOR]],TERCEROS_INFO[#All],2,FALSE)</f>
        <v>30</v>
      </c>
      <c r="D960" s="139">
        <f>+SUMIFS(PROVEEDORES[Total],PROVEEDORES[PROVEEDOR],PROVEEDORES[[#This Row],[PROVEEDOR]],PROVEEDORES[FECHA DE PAGO],"")</f>
        <v>0</v>
      </c>
      <c r="E960" s="140"/>
      <c r="F960" s="138" t="str">
        <f>+VLOOKUP(PROVEEDORES[[#This Row],[PROVEEDOR]],
                       Terceros!$A:$F,
                       5,
                       FALSE)</f>
        <v/>
      </c>
      <c r="G960" s="127">
        <v>45257</v>
      </c>
      <c r="H960" s="123" t="s">
        <v>1815</v>
      </c>
      <c r="I960" s="127">
        <v>45231</v>
      </c>
      <c r="J960" s="124" t="s">
        <v>1210</v>
      </c>
      <c r="K960" s="124" t="s">
        <v>1530</v>
      </c>
      <c r="L960" s="124"/>
      <c r="M960" s="125">
        <v>440000</v>
      </c>
      <c r="N960" s="148">
        <v>0</v>
      </c>
      <c r="O960" s="148">
        <v>0</v>
      </c>
      <c r="P960" s="149">
        <v>0</v>
      </c>
      <c r="Q960" s="148">
        <v>0</v>
      </c>
      <c r="R960" s="150">
        <v>440000</v>
      </c>
      <c r="S9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0" s="135">
        <f ca="1">+IF(PROVEEDORES[[#This Row],[FECHA DE PAGO]]=0,TODAY()-PROVEEDORES[[#This Row],[FECHA DE FACTURACIÓN]]-PROVEEDORES[[#This Row],[PLAZO Días]],0)</f>
        <v>0</v>
      </c>
      <c r="U960" s="135">
        <f>+VLOOKUP(PROVEEDORES[[#This Row],[PROVEEDOR]],Terceros!$A:$D,4,FALSE)</f>
        <v>0</v>
      </c>
      <c r="V960" s="135">
        <f>+YEAR(PROVEEDORES[[#This Row],[FECHA DE FACTURACIÓN]])</f>
        <v>2023</v>
      </c>
      <c r="W960" s="135">
        <f>+MATCH(PROVEEDORES[[#This Row],[año facturado]],Retenciones!$1:$1,0)</f>
        <v>6</v>
      </c>
      <c r="X960" s="136">
        <f>+VLOOKUP(PROVEEDORES[[#This Row],[ID RETENCION]],Retenciones!$A$1:$O$25,PROVEEDORES[[#This Row],[indicador de columna]],FALSE)</f>
        <v>0</v>
      </c>
      <c r="Y960" s="137">
        <f>+VLOOKUP(PROVEEDORES[[#This Row],[ID RETENCION]],Retenciones!$A$1:$O$25,2,FALSE)</f>
        <v>0</v>
      </c>
      <c r="Z960" s="126" t="b">
        <f>+OR(COUNTIF(PROVEEDORES[[#This Row],[PROVEEDOR]],"*"&amp;'Palabra que no opera y Listas d'!$A$2&amp;"*"))</f>
        <v>0</v>
      </c>
    </row>
    <row r="961" spans="1:26" ht="27.75" customHeight="1" x14ac:dyDescent="0.25">
      <c r="A961" s="141" t="str">
        <f>+IF(PROVEEDORES[[#This Row],[FECHA DE PAGO]]=PROVEEDORES[[#This Row],[FECHA DE FACTURACIÓN]],"DE CONTADO","CRÉDITO")</f>
        <v>DE CONTADO</v>
      </c>
      <c r="B961" s="138" t="b">
        <f>+IF((PROVEEDORES[[#This Row],[FECHA DE PAGO]]-PROVEEDORES[[#This Row],[FECHA DE FACTURACIÓN]])&gt;PROVEEDORES[[#This Row],[PLAZO Días]],"PAGO VENCIDO")</f>
        <v>0</v>
      </c>
      <c r="C961" s="138">
        <f>+VLOOKUP(PROVEEDORES[[#This Row],[PROVEEDOR]],TERCEROS_INFO[#All],2,FALSE)</f>
        <v>30</v>
      </c>
      <c r="D961" s="139">
        <f>+SUMIFS(PROVEEDORES[Total],PROVEEDORES[PROVEEDOR],PROVEEDORES[[#This Row],[PROVEEDOR]],PROVEEDORES[FECHA DE PAGO],"")</f>
        <v>0</v>
      </c>
      <c r="E961" s="140"/>
      <c r="F961" s="138" t="str">
        <f>+VLOOKUP(PROVEEDORES[[#This Row],[PROVEEDOR]],
                       Terceros!$A:$F,
                       5,
                       FALSE)</f>
        <v/>
      </c>
      <c r="G961" s="127">
        <v>45259</v>
      </c>
      <c r="H961" s="123" t="s">
        <v>1872</v>
      </c>
      <c r="I961" s="127">
        <v>45259</v>
      </c>
      <c r="J961" s="124" t="s">
        <v>1288</v>
      </c>
      <c r="K961" s="124" t="s">
        <v>1530</v>
      </c>
      <c r="L961" s="124"/>
      <c r="M961" s="125">
        <v>247000</v>
      </c>
      <c r="N961" s="148">
        <v>0</v>
      </c>
      <c r="O961" s="148">
        <v>0</v>
      </c>
      <c r="P961" s="149">
        <v>0</v>
      </c>
      <c r="Q961" s="148">
        <v>0</v>
      </c>
      <c r="R961" s="150">
        <v>247000</v>
      </c>
      <c r="S9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1" s="135">
        <f ca="1">+IF(PROVEEDORES[[#This Row],[FECHA DE PAGO]]=0,TODAY()-PROVEEDORES[[#This Row],[FECHA DE FACTURACIÓN]]-PROVEEDORES[[#This Row],[PLAZO Días]],0)</f>
        <v>0</v>
      </c>
      <c r="U961" s="135">
        <f>+VLOOKUP(PROVEEDORES[[#This Row],[PROVEEDOR]],Terceros!$A:$D,4,FALSE)</f>
        <v>0</v>
      </c>
      <c r="V961" s="135">
        <f>+YEAR(PROVEEDORES[[#This Row],[FECHA DE FACTURACIÓN]])</f>
        <v>2023</v>
      </c>
      <c r="W961" s="135">
        <f>+MATCH(PROVEEDORES[[#This Row],[año facturado]],Retenciones!$1:$1,0)</f>
        <v>6</v>
      </c>
      <c r="X961" s="136">
        <f>+VLOOKUP(PROVEEDORES[[#This Row],[ID RETENCION]],Retenciones!$A$1:$O$25,PROVEEDORES[[#This Row],[indicador de columna]],FALSE)</f>
        <v>0</v>
      </c>
      <c r="Y961" s="137">
        <f>+VLOOKUP(PROVEEDORES[[#This Row],[ID RETENCION]],Retenciones!$A$1:$O$25,2,FALSE)</f>
        <v>0</v>
      </c>
      <c r="Z961" s="126" t="b">
        <f>+OR(COUNTIF(PROVEEDORES[[#This Row],[PROVEEDOR]],"*"&amp;'Palabra que no opera y Listas d'!$A$2&amp;"*"))</f>
        <v>0</v>
      </c>
    </row>
    <row r="962" spans="1:26" ht="27.75" customHeight="1" x14ac:dyDescent="0.25">
      <c r="A962" s="141" t="str">
        <f>+IF(PROVEEDORES[[#This Row],[FECHA DE PAGO]]=PROVEEDORES[[#This Row],[FECHA DE FACTURACIÓN]],"DE CONTADO","CRÉDITO")</f>
        <v>DE CONTADO</v>
      </c>
      <c r="B962" s="138" t="b">
        <f>+IF((PROVEEDORES[[#This Row],[FECHA DE PAGO]]-PROVEEDORES[[#This Row],[FECHA DE FACTURACIÓN]])&gt;PROVEEDORES[[#This Row],[PLAZO Días]],"PAGO VENCIDO")</f>
        <v>0</v>
      </c>
      <c r="C962" s="138">
        <f>+VLOOKUP(PROVEEDORES[[#This Row],[PROVEEDOR]],TERCEROS_INFO[#All],2,FALSE)</f>
        <v>30</v>
      </c>
      <c r="D962" s="139">
        <f>+SUMIFS(PROVEEDORES[Total],PROVEEDORES[PROVEEDOR],PROVEEDORES[[#This Row],[PROVEEDOR]],PROVEEDORES[FECHA DE PAGO],"")</f>
        <v>0</v>
      </c>
      <c r="E962" s="140"/>
      <c r="F962" s="138" t="str">
        <f>+VLOOKUP(PROVEEDORES[[#This Row],[PROVEEDOR]],
                       Terceros!$A:$F,
                       5,
                       FALSE)</f>
        <v/>
      </c>
      <c r="G962" s="127">
        <v>45259</v>
      </c>
      <c r="H962" s="123" t="s">
        <v>1872</v>
      </c>
      <c r="I962" s="127">
        <v>45259</v>
      </c>
      <c r="J962" s="124" t="s">
        <v>1288</v>
      </c>
      <c r="K962" s="124" t="s">
        <v>1530</v>
      </c>
      <c r="L962" s="124"/>
      <c r="M962" s="125">
        <v>25180000</v>
      </c>
      <c r="N962" s="148">
        <v>0</v>
      </c>
      <c r="O962" s="148">
        <v>0</v>
      </c>
      <c r="P962" s="149">
        <v>0</v>
      </c>
      <c r="Q962" s="148">
        <v>0</v>
      </c>
      <c r="R962" s="150">
        <v>25180000</v>
      </c>
      <c r="S9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2" s="135">
        <f ca="1">+IF(PROVEEDORES[[#This Row],[FECHA DE PAGO]]=0,TODAY()-PROVEEDORES[[#This Row],[FECHA DE FACTURACIÓN]]-PROVEEDORES[[#This Row],[PLAZO Días]],0)</f>
        <v>0</v>
      </c>
      <c r="U962" s="135">
        <f>+VLOOKUP(PROVEEDORES[[#This Row],[PROVEEDOR]],Terceros!$A:$D,4,FALSE)</f>
        <v>0</v>
      </c>
      <c r="V962" s="135">
        <f>+YEAR(PROVEEDORES[[#This Row],[FECHA DE FACTURACIÓN]])</f>
        <v>2023</v>
      </c>
      <c r="W962" s="135">
        <f>+MATCH(PROVEEDORES[[#This Row],[año facturado]],Retenciones!$1:$1,0)</f>
        <v>6</v>
      </c>
      <c r="X962" s="136">
        <f>+VLOOKUP(PROVEEDORES[[#This Row],[ID RETENCION]],Retenciones!$A$1:$O$25,PROVEEDORES[[#This Row],[indicador de columna]],FALSE)</f>
        <v>0</v>
      </c>
      <c r="Y962" s="137">
        <f>+VLOOKUP(PROVEEDORES[[#This Row],[ID RETENCION]],Retenciones!$A$1:$O$25,2,FALSE)</f>
        <v>0</v>
      </c>
      <c r="Z962" s="126" t="b">
        <f>+OR(COUNTIF(PROVEEDORES[[#This Row],[PROVEEDOR]],"*"&amp;'Palabra que no opera y Listas d'!$A$2&amp;"*"))</f>
        <v>0</v>
      </c>
    </row>
    <row r="963" spans="1:26" ht="27.75" customHeight="1" x14ac:dyDescent="0.25">
      <c r="A963" s="141" t="str">
        <f>+IF(PROVEEDORES[[#This Row],[FECHA DE PAGO]]=PROVEEDORES[[#This Row],[FECHA DE FACTURACIÓN]],"DE CONTADO","CRÉDITO")</f>
        <v>DE CONTADO</v>
      </c>
      <c r="B963" s="138" t="b">
        <f>+IF((PROVEEDORES[[#This Row],[FECHA DE PAGO]]-PROVEEDORES[[#This Row],[FECHA DE FACTURACIÓN]])&gt;PROVEEDORES[[#This Row],[PLAZO Días]],"PAGO VENCIDO")</f>
        <v>0</v>
      </c>
      <c r="C963" s="138">
        <f>+VLOOKUP(PROVEEDORES[[#This Row],[PROVEEDOR]],TERCEROS_INFO[#All],2,FALSE)</f>
        <v>30</v>
      </c>
      <c r="D963" s="139">
        <f>+SUMIFS(PROVEEDORES[Total],PROVEEDORES[PROVEEDOR],PROVEEDORES[[#This Row],[PROVEEDOR]],PROVEEDORES[FECHA DE PAGO],"")</f>
        <v>0</v>
      </c>
      <c r="E963" s="140"/>
      <c r="F963" s="138" t="str">
        <f>+VLOOKUP(PROVEEDORES[[#This Row],[PROVEEDOR]],
                       Terceros!$A:$F,
                       5,
                       FALSE)</f>
        <v/>
      </c>
      <c r="G963" s="127">
        <v>45259</v>
      </c>
      <c r="H963" s="123" t="s">
        <v>1872</v>
      </c>
      <c r="I963" s="127">
        <v>45259</v>
      </c>
      <c r="J963" s="124" t="s">
        <v>1288</v>
      </c>
      <c r="K963" s="124" t="s">
        <v>1530</v>
      </c>
      <c r="L963" s="124"/>
      <c r="M963" s="125">
        <v>437000</v>
      </c>
      <c r="N963" s="148">
        <v>0</v>
      </c>
      <c r="O963" s="148">
        <v>0</v>
      </c>
      <c r="P963" s="149">
        <v>0</v>
      </c>
      <c r="Q963" s="148">
        <v>0</v>
      </c>
      <c r="R963" s="150">
        <v>437000</v>
      </c>
      <c r="S9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3" s="135">
        <f ca="1">+IF(PROVEEDORES[[#This Row],[FECHA DE PAGO]]=0,TODAY()-PROVEEDORES[[#This Row],[FECHA DE FACTURACIÓN]]-PROVEEDORES[[#This Row],[PLAZO Días]],0)</f>
        <v>0</v>
      </c>
      <c r="U963" s="135">
        <f>+VLOOKUP(PROVEEDORES[[#This Row],[PROVEEDOR]],Terceros!$A:$D,4,FALSE)</f>
        <v>0</v>
      </c>
      <c r="V963" s="135">
        <f>+YEAR(PROVEEDORES[[#This Row],[FECHA DE FACTURACIÓN]])</f>
        <v>2023</v>
      </c>
      <c r="W963" s="135">
        <f>+MATCH(PROVEEDORES[[#This Row],[año facturado]],Retenciones!$1:$1,0)</f>
        <v>6</v>
      </c>
      <c r="X963" s="136">
        <f>+VLOOKUP(PROVEEDORES[[#This Row],[ID RETENCION]],Retenciones!$A$1:$O$25,PROVEEDORES[[#This Row],[indicador de columna]],FALSE)</f>
        <v>0</v>
      </c>
      <c r="Y963" s="137">
        <f>+VLOOKUP(PROVEEDORES[[#This Row],[ID RETENCION]],Retenciones!$A$1:$O$25,2,FALSE)</f>
        <v>0</v>
      </c>
      <c r="Z963" s="126" t="b">
        <f>+OR(COUNTIF(PROVEEDORES[[#This Row],[PROVEEDOR]],"*"&amp;'Palabra que no opera y Listas d'!$A$2&amp;"*"))</f>
        <v>0</v>
      </c>
    </row>
    <row r="964" spans="1:26" ht="27.75" customHeight="1" x14ac:dyDescent="0.25">
      <c r="A964" s="141" t="str">
        <f>+IF(PROVEEDORES[[#This Row],[FECHA DE PAGO]]=PROVEEDORES[[#This Row],[FECHA DE FACTURACIÓN]],"DE CONTADO","CRÉDITO")</f>
        <v>DE CONTADO</v>
      </c>
      <c r="B964" s="138" t="b">
        <f>+IF((PROVEEDORES[[#This Row],[FECHA DE PAGO]]-PROVEEDORES[[#This Row],[FECHA DE FACTURACIÓN]])&gt;PROVEEDORES[[#This Row],[PLAZO Días]],"PAGO VENCIDO")</f>
        <v>0</v>
      </c>
      <c r="C964" s="138">
        <f>+VLOOKUP(PROVEEDORES[[#This Row],[PROVEEDOR]],TERCEROS_INFO[#All],2,FALSE)</f>
        <v>30</v>
      </c>
      <c r="D964" s="139">
        <f>+SUMIFS(PROVEEDORES[Total],PROVEEDORES[PROVEEDOR],PROVEEDORES[[#This Row],[PROVEEDOR]],PROVEEDORES[FECHA DE PAGO],"")</f>
        <v>0</v>
      </c>
      <c r="E964" s="140"/>
      <c r="F964" s="138" t="str">
        <f>+VLOOKUP(PROVEEDORES[[#This Row],[PROVEEDOR]],
                       Terceros!$A:$F,
                       5,
                       FALSE)</f>
        <v/>
      </c>
      <c r="G964" s="127">
        <v>45259</v>
      </c>
      <c r="H964" s="123" t="s">
        <v>1872</v>
      </c>
      <c r="I964" s="127">
        <v>45259</v>
      </c>
      <c r="J964" s="124" t="s">
        <v>1288</v>
      </c>
      <c r="K964" s="124" t="s">
        <v>1530</v>
      </c>
      <c r="L964" s="124"/>
      <c r="M964" s="125">
        <v>2974000</v>
      </c>
      <c r="N964" s="148">
        <v>0</v>
      </c>
      <c r="O964" s="148">
        <v>0</v>
      </c>
      <c r="P964" s="149">
        <v>0</v>
      </c>
      <c r="Q964" s="148">
        <v>0</v>
      </c>
      <c r="R964" s="150">
        <v>2974000</v>
      </c>
      <c r="S9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4" s="135">
        <f ca="1">+IF(PROVEEDORES[[#This Row],[FECHA DE PAGO]]=0,TODAY()-PROVEEDORES[[#This Row],[FECHA DE FACTURACIÓN]]-PROVEEDORES[[#This Row],[PLAZO Días]],0)</f>
        <v>0</v>
      </c>
      <c r="U964" s="135">
        <f>+VLOOKUP(PROVEEDORES[[#This Row],[PROVEEDOR]],Terceros!$A:$D,4,FALSE)</f>
        <v>0</v>
      </c>
      <c r="V964" s="135">
        <f>+YEAR(PROVEEDORES[[#This Row],[FECHA DE FACTURACIÓN]])</f>
        <v>2023</v>
      </c>
      <c r="W964" s="135">
        <f>+MATCH(PROVEEDORES[[#This Row],[año facturado]],Retenciones!$1:$1,0)</f>
        <v>6</v>
      </c>
      <c r="X964" s="136">
        <f>+VLOOKUP(PROVEEDORES[[#This Row],[ID RETENCION]],Retenciones!$A$1:$O$25,PROVEEDORES[[#This Row],[indicador de columna]],FALSE)</f>
        <v>0</v>
      </c>
      <c r="Y964" s="137">
        <f>+VLOOKUP(PROVEEDORES[[#This Row],[ID RETENCION]],Retenciones!$A$1:$O$25,2,FALSE)</f>
        <v>0</v>
      </c>
      <c r="Z964" s="126" t="b">
        <f>+OR(COUNTIF(PROVEEDORES[[#This Row],[PROVEEDOR]],"*"&amp;'Palabra que no opera y Listas d'!$A$2&amp;"*"))</f>
        <v>0</v>
      </c>
    </row>
    <row r="965" spans="1:26" ht="27.75" customHeight="1" x14ac:dyDescent="0.25">
      <c r="A965" s="141" t="str">
        <f>+IF(PROVEEDORES[[#This Row],[FECHA DE PAGO]]=PROVEEDORES[[#This Row],[FECHA DE FACTURACIÓN]],"DE CONTADO","CRÉDITO")</f>
        <v>DE CONTADO</v>
      </c>
      <c r="B965" s="138" t="b">
        <f>+IF((PROVEEDORES[[#This Row],[FECHA DE PAGO]]-PROVEEDORES[[#This Row],[FECHA DE FACTURACIÓN]])&gt;PROVEEDORES[[#This Row],[PLAZO Días]],"PAGO VENCIDO")</f>
        <v>0</v>
      </c>
      <c r="C965" s="138">
        <f>+VLOOKUP(PROVEEDORES[[#This Row],[PROVEEDOR]],TERCEROS_INFO[#All],2,FALSE)</f>
        <v>30</v>
      </c>
      <c r="D965" s="139">
        <f>+SUMIFS(PROVEEDORES[Total],PROVEEDORES[PROVEEDOR],PROVEEDORES[[#This Row],[PROVEEDOR]],PROVEEDORES[FECHA DE PAGO],"")</f>
        <v>0</v>
      </c>
      <c r="E965" s="140"/>
      <c r="F965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965" s="127">
        <v>45259</v>
      </c>
      <c r="H965" s="123" t="s">
        <v>1863</v>
      </c>
      <c r="I965" s="127">
        <v>45259</v>
      </c>
      <c r="J965" s="124" t="s">
        <v>1287</v>
      </c>
      <c r="K965" s="124" t="s">
        <v>1530</v>
      </c>
      <c r="L965" s="124"/>
      <c r="M965" s="125">
        <v>2992242</v>
      </c>
      <c r="N965" s="148">
        <v>0</v>
      </c>
      <c r="O965" s="148">
        <v>0</v>
      </c>
      <c r="P965" s="149">
        <v>0</v>
      </c>
      <c r="Q965" s="148">
        <v>0</v>
      </c>
      <c r="R965" s="150">
        <v>2992242</v>
      </c>
      <c r="S9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5" s="135">
        <f ca="1">+IF(PROVEEDORES[[#This Row],[FECHA DE PAGO]]=0,TODAY()-PROVEEDORES[[#This Row],[FECHA DE FACTURACIÓN]]-PROVEEDORES[[#This Row],[PLAZO Días]],0)</f>
        <v>0</v>
      </c>
      <c r="U965" s="135">
        <f>+VLOOKUP(PROVEEDORES[[#This Row],[PROVEEDOR]],Terceros!$A:$D,4,FALSE)</f>
        <v>0</v>
      </c>
      <c r="V965" s="135">
        <f>+YEAR(PROVEEDORES[[#This Row],[FECHA DE FACTURACIÓN]])</f>
        <v>2023</v>
      </c>
      <c r="W965" s="135">
        <f>+MATCH(PROVEEDORES[[#This Row],[año facturado]],Retenciones!$1:$1,0)</f>
        <v>6</v>
      </c>
      <c r="X965" s="136">
        <f>+VLOOKUP(PROVEEDORES[[#This Row],[ID RETENCION]],Retenciones!$A$1:$O$25,PROVEEDORES[[#This Row],[indicador de columna]],FALSE)</f>
        <v>0</v>
      </c>
      <c r="Y965" s="137">
        <f>+VLOOKUP(PROVEEDORES[[#This Row],[ID RETENCION]],Retenciones!$A$1:$O$25,2,FALSE)</f>
        <v>0</v>
      </c>
      <c r="Z965" s="126" t="b">
        <f>+OR(COUNTIF(PROVEEDORES[[#This Row],[PROVEEDOR]],"*"&amp;'Palabra que no opera y Listas d'!$A$2&amp;"*"))</f>
        <v>0</v>
      </c>
    </row>
    <row r="966" spans="1:26" ht="27.75" customHeight="1" x14ac:dyDescent="0.25">
      <c r="A966" s="141" t="str">
        <f>+IF(PROVEEDORES[[#This Row],[FECHA DE PAGO]]=PROVEEDORES[[#This Row],[FECHA DE FACTURACIÓN]],"DE CONTADO","CRÉDITO")</f>
        <v>DE CONTADO</v>
      </c>
      <c r="B966" s="138" t="b">
        <f>+IF((PROVEEDORES[[#This Row],[FECHA DE PAGO]]-PROVEEDORES[[#This Row],[FECHA DE FACTURACIÓN]])&gt;PROVEEDORES[[#This Row],[PLAZO Días]],"PAGO VENCIDO")</f>
        <v>0</v>
      </c>
      <c r="C966" s="138">
        <f>+VLOOKUP(PROVEEDORES[[#This Row],[PROVEEDOR]],TERCEROS_INFO[#All],2,FALSE)</f>
        <v>30</v>
      </c>
      <c r="D966" s="139">
        <f>+SUMIFS(PROVEEDORES[Total],PROVEEDORES[PROVEEDOR],PROVEEDORES[[#This Row],[PROVEEDOR]],PROVEEDORES[FECHA DE PAGO],"")</f>
        <v>0</v>
      </c>
      <c r="E966" s="140"/>
      <c r="F966" s="138" t="str">
        <f>+VLOOKUP(PROVEEDORES[[#This Row],[PROVEEDOR]],
                       Terceros!$A:$F,
                       5,
                       FALSE)</f>
        <v/>
      </c>
      <c r="G966" s="127">
        <v>45260</v>
      </c>
      <c r="H966" s="123" t="s">
        <v>525</v>
      </c>
      <c r="I966" s="127">
        <v>45260</v>
      </c>
      <c r="J966" s="124" t="s">
        <v>1531</v>
      </c>
      <c r="K966" s="124" t="s">
        <v>1530</v>
      </c>
      <c r="L966" s="124"/>
      <c r="M966" s="125">
        <v>32000</v>
      </c>
      <c r="N966" s="148">
        <v>0</v>
      </c>
      <c r="O966" s="148">
        <v>0</v>
      </c>
      <c r="P966" s="149">
        <v>0</v>
      </c>
      <c r="Q966" s="148">
        <v>0</v>
      </c>
      <c r="R966" s="150">
        <v>32000</v>
      </c>
      <c r="S9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6" s="135">
        <f ca="1">+IF(PROVEEDORES[[#This Row],[FECHA DE PAGO]]=0,TODAY()-PROVEEDORES[[#This Row],[FECHA DE FACTURACIÓN]]-PROVEEDORES[[#This Row],[PLAZO Días]],0)</f>
        <v>0</v>
      </c>
      <c r="U966" s="135">
        <f>+VLOOKUP(PROVEEDORES[[#This Row],[PROVEEDOR]],Terceros!$A:$D,4,FALSE)</f>
        <v>0</v>
      </c>
      <c r="V966" s="135">
        <f>+YEAR(PROVEEDORES[[#This Row],[FECHA DE FACTURACIÓN]])</f>
        <v>2023</v>
      </c>
      <c r="W966" s="135">
        <f>+MATCH(PROVEEDORES[[#This Row],[año facturado]],Retenciones!$1:$1,0)</f>
        <v>6</v>
      </c>
      <c r="X966" s="136">
        <f>+VLOOKUP(PROVEEDORES[[#This Row],[ID RETENCION]],Retenciones!$A$1:$O$25,PROVEEDORES[[#This Row],[indicador de columna]],FALSE)</f>
        <v>0</v>
      </c>
      <c r="Y966" s="137">
        <f>+VLOOKUP(PROVEEDORES[[#This Row],[ID RETENCION]],Retenciones!$A$1:$O$25,2,FALSE)</f>
        <v>0</v>
      </c>
      <c r="Z966" s="126" t="b">
        <f>+OR(COUNTIF(PROVEEDORES[[#This Row],[PROVEEDOR]],"*"&amp;'Palabra que no opera y Listas d'!$A$2&amp;"*"))</f>
        <v>0</v>
      </c>
    </row>
    <row r="967" spans="1:26" ht="27.75" customHeight="1" x14ac:dyDescent="0.25">
      <c r="A967" s="141" t="str">
        <f>+IF(PROVEEDORES[[#This Row],[FECHA DE PAGO]]=PROVEEDORES[[#This Row],[FECHA DE FACTURACIÓN]],"DE CONTADO","CRÉDITO")</f>
        <v>DE CONTADO</v>
      </c>
      <c r="B967" s="138" t="b">
        <f>+IF((PROVEEDORES[[#This Row],[FECHA DE PAGO]]-PROVEEDORES[[#This Row],[FECHA DE FACTURACIÓN]])&gt;PROVEEDORES[[#This Row],[PLAZO Días]],"PAGO VENCIDO")</f>
        <v>0</v>
      </c>
      <c r="C967" s="138">
        <f>+VLOOKUP(PROVEEDORES[[#This Row],[PROVEEDOR]],TERCEROS_INFO[#All],2,FALSE)</f>
        <v>30</v>
      </c>
      <c r="D967" s="139">
        <f>+SUMIFS(PROVEEDORES[Total],PROVEEDORES[PROVEEDOR],PROVEEDORES[[#This Row],[PROVEEDOR]],PROVEEDORES[FECHA DE PAGO],"")</f>
        <v>0</v>
      </c>
      <c r="E967" s="140"/>
      <c r="F967" s="138" t="str">
        <f>+VLOOKUP(PROVEEDORES[[#This Row],[PROVEEDOR]],
                       Terceros!$A:$F,
                       5,
                       FALSE)</f>
        <v/>
      </c>
      <c r="G967" s="127">
        <v>45260</v>
      </c>
      <c r="H967" s="123" t="s">
        <v>525</v>
      </c>
      <c r="I967" s="127">
        <v>45260</v>
      </c>
      <c r="J967" s="124" t="s">
        <v>480</v>
      </c>
      <c r="K967" s="124" t="s">
        <v>1530</v>
      </c>
      <c r="L967" s="124"/>
      <c r="M967" s="125">
        <v>269600</v>
      </c>
      <c r="N967" s="148">
        <v>0</v>
      </c>
      <c r="O967" s="148">
        <v>0</v>
      </c>
      <c r="P967" s="149">
        <v>0</v>
      </c>
      <c r="Q967" s="148">
        <v>0</v>
      </c>
      <c r="R967" s="150">
        <v>269600</v>
      </c>
      <c r="S9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7" s="135">
        <f ca="1">+IF(PROVEEDORES[[#This Row],[FECHA DE PAGO]]=0,TODAY()-PROVEEDORES[[#This Row],[FECHA DE FACTURACIÓN]]-PROVEEDORES[[#This Row],[PLAZO Días]],0)</f>
        <v>0</v>
      </c>
      <c r="U967" s="135">
        <f>+VLOOKUP(PROVEEDORES[[#This Row],[PROVEEDOR]],Terceros!$A:$D,4,FALSE)</f>
        <v>0</v>
      </c>
      <c r="V967" s="135">
        <f>+YEAR(PROVEEDORES[[#This Row],[FECHA DE FACTURACIÓN]])</f>
        <v>2023</v>
      </c>
      <c r="W967" s="135">
        <f>+MATCH(PROVEEDORES[[#This Row],[año facturado]],Retenciones!$1:$1,0)</f>
        <v>6</v>
      </c>
      <c r="X967" s="136">
        <f>+VLOOKUP(PROVEEDORES[[#This Row],[ID RETENCION]],Retenciones!$A$1:$O$25,PROVEEDORES[[#This Row],[indicador de columna]],FALSE)</f>
        <v>0</v>
      </c>
      <c r="Y967" s="137">
        <f>+VLOOKUP(PROVEEDORES[[#This Row],[ID RETENCION]],Retenciones!$A$1:$O$25,2,FALSE)</f>
        <v>0</v>
      </c>
      <c r="Z967" s="126" t="b">
        <f>+OR(COUNTIF(PROVEEDORES[[#This Row],[PROVEEDOR]],"*"&amp;'Palabra que no opera y Listas d'!$A$2&amp;"*"))</f>
        <v>0</v>
      </c>
    </row>
    <row r="968" spans="1:26" ht="27.75" customHeight="1" x14ac:dyDescent="0.25">
      <c r="A968" s="141" t="str">
        <f>+IF(PROVEEDORES[[#This Row],[FECHA DE PAGO]]=PROVEEDORES[[#This Row],[FECHA DE FACTURACIÓN]],"DE CONTADO","CRÉDITO")</f>
        <v>DE CONTADO</v>
      </c>
      <c r="B968" s="138" t="b">
        <f>+IF((PROVEEDORES[[#This Row],[FECHA DE PAGO]]-PROVEEDORES[[#This Row],[FECHA DE FACTURACIÓN]])&gt;PROVEEDORES[[#This Row],[PLAZO Días]],"PAGO VENCIDO")</f>
        <v>0</v>
      </c>
      <c r="C968" s="138">
        <f>+VLOOKUP(PROVEEDORES[[#This Row],[PROVEEDOR]],TERCEROS_INFO[#All],2,FALSE)</f>
        <v>30</v>
      </c>
      <c r="D968" s="139">
        <f>+SUMIFS(PROVEEDORES[Total],PROVEEDORES[PROVEEDOR],PROVEEDORES[[#This Row],[PROVEEDOR]],PROVEEDORES[FECHA DE PAGO],"")</f>
        <v>0</v>
      </c>
      <c r="E968" s="140"/>
      <c r="F968" s="138" t="str">
        <f>+VLOOKUP(PROVEEDORES[[#This Row],[PROVEEDOR]],
                       Terceros!$A:$F,
                       5,
                       FALSE)</f>
        <v/>
      </c>
      <c r="G968" s="127">
        <v>45260</v>
      </c>
      <c r="H968" s="123" t="s">
        <v>525</v>
      </c>
      <c r="I968" s="127">
        <v>45260</v>
      </c>
      <c r="J968" s="124" t="s">
        <v>479</v>
      </c>
      <c r="K968" s="124" t="s">
        <v>1530</v>
      </c>
      <c r="L968" s="124"/>
      <c r="M968" s="125">
        <v>313000</v>
      </c>
      <c r="N968" s="148">
        <v>0</v>
      </c>
      <c r="O968" s="148">
        <v>0</v>
      </c>
      <c r="P968" s="149">
        <v>0</v>
      </c>
      <c r="Q968" s="148">
        <v>0</v>
      </c>
      <c r="R968" s="150">
        <v>313000</v>
      </c>
      <c r="S9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8" s="135">
        <f ca="1">+IF(PROVEEDORES[[#This Row],[FECHA DE PAGO]]=0,TODAY()-PROVEEDORES[[#This Row],[FECHA DE FACTURACIÓN]]-PROVEEDORES[[#This Row],[PLAZO Días]],0)</f>
        <v>0</v>
      </c>
      <c r="U968" s="135">
        <f>+VLOOKUP(PROVEEDORES[[#This Row],[PROVEEDOR]],Terceros!$A:$D,4,FALSE)</f>
        <v>0</v>
      </c>
      <c r="V968" s="135">
        <f>+YEAR(PROVEEDORES[[#This Row],[FECHA DE FACTURACIÓN]])</f>
        <v>2023</v>
      </c>
      <c r="W968" s="135">
        <f>+MATCH(PROVEEDORES[[#This Row],[año facturado]],Retenciones!$1:$1,0)</f>
        <v>6</v>
      </c>
      <c r="X968" s="136">
        <f>+VLOOKUP(PROVEEDORES[[#This Row],[ID RETENCION]],Retenciones!$A$1:$O$25,PROVEEDORES[[#This Row],[indicador de columna]],FALSE)</f>
        <v>0</v>
      </c>
      <c r="Y968" s="137">
        <f>+VLOOKUP(PROVEEDORES[[#This Row],[ID RETENCION]],Retenciones!$A$1:$O$25,2,FALSE)</f>
        <v>0</v>
      </c>
      <c r="Z968" s="126" t="b">
        <f>+OR(COUNTIF(PROVEEDORES[[#This Row],[PROVEEDOR]],"*"&amp;'Palabra que no opera y Listas d'!$A$2&amp;"*"))</f>
        <v>0</v>
      </c>
    </row>
    <row r="969" spans="1:26" ht="27.75" customHeight="1" x14ac:dyDescent="0.25">
      <c r="A969" s="141" t="str">
        <f>+IF(PROVEEDORES[[#This Row],[FECHA DE PAGO]]=PROVEEDORES[[#This Row],[FECHA DE FACTURACIÓN]],"DE CONTADO","CRÉDITO")</f>
        <v>DE CONTADO</v>
      </c>
      <c r="B969" s="138" t="b">
        <f>+IF((PROVEEDORES[[#This Row],[FECHA DE PAGO]]-PROVEEDORES[[#This Row],[FECHA DE FACTURACIÓN]])&gt;PROVEEDORES[[#This Row],[PLAZO Días]],"PAGO VENCIDO")</f>
        <v>0</v>
      </c>
      <c r="C969" s="138">
        <f>+VLOOKUP(PROVEEDORES[[#This Row],[PROVEEDOR]],TERCEROS_INFO[#All],2,FALSE)</f>
        <v>30</v>
      </c>
      <c r="D969" s="139">
        <f>+SUMIFS(PROVEEDORES[Total],PROVEEDORES[PROVEEDOR],PROVEEDORES[[#This Row],[PROVEEDOR]],PROVEEDORES[FECHA DE PAGO],"")</f>
        <v>0</v>
      </c>
      <c r="E969" s="140"/>
      <c r="F969" s="138" t="str">
        <f>+VLOOKUP(PROVEEDORES[[#This Row],[PROVEEDOR]],
                       Terceros!$A:$F,
                       5,
                       FALSE)</f>
        <v/>
      </c>
      <c r="G969" s="127">
        <v>45260</v>
      </c>
      <c r="H969" s="123" t="s">
        <v>525</v>
      </c>
      <c r="I969" s="127">
        <v>45260</v>
      </c>
      <c r="J969" s="124" t="s">
        <v>478</v>
      </c>
      <c r="K969" s="124" t="s">
        <v>1530</v>
      </c>
      <c r="L969" s="124"/>
      <c r="M969" s="125">
        <v>452200</v>
      </c>
      <c r="N969" s="148">
        <v>0</v>
      </c>
      <c r="O969" s="148">
        <v>0</v>
      </c>
      <c r="P969" s="149">
        <v>0</v>
      </c>
      <c r="Q969" s="148">
        <v>0</v>
      </c>
      <c r="R969" s="150">
        <v>452200</v>
      </c>
      <c r="S9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69" s="135">
        <f ca="1">+IF(PROVEEDORES[[#This Row],[FECHA DE PAGO]]=0,TODAY()-PROVEEDORES[[#This Row],[FECHA DE FACTURACIÓN]]-PROVEEDORES[[#This Row],[PLAZO Días]],0)</f>
        <v>0</v>
      </c>
      <c r="U969" s="135">
        <f>+VLOOKUP(PROVEEDORES[[#This Row],[PROVEEDOR]],Terceros!$A:$D,4,FALSE)</f>
        <v>0</v>
      </c>
      <c r="V969" s="135">
        <f>+YEAR(PROVEEDORES[[#This Row],[FECHA DE FACTURACIÓN]])</f>
        <v>2023</v>
      </c>
      <c r="W969" s="135">
        <f>+MATCH(PROVEEDORES[[#This Row],[año facturado]],Retenciones!$1:$1,0)</f>
        <v>6</v>
      </c>
      <c r="X969" s="136">
        <f>+VLOOKUP(PROVEEDORES[[#This Row],[ID RETENCION]],Retenciones!$A$1:$O$25,PROVEEDORES[[#This Row],[indicador de columna]],FALSE)</f>
        <v>0</v>
      </c>
      <c r="Y969" s="137">
        <f>+VLOOKUP(PROVEEDORES[[#This Row],[ID RETENCION]],Retenciones!$A$1:$O$25,2,FALSE)</f>
        <v>0</v>
      </c>
      <c r="Z969" s="126" t="b">
        <f>+OR(COUNTIF(PROVEEDORES[[#This Row],[PROVEEDOR]],"*"&amp;'Palabra que no opera y Listas d'!$A$2&amp;"*"))</f>
        <v>0</v>
      </c>
    </row>
    <row r="970" spans="1:26" ht="27.75" customHeight="1" x14ac:dyDescent="0.25">
      <c r="A970" s="141" t="str">
        <f>+IF(PROVEEDORES[[#This Row],[FECHA DE PAGO]]=PROVEEDORES[[#This Row],[FECHA DE FACTURACIÓN]],"DE CONTADO","CRÉDITO")</f>
        <v>DE CONTADO</v>
      </c>
      <c r="B970" s="138" t="b">
        <f>+IF((PROVEEDORES[[#This Row],[FECHA DE PAGO]]-PROVEEDORES[[#This Row],[FECHA DE FACTURACIÓN]])&gt;PROVEEDORES[[#This Row],[PLAZO Días]],"PAGO VENCIDO")</f>
        <v>0</v>
      </c>
      <c r="C970" s="138">
        <f>+VLOOKUP(PROVEEDORES[[#This Row],[PROVEEDOR]],TERCEROS_INFO[#All],2,FALSE)</f>
        <v>30</v>
      </c>
      <c r="D970" s="139">
        <f>+SUMIFS(PROVEEDORES[Total],PROVEEDORES[PROVEEDOR],PROVEEDORES[[#This Row],[PROVEEDOR]],PROVEEDORES[FECHA DE PAGO],"")</f>
        <v>0</v>
      </c>
      <c r="E970" s="140"/>
      <c r="F970" s="138" t="str">
        <f>+VLOOKUP(PROVEEDORES[[#This Row],[PROVEEDOR]],
                       Terceros!$A:$F,
                       5,
                       FALSE)</f>
        <v/>
      </c>
      <c r="G970" s="127">
        <v>45260</v>
      </c>
      <c r="H970" s="123" t="s">
        <v>525</v>
      </c>
      <c r="I970" s="127">
        <v>45260</v>
      </c>
      <c r="J970" s="124" t="s">
        <v>476</v>
      </c>
      <c r="K970" s="124" t="s">
        <v>1530</v>
      </c>
      <c r="L970" s="124"/>
      <c r="M970" s="125">
        <v>556000</v>
      </c>
      <c r="N970" s="148">
        <v>0</v>
      </c>
      <c r="O970" s="148">
        <v>0</v>
      </c>
      <c r="P970" s="149">
        <v>0</v>
      </c>
      <c r="Q970" s="148">
        <v>0</v>
      </c>
      <c r="R970" s="150">
        <v>556000</v>
      </c>
      <c r="S9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0" s="135">
        <f ca="1">+IF(PROVEEDORES[[#This Row],[FECHA DE PAGO]]=0,TODAY()-PROVEEDORES[[#This Row],[FECHA DE FACTURACIÓN]]-PROVEEDORES[[#This Row],[PLAZO Días]],0)</f>
        <v>0</v>
      </c>
      <c r="U970" s="135">
        <f>+VLOOKUP(PROVEEDORES[[#This Row],[PROVEEDOR]],Terceros!$A:$D,4,FALSE)</f>
        <v>0</v>
      </c>
      <c r="V970" s="135">
        <f>+YEAR(PROVEEDORES[[#This Row],[FECHA DE FACTURACIÓN]])</f>
        <v>2023</v>
      </c>
      <c r="W970" s="135">
        <f>+MATCH(PROVEEDORES[[#This Row],[año facturado]],Retenciones!$1:$1,0)</f>
        <v>6</v>
      </c>
      <c r="X970" s="136">
        <f>+VLOOKUP(PROVEEDORES[[#This Row],[ID RETENCION]],Retenciones!$A$1:$O$25,PROVEEDORES[[#This Row],[indicador de columna]],FALSE)</f>
        <v>0</v>
      </c>
      <c r="Y970" s="137">
        <f>+VLOOKUP(PROVEEDORES[[#This Row],[ID RETENCION]],Retenciones!$A$1:$O$25,2,FALSE)</f>
        <v>0</v>
      </c>
      <c r="Z970" s="126" t="b">
        <f>+OR(COUNTIF(PROVEEDORES[[#This Row],[PROVEEDOR]],"*"&amp;'Palabra que no opera y Listas d'!$A$2&amp;"*"))</f>
        <v>0</v>
      </c>
    </row>
    <row r="971" spans="1:26" ht="27.75" customHeight="1" x14ac:dyDescent="0.25">
      <c r="A971" s="141" t="str">
        <f>+IF(PROVEEDORES[[#This Row],[FECHA DE PAGO]]=PROVEEDORES[[#This Row],[FECHA DE FACTURACIÓN]],"DE CONTADO","CRÉDITO")</f>
        <v>DE CONTADO</v>
      </c>
      <c r="B971" s="138" t="b">
        <f>+IF((PROVEEDORES[[#This Row],[FECHA DE PAGO]]-PROVEEDORES[[#This Row],[FECHA DE FACTURACIÓN]])&gt;PROVEEDORES[[#This Row],[PLAZO Días]],"PAGO VENCIDO")</f>
        <v>0</v>
      </c>
      <c r="C971" s="138">
        <f>+VLOOKUP(PROVEEDORES[[#This Row],[PROVEEDOR]],TERCEROS_INFO[#All],2,FALSE)</f>
        <v>30</v>
      </c>
      <c r="D971" s="139">
        <f>+SUMIFS(PROVEEDORES[Total],PROVEEDORES[PROVEEDOR],PROVEEDORES[[#This Row],[PROVEEDOR]],PROVEEDORES[FECHA DE PAGO],"")</f>
        <v>0</v>
      </c>
      <c r="E971" s="140"/>
      <c r="F971" s="138" t="str">
        <f>+VLOOKUP(PROVEEDORES[[#This Row],[PROVEEDOR]],
                       Terceros!$A:$F,
                       5,
                       FALSE)</f>
        <v/>
      </c>
      <c r="G971" s="127">
        <v>45260</v>
      </c>
      <c r="H971" s="123" t="s">
        <v>525</v>
      </c>
      <c r="I971" s="127">
        <v>45260</v>
      </c>
      <c r="J971" s="124" t="s">
        <v>477</v>
      </c>
      <c r="K971" s="124" t="s">
        <v>1530</v>
      </c>
      <c r="L971" s="124"/>
      <c r="M971" s="125">
        <v>1599800</v>
      </c>
      <c r="N971" s="148">
        <v>0</v>
      </c>
      <c r="O971" s="148">
        <v>0</v>
      </c>
      <c r="P971" s="149">
        <v>0</v>
      </c>
      <c r="Q971" s="148">
        <v>0</v>
      </c>
      <c r="R971" s="150">
        <v>1599800</v>
      </c>
      <c r="S9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1" s="135">
        <f ca="1">+IF(PROVEEDORES[[#This Row],[FECHA DE PAGO]]=0,TODAY()-PROVEEDORES[[#This Row],[FECHA DE FACTURACIÓN]]-PROVEEDORES[[#This Row],[PLAZO Días]],0)</f>
        <v>0</v>
      </c>
      <c r="U971" s="135">
        <f>+VLOOKUP(PROVEEDORES[[#This Row],[PROVEEDOR]],Terceros!$A:$D,4,FALSE)</f>
        <v>0</v>
      </c>
      <c r="V971" s="135">
        <f>+YEAR(PROVEEDORES[[#This Row],[FECHA DE FACTURACIÓN]])</f>
        <v>2023</v>
      </c>
      <c r="W971" s="135">
        <f>+MATCH(PROVEEDORES[[#This Row],[año facturado]],Retenciones!$1:$1,0)</f>
        <v>6</v>
      </c>
      <c r="X971" s="136">
        <f>+VLOOKUP(PROVEEDORES[[#This Row],[ID RETENCION]],Retenciones!$A$1:$O$25,PROVEEDORES[[#This Row],[indicador de columna]],FALSE)</f>
        <v>0</v>
      </c>
      <c r="Y971" s="137">
        <f>+VLOOKUP(PROVEEDORES[[#This Row],[ID RETENCION]],Retenciones!$A$1:$O$25,2,FALSE)</f>
        <v>0</v>
      </c>
      <c r="Z971" s="126" t="b">
        <f>+OR(COUNTIF(PROVEEDORES[[#This Row],[PROVEEDOR]],"*"&amp;'Palabra que no opera y Listas d'!$A$2&amp;"*"))</f>
        <v>0</v>
      </c>
    </row>
    <row r="972" spans="1:26" ht="27.75" customHeight="1" x14ac:dyDescent="0.25">
      <c r="A972" s="141" t="str">
        <f>+IF(PROVEEDORES[[#This Row],[FECHA DE PAGO]]=PROVEEDORES[[#This Row],[FECHA DE FACTURACIÓN]],"DE CONTADO","CRÉDITO")</f>
        <v>CRÉDITO</v>
      </c>
      <c r="B972" s="138" t="b">
        <f>+IF((PROVEEDORES[[#This Row],[FECHA DE PAGO]]-PROVEEDORES[[#This Row],[FECHA DE FACTURACIÓN]])&gt;PROVEEDORES[[#This Row],[PLAZO Días]],"PAGO VENCIDO")</f>
        <v>0</v>
      </c>
      <c r="C972" s="138">
        <f>+VLOOKUP(PROVEEDORES[[#This Row],[PROVEEDOR]],TERCEROS_INFO[#All],2,FALSE)</f>
        <v>30</v>
      </c>
      <c r="D972" s="139">
        <f>+SUMIFS(PROVEEDORES[Total],PROVEEDORES[PROVEEDOR],PROVEEDORES[[#This Row],[PROVEEDOR]],PROVEEDORES[FECHA DE PAGO],"")</f>
        <v>0</v>
      </c>
      <c r="E972" s="140"/>
      <c r="F972" s="138" t="str">
        <f>+VLOOKUP(PROVEEDORES[[#This Row],[PROVEEDOR]],
                       Terceros!$A:$F,
                       5,
                       FALSE)</f>
        <v/>
      </c>
      <c r="G972" s="127">
        <v>45261</v>
      </c>
      <c r="H972" s="123" t="s">
        <v>1803</v>
      </c>
      <c r="I972" s="127">
        <v>45257</v>
      </c>
      <c r="J972" s="124" t="s">
        <v>1322</v>
      </c>
      <c r="K972" s="124" t="s">
        <v>1530</v>
      </c>
      <c r="L972" s="124"/>
      <c r="M972" s="125">
        <v>1865344</v>
      </c>
      <c r="N972" s="148">
        <v>0</v>
      </c>
      <c r="O972" s="148">
        <v>0</v>
      </c>
      <c r="P972" s="149">
        <v>0</v>
      </c>
      <c r="Q972" s="148">
        <v>0</v>
      </c>
      <c r="R972" s="150">
        <v>1865344</v>
      </c>
      <c r="S9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2" s="135">
        <f ca="1">+IF(PROVEEDORES[[#This Row],[FECHA DE PAGO]]=0,TODAY()-PROVEEDORES[[#This Row],[FECHA DE FACTURACIÓN]]-PROVEEDORES[[#This Row],[PLAZO Días]],0)</f>
        <v>0</v>
      </c>
      <c r="U972" s="135">
        <f>+VLOOKUP(PROVEEDORES[[#This Row],[PROVEEDOR]],Terceros!$A:$D,4,FALSE)</f>
        <v>0</v>
      </c>
      <c r="V972" s="135">
        <f>+YEAR(PROVEEDORES[[#This Row],[FECHA DE FACTURACIÓN]])</f>
        <v>2023</v>
      </c>
      <c r="W972" s="135">
        <f>+MATCH(PROVEEDORES[[#This Row],[año facturado]],Retenciones!$1:$1,0)</f>
        <v>6</v>
      </c>
      <c r="X972" s="136">
        <f>+VLOOKUP(PROVEEDORES[[#This Row],[ID RETENCION]],Retenciones!$A$1:$O$25,PROVEEDORES[[#This Row],[indicador de columna]],FALSE)</f>
        <v>0</v>
      </c>
      <c r="Y972" s="137">
        <f>+VLOOKUP(PROVEEDORES[[#This Row],[ID RETENCION]],Retenciones!$A$1:$O$25,2,FALSE)</f>
        <v>0</v>
      </c>
      <c r="Z972" s="126" t="b">
        <f>+OR(COUNTIF(PROVEEDORES[[#This Row],[PROVEEDOR]],"*"&amp;'Palabra que no opera y Listas d'!$A$2&amp;"*"))</f>
        <v>0</v>
      </c>
    </row>
    <row r="973" spans="1:26" ht="27.75" customHeight="1" x14ac:dyDescent="0.25">
      <c r="A973" s="141" t="str">
        <f>+IF(PROVEEDORES[[#This Row],[FECHA DE PAGO]]=PROVEEDORES[[#This Row],[FECHA DE FACTURACIÓN]],"DE CONTADO","CRÉDITO")</f>
        <v>DE CONTADO</v>
      </c>
      <c r="B973" s="138" t="b">
        <f>+IF((PROVEEDORES[[#This Row],[FECHA DE PAGO]]-PROVEEDORES[[#This Row],[FECHA DE FACTURACIÓN]])&gt;PROVEEDORES[[#This Row],[PLAZO Días]],"PAGO VENCIDO")</f>
        <v>0</v>
      </c>
      <c r="C973" s="138">
        <f>+VLOOKUP(PROVEEDORES[[#This Row],[PROVEEDOR]],TERCEROS_INFO[#All],2,FALSE)</f>
        <v>30</v>
      </c>
      <c r="D973" s="139">
        <f>+SUMIFS(PROVEEDORES[Total],PROVEEDORES[PROVEEDOR],PROVEEDORES[[#This Row],[PROVEEDOR]],PROVEEDORES[FECHA DE PAGO],"")</f>
        <v>0</v>
      </c>
      <c r="E973" s="140"/>
      <c r="F973" s="138" t="str">
        <f>+VLOOKUP(PROVEEDORES[[#This Row],[PROVEEDOR]],
                       Terceros!$A:$F,
                       5,
                       FALSE)</f>
        <v/>
      </c>
      <c r="G973" s="127">
        <v>45261</v>
      </c>
      <c r="H973" s="123" t="s">
        <v>525</v>
      </c>
      <c r="I973" s="127">
        <v>45261</v>
      </c>
      <c r="J973" s="124" t="s">
        <v>1234</v>
      </c>
      <c r="K973" s="124" t="s">
        <v>1530</v>
      </c>
      <c r="L973" s="124"/>
      <c r="M973" s="125">
        <v>200000</v>
      </c>
      <c r="N973" s="148">
        <v>0</v>
      </c>
      <c r="O973" s="148">
        <v>0</v>
      </c>
      <c r="P973" s="149">
        <v>0</v>
      </c>
      <c r="Q973" s="148">
        <v>0</v>
      </c>
      <c r="R973" s="150">
        <v>200000</v>
      </c>
      <c r="S9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3" s="135">
        <f ca="1">+IF(PROVEEDORES[[#This Row],[FECHA DE PAGO]]=0,TODAY()-PROVEEDORES[[#This Row],[FECHA DE FACTURACIÓN]]-PROVEEDORES[[#This Row],[PLAZO Días]],0)</f>
        <v>0</v>
      </c>
      <c r="U973" s="135">
        <f>+VLOOKUP(PROVEEDORES[[#This Row],[PROVEEDOR]],Terceros!$A:$D,4,FALSE)</f>
        <v>0</v>
      </c>
      <c r="V973" s="135">
        <f>+YEAR(PROVEEDORES[[#This Row],[FECHA DE FACTURACIÓN]])</f>
        <v>2023</v>
      </c>
      <c r="W973" s="135">
        <f>+MATCH(PROVEEDORES[[#This Row],[año facturado]],Retenciones!$1:$1,0)</f>
        <v>6</v>
      </c>
      <c r="X973" s="136">
        <f>+VLOOKUP(PROVEEDORES[[#This Row],[ID RETENCION]],Retenciones!$A$1:$O$25,PROVEEDORES[[#This Row],[indicador de columna]],FALSE)</f>
        <v>0</v>
      </c>
      <c r="Y973" s="137">
        <f>+VLOOKUP(PROVEEDORES[[#This Row],[ID RETENCION]],Retenciones!$A$1:$O$25,2,FALSE)</f>
        <v>0</v>
      </c>
      <c r="Z973" s="126" t="b">
        <f>+OR(COUNTIF(PROVEEDORES[[#This Row],[PROVEEDOR]],"*"&amp;'Palabra que no opera y Listas d'!$A$2&amp;"*"))</f>
        <v>0</v>
      </c>
    </row>
    <row r="974" spans="1:26" ht="27.75" customHeight="1" x14ac:dyDescent="0.25">
      <c r="A974" s="141" t="str">
        <f>+IF(PROVEEDORES[[#This Row],[FECHA DE PAGO]]=PROVEEDORES[[#This Row],[FECHA DE FACTURACIÓN]],"DE CONTADO","CRÉDITO")</f>
        <v>DE CONTADO</v>
      </c>
      <c r="B974" s="138" t="b">
        <f>+IF((PROVEEDORES[[#This Row],[FECHA DE PAGO]]-PROVEEDORES[[#This Row],[FECHA DE FACTURACIÓN]])&gt;PROVEEDORES[[#This Row],[PLAZO Días]],"PAGO VENCIDO")</f>
        <v>0</v>
      </c>
      <c r="C974" s="138">
        <f>+VLOOKUP(PROVEEDORES[[#This Row],[PROVEEDOR]],TERCEROS_INFO[#All],2,FALSE)</f>
        <v>30</v>
      </c>
      <c r="D974" s="139">
        <f>+SUMIFS(PROVEEDORES[Total],PROVEEDORES[PROVEEDOR],PROVEEDORES[[#This Row],[PROVEEDOR]],PROVEEDORES[FECHA DE PAGO],"")</f>
        <v>0</v>
      </c>
      <c r="E974" s="140"/>
      <c r="F974" s="138" t="str">
        <f>+VLOOKUP(PROVEEDORES[[#This Row],[PROVEEDOR]],
                       Terceros!$A:$F,
                       5,
                       FALSE)</f>
        <v/>
      </c>
      <c r="G974" s="127">
        <v>45261</v>
      </c>
      <c r="H974" s="123" t="s">
        <v>1824</v>
      </c>
      <c r="I974" s="127">
        <v>45261</v>
      </c>
      <c r="J974" s="124"/>
      <c r="K974" s="124" t="s">
        <v>1530</v>
      </c>
      <c r="L974" s="124"/>
      <c r="M974" s="125">
        <v>1000000</v>
      </c>
      <c r="N974" s="148">
        <v>0</v>
      </c>
      <c r="O974" s="148">
        <v>0</v>
      </c>
      <c r="P974" s="149">
        <v>0</v>
      </c>
      <c r="Q974" s="148">
        <v>0</v>
      </c>
      <c r="R974" s="150">
        <v>1000000</v>
      </c>
      <c r="S9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4" s="135">
        <f ca="1">+IF(PROVEEDORES[[#This Row],[FECHA DE PAGO]]=0,TODAY()-PROVEEDORES[[#This Row],[FECHA DE FACTURACIÓN]]-PROVEEDORES[[#This Row],[PLAZO Días]],0)</f>
        <v>0</v>
      </c>
      <c r="U974" s="135">
        <f>+VLOOKUP(PROVEEDORES[[#This Row],[PROVEEDOR]],Terceros!$A:$D,4,FALSE)</f>
        <v>0</v>
      </c>
      <c r="V974" s="135">
        <f>+YEAR(PROVEEDORES[[#This Row],[FECHA DE FACTURACIÓN]])</f>
        <v>2023</v>
      </c>
      <c r="W974" s="135">
        <f>+MATCH(PROVEEDORES[[#This Row],[año facturado]],Retenciones!$1:$1,0)</f>
        <v>6</v>
      </c>
      <c r="X974" s="136">
        <f>+VLOOKUP(PROVEEDORES[[#This Row],[ID RETENCION]],Retenciones!$A$1:$O$25,PROVEEDORES[[#This Row],[indicador de columna]],FALSE)</f>
        <v>0</v>
      </c>
      <c r="Y974" s="137">
        <f>+VLOOKUP(PROVEEDORES[[#This Row],[ID RETENCION]],Retenciones!$A$1:$O$25,2,FALSE)</f>
        <v>0</v>
      </c>
      <c r="Z974" s="126" t="b">
        <f>+OR(COUNTIF(PROVEEDORES[[#This Row],[PROVEEDOR]],"*"&amp;'Palabra que no opera y Listas d'!$A$2&amp;"*"))</f>
        <v>0</v>
      </c>
    </row>
    <row r="975" spans="1:26" ht="27.75" customHeight="1" x14ac:dyDescent="0.25">
      <c r="A975" s="141" t="str">
        <f>+IF(PROVEEDORES[[#This Row],[FECHA DE PAGO]]=PROVEEDORES[[#This Row],[FECHA DE FACTURACIÓN]],"DE CONTADO","CRÉDITO")</f>
        <v>DE CONTADO</v>
      </c>
      <c r="B975" s="138" t="b">
        <f>+IF((PROVEEDORES[[#This Row],[FECHA DE PAGO]]-PROVEEDORES[[#This Row],[FECHA DE FACTURACIÓN]])&gt;PROVEEDORES[[#This Row],[PLAZO Días]],"PAGO VENCIDO")</f>
        <v>0</v>
      </c>
      <c r="C975" s="138">
        <f>+VLOOKUP(PROVEEDORES[[#This Row],[PROVEEDOR]],TERCEROS_INFO[#All],2,FALSE)</f>
        <v>0</v>
      </c>
      <c r="D975" s="139">
        <f>+SUMIFS(PROVEEDORES[Total],PROVEEDORES[PROVEEDOR],PROVEEDORES[[#This Row],[PROVEEDOR]],PROVEEDORES[FECHA DE PAGO],"")</f>
        <v>0</v>
      </c>
      <c r="E975" s="140"/>
      <c r="F975" s="138">
        <f>+VLOOKUP(PROVEEDORES[[#This Row],[PROVEEDOR]],
                       Terceros!$A:$F,
                       5,
                       FALSE)</f>
        <v>0</v>
      </c>
      <c r="G975" s="127">
        <v>45261</v>
      </c>
      <c r="H975" s="123" t="s">
        <v>456</v>
      </c>
      <c r="I975" s="127">
        <v>45261</v>
      </c>
      <c r="J975" s="124" t="s">
        <v>1293</v>
      </c>
      <c r="K975" s="124" t="s">
        <v>1530</v>
      </c>
      <c r="L975" s="124"/>
      <c r="M975" s="125">
        <v>300000</v>
      </c>
      <c r="N975" s="148">
        <v>0</v>
      </c>
      <c r="O975" s="148">
        <v>0</v>
      </c>
      <c r="P975" s="149">
        <v>0</v>
      </c>
      <c r="Q975" s="148">
        <v>0</v>
      </c>
      <c r="R975" s="150">
        <v>300000</v>
      </c>
      <c r="S9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5" s="135">
        <f ca="1">+IF(PROVEEDORES[[#This Row],[FECHA DE PAGO]]=0,TODAY()-PROVEEDORES[[#This Row],[FECHA DE FACTURACIÓN]]-PROVEEDORES[[#This Row],[PLAZO Días]],0)</f>
        <v>0</v>
      </c>
      <c r="U975" s="135">
        <f>+VLOOKUP(PROVEEDORES[[#This Row],[PROVEEDOR]],Terceros!$A:$D,4,FALSE)</f>
        <v>0</v>
      </c>
      <c r="V975" s="135">
        <f>+YEAR(PROVEEDORES[[#This Row],[FECHA DE FACTURACIÓN]])</f>
        <v>2023</v>
      </c>
      <c r="W975" s="135">
        <f>+MATCH(PROVEEDORES[[#This Row],[año facturado]],Retenciones!$1:$1,0)</f>
        <v>6</v>
      </c>
      <c r="X975" s="136">
        <f>+VLOOKUP(PROVEEDORES[[#This Row],[ID RETENCION]],Retenciones!$A$1:$O$25,PROVEEDORES[[#This Row],[indicador de columna]],FALSE)</f>
        <v>0</v>
      </c>
      <c r="Y975" s="137">
        <f>+VLOOKUP(PROVEEDORES[[#This Row],[ID RETENCION]],Retenciones!$A$1:$O$25,2,FALSE)</f>
        <v>0</v>
      </c>
      <c r="Z975" s="126" t="b">
        <f>+OR(COUNTIF(PROVEEDORES[[#This Row],[PROVEEDOR]],"*"&amp;'Palabra que no opera y Listas d'!$A$2&amp;"*"))</f>
        <v>1</v>
      </c>
    </row>
    <row r="976" spans="1:26" ht="27.75" customHeight="1" x14ac:dyDescent="0.25">
      <c r="A976" s="141" t="str">
        <f>+IF(PROVEEDORES[[#This Row],[FECHA DE PAGO]]=PROVEEDORES[[#This Row],[FECHA DE FACTURACIÓN]],"DE CONTADO","CRÉDITO")</f>
        <v>CRÉDITO</v>
      </c>
      <c r="B976" s="138" t="b">
        <f>+IF((PROVEEDORES[[#This Row],[FECHA DE PAGO]]-PROVEEDORES[[#This Row],[FECHA DE FACTURACIÓN]])&gt;PROVEEDORES[[#This Row],[PLAZO Días]],"PAGO VENCIDO")</f>
        <v>0</v>
      </c>
      <c r="C976" s="138">
        <f>+VLOOKUP(PROVEEDORES[[#This Row],[PROVEEDOR]],TERCEROS_INFO[#All],2,FALSE)</f>
        <v>30</v>
      </c>
      <c r="D976" s="139">
        <f>+SUMIFS(PROVEEDORES[Total],PROVEEDORES[PROVEEDOR],PROVEEDORES[[#This Row],[PROVEEDOR]],PROVEEDORES[FECHA DE PAGO],"")</f>
        <v>0</v>
      </c>
      <c r="E976" s="140"/>
      <c r="F976" s="138">
        <f>+VLOOKUP(PROVEEDORES[[#This Row],[PROVEEDOR]],
                       Terceros!$A:$F,
                       5,
                       FALSE)</f>
        <v>0</v>
      </c>
      <c r="G976" s="127">
        <v>45262</v>
      </c>
      <c r="H976" s="123" t="s">
        <v>387</v>
      </c>
      <c r="I976" s="127">
        <v>45261</v>
      </c>
      <c r="J976" s="124" t="s">
        <v>173</v>
      </c>
      <c r="K976" s="124" t="s">
        <v>1530</v>
      </c>
      <c r="L976" s="124"/>
      <c r="M976" s="125">
        <v>411454</v>
      </c>
      <c r="N976" s="148">
        <v>0</v>
      </c>
      <c r="O976" s="148">
        <v>0</v>
      </c>
      <c r="P976" s="149">
        <v>0</v>
      </c>
      <c r="Q976" s="148">
        <v>0</v>
      </c>
      <c r="R976" s="150">
        <v>411454</v>
      </c>
      <c r="S9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6" s="135">
        <f ca="1">+IF(PROVEEDORES[[#This Row],[FECHA DE PAGO]]=0,TODAY()-PROVEEDORES[[#This Row],[FECHA DE FACTURACIÓN]]-PROVEEDORES[[#This Row],[PLAZO Días]],0)</f>
        <v>0</v>
      </c>
      <c r="U976" s="135">
        <f>+VLOOKUP(PROVEEDORES[[#This Row],[PROVEEDOR]],Terceros!$A:$D,4,FALSE)</f>
        <v>0</v>
      </c>
      <c r="V976" s="135">
        <f>+YEAR(PROVEEDORES[[#This Row],[FECHA DE FACTURACIÓN]])</f>
        <v>2023</v>
      </c>
      <c r="W976" s="135">
        <f>+MATCH(PROVEEDORES[[#This Row],[año facturado]],Retenciones!$1:$1,0)</f>
        <v>6</v>
      </c>
      <c r="X976" s="136">
        <f>+VLOOKUP(PROVEEDORES[[#This Row],[ID RETENCION]],Retenciones!$A$1:$O$25,PROVEEDORES[[#This Row],[indicador de columna]],FALSE)</f>
        <v>0</v>
      </c>
      <c r="Y976" s="137">
        <f>+VLOOKUP(PROVEEDORES[[#This Row],[ID RETENCION]],Retenciones!$A$1:$O$25,2,FALSE)</f>
        <v>0</v>
      </c>
      <c r="Z976" s="126" t="b">
        <f>+OR(COUNTIF(PROVEEDORES[[#This Row],[PROVEEDOR]],"*"&amp;'Palabra que no opera y Listas d'!$A$2&amp;"*"))</f>
        <v>1</v>
      </c>
    </row>
    <row r="977" spans="1:26" ht="27.75" customHeight="1" x14ac:dyDescent="0.25">
      <c r="A977" s="141" t="str">
        <f>+IF(PROVEEDORES[[#This Row],[FECHA DE PAGO]]=PROVEEDORES[[#This Row],[FECHA DE FACTURACIÓN]],"DE CONTADO","CRÉDITO")</f>
        <v>CRÉDITO</v>
      </c>
      <c r="B977" s="138" t="b">
        <f>+IF((PROVEEDORES[[#This Row],[FECHA DE PAGO]]-PROVEEDORES[[#This Row],[FECHA DE FACTURACIÓN]])&gt;PROVEEDORES[[#This Row],[PLAZO Días]],"PAGO VENCIDO")</f>
        <v>0</v>
      </c>
      <c r="C977" s="138">
        <f>+VLOOKUP(PROVEEDORES[[#This Row],[PROVEEDOR]],TERCEROS_INFO[#All],2,FALSE)</f>
        <v>30</v>
      </c>
      <c r="D977" s="139">
        <f>+SUMIFS(PROVEEDORES[Total],PROVEEDORES[PROVEEDOR],PROVEEDORES[[#This Row],[PROVEEDOR]],PROVEEDORES[FECHA DE PAGO],"")</f>
        <v>0</v>
      </c>
      <c r="E977" s="140"/>
      <c r="F977" s="138" t="str">
        <f>+VLOOKUP(PROVEEDORES[[#This Row],[PROVEEDOR]],
                       Terceros!$A:$F,
                       5,
                       FALSE)</f>
        <v>PSE</v>
      </c>
      <c r="G977" s="127">
        <v>45262</v>
      </c>
      <c r="H977" s="123" t="s">
        <v>390</v>
      </c>
      <c r="I977" s="127">
        <v>45261</v>
      </c>
      <c r="J977" s="124"/>
      <c r="K977" s="124" t="s">
        <v>1530</v>
      </c>
      <c r="L977" s="124"/>
      <c r="M977" s="125">
        <v>707697</v>
      </c>
      <c r="N977" s="148">
        <v>0</v>
      </c>
      <c r="O977" s="148">
        <v>0</v>
      </c>
      <c r="P977" s="149">
        <v>0</v>
      </c>
      <c r="Q977" s="148">
        <v>0</v>
      </c>
      <c r="R977" s="150">
        <v>707697</v>
      </c>
      <c r="S9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7" s="135">
        <f ca="1">+IF(PROVEEDORES[[#This Row],[FECHA DE PAGO]]=0,TODAY()-PROVEEDORES[[#This Row],[FECHA DE FACTURACIÓN]]-PROVEEDORES[[#This Row],[PLAZO Días]],0)</f>
        <v>0</v>
      </c>
      <c r="U977" s="135">
        <f>+VLOOKUP(PROVEEDORES[[#This Row],[PROVEEDOR]],Terceros!$A:$D,4,FALSE)</f>
        <v>0</v>
      </c>
      <c r="V977" s="135">
        <f>+YEAR(PROVEEDORES[[#This Row],[FECHA DE FACTURACIÓN]])</f>
        <v>2023</v>
      </c>
      <c r="W977" s="135">
        <f>+MATCH(PROVEEDORES[[#This Row],[año facturado]],Retenciones!$1:$1,0)</f>
        <v>6</v>
      </c>
      <c r="X977" s="136">
        <f>+VLOOKUP(PROVEEDORES[[#This Row],[ID RETENCION]],Retenciones!$A$1:$O$25,PROVEEDORES[[#This Row],[indicador de columna]],FALSE)</f>
        <v>0</v>
      </c>
      <c r="Y977" s="137">
        <f>+VLOOKUP(PROVEEDORES[[#This Row],[ID RETENCION]],Retenciones!$A$1:$O$25,2,FALSE)</f>
        <v>0</v>
      </c>
      <c r="Z977" s="126" t="b">
        <f>+OR(COUNTIF(PROVEEDORES[[#This Row],[PROVEEDOR]],"*"&amp;'Palabra que no opera y Listas d'!$A$2&amp;"*"))</f>
        <v>1</v>
      </c>
    </row>
    <row r="978" spans="1:26" ht="27.75" customHeight="1" x14ac:dyDescent="0.25">
      <c r="A978" s="141" t="str">
        <f>+IF(PROVEEDORES[[#This Row],[FECHA DE PAGO]]=PROVEEDORES[[#This Row],[FECHA DE FACTURACIÓN]],"DE CONTADO","CRÉDITO")</f>
        <v>DE CONTADO</v>
      </c>
      <c r="B978" s="138" t="b">
        <f>+IF((PROVEEDORES[[#This Row],[FECHA DE PAGO]]-PROVEEDORES[[#This Row],[FECHA DE FACTURACIÓN]])&gt;PROVEEDORES[[#This Row],[PLAZO Días]],"PAGO VENCIDO")</f>
        <v>0</v>
      </c>
      <c r="C978" s="138">
        <f>+VLOOKUP(PROVEEDORES[[#This Row],[PROVEEDOR]],TERCEROS_INFO[#All],2,FALSE)</f>
        <v>30</v>
      </c>
      <c r="D978" s="139">
        <f>+SUMIFS(PROVEEDORES[Total],PROVEEDORES[PROVEEDOR],PROVEEDORES[[#This Row],[PROVEEDOR]],PROVEEDORES[FECHA DE PAGO],"")</f>
        <v>0</v>
      </c>
      <c r="E978" s="140"/>
      <c r="F978" s="138" t="str">
        <f>+VLOOKUP(PROVEEDORES[[#This Row],[PROVEEDOR]],
                       Terceros!$A:$F,
                       5,
                       FALSE)</f>
        <v/>
      </c>
      <c r="G978" s="127">
        <v>45262</v>
      </c>
      <c r="H978" s="123" t="s">
        <v>525</v>
      </c>
      <c r="I978" s="127">
        <v>45262</v>
      </c>
      <c r="J978" s="124" t="s">
        <v>1120</v>
      </c>
      <c r="K978" s="124" t="s">
        <v>1530</v>
      </c>
      <c r="L978" s="124"/>
      <c r="M978" s="125">
        <v>200000</v>
      </c>
      <c r="N978" s="148">
        <v>0</v>
      </c>
      <c r="O978" s="148">
        <v>0</v>
      </c>
      <c r="P978" s="149">
        <v>0</v>
      </c>
      <c r="Q978" s="148">
        <v>0</v>
      </c>
      <c r="R978" s="150">
        <v>200000</v>
      </c>
      <c r="S9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8" s="135">
        <f ca="1">+IF(PROVEEDORES[[#This Row],[FECHA DE PAGO]]=0,TODAY()-PROVEEDORES[[#This Row],[FECHA DE FACTURACIÓN]]-PROVEEDORES[[#This Row],[PLAZO Días]],0)</f>
        <v>0</v>
      </c>
      <c r="U978" s="135">
        <f>+VLOOKUP(PROVEEDORES[[#This Row],[PROVEEDOR]],Terceros!$A:$D,4,FALSE)</f>
        <v>0</v>
      </c>
      <c r="V978" s="135">
        <f>+YEAR(PROVEEDORES[[#This Row],[FECHA DE FACTURACIÓN]])</f>
        <v>2023</v>
      </c>
      <c r="W978" s="135">
        <f>+MATCH(PROVEEDORES[[#This Row],[año facturado]],Retenciones!$1:$1,0)</f>
        <v>6</v>
      </c>
      <c r="X978" s="136">
        <f>+VLOOKUP(PROVEEDORES[[#This Row],[ID RETENCION]],Retenciones!$A$1:$O$25,PROVEEDORES[[#This Row],[indicador de columna]],FALSE)</f>
        <v>0</v>
      </c>
      <c r="Y978" s="137">
        <f>+VLOOKUP(PROVEEDORES[[#This Row],[ID RETENCION]],Retenciones!$A$1:$O$25,2,FALSE)</f>
        <v>0</v>
      </c>
      <c r="Z978" s="126" t="b">
        <f>+OR(COUNTIF(PROVEEDORES[[#This Row],[PROVEEDOR]],"*"&amp;'Palabra que no opera y Listas d'!$A$2&amp;"*"))</f>
        <v>0</v>
      </c>
    </row>
    <row r="979" spans="1:26" ht="27.75" customHeight="1" x14ac:dyDescent="0.25">
      <c r="A979" s="141" t="str">
        <f>+IF(PROVEEDORES[[#This Row],[FECHA DE PAGO]]=PROVEEDORES[[#This Row],[FECHA DE FACTURACIÓN]],"DE CONTADO","CRÉDITO")</f>
        <v>CRÉDITO</v>
      </c>
      <c r="B979" s="138" t="b">
        <f>+IF((PROVEEDORES[[#This Row],[FECHA DE PAGO]]-PROVEEDORES[[#This Row],[FECHA DE FACTURACIÓN]])&gt;PROVEEDORES[[#This Row],[PLAZO Días]],"PAGO VENCIDO")</f>
        <v>0</v>
      </c>
      <c r="C979" s="138">
        <f>+VLOOKUP(PROVEEDORES[[#This Row],[PROVEEDOR]],TERCEROS_INFO[#All],2,FALSE)</f>
        <v>60</v>
      </c>
      <c r="D979" s="139">
        <f>+SUMIFS(PROVEEDORES[Total],PROVEEDORES[PROVEEDOR],PROVEEDORES[[#This Row],[PROVEEDOR]],PROVEEDORES[FECHA DE PAGO],"")</f>
        <v>0</v>
      </c>
      <c r="E979" s="140"/>
      <c r="F979" s="138" t="str">
        <f>+VLOOKUP(PROVEEDORES[[#This Row],[PROVEEDOR]],
                       Terceros!$A:$F,
                       5,
                       FALSE)</f>
        <v>gloritasz@gmail.com;girlesa.ruiz@servipilas.com;joriescobar64@gmail.com</v>
      </c>
      <c r="G979" s="127">
        <v>45262</v>
      </c>
      <c r="H979" s="123" t="s">
        <v>1827</v>
      </c>
      <c r="I979" s="127">
        <v>45288</v>
      </c>
      <c r="J979" s="124" t="s">
        <v>28</v>
      </c>
      <c r="K979" s="124" t="s">
        <v>1530</v>
      </c>
      <c r="L979" s="124"/>
      <c r="M979" s="125">
        <v>500000</v>
      </c>
      <c r="N979" s="148">
        <v>0</v>
      </c>
      <c r="O979" s="148">
        <v>0</v>
      </c>
      <c r="P979" s="149">
        <v>0</v>
      </c>
      <c r="Q979" s="148">
        <v>0</v>
      </c>
      <c r="R979" s="150">
        <v>500000</v>
      </c>
      <c r="S9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79" s="135">
        <f ca="1">+IF(PROVEEDORES[[#This Row],[FECHA DE PAGO]]=0,TODAY()-PROVEEDORES[[#This Row],[FECHA DE FACTURACIÓN]]-PROVEEDORES[[#This Row],[PLAZO Días]],0)</f>
        <v>0</v>
      </c>
      <c r="U979" s="135">
        <f>+VLOOKUP(PROVEEDORES[[#This Row],[PROVEEDOR]],Terceros!$A:$D,4,FALSE)</f>
        <v>0</v>
      </c>
      <c r="V979" s="135">
        <f>+YEAR(PROVEEDORES[[#This Row],[FECHA DE FACTURACIÓN]])</f>
        <v>2023</v>
      </c>
      <c r="W979" s="135">
        <f>+MATCH(PROVEEDORES[[#This Row],[año facturado]],Retenciones!$1:$1,0)</f>
        <v>6</v>
      </c>
      <c r="X979" s="136">
        <f>+VLOOKUP(PROVEEDORES[[#This Row],[ID RETENCION]],Retenciones!$A$1:$O$25,PROVEEDORES[[#This Row],[indicador de columna]],FALSE)</f>
        <v>0</v>
      </c>
      <c r="Y979" s="137">
        <f>+VLOOKUP(PROVEEDORES[[#This Row],[ID RETENCION]],Retenciones!$A$1:$O$25,2,FALSE)</f>
        <v>0</v>
      </c>
      <c r="Z979" s="126" t="b">
        <f>+OR(COUNTIF(PROVEEDORES[[#This Row],[PROVEEDOR]],"*"&amp;'Palabra que no opera y Listas d'!$A$2&amp;"*"))</f>
        <v>0</v>
      </c>
    </row>
    <row r="980" spans="1:26" ht="27.75" customHeight="1" x14ac:dyDescent="0.25">
      <c r="A980" s="141" t="str">
        <f>+IF(PROVEEDORES[[#This Row],[FECHA DE PAGO]]=PROVEEDORES[[#This Row],[FECHA DE FACTURACIÓN]],"DE CONTADO","CRÉDITO")</f>
        <v>CRÉDITO</v>
      </c>
      <c r="B980" s="138" t="b">
        <f>+IF((PROVEEDORES[[#This Row],[FECHA DE PAGO]]-PROVEEDORES[[#This Row],[FECHA DE FACTURACIÓN]])&gt;PROVEEDORES[[#This Row],[PLAZO Días]],"PAGO VENCIDO")</f>
        <v>0</v>
      </c>
      <c r="C980" s="138">
        <f>+VLOOKUP(PROVEEDORES[[#This Row],[PROVEEDOR]],TERCEROS_INFO[#All],2,FALSE)</f>
        <v>60</v>
      </c>
      <c r="D980" s="139">
        <f>+SUMIFS(PROVEEDORES[Total],PROVEEDORES[PROVEEDOR],PROVEEDORES[[#This Row],[PROVEEDOR]],PROVEEDORES[FECHA DE PAGO],"")</f>
        <v>0</v>
      </c>
      <c r="E980" s="140"/>
      <c r="F980" s="13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980" s="127">
        <v>45264</v>
      </c>
      <c r="H980" s="123" t="s">
        <v>221</v>
      </c>
      <c r="I980" s="127">
        <v>45209</v>
      </c>
      <c r="J980" s="124" t="s">
        <v>1162</v>
      </c>
      <c r="K980" s="124" t="s">
        <v>1530</v>
      </c>
      <c r="L980" s="124"/>
      <c r="M980" s="125">
        <v>1115966</v>
      </c>
      <c r="N980" s="148">
        <v>212033.54</v>
      </c>
      <c r="O980" s="148">
        <v>0</v>
      </c>
      <c r="P980" s="149">
        <v>0</v>
      </c>
      <c r="Q980" s="148">
        <v>0</v>
      </c>
      <c r="R980" s="150">
        <v>1327999.54</v>
      </c>
      <c r="S9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0" s="135">
        <f ca="1">+IF(PROVEEDORES[[#This Row],[FECHA DE PAGO]]=0,TODAY()-PROVEEDORES[[#This Row],[FECHA DE FACTURACIÓN]]-PROVEEDORES[[#This Row],[PLAZO Días]],0)</f>
        <v>0</v>
      </c>
      <c r="U980" s="135" t="str">
        <f>+VLOOKUP(PROVEEDORES[[#This Row],[PROVEEDOR]],Terceros!$A:$D,4,FALSE)</f>
        <v>2,5% con base</v>
      </c>
      <c r="V980" s="135">
        <f>+YEAR(PROVEEDORES[[#This Row],[FECHA DE FACTURACIÓN]])</f>
        <v>2023</v>
      </c>
      <c r="W980" s="135">
        <f>+MATCH(PROVEEDORES[[#This Row],[año facturado]],Retenciones!$1:$1,0)</f>
        <v>6</v>
      </c>
      <c r="X980" s="136">
        <f>+VLOOKUP(PROVEEDORES[[#This Row],[ID RETENCION]],Retenciones!$A$1:$O$25,PROVEEDORES[[#This Row],[indicador de columna]],FALSE)</f>
        <v>1145000</v>
      </c>
      <c r="Y980" s="137">
        <f>+VLOOKUP(PROVEEDORES[[#This Row],[ID RETENCION]],Retenciones!$A$1:$O$25,2,FALSE)</f>
        <v>2.5000000000000001E-2</v>
      </c>
      <c r="Z980" s="126" t="b">
        <f>+OR(COUNTIF(PROVEEDORES[[#This Row],[PROVEEDOR]],"*"&amp;'Palabra que no opera y Listas d'!$A$2&amp;"*"))</f>
        <v>0</v>
      </c>
    </row>
    <row r="981" spans="1:26" ht="27.75" customHeight="1" x14ac:dyDescent="0.25">
      <c r="A981" s="141" t="str">
        <f>+IF(PROVEEDORES[[#This Row],[FECHA DE PAGO]]=PROVEEDORES[[#This Row],[FECHA DE FACTURACIÓN]],"DE CONTADO","CRÉDITO")</f>
        <v>CRÉDITO</v>
      </c>
      <c r="B981" s="138" t="str">
        <f>+IF((PROVEEDORES[[#This Row],[FECHA DE PAGO]]-PROVEEDORES[[#This Row],[FECHA DE FACTURACIÓN]])&gt;PROVEEDORES[[#This Row],[PLAZO Días]],"PAGO VENCIDO")</f>
        <v>PAGO VENCIDO</v>
      </c>
      <c r="C981" s="138">
        <f>+VLOOKUP(PROVEEDORES[[#This Row],[PROVEEDOR]],TERCEROS_INFO[#All],2,FALSE)</f>
        <v>30</v>
      </c>
      <c r="D981" s="139">
        <f>+SUMIFS(PROVEEDORES[Total],PROVEEDORES[PROVEEDOR],PROVEEDORES[[#This Row],[PROVEEDOR]],PROVEEDORES[FECHA DE PAGO],"")</f>
        <v>4466504.835</v>
      </c>
      <c r="E981" s="140"/>
      <c r="F981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981" s="127">
        <v>45264</v>
      </c>
      <c r="H981" s="123" t="s">
        <v>18</v>
      </c>
      <c r="I981" s="127">
        <v>45209</v>
      </c>
      <c r="J981" s="124" t="s">
        <v>1168</v>
      </c>
      <c r="K981" s="124" t="s">
        <v>1530</v>
      </c>
      <c r="L981" s="124"/>
      <c r="M981" s="125">
        <v>631763</v>
      </c>
      <c r="N981" s="148">
        <v>120034.97</v>
      </c>
      <c r="O981" s="148">
        <v>0</v>
      </c>
      <c r="P981" s="149">
        <v>0</v>
      </c>
      <c r="Q981" s="148">
        <v>0</v>
      </c>
      <c r="R981" s="150">
        <v>751797.97</v>
      </c>
      <c r="S9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1" s="135">
        <f ca="1">+IF(PROVEEDORES[[#This Row],[FECHA DE PAGO]]=0,TODAY()-PROVEEDORES[[#This Row],[FECHA DE FACTURACIÓN]]-PROVEEDORES[[#This Row],[PLAZO Días]],0)</f>
        <v>0</v>
      </c>
      <c r="U981" s="135" t="str">
        <f>+VLOOKUP(PROVEEDORES[[#This Row],[PROVEEDOR]],Terceros!$A:$D,4,FALSE)</f>
        <v>2,5% con base</v>
      </c>
      <c r="V981" s="135">
        <f>+YEAR(PROVEEDORES[[#This Row],[FECHA DE FACTURACIÓN]])</f>
        <v>2023</v>
      </c>
      <c r="W981" s="135">
        <f>+MATCH(PROVEEDORES[[#This Row],[año facturado]],Retenciones!$1:$1,0)</f>
        <v>6</v>
      </c>
      <c r="X981" s="136">
        <f>+VLOOKUP(PROVEEDORES[[#This Row],[ID RETENCION]],Retenciones!$A$1:$O$25,PROVEEDORES[[#This Row],[indicador de columna]],FALSE)</f>
        <v>1145000</v>
      </c>
      <c r="Y981" s="137">
        <f>+VLOOKUP(PROVEEDORES[[#This Row],[ID RETENCION]],Retenciones!$A$1:$O$25,2,FALSE)</f>
        <v>2.5000000000000001E-2</v>
      </c>
      <c r="Z981" s="126" t="b">
        <f>+OR(COUNTIF(PROVEEDORES[[#This Row],[PROVEEDOR]],"*"&amp;'Palabra que no opera y Listas d'!$A$2&amp;"*"))</f>
        <v>0</v>
      </c>
    </row>
    <row r="982" spans="1:26" ht="27.75" customHeight="1" x14ac:dyDescent="0.25">
      <c r="A982" s="141" t="str">
        <f>+IF(PROVEEDORES[[#This Row],[FECHA DE PAGO]]=PROVEEDORES[[#This Row],[FECHA DE FACTURACIÓN]],"DE CONTADO","CRÉDITO")</f>
        <v>CRÉDITO</v>
      </c>
      <c r="B982" s="138" t="str">
        <f>+IF((PROVEEDORES[[#This Row],[FECHA DE PAGO]]-PROVEEDORES[[#This Row],[FECHA DE FACTURACIÓN]])&gt;PROVEEDORES[[#This Row],[PLAZO Días]],"PAGO VENCIDO")</f>
        <v>PAGO VENCIDO</v>
      </c>
      <c r="C982" s="138">
        <f>+VLOOKUP(PROVEEDORES[[#This Row],[PROVEEDOR]],TERCEROS_INFO[#All],2,FALSE)</f>
        <v>30</v>
      </c>
      <c r="D982" s="139">
        <f>+SUMIFS(PROVEEDORES[Total],PROVEEDORES[PROVEEDOR],PROVEEDORES[[#This Row],[PROVEEDOR]],PROVEEDORES[FECHA DE PAGO],"")</f>
        <v>0</v>
      </c>
      <c r="E982" s="140"/>
      <c r="F982" s="138" t="str">
        <f>+VLOOKUP(PROVEEDORES[[#This Row],[PROVEEDOR]],
                       Terceros!$A:$F,
                       5,
                       FALSE)</f>
        <v/>
      </c>
      <c r="G982" s="127">
        <v>45264</v>
      </c>
      <c r="H982" s="123" t="s">
        <v>1149</v>
      </c>
      <c r="I982" s="127">
        <v>45209</v>
      </c>
      <c r="J982" s="124" t="s">
        <v>1150</v>
      </c>
      <c r="K982" s="124" t="s">
        <v>1530</v>
      </c>
      <c r="L982" s="124"/>
      <c r="M982" s="125">
        <v>4438500</v>
      </c>
      <c r="N982" s="148">
        <v>0</v>
      </c>
      <c r="O982" s="148">
        <v>0</v>
      </c>
      <c r="P982" s="149">
        <v>0</v>
      </c>
      <c r="Q982" s="148">
        <v>0</v>
      </c>
      <c r="R982" s="150">
        <v>4438500</v>
      </c>
      <c r="S9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2" s="135">
        <f ca="1">+IF(PROVEEDORES[[#This Row],[FECHA DE PAGO]]=0,TODAY()-PROVEEDORES[[#This Row],[FECHA DE FACTURACIÓN]]-PROVEEDORES[[#This Row],[PLAZO Días]],0)</f>
        <v>0</v>
      </c>
      <c r="U982" s="135">
        <f>+VLOOKUP(PROVEEDORES[[#This Row],[PROVEEDOR]],Terceros!$A:$D,4,FALSE)</f>
        <v>0</v>
      </c>
      <c r="V982" s="135">
        <f>+YEAR(PROVEEDORES[[#This Row],[FECHA DE FACTURACIÓN]])</f>
        <v>2023</v>
      </c>
      <c r="W982" s="135">
        <f>+MATCH(PROVEEDORES[[#This Row],[año facturado]],Retenciones!$1:$1,0)</f>
        <v>6</v>
      </c>
      <c r="X982" s="136">
        <f>+VLOOKUP(PROVEEDORES[[#This Row],[ID RETENCION]],Retenciones!$A$1:$O$25,PROVEEDORES[[#This Row],[indicador de columna]],FALSE)</f>
        <v>0</v>
      </c>
      <c r="Y982" s="137">
        <f>+VLOOKUP(PROVEEDORES[[#This Row],[ID RETENCION]],Retenciones!$A$1:$O$25,2,FALSE)</f>
        <v>0</v>
      </c>
      <c r="Z982" s="126" t="b">
        <f>+OR(COUNTIF(PROVEEDORES[[#This Row],[PROVEEDOR]],"*"&amp;'Palabra que no opera y Listas d'!$A$2&amp;"*"))</f>
        <v>0</v>
      </c>
    </row>
    <row r="983" spans="1:26" ht="27.75" customHeight="1" x14ac:dyDescent="0.25">
      <c r="A983" s="141" t="str">
        <f>+IF(PROVEEDORES[[#This Row],[FECHA DE PAGO]]=PROVEEDORES[[#This Row],[FECHA DE FACTURACIÓN]],"DE CONTADO","CRÉDITO")</f>
        <v>CRÉDITO</v>
      </c>
      <c r="B983" s="138" t="str">
        <f>+IF((PROVEEDORES[[#This Row],[FECHA DE PAGO]]-PROVEEDORES[[#This Row],[FECHA DE FACTURACIÓN]])&gt;PROVEEDORES[[#This Row],[PLAZO Días]],"PAGO VENCIDO")</f>
        <v>PAGO VENCIDO</v>
      </c>
      <c r="C983" s="138">
        <f>+VLOOKUP(PROVEEDORES[[#This Row],[PROVEEDOR]],TERCEROS_INFO[#All],2,FALSE)</f>
        <v>30</v>
      </c>
      <c r="D983" s="139">
        <f>+SUMIFS(PROVEEDORES[Total],PROVEEDORES[PROVEEDOR],PROVEEDORES[[#This Row],[PROVEEDOR]],PROVEEDORES[FECHA DE PAGO],"")</f>
        <v>9349257.8100000005</v>
      </c>
      <c r="E983" s="140"/>
      <c r="F983" s="13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983" s="127">
        <v>45264</v>
      </c>
      <c r="H983" s="123" t="s">
        <v>226</v>
      </c>
      <c r="I983" s="127">
        <v>45210</v>
      </c>
      <c r="J983" s="124" t="s">
        <v>1178</v>
      </c>
      <c r="K983" s="124" t="s">
        <v>1530</v>
      </c>
      <c r="L983" s="124"/>
      <c r="M983" s="125">
        <v>7197270</v>
      </c>
      <c r="N983" s="148">
        <v>1367481.3</v>
      </c>
      <c r="O983" s="148">
        <v>0</v>
      </c>
      <c r="P983" s="149">
        <v>2.5000000000000001E-2</v>
      </c>
      <c r="Q983" s="148">
        <v>179931.75</v>
      </c>
      <c r="R983" s="150">
        <v>8384819.5500000007</v>
      </c>
      <c r="S9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3" s="135">
        <f ca="1">+IF(PROVEEDORES[[#This Row],[FECHA DE PAGO]]=0,TODAY()-PROVEEDORES[[#This Row],[FECHA DE FACTURACIÓN]]-PROVEEDORES[[#This Row],[PLAZO Días]],0)</f>
        <v>0</v>
      </c>
      <c r="U983" s="135" t="str">
        <f>+VLOOKUP(PROVEEDORES[[#This Row],[PROVEEDOR]],Terceros!$A:$D,4,FALSE)</f>
        <v>2,5% con base</v>
      </c>
      <c r="V983" s="135">
        <f>+YEAR(PROVEEDORES[[#This Row],[FECHA DE FACTURACIÓN]])</f>
        <v>2023</v>
      </c>
      <c r="W983" s="135">
        <f>+MATCH(PROVEEDORES[[#This Row],[año facturado]],Retenciones!$1:$1,0)</f>
        <v>6</v>
      </c>
      <c r="X983" s="136">
        <f>+VLOOKUP(PROVEEDORES[[#This Row],[ID RETENCION]],Retenciones!$A$1:$O$25,PROVEEDORES[[#This Row],[indicador de columna]],FALSE)</f>
        <v>1145000</v>
      </c>
      <c r="Y983" s="137">
        <f>+VLOOKUP(PROVEEDORES[[#This Row],[ID RETENCION]],Retenciones!$A$1:$O$25,2,FALSE)</f>
        <v>2.5000000000000001E-2</v>
      </c>
      <c r="Z983" s="126" t="b">
        <f>+OR(COUNTIF(PROVEEDORES[[#This Row],[PROVEEDOR]],"*"&amp;'Palabra que no opera y Listas d'!$A$2&amp;"*"))</f>
        <v>0</v>
      </c>
    </row>
    <row r="984" spans="1:26" ht="27.75" customHeight="1" x14ac:dyDescent="0.25">
      <c r="A984" s="141" t="str">
        <f>+IF(PROVEEDORES[[#This Row],[FECHA DE PAGO]]=PROVEEDORES[[#This Row],[FECHA DE FACTURACIÓN]],"DE CONTADO","CRÉDITO")</f>
        <v>CRÉDITO</v>
      </c>
      <c r="B984" s="138" t="str">
        <f>+IF((PROVEEDORES[[#This Row],[FECHA DE PAGO]]-PROVEEDORES[[#This Row],[FECHA DE FACTURACIÓN]])&gt;PROVEEDORES[[#This Row],[PLAZO Días]],"PAGO VENCIDO")</f>
        <v>PAGO VENCIDO</v>
      </c>
      <c r="C984" s="138">
        <f>+VLOOKUP(PROVEEDORES[[#This Row],[PROVEEDOR]],TERCEROS_INFO[#All],2,FALSE)</f>
        <v>45</v>
      </c>
      <c r="D984" s="139">
        <f>+SUMIFS(PROVEEDORES[Total],PROVEEDORES[PROVEEDOR],PROVEEDORES[[#This Row],[PROVEEDOR]],PROVEEDORES[FECHA DE PAGO],"")</f>
        <v>2446500</v>
      </c>
      <c r="E984" s="140"/>
      <c r="F984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984" s="127">
        <v>45264</v>
      </c>
      <c r="H984" s="123" t="s">
        <v>10</v>
      </c>
      <c r="I984" s="127">
        <v>45210</v>
      </c>
      <c r="J984" s="124" t="s">
        <v>1179</v>
      </c>
      <c r="K984" s="124" t="s">
        <v>1530</v>
      </c>
      <c r="L984" s="124"/>
      <c r="M984" s="125">
        <v>2000000</v>
      </c>
      <c r="N984" s="148">
        <v>380000</v>
      </c>
      <c r="O984" s="148">
        <v>0</v>
      </c>
      <c r="P984" s="149">
        <v>2.5000000000000001E-2</v>
      </c>
      <c r="Q984" s="148">
        <v>50000</v>
      </c>
      <c r="R984" s="150">
        <v>2330000</v>
      </c>
      <c r="S9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4" s="135">
        <f ca="1">+IF(PROVEEDORES[[#This Row],[FECHA DE PAGO]]=0,TODAY()-PROVEEDORES[[#This Row],[FECHA DE FACTURACIÓN]]-PROVEEDORES[[#This Row],[PLAZO Días]],0)</f>
        <v>0</v>
      </c>
      <c r="U984" s="135" t="str">
        <f>+VLOOKUP(PROVEEDORES[[#This Row],[PROVEEDOR]],Terceros!$A:$D,4,FALSE)</f>
        <v>2,5% con base</v>
      </c>
      <c r="V984" s="135">
        <f>+YEAR(PROVEEDORES[[#This Row],[FECHA DE FACTURACIÓN]])</f>
        <v>2023</v>
      </c>
      <c r="W984" s="135">
        <f>+MATCH(PROVEEDORES[[#This Row],[año facturado]],Retenciones!$1:$1,0)</f>
        <v>6</v>
      </c>
      <c r="X984" s="136">
        <f>+VLOOKUP(PROVEEDORES[[#This Row],[ID RETENCION]],Retenciones!$A$1:$O$25,PROVEEDORES[[#This Row],[indicador de columna]],FALSE)</f>
        <v>1145000</v>
      </c>
      <c r="Y984" s="137">
        <f>+VLOOKUP(PROVEEDORES[[#This Row],[ID RETENCION]],Retenciones!$A$1:$O$25,2,FALSE)</f>
        <v>2.5000000000000001E-2</v>
      </c>
      <c r="Z984" s="126" t="b">
        <f>+OR(COUNTIF(PROVEEDORES[[#This Row],[PROVEEDOR]],"*"&amp;'Palabra que no opera y Listas d'!$A$2&amp;"*"))</f>
        <v>0</v>
      </c>
    </row>
    <row r="985" spans="1:26" ht="27.75" customHeight="1" x14ac:dyDescent="0.25">
      <c r="A985" s="141" t="str">
        <f>+IF(PROVEEDORES[[#This Row],[FECHA DE PAGO]]=PROVEEDORES[[#This Row],[FECHA DE FACTURACIÓN]],"DE CONTADO","CRÉDITO")</f>
        <v>CRÉDITO</v>
      </c>
      <c r="B985" s="138" t="str">
        <f>+IF((PROVEEDORES[[#This Row],[FECHA DE PAGO]]-PROVEEDORES[[#This Row],[FECHA DE FACTURACIÓN]])&gt;PROVEEDORES[[#This Row],[PLAZO Días]],"PAGO VENCIDO")</f>
        <v>PAGO VENCIDO</v>
      </c>
      <c r="C985" s="138">
        <f>+VLOOKUP(PROVEEDORES[[#This Row],[PROVEEDOR]],TERCEROS_INFO[#All],2,FALSE)</f>
        <v>30</v>
      </c>
      <c r="D985" s="139">
        <f>+SUMIFS(PROVEEDORES[Total],PROVEEDORES[PROVEEDOR],PROVEEDORES[[#This Row],[PROVEEDOR]],PROVEEDORES[FECHA DE PAGO],"")</f>
        <v>3152439.05</v>
      </c>
      <c r="E985" s="140"/>
      <c r="F985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985" s="127">
        <v>45264</v>
      </c>
      <c r="H985" s="123" t="s">
        <v>220</v>
      </c>
      <c r="I985" s="127">
        <v>45211</v>
      </c>
      <c r="J985" s="124" t="s">
        <v>1159</v>
      </c>
      <c r="K985" s="124" t="s">
        <v>1530</v>
      </c>
      <c r="L985" s="124"/>
      <c r="M985" s="125">
        <v>4607250</v>
      </c>
      <c r="N985" s="148">
        <v>875377.5</v>
      </c>
      <c r="O985" s="148">
        <v>0</v>
      </c>
      <c r="P985" s="149">
        <v>0</v>
      </c>
      <c r="Q985" s="148">
        <v>0</v>
      </c>
      <c r="R985" s="150">
        <v>5482627.5</v>
      </c>
      <c r="S9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5" s="135">
        <f ca="1">+IF(PROVEEDORES[[#This Row],[FECHA DE PAGO]]=0,TODAY()-PROVEEDORES[[#This Row],[FECHA DE FACTURACIÓN]]-PROVEEDORES[[#This Row],[PLAZO Días]],0)</f>
        <v>0</v>
      </c>
      <c r="U985" s="135">
        <f>+VLOOKUP(PROVEEDORES[[#This Row],[PROVEEDOR]],Terceros!$A:$D,4,FALSE)</f>
        <v>0</v>
      </c>
      <c r="V985" s="135">
        <f>+YEAR(PROVEEDORES[[#This Row],[FECHA DE FACTURACIÓN]])</f>
        <v>2023</v>
      </c>
      <c r="W985" s="135">
        <f>+MATCH(PROVEEDORES[[#This Row],[año facturado]],Retenciones!$1:$1,0)</f>
        <v>6</v>
      </c>
      <c r="X985" s="136">
        <f>+VLOOKUP(PROVEEDORES[[#This Row],[ID RETENCION]],Retenciones!$A$1:$O$25,PROVEEDORES[[#This Row],[indicador de columna]],FALSE)</f>
        <v>0</v>
      </c>
      <c r="Y985" s="137">
        <f>+VLOOKUP(PROVEEDORES[[#This Row],[ID RETENCION]],Retenciones!$A$1:$O$25,2,FALSE)</f>
        <v>0</v>
      </c>
      <c r="Z985" s="126" t="b">
        <f>+OR(COUNTIF(PROVEEDORES[[#This Row],[PROVEEDOR]],"*"&amp;'Palabra que no opera y Listas d'!$A$2&amp;"*"))</f>
        <v>0</v>
      </c>
    </row>
    <row r="986" spans="1:26" ht="27.75" customHeight="1" x14ac:dyDescent="0.25">
      <c r="A986" s="141" t="str">
        <f>+IF(PROVEEDORES[[#This Row],[FECHA DE PAGO]]=PROVEEDORES[[#This Row],[FECHA DE FACTURACIÓN]],"DE CONTADO","CRÉDITO")</f>
        <v>CRÉDITO</v>
      </c>
      <c r="B986" s="138" t="str">
        <f>+IF((PROVEEDORES[[#This Row],[FECHA DE PAGO]]-PROVEEDORES[[#This Row],[FECHA DE FACTURACIÓN]])&gt;PROVEEDORES[[#This Row],[PLAZO Días]],"PAGO VENCIDO")</f>
        <v>PAGO VENCIDO</v>
      </c>
      <c r="C986" s="138">
        <f>+VLOOKUP(PROVEEDORES[[#This Row],[PROVEEDOR]],TERCEROS_INFO[#All],2,FALSE)</f>
        <v>30</v>
      </c>
      <c r="D986" s="139">
        <f>+SUMIFS(PROVEEDORES[Total],PROVEEDORES[PROVEEDOR],PROVEEDORES[[#This Row],[PROVEEDOR]],PROVEEDORES[FECHA DE PAGO],"")</f>
        <v>3152439.05</v>
      </c>
      <c r="E986" s="140"/>
      <c r="F986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986" s="127">
        <v>45264</v>
      </c>
      <c r="H986" s="123" t="s">
        <v>220</v>
      </c>
      <c r="I986" s="127">
        <v>45217</v>
      </c>
      <c r="J986" s="124" t="s">
        <v>1160</v>
      </c>
      <c r="K986" s="124" t="s">
        <v>1530</v>
      </c>
      <c r="L986" s="124"/>
      <c r="M986" s="125">
        <v>1976704</v>
      </c>
      <c r="N986" s="148">
        <v>375573.76000000001</v>
      </c>
      <c r="O986" s="148">
        <v>0</v>
      </c>
      <c r="P986" s="149">
        <v>0</v>
      </c>
      <c r="Q986" s="148">
        <v>0</v>
      </c>
      <c r="R986" s="150">
        <v>2352277.7599999998</v>
      </c>
      <c r="S9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6" s="135">
        <f ca="1">+IF(PROVEEDORES[[#This Row],[FECHA DE PAGO]]=0,TODAY()-PROVEEDORES[[#This Row],[FECHA DE FACTURACIÓN]]-PROVEEDORES[[#This Row],[PLAZO Días]],0)</f>
        <v>0</v>
      </c>
      <c r="U986" s="135">
        <f>+VLOOKUP(PROVEEDORES[[#This Row],[PROVEEDOR]],Terceros!$A:$D,4,FALSE)</f>
        <v>0</v>
      </c>
      <c r="V986" s="135">
        <f>+YEAR(PROVEEDORES[[#This Row],[FECHA DE FACTURACIÓN]])</f>
        <v>2023</v>
      </c>
      <c r="W986" s="135">
        <f>+MATCH(PROVEEDORES[[#This Row],[año facturado]],Retenciones!$1:$1,0)</f>
        <v>6</v>
      </c>
      <c r="X986" s="136">
        <f>+VLOOKUP(PROVEEDORES[[#This Row],[ID RETENCION]],Retenciones!$A$1:$O$25,PROVEEDORES[[#This Row],[indicador de columna]],FALSE)</f>
        <v>0</v>
      </c>
      <c r="Y986" s="137">
        <f>+VLOOKUP(PROVEEDORES[[#This Row],[ID RETENCION]],Retenciones!$A$1:$O$25,2,FALSE)</f>
        <v>0</v>
      </c>
      <c r="Z986" s="126" t="b">
        <f>+OR(COUNTIF(PROVEEDORES[[#This Row],[PROVEEDOR]],"*"&amp;'Palabra que no opera y Listas d'!$A$2&amp;"*"))</f>
        <v>0</v>
      </c>
    </row>
    <row r="987" spans="1:26" ht="27.75" customHeight="1" x14ac:dyDescent="0.25">
      <c r="A987" s="141" t="str">
        <f>+IF(PROVEEDORES[[#This Row],[FECHA DE PAGO]]=PROVEEDORES[[#This Row],[FECHA DE FACTURACIÓN]],"DE CONTADO","CRÉDITO")</f>
        <v>CRÉDITO</v>
      </c>
      <c r="B987" s="138" t="str">
        <f>+IF((PROVEEDORES[[#This Row],[FECHA DE PAGO]]-PROVEEDORES[[#This Row],[FECHA DE FACTURACIÓN]])&gt;PROVEEDORES[[#This Row],[PLAZO Días]],"PAGO VENCIDO")</f>
        <v>PAGO VENCIDO</v>
      </c>
      <c r="C987" s="138">
        <f>+VLOOKUP(PROVEEDORES[[#This Row],[PROVEEDOR]],TERCEROS_INFO[#All],2,FALSE)</f>
        <v>45</v>
      </c>
      <c r="D987" s="139">
        <f>+SUMIFS(PROVEEDORES[Total],PROVEEDORES[PROVEEDOR],PROVEEDORES[[#This Row],[PROVEEDOR]],PROVEEDORES[FECHA DE PAGO],"")</f>
        <v>22186260.039999999</v>
      </c>
      <c r="E987" s="140"/>
      <c r="F987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987" s="127">
        <v>45264</v>
      </c>
      <c r="H987" s="123" t="s">
        <v>19</v>
      </c>
      <c r="I987" s="127">
        <v>45218</v>
      </c>
      <c r="J987" s="124" t="s">
        <v>1176</v>
      </c>
      <c r="K987" s="124" t="s">
        <v>1530</v>
      </c>
      <c r="L987" s="124"/>
      <c r="M987" s="125">
        <v>1657794</v>
      </c>
      <c r="N987" s="148">
        <v>314980.86</v>
      </c>
      <c r="O987" s="148">
        <v>0</v>
      </c>
      <c r="P987" s="149">
        <v>0</v>
      </c>
      <c r="Q987" s="148">
        <v>0</v>
      </c>
      <c r="R987" s="150">
        <v>1972774.8599999999</v>
      </c>
      <c r="S9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7" s="135">
        <f ca="1">+IF(PROVEEDORES[[#This Row],[FECHA DE PAGO]]=0,TODAY()-PROVEEDORES[[#This Row],[FECHA DE FACTURACIÓN]]-PROVEEDORES[[#This Row],[PLAZO Días]],0)</f>
        <v>0</v>
      </c>
      <c r="U987" s="135">
        <f>+VLOOKUP(PROVEEDORES[[#This Row],[PROVEEDOR]],Terceros!$A:$D,4,FALSE)</f>
        <v>0</v>
      </c>
      <c r="V987" s="135">
        <f>+YEAR(PROVEEDORES[[#This Row],[FECHA DE FACTURACIÓN]])</f>
        <v>2023</v>
      </c>
      <c r="W987" s="135">
        <f>+MATCH(PROVEEDORES[[#This Row],[año facturado]],Retenciones!$1:$1,0)</f>
        <v>6</v>
      </c>
      <c r="X987" s="136">
        <f>+VLOOKUP(PROVEEDORES[[#This Row],[ID RETENCION]],Retenciones!$A$1:$O$25,PROVEEDORES[[#This Row],[indicador de columna]],FALSE)</f>
        <v>0</v>
      </c>
      <c r="Y987" s="137">
        <f>+VLOOKUP(PROVEEDORES[[#This Row],[ID RETENCION]],Retenciones!$A$1:$O$25,2,FALSE)</f>
        <v>0</v>
      </c>
      <c r="Z987" s="126" t="b">
        <f>+OR(COUNTIF(PROVEEDORES[[#This Row],[PROVEEDOR]],"*"&amp;'Palabra que no opera y Listas d'!$A$2&amp;"*"))</f>
        <v>0</v>
      </c>
    </row>
    <row r="988" spans="1:26" ht="27.75" customHeight="1" x14ac:dyDescent="0.25">
      <c r="A988" s="141" t="str">
        <f>+IF(PROVEEDORES[[#This Row],[FECHA DE PAGO]]=PROVEEDORES[[#This Row],[FECHA DE FACTURACIÓN]],"DE CONTADO","CRÉDITO")</f>
        <v>CRÉDITO</v>
      </c>
      <c r="B988" s="138" t="str">
        <f>+IF((PROVEEDORES[[#This Row],[FECHA DE PAGO]]-PROVEEDORES[[#This Row],[FECHA DE FACTURACIÓN]])&gt;PROVEEDORES[[#This Row],[PLAZO Días]],"PAGO VENCIDO")</f>
        <v>PAGO VENCIDO</v>
      </c>
      <c r="C988" s="138">
        <f>+VLOOKUP(PROVEEDORES[[#This Row],[PROVEEDOR]],TERCEROS_INFO[#All],2,FALSE)</f>
        <v>30</v>
      </c>
      <c r="D988" s="139">
        <f>+SUMIFS(PROVEEDORES[Total],PROVEEDORES[PROVEEDOR],PROVEEDORES[[#This Row],[PROVEEDOR]],PROVEEDORES[FECHA DE PAGO],"")</f>
        <v>3152439.05</v>
      </c>
      <c r="E988" s="140"/>
      <c r="F988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988" s="127">
        <v>45264</v>
      </c>
      <c r="H988" s="123" t="s">
        <v>220</v>
      </c>
      <c r="I988" s="127">
        <v>45219</v>
      </c>
      <c r="J988" s="124" t="s">
        <v>1161</v>
      </c>
      <c r="K988" s="124" t="s">
        <v>1530</v>
      </c>
      <c r="L988" s="124"/>
      <c r="M988" s="125">
        <v>464214</v>
      </c>
      <c r="N988" s="148">
        <v>88200.66</v>
      </c>
      <c r="O988" s="148">
        <v>0</v>
      </c>
      <c r="P988" s="149">
        <v>0</v>
      </c>
      <c r="Q988" s="148">
        <v>0</v>
      </c>
      <c r="R988" s="150">
        <v>552414.66</v>
      </c>
      <c r="S9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8" s="135">
        <f ca="1">+IF(PROVEEDORES[[#This Row],[FECHA DE PAGO]]=0,TODAY()-PROVEEDORES[[#This Row],[FECHA DE FACTURACIÓN]]-PROVEEDORES[[#This Row],[PLAZO Días]],0)</f>
        <v>0</v>
      </c>
      <c r="U988" s="135">
        <f>+VLOOKUP(PROVEEDORES[[#This Row],[PROVEEDOR]],Terceros!$A:$D,4,FALSE)</f>
        <v>0</v>
      </c>
      <c r="V988" s="135">
        <f>+YEAR(PROVEEDORES[[#This Row],[FECHA DE FACTURACIÓN]])</f>
        <v>2023</v>
      </c>
      <c r="W988" s="135">
        <f>+MATCH(PROVEEDORES[[#This Row],[año facturado]],Retenciones!$1:$1,0)</f>
        <v>6</v>
      </c>
      <c r="X988" s="136">
        <f>+VLOOKUP(PROVEEDORES[[#This Row],[ID RETENCION]],Retenciones!$A$1:$O$25,PROVEEDORES[[#This Row],[indicador de columna]],FALSE)</f>
        <v>0</v>
      </c>
      <c r="Y988" s="137">
        <f>+VLOOKUP(PROVEEDORES[[#This Row],[ID RETENCION]],Retenciones!$A$1:$O$25,2,FALSE)</f>
        <v>0</v>
      </c>
      <c r="Z988" s="126" t="b">
        <f>+OR(COUNTIF(PROVEEDORES[[#This Row],[PROVEEDOR]],"*"&amp;'Palabra que no opera y Listas d'!$A$2&amp;"*"))</f>
        <v>0</v>
      </c>
    </row>
    <row r="989" spans="1:26" ht="27.75" customHeight="1" x14ac:dyDescent="0.25">
      <c r="A989" s="141" t="str">
        <f>+IF(PROVEEDORES[[#This Row],[FECHA DE PAGO]]=PROVEEDORES[[#This Row],[FECHA DE FACTURACIÓN]],"DE CONTADO","CRÉDITO")</f>
        <v>CRÉDITO</v>
      </c>
      <c r="B989" s="138" t="str">
        <f>+IF((PROVEEDORES[[#This Row],[FECHA DE PAGO]]-PROVEEDORES[[#This Row],[FECHA DE FACTURACIÓN]])&gt;PROVEEDORES[[#This Row],[PLAZO Días]],"PAGO VENCIDO")</f>
        <v>PAGO VENCIDO</v>
      </c>
      <c r="C989" s="138">
        <f>+VLOOKUP(PROVEEDORES[[#This Row],[PROVEEDOR]],TERCEROS_INFO[#All],2,FALSE)</f>
        <v>30</v>
      </c>
      <c r="D989" s="139">
        <f>+SUMIFS(PROVEEDORES[Total],PROVEEDORES[PROVEEDOR],PROVEEDORES[[#This Row],[PROVEEDOR]],PROVEEDORES[FECHA DE PAGO],"")</f>
        <v>4466504.835</v>
      </c>
      <c r="E989" s="140"/>
      <c r="F989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989" s="127">
        <v>45264</v>
      </c>
      <c r="H989" s="123" t="s">
        <v>18</v>
      </c>
      <c r="I989" s="127">
        <v>45219</v>
      </c>
      <c r="J989" s="124" t="s">
        <v>1169</v>
      </c>
      <c r="K989" s="124" t="s">
        <v>1530</v>
      </c>
      <c r="L989" s="124"/>
      <c r="M989" s="125">
        <v>1633588</v>
      </c>
      <c r="N989" s="148">
        <v>310381.72000000003</v>
      </c>
      <c r="O989" s="148">
        <v>0</v>
      </c>
      <c r="P989" s="149">
        <v>2.5000000000000001E-2</v>
      </c>
      <c r="Q989" s="148">
        <v>40839.700000000004</v>
      </c>
      <c r="R989" s="150">
        <v>1903130.02</v>
      </c>
      <c r="S9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89" s="135">
        <f ca="1">+IF(PROVEEDORES[[#This Row],[FECHA DE PAGO]]=0,TODAY()-PROVEEDORES[[#This Row],[FECHA DE FACTURACIÓN]]-PROVEEDORES[[#This Row],[PLAZO Días]],0)</f>
        <v>0</v>
      </c>
      <c r="U989" s="135" t="str">
        <f>+VLOOKUP(PROVEEDORES[[#This Row],[PROVEEDOR]],Terceros!$A:$D,4,FALSE)</f>
        <v>2,5% con base</v>
      </c>
      <c r="V989" s="135">
        <f>+YEAR(PROVEEDORES[[#This Row],[FECHA DE FACTURACIÓN]])</f>
        <v>2023</v>
      </c>
      <c r="W989" s="135">
        <f>+MATCH(PROVEEDORES[[#This Row],[año facturado]],Retenciones!$1:$1,0)</f>
        <v>6</v>
      </c>
      <c r="X989" s="136">
        <f>+VLOOKUP(PROVEEDORES[[#This Row],[ID RETENCION]],Retenciones!$A$1:$O$25,PROVEEDORES[[#This Row],[indicador de columna]],FALSE)</f>
        <v>1145000</v>
      </c>
      <c r="Y989" s="137">
        <f>+VLOOKUP(PROVEEDORES[[#This Row],[ID RETENCION]],Retenciones!$A$1:$O$25,2,FALSE)</f>
        <v>2.5000000000000001E-2</v>
      </c>
      <c r="Z989" s="126" t="b">
        <f>+OR(COUNTIF(PROVEEDORES[[#This Row],[PROVEEDOR]],"*"&amp;'Palabra que no opera y Listas d'!$A$2&amp;"*"))</f>
        <v>0</v>
      </c>
    </row>
    <row r="990" spans="1:26" ht="27.75" customHeight="1" x14ac:dyDescent="0.25">
      <c r="A990" s="141" t="str">
        <f>+IF(PROVEEDORES[[#This Row],[FECHA DE PAGO]]=PROVEEDORES[[#This Row],[FECHA DE FACTURACIÓN]],"DE CONTADO","CRÉDITO")</f>
        <v>CRÉDITO</v>
      </c>
      <c r="B990" s="138" t="str">
        <f>+IF((PROVEEDORES[[#This Row],[FECHA DE PAGO]]-PROVEEDORES[[#This Row],[FECHA DE FACTURACIÓN]])&gt;PROVEEDORES[[#This Row],[PLAZO Días]],"PAGO VENCIDO")</f>
        <v>PAGO VENCIDO</v>
      </c>
      <c r="C990" s="138">
        <f>+VLOOKUP(PROVEEDORES[[#This Row],[PROVEEDOR]],TERCEROS_INFO[#All],2,FALSE)</f>
        <v>30</v>
      </c>
      <c r="D990" s="139">
        <f>+SUMIFS(PROVEEDORES[Total],PROVEEDORES[PROVEEDOR],PROVEEDORES[[#This Row],[PROVEEDOR]],PROVEEDORES[FECHA DE PAGO],"")</f>
        <v>5427539.2800000003</v>
      </c>
      <c r="E990" s="140"/>
      <c r="F990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990" s="127">
        <v>45264</v>
      </c>
      <c r="H990" s="123" t="s">
        <v>11</v>
      </c>
      <c r="I990" s="127">
        <v>45222</v>
      </c>
      <c r="J990" s="124" t="s">
        <v>1182</v>
      </c>
      <c r="K990" s="124" t="s">
        <v>1530</v>
      </c>
      <c r="L990" s="124"/>
      <c r="M990" s="125">
        <v>3105888</v>
      </c>
      <c r="N990" s="148">
        <v>590118.72</v>
      </c>
      <c r="O990" s="148">
        <v>0</v>
      </c>
      <c r="P990" s="149">
        <v>2.5000000000000001E-2</v>
      </c>
      <c r="Q990" s="148">
        <v>77647.199999999997</v>
      </c>
      <c r="R990" s="150">
        <v>3618359.5199999996</v>
      </c>
      <c r="S9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0" s="135">
        <f ca="1">+IF(PROVEEDORES[[#This Row],[FECHA DE PAGO]]=0,TODAY()-PROVEEDORES[[#This Row],[FECHA DE FACTURACIÓN]]-PROVEEDORES[[#This Row],[PLAZO Días]],0)</f>
        <v>0</v>
      </c>
      <c r="U990" s="135" t="str">
        <f>+VLOOKUP(PROVEEDORES[[#This Row],[PROVEEDOR]],Terceros!$A:$D,4,FALSE)</f>
        <v>2,5% con base</v>
      </c>
      <c r="V990" s="135">
        <f>+YEAR(PROVEEDORES[[#This Row],[FECHA DE FACTURACIÓN]])</f>
        <v>2023</v>
      </c>
      <c r="W990" s="135">
        <f>+MATCH(PROVEEDORES[[#This Row],[año facturado]],Retenciones!$1:$1,0)</f>
        <v>6</v>
      </c>
      <c r="X990" s="136">
        <f>+VLOOKUP(PROVEEDORES[[#This Row],[ID RETENCION]],Retenciones!$A$1:$O$25,PROVEEDORES[[#This Row],[indicador de columna]],FALSE)</f>
        <v>1145000</v>
      </c>
      <c r="Y990" s="137">
        <f>+VLOOKUP(PROVEEDORES[[#This Row],[ID RETENCION]],Retenciones!$A$1:$O$25,2,FALSE)</f>
        <v>2.5000000000000001E-2</v>
      </c>
      <c r="Z990" s="126" t="b">
        <f>+OR(COUNTIF(PROVEEDORES[[#This Row],[PROVEEDOR]],"*"&amp;'Palabra que no opera y Listas d'!$A$2&amp;"*"))</f>
        <v>0</v>
      </c>
    </row>
    <row r="991" spans="1:26" ht="27.75" customHeight="1" x14ac:dyDescent="0.25">
      <c r="A991" s="141" t="str">
        <f>+IF(PROVEEDORES[[#This Row],[FECHA DE PAGO]]=PROVEEDORES[[#This Row],[FECHA DE FACTURACIÓN]],"DE CONTADO","CRÉDITO")</f>
        <v>CRÉDITO</v>
      </c>
      <c r="B991" s="138" t="b">
        <f>+IF((PROVEEDORES[[#This Row],[FECHA DE PAGO]]-PROVEEDORES[[#This Row],[FECHA DE FACTURACIÓN]])&gt;PROVEEDORES[[#This Row],[PLAZO Días]],"PAGO VENCIDO")</f>
        <v>0</v>
      </c>
      <c r="C991" s="138">
        <f>+VLOOKUP(PROVEEDORES[[#This Row],[PROVEEDOR]],TERCEROS_INFO[#All],2,FALSE)</f>
        <v>60</v>
      </c>
      <c r="D991" s="139">
        <f>+SUMIFS(PROVEEDORES[Total],PROVEEDORES[PROVEEDOR],PROVEEDORES[[#This Row],[PROVEEDOR]],PROVEEDORES[FECHA DE PAGO],"")</f>
        <v>0</v>
      </c>
      <c r="E991" s="140"/>
      <c r="F991" s="138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991" s="127">
        <v>45264</v>
      </c>
      <c r="H991" s="123" t="s">
        <v>582</v>
      </c>
      <c r="I991" s="127">
        <v>45225</v>
      </c>
      <c r="J991" s="124" t="s">
        <v>1189</v>
      </c>
      <c r="K991" s="124" t="s">
        <v>1530</v>
      </c>
      <c r="L991" s="124"/>
      <c r="M991" s="125">
        <v>3110000</v>
      </c>
      <c r="N991" s="148">
        <v>590900</v>
      </c>
      <c r="O991" s="148">
        <v>0</v>
      </c>
      <c r="P991" s="149">
        <v>2.5000000000000001E-2</v>
      </c>
      <c r="Q991" s="148">
        <v>77750</v>
      </c>
      <c r="R991" s="150">
        <v>3623150</v>
      </c>
      <c r="S9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1" s="135">
        <f ca="1">+IF(PROVEEDORES[[#This Row],[FECHA DE PAGO]]=0,TODAY()-PROVEEDORES[[#This Row],[FECHA DE FACTURACIÓN]]-PROVEEDORES[[#This Row],[PLAZO Días]],0)</f>
        <v>0</v>
      </c>
      <c r="U991" s="135" t="str">
        <f>+VLOOKUP(PROVEEDORES[[#This Row],[PROVEEDOR]],Terceros!$A:$D,4,FALSE)</f>
        <v>2,5% con base</v>
      </c>
      <c r="V991" s="135">
        <f>+YEAR(PROVEEDORES[[#This Row],[FECHA DE FACTURACIÓN]])</f>
        <v>2023</v>
      </c>
      <c r="W991" s="135">
        <f>+MATCH(PROVEEDORES[[#This Row],[año facturado]],Retenciones!$1:$1,0)</f>
        <v>6</v>
      </c>
      <c r="X991" s="136">
        <f>+VLOOKUP(PROVEEDORES[[#This Row],[ID RETENCION]],Retenciones!$A$1:$O$25,PROVEEDORES[[#This Row],[indicador de columna]],FALSE)</f>
        <v>1145000</v>
      </c>
      <c r="Y991" s="137">
        <f>+VLOOKUP(PROVEEDORES[[#This Row],[ID RETENCION]],Retenciones!$A$1:$O$25,2,FALSE)</f>
        <v>2.5000000000000001E-2</v>
      </c>
      <c r="Z991" s="126" t="b">
        <f>+OR(COUNTIF(PROVEEDORES[[#This Row],[PROVEEDOR]],"*"&amp;'Palabra que no opera y Listas d'!$A$2&amp;"*"))</f>
        <v>0</v>
      </c>
    </row>
    <row r="992" spans="1:26" ht="27.75" customHeight="1" x14ac:dyDescent="0.25">
      <c r="A992" s="141" t="str">
        <f>+IF(PROVEEDORES[[#This Row],[FECHA DE PAGO]]=PROVEEDORES[[#This Row],[FECHA DE FACTURACIÓN]],"DE CONTADO","CRÉDITO")</f>
        <v>CRÉDITO</v>
      </c>
      <c r="B992" s="138" t="str">
        <f>+IF((PROVEEDORES[[#This Row],[FECHA DE PAGO]]-PROVEEDORES[[#This Row],[FECHA DE FACTURACIÓN]])&gt;PROVEEDORES[[#This Row],[PLAZO Días]],"PAGO VENCIDO")</f>
        <v>PAGO VENCIDO</v>
      </c>
      <c r="C992" s="138">
        <f>+VLOOKUP(PROVEEDORES[[#This Row],[PROVEEDOR]],TERCEROS_INFO[#All],2,FALSE)</f>
        <v>30</v>
      </c>
      <c r="D992" s="139">
        <f>+SUMIFS(PROVEEDORES[Total],PROVEEDORES[PROVEEDOR],PROVEEDORES[[#This Row],[PROVEEDOR]],PROVEEDORES[FECHA DE PAGO],"")</f>
        <v>5581100</v>
      </c>
      <c r="E992" s="140"/>
      <c r="F992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992" s="127">
        <v>45264</v>
      </c>
      <c r="H992" s="123" t="s">
        <v>446</v>
      </c>
      <c r="I992" s="127">
        <v>45225</v>
      </c>
      <c r="J992" s="124" t="s">
        <v>1188</v>
      </c>
      <c r="K992" s="124" t="s">
        <v>1530</v>
      </c>
      <c r="L992" s="124"/>
      <c r="M992" s="125">
        <v>2263000</v>
      </c>
      <c r="N992" s="148">
        <v>429970</v>
      </c>
      <c r="O992" s="148">
        <v>0</v>
      </c>
      <c r="P992" s="149">
        <v>0</v>
      </c>
      <c r="Q992" s="148">
        <v>0</v>
      </c>
      <c r="R992" s="150">
        <v>2692970</v>
      </c>
      <c r="S9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2" s="135">
        <f ca="1">+IF(PROVEEDORES[[#This Row],[FECHA DE PAGO]]=0,TODAY()-PROVEEDORES[[#This Row],[FECHA DE FACTURACIÓN]]-PROVEEDORES[[#This Row],[PLAZO Días]],0)</f>
        <v>0</v>
      </c>
      <c r="U992" s="135">
        <f>+VLOOKUP(PROVEEDORES[[#This Row],[PROVEEDOR]],Terceros!$A:$D,4,FALSE)</f>
        <v>0</v>
      </c>
      <c r="V992" s="135">
        <f>+YEAR(PROVEEDORES[[#This Row],[FECHA DE FACTURACIÓN]])</f>
        <v>2023</v>
      </c>
      <c r="W992" s="135">
        <f>+MATCH(PROVEEDORES[[#This Row],[año facturado]],Retenciones!$1:$1,0)</f>
        <v>6</v>
      </c>
      <c r="X992" s="136">
        <f>+VLOOKUP(PROVEEDORES[[#This Row],[ID RETENCION]],Retenciones!$A$1:$O$25,PROVEEDORES[[#This Row],[indicador de columna]],FALSE)</f>
        <v>0</v>
      </c>
      <c r="Y992" s="137">
        <f>+VLOOKUP(PROVEEDORES[[#This Row],[ID RETENCION]],Retenciones!$A$1:$O$25,2,FALSE)</f>
        <v>0</v>
      </c>
      <c r="Z992" s="126" t="b">
        <f>+OR(COUNTIF(PROVEEDORES[[#This Row],[PROVEEDOR]],"*"&amp;'Palabra que no opera y Listas d'!$A$2&amp;"*"))</f>
        <v>0</v>
      </c>
    </row>
    <row r="993" spans="1:26" ht="27.75" customHeight="1" x14ac:dyDescent="0.25">
      <c r="A993" s="141" t="str">
        <f>+IF(PROVEEDORES[[#This Row],[FECHA DE PAGO]]=PROVEEDORES[[#This Row],[FECHA DE FACTURACIÓN]],"DE CONTADO","CRÉDITO")</f>
        <v>CRÉDITO</v>
      </c>
      <c r="B993" s="138" t="str">
        <f>+IF((PROVEEDORES[[#This Row],[FECHA DE PAGO]]-PROVEEDORES[[#This Row],[FECHA DE FACTURACIÓN]])&gt;PROVEEDORES[[#This Row],[PLAZO Días]],"PAGO VENCIDO")</f>
        <v>PAGO VENCIDO</v>
      </c>
      <c r="C993" s="138">
        <f>+VLOOKUP(PROVEEDORES[[#This Row],[PROVEEDOR]],TERCEROS_INFO[#All],2,FALSE)</f>
        <v>30</v>
      </c>
      <c r="D993" s="139">
        <f>+SUMIFS(PROVEEDORES[Total],PROVEEDORES[PROVEEDOR],PROVEEDORES[[#This Row],[PROVEEDOR]],PROVEEDORES[FECHA DE PAGO],"")</f>
        <v>2080356.81</v>
      </c>
      <c r="E993" s="140"/>
      <c r="F993" s="13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993" s="127">
        <v>45264</v>
      </c>
      <c r="H993" s="123" t="s">
        <v>31</v>
      </c>
      <c r="I993" s="127">
        <v>45225</v>
      </c>
      <c r="J993" s="124" t="s">
        <v>1174</v>
      </c>
      <c r="K993" s="124" t="s">
        <v>1530</v>
      </c>
      <c r="L993" s="124"/>
      <c r="M993" s="125">
        <v>2261344</v>
      </c>
      <c r="N993" s="148">
        <v>429655.36</v>
      </c>
      <c r="O993" s="148">
        <v>0</v>
      </c>
      <c r="P993" s="149">
        <v>2.5000000000000001E-2</v>
      </c>
      <c r="Q993" s="148">
        <v>56533.600000000006</v>
      </c>
      <c r="R993" s="150">
        <v>2634465.7599999998</v>
      </c>
      <c r="S9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3" s="135">
        <f ca="1">+IF(PROVEEDORES[[#This Row],[FECHA DE PAGO]]=0,TODAY()-PROVEEDORES[[#This Row],[FECHA DE FACTURACIÓN]]-PROVEEDORES[[#This Row],[PLAZO Días]],0)</f>
        <v>0</v>
      </c>
      <c r="U993" s="135" t="str">
        <f>+VLOOKUP(PROVEEDORES[[#This Row],[PROVEEDOR]],Terceros!$A:$D,4,FALSE)</f>
        <v>2,5% con base</v>
      </c>
      <c r="V993" s="135">
        <f>+YEAR(PROVEEDORES[[#This Row],[FECHA DE FACTURACIÓN]])</f>
        <v>2023</v>
      </c>
      <c r="W993" s="135">
        <f>+MATCH(PROVEEDORES[[#This Row],[año facturado]],Retenciones!$1:$1,0)</f>
        <v>6</v>
      </c>
      <c r="X993" s="136">
        <f>+VLOOKUP(PROVEEDORES[[#This Row],[ID RETENCION]],Retenciones!$A$1:$O$25,PROVEEDORES[[#This Row],[indicador de columna]],FALSE)</f>
        <v>1145000</v>
      </c>
      <c r="Y993" s="137">
        <f>+VLOOKUP(PROVEEDORES[[#This Row],[ID RETENCION]],Retenciones!$A$1:$O$25,2,FALSE)</f>
        <v>2.5000000000000001E-2</v>
      </c>
      <c r="Z993" s="126" t="b">
        <f>+OR(COUNTIF(PROVEEDORES[[#This Row],[PROVEEDOR]],"*"&amp;'Palabra que no opera y Listas d'!$A$2&amp;"*"))</f>
        <v>0</v>
      </c>
    </row>
    <row r="994" spans="1:26" ht="27.75" customHeight="1" x14ac:dyDescent="0.25">
      <c r="A994" s="141" t="str">
        <f>+IF(PROVEEDORES[[#This Row],[FECHA DE PAGO]]=PROVEEDORES[[#This Row],[FECHA DE FACTURACIÓN]],"DE CONTADO","CRÉDITO")</f>
        <v>CRÉDITO</v>
      </c>
      <c r="B994" s="138" t="str">
        <f>+IF((PROVEEDORES[[#This Row],[FECHA DE PAGO]]-PROVEEDORES[[#This Row],[FECHA DE FACTURACIÓN]])&gt;PROVEEDORES[[#This Row],[PLAZO Días]],"PAGO VENCIDO")</f>
        <v>PAGO VENCIDO</v>
      </c>
      <c r="C994" s="138">
        <f>+VLOOKUP(PROVEEDORES[[#This Row],[PROVEEDOR]],TERCEROS_INFO[#All],2,FALSE)</f>
        <v>30</v>
      </c>
      <c r="D994" s="139">
        <f>+SUMIFS(PROVEEDORES[Total],PROVEEDORES[PROVEEDOR],PROVEEDORES[[#This Row],[PROVEEDOR]],PROVEEDORES[FECHA DE PAGO],"")</f>
        <v>4466504.835</v>
      </c>
      <c r="E994" s="140"/>
      <c r="F994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994" s="127">
        <v>45264</v>
      </c>
      <c r="H994" s="123" t="s">
        <v>18</v>
      </c>
      <c r="I994" s="127">
        <v>45232</v>
      </c>
      <c r="J994" s="124" t="s">
        <v>1224</v>
      </c>
      <c r="K994" s="124" t="s">
        <v>1530</v>
      </c>
      <c r="L994" s="124"/>
      <c r="M994" s="125">
        <v>2284053</v>
      </c>
      <c r="N994" s="148">
        <v>433970.07</v>
      </c>
      <c r="O994" s="148">
        <v>0</v>
      </c>
      <c r="P994" s="149">
        <v>2.5000000000000001E-2</v>
      </c>
      <c r="Q994" s="148">
        <v>57101.325000000004</v>
      </c>
      <c r="R994" s="150">
        <v>2660921.7449999996</v>
      </c>
      <c r="S9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4" s="135">
        <f ca="1">+IF(PROVEEDORES[[#This Row],[FECHA DE PAGO]]=0,TODAY()-PROVEEDORES[[#This Row],[FECHA DE FACTURACIÓN]]-PROVEEDORES[[#This Row],[PLAZO Días]],0)</f>
        <v>0</v>
      </c>
      <c r="U994" s="135" t="str">
        <f>+VLOOKUP(PROVEEDORES[[#This Row],[PROVEEDOR]],Terceros!$A:$D,4,FALSE)</f>
        <v>2,5% con base</v>
      </c>
      <c r="V994" s="135">
        <f>+YEAR(PROVEEDORES[[#This Row],[FECHA DE FACTURACIÓN]])</f>
        <v>2023</v>
      </c>
      <c r="W994" s="135">
        <f>+MATCH(PROVEEDORES[[#This Row],[año facturado]],Retenciones!$1:$1,0)</f>
        <v>6</v>
      </c>
      <c r="X994" s="136">
        <f>+VLOOKUP(PROVEEDORES[[#This Row],[ID RETENCION]],Retenciones!$A$1:$O$25,PROVEEDORES[[#This Row],[indicador de columna]],FALSE)</f>
        <v>1145000</v>
      </c>
      <c r="Y994" s="137">
        <f>+VLOOKUP(PROVEEDORES[[#This Row],[ID RETENCION]],Retenciones!$A$1:$O$25,2,FALSE)</f>
        <v>2.5000000000000001E-2</v>
      </c>
      <c r="Z994" s="126" t="b">
        <f>+OR(COUNTIF(PROVEEDORES[[#This Row],[PROVEEDOR]],"*"&amp;'Palabra que no opera y Listas d'!$A$2&amp;"*"))</f>
        <v>0</v>
      </c>
    </row>
    <row r="995" spans="1:26" ht="27.75" customHeight="1" x14ac:dyDescent="0.25">
      <c r="A995" s="141" t="str">
        <f>+IF(PROVEEDORES[[#This Row],[FECHA DE PAGO]]=PROVEEDORES[[#This Row],[FECHA DE FACTURACIÓN]],"DE CONTADO","CRÉDITO")</f>
        <v>CRÉDITO</v>
      </c>
      <c r="B995" s="138" t="str">
        <f>+IF((PROVEEDORES[[#This Row],[FECHA DE PAGO]]-PROVEEDORES[[#This Row],[FECHA DE FACTURACIÓN]])&gt;PROVEEDORES[[#This Row],[PLAZO Días]],"PAGO VENCIDO")</f>
        <v>PAGO VENCIDO</v>
      </c>
      <c r="C995" s="138">
        <f>+VLOOKUP(PROVEEDORES[[#This Row],[PROVEEDOR]],TERCEROS_INFO[#All],2,FALSE)</f>
        <v>30</v>
      </c>
      <c r="D995" s="139">
        <f>+SUMIFS(PROVEEDORES[Total],PROVEEDORES[PROVEEDOR],PROVEEDORES[[#This Row],[PROVEEDOR]],PROVEEDORES[FECHA DE PAGO],"")</f>
        <v>1776037.21</v>
      </c>
      <c r="E995" s="140"/>
      <c r="F995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995" s="127">
        <v>45264</v>
      </c>
      <c r="H995" s="123" t="s">
        <v>17</v>
      </c>
      <c r="I995" s="127">
        <v>45233</v>
      </c>
      <c r="J995" s="124" t="s">
        <v>1228</v>
      </c>
      <c r="K995" s="124" t="s">
        <v>1530</v>
      </c>
      <c r="L995" s="124"/>
      <c r="M995" s="125">
        <v>707408</v>
      </c>
      <c r="N995" s="148">
        <v>134407.51999999999</v>
      </c>
      <c r="O995" s="148">
        <v>0</v>
      </c>
      <c r="P995" s="149">
        <v>0</v>
      </c>
      <c r="Q995" s="148">
        <v>0</v>
      </c>
      <c r="R995" s="150">
        <v>841815.52</v>
      </c>
      <c r="S9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5" s="135">
        <f ca="1">+IF(PROVEEDORES[[#This Row],[FECHA DE PAGO]]=0,TODAY()-PROVEEDORES[[#This Row],[FECHA DE FACTURACIÓN]]-PROVEEDORES[[#This Row],[PLAZO Días]],0)</f>
        <v>0</v>
      </c>
      <c r="U995" s="135">
        <f>+VLOOKUP(PROVEEDORES[[#This Row],[PROVEEDOR]],Terceros!$A:$D,4,FALSE)</f>
        <v>0</v>
      </c>
      <c r="V995" s="135">
        <f>+YEAR(PROVEEDORES[[#This Row],[FECHA DE FACTURACIÓN]])</f>
        <v>2023</v>
      </c>
      <c r="W995" s="135">
        <f>+MATCH(PROVEEDORES[[#This Row],[año facturado]],Retenciones!$1:$1,0)</f>
        <v>6</v>
      </c>
      <c r="X995" s="136">
        <f>+VLOOKUP(PROVEEDORES[[#This Row],[ID RETENCION]],Retenciones!$A$1:$O$25,PROVEEDORES[[#This Row],[indicador de columna]],FALSE)</f>
        <v>0</v>
      </c>
      <c r="Y995" s="137">
        <f>+VLOOKUP(PROVEEDORES[[#This Row],[ID RETENCION]],Retenciones!$A$1:$O$25,2,FALSE)</f>
        <v>0</v>
      </c>
      <c r="Z995" s="126" t="b">
        <f>+OR(COUNTIF(PROVEEDORES[[#This Row],[PROVEEDOR]],"*"&amp;'Palabra que no opera y Listas d'!$A$2&amp;"*"))</f>
        <v>0</v>
      </c>
    </row>
    <row r="996" spans="1:26" ht="27.75" customHeight="1" x14ac:dyDescent="0.25">
      <c r="A996" s="141" t="str">
        <f>+IF(PROVEEDORES[[#This Row],[FECHA DE PAGO]]=PROVEEDORES[[#This Row],[FECHA DE FACTURACIÓN]],"DE CONTADO","CRÉDITO")</f>
        <v>CRÉDITO</v>
      </c>
      <c r="B996" s="138" t="b">
        <f>+IF((PROVEEDORES[[#This Row],[FECHA DE PAGO]]-PROVEEDORES[[#This Row],[FECHA DE FACTURACIÓN]])&gt;PROVEEDORES[[#This Row],[PLAZO Días]],"PAGO VENCIDO")</f>
        <v>0</v>
      </c>
      <c r="C996" s="138">
        <f>+VLOOKUP(PROVEEDORES[[#This Row],[PROVEEDOR]],TERCEROS_INFO[#All],2,FALSE)</f>
        <v>30</v>
      </c>
      <c r="D996" s="139">
        <f>+SUMIFS(PROVEEDORES[Total],PROVEEDORES[PROVEEDOR],PROVEEDORES[[#This Row],[PROVEEDOR]],PROVEEDORES[FECHA DE PAGO],"")</f>
        <v>0</v>
      </c>
      <c r="E996" s="140"/>
      <c r="F996" s="138">
        <f>+VLOOKUP(PROVEEDORES[[#This Row],[PROVEEDOR]],
                       Terceros!$A:$F,
                       5,
                       FALSE)</f>
        <v>0</v>
      </c>
      <c r="G996" s="127">
        <v>45264</v>
      </c>
      <c r="H996" s="123" t="s">
        <v>836</v>
      </c>
      <c r="I996" s="127">
        <v>45261</v>
      </c>
      <c r="J996" s="124" t="s">
        <v>1294</v>
      </c>
      <c r="K996" s="124" t="s">
        <v>1530</v>
      </c>
      <c r="L996" s="124"/>
      <c r="M996" s="125">
        <v>534000</v>
      </c>
      <c r="N996" s="148">
        <v>0</v>
      </c>
      <c r="O996" s="148">
        <v>0</v>
      </c>
      <c r="P996" s="149">
        <v>0</v>
      </c>
      <c r="Q996" s="148">
        <v>0</v>
      </c>
      <c r="R996" s="150">
        <v>534000</v>
      </c>
      <c r="S9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6" s="135">
        <f ca="1">+IF(PROVEEDORES[[#This Row],[FECHA DE PAGO]]=0,TODAY()-PROVEEDORES[[#This Row],[FECHA DE FACTURACIÓN]]-PROVEEDORES[[#This Row],[PLAZO Días]],0)</f>
        <v>0</v>
      </c>
      <c r="U996" s="135">
        <f>+VLOOKUP(PROVEEDORES[[#This Row],[PROVEEDOR]],Terceros!$A:$D,4,FALSE)</f>
        <v>0</v>
      </c>
      <c r="V996" s="135">
        <f>+YEAR(PROVEEDORES[[#This Row],[FECHA DE FACTURACIÓN]])</f>
        <v>2023</v>
      </c>
      <c r="W996" s="135">
        <f>+MATCH(PROVEEDORES[[#This Row],[año facturado]],Retenciones!$1:$1,0)</f>
        <v>6</v>
      </c>
      <c r="X996" s="136">
        <f>+VLOOKUP(PROVEEDORES[[#This Row],[ID RETENCION]],Retenciones!$A$1:$O$25,PROVEEDORES[[#This Row],[indicador de columna]],FALSE)</f>
        <v>0</v>
      </c>
      <c r="Y996" s="137">
        <f>+VLOOKUP(PROVEEDORES[[#This Row],[ID RETENCION]],Retenciones!$A$1:$O$25,2,FALSE)</f>
        <v>0</v>
      </c>
      <c r="Z996" s="126" t="b">
        <f>+OR(COUNTIF(PROVEEDORES[[#This Row],[PROVEEDOR]],"*"&amp;'Palabra que no opera y Listas d'!$A$2&amp;"*"))</f>
        <v>0</v>
      </c>
    </row>
    <row r="997" spans="1:26" ht="27.75" customHeight="1" x14ac:dyDescent="0.25">
      <c r="A997" s="141" t="str">
        <f>+IF(PROVEEDORES[[#This Row],[FECHA DE PAGO]]=PROVEEDORES[[#This Row],[FECHA DE FACTURACIÓN]],"DE CONTADO","CRÉDITO")</f>
        <v>DE CONTADO</v>
      </c>
      <c r="B997" s="138" t="b">
        <f>+IF((PROVEEDORES[[#This Row],[FECHA DE PAGO]]-PROVEEDORES[[#This Row],[FECHA DE FACTURACIÓN]])&gt;PROVEEDORES[[#This Row],[PLAZO Días]],"PAGO VENCIDO")</f>
        <v>0</v>
      </c>
      <c r="C997" s="138">
        <f>+VLOOKUP(PROVEEDORES[[#This Row],[PROVEEDOR]],TERCEROS_INFO[#All],2,FALSE)</f>
        <v>30</v>
      </c>
      <c r="D997" s="139">
        <f>+SUMIFS(PROVEEDORES[Total],PROVEEDORES[PROVEEDOR],PROVEEDORES[[#This Row],[PROVEEDOR]],PROVEEDORES[FECHA DE PAGO],"")</f>
        <v>0</v>
      </c>
      <c r="E997" s="140"/>
      <c r="F997" s="138" t="str">
        <f>+VLOOKUP(PROVEEDORES[[#This Row],[PROVEEDOR]],
                       Terceros!$A:$F,
                       5,
                       FALSE)</f>
        <v/>
      </c>
      <c r="G997" s="127">
        <v>45266</v>
      </c>
      <c r="H997" s="123" t="s">
        <v>525</v>
      </c>
      <c r="I997" s="127">
        <v>45266</v>
      </c>
      <c r="J997" s="124" t="s">
        <v>1321</v>
      </c>
      <c r="K997" s="124" t="s">
        <v>1530</v>
      </c>
      <c r="L997" s="124"/>
      <c r="M997" s="125">
        <v>412900</v>
      </c>
      <c r="N997" s="148">
        <v>0</v>
      </c>
      <c r="O997" s="148">
        <v>0</v>
      </c>
      <c r="P997" s="149">
        <v>0</v>
      </c>
      <c r="Q997" s="148">
        <v>0</v>
      </c>
      <c r="R997" s="150">
        <v>412900</v>
      </c>
      <c r="S9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7" s="135">
        <f ca="1">+IF(PROVEEDORES[[#This Row],[FECHA DE PAGO]]=0,TODAY()-PROVEEDORES[[#This Row],[FECHA DE FACTURACIÓN]]-PROVEEDORES[[#This Row],[PLAZO Días]],0)</f>
        <v>0</v>
      </c>
      <c r="U997" s="135">
        <f>+VLOOKUP(PROVEEDORES[[#This Row],[PROVEEDOR]],Terceros!$A:$D,4,FALSE)</f>
        <v>0</v>
      </c>
      <c r="V997" s="135">
        <f>+YEAR(PROVEEDORES[[#This Row],[FECHA DE FACTURACIÓN]])</f>
        <v>2023</v>
      </c>
      <c r="W997" s="135">
        <f>+MATCH(PROVEEDORES[[#This Row],[año facturado]],Retenciones!$1:$1,0)</f>
        <v>6</v>
      </c>
      <c r="X997" s="136">
        <f>+VLOOKUP(PROVEEDORES[[#This Row],[ID RETENCION]],Retenciones!$A$1:$O$25,PROVEEDORES[[#This Row],[indicador de columna]],FALSE)</f>
        <v>0</v>
      </c>
      <c r="Y997" s="137">
        <f>+VLOOKUP(PROVEEDORES[[#This Row],[ID RETENCION]],Retenciones!$A$1:$O$25,2,FALSE)</f>
        <v>0</v>
      </c>
      <c r="Z997" s="126" t="b">
        <f>+OR(COUNTIF(PROVEEDORES[[#This Row],[PROVEEDOR]],"*"&amp;'Palabra que no opera y Listas d'!$A$2&amp;"*"))</f>
        <v>0</v>
      </c>
    </row>
    <row r="998" spans="1:26" ht="27.75" customHeight="1" x14ac:dyDescent="0.25">
      <c r="A998" s="141" t="str">
        <f>+IF(PROVEEDORES[[#This Row],[FECHA DE PAGO]]=PROVEEDORES[[#This Row],[FECHA DE FACTURACIÓN]],"DE CONTADO","CRÉDITO")</f>
        <v>DE CONTADO</v>
      </c>
      <c r="B998" s="138" t="b">
        <f>+IF((PROVEEDORES[[#This Row],[FECHA DE PAGO]]-PROVEEDORES[[#This Row],[FECHA DE FACTURACIÓN]])&gt;PROVEEDORES[[#This Row],[PLAZO Días]],"PAGO VENCIDO")</f>
        <v>0</v>
      </c>
      <c r="C998" s="138">
        <f>+VLOOKUP(PROVEEDORES[[#This Row],[PROVEEDOR]],TERCEROS_INFO[#All],2,FALSE)</f>
        <v>30</v>
      </c>
      <c r="D998" s="139">
        <f>+SUMIFS(PROVEEDORES[Total],PROVEEDORES[PROVEEDOR],PROVEEDORES[[#This Row],[PROVEEDOR]],PROVEEDORES[FECHA DE PAGO],"")</f>
        <v>1350000</v>
      </c>
      <c r="E998" s="140"/>
      <c r="F998" s="138" t="str">
        <f>+VLOOKUP(PROVEEDORES[[#This Row],[PROVEEDOR]],
                       Terceros!$A:$F,
                       5,
                       FALSE)</f>
        <v/>
      </c>
      <c r="G998" s="127">
        <v>45266</v>
      </c>
      <c r="H998" s="123" t="s">
        <v>1807</v>
      </c>
      <c r="I998" s="127">
        <v>45266</v>
      </c>
      <c r="J998" s="124" t="s">
        <v>1377</v>
      </c>
      <c r="K998" s="124" t="s">
        <v>1530</v>
      </c>
      <c r="L998" s="124"/>
      <c r="M998" s="125">
        <v>1200000</v>
      </c>
      <c r="N998" s="148">
        <v>0</v>
      </c>
      <c r="O998" s="148">
        <v>0</v>
      </c>
      <c r="P998" s="149">
        <v>0</v>
      </c>
      <c r="Q998" s="148">
        <v>0</v>
      </c>
      <c r="R998" s="150">
        <v>1200000</v>
      </c>
      <c r="S9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8" s="135">
        <f ca="1">+IF(PROVEEDORES[[#This Row],[FECHA DE PAGO]]=0,TODAY()-PROVEEDORES[[#This Row],[FECHA DE FACTURACIÓN]]-PROVEEDORES[[#This Row],[PLAZO Días]],0)</f>
        <v>0</v>
      </c>
      <c r="U998" s="135">
        <f>+VLOOKUP(PROVEEDORES[[#This Row],[PROVEEDOR]],Terceros!$A:$D,4,FALSE)</f>
        <v>0</v>
      </c>
      <c r="V998" s="135">
        <f>+YEAR(PROVEEDORES[[#This Row],[FECHA DE FACTURACIÓN]])</f>
        <v>2023</v>
      </c>
      <c r="W998" s="135">
        <f>+MATCH(PROVEEDORES[[#This Row],[año facturado]],Retenciones!$1:$1,0)</f>
        <v>6</v>
      </c>
      <c r="X998" s="136">
        <f>+VLOOKUP(PROVEEDORES[[#This Row],[ID RETENCION]],Retenciones!$A$1:$O$25,PROVEEDORES[[#This Row],[indicador de columna]],FALSE)</f>
        <v>0</v>
      </c>
      <c r="Y998" s="137">
        <f>+VLOOKUP(PROVEEDORES[[#This Row],[ID RETENCION]],Retenciones!$A$1:$O$25,2,FALSE)</f>
        <v>0</v>
      </c>
      <c r="Z998" s="126" t="b">
        <f>+OR(COUNTIF(PROVEEDORES[[#This Row],[PROVEEDOR]],"*"&amp;'Palabra que no opera y Listas d'!$A$2&amp;"*"))</f>
        <v>0</v>
      </c>
    </row>
    <row r="999" spans="1:26" ht="27.75" customHeight="1" x14ac:dyDescent="0.25">
      <c r="A999" s="141" t="str">
        <f>+IF(PROVEEDORES[[#This Row],[FECHA DE PAGO]]=PROVEEDORES[[#This Row],[FECHA DE FACTURACIÓN]],"DE CONTADO","CRÉDITO")</f>
        <v>DE CONTADO</v>
      </c>
      <c r="B999" s="138" t="b">
        <f>+IF((PROVEEDORES[[#This Row],[FECHA DE PAGO]]-PROVEEDORES[[#This Row],[FECHA DE FACTURACIÓN]])&gt;PROVEEDORES[[#This Row],[PLAZO Días]],"PAGO VENCIDO")</f>
        <v>0</v>
      </c>
      <c r="C999" s="138">
        <f>+VLOOKUP(PROVEEDORES[[#This Row],[PROVEEDOR]],TERCEROS_INFO[#All],2,FALSE)</f>
        <v>30</v>
      </c>
      <c r="D999" s="139">
        <f>+SUMIFS(PROVEEDORES[Total],PROVEEDORES[PROVEEDOR],PROVEEDORES[[#This Row],[PROVEEDOR]],PROVEEDORES[FECHA DE PAGO],"")</f>
        <v>1350000</v>
      </c>
      <c r="E999" s="140"/>
      <c r="F999" s="138" t="str">
        <f>+VLOOKUP(PROVEEDORES[[#This Row],[PROVEEDOR]],
                       Terceros!$A:$F,
                       5,
                       FALSE)</f>
        <v/>
      </c>
      <c r="G999" s="127">
        <v>45266</v>
      </c>
      <c r="H999" s="123" t="s">
        <v>1807</v>
      </c>
      <c r="I999" s="127">
        <v>45266</v>
      </c>
      <c r="J999" s="124" t="s">
        <v>1449</v>
      </c>
      <c r="K999" s="124" t="s">
        <v>1530</v>
      </c>
      <c r="L999" s="124"/>
      <c r="M999" s="125">
        <v>1810000</v>
      </c>
      <c r="N999" s="148">
        <v>0</v>
      </c>
      <c r="O999" s="148">
        <v>0</v>
      </c>
      <c r="P999" s="149">
        <v>0</v>
      </c>
      <c r="Q999" s="148">
        <v>0</v>
      </c>
      <c r="R999" s="150">
        <v>1810000</v>
      </c>
      <c r="S9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999" s="135">
        <f ca="1">+IF(PROVEEDORES[[#This Row],[FECHA DE PAGO]]=0,TODAY()-PROVEEDORES[[#This Row],[FECHA DE FACTURACIÓN]]-PROVEEDORES[[#This Row],[PLAZO Días]],0)</f>
        <v>0</v>
      </c>
      <c r="U999" s="135">
        <f>+VLOOKUP(PROVEEDORES[[#This Row],[PROVEEDOR]],Terceros!$A:$D,4,FALSE)</f>
        <v>0</v>
      </c>
      <c r="V999" s="135">
        <f>+YEAR(PROVEEDORES[[#This Row],[FECHA DE FACTURACIÓN]])</f>
        <v>2023</v>
      </c>
      <c r="W999" s="135">
        <f>+MATCH(PROVEEDORES[[#This Row],[año facturado]],Retenciones!$1:$1,0)</f>
        <v>6</v>
      </c>
      <c r="X999" s="136">
        <f>+VLOOKUP(PROVEEDORES[[#This Row],[ID RETENCION]],Retenciones!$A$1:$O$25,PROVEEDORES[[#This Row],[indicador de columna]],FALSE)</f>
        <v>0</v>
      </c>
      <c r="Y999" s="137">
        <f>+VLOOKUP(PROVEEDORES[[#This Row],[ID RETENCION]],Retenciones!$A$1:$O$25,2,FALSE)</f>
        <v>0</v>
      </c>
      <c r="Z999" s="126" t="b">
        <f>+OR(COUNTIF(PROVEEDORES[[#This Row],[PROVEEDOR]],"*"&amp;'Palabra que no opera y Listas d'!$A$2&amp;"*"))</f>
        <v>0</v>
      </c>
    </row>
    <row r="1000" spans="1:26" ht="27.75" customHeight="1" x14ac:dyDescent="0.25">
      <c r="A1000" s="141" t="str">
        <f>+IF(PROVEEDORES[[#This Row],[FECHA DE PAGO]]=PROVEEDORES[[#This Row],[FECHA DE FACTURACIÓN]],"DE CONTADO","CRÉDITO")</f>
        <v>CRÉDITO</v>
      </c>
      <c r="B1000" s="138" t="str">
        <f>+IF((PROVEEDORES[[#This Row],[FECHA DE PAGO]]-PROVEEDORES[[#This Row],[FECHA DE FACTURACIÓN]])&gt;PROVEEDORES[[#This Row],[PLAZO Días]],"PAGO VENCIDO")</f>
        <v>PAGO VENCIDO</v>
      </c>
      <c r="C1000" s="138">
        <f>+VLOOKUP(PROVEEDORES[[#This Row],[PROVEEDOR]],TERCEROS_INFO[#All],2,FALSE)</f>
        <v>30</v>
      </c>
      <c r="D1000" s="139">
        <f>+SUMIFS(PROVEEDORES[Total],PROVEEDORES[PROVEEDOR],PROVEEDORES[[#This Row],[PROVEEDOR]],PROVEEDORES[FECHA DE PAGO],"")</f>
        <v>2095000</v>
      </c>
      <c r="E1000" s="140"/>
      <c r="F1000" s="13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000" s="127">
        <v>45267</v>
      </c>
      <c r="H1000" s="123" t="s">
        <v>1804</v>
      </c>
      <c r="I1000" s="127">
        <v>45231</v>
      </c>
      <c r="J1000" s="124" t="s">
        <v>1213</v>
      </c>
      <c r="K1000" s="124" t="s">
        <v>1530</v>
      </c>
      <c r="L1000" s="124"/>
      <c r="M1000" s="125">
        <v>2990000</v>
      </c>
      <c r="N1000" s="148">
        <v>0</v>
      </c>
      <c r="O1000" s="148">
        <v>0</v>
      </c>
      <c r="P1000" s="149">
        <v>0</v>
      </c>
      <c r="Q1000" s="148">
        <v>0</v>
      </c>
      <c r="R1000" s="150">
        <v>2990000</v>
      </c>
      <c r="S10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0" s="135">
        <f ca="1">+IF(PROVEEDORES[[#This Row],[FECHA DE PAGO]]=0,TODAY()-PROVEEDORES[[#This Row],[FECHA DE FACTURACIÓN]]-PROVEEDORES[[#This Row],[PLAZO Días]],0)</f>
        <v>0</v>
      </c>
      <c r="U1000" s="135">
        <f>+VLOOKUP(PROVEEDORES[[#This Row],[PROVEEDOR]],Terceros!$A:$D,4,FALSE)</f>
        <v>0</v>
      </c>
      <c r="V1000" s="135">
        <f>+YEAR(PROVEEDORES[[#This Row],[FECHA DE FACTURACIÓN]])</f>
        <v>2023</v>
      </c>
      <c r="W1000" s="135">
        <f>+MATCH(PROVEEDORES[[#This Row],[año facturado]],Retenciones!$1:$1,0)</f>
        <v>6</v>
      </c>
      <c r="X1000" s="136">
        <f>+VLOOKUP(PROVEEDORES[[#This Row],[ID RETENCION]],Retenciones!$A$1:$O$25,PROVEEDORES[[#This Row],[indicador de columna]],FALSE)</f>
        <v>0</v>
      </c>
      <c r="Y1000" s="137">
        <f>+VLOOKUP(PROVEEDORES[[#This Row],[ID RETENCION]],Retenciones!$A$1:$O$25,2,FALSE)</f>
        <v>0</v>
      </c>
      <c r="Z1000" s="126" t="b">
        <f>+OR(COUNTIF(PROVEEDORES[[#This Row],[PROVEEDOR]],"*"&amp;'Palabra que no opera y Listas d'!$A$2&amp;"*"))</f>
        <v>0</v>
      </c>
    </row>
    <row r="1001" spans="1:26" ht="27.75" customHeight="1" x14ac:dyDescent="0.25">
      <c r="A1001" s="141" t="str">
        <f>+IF(PROVEEDORES[[#This Row],[FECHA DE PAGO]]=PROVEEDORES[[#This Row],[FECHA DE FACTURACIÓN]],"DE CONTADO","CRÉDITO")</f>
        <v>CRÉDITO</v>
      </c>
      <c r="B1001" s="138" t="str">
        <f>+IF((PROVEEDORES[[#This Row],[FECHA DE PAGO]]-PROVEEDORES[[#This Row],[FECHA DE FACTURACIÓN]])&gt;PROVEEDORES[[#This Row],[PLAZO Días]],"PAGO VENCIDO")</f>
        <v>PAGO VENCIDO</v>
      </c>
      <c r="C1001" s="138">
        <f>+VLOOKUP(PROVEEDORES[[#This Row],[PROVEEDOR]],TERCEROS_INFO[#All],2,FALSE)</f>
        <v>30</v>
      </c>
      <c r="D1001" s="139">
        <f>+SUMIFS(PROVEEDORES[Total],PROVEEDORES[PROVEEDOR],PROVEEDORES[[#This Row],[PROVEEDOR]],PROVEEDORES[FECHA DE PAGO],"")</f>
        <v>0</v>
      </c>
      <c r="E1001" s="140"/>
      <c r="F1001" s="138" t="str">
        <f>+VLOOKUP(PROVEEDORES[[#This Row],[PROVEEDOR]],
                       Terceros!$A:$F,
                       5,
                       FALSE)</f>
        <v>g_tech_group@outlook.es</v>
      </c>
      <c r="G1001" s="127">
        <v>45267</v>
      </c>
      <c r="H1001" s="123" t="s">
        <v>1217</v>
      </c>
      <c r="I1001" s="127">
        <v>45232</v>
      </c>
      <c r="J1001" s="124" t="s">
        <v>1221</v>
      </c>
      <c r="K1001" s="124" t="s">
        <v>1530</v>
      </c>
      <c r="L1001" s="124"/>
      <c r="M1001" s="125">
        <v>1089076</v>
      </c>
      <c r="N1001" s="148">
        <v>206924.44</v>
      </c>
      <c r="O1001" s="148">
        <v>0</v>
      </c>
      <c r="P1001" s="149">
        <v>0</v>
      </c>
      <c r="Q1001" s="148">
        <v>0</v>
      </c>
      <c r="R1001" s="150">
        <v>1296000.44</v>
      </c>
      <c r="S10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1" s="135">
        <f ca="1">+IF(PROVEEDORES[[#This Row],[FECHA DE PAGO]]=0,TODAY()-PROVEEDORES[[#This Row],[FECHA DE FACTURACIÓN]]-PROVEEDORES[[#This Row],[PLAZO Días]],0)</f>
        <v>0</v>
      </c>
      <c r="U1001" s="135" t="str">
        <f>+VLOOKUP(PROVEEDORES[[#This Row],[PROVEEDOR]],Terceros!$A:$D,4,FALSE)</f>
        <v>2,5% con base</v>
      </c>
      <c r="V1001" s="135">
        <f>+YEAR(PROVEEDORES[[#This Row],[FECHA DE FACTURACIÓN]])</f>
        <v>2023</v>
      </c>
      <c r="W1001" s="135">
        <f>+MATCH(PROVEEDORES[[#This Row],[año facturado]],Retenciones!$1:$1,0)</f>
        <v>6</v>
      </c>
      <c r="X1001" s="136">
        <f>+VLOOKUP(PROVEEDORES[[#This Row],[ID RETENCION]],Retenciones!$A$1:$O$25,PROVEEDORES[[#This Row],[indicador de columna]],FALSE)</f>
        <v>1145000</v>
      </c>
      <c r="Y1001" s="137">
        <f>+VLOOKUP(PROVEEDORES[[#This Row],[ID RETENCION]],Retenciones!$A$1:$O$25,2,FALSE)</f>
        <v>2.5000000000000001E-2</v>
      </c>
      <c r="Z1001" s="126" t="b">
        <f>+OR(COUNTIF(PROVEEDORES[[#This Row],[PROVEEDOR]],"*"&amp;'Palabra que no opera y Listas d'!$A$2&amp;"*"))</f>
        <v>0</v>
      </c>
    </row>
    <row r="1002" spans="1:26" ht="27.75" customHeight="1" x14ac:dyDescent="0.25">
      <c r="A1002" s="141" t="str">
        <f>+IF(PROVEEDORES[[#This Row],[FECHA DE PAGO]]=PROVEEDORES[[#This Row],[FECHA DE FACTURACIÓN]],"DE CONTADO","CRÉDITO")</f>
        <v>CRÉDITO</v>
      </c>
      <c r="B1002" s="138" t="str">
        <f>+IF((PROVEEDORES[[#This Row],[FECHA DE PAGO]]-PROVEEDORES[[#This Row],[FECHA DE FACTURACIÓN]])&gt;PROVEEDORES[[#This Row],[PLAZO Días]],"PAGO VENCIDO")</f>
        <v>PAGO VENCIDO</v>
      </c>
      <c r="C1002" s="138">
        <f>+VLOOKUP(PROVEEDORES[[#This Row],[PROVEEDOR]],TERCEROS_INFO[#All],2,FALSE)</f>
        <v>30</v>
      </c>
      <c r="D1002" s="139">
        <f>+SUMIFS(PROVEEDORES[Total],PROVEEDORES[PROVEEDOR],PROVEEDORES[[#This Row],[PROVEEDOR]],PROVEEDORES[FECHA DE PAGO],"")</f>
        <v>4316000</v>
      </c>
      <c r="E1002" s="140"/>
      <c r="F1002" s="138" t="str">
        <f>+VLOOKUP(PROVEEDORES[[#This Row],[PROVEEDOR]],
                       Terceros!$A:$F,
                       5,
                       FALSE)</f>
        <v/>
      </c>
      <c r="G1002" s="127">
        <v>45267</v>
      </c>
      <c r="H1002" s="123" t="s">
        <v>1812</v>
      </c>
      <c r="I1002" s="127">
        <v>45232</v>
      </c>
      <c r="J1002" s="124" t="s">
        <v>1209</v>
      </c>
      <c r="K1002" s="124" t="s">
        <v>1530</v>
      </c>
      <c r="L1002" s="124"/>
      <c r="M1002" s="125">
        <v>1256500</v>
      </c>
      <c r="N1002" s="148">
        <v>0</v>
      </c>
      <c r="O1002" s="148">
        <v>0</v>
      </c>
      <c r="P1002" s="149">
        <v>0</v>
      </c>
      <c r="Q1002" s="148">
        <v>0</v>
      </c>
      <c r="R1002" s="150">
        <v>1256500</v>
      </c>
      <c r="S10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2" s="135">
        <f ca="1">+IF(PROVEEDORES[[#This Row],[FECHA DE PAGO]]=0,TODAY()-PROVEEDORES[[#This Row],[FECHA DE FACTURACIÓN]]-PROVEEDORES[[#This Row],[PLAZO Días]],0)</f>
        <v>0</v>
      </c>
      <c r="U1002" s="135">
        <f>+VLOOKUP(PROVEEDORES[[#This Row],[PROVEEDOR]],Terceros!$A:$D,4,FALSE)</f>
        <v>0</v>
      </c>
      <c r="V1002" s="135">
        <f>+YEAR(PROVEEDORES[[#This Row],[FECHA DE FACTURACIÓN]])</f>
        <v>2023</v>
      </c>
      <c r="W1002" s="135">
        <f>+MATCH(PROVEEDORES[[#This Row],[año facturado]],Retenciones!$1:$1,0)</f>
        <v>6</v>
      </c>
      <c r="X1002" s="136">
        <f>+VLOOKUP(PROVEEDORES[[#This Row],[ID RETENCION]],Retenciones!$A$1:$O$25,PROVEEDORES[[#This Row],[indicador de columna]],FALSE)</f>
        <v>0</v>
      </c>
      <c r="Y1002" s="137">
        <f>+VLOOKUP(PROVEEDORES[[#This Row],[ID RETENCION]],Retenciones!$A$1:$O$25,2,FALSE)</f>
        <v>0</v>
      </c>
      <c r="Z1002" s="126" t="b">
        <f>+OR(COUNTIF(PROVEEDORES[[#This Row],[PROVEEDOR]],"*"&amp;'Palabra que no opera y Listas d'!$A$2&amp;"*"))</f>
        <v>0</v>
      </c>
    </row>
    <row r="1003" spans="1:26" ht="27.75" customHeight="1" x14ac:dyDescent="0.25">
      <c r="A1003" s="141" t="str">
        <f>+IF(PROVEEDORES[[#This Row],[FECHA DE PAGO]]=PROVEEDORES[[#This Row],[FECHA DE FACTURACIÓN]],"DE CONTADO","CRÉDITO")</f>
        <v>DE CONTADO</v>
      </c>
      <c r="B1003" s="138" t="b">
        <f>+IF((PROVEEDORES[[#This Row],[FECHA DE PAGO]]-PROVEEDORES[[#This Row],[FECHA DE FACTURACIÓN]])&gt;PROVEEDORES[[#This Row],[PLAZO Días]],"PAGO VENCIDO")</f>
        <v>0</v>
      </c>
      <c r="C1003" s="138">
        <f>+VLOOKUP(PROVEEDORES[[#This Row],[PROVEEDOR]],TERCEROS_INFO[#All],2,FALSE)</f>
        <v>30</v>
      </c>
      <c r="D1003" s="139">
        <f>+SUMIFS(PROVEEDORES[Total],PROVEEDORES[PROVEEDOR],PROVEEDORES[[#This Row],[PROVEEDOR]],PROVEEDORES[FECHA DE PAGO],"")</f>
        <v>0</v>
      </c>
      <c r="E1003" s="140"/>
      <c r="F1003" s="138" t="str">
        <f>+VLOOKUP(PROVEEDORES[[#This Row],[PROVEEDOR]],
                       Terceros!$A:$F,
                       5,
                       FALSE)</f>
        <v/>
      </c>
      <c r="G1003" s="127">
        <v>45267</v>
      </c>
      <c r="H1003" s="123" t="s">
        <v>1824</v>
      </c>
      <c r="I1003" s="127">
        <v>45267</v>
      </c>
      <c r="J1003" s="124"/>
      <c r="K1003" s="124" t="s">
        <v>1530</v>
      </c>
      <c r="L1003" s="124"/>
      <c r="M1003" s="125">
        <v>1315000</v>
      </c>
      <c r="N1003" s="148">
        <v>0</v>
      </c>
      <c r="O1003" s="148">
        <v>0</v>
      </c>
      <c r="P1003" s="149">
        <v>0</v>
      </c>
      <c r="Q1003" s="148">
        <v>0</v>
      </c>
      <c r="R1003" s="150">
        <v>1315000</v>
      </c>
      <c r="S10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3" s="135">
        <f ca="1">+IF(PROVEEDORES[[#This Row],[FECHA DE PAGO]]=0,TODAY()-PROVEEDORES[[#This Row],[FECHA DE FACTURACIÓN]]-PROVEEDORES[[#This Row],[PLAZO Días]],0)</f>
        <v>0</v>
      </c>
      <c r="U1003" s="135">
        <f>+VLOOKUP(PROVEEDORES[[#This Row],[PROVEEDOR]],Terceros!$A:$D,4,FALSE)</f>
        <v>0</v>
      </c>
      <c r="V1003" s="135">
        <f>+YEAR(PROVEEDORES[[#This Row],[FECHA DE FACTURACIÓN]])</f>
        <v>2023</v>
      </c>
      <c r="W1003" s="135">
        <f>+MATCH(PROVEEDORES[[#This Row],[año facturado]],Retenciones!$1:$1,0)</f>
        <v>6</v>
      </c>
      <c r="X1003" s="136">
        <f>+VLOOKUP(PROVEEDORES[[#This Row],[ID RETENCION]],Retenciones!$A$1:$O$25,PROVEEDORES[[#This Row],[indicador de columna]],FALSE)</f>
        <v>0</v>
      </c>
      <c r="Y1003" s="137">
        <f>+VLOOKUP(PROVEEDORES[[#This Row],[ID RETENCION]],Retenciones!$A$1:$O$25,2,FALSE)</f>
        <v>0</v>
      </c>
      <c r="Z1003" s="126" t="b">
        <f>+OR(COUNTIF(PROVEEDORES[[#This Row],[PROVEEDOR]],"*"&amp;'Palabra que no opera y Listas d'!$A$2&amp;"*"))</f>
        <v>0</v>
      </c>
    </row>
    <row r="1004" spans="1:26" ht="27.75" customHeight="1" x14ac:dyDescent="0.25">
      <c r="A1004" s="141" t="str">
        <f>+IF(PROVEEDORES[[#This Row],[FECHA DE PAGO]]=PROVEEDORES[[#This Row],[FECHA DE FACTURACIÓN]],"DE CONTADO","CRÉDITO")</f>
        <v>DE CONTADO</v>
      </c>
      <c r="B1004" s="138" t="b">
        <f>+IF((PROVEEDORES[[#This Row],[FECHA DE PAGO]]-PROVEEDORES[[#This Row],[FECHA DE FACTURACIÓN]])&gt;PROVEEDORES[[#This Row],[PLAZO Días]],"PAGO VENCIDO")</f>
        <v>0</v>
      </c>
      <c r="C1004" s="138">
        <f>+VLOOKUP(PROVEEDORES[[#This Row],[PROVEEDOR]],TERCEROS_INFO[#All],2,FALSE)</f>
        <v>30</v>
      </c>
      <c r="D1004" s="139">
        <f>+SUMIFS(PROVEEDORES[Total],PROVEEDORES[PROVEEDOR],PROVEEDORES[[#This Row],[PROVEEDOR]],PROVEEDORES[FECHA DE PAGO],"")</f>
        <v>0</v>
      </c>
      <c r="E1004" s="140"/>
      <c r="F1004" s="138">
        <f>+VLOOKUP(PROVEEDORES[[#This Row],[PROVEEDOR]],
                       Terceros!$A:$F,
                       5,
                       FALSE)</f>
        <v>0</v>
      </c>
      <c r="G1004" s="127">
        <v>45269</v>
      </c>
      <c r="H1004" s="123" t="s">
        <v>387</v>
      </c>
      <c r="I1004" s="127">
        <v>45269</v>
      </c>
      <c r="J1004" s="124" t="s">
        <v>441</v>
      </c>
      <c r="K1004" s="124" t="s">
        <v>1530</v>
      </c>
      <c r="L1004" s="124"/>
      <c r="M1004" s="125">
        <v>129083</v>
      </c>
      <c r="N1004" s="148">
        <v>0</v>
      </c>
      <c r="O1004" s="148">
        <v>0</v>
      </c>
      <c r="P1004" s="149">
        <v>0</v>
      </c>
      <c r="Q1004" s="148">
        <v>0</v>
      </c>
      <c r="R1004" s="150">
        <v>129083</v>
      </c>
      <c r="S10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4" s="135">
        <f ca="1">+IF(PROVEEDORES[[#This Row],[FECHA DE PAGO]]=0,TODAY()-PROVEEDORES[[#This Row],[FECHA DE FACTURACIÓN]]-PROVEEDORES[[#This Row],[PLAZO Días]],0)</f>
        <v>0</v>
      </c>
      <c r="U1004" s="135">
        <f>+VLOOKUP(PROVEEDORES[[#This Row],[PROVEEDOR]],Terceros!$A:$D,4,FALSE)</f>
        <v>0</v>
      </c>
      <c r="V1004" s="135">
        <f>+YEAR(PROVEEDORES[[#This Row],[FECHA DE FACTURACIÓN]])</f>
        <v>2023</v>
      </c>
      <c r="W1004" s="135">
        <f>+MATCH(PROVEEDORES[[#This Row],[año facturado]],Retenciones!$1:$1,0)</f>
        <v>6</v>
      </c>
      <c r="X1004" s="136">
        <f>+VLOOKUP(PROVEEDORES[[#This Row],[ID RETENCION]],Retenciones!$A$1:$O$25,PROVEEDORES[[#This Row],[indicador de columna]],FALSE)</f>
        <v>0</v>
      </c>
      <c r="Y1004" s="137">
        <f>+VLOOKUP(PROVEEDORES[[#This Row],[ID RETENCION]],Retenciones!$A$1:$O$25,2,FALSE)</f>
        <v>0</v>
      </c>
      <c r="Z1004" s="126" t="b">
        <f>+OR(COUNTIF(PROVEEDORES[[#This Row],[PROVEEDOR]],"*"&amp;'Palabra que no opera y Listas d'!$A$2&amp;"*"))</f>
        <v>1</v>
      </c>
    </row>
    <row r="1005" spans="1:26" ht="27.75" customHeight="1" x14ac:dyDescent="0.25">
      <c r="A1005" s="141" t="str">
        <f>+IF(PROVEEDORES[[#This Row],[FECHA DE PAGO]]=PROVEEDORES[[#This Row],[FECHA DE FACTURACIÓN]],"DE CONTADO","CRÉDITO")</f>
        <v>CRÉDITO</v>
      </c>
      <c r="B1005" s="138" t="b">
        <f>+IF((PROVEEDORES[[#This Row],[FECHA DE PAGO]]-PROVEEDORES[[#This Row],[FECHA DE FACTURACIÓN]])&gt;PROVEEDORES[[#This Row],[PLAZO Días]],"PAGO VENCIDO")</f>
        <v>0</v>
      </c>
      <c r="C1005" s="138">
        <f>+VLOOKUP(PROVEEDORES[[#This Row],[PROVEEDOR]],TERCEROS_INFO[#All],2,FALSE)</f>
        <v>60</v>
      </c>
      <c r="D1005" s="139">
        <f>+SUMIFS(PROVEEDORES[Total],PROVEEDORES[PROVEEDOR],PROVEEDORES[[#This Row],[PROVEEDOR]],PROVEEDORES[FECHA DE PAGO],"")</f>
        <v>0</v>
      </c>
      <c r="E1005" s="140"/>
      <c r="F1005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1005" s="127">
        <v>45271</v>
      </c>
      <c r="H1005" s="123" t="s">
        <v>65</v>
      </c>
      <c r="I1005" s="127">
        <v>45224</v>
      </c>
      <c r="J1005" s="124" t="s">
        <v>1263</v>
      </c>
      <c r="K1005" s="124" t="s">
        <v>1530</v>
      </c>
      <c r="L1005" s="124"/>
      <c r="M1005" s="125">
        <v>24519811</v>
      </c>
      <c r="N1005" s="148">
        <v>4658764.09</v>
      </c>
      <c r="O1005" s="148">
        <v>0</v>
      </c>
      <c r="P1005" s="149">
        <v>2.5000000000000001E-2</v>
      </c>
      <c r="Q1005" s="148">
        <v>612995.27500000002</v>
      </c>
      <c r="R1005" s="150">
        <v>28565579.815000001</v>
      </c>
      <c r="S10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5" s="135">
        <f ca="1">+IF(PROVEEDORES[[#This Row],[FECHA DE PAGO]]=0,TODAY()-PROVEEDORES[[#This Row],[FECHA DE FACTURACIÓN]]-PROVEEDORES[[#This Row],[PLAZO Días]],0)</f>
        <v>0</v>
      </c>
      <c r="U1005" s="135" t="str">
        <f>+VLOOKUP(PROVEEDORES[[#This Row],[PROVEEDOR]],Terceros!$A:$D,4,FALSE)</f>
        <v>2,5% con base</v>
      </c>
      <c r="V1005" s="135">
        <f>+YEAR(PROVEEDORES[[#This Row],[FECHA DE FACTURACIÓN]])</f>
        <v>2023</v>
      </c>
      <c r="W1005" s="135">
        <f>+MATCH(PROVEEDORES[[#This Row],[año facturado]],Retenciones!$1:$1,0)</f>
        <v>6</v>
      </c>
      <c r="X1005" s="136">
        <f>+VLOOKUP(PROVEEDORES[[#This Row],[ID RETENCION]],Retenciones!$A$1:$O$25,PROVEEDORES[[#This Row],[indicador de columna]],FALSE)</f>
        <v>1145000</v>
      </c>
      <c r="Y1005" s="137">
        <f>+VLOOKUP(PROVEEDORES[[#This Row],[ID RETENCION]],Retenciones!$A$1:$O$25,2,FALSE)</f>
        <v>2.5000000000000001E-2</v>
      </c>
      <c r="Z1005" s="126" t="b">
        <f>+OR(COUNTIF(PROVEEDORES[[#This Row],[PROVEEDOR]],"*"&amp;'Palabra que no opera y Listas d'!$A$2&amp;"*"))</f>
        <v>0</v>
      </c>
    </row>
    <row r="1006" spans="1:26" ht="27.75" customHeight="1" x14ac:dyDescent="0.25">
      <c r="A1006" s="141" t="str">
        <f>+IF(PROVEEDORES[[#This Row],[FECHA DE PAGO]]=PROVEEDORES[[#This Row],[FECHA DE FACTURACIÓN]],"DE CONTADO","CRÉDITO")</f>
        <v>CRÉDITO</v>
      </c>
      <c r="B1006" s="138" t="b">
        <f>+IF((PROVEEDORES[[#This Row],[FECHA DE PAGO]]-PROVEEDORES[[#This Row],[FECHA DE FACTURACIÓN]])&gt;PROVEEDORES[[#This Row],[PLAZO Días]],"PAGO VENCIDO")</f>
        <v>0</v>
      </c>
      <c r="C1006" s="138">
        <f>+VLOOKUP(PROVEEDORES[[#This Row],[PROVEEDOR]],TERCEROS_INFO[#All],2,FALSE)</f>
        <v>60</v>
      </c>
      <c r="D1006" s="139">
        <f>+SUMIFS(PROVEEDORES[Total],PROVEEDORES[PROVEEDOR],PROVEEDORES[[#This Row],[PROVEEDOR]],PROVEEDORES[FECHA DE PAGO],"")</f>
        <v>0</v>
      </c>
      <c r="E1006" s="140"/>
      <c r="F1006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1006" s="127">
        <v>45271</v>
      </c>
      <c r="H1006" s="123" t="s">
        <v>65</v>
      </c>
      <c r="I1006" s="127">
        <v>45233</v>
      </c>
      <c r="J1006" s="124" t="s">
        <v>1198</v>
      </c>
      <c r="K1006" s="124" t="s">
        <v>1530</v>
      </c>
      <c r="L1006" s="124"/>
      <c r="M1006" s="125">
        <v>-773410</v>
      </c>
      <c r="N1006" s="148">
        <v>-146947.9</v>
      </c>
      <c r="O1006" s="148">
        <v>0</v>
      </c>
      <c r="P1006" s="149">
        <v>0</v>
      </c>
      <c r="Q1006" s="148">
        <v>0</v>
      </c>
      <c r="R1006" s="150">
        <v>-920357.9</v>
      </c>
      <c r="S10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6" s="135">
        <f ca="1">+IF(PROVEEDORES[[#This Row],[FECHA DE PAGO]]=0,TODAY()-PROVEEDORES[[#This Row],[FECHA DE FACTURACIÓN]]-PROVEEDORES[[#This Row],[PLAZO Días]],0)</f>
        <v>0</v>
      </c>
      <c r="U1006" s="135" t="str">
        <f>+VLOOKUP(PROVEEDORES[[#This Row],[PROVEEDOR]],Terceros!$A:$D,4,FALSE)</f>
        <v>2,5% con base</v>
      </c>
      <c r="V1006" s="135">
        <f>+YEAR(PROVEEDORES[[#This Row],[FECHA DE FACTURACIÓN]])</f>
        <v>2023</v>
      </c>
      <c r="W1006" s="135">
        <f>+MATCH(PROVEEDORES[[#This Row],[año facturado]],Retenciones!$1:$1,0)</f>
        <v>6</v>
      </c>
      <c r="X1006" s="136">
        <f>+VLOOKUP(PROVEEDORES[[#This Row],[ID RETENCION]],Retenciones!$A$1:$O$25,PROVEEDORES[[#This Row],[indicador de columna]],FALSE)</f>
        <v>1145000</v>
      </c>
      <c r="Y1006" s="137">
        <f>+VLOOKUP(PROVEEDORES[[#This Row],[ID RETENCION]],Retenciones!$A$1:$O$25,2,FALSE)</f>
        <v>2.5000000000000001E-2</v>
      </c>
      <c r="Z1006" s="126" t="b">
        <f>+OR(COUNTIF(PROVEEDORES[[#This Row],[PROVEEDOR]],"*"&amp;'Palabra que no opera y Listas d'!$A$2&amp;"*"))</f>
        <v>0</v>
      </c>
    </row>
    <row r="1007" spans="1:26" ht="27.75" customHeight="1" x14ac:dyDescent="0.25">
      <c r="A1007" s="141" t="str">
        <f>+IF(PROVEEDORES[[#This Row],[FECHA DE PAGO]]=PROVEEDORES[[#This Row],[FECHA DE FACTURACIÓN]],"DE CONTADO","CRÉDITO")</f>
        <v>CRÉDITO</v>
      </c>
      <c r="B1007" s="138" t="b">
        <f>+IF((PROVEEDORES[[#This Row],[FECHA DE PAGO]]-PROVEEDORES[[#This Row],[FECHA DE FACTURACIÓN]])&gt;PROVEEDORES[[#This Row],[PLAZO Días]],"PAGO VENCIDO")</f>
        <v>0</v>
      </c>
      <c r="C1007" s="138">
        <f>+VLOOKUP(PROVEEDORES[[#This Row],[PROVEEDOR]],TERCEROS_INFO[#All],2,FALSE)</f>
        <v>60</v>
      </c>
      <c r="D1007" s="139">
        <f>+SUMIFS(PROVEEDORES[Total],PROVEEDORES[PROVEEDOR],PROVEEDORES[[#This Row],[PROVEEDOR]],PROVEEDORES[FECHA DE PAGO],"")</f>
        <v>0</v>
      </c>
      <c r="E1007" s="140"/>
      <c r="F1007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1007" s="127">
        <v>45271</v>
      </c>
      <c r="H1007" s="123" t="s">
        <v>65</v>
      </c>
      <c r="I1007" s="127">
        <v>45233</v>
      </c>
      <c r="J1007" s="124" t="s">
        <v>1199</v>
      </c>
      <c r="K1007" s="124" t="s">
        <v>1530</v>
      </c>
      <c r="L1007" s="124"/>
      <c r="M1007" s="125">
        <v>320106</v>
      </c>
      <c r="N1007" s="148">
        <v>60820.14</v>
      </c>
      <c r="O1007" s="148">
        <v>0</v>
      </c>
      <c r="P1007" s="149">
        <v>0</v>
      </c>
      <c r="Q1007" s="148">
        <v>0</v>
      </c>
      <c r="R1007" s="150">
        <v>380926.14</v>
      </c>
      <c r="S10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7" s="135">
        <f ca="1">+IF(PROVEEDORES[[#This Row],[FECHA DE PAGO]]=0,TODAY()-PROVEEDORES[[#This Row],[FECHA DE FACTURACIÓN]]-PROVEEDORES[[#This Row],[PLAZO Días]],0)</f>
        <v>0</v>
      </c>
      <c r="U1007" s="135" t="str">
        <f>+VLOOKUP(PROVEEDORES[[#This Row],[PROVEEDOR]],Terceros!$A:$D,4,FALSE)</f>
        <v>2,5% con base</v>
      </c>
      <c r="V1007" s="135">
        <f>+YEAR(PROVEEDORES[[#This Row],[FECHA DE FACTURACIÓN]])</f>
        <v>2023</v>
      </c>
      <c r="W1007" s="135">
        <f>+MATCH(PROVEEDORES[[#This Row],[año facturado]],Retenciones!$1:$1,0)</f>
        <v>6</v>
      </c>
      <c r="X1007" s="136">
        <f>+VLOOKUP(PROVEEDORES[[#This Row],[ID RETENCION]],Retenciones!$A$1:$O$25,PROVEEDORES[[#This Row],[indicador de columna]],FALSE)</f>
        <v>1145000</v>
      </c>
      <c r="Y1007" s="137">
        <f>+VLOOKUP(PROVEEDORES[[#This Row],[ID RETENCION]],Retenciones!$A$1:$O$25,2,FALSE)</f>
        <v>2.5000000000000001E-2</v>
      </c>
      <c r="Z1007" s="126" t="b">
        <f>+OR(COUNTIF(PROVEEDORES[[#This Row],[PROVEEDOR]],"*"&amp;'Palabra que no opera y Listas d'!$A$2&amp;"*"))</f>
        <v>0</v>
      </c>
    </row>
    <row r="1008" spans="1:26" ht="27.75" customHeight="1" x14ac:dyDescent="0.25">
      <c r="A1008" s="141" t="str">
        <f>+IF(PROVEEDORES[[#This Row],[FECHA DE PAGO]]=PROVEEDORES[[#This Row],[FECHA DE FACTURACIÓN]],"DE CONTADO","CRÉDITO")</f>
        <v>CRÉDITO</v>
      </c>
      <c r="B1008" s="138" t="str">
        <f>+IF((PROVEEDORES[[#This Row],[FECHA DE PAGO]]-PROVEEDORES[[#This Row],[FECHA DE FACTURACIÓN]])&gt;PROVEEDORES[[#This Row],[PLAZO Días]],"PAGO VENCIDO")</f>
        <v>PAGO VENCIDO</v>
      </c>
      <c r="C1008" s="138">
        <f>+VLOOKUP(PROVEEDORES[[#This Row],[PROVEEDOR]],TERCEROS_INFO[#All],2,FALSE)</f>
        <v>30</v>
      </c>
      <c r="D1008" s="139">
        <f>+SUMIFS(PROVEEDORES[Total],PROVEEDORES[PROVEEDOR],PROVEEDORES[[#This Row],[PROVEEDOR]],PROVEEDORES[FECHA DE PAGO],"")</f>
        <v>0</v>
      </c>
      <c r="E1008" s="140"/>
      <c r="F1008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008" s="127">
        <v>45271</v>
      </c>
      <c r="H1008" s="123" t="s">
        <v>380</v>
      </c>
      <c r="I1008" s="127">
        <v>45236</v>
      </c>
      <c r="J1008" s="124" t="s">
        <v>1316</v>
      </c>
      <c r="K1008" s="124" t="s">
        <v>1530</v>
      </c>
      <c r="L1008" s="124"/>
      <c r="M1008" s="125">
        <v>3456200</v>
      </c>
      <c r="N1008" s="148">
        <v>0</v>
      </c>
      <c r="O1008" s="148">
        <v>0</v>
      </c>
      <c r="P1008" s="149">
        <v>3.5000000000000003E-2</v>
      </c>
      <c r="Q1008" s="148">
        <v>120967.00000000001</v>
      </c>
      <c r="R1008" s="150">
        <v>3335233</v>
      </c>
      <c r="S10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8" s="135">
        <f ca="1">+IF(PROVEEDORES[[#This Row],[FECHA DE PAGO]]=0,TODAY()-PROVEEDORES[[#This Row],[FECHA DE FACTURACIÓN]]-PROVEEDORES[[#This Row],[PLAZO Días]],0)</f>
        <v>0</v>
      </c>
      <c r="U1008" s="135" t="str">
        <f>+VLOOKUP(PROVEEDORES[[#This Row],[PROVEEDOR]],Terceros!$A:$D,4,FALSE)</f>
        <v>3,5% sin base</v>
      </c>
      <c r="V1008" s="135">
        <f>+YEAR(PROVEEDORES[[#This Row],[FECHA DE FACTURACIÓN]])</f>
        <v>2023</v>
      </c>
      <c r="W1008" s="135">
        <f>+MATCH(PROVEEDORES[[#This Row],[año facturado]],Retenciones!$1:$1,0)</f>
        <v>6</v>
      </c>
      <c r="X1008" s="136">
        <f>+VLOOKUP(PROVEEDORES[[#This Row],[ID RETENCION]],Retenciones!$A$1:$O$25,PROVEEDORES[[#This Row],[indicador de columna]],FALSE)</f>
        <v>0</v>
      </c>
      <c r="Y1008" s="137">
        <f>+VLOOKUP(PROVEEDORES[[#This Row],[ID RETENCION]],Retenciones!$A$1:$O$25,2,FALSE)</f>
        <v>3.5000000000000003E-2</v>
      </c>
      <c r="Z1008" s="126" t="b">
        <f>+OR(COUNTIF(PROVEEDORES[[#This Row],[PROVEEDOR]],"*"&amp;'Palabra que no opera y Listas d'!$A$2&amp;"*"))</f>
        <v>1</v>
      </c>
    </row>
    <row r="1009" spans="1:26" ht="27.75" customHeight="1" x14ac:dyDescent="0.25">
      <c r="A1009" s="141" t="str">
        <f>+IF(PROVEEDORES[[#This Row],[FECHA DE PAGO]]=PROVEEDORES[[#This Row],[FECHA DE FACTURACIÓN]],"DE CONTADO","CRÉDITO")</f>
        <v>CRÉDITO</v>
      </c>
      <c r="B1009" s="138" t="b">
        <f>+IF((PROVEEDORES[[#This Row],[FECHA DE PAGO]]-PROVEEDORES[[#This Row],[FECHA DE FACTURACIÓN]])&gt;PROVEEDORES[[#This Row],[PLAZO Días]],"PAGO VENCIDO")</f>
        <v>0</v>
      </c>
      <c r="C1009" s="138">
        <f>+VLOOKUP(PROVEEDORES[[#This Row],[PROVEEDOR]],TERCEROS_INFO[#All],2,FALSE)</f>
        <v>30</v>
      </c>
      <c r="D1009" s="139">
        <f>+SUMIFS(PROVEEDORES[Total],PROVEEDORES[PROVEEDOR],PROVEEDORES[[#This Row],[PROVEEDOR]],PROVEEDORES[FECHA DE PAGO],"")</f>
        <v>0</v>
      </c>
      <c r="E1009" s="140"/>
      <c r="F1009" s="138" t="str">
        <f>+VLOOKUP(PROVEEDORES[[#This Row],[PROVEEDOR]],
                       Terceros!$A:$F,
                       5,
                       FALSE)</f>
        <v/>
      </c>
      <c r="G1009" s="127">
        <v>45271</v>
      </c>
      <c r="H1009" s="123" t="s">
        <v>525</v>
      </c>
      <c r="I1009" s="127">
        <v>45255</v>
      </c>
      <c r="J1009" s="124" t="s">
        <v>1301</v>
      </c>
      <c r="K1009" s="124" t="s">
        <v>1530</v>
      </c>
      <c r="L1009" s="124"/>
      <c r="M1009" s="125">
        <v>71000</v>
      </c>
      <c r="N1009" s="148">
        <v>0</v>
      </c>
      <c r="O1009" s="148">
        <v>0</v>
      </c>
      <c r="P1009" s="149">
        <v>0</v>
      </c>
      <c r="Q1009" s="148">
        <v>0</v>
      </c>
      <c r="R1009" s="150">
        <v>71000</v>
      </c>
      <c r="S10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09" s="135">
        <f ca="1">+IF(PROVEEDORES[[#This Row],[FECHA DE PAGO]]=0,TODAY()-PROVEEDORES[[#This Row],[FECHA DE FACTURACIÓN]]-PROVEEDORES[[#This Row],[PLAZO Días]],0)</f>
        <v>0</v>
      </c>
      <c r="U1009" s="135">
        <f>+VLOOKUP(PROVEEDORES[[#This Row],[PROVEEDOR]],Terceros!$A:$D,4,FALSE)</f>
        <v>0</v>
      </c>
      <c r="V1009" s="135">
        <f>+YEAR(PROVEEDORES[[#This Row],[FECHA DE FACTURACIÓN]])</f>
        <v>2023</v>
      </c>
      <c r="W1009" s="135">
        <f>+MATCH(PROVEEDORES[[#This Row],[año facturado]],Retenciones!$1:$1,0)</f>
        <v>6</v>
      </c>
      <c r="X1009" s="136">
        <f>+VLOOKUP(PROVEEDORES[[#This Row],[ID RETENCION]],Retenciones!$A$1:$O$25,PROVEEDORES[[#This Row],[indicador de columna]],FALSE)</f>
        <v>0</v>
      </c>
      <c r="Y1009" s="137">
        <f>+VLOOKUP(PROVEEDORES[[#This Row],[ID RETENCION]],Retenciones!$A$1:$O$25,2,FALSE)</f>
        <v>0</v>
      </c>
      <c r="Z1009" s="126" t="b">
        <f>+OR(COUNTIF(PROVEEDORES[[#This Row],[PROVEEDOR]],"*"&amp;'Palabra que no opera y Listas d'!$A$2&amp;"*"))</f>
        <v>0</v>
      </c>
    </row>
    <row r="1010" spans="1:26" ht="27.75" customHeight="1" x14ac:dyDescent="0.25">
      <c r="A1010" s="141" t="str">
        <f>+IF(PROVEEDORES[[#This Row],[FECHA DE PAGO]]=PROVEEDORES[[#This Row],[FECHA DE FACTURACIÓN]],"DE CONTADO","CRÉDITO")</f>
        <v>CRÉDITO</v>
      </c>
      <c r="B1010" s="138" t="b">
        <f>+IF((PROVEEDORES[[#This Row],[FECHA DE PAGO]]-PROVEEDORES[[#This Row],[FECHA DE FACTURACIÓN]])&gt;PROVEEDORES[[#This Row],[PLAZO Días]],"PAGO VENCIDO")</f>
        <v>0</v>
      </c>
      <c r="C1010" s="138">
        <f>+VLOOKUP(PROVEEDORES[[#This Row],[PROVEEDOR]],TERCEROS_INFO[#All],2,FALSE)</f>
        <v>30</v>
      </c>
      <c r="D1010" s="139">
        <f>+SUMIFS(PROVEEDORES[Total],PROVEEDORES[PROVEEDOR],PROVEEDORES[[#This Row],[PROVEEDOR]],PROVEEDORES[FECHA DE PAGO],"")</f>
        <v>0</v>
      </c>
      <c r="E1010" s="140"/>
      <c r="F1010" s="138" t="str">
        <f>+VLOOKUP(PROVEEDORES[[#This Row],[PROVEEDOR]],
                       Terceros!$A:$F,
                       5,
                       FALSE)</f>
        <v/>
      </c>
      <c r="G1010" s="127">
        <v>45271</v>
      </c>
      <c r="H1010" s="123" t="s">
        <v>525</v>
      </c>
      <c r="I1010" s="127">
        <v>45259</v>
      </c>
      <c r="J1010" s="124" t="s">
        <v>1302</v>
      </c>
      <c r="K1010" s="124" t="s">
        <v>1530</v>
      </c>
      <c r="L1010" s="124"/>
      <c r="M1010" s="125">
        <v>697800</v>
      </c>
      <c r="N1010" s="148">
        <v>0</v>
      </c>
      <c r="O1010" s="148">
        <v>0</v>
      </c>
      <c r="P1010" s="149">
        <v>0</v>
      </c>
      <c r="Q1010" s="148">
        <v>0</v>
      </c>
      <c r="R1010" s="150">
        <v>697800</v>
      </c>
      <c r="S10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0" s="135">
        <f ca="1">+IF(PROVEEDORES[[#This Row],[FECHA DE PAGO]]=0,TODAY()-PROVEEDORES[[#This Row],[FECHA DE FACTURACIÓN]]-PROVEEDORES[[#This Row],[PLAZO Días]],0)</f>
        <v>0</v>
      </c>
      <c r="U1010" s="135">
        <f>+VLOOKUP(PROVEEDORES[[#This Row],[PROVEEDOR]],Terceros!$A:$D,4,FALSE)</f>
        <v>0</v>
      </c>
      <c r="V1010" s="135">
        <f>+YEAR(PROVEEDORES[[#This Row],[FECHA DE FACTURACIÓN]])</f>
        <v>2023</v>
      </c>
      <c r="W1010" s="135">
        <f>+MATCH(PROVEEDORES[[#This Row],[año facturado]],Retenciones!$1:$1,0)</f>
        <v>6</v>
      </c>
      <c r="X1010" s="136">
        <f>+VLOOKUP(PROVEEDORES[[#This Row],[ID RETENCION]],Retenciones!$A$1:$O$25,PROVEEDORES[[#This Row],[indicador de columna]],FALSE)</f>
        <v>0</v>
      </c>
      <c r="Y1010" s="137">
        <f>+VLOOKUP(PROVEEDORES[[#This Row],[ID RETENCION]],Retenciones!$A$1:$O$25,2,FALSE)</f>
        <v>0</v>
      </c>
      <c r="Z1010" s="126" t="b">
        <f>+OR(COUNTIF(PROVEEDORES[[#This Row],[PROVEEDOR]],"*"&amp;'Palabra que no opera y Listas d'!$A$2&amp;"*"))</f>
        <v>0</v>
      </c>
    </row>
    <row r="1011" spans="1:26" ht="27.75" customHeight="1" x14ac:dyDescent="0.25">
      <c r="A1011" s="141" t="str">
        <f>+IF(PROVEEDORES[[#This Row],[FECHA DE PAGO]]=PROVEEDORES[[#This Row],[FECHA DE FACTURACIÓN]],"DE CONTADO","CRÉDITO")</f>
        <v>CRÉDITO</v>
      </c>
      <c r="B1011" s="138" t="b">
        <f>+IF((PROVEEDORES[[#This Row],[FECHA DE PAGO]]-PROVEEDORES[[#This Row],[FECHA DE FACTURACIÓN]])&gt;PROVEEDORES[[#This Row],[PLAZO Días]],"PAGO VENCIDO")</f>
        <v>0</v>
      </c>
      <c r="C1011" s="138">
        <f>+VLOOKUP(PROVEEDORES[[#This Row],[PROVEEDOR]],TERCEROS_INFO[#All],2,FALSE)</f>
        <v>30</v>
      </c>
      <c r="D1011" s="139">
        <f>+SUMIFS(PROVEEDORES[Total],PROVEEDORES[PROVEEDOR],PROVEEDORES[[#This Row],[PROVEEDOR]],PROVEEDORES[FECHA DE PAGO],"")</f>
        <v>0</v>
      </c>
      <c r="E1011" s="140"/>
      <c r="F1011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11" s="127">
        <v>45271</v>
      </c>
      <c r="H1011" s="123" t="s">
        <v>368</v>
      </c>
      <c r="I1011" s="127">
        <v>45261</v>
      </c>
      <c r="J1011" s="124" t="s">
        <v>1309</v>
      </c>
      <c r="K1011" s="124" t="s">
        <v>1530</v>
      </c>
      <c r="L1011" s="124"/>
      <c r="M1011" s="125">
        <v>908172</v>
      </c>
      <c r="N1011" s="148">
        <v>172552.68</v>
      </c>
      <c r="O1011" s="148">
        <v>0</v>
      </c>
      <c r="P1011" s="149">
        <v>0</v>
      </c>
      <c r="Q1011" s="148">
        <v>0</v>
      </c>
      <c r="R1011" s="150">
        <v>1080724.68</v>
      </c>
      <c r="S10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1" s="135">
        <f ca="1">+IF(PROVEEDORES[[#This Row],[FECHA DE PAGO]]=0,TODAY()-PROVEEDORES[[#This Row],[FECHA DE FACTURACIÓN]]-PROVEEDORES[[#This Row],[PLAZO Días]],0)</f>
        <v>0</v>
      </c>
      <c r="U1011" s="135">
        <f>+VLOOKUP(PROVEEDORES[[#This Row],[PROVEEDOR]],Terceros!$A:$D,4,FALSE)</f>
        <v>0</v>
      </c>
      <c r="V1011" s="135">
        <f>+YEAR(PROVEEDORES[[#This Row],[FECHA DE FACTURACIÓN]])</f>
        <v>2023</v>
      </c>
      <c r="W1011" s="135">
        <f>+MATCH(PROVEEDORES[[#This Row],[año facturado]],Retenciones!$1:$1,0)</f>
        <v>6</v>
      </c>
      <c r="X1011" s="136">
        <f>+VLOOKUP(PROVEEDORES[[#This Row],[ID RETENCION]],Retenciones!$A$1:$O$25,PROVEEDORES[[#This Row],[indicador de columna]],FALSE)</f>
        <v>0</v>
      </c>
      <c r="Y1011" s="137">
        <f>+VLOOKUP(PROVEEDORES[[#This Row],[ID RETENCION]],Retenciones!$A$1:$O$25,2,FALSE)</f>
        <v>0</v>
      </c>
      <c r="Z1011" s="126" t="b">
        <f>+OR(COUNTIF(PROVEEDORES[[#This Row],[PROVEEDOR]],"*"&amp;'Palabra que no opera y Listas d'!$A$2&amp;"*"))</f>
        <v>1</v>
      </c>
    </row>
    <row r="1012" spans="1:26" ht="27.75" customHeight="1" x14ac:dyDescent="0.25">
      <c r="A1012" s="141" t="str">
        <f>+IF(PROVEEDORES[[#This Row],[FECHA DE PAGO]]=PROVEEDORES[[#This Row],[FECHA DE FACTURACIÓN]],"DE CONTADO","CRÉDITO")</f>
        <v>CRÉDITO</v>
      </c>
      <c r="B1012" s="138" t="b">
        <f>+IF((PROVEEDORES[[#This Row],[FECHA DE PAGO]]-PROVEEDORES[[#This Row],[FECHA DE FACTURACIÓN]])&gt;PROVEEDORES[[#This Row],[PLAZO Días]],"PAGO VENCIDO")</f>
        <v>0</v>
      </c>
      <c r="C1012" s="138">
        <f>+VLOOKUP(PROVEEDORES[[#This Row],[PROVEEDOR]],TERCEROS_INFO[#All],2,FALSE)</f>
        <v>30</v>
      </c>
      <c r="D1012" s="139">
        <f>+SUMIFS(PROVEEDORES[Total],PROVEEDORES[PROVEEDOR],PROVEEDORES[[#This Row],[PROVEEDOR]],PROVEEDORES[FECHA DE PAGO],"")</f>
        <v>0</v>
      </c>
      <c r="E1012" s="140"/>
      <c r="F1012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012" s="127">
        <v>45271</v>
      </c>
      <c r="H1012" s="123" t="s">
        <v>368</v>
      </c>
      <c r="I1012" s="127">
        <v>45261</v>
      </c>
      <c r="J1012" s="124" t="s">
        <v>1310</v>
      </c>
      <c r="K1012" s="124" t="s">
        <v>1530</v>
      </c>
      <c r="L1012" s="124"/>
      <c r="M1012" s="125">
        <v>3792544</v>
      </c>
      <c r="N1012" s="148">
        <v>720583.36</v>
      </c>
      <c r="O1012" s="148">
        <v>0</v>
      </c>
      <c r="P1012" s="149">
        <v>0</v>
      </c>
      <c r="Q1012" s="148">
        <v>0</v>
      </c>
      <c r="R1012" s="150">
        <v>4513127.3600000003</v>
      </c>
      <c r="S10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2" s="135">
        <f ca="1">+IF(PROVEEDORES[[#This Row],[FECHA DE PAGO]]=0,TODAY()-PROVEEDORES[[#This Row],[FECHA DE FACTURACIÓN]]-PROVEEDORES[[#This Row],[PLAZO Días]],0)</f>
        <v>0</v>
      </c>
      <c r="U1012" s="135">
        <f>+VLOOKUP(PROVEEDORES[[#This Row],[PROVEEDOR]],Terceros!$A:$D,4,FALSE)</f>
        <v>0</v>
      </c>
      <c r="V1012" s="135">
        <f>+YEAR(PROVEEDORES[[#This Row],[FECHA DE FACTURACIÓN]])</f>
        <v>2023</v>
      </c>
      <c r="W1012" s="135">
        <f>+MATCH(PROVEEDORES[[#This Row],[año facturado]],Retenciones!$1:$1,0)</f>
        <v>6</v>
      </c>
      <c r="X1012" s="136">
        <f>+VLOOKUP(PROVEEDORES[[#This Row],[ID RETENCION]],Retenciones!$A$1:$O$25,PROVEEDORES[[#This Row],[indicador de columna]],FALSE)</f>
        <v>0</v>
      </c>
      <c r="Y1012" s="137">
        <f>+VLOOKUP(PROVEEDORES[[#This Row],[ID RETENCION]],Retenciones!$A$1:$O$25,2,FALSE)</f>
        <v>0</v>
      </c>
      <c r="Z1012" s="126" t="b">
        <f>+OR(COUNTIF(PROVEEDORES[[#This Row],[PROVEEDOR]],"*"&amp;'Palabra que no opera y Listas d'!$A$2&amp;"*"))</f>
        <v>1</v>
      </c>
    </row>
    <row r="1013" spans="1:26" ht="27.75" customHeight="1" x14ac:dyDescent="0.25">
      <c r="A1013" s="141" t="str">
        <f>+IF(PROVEEDORES[[#This Row],[FECHA DE PAGO]]=PROVEEDORES[[#This Row],[FECHA DE FACTURACIÓN]],"DE CONTADO","CRÉDITO")</f>
        <v>CRÉDITO</v>
      </c>
      <c r="B1013" s="138" t="b">
        <f>+IF((PROVEEDORES[[#This Row],[FECHA DE PAGO]]-PROVEEDORES[[#This Row],[FECHA DE FACTURACIÓN]])&gt;PROVEEDORES[[#This Row],[PLAZO Días]],"PAGO VENCIDO")</f>
        <v>0</v>
      </c>
      <c r="C1013" s="138">
        <f>+VLOOKUP(PROVEEDORES[[#This Row],[PROVEEDOR]],TERCEROS_INFO[#All],2,FALSE)</f>
        <v>30</v>
      </c>
      <c r="D1013" s="139">
        <f>+SUMIFS(PROVEEDORES[Total],PROVEEDORES[PROVEEDOR],PROVEEDORES[[#This Row],[PROVEEDOR]],PROVEEDORES[FECHA DE PAGO],"")</f>
        <v>0</v>
      </c>
      <c r="E1013" s="140"/>
      <c r="F1013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1013" s="127">
        <v>45271</v>
      </c>
      <c r="H1013" s="123" t="s">
        <v>373</v>
      </c>
      <c r="I1013" s="127">
        <v>45261</v>
      </c>
      <c r="J1013" s="124" t="s">
        <v>1312</v>
      </c>
      <c r="K1013" s="124" t="s">
        <v>1530</v>
      </c>
      <c r="L1013" s="124"/>
      <c r="M1013" s="125">
        <v>1840056</v>
      </c>
      <c r="N1013" s="148">
        <v>0</v>
      </c>
      <c r="O1013" s="148">
        <v>0</v>
      </c>
      <c r="P1013" s="149">
        <v>0</v>
      </c>
      <c r="Q1013" s="148">
        <v>0</v>
      </c>
      <c r="R1013" s="150">
        <v>1840056</v>
      </c>
      <c r="S10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3" s="135">
        <f ca="1">+IF(PROVEEDORES[[#This Row],[FECHA DE PAGO]]=0,TODAY()-PROVEEDORES[[#This Row],[FECHA DE FACTURACIÓN]]-PROVEEDORES[[#This Row],[PLAZO Días]],0)</f>
        <v>0</v>
      </c>
      <c r="U1013" s="135">
        <f>+VLOOKUP(PROVEEDORES[[#This Row],[PROVEEDOR]],Terceros!$A:$D,4,FALSE)</f>
        <v>0</v>
      </c>
      <c r="V1013" s="135">
        <f>+YEAR(PROVEEDORES[[#This Row],[FECHA DE FACTURACIÓN]])</f>
        <v>2023</v>
      </c>
      <c r="W1013" s="135">
        <f>+MATCH(PROVEEDORES[[#This Row],[año facturado]],Retenciones!$1:$1,0)</f>
        <v>6</v>
      </c>
      <c r="X1013" s="136">
        <f>+VLOOKUP(PROVEEDORES[[#This Row],[ID RETENCION]],Retenciones!$A$1:$O$25,PROVEEDORES[[#This Row],[indicador de columna]],FALSE)</f>
        <v>0</v>
      </c>
      <c r="Y1013" s="137">
        <f>+VLOOKUP(PROVEEDORES[[#This Row],[ID RETENCION]],Retenciones!$A$1:$O$25,2,FALSE)</f>
        <v>0</v>
      </c>
      <c r="Z1013" s="126" t="b">
        <f>+OR(COUNTIF(PROVEEDORES[[#This Row],[PROVEEDOR]],"*"&amp;'Palabra que no opera y Listas d'!$A$2&amp;"*"))</f>
        <v>1</v>
      </c>
    </row>
    <row r="1014" spans="1:26" ht="27.75" customHeight="1" x14ac:dyDescent="0.25">
      <c r="A1014" s="141" t="str">
        <f>+IF(PROVEEDORES[[#This Row],[FECHA DE PAGO]]=PROVEEDORES[[#This Row],[FECHA DE FACTURACIÓN]],"DE CONTADO","CRÉDITO")</f>
        <v>CRÉDITO</v>
      </c>
      <c r="B1014" s="138" t="b">
        <f>+IF((PROVEEDORES[[#This Row],[FECHA DE PAGO]]-PROVEEDORES[[#This Row],[FECHA DE FACTURACIÓN]])&gt;PROVEEDORES[[#This Row],[PLAZO Días]],"PAGO VENCIDO")</f>
        <v>0</v>
      </c>
      <c r="C1014" s="138">
        <f>+VLOOKUP(PROVEEDORES[[#This Row],[PROVEEDOR]],TERCEROS_INFO[#All],2,FALSE)</f>
        <v>30</v>
      </c>
      <c r="D1014" s="139">
        <f>+SUMIFS(PROVEEDORES[Total],PROVEEDORES[PROVEEDOR],PROVEEDORES[[#This Row],[PROVEEDOR]],PROVEEDORES[FECHA DE PAGO],"")</f>
        <v>0</v>
      </c>
      <c r="E1014" s="140"/>
      <c r="F1014" s="138" t="str">
        <f>+VLOOKUP(PROVEEDORES[[#This Row],[PROVEEDOR]],
                       Terceros!$A:$F,
                       5,
                       FALSE)</f>
        <v>facturacion@losmolinos.com.co</v>
      </c>
      <c r="G1014" s="127">
        <v>45271</v>
      </c>
      <c r="H1014" s="123" t="s">
        <v>376</v>
      </c>
      <c r="I1014" s="127">
        <v>45261</v>
      </c>
      <c r="J1014" s="124" t="s">
        <v>1317</v>
      </c>
      <c r="K1014" s="124" t="s">
        <v>1530</v>
      </c>
      <c r="L1014" s="124"/>
      <c r="M1014" s="125">
        <v>318603</v>
      </c>
      <c r="N1014" s="148">
        <v>0</v>
      </c>
      <c r="O1014" s="148">
        <v>0</v>
      </c>
      <c r="P1014" s="149">
        <v>0</v>
      </c>
      <c r="Q1014" s="148">
        <v>0</v>
      </c>
      <c r="R1014" s="150">
        <v>318603</v>
      </c>
      <c r="S10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4" s="135">
        <f ca="1">+IF(PROVEEDORES[[#This Row],[FECHA DE PAGO]]=0,TODAY()-PROVEEDORES[[#This Row],[FECHA DE FACTURACIÓN]]-PROVEEDORES[[#This Row],[PLAZO Días]],0)</f>
        <v>0</v>
      </c>
      <c r="U1014" s="135">
        <f>+VLOOKUP(PROVEEDORES[[#This Row],[PROVEEDOR]],Terceros!$A:$D,4,FALSE)</f>
        <v>0</v>
      </c>
      <c r="V1014" s="135">
        <f>+YEAR(PROVEEDORES[[#This Row],[FECHA DE FACTURACIÓN]])</f>
        <v>2023</v>
      </c>
      <c r="W1014" s="135">
        <f>+MATCH(PROVEEDORES[[#This Row],[año facturado]],Retenciones!$1:$1,0)</f>
        <v>6</v>
      </c>
      <c r="X1014" s="136">
        <f>+VLOOKUP(PROVEEDORES[[#This Row],[ID RETENCION]],Retenciones!$A$1:$O$25,PROVEEDORES[[#This Row],[indicador de columna]],FALSE)</f>
        <v>0</v>
      </c>
      <c r="Y1014" s="137">
        <f>+VLOOKUP(PROVEEDORES[[#This Row],[ID RETENCION]],Retenciones!$A$1:$O$25,2,FALSE)</f>
        <v>0</v>
      </c>
      <c r="Z1014" s="126" t="b">
        <f>+OR(COUNTIF(PROVEEDORES[[#This Row],[PROVEEDOR]],"*"&amp;'Palabra que no opera y Listas d'!$A$2&amp;"*"))</f>
        <v>1</v>
      </c>
    </row>
    <row r="1015" spans="1:26" ht="27.75" customHeight="1" x14ac:dyDescent="0.25">
      <c r="A1015" s="141" t="str">
        <f>+IF(PROVEEDORES[[#This Row],[FECHA DE PAGO]]=PROVEEDORES[[#This Row],[FECHA DE FACTURACIÓN]],"DE CONTADO","CRÉDITO")</f>
        <v>CRÉDITO</v>
      </c>
      <c r="B1015" s="138" t="b">
        <f>+IF((PROVEEDORES[[#This Row],[FECHA DE PAGO]]-PROVEEDORES[[#This Row],[FECHA DE FACTURACIÓN]])&gt;PROVEEDORES[[#This Row],[PLAZO Días]],"PAGO VENCIDO")</f>
        <v>0</v>
      </c>
      <c r="C1015" s="138">
        <f>+VLOOKUP(PROVEEDORES[[#This Row],[PROVEEDOR]],TERCEROS_INFO[#All],2,FALSE)</f>
        <v>30</v>
      </c>
      <c r="D1015" s="139">
        <f>+SUMIFS(PROVEEDORES[Total],PROVEEDORES[PROVEEDOR],PROVEEDORES[[#This Row],[PROVEEDOR]],PROVEEDORES[FECHA DE PAGO],"")</f>
        <v>0</v>
      </c>
      <c r="E1015" s="140"/>
      <c r="F1015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15" s="127">
        <v>45271</v>
      </c>
      <c r="H1015" s="123" t="s">
        <v>382</v>
      </c>
      <c r="I1015" s="127">
        <v>45261</v>
      </c>
      <c r="J1015" s="124" t="s">
        <v>1314</v>
      </c>
      <c r="K1015" s="124" t="s">
        <v>1530</v>
      </c>
      <c r="L1015" s="124"/>
      <c r="M1015" s="125">
        <v>914023</v>
      </c>
      <c r="N1015" s="148">
        <v>0</v>
      </c>
      <c r="O1015" s="148">
        <v>0</v>
      </c>
      <c r="P1015" s="149">
        <v>0</v>
      </c>
      <c r="Q1015" s="148">
        <v>0</v>
      </c>
      <c r="R1015" s="150">
        <v>914023</v>
      </c>
      <c r="S10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5" s="135">
        <f ca="1">+IF(PROVEEDORES[[#This Row],[FECHA DE PAGO]]=0,TODAY()-PROVEEDORES[[#This Row],[FECHA DE FACTURACIÓN]]-PROVEEDORES[[#This Row],[PLAZO Días]],0)</f>
        <v>0</v>
      </c>
      <c r="U1015" s="135">
        <f>+VLOOKUP(PROVEEDORES[[#This Row],[PROVEEDOR]],Terceros!$A:$D,4,FALSE)</f>
        <v>0</v>
      </c>
      <c r="V1015" s="135">
        <f>+YEAR(PROVEEDORES[[#This Row],[FECHA DE FACTURACIÓN]])</f>
        <v>2023</v>
      </c>
      <c r="W1015" s="135">
        <f>+MATCH(PROVEEDORES[[#This Row],[año facturado]],Retenciones!$1:$1,0)</f>
        <v>6</v>
      </c>
      <c r="X1015" s="136">
        <f>+VLOOKUP(PROVEEDORES[[#This Row],[ID RETENCION]],Retenciones!$A$1:$O$25,PROVEEDORES[[#This Row],[indicador de columna]],FALSE)</f>
        <v>0</v>
      </c>
      <c r="Y1015" s="137">
        <f>+VLOOKUP(PROVEEDORES[[#This Row],[ID RETENCION]],Retenciones!$A$1:$O$25,2,FALSE)</f>
        <v>0</v>
      </c>
      <c r="Z1015" s="126" t="b">
        <f>+OR(COUNTIF(PROVEEDORES[[#This Row],[PROVEEDOR]],"*"&amp;'Palabra que no opera y Listas d'!$A$2&amp;"*"))</f>
        <v>1</v>
      </c>
    </row>
    <row r="1016" spans="1:26" ht="27.75" customHeight="1" x14ac:dyDescent="0.25">
      <c r="A1016" s="141" t="str">
        <f>+IF(PROVEEDORES[[#This Row],[FECHA DE PAGO]]=PROVEEDORES[[#This Row],[FECHA DE FACTURACIÓN]],"DE CONTADO","CRÉDITO")</f>
        <v>CRÉDITO</v>
      </c>
      <c r="B1016" s="138" t="b">
        <f>+IF((PROVEEDORES[[#This Row],[FECHA DE PAGO]]-PROVEEDORES[[#This Row],[FECHA DE FACTURACIÓN]])&gt;PROVEEDORES[[#This Row],[PLAZO Días]],"PAGO VENCIDO")</f>
        <v>0</v>
      </c>
      <c r="C1016" s="138">
        <f>+VLOOKUP(PROVEEDORES[[#This Row],[PROVEEDOR]],TERCEROS_INFO[#All],2,FALSE)</f>
        <v>30</v>
      </c>
      <c r="D1016" s="139">
        <f>+SUMIFS(PROVEEDORES[Total],PROVEEDORES[PROVEEDOR],PROVEEDORES[[#This Row],[PROVEEDOR]],PROVEEDORES[FECHA DE PAGO],"")</f>
        <v>0</v>
      </c>
      <c r="E1016" s="140"/>
      <c r="F1016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16" s="127">
        <v>45271</v>
      </c>
      <c r="H1016" s="123" t="s">
        <v>382</v>
      </c>
      <c r="I1016" s="127">
        <v>45261</v>
      </c>
      <c r="J1016" s="124" t="s">
        <v>1315</v>
      </c>
      <c r="K1016" s="124" t="s">
        <v>1530</v>
      </c>
      <c r="L1016" s="124"/>
      <c r="M1016" s="125">
        <v>934363</v>
      </c>
      <c r="N1016" s="148">
        <v>0</v>
      </c>
      <c r="O1016" s="148">
        <v>0</v>
      </c>
      <c r="P1016" s="149">
        <v>0</v>
      </c>
      <c r="Q1016" s="148">
        <v>0</v>
      </c>
      <c r="R1016" s="150">
        <v>934363</v>
      </c>
      <c r="S10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6" s="135">
        <f ca="1">+IF(PROVEEDORES[[#This Row],[FECHA DE PAGO]]=0,TODAY()-PROVEEDORES[[#This Row],[FECHA DE FACTURACIÓN]]-PROVEEDORES[[#This Row],[PLAZO Días]],0)</f>
        <v>0</v>
      </c>
      <c r="U1016" s="135">
        <f>+VLOOKUP(PROVEEDORES[[#This Row],[PROVEEDOR]],Terceros!$A:$D,4,FALSE)</f>
        <v>0</v>
      </c>
      <c r="V1016" s="135">
        <f>+YEAR(PROVEEDORES[[#This Row],[FECHA DE FACTURACIÓN]])</f>
        <v>2023</v>
      </c>
      <c r="W1016" s="135">
        <f>+MATCH(PROVEEDORES[[#This Row],[año facturado]],Retenciones!$1:$1,0)</f>
        <v>6</v>
      </c>
      <c r="X1016" s="136">
        <f>+VLOOKUP(PROVEEDORES[[#This Row],[ID RETENCION]],Retenciones!$A$1:$O$25,PROVEEDORES[[#This Row],[indicador de columna]],FALSE)</f>
        <v>0</v>
      </c>
      <c r="Y1016" s="137">
        <f>+VLOOKUP(PROVEEDORES[[#This Row],[ID RETENCION]],Retenciones!$A$1:$O$25,2,FALSE)</f>
        <v>0</v>
      </c>
      <c r="Z1016" s="126" t="b">
        <f>+OR(COUNTIF(PROVEEDORES[[#This Row],[PROVEEDOR]],"*"&amp;'Palabra que no opera y Listas d'!$A$2&amp;"*"))</f>
        <v>1</v>
      </c>
    </row>
    <row r="1017" spans="1:26" ht="27.75" customHeight="1" x14ac:dyDescent="0.25">
      <c r="A1017" s="141" t="str">
        <f>+IF(PROVEEDORES[[#This Row],[FECHA DE PAGO]]=PROVEEDORES[[#This Row],[FECHA DE FACTURACIÓN]],"DE CONTADO","CRÉDITO")</f>
        <v>CRÉDITO</v>
      </c>
      <c r="B1017" s="138" t="b">
        <f>+IF((PROVEEDORES[[#This Row],[FECHA DE PAGO]]-PROVEEDORES[[#This Row],[FECHA DE FACTURACIÓN]])&gt;PROVEEDORES[[#This Row],[PLAZO Días]],"PAGO VENCIDO")</f>
        <v>0</v>
      </c>
      <c r="C1017" s="138">
        <f>+VLOOKUP(PROVEEDORES[[#This Row],[PROVEEDOR]],TERCEROS_INFO[#All],2,FALSE)</f>
        <v>30</v>
      </c>
      <c r="D1017" s="139">
        <f>+SUMIFS(PROVEEDORES[Total],PROVEEDORES[PROVEEDOR],PROVEEDORES[[#This Row],[PROVEEDOR]],PROVEEDORES[FECHA DE PAGO],"")</f>
        <v>0</v>
      </c>
      <c r="E1017" s="140"/>
      <c r="F1017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017" s="127">
        <v>45271</v>
      </c>
      <c r="H1017" s="123" t="s">
        <v>383</v>
      </c>
      <c r="I1017" s="127">
        <v>45261</v>
      </c>
      <c r="J1017" s="124" t="s">
        <v>1311</v>
      </c>
      <c r="K1017" s="124" t="s">
        <v>1530</v>
      </c>
      <c r="L1017" s="124"/>
      <c r="M1017" s="125">
        <v>4394976</v>
      </c>
      <c r="N1017" s="148">
        <v>835045.44000000006</v>
      </c>
      <c r="O1017" s="148">
        <v>0</v>
      </c>
      <c r="P1017" s="149">
        <v>3.5000000000000003E-2</v>
      </c>
      <c r="Q1017" s="148">
        <v>153824.16</v>
      </c>
      <c r="R1017" s="150">
        <v>5076197.28</v>
      </c>
      <c r="S10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7" s="135">
        <f ca="1">+IF(PROVEEDORES[[#This Row],[FECHA DE PAGO]]=0,TODAY()-PROVEEDORES[[#This Row],[FECHA DE FACTURACIÓN]]-PROVEEDORES[[#This Row],[PLAZO Días]],0)</f>
        <v>0</v>
      </c>
      <c r="U1017" s="135" t="str">
        <f>+VLOOKUP(PROVEEDORES[[#This Row],[PROVEEDOR]],Terceros!$A:$D,4,FALSE)</f>
        <v>3,5% sin base</v>
      </c>
      <c r="V1017" s="135">
        <f>+YEAR(PROVEEDORES[[#This Row],[FECHA DE FACTURACIÓN]])</f>
        <v>2023</v>
      </c>
      <c r="W1017" s="135">
        <f>+MATCH(PROVEEDORES[[#This Row],[año facturado]],Retenciones!$1:$1,0)</f>
        <v>6</v>
      </c>
      <c r="X1017" s="136">
        <f>+VLOOKUP(PROVEEDORES[[#This Row],[ID RETENCION]],Retenciones!$A$1:$O$25,PROVEEDORES[[#This Row],[indicador de columna]],FALSE)</f>
        <v>0</v>
      </c>
      <c r="Y1017" s="137">
        <f>+VLOOKUP(PROVEEDORES[[#This Row],[ID RETENCION]],Retenciones!$A$1:$O$25,2,FALSE)</f>
        <v>3.5000000000000003E-2</v>
      </c>
      <c r="Z1017" s="126" t="b">
        <f>+OR(COUNTIF(PROVEEDORES[[#This Row],[PROVEEDOR]],"*"&amp;'Palabra que no opera y Listas d'!$A$2&amp;"*"))</f>
        <v>1</v>
      </c>
    </row>
    <row r="1018" spans="1:26" ht="27.75" customHeight="1" x14ac:dyDescent="0.25">
      <c r="A1018" s="141" t="str">
        <f>+IF(PROVEEDORES[[#This Row],[FECHA DE PAGO]]=PROVEEDORES[[#This Row],[FECHA DE FACTURACIÓN]],"DE CONTADO","CRÉDITO")</f>
        <v>CRÉDITO</v>
      </c>
      <c r="B1018" s="138" t="b">
        <f>+IF((PROVEEDORES[[#This Row],[FECHA DE PAGO]]-PROVEEDORES[[#This Row],[FECHA DE FACTURACIÓN]])&gt;PROVEEDORES[[#This Row],[PLAZO Días]],"PAGO VENCIDO")</f>
        <v>0</v>
      </c>
      <c r="C1018" s="138">
        <f>+VLOOKUP(PROVEEDORES[[#This Row],[PROVEEDOR]],TERCEROS_INFO[#All],2,FALSE)</f>
        <v>30</v>
      </c>
      <c r="D1018" s="139">
        <f>+SUMIFS(PROVEEDORES[Total],PROVEEDORES[PROVEEDOR],PROVEEDORES[[#This Row],[PROVEEDOR]],PROVEEDORES[FECHA DE PAGO],"")</f>
        <v>0</v>
      </c>
      <c r="E1018" s="140"/>
      <c r="F1018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018" s="127">
        <v>45271</v>
      </c>
      <c r="H1018" s="123" t="s">
        <v>394</v>
      </c>
      <c r="I1018" s="127">
        <v>45261</v>
      </c>
      <c r="J1018" s="124" t="s">
        <v>1313</v>
      </c>
      <c r="K1018" s="124" t="s">
        <v>1530</v>
      </c>
      <c r="L1018" s="124"/>
      <c r="M1018" s="125">
        <v>243611</v>
      </c>
      <c r="N1018" s="148">
        <v>46286.090000000004</v>
      </c>
      <c r="O1018" s="148">
        <v>0</v>
      </c>
      <c r="P1018" s="149">
        <v>3.5000000000000003E-2</v>
      </c>
      <c r="Q1018" s="148">
        <v>8526.3850000000002</v>
      </c>
      <c r="R1018" s="150">
        <v>281370.70500000002</v>
      </c>
      <c r="S10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8" s="135">
        <f ca="1">+IF(PROVEEDORES[[#This Row],[FECHA DE PAGO]]=0,TODAY()-PROVEEDORES[[#This Row],[FECHA DE FACTURACIÓN]]-PROVEEDORES[[#This Row],[PLAZO Días]],0)</f>
        <v>0</v>
      </c>
      <c r="U1018" s="135" t="str">
        <f>+VLOOKUP(PROVEEDORES[[#This Row],[PROVEEDOR]],Terceros!$A:$D,4,FALSE)</f>
        <v>3,5% sin base</v>
      </c>
      <c r="V1018" s="135">
        <f>+YEAR(PROVEEDORES[[#This Row],[FECHA DE FACTURACIÓN]])</f>
        <v>2023</v>
      </c>
      <c r="W1018" s="135">
        <f>+MATCH(PROVEEDORES[[#This Row],[año facturado]],Retenciones!$1:$1,0)</f>
        <v>6</v>
      </c>
      <c r="X1018" s="136">
        <f>+VLOOKUP(PROVEEDORES[[#This Row],[ID RETENCION]],Retenciones!$A$1:$O$25,PROVEEDORES[[#This Row],[indicador de columna]],FALSE)</f>
        <v>0</v>
      </c>
      <c r="Y1018" s="137">
        <f>+VLOOKUP(PROVEEDORES[[#This Row],[ID RETENCION]],Retenciones!$A$1:$O$25,2,FALSE)</f>
        <v>3.5000000000000003E-2</v>
      </c>
      <c r="Z1018" s="126" t="b">
        <f>+OR(COUNTIF(PROVEEDORES[[#This Row],[PROVEEDOR]],"*"&amp;'Palabra que no opera y Listas d'!$A$2&amp;"*"))</f>
        <v>1</v>
      </c>
    </row>
    <row r="1019" spans="1:26" ht="27.75" customHeight="1" x14ac:dyDescent="0.25">
      <c r="A1019" s="141" t="str">
        <f>+IF(PROVEEDORES[[#This Row],[FECHA DE PAGO]]=PROVEEDORES[[#This Row],[FECHA DE FACTURACIÓN]],"DE CONTADO","CRÉDITO")</f>
        <v>CRÉDITO</v>
      </c>
      <c r="B1019" s="138" t="b">
        <f>+IF((PROVEEDORES[[#This Row],[FECHA DE PAGO]]-PROVEEDORES[[#This Row],[FECHA DE FACTURACIÓN]])&gt;PROVEEDORES[[#This Row],[PLAZO Días]],"PAGO VENCIDO")</f>
        <v>0</v>
      </c>
      <c r="C1019" s="138">
        <f>+VLOOKUP(PROVEEDORES[[#This Row],[PROVEEDOR]],TERCEROS_INFO[#All],2,FALSE)</f>
        <v>10</v>
      </c>
      <c r="D1019" s="139">
        <f>+SUMIFS(PROVEEDORES[Total],PROVEEDORES[PROVEEDOR],PROVEEDORES[[#This Row],[PROVEEDOR]],PROVEEDORES[FECHA DE PAGO],"")</f>
        <v>0</v>
      </c>
      <c r="E1019" s="140"/>
      <c r="F1019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019" s="127">
        <v>45271</v>
      </c>
      <c r="H1019" s="123" t="s">
        <v>482</v>
      </c>
      <c r="I1019" s="127">
        <v>45261</v>
      </c>
      <c r="J1019" s="124" t="s">
        <v>1308</v>
      </c>
      <c r="K1019" s="124" t="s">
        <v>1530</v>
      </c>
      <c r="L1019" s="124"/>
      <c r="M1019" s="125">
        <v>5350576</v>
      </c>
      <c r="N1019" s="148">
        <v>1016609.4400000001</v>
      </c>
      <c r="O1019" s="148">
        <v>0</v>
      </c>
      <c r="P1019" s="149">
        <v>0</v>
      </c>
      <c r="Q1019" s="148">
        <v>0</v>
      </c>
      <c r="R1019" s="150">
        <v>6367185.4400000004</v>
      </c>
      <c r="S10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19" s="135">
        <f ca="1">+IF(PROVEEDORES[[#This Row],[FECHA DE PAGO]]=0,TODAY()-PROVEEDORES[[#This Row],[FECHA DE FACTURACIÓN]]-PROVEEDORES[[#This Row],[PLAZO Días]],0)</f>
        <v>0</v>
      </c>
      <c r="U1019" s="135">
        <f>+VLOOKUP(PROVEEDORES[[#This Row],[PROVEEDOR]],Terceros!$A:$D,4,FALSE)</f>
        <v>0</v>
      </c>
      <c r="V1019" s="135">
        <f>+YEAR(PROVEEDORES[[#This Row],[FECHA DE FACTURACIÓN]])</f>
        <v>2023</v>
      </c>
      <c r="W1019" s="135">
        <f>+MATCH(PROVEEDORES[[#This Row],[año facturado]],Retenciones!$1:$1,0)</f>
        <v>6</v>
      </c>
      <c r="X1019" s="136">
        <f>+VLOOKUP(PROVEEDORES[[#This Row],[ID RETENCION]],Retenciones!$A$1:$O$25,PROVEEDORES[[#This Row],[indicador de columna]],FALSE)</f>
        <v>0</v>
      </c>
      <c r="Y1019" s="137">
        <f>+VLOOKUP(PROVEEDORES[[#This Row],[ID RETENCION]],Retenciones!$A$1:$O$25,2,FALSE)</f>
        <v>0</v>
      </c>
      <c r="Z1019" s="126" t="b">
        <f>+OR(COUNTIF(PROVEEDORES[[#This Row],[PROVEEDOR]],"*"&amp;'Palabra que no opera y Listas d'!$A$2&amp;"*"))</f>
        <v>1</v>
      </c>
    </row>
    <row r="1020" spans="1:26" ht="27.75" customHeight="1" x14ac:dyDescent="0.25">
      <c r="A1020" s="141" t="str">
        <f>+IF(PROVEEDORES[[#This Row],[FECHA DE PAGO]]=PROVEEDORES[[#This Row],[FECHA DE FACTURACIÓN]],"DE CONTADO","CRÉDITO")</f>
        <v>DE CONTADO</v>
      </c>
      <c r="B1020" s="138" t="b">
        <f>+IF((PROVEEDORES[[#This Row],[FECHA DE PAGO]]-PROVEEDORES[[#This Row],[FECHA DE FACTURACIÓN]])&gt;PROVEEDORES[[#This Row],[PLAZO Días]],"PAGO VENCIDO")</f>
        <v>0</v>
      </c>
      <c r="C1020" s="138">
        <f>+VLOOKUP(PROVEEDORES[[#This Row],[PROVEEDOR]],TERCEROS_INFO[#All],2,FALSE)</f>
        <v>30</v>
      </c>
      <c r="D1020" s="139">
        <f>+SUMIFS(PROVEEDORES[Total],PROVEEDORES[PROVEEDOR],PROVEEDORES[[#This Row],[PROVEEDOR]],PROVEEDORES[FECHA DE PAGO],"")</f>
        <v>0</v>
      </c>
      <c r="E1020" s="140"/>
      <c r="F1020" s="138" t="str">
        <f>+VLOOKUP(PROVEEDORES[[#This Row],[PROVEEDOR]],
                       Terceros!$A:$F,
                       5,
                       FALSE)</f>
        <v/>
      </c>
      <c r="G1020" s="127">
        <v>45271</v>
      </c>
      <c r="H1020" s="123" t="s">
        <v>525</v>
      </c>
      <c r="I1020" s="127">
        <v>45271</v>
      </c>
      <c r="J1020" s="124" t="s">
        <v>1307</v>
      </c>
      <c r="K1020" s="124" t="s">
        <v>1530</v>
      </c>
      <c r="L1020" s="124"/>
      <c r="M1020" s="125">
        <v>1500000</v>
      </c>
      <c r="N1020" s="148">
        <v>0</v>
      </c>
      <c r="O1020" s="148">
        <v>0</v>
      </c>
      <c r="P1020" s="149">
        <v>0</v>
      </c>
      <c r="Q1020" s="148">
        <v>0</v>
      </c>
      <c r="R1020" s="150">
        <v>1500000</v>
      </c>
      <c r="S10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0" s="135">
        <f ca="1">+IF(PROVEEDORES[[#This Row],[FECHA DE PAGO]]=0,TODAY()-PROVEEDORES[[#This Row],[FECHA DE FACTURACIÓN]]-PROVEEDORES[[#This Row],[PLAZO Días]],0)</f>
        <v>0</v>
      </c>
      <c r="U1020" s="135">
        <f>+VLOOKUP(PROVEEDORES[[#This Row],[PROVEEDOR]],Terceros!$A:$D,4,FALSE)</f>
        <v>0</v>
      </c>
      <c r="V1020" s="135">
        <f>+YEAR(PROVEEDORES[[#This Row],[FECHA DE FACTURACIÓN]])</f>
        <v>2023</v>
      </c>
      <c r="W1020" s="135">
        <f>+MATCH(PROVEEDORES[[#This Row],[año facturado]],Retenciones!$1:$1,0)</f>
        <v>6</v>
      </c>
      <c r="X1020" s="136">
        <f>+VLOOKUP(PROVEEDORES[[#This Row],[ID RETENCION]],Retenciones!$A$1:$O$25,PROVEEDORES[[#This Row],[indicador de columna]],FALSE)</f>
        <v>0</v>
      </c>
      <c r="Y1020" s="137">
        <f>+VLOOKUP(PROVEEDORES[[#This Row],[ID RETENCION]],Retenciones!$A$1:$O$25,2,FALSE)</f>
        <v>0</v>
      </c>
      <c r="Z1020" s="126" t="b">
        <f>+OR(COUNTIF(PROVEEDORES[[#This Row],[PROVEEDOR]],"*"&amp;'Palabra que no opera y Listas d'!$A$2&amp;"*"))</f>
        <v>0</v>
      </c>
    </row>
    <row r="1021" spans="1:26" ht="27.75" customHeight="1" x14ac:dyDescent="0.25">
      <c r="A1021" s="141" t="str">
        <f>+IF(PROVEEDORES[[#This Row],[FECHA DE PAGO]]=PROVEEDORES[[#This Row],[FECHA DE FACTURACIÓN]],"DE CONTADO","CRÉDITO")</f>
        <v>CRÉDITO</v>
      </c>
      <c r="B1021" s="138" t="e">
        <f>+IF((PROVEEDORES[[#This Row],[FECHA DE PAGO]]-PROVEEDORES[[#This Row],[FECHA DE FACTURACIÓN]])&gt;PROVEEDORES[[#This Row],[PLAZO Días]],"PAGO VENCIDO")</f>
        <v>#N/A</v>
      </c>
      <c r="C1021" s="138" t="e">
        <f>+VLOOKUP(PROVEEDORES[[#This Row],[PROVEEDOR]],TERCEROS_INFO[#All],2,FALSE)</f>
        <v>#N/A</v>
      </c>
      <c r="D1021" s="139">
        <f>+SUMIFS(PROVEEDORES[Total],PROVEEDORES[PROVEEDOR],PROVEEDORES[[#This Row],[PROVEEDOR]],PROVEEDORES[FECHA DE PAGO],"")</f>
        <v>0</v>
      </c>
      <c r="E1021" s="140"/>
      <c r="F1021" s="138" t="e">
        <f>+VLOOKUP(PROVEEDORES[[#This Row],[PROVEEDOR]],
                       Terceros!$A:$F,
                       5,
                       FALSE)</f>
        <v>#N/A</v>
      </c>
      <c r="G1021" s="127">
        <v>45272</v>
      </c>
      <c r="H1021" s="123" t="s">
        <v>188</v>
      </c>
      <c r="I1021" s="127">
        <v>45202</v>
      </c>
      <c r="J1021" s="124" t="s">
        <v>1096</v>
      </c>
      <c r="K1021" s="124" t="s">
        <v>1530</v>
      </c>
      <c r="L1021" s="124"/>
      <c r="M1021" s="125">
        <v>6385210</v>
      </c>
      <c r="N1021" s="148">
        <v>1213189.8999999999</v>
      </c>
      <c r="O1021" s="148">
        <v>0</v>
      </c>
      <c r="P1021" s="149">
        <v>2.5000000000000001E-2</v>
      </c>
      <c r="Q1021" s="148">
        <v>159630.25</v>
      </c>
      <c r="R1021" s="150">
        <v>7438769.6500000004</v>
      </c>
      <c r="S10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1" s="135">
        <f ca="1">+IF(PROVEEDORES[[#This Row],[FECHA DE PAGO]]=0,TODAY()-PROVEEDORES[[#This Row],[FECHA DE FACTURACIÓN]]-PROVEEDORES[[#This Row],[PLAZO Días]],0)</f>
        <v>0</v>
      </c>
      <c r="U1021" s="135" t="e">
        <f>+VLOOKUP(PROVEEDORES[[#This Row],[PROVEEDOR]],Terceros!$A:$D,4,FALSE)</f>
        <v>#N/A</v>
      </c>
      <c r="V1021" s="135">
        <f>+YEAR(PROVEEDORES[[#This Row],[FECHA DE FACTURACIÓN]])</f>
        <v>2023</v>
      </c>
      <c r="W1021" s="135">
        <f>+MATCH(PROVEEDORES[[#This Row],[año facturado]],Retenciones!$1:$1,0)</f>
        <v>6</v>
      </c>
      <c r="X1021" s="136" t="e">
        <f>+VLOOKUP(PROVEEDORES[[#This Row],[ID RETENCION]],Retenciones!$A$1:$O$25,PROVEEDORES[[#This Row],[indicador de columna]],FALSE)</f>
        <v>#N/A</v>
      </c>
      <c r="Y1021" s="137" t="e">
        <f>+VLOOKUP(PROVEEDORES[[#This Row],[ID RETENCION]],Retenciones!$A$1:$O$25,2,FALSE)</f>
        <v>#N/A</v>
      </c>
      <c r="Z1021" s="126" t="b">
        <f>+OR(COUNTIF(PROVEEDORES[[#This Row],[PROVEEDOR]],"*"&amp;'Palabra que no opera y Listas d'!$A$2&amp;"*"))</f>
        <v>0</v>
      </c>
    </row>
    <row r="1022" spans="1:26" ht="27.75" customHeight="1" x14ac:dyDescent="0.25">
      <c r="A1022" s="141" t="str">
        <f>+IF(PROVEEDORES[[#This Row],[FECHA DE PAGO]]=PROVEEDORES[[#This Row],[FECHA DE FACTURACIÓN]],"DE CONTADO","CRÉDITO")</f>
        <v>CRÉDITO</v>
      </c>
      <c r="B1022" s="138" t="str">
        <f>+IF((PROVEEDORES[[#This Row],[FECHA DE PAGO]]-PROVEEDORES[[#This Row],[FECHA DE FACTURACIÓN]])&gt;PROVEEDORES[[#This Row],[PLAZO Días]],"PAGO VENCIDO")</f>
        <v>PAGO VENCIDO</v>
      </c>
      <c r="C1022" s="138">
        <f>+VLOOKUP(PROVEEDORES[[#This Row],[PROVEEDOR]],TERCEROS_INFO[#All],2,FALSE)</f>
        <v>45</v>
      </c>
      <c r="D1022" s="139">
        <f>+SUMIFS(PROVEEDORES[Total],PROVEEDORES[PROVEEDOR],PROVEEDORES[[#This Row],[PROVEEDOR]],PROVEEDORES[FECHA DE PAGO],"")</f>
        <v>2446500</v>
      </c>
      <c r="E1022" s="140"/>
      <c r="F1022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22" s="127">
        <v>45272</v>
      </c>
      <c r="H1022" s="123" t="s">
        <v>10</v>
      </c>
      <c r="I1022" s="127">
        <v>45223</v>
      </c>
      <c r="J1022" s="124" t="s">
        <v>1180</v>
      </c>
      <c r="K1022" s="124" t="s">
        <v>1530</v>
      </c>
      <c r="L1022" s="124"/>
      <c r="M1022" s="125">
        <v>4200000</v>
      </c>
      <c r="N1022" s="148">
        <v>798000</v>
      </c>
      <c r="O1022" s="148">
        <v>0</v>
      </c>
      <c r="P1022" s="149">
        <v>2.5000000000000001E-2</v>
      </c>
      <c r="Q1022" s="148">
        <v>105000</v>
      </c>
      <c r="R1022" s="150">
        <v>4893000</v>
      </c>
      <c r="S10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2" s="135">
        <f ca="1">+IF(PROVEEDORES[[#This Row],[FECHA DE PAGO]]=0,TODAY()-PROVEEDORES[[#This Row],[FECHA DE FACTURACIÓN]]-PROVEEDORES[[#This Row],[PLAZO Días]],0)</f>
        <v>0</v>
      </c>
      <c r="U1022" s="135" t="str">
        <f>+VLOOKUP(PROVEEDORES[[#This Row],[PROVEEDOR]],Terceros!$A:$D,4,FALSE)</f>
        <v>2,5% con base</v>
      </c>
      <c r="V1022" s="135">
        <f>+YEAR(PROVEEDORES[[#This Row],[FECHA DE FACTURACIÓN]])</f>
        <v>2023</v>
      </c>
      <c r="W1022" s="135">
        <f>+MATCH(PROVEEDORES[[#This Row],[año facturado]],Retenciones!$1:$1,0)</f>
        <v>6</v>
      </c>
      <c r="X1022" s="136">
        <f>+VLOOKUP(PROVEEDORES[[#This Row],[ID RETENCION]],Retenciones!$A$1:$O$25,PROVEEDORES[[#This Row],[indicador de columna]],FALSE)</f>
        <v>1145000</v>
      </c>
      <c r="Y1022" s="137">
        <f>+VLOOKUP(PROVEEDORES[[#This Row],[ID RETENCION]],Retenciones!$A$1:$O$25,2,FALSE)</f>
        <v>2.5000000000000001E-2</v>
      </c>
      <c r="Z1022" s="126" t="b">
        <f>+OR(COUNTIF(PROVEEDORES[[#This Row],[PROVEEDOR]],"*"&amp;'Palabra que no opera y Listas d'!$A$2&amp;"*"))</f>
        <v>0</v>
      </c>
    </row>
    <row r="1023" spans="1:26" ht="27.75" customHeight="1" x14ac:dyDescent="0.25">
      <c r="A1023" s="141" t="str">
        <f>+IF(PROVEEDORES[[#This Row],[FECHA DE PAGO]]=PROVEEDORES[[#This Row],[FECHA DE FACTURACIÓN]],"DE CONTADO","CRÉDITO")</f>
        <v>CRÉDITO</v>
      </c>
      <c r="B1023" s="138" t="str">
        <f>+IF((PROVEEDORES[[#This Row],[FECHA DE PAGO]]-PROVEEDORES[[#This Row],[FECHA DE FACTURACIÓN]])&gt;PROVEEDORES[[#This Row],[PLAZO Días]],"PAGO VENCIDO")</f>
        <v>PAGO VENCIDO</v>
      </c>
      <c r="C1023" s="138">
        <f>+VLOOKUP(PROVEEDORES[[#This Row],[PROVEEDOR]],TERCEROS_INFO[#All],2,FALSE)</f>
        <v>30</v>
      </c>
      <c r="D1023" s="139">
        <f>+SUMIFS(PROVEEDORES[Total],PROVEEDORES[PROVEEDOR],PROVEEDORES[[#This Row],[PROVEEDOR]],PROVEEDORES[FECHA DE PAGO],"")</f>
        <v>5581100</v>
      </c>
      <c r="E1023" s="140"/>
      <c r="F1023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023" s="127">
        <v>45272</v>
      </c>
      <c r="H1023" s="123" t="s">
        <v>446</v>
      </c>
      <c r="I1023" s="127">
        <v>45234</v>
      </c>
      <c r="J1023" s="124" t="s">
        <v>1220</v>
      </c>
      <c r="K1023" s="124" t="s">
        <v>1530</v>
      </c>
      <c r="L1023" s="124"/>
      <c r="M1023" s="125">
        <v>4908000</v>
      </c>
      <c r="N1023" s="148">
        <v>932520</v>
      </c>
      <c r="O1023" s="148">
        <v>0</v>
      </c>
      <c r="P1023" s="149">
        <v>0</v>
      </c>
      <c r="Q1023" s="148">
        <v>0</v>
      </c>
      <c r="R1023" s="150">
        <v>5840520</v>
      </c>
      <c r="S10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3" s="135">
        <f ca="1">+IF(PROVEEDORES[[#This Row],[FECHA DE PAGO]]=0,TODAY()-PROVEEDORES[[#This Row],[FECHA DE FACTURACIÓN]]-PROVEEDORES[[#This Row],[PLAZO Días]],0)</f>
        <v>0</v>
      </c>
      <c r="U1023" s="135">
        <f>+VLOOKUP(PROVEEDORES[[#This Row],[PROVEEDOR]],Terceros!$A:$D,4,FALSE)</f>
        <v>0</v>
      </c>
      <c r="V1023" s="135">
        <f>+YEAR(PROVEEDORES[[#This Row],[FECHA DE FACTURACIÓN]])</f>
        <v>2023</v>
      </c>
      <c r="W1023" s="135">
        <f>+MATCH(PROVEEDORES[[#This Row],[año facturado]],Retenciones!$1:$1,0)</f>
        <v>6</v>
      </c>
      <c r="X1023" s="136">
        <f>+VLOOKUP(PROVEEDORES[[#This Row],[ID RETENCION]],Retenciones!$A$1:$O$25,PROVEEDORES[[#This Row],[indicador de columna]],FALSE)</f>
        <v>0</v>
      </c>
      <c r="Y1023" s="137">
        <f>+VLOOKUP(PROVEEDORES[[#This Row],[ID RETENCION]],Retenciones!$A$1:$O$25,2,FALSE)</f>
        <v>0</v>
      </c>
      <c r="Z1023" s="126" t="b">
        <f>+OR(COUNTIF(PROVEEDORES[[#This Row],[PROVEEDOR]],"*"&amp;'Palabra que no opera y Listas d'!$A$2&amp;"*"))</f>
        <v>0</v>
      </c>
    </row>
    <row r="1024" spans="1:26" ht="27.75" customHeight="1" x14ac:dyDescent="0.25">
      <c r="A1024" s="141" t="str">
        <f>+IF(PROVEEDORES[[#This Row],[FECHA DE PAGO]]=PROVEEDORES[[#This Row],[FECHA DE FACTURACIÓN]],"DE CONTADO","CRÉDITO")</f>
        <v>CRÉDITO</v>
      </c>
      <c r="B1024" s="138" t="str">
        <f>+IF((PROVEEDORES[[#This Row],[FECHA DE PAGO]]-PROVEEDORES[[#This Row],[FECHA DE FACTURACIÓN]])&gt;PROVEEDORES[[#This Row],[PLAZO Días]],"PAGO VENCIDO")</f>
        <v>PAGO VENCIDO</v>
      </c>
      <c r="C1024" s="138">
        <f>+VLOOKUP(PROVEEDORES[[#This Row],[PROVEEDOR]],TERCEROS_INFO[#All],2,FALSE)</f>
        <v>30</v>
      </c>
      <c r="D1024" s="139">
        <f>+SUMIFS(PROVEEDORES[Total],PROVEEDORES[PROVEEDOR],PROVEEDORES[[#This Row],[PROVEEDOR]],PROVEEDORES[FECHA DE PAGO],"")</f>
        <v>5427539.2800000003</v>
      </c>
      <c r="E1024" s="140"/>
      <c r="F1024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024" s="127">
        <v>45272</v>
      </c>
      <c r="H1024" s="123" t="s">
        <v>11</v>
      </c>
      <c r="I1024" s="127">
        <v>45238</v>
      </c>
      <c r="J1024" s="124" t="s">
        <v>1231</v>
      </c>
      <c r="K1024" s="124" t="s">
        <v>1530</v>
      </c>
      <c r="L1024" s="124"/>
      <c r="M1024" s="125">
        <v>3105888</v>
      </c>
      <c r="N1024" s="148">
        <v>590118.72</v>
      </c>
      <c r="O1024" s="148">
        <v>0</v>
      </c>
      <c r="P1024" s="149">
        <v>2.5000000000000001E-2</v>
      </c>
      <c r="Q1024" s="148">
        <v>77647.199999999997</v>
      </c>
      <c r="R1024" s="150">
        <v>3618359.5199999996</v>
      </c>
      <c r="S10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4" s="135">
        <f ca="1">+IF(PROVEEDORES[[#This Row],[FECHA DE PAGO]]=0,TODAY()-PROVEEDORES[[#This Row],[FECHA DE FACTURACIÓN]]-PROVEEDORES[[#This Row],[PLAZO Días]],0)</f>
        <v>0</v>
      </c>
      <c r="U1024" s="135" t="str">
        <f>+VLOOKUP(PROVEEDORES[[#This Row],[PROVEEDOR]],Terceros!$A:$D,4,FALSE)</f>
        <v>2,5% con base</v>
      </c>
      <c r="V1024" s="135">
        <f>+YEAR(PROVEEDORES[[#This Row],[FECHA DE FACTURACIÓN]])</f>
        <v>2023</v>
      </c>
      <c r="W1024" s="135">
        <f>+MATCH(PROVEEDORES[[#This Row],[año facturado]],Retenciones!$1:$1,0)</f>
        <v>6</v>
      </c>
      <c r="X1024" s="136">
        <f>+VLOOKUP(PROVEEDORES[[#This Row],[ID RETENCION]],Retenciones!$A$1:$O$25,PROVEEDORES[[#This Row],[indicador de columna]],FALSE)</f>
        <v>1145000</v>
      </c>
      <c r="Y1024" s="137">
        <f>+VLOOKUP(PROVEEDORES[[#This Row],[ID RETENCION]],Retenciones!$A$1:$O$25,2,FALSE)</f>
        <v>2.5000000000000001E-2</v>
      </c>
      <c r="Z1024" s="126" t="b">
        <f>+OR(COUNTIF(PROVEEDORES[[#This Row],[PROVEEDOR]],"*"&amp;'Palabra que no opera y Listas d'!$A$2&amp;"*"))</f>
        <v>0</v>
      </c>
    </row>
    <row r="1025" spans="1:26" ht="27.75" customHeight="1" x14ac:dyDescent="0.25">
      <c r="A1025" s="141" t="str">
        <f>+IF(PROVEEDORES[[#This Row],[FECHA DE PAGO]]=PROVEEDORES[[#This Row],[FECHA DE FACTURACIÓN]],"DE CONTADO","CRÉDITO")</f>
        <v>CRÉDITO</v>
      </c>
      <c r="B1025" s="138" t="str">
        <f>+IF((PROVEEDORES[[#This Row],[FECHA DE PAGO]]-PROVEEDORES[[#This Row],[FECHA DE FACTURACIÓN]])&gt;PROVEEDORES[[#This Row],[PLAZO Días]],"PAGO VENCIDO")</f>
        <v>PAGO VENCIDO</v>
      </c>
      <c r="C1025" s="138">
        <f>+VLOOKUP(PROVEEDORES[[#This Row],[PROVEEDOR]],TERCEROS_INFO[#All],2,FALSE)</f>
        <v>30</v>
      </c>
      <c r="D1025" s="139">
        <f>+SUMIFS(PROVEEDORES[Total],PROVEEDORES[PROVEEDOR],PROVEEDORES[[#This Row],[PROVEEDOR]],PROVEEDORES[FECHA DE PAGO],"")</f>
        <v>1776037.21</v>
      </c>
      <c r="E1025" s="140"/>
      <c r="F1025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025" s="127">
        <v>45272</v>
      </c>
      <c r="H1025" s="123" t="s">
        <v>17</v>
      </c>
      <c r="I1025" s="127">
        <v>45239</v>
      </c>
      <c r="J1025" s="124" t="s">
        <v>1229</v>
      </c>
      <c r="K1025" s="124" t="s">
        <v>1530</v>
      </c>
      <c r="L1025" s="124"/>
      <c r="M1025" s="125">
        <v>1597368</v>
      </c>
      <c r="N1025" s="148">
        <v>303499.92</v>
      </c>
      <c r="O1025" s="148">
        <v>0</v>
      </c>
      <c r="P1025" s="149">
        <v>0</v>
      </c>
      <c r="Q1025" s="148">
        <v>0</v>
      </c>
      <c r="R1025" s="150">
        <v>1900867.92</v>
      </c>
      <c r="S10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5" s="135">
        <f ca="1">+IF(PROVEEDORES[[#This Row],[FECHA DE PAGO]]=0,TODAY()-PROVEEDORES[[#This Row],[FECHA DE FACTURACIÓN]]-PROVEEDORES[[#This Row],[PLAZO Días]],0)</f>
        <v>0</v>
      </c>
      <c r="U1025" s="135">
        <f>+VLOOKUP(PROVEEDORES[[#This Row],[PROVEEDOR]],Terceros!$A:$D,4,FALSE)</f>
        <v>0</v>
      </c>
      <c r="V1025" s="135">
        <f>+YEAR(PROVEEDORES[[#This Row],[FECHA DE FACTURACIÓN]])</f>
        <v>2023</v>
      </c>
      <c r="W1025" s="135">
        <f>+MATCH(PROVEEDORES[[#This Row],[año facturado]],Retenciones!$1:$1,0)</f>
        <v>6</v>
      </c>
      <c r="X1025" s="136">
        <f>+VLOOKUP(PROVEEDORES[[#This Row],[ID RETENCION]],Retenciones!$A$1:$O$25,PROVEEDORES[[#This Row],[indicador de columna]],FALSE)</f>
        <v>0</v>
      </c>
      <c r="Y1025" s="137">
        <f>+VLOOKUP(PROVEEDORES[[#This Row],[ID RETENCION]],Retenciones!$A$1:$O$25,2,FALSE)</f>
        <v>0</v>
      </c>
      <c r="Z1025" s="126" t="b">
        <f>+OR(COUNTIF(PROVEEDORES[[#This Row],[PROVEEDOR]],"*"&amp;'Palabra que no opera y Listas d'!$A$2&amp;"*"))</f>
        <v>0</v>
      </c>
    </row>
    <row r="1026" spans="1:26" ht="27.75" customHeight="1" x14ac:dyDescent="0.25">
      <c r="A1026" s="141" t="str">
        <f>+IF(PROVEEDORES[[#This Row],[FECHA DE PAGO]]=PROVEEDORES[[#This Row],[FECHA DE FACTURACIÓN]],"DE CONTADO","CRÉDITO")</f>
        <v>DE CONTADO</v>
      </c>
      <c r="B1026" s="138" t="b">
        <f>+IF((PROVEEDORES[[#This Row],[FECHA DE PAGO]]-PROVEEDORES[[#This Row],[FECHA DE FACTURACIÓN]])&gt;PROVEEDORES[[#This Row],[PLAZO Días]],"PAGO VENCIDO")</f>
        <v>0</v>
      </c>
      <c r="C1026" s="138">
        <f>+VLOOKUP(PROVEEDORES[[#This Row],[PROVEEDOR]],TERCEROS_INFO[#All],2,FALSE)</f>
        <v>60</v>
      </c>
      <c r="D1026" s="139">
        <f>+SUMIFS(PROVEEDORES[Total],PROVEEDORES[PROVEEDOR],PROVEEDORES[[#This Row],[PROVEEDOR]],PROVEEDORES[FECHA DE PAGO],"")</f>
        <v>0</v>
      </c>
      <c r="E1026" s="140"/>
      <c r="F1026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1026" s="127">
        <v>45272</v>
      </c>
      <c r="H1026" s="123" t="s">
        <v>65</v>
      </c>
      <c r="I1026" s="127">
        <v>45272</v>
      </c>
      <c r="J1026" s="124" t="s">
        <v>1456</v>
      </c>
      <c r="K1026" s="124" t="s">
        <v>1530</v>
      </c>
      <c r="L1026" s="124"/>
      <c r="M1026" s="125">
        <v>-10084034</v>
      </c>
      <c r="N1026" s="148">
        <v>-1915966.46</v>
      </c>
      <c r="O1026" s="148">
        <v>0</v>
      </c>
      <c r="P1026" s="149">
        <v>0</v>
      </c>
      <c r="Q1026" s="148">
        <v>0</v>
      </c>
      <c r="R1026" s="150">
        <v>-12000000.460000001</v>
      </c>
      <c r="S10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6" s="135">
        <f ca="1">+IF(PROVEEDORES[[#This Row],[FECHA DE PAGO]]=0,TODAY()-PROVEEDORES[[#This Row],[FECHA DE FACTURACIÓN]]-PROVEEDORES[[#This Row],[PLAZO Días]],0)</f>
        <v>0</v>
      </c>
      <c r="U1026" s="135" t="str">
        <f>+VLOOKUP(PROVEEDORES[[#This Row],[PROVEEDOR]],Terceros!$A:$D,4,FALSE)</f>
        <v>2,5% con base</v>
      </c>
      <c r="V1026" s="135">
        <f>+YEAR(PROVEEDORES[[#This Row],[FECHA DE FACTURACIÓN]])</f>
        <v>2023</v>
      </c>
      <c r="W1026" s="135">
        <f>+MATCH(PROVEEDORES[[#This Row],[año facturado]],Retenciones!$1:$1,0)</f>
        <v>6</v>
      </c>
      <c r="X1026" s="136">
        <f>+VLOOKUP(PROVEEDORES[[#This Row],[ID RETENCION]],Retenciones!$A$1:$O$25,PROVEEDORES[[#This Row],[indicador de columna]],FALSE)</f>
        <v>1145000</v>
      </c>
      <c r="Y1026" s="137">
        <f>+VLOOKUP(PROVEEDORES[[#This Row],[ID RETENCION]],Retenciones!$A$1:$O$25,2,FALSE)</f>
        <v>2.5000000000000001E-2</v>
      </c>
      <c r="Z1026" s="126" t="b">
        <f>+OR(COUNTIF(PROVEEDORES[[#This Row],[PROVEEDOR]],"*"&amp;'Palabra que no opera y Listas d'!$A$2&amp;"*"))</f>
        <v>0</v>
      </c>
    </row>
    <row r="1027" spans="1:26" ht="27.75" customHeight="1" x14ac:dyDescent="0.25">
      <c r="A1027" s="141" t="str">
        <f>+IF(PROVEEDORES[[#This Row],[FECHA DE PAGO]]=PROVEEDORES[[#This Row],[FECHA DE FACTURACIÓN]],"DE CONTADO","CRÉDITO")</f>
        <v>DE CONTADO</v>
      </c>
      <c r="B1027" s="138" t="b">
        <f>+IF((PROVEEDORES[[#This Row],[FECHA DE PAGO]]-PROVEEDORES[[#This Row],[FECHA DE FACTURACIÓN]])&gt;PROVEEDORES[[#This Row],[PLAZO Días]],"PAGO VENCIDO")</f>
        <v>0</v>
      </c>
      <c r="C1027" s="138">
        <f>+VLOOKUP(PROVEEDORES[[#This Row],[PROVEEDOR]],TERCEROS_INFO[#All],2,FALSE)</f>
        <v>30</v>
      </c>
      <c r="D1027" s="139">
        <f>+SUMIFS(PROVEEDORES[Total],PROVEEDORES[PROVEEDOR],PROVEEDORES[[#This Row],[PROVEEDOR]],PROVEEDORES[FECHA DE PAGO],"")</f>
        <v>352000</v>
      </c>
      <c r="E1027" s="140"/>
      <c r="F1027" s="138" t="str">
        <f>+VLOOKUP(PROVEEDORES[[#This Row],[PROVEEDOR]],
                       Terceros!$A:$F,
                       5,
                       FALSE)</f>
        <v/>
      </c>
      <c r="G1027" s="127">
        <v>45272</v>
      </c>
      <c r="H1027" s="123" t="s">
        <v>527</v>
      </c>
      <c r="I1027" s="127">
        <v>45272</v>
      </c>
      <c r="J1027" s="124" t="s">
        <v>1376</v>
      </c>
      <c r="K1027" s="124" t="s">
        <v>1530</v>
      </c>
      <c r="L1027" s="124"/>
      <c r="M1027" s="125">
        <v>195000</v>
      </c>
      <c r="N1027" s="148">
        <v>0</v>
      </c>
      <c r="O1027" s="148">
        <v>0</v>
      </c>
      <c r="P1027" s="149">
        <v>0</v>
      </c>
      <c r="Q1027" s="148">
        <v>0</v>
      </c>
      <c r="R1027" s="150">
        <v>195000</v>
      </c>
      <c r="S10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7" s="135">
        <f ca="1">+IF(PROVEEDORES[[#This Row],[FECHA DE PAGO]]=0,TODAY()-PROVEEDORES[[#This Row],[FECHA DE FACTURACIÓN]]-PROVEEDORES[[#This Row],[PLAZO Días]],0)</f>
        <v>0</v>
      </c>
      <c r="U1027" s="135">
        <f>+VLOOKUP(PROVEEDORES[[#This Row],[PROVEEDOR]],Terceros!$A:$D,4,FALSE)</f>
        <v>0</v>
      </c>
      <c r="V1027" s="135">
        <f>+YEAR(PROVEEDORES[[#This Row],[FECHA DE FACTURACIÓN]])</f>
        <v>2023</v>
      </c>
      <c r="W1027" s="135">
        <f>+MATCH(PROVEEDORES[[#This Row],[año facturado]],Retenciones!$1:$1,0)</f>
        <v>6</v>
      </c>
      <c r="X1027" s="136">
        <f>+VLOOKUP(PROVEEDORES[[#This Row],[ID RETENCION]],Retenciones!$A$1:$O$25,PROVEEDORES[[#This Row],[indicador de columna]],FALSE)</f>
        <v>0</v>
      </c>
      <c r="Y1027" s="137">
        <f>+VLOOKUP(PROVEEDORES[[#This Row],[ID RETENCION]],Retenciones!$A$1:$O$25,2,FALSE)</f>
        <v>0</v>
      </c>
      <c r="Z1027" s="126" t="b">
        <f>+OR(COUNTIF(PROVEEDORES[[#This Row],[PROVEEDOR]],"*"&amp;'Palabra que no opera y Listas d'!$A$2&amp;"*"))</f>
        <v>0</v>
      </c>
    </row>
    <row r="1028" spans="1:26" ht="27.75" customHeight="1" x14ac:dyDescent="0.25">
      <c r="A1028" s="141" t="str">
        <f>+IF(PROVEEDORES[[#This Row],[FECHA DE PAGO]]=PROVEEDORES[[#This Row],[FECHA DE FACTURACIÓN]],"DE CONTADO","CRÉDITO")</f>
        <v>DE CONTADO</v>
      </c>
      <c r="B1028" s="138" t="b">
        <f>+IF((PROVEEDORES[[#This Row],[FECHA DE PAGO]]-PROVEEDORES[[#This Row],[FECHA DE FACTURACIÓN]])&gt;PROVEEDORES[[#This Row],[PLAZO Días]],"PAGO VENCIDO")</f>
        <v>0</v>
      </c>
      <c r="C1028" s="138">
        <f>+VLOOKUP(PROVEEDORES[[#This Row],[PROVEEDOR]],TERCEROS_INFO[#All],2,FALSE)</f>
        <v>30</v>
      </c>
      <c r="D1028" s="139">
        <f>+SUMIFS(PROVEEDORES[Total],PROVEEDORES[PROVEEDOR],PROVEEDORES[[#This Row],[PROVEEDOR]],PROVEEDORES[FECHA DE PAGO],"")</f>
        <v>0</v>
      </c>
      <c r="E1028" s="140"/>
      <c r="F1028" s="138">
        <f>+VLOOKUP(PROVEEDORES[[#This Row],[PROVEEDOR]],
                       Terceros!$A:$F,
                       5,
                       FALSE)</f>
        <v>0</v>
      </c>
      <c r="G1028" s="127">
        <v>45272</v>
      </c>
      <c r="H1028" s="123" t="s">
        <v>547</v>
      </c>
      <c r="I1028" s="127">
        <v>45272</v>
      </c>
      <c r="J1028" s="124" t="s">
        <v>1344</v>
      </c>
      <c r="K1028" s="124" t="s">
        <v>1530</v>
      </c>
      <c r="L1028" s="124"/>
      <c r="M1028" s="125">
        <v>275000</v>
      </c>
      <c r="N1028" s="148">
        <v>52250</v>
      </c>
      <c r="O1028" s="148">
        <v>0</v>
      </c>
      <c r="P1028" s="149">
        <v>0</v>
      </c>
      <c r="Q1028" s="148">
        <v>0</v>
      </c>
      <c r="R1028" s="150">
        <v>327250</v>
      </c>
      <c r="S10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8" s="135">
        <f ca="1">+IF(PROVEEDORES[[#This Row],[FECHA DE PAGO]]=0,TODAY()-PROVEEDORES[[#This Row],[FECHA DE FACTURACIÓN]]-PROVEEDORES[[#This Row],[PLAZO Días]],0)</f>
        <v>0</v>
      </c>
      <c r="U1028" s="135" t="str">
        <f>+VLOOKUP(PROVEEDORES[[#This Row],[PROVEEDOR]],Terceros!$A:$D,4,FALSE)</f>
        <v>2,5% con base</v>
      </c>
      <c r="V1028" s="135">
        <f>+YEAR(PROVEEDORES[[#This Row],[FECHA DE FACTURACIÓN]])</f>
        <v>2023</v>
      </c>
      <c r="W1028" s="135">
        <f>+MATCH(PROVEEDORES[[#This Row],[año facturado]],Retenciones!$1:$1,0)</f>
        <v>6</v>
      </c>
      <c r="X1028" s="136">
        <f>+VLOOKUP(PROVEEDORES[[#This Row],[ID RETENCION]],Retenciones!$A$1:$O$25,PROVEEDORES[[#This Row],[indicador de columna]],FALSE)</f>
        <v>1145000</v>
      </c>
      <c r="Y1028" s="137">
        <f>+VLOOKUP(PROVEEDORES[[#This Row],[ID RETENCION]],Retenciones!$A$1:$O$25,2,FALSE)</f>
        <v>2.5000000000000001E-2</v>
      </c>
      <c r="Z1028" s="126" t="b">
        <f>+OR(COUNTIF(PROVEEDORES[[#This Row],[PROVEEDOR]],"*"&amp;'Palabra que no opera y Listas d'!$A$2&amp;"*"))</f>
        <v>0</v>
      </c>
    </row>
    <row r="1029" spans="1:26" ht="27.75" customHeight="1" x14ac:dyDescent="0.25">
      <c r="A1029" s="141" t="str">
        <f>+IF(PROVEEDORES[[#This Row],[FECHA DE PAGO]]=PROVEEDORES[[#This Row],[FECHA DE FACTURACIÓN]],"DE CONTADO","CRÉDITO")</f>
        <v>CRÉDITO</v>
      </c>
      <c r="B1029" s="138" t="str">
        <f>+IF((PROVEEDORES[[#This Row],[FECHA DE PAGO]]-PROVEEDORES[[#This Row],[FECHA DE FACTURACIÓN]])&gt;PROVEEDORES[[#This Row],[PLAZO Días]],"PAGO VENCIDO")</f>
        <v>PAGO VENCIDO</v>
      </c>
      <c r="C1029" s="138">
        <f>+VLOOKUP(PROVEEDORES[[#This Row],[PROVEEDOR]],TERCEROS_INFO[#All],2,FALSE)</f>
        <v>30</v>
      </c>
      <c r="D1029" s="139">
        <f>+SUMIFS(PROVEEDORES[Total],PROVEEDORES[PROVEEDOR],PROVEEDORES[[#This Row],[PROVEEDOR]],PROVEEDORES[FECHA DE PAGO],"")</f>
        <v>352000</v>
      </c>
      <c r="E1029" s="140"/>
      <c r="F1029" s="138" t="str">
        <f>+VLOOKUP(PROVEEDORES[[#This Row],[PROVEEDOR]],
                       Terceros!$A:$F,
                       5,
                       FALSE)</f>
        <v/>
      </c>
      <c r="G1029" s="127">
        <v>45273</v>
      </c>
      <c r="H1029" s="123" t="s">
        <v>527</v>
      </c>
      <c r="I1029" s="127">
        <v>45194</v>
      </c>
      <c r="J1029" s="124">
        <v>70</v>
      </c>
      <c r="K1029" s="124" t="s">
        <v>1530</v>
      </c>
      <c r="L1029" s="124"/>
      <c r="M1029" s="125">
        <v>65000</v>
      </c>
      <c r="N1029" s="148">
        <v>0</v>
      </c>
      <c r="O1029" s="148">
        <v>0</v>
      </c>
      <c r="P1029" s="149">
        <v>0</v>
      </c>
      <c r="Q1029" s="148">
        <v>0</v>
      </c>
      <c r="R1029" s="150">
        <v>65000</v>
      </c>
      <c r="S10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29" s="135">
        <f ca="1">+IF(PROVEEDORES[[#This Row],[FECHA DE PAGO]]=0,TODAY()-PROVEEDORES[[#This Row],[FECHA DE FACTURACIÓN]]-PROVEEDORES[[#This Row],[PLAZO Días]],0)</f>
        <v>0</v>
      </c>
      <c r="U1029" s="135">
        <f>+VLOOKUP(PROVEEDORES[[#This Row],[PROVEEDOR]],Terceros!$A:$D,4,FALSE)</f>
        <v>0</v>
      </c>
      <c r="V1029" s="135">
        <f>+YEAR(PROVEEDORES[[#This Row],[FECHA DE FACTURACIÓN]])</f>
        <v>2023</v>
      </c>
      <c r="W1029" s="135">
        <f>+MATCH(PROVEEDORES[[#This Row],[año facturado]],Retenciones!$1:$1,0)</f>
        <v>6</v>
      </c>
      <c r="X1029" s="136">
        <f>+VLOOKUP(PROVEEDORES[[#This Row],[ID RETENCION]],Retenciones!$A$1:$O$25,PROVEEDORES[[#This Row],[indicador de columna]],FALSE)</f>
        <v>0</v>
      </c>
      <c r="Y1029" s="137">
        <f>+VLOOKUP(PROVEEDORES[[#This Row],[ID RETENCION]],Retenciones!$A$1:$O$25,2,FALSE)</f>
        <v>0</v>
      </c>
      <c r="Z1029" s="126" t="b">
        <f>+OR(COUNTIF(PROVEEDORES[[#This Row],[PROVEEDOR]],"*"&amp;'Palabra que no opera y Listas d'!$A$2&amp;"*"))</f>
        <v>0</v>
      </c>
    </row>
    <row r="1030" spans="1:26" ht="27.75" customHeight="1" x14ac:dyDescent="0.25">
      <c r="A1030" s="141" t="str">
        <f>+IF(PROVEEDORES[[#This Row],[FECHA DE PAGO]]=PROVEEDORES[[#This Row],[FECHA DE FACTURACIÓN]],"DE CONTADO","CRÉDITO")</f>
        <v>CRÉDITO</v>
      </c>
      <c r="B1030" s="138" t="str">
        <f>+IF((PROVEEDORES[[#This Row],[FECHA DE PAGO]]-PROVEEDORES[[#This Row],[FECHA DE FACTURACIÓN]])&gt;PROVEEDORES[[#This Row],[PLAZO Días]],"PAGO VENCIDO")</f>
        <v>PAGO VENCIDO</v>
      </c>
      <c r="C1030" s="138">
        <f>+VLOOKUP(PROVEEDORES[[#This Row],[PROVEEDOR]],TERCEROS_INFO[#All],2,FALSE)</f>
        <v>30</v>
      </c>
      <c r="D1030" s="139">
        <f>+SUMIFS(PROVEEDORES[Total],PROVEEDORES[PROVEEDOR],PROVEEDORES[[#This Row],[PROVEEDOR]],PROVEEDORES[FECHA DE PAGO],"")</f>
        <v>352000</v>
      </c>
      <c r="E1030" s="140"/>
      <c r="F1030" s="138" t="str">
        <f>+VLOOKUP(PROVEEDORES[[#This Row],[PROVEEDOR]],
                       Terceros!$A:$F,
                       5,
                       FALSE)</f>
        <v/>
      </c>
      <c r="G1030" s="127">
        <v>45273</v>
      </c>
      <c r="H1030" s="123" t="s">
        <v>527</v>
      </c>
      <c r="I1030" s="127">
        <v>45231</v>
      </c>
      <c r="J1030" s="124">
        <v>69</v>
      </c>
      <c r="K1030" s="124" t="s">
        <v>1530</v>
      </c>
      <c r="L1030" s="124"/>
      <c r="M1030" s="125">
        <v>78000</v>
      </c>
      <c r="N1030" s="148">
        <v>0</v>
      </c>
      <c r="O1030" s="148">
        <v>0</v>
      </c>
      <c r="P1030" s="149">
        <v>0</v>
      </c>
      <c r="Q1030" s="148">
        <v>0</v>
      </c>
      <c r="R1030" s="150">
        <v>78000</v>
      </c>
      <c r="S10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0" s="135">
        <f ca="1">+IF(PROVEEDORES[[#This Row],[FECHA DE PAGO]]=0,TODAY()-PROVEEDORES[[#This Row],[FECHA DE FACTURACIÓN]]-PROVEEDORES[[#This Row],[PLAZO Días]],0)</f>
        <v>0</v>
      </c>
      <c r="U1030" s="135">
        <f>+VLOOKUP(PROVEEDORES[[#This Row],[PROVEEDOR]],Terceros!$A:$D,4,FALSE)</f>
        <v>0</v>
      </c>
      <c r="V1030" s="135">
        <f>+YEAR(PROVEEDORES[[#This Row],[FECHA DE FACTURACIÓN]])</f>
        <v>2023</v>
      </c>
      <c r="W1030" s="135">
        <f>+MATCH(PROVEEDORES[[#This Row],[año facturado]],Retenciones!$1:$1,0)</f>
        <v>6</v>
      </c>
      <c r="X1030" s="136">
        <f>+VLOOKUP(PROVEEDORES[[#This Row],[ID RETENCION]],Retenciones!$A$1:$O$25,PROVEEDORES[[#This Row],[indicador de columna]],FALSE)</f>
        <v>0</v>
      </c>
      <c r="Y1030" s="137">
        <f>+VLOOKUP(PROVEEDORES[[#This Row],[ID RETENCION]],Retenciones!$A$1:$O$25,2,FALSE)</f>
        <v>0</v>
      </c>
      <c r="Z1030" s="126" t="b">
        <f>+OR(COUNTIF(PROVEEDORES[[#This Row],[PROVEEDOR]],"*"&amp;'Palabra que no opera y Listas d'!$A$2&amp;"*"))</f>
        <v>0</v>
      </c>
    </row>
    <row r="1031" spans="1:26" ht="27.75" customHeight="1" x14ac:dyDescent="0.25">
      <c r="A1031" s="141" t="str">
        <f>+IF(PROVEEDORES[[#This Row],[FECHA DE PAGO]]=PROVEEDORES[[#This Row],[FECHA DE FACTURACIÓN]],"DE CONTADO","CRÉDITO")</f>
        <v>CRÉDITO</v>
      </c>
      <c r="B1031" s="138" t="str">
        <f>+IF((PROVEEDORES[[#This Row],[FECHA DE PAGO]]-PROVEEDORES[[#This Row],[FECHA DE FACTURACIÓN]])&gt;PROVEEDORES[[#This Row],[PLAZO Días]],"PAGO VENCIDO")</f>
        <v>PAGO VENCIDO</v>
      </c>
      <c r="C1031" s="138">
        <f>+VLOOKUP(PROVEEDORES[[#This Row],[PROVEEDOR]],TERCEROS_INFO[#All],2,FALSE)</f>
        <v>30</v>
      </c>
      <c r="D1031" s="139">
        <f>+SUMIFS(PROVEEDORES[Total],PROVEEDORES[PROVEEDOR],PROVEEDORES[[#This Row],[PROVEEDOR]],PROVEEDORES[FECHA DE PAGO],"")</f>
        <v>3130000</v>
      </c>
      <c r="E1031" s="140"/>
      <c r="F1031" s="138">
        <f>+VLOOKUP(PROVEEDORES[[#This Row],[PROVEEDOR]],
                       Terceros!$A:$F,
                       5,
                       FALSE)</f>
        <v>0</v>
      </c>
      <c r="G1031" s="127">
        <v>45273</v>
      </c>
      <c r="H1031" s="123" t="s">
        <v>472</v>
      </c>
      <c r="I1031" s="127">
        <v>45240</v>
      </c>
      <c r="J1031" s="124" t="s">
        <v>1211</v>
      </c>
      <c r="K1031" s="124" t="s">
        <v>1530</v>
      </c>
      <c r="L1031" s="124"/>
      <c r="M1031" s="125">
        <v>1991500</v>
      </c>
      <c r="N1031" s="148">
        <v>0</v>
      </c>
      <c r="O1031" s="148">
        <v>0</v>
      </c>
      <c r="P1031" s="149">
        <v>0</v>
      </c>
      <c r="Q1031" s="148">
        <v>0</v>
      </c>
      <c r="R1031" s="150">
        <v>1991500</v>
      </c>
      <c r="S10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1" s="135">
        <f ca="1">+IF(PROVEEDORES[[#This Row],[FECHA DE PAGO]]=0,TODAY()-PROVEEDORES[[#This Row],[FECHA DE FACTURACIÓN]]-PROVEEDORES[[#This Row],[PLAZO Días]],0)</f>
        <v>0</v>
      </c>
      <c r="U1031" s="135">
        <f>+VLOOKUP(PROVEEDORES[[#This Row],[PROVEEDOR]],Terceros!$A:$D,4,FALSE)</f>
        <v>0</v>
      </c>
      <c r="V1031" s="135">
        <f>+YEAR(PROVEEDORES[[#This Row],[FECHA DE FACTURACIÓN]])</f>
        <v>2023</v>
      </c>
      <c r="W1031" s="135">
        <f>+MATCH(PROVEEDORES[[#This Row],[año facturado]],Retenciones!$1:$1,0)</f>
        <v>6</v>
      </c>
      <c r="X1031" s="136">
        <f>+VLOOKUP(PROVEEDORES[[#This Row],[ID RETENCION]],Retenciones!$A$1:$O$25,PROVEEDORES[[#This Row],[indicador de columna]],FALSE)</f>
        <v>0</v>
      </c>
      <c r="Y1031" s="137">
        <f>+VLOOKUP(PROVEEDORES[[#This Row],[ID RETENCION]],Retenciones!$A$1:$O$25,2,FALSE)</f>
        <v>0</v>
      </c>
      <c r="Z1031" s="126" t="b">
        <f>+OR(COUNTIF(PROVEEDORES[[#This Row],[PROVEEDOR]],"*"&amp;'Palabra que no opera y Listas d'!$A$2&amp;"*"))</f>
        <v>0</v>
      </c>
    </row>
    <row r="1032" spans="1:26" ht="27.75" customHeight="1" x14ac:dyDescent="0.25">
      <c r="A1032" s="141" t="str">
        <f>+IF(PROVEEDORES[[#This Row],[FECHA DE PAGO]]=PROVEEDORES[[#This Row],[FECHA DE FACTURACIÓN]],"DE CONTADO","CRÉDITO")</f>
        <v>CRÉDITO</v>
      </c>
      <c r="B1032" s="138" t="b">
        <f>+IF((PROVEEDORES[[#This Row],[FECHA DE PAGO]]-PROVEEDORES[[#This Row],[FECHA DE FACTURACIÓN]])&gt;PROVEEDORES[[#This Row],[PLAZO Días]],"PAGO VENCIDO")</f>
        <v>0</v>
      </c>
      <c r="C1032" s="138">
        <f>+VLOOKUP(PROVEEDORES[[#This Row],[PROVEEDOR]],TERCEROS_INFO[#All],2,FALSE)</f>
        <v>30</v>
      </c>
      <c r="D1032" s="139">
        <f>+SUMIFS(PROVEEDORES[Total],PROVEEDORES[PROVEEDOR],PROVEEDORES[[#This Row],[PROVEEDOR]],PROVEEDORES[FECHA DE PAGO],"")</f>
        <v>3130000</v>
      </c>
      <c r="E1032" s="140"/>
      <c r="F1032" s="138">
        <f>+VLOOKUP(PROVEEDORES[[#This Row],[PROVEEDOR]],
                       Terceros!$A:$F,
                       5,
                       FALSE)</f>
        <v>0</v>
      </c>
      <c r="G1032" s="127">
        <v>45273</v>
      </c>
      <c r="H1032" s="123" t="s">
        <v>472</v>
      </c>
      <c r="I1032" s="127">
        <v>45252</v>
      </c>
      <c r="J1032" s="124" t="s">
        <v>1272</v>
      </c>
      <c r="K1032" s="124" t="s">
        <v>1530</v>
      </c>
      <c r="L1032" s="124"/>
      <c r="M1032" s="125">
        <v>2250000</v>
      </c>
      <c r="N1032" s="148">
        <v>0</v>
      </c>
      <c r="O1032" s="148">
        <v>0</v>
      </c>
      <c r="P1032" s="149">
        <v>0</v>
      </c>
      <c r="Q1032" s="148">
        <v>0</v>
      </c>
      <c r="R1032" s="150">
        <v>2250000</v>
      </c>
      <c r="S10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2" s="135">
        <f ca="1">+IF(PROVEEDORES[[#This Row],[FECHA DE PAGO]]=0,TODAY()-PROVEEDORES[[#This Row],[FECHA DE FACTURACIÓN]]-PROVEEDORES[[#This Row],[PLAZO Días]],0)</f>
        <v>0</v>
      </c>
      <c r="U1032" s="135">
        <f>+VLOOKUP(PROVEEDORES[[#This Row],[PROVEEDOR]],Terceros!$A:$D,4,FALSE)</f>
        <v>0</v>
      </c>
      <c r="V1032" s="135">
        <f>+YEAR(PROVEEDORES[[#This Row],[FECHA DE FACTURACIÓN]])</f>
        <v>2023</v>
      </c>
      <c r="W1032" s="135">
        <f>+MATCH(PROVEEDORES[[#This Row],[año facturado]],Retenciones!$1:$1,0)</f>
        <v>6</v>
      </c>
      <c r="X1032" s="136">
        <f>+VLOOKUP(PROVEEDORES[[#This Row],[ID RETENCION]],Retenciones!$A$1:$O$25,PROVEEDORES[[#This Row],[indicador de columna]],FALSE)</f>
        <v>0</v>
      </c>
      <c r="Y1032" s="137">
        <f>+VLOOKUP(PROVEEDORES[[#This Row],[ID RETENCION]],Retenciones!$A$1:$O$25,2,FALSE)</f>
        <v>0</v>
      </c>
      <c r="Z1032" s="126" t="b">
        <f>+OR(COUNTIF(PROVEEDORES[[#This Row],[PROVEEDOR]],"*"&amp;'Palabra que no opera y Listas d'!$A$2&amp;"*"))</f>
        <v>0</v>
      </c>
    </row>
    <row r="1033" spans="1:26" ht="27.75" customHeight="1" x14ac:dyDescent="0.25">
      <c r="A1033" s="141" t="str">
        <f>+IF(PROVEEDORES[[#This Row],[FECHA DE PAGO]]=PROVEEDORES[[#This Row],[FECHA DE FACTURACIÓN]],"DE CONTADO","CRÉDITO")</f>
        <v>CRÉDITO</v>
      </c>
      <c r="B1033" s="138" t="b">
        <f>+IF((PROVEEDORES[[#This Row],[FECHA DE PAGO]]-PROVEEDORES[[#This Row],[FECHA DE FACTURACIÓN]])&gt;PROVEEDORES[[#This Row],[PLAZO Días]],"PAGO VENCIDO")</f>
        <v>0</v>
      </c>
      <c r="C1033" s="138">
        <f>+VLOOKUP(PROVEEDORES[[#This Row],[PROVEEDOR]],TERCEROS_INFO[#All],2,FALSE)</f>
        <v>30</v>
      </c>
      <c r="D1033" s="139">
        <f>+SUMIFS(PROVEEDORES[Total],PROVEEDORES[PROVEEDOR],PROVEEDORES[[#This Row],[PROVEEDOR]],PROVEEDORES[FECHA DE PAGO],"")</f>
        <v>0</v>
      </c>
      <c r="E1033" s="140"/>
      <c r="F1033" s="138" t="str">
        <f>+VLOOKUP(PROVEEDORES[[#This Row],[PROVEEDOR]],
                       Terceros!$A:$F,
                       5,
                       FALSE)</f>
        <v/>
      </c>
      <c r="G1033" s="127">
        <v>45273</v>
      </c>
      <c r="H1033" s="123" t="s">
        <v>525</v>
      </c>
      <c r="I1033" s="127">
        <v>45258</v>
      </c>
      <c r="J1033" s="124" t="s">
        <v>1243</v>
      </c>
      <c r="K1033" s="124" t="s">
        <v>1530</v>
      </c>
      <c r="L1033" s="124"/>
      <c r="M1033" s="125">
        <v>821850</v>
      </c>
      <c r="N1033" s="148">
        <v>0</v>
      </c>
      <c r="O1033" s="148">
        <v>0</v>
      </c>
      <c r="P1033" s="149">
        <v>0</v>
      </c>
      <c r="Q1033" s="148">
        <v>0</v>
      </c>
      <c r="R1033" s="150">
        <v>821850</v>
      </c>
      <c r="S10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3" s="135">
        <f ca="1">+IF(PROVEEDORES[[#This Row],[FECHA DE PAGO]]=0,TODAY()-PROVEEDORES[[#This Row],[FECHA DE FACTURACIÓN]]-PROVEEDORES[[#This Row],[PLAZO Días]],0)</f>
        <v>0</v>
      </c>
      <c r="U1033" s="135">
        <f>+VLOOKUP(PROVEEDORES[[#This Row],[PROVEEDOR]],Terceros!$A:$D,4,FALSE)</f>
        <v>0</v>
      </c>
      <c r="V1033" s="135">
        <f>+YEAR(PROVEEDORES[[#This Row],[FECHA DE FACTURACIÓN]])</f>
        <v>2023</v>
      </c>
      <c r="W1033" s="135">
        <f>+MATCH(PROVEEDORES[[#This Row],[año facturado]],Retenciones!$1:$1,0)</f>
        <v>6</v>
      </c>
      <c r="X1033" s="136">
        <f>+VLOOKUP(PROVEEDORES[[#This Row],[ID RETENCION]],Retenciones!$A$1:$O$25,PROVEEDORES[[#This Row],[indicador de columna]],FALSE)</f>
        <v>0</v>
      </c>
      <c r="Y1033" s="137">
        <f>+VLOOKUP(PROVEEDORES[[#This Row],[ID RETENCION]],Retenciones!$A$1:$O$25,2,FALSE)</f>
        <v>0</v>
      </c>
      <c r="Z1033" s="126" t="b">
        <f>+OR(COUNTIF(PROVEEDORES[[#This Row],[PROVEEDOR]],"*"&amp;'Palabra que no opera y Listas d'!$A$2&amp;"*"))</f>
        <v>0</v>
      </c>
    </row>
    <row r="1034" spans="1:26" ht="27.75" customHeight="1" x14ac:dyDescent="0.25">
      <c r="A1034" s="141" t="str">
        <f>+IF(PROVEEDORES[[#This Row],[FECHA DE PAGO]]=PROVEEDORES[[#This Row],[FECHA DE FACTURACIÓN]],"DE CONTADO","CRÉDITO")</f>
        <v>CRÉDITO</v>
      </c>
      <c r="B1034" s="138" t="b">
        <f>+IF((PROVEEDORES[[#This Row],[FECHA DE PAGO]]-PROVEEDORES[[#This Row],[FECHA DE FACTURACIÓN]])&gt;PROVEEDORES[[#This Row],[PLAZO Días]],"PAGO VENCIDO")</f>
        <v>0</v>
      </c>
      <c r="C1034" s="138">
        <f>+VLOOKUP(PROVEEDORES[[#This Row],[PROVEEDOR]],TERCEROS_INFO[#All],2,FALSE)</f>
        <v>30</v>
      </c>
      <c r="D1034" s="139">
        <f>+SUMIFS(PROVEEDORES[Total],PROVEEDORES[PROVEEDOR],PROVEEDORES[[#This Row],[PROVEEDOR]],PROVEEDORES[FECHA DE PAGO],"")</f>
        <v>0</v>
      </c>
      <c r="E1034" s="140"/>
      <c r="F1034" s="138" t="str">
        <f>+VLOOKUP(PROVEEDORES[[#This Row],[PROVEEDOR]],
                       Terceros!$A:$F,
                       5,
                       FALSE)</f>
        <v>contabilidad@comsistel.com.co;girlesa.ruiz@servipilas.com;joriescobar64@gmail.com</v>
      </c>
      <c r="G1034" s="127">
        <v>45273</v>
      </c>
      <c r="H1034" s="123" t="s">
        <v>207</v>
      </c>
      <c r="I1034" s="127">
        <v>45272</v>
      </c>
      <c r="J1034" s="124" t="s">
        <v>1320</v>
      </c>
      <c r="K1034" s="124" t="s">
        <v>504</v>
      </c>
      <c r="L1034" s="124"/>
      <c r="M1034" s="125">
        <v>1900000</v>
      </c>
      <c r="N1034" s="148">
        <v>361000</v>
      </c>
      <c r="O1034" s="148">
        <v>0</v>
      </c>
      <c r="P1034" s="149">
        <v>2.5000000000000001E-2</v>
      </c>
      <c r="Q1034" s="148">
        <v>47500</v>
      </c>
      <c r="R1034" s="150">
        <v>2213500</v>
      </c>
      <c r="S10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4" s="135">
        <f ca="1">+IF(PROVEEDORES[[#This Row],[FECHA DE PAGO]]=0,TODAY()-PROVEEDORES[[#This Row],[FECHA DE FACTURACIÓN]]-PROVEEDORES[[#This Row],[PLAZO Días]],0)</f>
        <v>0</v>
      </c>
      <c r="U1034" s="135" t="str">
        <f>+VLOOKUP(PROVEEDORES[[#This Row],[PROVEEDOR]],Terceros!$A:$D,4,FALSE)</f>
        <v>2,5% con base</v>
      </c>
      <c r="V1034" s="135">
        <f>+YEAR(PROVEEDORES[[#This Row],[FECHA DE FACTURACIÓN]])</f>
        <v>2023</v>
      </c>
      <c r="W1034" s="135">
        <f>+MATCH(PROVEEDORES[[#This Row],[año facturado]],Retenciones!$1:$1,0)</f>
        <v>6</v>
      </c>
      <c r="X1034" s="136">
        <f>+VLOOKUP(PROVEEDORES[[#This Row],[ID RETENCION]],Retenciones!$A$1:$O$25,PROVEEDORES[[#This Row],[indicador de columna]],FALSE)</f>
        <v>1145000</v>
      </c>
      <c r="Y1034" s="137">
        <f>+VLOOKUP(PROVEEDORES[[#This Row],[ID RETENCION]],Retenciones!$A$1:$O$25,2,FALSE)</f>
        <v>2.5000000000000001E-2</v>
      </c>
      <c r="Z1034" s="126" t="b">
        <f>+OR(COUNTIF(PROVEEDORES[[#This Row],[PROVEEDOR]],"*"&amp;'Palabra que no opera y Listas d'!$A$2&amp;"*"))</f>
        <v>0</v>
      </c>
    </row>
    <row r="1035" spans="1:26" ht="27.75" customHeight="1" x14ac:dyDescent="0.25">
      <c r="A1035" s="141" t="str">
        <f>+IF(PROVEEDORES[[#This Row],[FECHA DE PAGO]]=PROVEEDORES[[#This Row],[FECHA DE FACTURACIÓN]],"DE CONTADO","CRÉDITO")</f>
        <v>DE CONTADO</v>
      </c>
      <c r="B1035" s="138" t="b">
        <f>+IF((PROVEEDORES[[#This Row],[FECHA DE PAGO]]-PROVEEDORES[[#This Row],[FECHA DE FACTURACIÓN]])&gt;PROVEEDORES[[#This Row],[PLAZO Días]],"PAGO VENCIDO")</f>
        <v>0</v>
      </c>
      <c r="C1035" s="138">
        <f>+VLOOKUP(PROVEEDORES[[#This Row],[PROVEEDOR]],TERCEROS_INFO[#All],2,FALSE)</f>
        <v>0</v>
      </c>
      <c r="D1035" s="139">
        <f>+SUMIFS(PROVEEDORES[Total],PROVEEDORES[PROVEEDOR],PROVEEDORES[[#This Row],[PROVEEDOR]],PROVEEDORES[FECHA DE PAGO],"")</f>
        <v>0</v>
      </c>
      <c r="E1035" s="140"/>
      <c r="F1035" s="138" t="str">
        <f>+VLOOKUP(PROVEEDORES[[#This Row],[PROVEEDOR]],
                       Terceros!$A:$F,
                       5,
                       FALSE)</f>
        <v>liauribe@une.net.co;girlesa.ruiz@servipilas.com;joriescobar64@gmail.com</v>
      </c>
      <c r="G1035" s="127">
        <v>45273</v>
      </c>
      <c r="H1035" s="123" t="s">
        <v>459</v>
      </c>
      <c r="I1035" s="127">
        <v>45273</v>
      </c>
      <c r="J1035" s="124" t="s">
        <v>462</v>
      </c>
      <c r="K1035" s="124" t="s">
        <v>1530</v>
      </c>
      <c r="L1035" s="124"/>
      <c r="M1035" s="125">
        <v>1500000</v>
      </c>
      <c r="N1035" s="148">
        <v>0</v>
      </c>
      <c r="O1035" s="148">
        <v>0</v>
      </c>
      <c r="P1035" s="149">
        <v>0</v>
      </c>
      <c r="Q1035" s="148">
        <v>0</v>
      </c>
      <c r="R1035" s="150">
        <v>1500000</v>
      </c>
      <c r="S10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5" s="135">
        <f ca="1">+IF(PROVEEDORES[[#This Row],[FECHA DE PAGO]]=0,TODAY()-PROVEEDORES[[#This Row],[FECHA DE FACTURACIÓN]]-PROVEEDORES[[#This Row],[PLAZO Días]],0)</f>
        <v>0</v>
      </c>
      <c r="U1035" s="135">
        <f>+VLOOKUP(PROVEEDORES[[#This Row],[PROVEEDOR]],Terceros!$A:$D,4,FALSE)</f>
        <v>0</v>
      </c>
      <c r="V1035" s="135">
        <f>+YEAR(PROVEEDORES[[#This Row],[FECHA DE FACTURACIÓN]])</f>
        <v>2023</v>
      </c>
      <c r="W1035" s="135">
        <f>+MATCH(PROVEEDORES[[#This Row],[año facturado]],Retenciones!$1:$1,0)</f>
        <v>6</v>
      </c>
      <c r="X1035" s="136">
        <f>+VLOOKUP(PROVEEDORES[[#This Row],[ID RETENCION]],Retenciones!$A$1:$O$25,PROVEEDORES[[#This Row],[indicador de columna]],FALSE)</f>
        <v>0</v>
      </c>
      <c r="Y1035" s="137">
        <f>+VLOOKUP(PROVEEDORES[[#This Row],[ID RETENCION]],Retenciones!$A$1:$O$25,2,FALSE)</f>
        <v>0</v>
      </c>
      <c r="Z1035" s="126" t="b">
        <f>+OR(COUNTIF(PROVEEDORES[[#This Row],[PROVEEDOR]],"*"&amp;'Palabra que no opera y Listas d'!$A$2&amp;"*"))</f>
        <v>1</v>
      </c>
    </row>
    <row r="1036" spans="1:26" ht="27.75" customHeight="1" x14ac:dyDescent="0.25">
      <c r="A1036" s="141" t="str">
        <f>+IF(PROVEEDORES[[#This Row],[FECHA DE PAGO]]=PROVEEDORES[[#This Row],[FECHA DE FACTURACIÓN]],"DE CONTADO","CRÉDITO")</f>
        <v>DE CONTADO</v>
      </c>
      <c r="B1036" s="138" t="b">
        <f>+IF((PROVEEDORES[[#This Row],[FECHA DE PAGO]]-PROVEEDORES[[#This Row],[FECHA DE FACTURACIÓN]])&gt;PROVEEDORES[[#This Row],[PLAZO Días]],"PAGO VENCIDO")</f>
        <v>0</v>
      </c>
      <c r="C1036" s="138">
        <f>+VLOOKUP(PROVEEDORES[[#This Row],[PROVEEDOR]],TERCEROS_INFO[#All],2,FALSE)</f>
        <v>30</v>
      </c>
      <c r="D1036" s="139">
        <f>+SUMIFS(PROVEEDORES[Total],PROVEEDORES[PROVEEDOR],PROVEEDORES[[#This Row],[PROVEEDOR]],PROVEEDORES[FECHA DE PAGO],"")</f>
        <v>1149500</v>
      </c>
      <c r="E1036" s="140"/>
      <c r="F1036" s="138" t="str">
        <f>+VLOOKUP(PROVEEDORES[[#This Row],[PROVEEDOR]],
                       Terceros!$A:$F,
                       5,
                       FALSE)</f>
        <v/>
      </c>
      <c r="G1036" s="127">
        <v>45273</v>
      </c>
      <c r="H1036" s="123" t="s">
        <v>1822</v>
      </c>
      <c r="I1036" s="127">
        <v>45273</v>
      </c>
      <c r="J1036" s="124">
        <v>1312</v>
      </c>
      <c r="K1036" s="124" t="s">
        <v>1530</v>
      </c>
      <c r="L1036" s="124"/>
      <c r="M1036" s="125">
        <v>1172300</v>
      </c>
      <c r="N1036" s="148">
        <v>0</v>
      </c>
      <c r="O1036" s="148">
        <v>0</v>
      </c>
      <c r="P1036" s="149">
        <v>0</v>
      </c>
      <c r="Q1036" s="148">
        <v>0</v>
      </c>
      <c r="R1036" s="150">
        <v>1172300</v>
      </c>
      <c r="S10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6" s="135">
        <f ca="1">+IF(PROVEEDORES[[#This Row],[FECHA DE PAGO]]=0,TODAY()-PROVEEDORES[[#This Row],[FECHA DE FACTURACIÓN]]-PROVEEDORES[[#This Row],[PLAZO Días]],0)</f>
        <v>0</v>
      </c>
      <c r="U1036" s="135">
        <f>+VLOOKUP(PROVEEDORES[[#This Row],[PROVEEDOR]],Terceros!$A:$D,4,FALSE)</f>
        <v>0</v>
      </c>
      <c r="V1036" s="135">
        <f>+YEAR(PROVEEDORES[[#This Row],[FECHA DE FACTURACIÓN]])</f>
        <v>2023</v>
      </c>
      <c r="W1036" s="135">
        <f>+MATCH(PROVEEDORES[[#This Row],[año facturado]],Retenciones!$1:$1,0)</f>
        <v>6</v>
      </c>
      <c r="X1036" s="136">
        <f>+VLOOKUP(PROVEEDORES[[#This Row],[ID RETENCION]],Retenciones!$A$1:$O$25,PROVEEDORES[[#This Row],[indicador de columna]],FALSE)</f>
        <v>0</v>
      </c>
      <c r="Y1036" s="137">
        <f>+VLOOKUP(PROVEEDORES[[#This Row],[ID RETENCION]],Retenciones!$A$1:$O$25,2,FALSE)</f>
        <v>0</v>
      </c>
      <c r="Z1036" s="126" t="b">
        <f>+OR(COUNTIF(PROVEEDORES[[#This Row],[PROVEEDOR]],"*"&amp;'Palabra que no opera y Listas d'!$A$2&amp;"*"))</f>
        <v>0</v>
      </c>
    </row>
    <row r="1037" spans="1:26" ht="27.75" customHeight="1" x14ac:dyDescent="0.25">
      <c r="A1037" s="141" t="str">
        <f>+IF(PROVEEDORES[[#This Row],[FECHA DE PAGO]]=PROVEEDORES[[#This Row],[FECHA DE FACTURACIÓN]],"DE CONTADO","CRÉDITO")</f>
        <v>CRÉDITO</v>
      </c>
      <c r="B1037" s="138" t="b">
        <f>+IF((PROVEEDORES[[#This Row],[FECHA DE PAGO]]-PROVEEDORES[[#This Row],[FECHA DE FACTURACIÓN]])&gt;PROVEEDORES[[#This Row],[PLAZO Días]],"PAGO VENCIDO")</f>
        <v>0</v>
      </c>
      <c r="C1037" s="138">
        <f>+VLOOKUP(PROVEEDORES[[#This Row],[PROVEEDOR]],TERCEROS_INFO[#All],2,FALSE)</f>
        <v>30</v>
      </c>
      <c r="D1037" s="139">
        <f>+SUMIFS(PROVEEDORES[Total],PROVEEDORES[PROVEEDOR],PROVEEDORES[[#This Row],[PROVEEDOR]],PROVEEDORES[FECHA DE PAGO],"")</f>
        <v>0</v>
      </c>
      <c r="E1037" s="140"/>
      <c r="F1037" s="138" t="str">
        <f>+VLOOKUP(PROVEEDORES[[#This Row],[PROVEEDOR]],
                       Terceros!$A:$F,
                       5,
                       FALSE)</f>
        <v/>
      </c>
      <c r="G1037" s="127">
        <v>45274</v>
      </c>
      <c r="H1037" s="123" t="s">
        <v>525</v>
      </c>
      <c r="I1037" s="127">
        <v>45253</v>
      </c>
      <c r="J1037" s="124" t="s">
        <v>1242</v>
      </c>
      <c r="K1037" s="124" t="s">
        <v>1530</v>
      </c>
      <c r="L1037" s="124"/>
      <c r="M1037" s="125">
        <v>22500</v>
      </c>
      <c r="N1037" s="148">
        <v>0</v>
      </c>
      <c r="O1037" s="148">
        <v>0</v>
      </c>
      <c r="P1037" s="149">
        <v>0</v>
      </c>
      <c r="Q1037" s="148">
        <v>0</v>
      </c>
      <c r="R1037" s="150">
        <v>22500</v>
      </c>
      <c r="S10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7" s="135">
        <f ca="1">+IF(PROVEEDORES[[#This Row],[FECHA DE PAGO]]=0,TODAY()-PROVEEDORES[[#This Row],[FECHA DE FACTURACIÓN]]-PROVEEDORES[[#This Row],[PLAZO Días]],0)</f>
        <v>0</v>
      </c>
      <c r="U1037" s="135">
        <f>+VLOOKUP(PROVEEDORES[[#This Row],[PROVEEDOR]],Terceros!$A:$D,4,FALSE)</f>
        <v>0</v>
      </c>
      <c r="V1037" s="135">
        <f>+YEAR(PROVEEDORES[[#This Row],[FECHA DE FACTURACIÓN]])</f>
        <v>2023</v>
      </c>
      <c r="W1037" s="135">
        <f>+MATCH(PROVEEDORES[[#This Row],[año facturado]],Retenciones!$1:$1,0)</f>
        <v>6</v>
      </c>
      <c r="X1037" s="136">
        <f>+VLOOKUP(PROVEEDORES[[#This Row],[ID RETENCION]],Retenciones!$A$1:$O$25,PROVEEDORES[[#This Row],[indicador de columna]],FALSE)</f>
        <v>0</v>
      </c>
      <c r="Y1037" s="137">
        <f>+VLOOKUP(PROVEEDORES[[#This Row],[ID RETENCION]],Retenciones!$A$1:$O$25,2,FALSE)</f>
        <v>0</v>
      </c>
      <c r="Z1037" s="126" t="b">
        <f>+OR(COUNTIF(PROVEEDORES[[#This Row],[PROVEEDOR]],"*"&amp;'Palabra que no opera y Listas d'!$A$2&amp;"*"))</f>
        <v>0</v>
      </c>
    </row>
    <row r="1038" spans="1:26" ht="27.75" customHeight="1" x14ac:dyDescent="0.25">
      <c r="A1038" s="141" t="str">
        <f>+IF(PROVEEDORES[[#This Row],[FECHA DE PAGO]]=PROVEEDORES[[#This Row],[FECHA DE FACTURACIÓN]],"DE CONTADO","CRÉDITO")</f>
        <v>DE CONTADO</v>
      </c>
      <c r="B1038" s="138" t="b">
        <f>+IF((PROVEEDORES[[#This Row],[FECHA DE PAGO]]-PROVEEDORES[[#This Row],[FECHA DE FACTURACIÓN]])&gt;PROVEEDORES[[#This Row],[PLAZO Días]],"PAGO VENCIDO")</f>
        <v>0</v>
      </c>
      <c r="C1038" s="138">
        <f>+VLOOKUP(PROVEEDORES[[#This Row],[PROVEEDOR]],TERCEROS_INFO[#All],2,FALSE)</f>
        <v>60</v>
      </c>
      <c r="D1038" s="139">
        <f>+SUMIFS(PROVEEDORES[Total],PROVEEDORES[PROVEEDOR],PROVEEDORES[[#This Row],[PROVEEDOR]],PROVEEDORES[FECHA DE PAGO],"")</f>
        <v>0</v>
      </c>
      <c r="E1038" s="140"/>
      <c r="F1038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1038" s="127">
        <v>45274</v>
      </c>
      <c r="H1038" s="123" t="s">
        <v>65</v>
      </c>
      <c r="I1038" s="127">
        <v>45274</v>
      </c>
      <c r="J1038" s="124" t="s">
        <v>1526</v>
      </c>
      <c r="K1038" s="124" t="s">
        <v>1530</v>
      </c>
      <c r="L1038" s="124"/>
      <c r="M1038" s="125">
        <v>-12000000</v>
      </c>
      <c r="N1038" s="148">
        <v>-2280000</v>
      </c>
      <c r="O1038" s="148">
        <v>0</v>
      </c>
      <c r="P1038" s="149">
        <v>0</v>
      </c>
      <c r="Q1038" s="148">
        <v>0</v>
      </c>
      <c r="R1038" s="150">
        <v>0</v>
      </c>
      <c r="S10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8" s="135">
        <f ca="1">+IF(PROVEEDORES[[#This Row],[FECHA DE PAGO]]=0,TODAY()-PROVEEDORES[[#This Row],[FECHA DE FACTURACIÓN]]-PROVEEDORES[[#This Row],[PLAZO Días]],0)</f>
        <v>0</v>
      </c>
      <c r="U1038" s="135" t="str">
        <f>+VLOOKUP(PROVEEDORES[[#This Row],[PROVEEDOR]],Terceros!$A:$D,4,FALSE)</f>
        <v>2,5% con base</v>
      </c>
      <c r="V1038" s="135">
        <f>+YEAR(PROVEEDORES[[#This Row],[FECHA DE FACTURACIÓN]])</f>
        <v>2023</v>
      </c>
      <c r="W1038" s="135">
        <f>+MATCH(PROVEEDORES[[#This Row],[año facturado]],Retenciones!$1:$1,0)</f>
        <v>6</v>
      </c>
      <c r="X1038" s="136">
        <f>+VLOOKUP(PROVEEDORES[[#This Row],[ID RETENCION]],Retenciones!$A$1:$O$25,PROVEEDORES[[#This Row],[indicador de columna]],FALSE)</f>
        <v>1145000</v>
      </c>
      <c r="Y1038" s="137">
        <f>+VLOOKUP(PROVEEDORES[[#This Row],[ID RETENCION]],Retenciones!$A$1:$O$25,2,FALSE)</f>
        <v>2.5000000000000001E-2</v>
      </c>
      <c r="Z1038" s="126" t="b">
        <f>+OR(COUNTIF(PROVEEDORES[[#This Row],[PROVEEDOR]],"*"&amp;'Palabra que no opera y Listas d'!$A$2&amp;"*"))</f>
        <v>0</v>
      </c>
    </row>
    <row r="1039" spans="1:26" ht="27.75" customHeight="1" x14ac:dyDescent="0.25">
      <c r="A1039" s="141" t="str">
        <f>+IF(PROVEEDORES[[#This Row],[FECHA DE PAGO]]=PROVEEDORES[[#This Row],[FECHA DE FACTURACIÓN]],"DE CONTADO","CRÉDITO")</f>
        <v>DE CONTADO</v>
      </c>
      <c r="B1039" s="138" t="b">
        <f>+IF((PROVEEDORES[[#This Row],[FECHA DE PAGO]]-PROVEEDORES[[#This Row],[FECHA DE FACTURACIÓN]])&gt;PROVEEDORES[[#This Row],[PLAZO Días]],"PAGO VENCIDO")</f>
        <v>0</v>
      </c>
      <c r="C1039" s="138">
        <f>+VLOOKUP(PROVEEDORES[[#This Row],[PROVEEDOR]],TERCEROS_INFO[#All],2,FALSE)</f>
        <v>30</v>
      </c>
      <c r="D1039" s="139">
        <f>+SUMIFS(PROVEEDORES[Total],PROVEEDORES[PROVEEDOR],PROVEEDORES[[#This Row],[PROVEEDOR]],PROVEEDORES[FECHA DE PAGO],"")</f>
        <v>0</v>
      </c>
      <c r="E1039" s="140"/>
      <c r="F1039" s="138" t="str">
        <f>+VLOOKUP(PROVEEDORES[[#This Row],[PROVEEDOR]],
                       Terceros!$A:$F,
                       5,
                       FALSE)</f>
        <v/>
      </c>
      <c r="G1039" s="127">
        <v>45274</v>
      </c>
      <c r="H1039" s="123" t="s">
        <v>1824</v>
      </c>
      <c r="I1039" s="127">
        <v>45274</v>
      </c>
      <c r="J1039" s="124"/>
      <c r="K1039" s="124" t="s">
        <v>1530</v>
      </c>
      <c r="L1039" s="124"/>
      <c r="M1039" s="125">
        <v>1300850</v>
      </c>
      <c r="N1039" s="148">
        <v>0</v>
      </c>
      <c r="O1039" s="148">
        <v>0</v>
      </c>
      <c r="P1039" s="149">
        <v>0</v>
      </c>
      <c r="Q1039" s="148">
        <v>0</v>
      </c>
      <c r="R1039" s="150">
        <v>1300850</v>
      </c>
      <c r="S10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39" s="135">
        <f ca="1">+IF(PROVEEDORES[[#This Row],[FECHA DE PAGO]]=0,TODAY()-PROVEEDORES[[#This Row],[FECHA DE FACTURACIÓN]]-PROVEEDORES[[#This Row],[PLAZO Días]],0)</f>
        <v>0</v>
      </c>
      <c r="U1039" s="135">
        <f>+VLOOKUP(PROVEEDORES[[#This Row],[PROVEEDOR]],Terceros!$A:$D,4,FALSE)</f>
        <v>0</v>
      </c>
      <c r="V1039" s="135">
        <f>+YEAR(PROVEEDORES[[#This Row],[FECHA DE FACTURACIÓN]])</f>
        <v>2023</v>
      </c>
      <c r="W1039" s="135">
        <f>+MATCH(PROVEEDORES[[#This Row],[año facturado]],Retenciones!$1:$1,0)</f>
        <v>6</v>
      </c>
      <c r="X1039" s="136">
        <f>+VLOOKUP(PROVEEDORES[[#This Row],[ID RETENCION]],Retenciones!$A$1:$O$25,PROVEEDORES[[#This Row],[indicador de columna]],FALSE)</f>
        <v>0</v>
      </c>
      <c r="Y1039" s="137">
        <f>+VLOOKUP(PROVEEDORES[[#This Row],[ID RETENCION]],Retenciones!$A$1:$O$25,2,FALSE)</f>
        <v>0</v>
      </c>
      <c r="Z1039" s="126" t="b">
        <f>+OR(COUNTIF(PROVEEDORES[[#This Row],[PROVEEDOR]],"*"&amp;'Palabra que no opera y Listas d'!$A$2&amp;"*"))</f>
        <v>0</v>
      </c>
    </row>
    <row r="1040" spans="1:26" ht="27.75" customHeight="1" x14ac:dyDescent="0.25">
      <c r="A1040" s="141" t="str">
        <f>+IF(PROVEEDORES[[#This Row],[FECHA DE PAGO]]=PROVEEDORES[[#This Row],[FECHA DE FACTURACIÓN]],"DE CONTADO","CRÉDITO")</f>
        <v>CRÉDITO</v>
      </c>
      <c r="B1040" s="138" t="str">
        <f>+IF((PROVEEDORES[[#This Row],[FECHA DE PAGO]]-PROVEEDORES[[#This Row],[FECHA DE FACTURACIÓN]])&gt;PROVEEDORES[[#This Row],[PLAZO Días]],"PAGO VENCIDO")</f>
        <v>PAGO VENCIDO</v>
      </c>
      <c r="C1040" s="138">
        <f>+VLOOKUP(PROVEEDORES[[#This Row],[PROVEEDOR]],TERCEROS_INFO[#All],2,FALSE)</f>
        <v>13</v>
      </c>
      <c r="D1040" s="139">
        <f>+SUMIFS(PROVEEDORES[Total],PROVEEDORES[PROVEEDOR],PROVEEDORES[[#This Row],[PROVEEDOR]],PROVEEDORES[FECHA DE PAGO],"")</f>
        <v>0</v>
      </c>
      <c r="E1040" s="140"/>
      <c r="F1040" s="138">
        <f>+VLOOKUP(PROVEEDORES[[#This Row],[PROVEEDOR]],
                       Terceros!$A:$F,
                       5,
                       FALSE)</f>
        <v>0</v>
      </c>
      <c r="G1040" s="127">
        <v>45275</v>
      </c>
      <c r="H1040" s="123" t="s">
        <v>389</v>
      </c>
      <c r="I1040" s="127">
        <v>45261</v>
      </c>
      <c r="J1040" s="124"/>
      <c r="K1040" s="124" t="s">
        <v>1530</v>
      </c>
      <c r="L1040" s="124"/>
      <c r="M1040" s="125">
        <v>777310</v>
      </c>
      <c r="N1040" s="148">
        <v>0</v>
      </c>
      <c r="O1040" s="148">
        <v>0</v>
      </c>
      <c r="P1040" s="149">
        <v>0</v>
      </c>
      <c r="Q1040" s="148">
        <v>0</v>
      </c>
      <c r="R1040" s="150">
        <v>777310</v>
      </c>
      <c r="S10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0" s="135">
        <f ca="1">+IF(PROVEEDORES[[#This Row],[FECHA DE PAGO]]=0,TODAY()-PROVEEDORES[[#This Row],[FECHA DE FACTURACIÓN]]-PROVEEDORES[[#This Row],[PLAZO Días]],0)</f>
        <v>0</v>
      </c>
      <c r="U1040" s="135">
        <f>+VLOOKUP(PROVEEDORES[[#This Row],[PROVEEDOR]],Terceros!$A:$D,4,FALSE)</f>
        <v>0</v>
      </c>
      <c r="V1040" s="135">
        <f>+YEAR(PROVEEDORES[[#This Row],[FECHA DE FACTURACIÓN]])</f>
        <v>2023</v>
      </c>
      <c r="W1040" s="135">
        <f>+MATCH(PROVEEDORES[[#This Row],[año facturado]],Retenciones!$1:$1,0)</f>
        <v>6</v>
      </c>
      <c r="X1040" s="136">
        <f>+VLOOKUP(PROVEEDORES[[#This Row],[ID RETENCION]],Retenciones!$A$1:$O$25,PROVEEDORES[[#This Row],[indicador de columna]],FALSE)</f>
        <v>0</v>
      </c>
      <c r="Y1040" s="137">
        <f>+VLOOKUP(PROVEEDORES[[#This Row],[ID RETENCION]],Retenciones!$A$1:$O$25,2,FALSE)</f>
        <v>0</v>
      </c>
      <c r="Z1040" s="126" t="b">
        <f>+OR(COUNTIF(PROVEEDORES[[#This Row],[PROVEEDOR]],"*"&amp;'Palabra que no opera y Listas d'!$A$2&amp;"*"))</f>
        <v>1</v>
      </c>
    </row>
    <row r="1041" spans="1:26" ht="27.75" customHeight="1" x14ac:dyDescent="0.25">
      <c r="A1041" s="141" t="str">
        <f>+IF(PROVEEDORES[[#This Row],[FECHA DE PAGO]]=PROVEEDORES[[#This Row],[FECHA DE FACTURACIÓN]],"DE CONTADO","CRÉDITO")</f>
        <v>DE CONTADO</v>
      </c>
      <c r="B1041" s="138" t="b">
        <f>+IF((PROVEEDORES[[#This Row],[FECHA DE PAGO]]-PROVEEDORES[[#This Row],[FECHA DE FACTURACIÓN]])&gt;PROVEEDORES[[#This Row],[PLAZO Días]],"PAGO VENCIDO")</f>
        <v>0</v>
      </c>
      <c r="C1041" s="138">
        <f>+VLOOKUP(PROVEEDORES[[#This Row],[PROVEEDOR]],TERCEROS_INFO[#All],2,FALSE)</f>
        <v>30</v>
      </c>
      <c r="D1041" s="139">
        <f>+SUMIFS(PROVEEDORES[Total],PROVEEDORES[PROVEEDOR],PROVEEDORES[[#This Row],[PROVEEDOR]],PROVEEDORES[FECHA DE PAGO],"")</f>
        <v>0</v>
      </c>
      <c r="E1041" s="140"/>
      <c r="F1041" s="138" t="str">
        <f>+VLOOKUP(PROVEEDORES[[#This Row],[PROVEEDOR]],
                       Terceros!$A:$F,
                       5,
                       FALSE)</f>
        <v/>
      </c>
      <c r="G1041" s="127">
        <v>45275</v>
      </c>
      <c r="H1041" s="123" t="s">
        <v>525</v>
      </c>
      <c r="I1041" s="127">
        <v>45275</v>
      </c>
      <c r="J1041" s="124" t="s">
        <v>1336</v>
      </c>
      <c r="K1041" s="124" t="s">
        <v>1530</v>
      </c>
      <c r="L1041" s="124"/>
      <c r="M1041" s="125">
        <v>180000</v>
      </c>
      <c r="N1041" s="148">
        <v>0</v>
      </c>
      <c r="O1041" s="148">
        <v>0</v>
      </c>
      <c r="P1041" s="149">
        <v>0</v>
      </c>
      <c r="Q1041" s="148">
        <v>0</v>
      </c>
      <c r="R1041" s="150">
        <v>180000</v>
      </c>
      <c r="S10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1" s="135">
        <f ca="1">+IF(PROVEEDORES[[#This Row],[FECHA DE PAGO]]=0,TODAY()-PROVEEDORES[[#This Row],[FECHA DE FACTURACIÓN]]-PROVEEDORES[[#This Row],[PLAZO Días]],0)</f>
        <v>0</v>
      </c>
      <c r="U1041" s="135">
        <f>+VLOOKUP(PROVEEDORES[[#This Row],[PROVEEDOR]],Terceros!$A:$D,4,FALSE)</f>
        <v>0</v>
      </c>
      <c r="V1041" s="135">
        <f>+YEAR(PROVEEDORES[[#This Row],[FECHA DE FACTURACIÓN]])</f>
        <v>2023</v>
      </c>
      <c r="W1041" s="135">
        <f>+MATCH(PROVEEDORES[[#This Row],[año facturado]],Retenciones!$1:$1,0)</f>
        <v>6</v>
      </c>
      <c r="X1041" s="136">
        <f>+VLOOKUP(PROVEEDORES[[#This Row],[ID RETENCION]],Retenciones!$A$1:$O$25,PROVEEDORES[[#This Row],[indicador de columna]],FALSE)</f>
        <v>0</v>
      </c>
      <c r="Y1041" s="137">
        <f>+VLOOKUP(PROVEEDORES[[#This Row],[ID RETENCION]],Retenciones!$A$1:$O$25,2,FALSE)</f>
        <v>0</v>
      </c>
      <c r="Z1041" s="126" t="b">
        <f>+OR(COUNTIF(PROVEEDORES[[#This Row],[PROVEEDOR]],"*"&amp;'Palabra que no opera y Listas d'!$A$2&amp;"*"))</f>
        <v>0</v>
      </c>
    </row>
    <row r="1042" spans="1:26" ht="27.75" customHeight="1" x14ac:dyDescent="0.25">
      <c r="A1042" s="141" t="str">
        <f>+IF(PROVEEDORES[[#This Row],[FECHA DE PAGO]]=PROVEEDORES[[#This Row],[FECHA DE FACTURACIÓN]],"DE CONTADO","CRÉDITO")</f>
        <v>DE CONTADO</v>
      </c>
      <c r="B1042" s="138" t="b">
        <f>+IF((PROVEEDORES[[#This Row],[FECHA DE PAGO]]-PROVEEDORES[[#This Row],[FECHA DE FACTURACIÓN]])&gt;PROVEEDORES[[#This Row],[PLAZO Días]],"PAGO VENCIDO")</f>
        <v>0</v>
      </c>
      <c r="C1042" s="138">
        <f>+VLOOKUP(PROVEEDORES[[#This Row],[PROVEEDOR]],TERCEROS_INFO[#All],2,FALSE)</f>
        <v>30</v>
      </c>
      <c r="D1042" s="139">
        <f>+SUMIFS(PROVEEDORES[Total],PROVEEDORES[PROVEEDOR],PROVEEDORES[[#This Row],[PROVEEDOR]],PROVEEDORES[FECHA DE PAGO],"")</f>
        <v>0</v>
      </c>
      <c r="E1042" s="140"/>
      <c r="F1042" s="138">
        <f>+VLOOKUP(PROVEEDORES[[#This Row],[PROVEEDOR]],
                       Terceros!$A:$F,
                       5,
                       FALSE)</f>
        <v>0</v>
      </c>
      <c r="G1042" s="127">
        <v>45276</v>
      </c>
      <c r="H1042" s="123" t="s">
        <v>497</v>
      </c>
      <c r="I1042" s="127">
        <v>45276</v>
      </c>
      <c r="J1042" s="124" t="s">
        <v>1350</v>
      </c>
      <c r="K1042" s="124" t="s">
        <v>1530</v>
      </c>
      <c r="L1042" s="124"/>
      <c r="M1042" s="125">
        <v>516000</v>
      </c>
      <c r="N1042" s="148">
        <v>98040</v>
      </c>
      <c r="O1042" s="148">
        <v>0</v>
      </c>
      <c r="P1042" s="149">
        <v>0</v>
      </c>
      <c r="Q1042" s="148">
        <v>0</v>
      </c>
      <c r="R1042" s="150">
        <v>614040</v>
      </c>
      <c r="S10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2" s="135">
        <f ca="1">+IF(PROVEEDORES[[#This Row],[FECHA DE PAGO]]=0,TODAY()-PROVEEDORES[[#This Row],[FECHA DE FACTURACIÓN]]-PROVEEDORES[[#This Row],[PLAZO Días]],0)</f>
        <v>0</v>
      </c>
      <c r="U1042" s="135" t="str">
        <f>+VLOOKUP(PROVEEDORES[[#This Row],[PROVEEDOR]],Terceros!$A:$D,4,FALSE)</f>
        <v>2,5% con base</v>
      </c>
      <c r="V1042" s="135">
        <f>+YEAR(PROVEEDORES[[#This Row],[FECHA DE FACTURACIÓN]])</f>
        <v>2023</v>
      </c>
      <c r="W1042" s="135">
        <f>+MATCH(PROVEEDORES[[#This Row],[año facturado]],Retenciones!$1:$1,0)</f>
        <v>6</v>
      </c>
      <c r="X1042" s="136">
        <f>+VLOOKUP(PROVEEDORES[[#This Row],[ID RETENCION]],Retenciones!$A$1:$O$25,PROVEEDORES[[#This Row],[indicador de columna]],FALSE)</f>
        <v>1145000</v>
      </c>
      <c r="Y1042" s="137">
        <f>+VLOOKUP(PROVEEDORES[[#This Row],[ID RETENCION]],Retenciones!$A$1:$O$25,2,FALSE)</f>
        <v>2.5000000000000001E-2</v>
      </c>
      <c r="Z1042" s="126" t="b">
        <f>+OR(COUNTIF(PROVEEDORES[[#This Row],[PROVEEDOR]],"*"&amp;'Palabra que no opera y Listas d'!$A$2&amp;"*"))</f>
        <v>0</v>
      </c>
    </row>
    <row r="1043" spans="1:26" ht="27.75" customHeight="1" x14ac:dyDescent="0.25">
      <c r="A1043" s="141" t="str">
        <f>+IF(PROVEEDORES[[#This Row],[FECHA DE PAGO]]=PROVEEDORES[[#This Row],[FECHA DE FACTURACIÓN]],"DE CONTADO","CRÉDITO")</f>
        <v>DE CONTADO</v>
      </c>
      <c r="B1043" s="138" t="b">
        <f>+IF((PROVEEDORES[[#This Row],[FECHA DE PAGO]]-PROVEEDORES[[#This Row],[FECHA DE FACTURACIÓN]])&gt;PROVEEDORES[[#This Row],[PLAZO Días]],"PAGO VENCIDO")</f>
        <v>0</v>
      </c>
      <c r="C1043" s="138">
        <f>+VLOOKUP(PROVEEDORES[[#This Row],[PROVEEDOR]],TERCEROS_INFO[#All],2,FALSE)</f>
        <v>30</v>
      </c>
      <c r="D1043" s="139">
        <f>+SUMIFS(PROVEEDORES[Total],PROVEEDORES[PROVEEDOR],PROVEEDORES[[#This Row],[PROVEEDOR]],PROVEEDORES[FECHA DE PAGO],"")</f>
        <v>0</v>
      </c>
      <c r="E1043" s="140"/>
      <c r="F1043" s="138" t="str">
        <f>+VLOOKUP(PROVEEDORES[[#This Row],[PROVEEDOR]],
                       Terceros!$A:$F,
                       5,
                       FALSE)</f>
        <v/>
      </c>
      <c r="G1043" s="127">
        <v>45277</v>
      </c>
      <c r="H1043" s="123" t="s">
        <v>525</v>
      </c>
      <c r="I1043" s="127">
        <v>45277</v>
      </c>
      <c r="J1043" s="124" t="s">
        <v>1120</v>
      </c>
      <c r="K1043" s="124" t="s">
        <v>1530</v>
      </c>
      <c r="L1043" s="124"/>
      <c r="M1043" s="125">
        <v>400000</v>
      </c>
      <c r="N1043" s="148">
        <v>0</v>
      </c>
      <c r="O1043" s="148">
        <v>0</v>
      </c>
      <c r="P1043" s="149">
        <v>0</v>
      </c>
      <c r="Q1043" s="148">
        <v>0</v>
      </c>
      <c r="R1043" s="150">
        <v>400000</v>
      </c>
      <c r="S10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3" s="135">
        <f ca="1">+IF(PROVEEDORES[[#This Row],[FECHA DE PAGO]]=0,TODAY()-PROVEEDORES[[#This Row],[FECHA DE FACTURACIÓN]]-PROVEEDORES[[#This Row],[PLAZO Días]],0)</f>
        <v>0</v>
      </c>
      <c r="U1043" s="135">
        <f>+VLOOKUP(PROVEEDORES[[#This Row],[PROVEEDOR]],Terceros!$A:$D,4,FALSE)</f>
        <v>0</v>
      </c>
      <c r="V1043" s="135">
        <f>+YEAR(PROVEEDORES[[#This Row],[FECHA DE FACTURACIÓN]])</f>
        <v>2023</v>
      </c>
      <c r="W1043" s="135">
        <f>+MATCH(PROVEEDORES[[#This Row],[año facturado]],Retenciones!$1:$1,0)</f>
        <v>6</v>
      </c>
      <c r="X1043" s="136">
        <f>+VLOOKUP(PROVEEDORES[[#This Row],[ID RETENCION]],Retenciones!$A$1:$O$25,PROVEEDORES[[#This Row],[indicador de columna]],FALSE)</f>
        <v>0</v>
      </c>
      <c r="Y1043" s="137">
        <f>+VLOOKUP(PROVEEDORES[[#This Row],[ID RETENCION]],Retenciones!$A$1:$O$25,2,FALSE)</f>
        <v>0</v>
      </c>
      <c r="Z1043" s="126" t="b">
        <f>+OR(COUNTIF(PROVEEDORES[[#This Row],[PROVEEDOR]],"*"&amp;'Palabra que no opera y Listas d'!$A$2&amp;"*"))</f>
        <v>0</v>
      </c>
    </row>
    <row r="1044" spans="1:26" ht="27.75" customHeight="1" x14ac:dyDescent="0.25">
      <c r="A1044" s="141" t="str">
        <f>+IF(PROVEEDORES[[#This Row],[FECHA DE PAGO]]=PROVEEDORES[[#This Row],[FECHA DE FACTURACIÓN]],"DE CONTADO","CRÉDITO")</f>
        <v>CRÉDITO</v>
      </c>
      <c r="B1044" s="138" t="str">
        <f>+IF((PROVEEDORES[[#This Row],[FECHA DE PAGO]]-PROVEEDORES[[#This Row],[FECHA DE FACTURACIÓN]])&gt;PROVEEDORES[[#This Row],[PLAZO Días]],"PAGO VENCIDO")</f>
        <v>PAGO VENCIDO</v>
      </c>
      <c r="C1044" s="138">
        <f>+VLOOKUP(PROVEEDORES[[#This Row],[PROVEEDOR]],TERCEROS_INFO[#All],2,FALSE)</f>
        <v>30</v>
      </c>
      <c r="D1044" s="139">
        <f>+SUMIFS(PROVEEDORES[Total],PROVEEDORES[PROVEEDOR],PROVEEDORES[[#This Row],[PROVEEDOR]],PROVEEDORES[FECHA DE PAGO],"")</f>
        <v>4466504.835</v>
      </c>
      <c r="E1044" s="140"/>
      <c r="F1044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044" s="127">
        <v>45278</v>
      </c>
      <c r="H1044" s="123" t="s">
        <v>18</v>
      </c>
      <c r="I1044" s="127">
        <v>45237</v>
      </c>
      <c r="J1044" s="124" t="s">
        <v>1223</v>
      </c>
      <c r="K1044" s="124" t="s">
        <v>1530</v>
      </c>
      <c r="L1044" s="124"/>
      <c r="M1044" s="125">
        <v>2007744</v>
      </c>
      <c r="N1044" s="148">
        <v>381471.36</v>
      </c>
      <c r="O1044" s="148">
        <v>0</v>
      </c>
      <c r="P1044" s="149">
        <v>2.5000000000000001E-2</v>
      </c>
      <c r="Q1044" s="148">
        <v>50193.600000000006</v>
      </c>
      <c r="R1044" s="150">
        <v>2339021.7599999998</v>
      </c>
      <c r="S10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4" s="135">
        <f ca="1">+IF(PROVEEDORES[[#This Row],[FECHA DE PAGO]]=0,TODAY()-PROVEEDORES[[#This Row],[FECHA DE FACTURACIÓN]]-PROVEEDORES[[#This Row],[PLAZO Días]],0)</f>
        <v>0</v>
      </c>
      <c r="U1044" s="135" t="str">
        <f>+VLOOKUP(PROVEEDORES[[#This Row],[PROVEEDOR]],Terceros!$A:$D,4,FALSE)</f>
        <v>2,5% con base</v>
      </c>
      <c r="V1044" s="135">
        <f>+YEAR(PROVEEDORES[[#This Row],[FECHA DE FACTURACIÓN]])</f>
        <v>2023</v>
      </c>
      <c r="W1044" s="135">
        <f>+MATCH(PROVEEDORES[[#This Row],[año facturado]],Retenciones!$1:$1,0)</f>
        <v>6</v>
      </c>
      <c r="X1044" s="136">
        <f>+VLOOKUP(PROVEEDORES[[#This Row],[ID RETENCION]],Retenciones!$A$1:$O$25,PROVEEDORES[[#This Row],[indicador de columna]],FALSE)</f>
        <v>1145000</v>
      </c>
      <c r="Y1044" s="137">
        <f>+VLOOKUP(PROVEEDORES[[#This Row],[ID RETENCION]],Retenciones!$A$1:$O$25,2,FALSE)</f>
        <v>2.5000000000000001E-2</v>
      </c>
      <c r="Z1044" s="126" t="b">
        <f>+OR(COUNTIF(PROVEEDORES[[#This Row],[PROVEEDOR]],"*"&amp;'Palabra que no opera y Listas d'!$A$2&amp;"*"))</f>
        <v>0</v>
      </c>
    </row>
    <row r="1045" spans="1:26" ht="27.75" customHeight="1" x14ac:dyDescent="0.25">
      <c r="A1045" s="141" t="str">
        <f>+IF(PROVEEDORES[[#This Row],[FECHA DE PAGO]]=PROVEEDORES[[#This Row],[FECHA DE FACTURACIÓN]],"DE CONTADO","CRÉDITO")</f>
        <v>CRÉDITO</v>
      </c>
      <c r="B1045" s="138" t="str">
        <f>+IF((PROVEEDORES[[#This Row],[FECHA DE PAGO]]-PROVEEDORES[[#This Row],[FECHA DE FACTURACIÓN]])&gt;PROVEEDORES[[#This Row],[PLAZO Días]],"PAGO VENCIDO")</f>
        <v>PAGO VENCIDO</v>
      </c>
      <c r="C1045" s="138">
        <f>+VLOOKUP(PROVEEDORES[[#This Row],[PROVEEDOR]],TERCEROS_INFO[#All],2,FALSE)</f>
        <v>30</v>
      </c>
      <c r="D1045" s="139">
        <f>+SUMIFS(PROVEEDORES[Total],PROVEEDORES[PROVEEDOR],PROVEEDORES[[#This Row],[PROVEEDOR]],PROVEEDORES[FECHA DE PAGO],"")</f>
        <v>4466504.835</v>
      </c>
      <c r="E1045" s="140"/>
      <c r="F1045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045" s="127">
        <v>45278</v>
      </c>
      <c r="H1045" s="123" t="s">
        <v>18</v>
      </c>
      <c r="I1045" s="127">
        <v>45239</v>
      </c>
      <c r="J1045" s="124" t="s">
        <v>1225</v>
      </c>
      <c r="K1045" s="124" t="s">
        <v>1530</v>
      </c>
      <c r="L1045" s="124"/>
      <c r="M1045" s="125">
        <v>10721534</v>
      </c>
      <c r="N1045" s="148">
        <v>2037091.46</v>
      </c>
      <c r="O1045" s="148">
        <v>0</v>
      </c>
      <c r="P1045" s="149">
        <v>2.5000000000000001E-2</v>
      </c>
      <c r="Q1045" s="148">
        <v>268038.35000000003</v>
      </c>
      <c r="R1045" s="150">
        <v>12490587.110000001</v>
      </c>
      <c r="S10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5" s="135">
        <f ca="1">+IF(PROVEEDORES[[#This Row],[FECHA DE PAGO]]=0,TODAY()-PROVEEDORES[[#This Row],[FECHA DE FACTURACIÓN]]-PROVEEDORES[[#This Row],[PLAZO Días]],0)</f>
        <v>0</v>
      </c>
      <c r="U1045" s="135" t="str">
        <f>+VLOOKUP(PROVEEDORES[[#This Row],[PROVEEDOR]],Terceros!$A:$D,4,FALSE)</f>
        <v>2,5% con base</v>
      </c>
      <c r="V1045" s="135">
        <f>+YEAR(PROVEEDORES[[#This Row],[FECHA DE FACTURACIÓN]])</f>
        <v>2023</v>
      </c>
      <c r="W1045" s="135">
        <f>+MATCH(PROVEEDORES[[#This Row],[año facturado]],Retenciones!$1:$1,0)</f>
        <v>6</v>
      </c>
      <c r="X1045" s="136">
        <f>+VLOOKUP(PROVEEDORES[[#This Row],[ID RETENCION]],Retenciones!$A$1:$O$25,PROVEEDORES[[#This Row],[indicador de columna]],FALSE)</f>
        <v>1145000</v>
      </c>
      <c r="Y1045" s="137">
        <f>+VLOOKUP(PROVEEDORES[[#This Row],[ID RETENCION]],Retenciones!$A$1:$O$25,2,FALSE)</f>
        <v>2.5000000000000001E-2</v>
      </c>
      <c r="Z1045" s="126" t="b">
        <f>+OR(COUNTIF(PROVEEDORES[[#This Row],[PROVEEDOR]],"*"&amp;'Palabra que no opera y Listas d'!$A$2&amp;"*"))</f>
        <v>0</v>
      </c>
    </row>
    <row r="1046" spans="1:26" ht="27.75" customHeight="1" x14ac:dyDescent="0.25">
      <c r="A1046" s="141" t="str">
        <f>+IF(PROVEEDORES[[#This Row],[FECHA DE PAGO]]=PROVEEDORES[[#This Row],[FECHA DE FACTURACIÓN]],"DE CONTADO","CRÉDITO")</f>
        <v>CRÉDITO</v>
      </c>
      <c r="B1046" s="138" t="str">
        <f>+IF((PROVEEDORES[[#This Row],[FECHA DE PAGO]]-PROVEEDORES[[#This Row],[FECHA DE FACTURACIÓN]])&gt;PROVEEDORES[[#This Row],[PLAZO Días]],"PAGO VENCIDO")</f>
        <v>PAGO VENCIDO</v>
      </c>
      <c r="C1046" s="138">
        <f>+VLOOKUP(PROVEEDORES[[#This Row],[PROVEEDOR]],TERCEROS_INFO[#All],2,FALSE)</f>
        <v>30</v>
      </c>
      <c r="D1046" s="139">
        <f>+SUMIFS(PROVEEDORES[Total],PROVEEDORES[PROVEEDOR],PROVEEDORES[[#This Row],[PROVEEDOR]],PROVEEDORES[FECHA DE PAGO],"")</f>
        <v>0</v>
      </c>
      <c r="E1046" s="140"/>
      <c r="F1046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46" s="127">
        <v>45278</v>
      </c>
      <c r="H1046" s="123" t="s">
        <v>948</v>
      </c>
      <c r="I1046" s="127">
        <v>45239</v>
      </c>
      <c r="J1046" s="124" t="s">
        <v>1222</v>
      </c>
      <c r="K1046" s="124" t="s">
        <v>1530</v>
      </c>
      <c r="L1046" s="124"/>
      <c r="M1046" s="125">
        <v>1593276</v>
      </c>
      <c r="N1046" s="148">
        <v>302722.44</v>
      </c>
      <c r="O1046" s="148">
        <v>0</v>
      </c>
      <c r="P1046" s="149">
        <v>2.5000000000000001E-2</v>
      </c>
      <c r="Q1046" s="148">
        <v>39831.9</v>
      </c>
      <c r="R1046" s="150">
        <v>1856166.54</v>
      </c>
      <c r="S10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6" s="135">
        <f ca="1">+IF(PROVEEDORES[[#This Row],[FECHA DE PAGO]]=0,TODAY()-PROVEEDORES[[#This Row],[FECHA DE FACTURACIÓN]]-PROVEEDORES[[#This Row],[PLAZO Días]],0)</f>
        <v>0</v>
      </c>
      <c r="U1046" s="135" t="str">
        <f>+VLOOKUP(PROVEEDORES[[#This Row],[PROVEEDOR]],Terceros!$A:$D,4,FALSE)</f>
        <v>2,5% con base</v>
      </c>
      <c r="V1046" s="135">
        <f>+YEAR(PROVEEDORES[[#This Row],[FECHA DE FACTURACIÓN]])</f>
        <v>2023</v>
      </c>
      <c r="W1046" s="135">
        <f>+MATCH(PROVEEDORES[[#This Row],[año facturado]],Retenciones!$1:$1,0)</f>
        <v>6</v>
      </c>
      <c r="X1046" s="136">
        <f>+VLOOKUP(PROVEEDORES[[#This Row],[ID RETENCION]],Retenciones!$A$1:$O$25,PROVEEDORES[[#This Row],[indicador de columna]],FALSE)</f>
        <v>1145000</v>
      </c>
      <c r="Y1046" s="137">
        <f>+VLOOKUP(PROVEEDORES[[#This Row],[ID RETENCION]],Retenciones!$A$1:$O$25,2,FALSE)</f>
        <v>2.5000000000000001E-2</v>
      </c>
      <c r="Z1046" s="126" t="b">
        <f>+OR(COUNTIF(PROVEEDORES[[#This Row],[PROVEEDOR]],"*"&amp;'Palabra que no opera y Listas d'!$A$2&amp;"*"))</f>
        <v>0</v>
      </c>
    </row>
    <row r="1047" spans="1:26" ht="27.75" customHeight="1" x14ac:dyDescent="0.25">
      <c r="A1047" s="141" t="str">
        <f>+IF(PROVEEDORES[[#This Row],[FECHA DE PAGO]]=PROVEEDORES[[#This Row],[FECHA DE FACTURACIÓN]],"DE CONTADO","CRÉDITO")</f>
        <v>CRÉDITO</v>
      </c>
      <c r="B1047" s="138" t="str">
        <f>+IF((PROVEEDORES[[#This Row],[FECHA DE PAGO]]-PROVEEDORES[[#This Row],[FECHA DE FACTURACIÓN]])&gt;PROVEEDORES[[#This Row],[PLAZO Días]],"PAGO VENCIDO")</f>
        <v>PAGO VENCIDO</v>
      </c>
      <c r="C1047" s="138">
        <f>+VLOOKUP(PROVEEDORES[[#This Row],[PROVEEDOR]],TERCEROS_INFO[#All],2,FALSE)</f>
        <v>30</v>
      </c>
      <c r="D1047" s="139">
        <f>+SUMIFS(PROVEEDORES[Total],PROVEEDORES[PROVEEDOR],PROVEEDORES[[#This Row],[PROVEEDOR]],PROVEEDORES[FECHA DE PAGO],"")</f>
        <v>134000</v>
      </c>
      <c r="E1047" s="140"/>
      <c r="F1047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047" s="127">
        <v>45278</v>
      </c>
      <c r="H1047" s="123" t="s">
        <v>1808</v>
      </c>
      <c r="I1047" s="127">
        <v>45239</v>
      </c>
      <c r="J1047" s="124" t="s">
        <v>1270</v>
      </c>
      <c r="K1047" s="124" t="s">
        <v>1530</v>
      </c>
      <c r="L1047" s="124"/>
      <c r="M1047" s="125">
        <v>606900</v>
      </c>
      <c r="N1047" s="148">
        <v>0</v>
      </c>
      <c r="O1047" s="148">
        <v>0</v>
      </c>
      <c r="P1047" s="149">
        <v>0</v>
      </c>
      <c r="Q1047" s="148">
        <v>0</v>
      </c>
      <c r="R1047" s="150">
        <v>606900</v>
      </c>
      <c r="S10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7" s="135">
        <f ca="1">+IF(PROVEEDORES[[#This Row],[FECHA DE PAGO]]=0,TODAY()-PROVEEDORES[[#This Row],[FECHA DE FACTURACIÓN]]-PROVEEDORES[[#This Row],[PLAZO Días]],0)</f>
        <v>0</v>
      </c>
      <c r="U1047" s="135">
        <f>+VLOOKUP(PROVEEDORES[[#This Row],[PROVEEDOR]],Terceros!$A:$D,4,FALSE)</f>
        <v>0</v>
      </c>
      <c r="V1047" s="135">
        <f>+YEAR(PROVEEDORES[[#This Row],[FECHA DE FACTURACIÓN]])</f>
        <v>2023</v>
      </c>
      <c r="W1047" s="135">
        <f>+MATCH(PROVEEDORES[[#This Row],[año facturado]],Retenciones!$1:$1,0)</f>
        <v>6</v>
      </c>
      <c r="X1047" s="136">
        <f>+VLOOKUP(PROVEEDORES[[#This Row],[ID RETENCION]],Retenciones!$A$1:$O$25,PROVEEDORES[[#This Row],[indicador de columna]],FALSE)</f>
        <v>0</v>
      </c>
      <c r="Y1047" s="137">
        <f>+VLOOKUP(PROVEEDORES[[#This Row],[ID RETENCION]],Retenciones!$A$1:$O$25,2,FALSE)</f>
        <v>0</v>
      </c>
      <c r="Z1047" s="126" t="b">
        <f>+OR(COUNTIF(PROVEEDORES[[#This Row],[PROVEEDOR]],"*"&amp;'Palabra que no opera y Listas d'!$A$2&amp;"*"))</f>
        <v>0</v>
      </c>
    </row>
    <row r="1048" spans="1:26" ht="27.75" customHeight="1" x14ac:dyDescent="0.25">
      <c r="A1048" s="141" t="str">
        <f>+IF(PROVEEDORES[[#This Row],[FECHA DE PAGO]]=PROVEEDORES[[#This Row],[FECHA DE FACTURACIÓN]],"DE CONTADO","CRÉDITO")</f>
        <v>CRÉDITO</v>
      </c>
      <c r="B1048" s="138" t="str">
        <f>+IF((PROVEEDORES[[#This Row],[FECHA DE PAGO]]-PROVEEDORES[[#This Row],[FECHA DE FACTURACIÓN]])&gt;PROVEEDORES[[#This Row],[PLAZO Días]],"PAGO VENCIDO")</f>
        <v>PAGO VENCIDO</v>
      </c>
      <c r="C1048" s="138">
        <f>+VLOOKUP(PROVEEDORES[[#This Row],[PROVEEDOR]],TERCEROS_INFO[#All],2,FALSE)</f>
        <v>30</v>
      </c>
      <c r="D1048" s="139">
        <f>+SUMIFS(PROVEEDORES[Total],PROVEEDORES[PROVEEDOR],PROVEEDORES[[#This Row],[PROVEEDOR]],PROVEEDORES[FECHA DE PAGO],"")</f>
        <v>8456975.129999999</v>
      </c>
      <c r="E1048" s="140"/>
      <c r="F1048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048" s="127">
        <v>45278</v>
      </c>
      <c r="H1048" s="123" t="s">
        <v>1464</v>
      </c>
      <c r="I1048" s="127">
        <v>45240</v>
      </c>
      <c r="J1048" s="124" t="s">
        <v>1266</v>
      </c>
      <c r="K1048" s="124" t="s">
        <v>1530</v>
      </c>
      <c r="L1048" s="124"/>
      <c r="M1048" s="125">
        <v>105189</v>
      </c>
      <c r="N1048" s="148">
        <v>19985.91</v>
      </c>
      <c r="O1048" s="148">
        <v>0</v>
      </c>
      <c r="P1048" s="149">
        <v>0</v>
      </c>
      <c r="Q1048" s="148">
        <v>0</v>
      </c>
      <c r="R1048" s="150">
        <v>125174.91</v>
      </c>
      <c r="S10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8" s="135">
        <f ca="1">+IF(PROVEEDORES[[#This Row],[FECHA DE PAGO]]=0,TODAY()-PROVEEDORES[[#This Row],[FECHA DE FACTURACIÓN]]-PROVEEDORES[[#This Row],[PLAZO Días]],0)</f>
        <v>0</v>
      </c>
      <c r="U1048" s="135" t="str">
        <f>+VLOOKUP(PROVEEDORES[[#This Row],[PROVEEDOR]],Terceros!$A:$D,4,FALSE)</f>
        <v>2,5% con base</v>
      </c>
      <c r="V1048" s="135">
        <f>+YEAR(PROVEEDORES[[#This Row],[FECHA DE FACTURACIÓN]])</f>
        <v>2023</v>
      </c>
      <c r="W1048" s="135">
        <f>+MATCH(PROVEEDORES[[#This Row],[año facturado]],Retenciones!$1:$1,0)</f>
        <v>6</v>
      </c>
      <c r="X1048" s="136">
        <f>+VLOOKUP(PROVEEDORES[[#This Row],[ID RETENCION]],Retenciones!$A$1:$O$25,PROVEEDORES[[#This Row],[indicador de columna]],FALSE)</f>
        <v>1145000</v>
      </c>
      <c r="Y1048" s="137">
        <f>+VLOOKUP(PROVEEDORES[[#This Row],[ID RETENCION]],Retenciones!$A$1:$O$25,2,FALSE)</f>
        <v>2.5000000000000001E-2</v>
      </c>
      <c r="Z1048" s="126" t="b">
        <f>+OR(COUNTIF(PROVEEDORES[[#This Row],[PROVEEDOR]],"*"&amp;'Palabra que no opera y Listas d'!$A$2&amp;"*"))</f>
        <v>0</v>
      </c>
    </row>
    <row r="1049" spans="1:26" ht="27.75" customHeight="1" x14ac:dyDescent="0.25">
      <c r="A1049" s="141" t="str">
        <f>+IF(PROVEEDORES[[#This Row],[FECHA DE PAGO]]=PROVEEDORES[[#This Row],[FECHA DE FACTURACIÓN]],"DE CONTADO","CRÉDITO")</f>
        <v>CRÉDITO</v>
      </c>
      <c r="B1049" s="138" t="str">
        <f>+IF((PROVEEDORES[[#This Row],[FECHA DE PAGO]]-PROVEEDORES[[#This Row],[FECHA DE FACTURACIÓN]])&gt;PROVEEDORES[[#This Row],[PLAZO Días]],"PAGO VENCIDO")</f>
        <v>PAGO VENCIDO</v>
      </c>
      <c r="C1049" s="138">
        <f>+VLOOKUP(PROVEEDORES[[#This Row],[PROVEEDOR]],TERCEROS_INFO[#All],2,FALSE)</f>
        <v>30</v>
      </c>
      <c r="D1049" s="139">
        <f>+SUMIFS(PROVEEDORES[Total],PROVEEDORES[PROVEEDOR],PROVEEDORES[[#This Row],[PROVEEDOR]],PROVEEDORES[FECHA DE PAGO],"")</f>
        <v>8456975.129999999</v>
      </c>
      <c r="E1049" s="140"/>
      <c r="F1049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049" s="127">
        <v>45278</v>
      </c>
      <c r="H1049" s="123" t="s">
        <v>1464</v>
      </c>
      <c r="I1049" s="127">
        <v>45245</v>
      </c>
      <c r="J1049" s="124" t="s">
        <v>1267</v>
      </c>
      <c r="K1049" s="124" t="s">
        <v>1530</v>
      </c>
      <c r="L1049" s="124"/>
      <c r="M1049" s="125">
        <v>3617549</v>
      </c>
      <c r="N1049" s="148">
        <v>687334.31</v>
      </c>
      <c r="O1049" s="148">
        <v>0</v>
      </c>
      <c r="P1049" s="149">
        <v>2.5000000000000001E-2</v>
      </c>
      <c r="Q1049" s="148">
        <v>90438.725000000006</v>
      </c>
      <c r="R1049" s="150">
        <v>4214444.5850000009</v>
      </c>
      <c r="S10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49" s="135">
        <f ca="1">+IF(PROVEEDORES[[#This Row],[FECHA DE PAGO]]=0,TODAY()-PROVEEDORES[[#This Row],[FECHA DE FACTURACIÓN]]-PROVEEDORES[[#This Row],[PLAZO Días]],0)</f>
        <v>0</v>
      </c>
      <c r="U1049" s="135" t="str">
        <f>+VLOOKUP(PROVEEDORES[[#This Row],[PROVEEDOR]],Terceros!$A:$D,4,FALSE)</f>
        <v>2,5% con base</v>
      </c>
      <c r="V1049" s="135">
        <f>+YEAR(PROVEEDORES[[#This Row],[FECHA DE FACTURACIÓN]])</f>
        <v>2023</v>
      </c>
      <c r="W1049" s="135">
        <f>+MATCH(PROVEEDORES[[#This Row],[año facturado]],Retenciones!$1:$1,0)</f>
        <v>6</v>
      </c>
      <c r="X1049" s="136">
        <f>+VLOOKUP(PROVEEDORES[[#This Row],[ID RETENCION]],Retenciones!$A$1:$O$25,PROVEEDORES[[#This Row],[indicador de columna]],FALSE)</f>
        <v>1145000</v>
      </c>
      <c r="Y1049" s="137">
        <f>+VLOOKUP(PROVEEDORES[[#This Row],[ID RETENCION]],Retenciones!$A$1:$O$25,2,FALSE)</f>
        <v>2.5000000000000001E-2</v>
      </c>
      <c r="Z1049" s="126" t="b">
        <f>+OR(COUNTIF(PROVEEDORES[[#This Row],[PROVEEDOR]],"*"&amp;'Palabra que no opera y Listas d'!$A$2&amp;"*"))</f>
        <v>0</v>
      </c>
    </row>
    <row r="1050" spans="1:26" ht="27.75" customHeight="1" x14ac:dyDescent="0.25">
      <c r="A1050" s="141" t="str">
        <f>+IF(PROVEEDORES[[#This Row],[FECHA DE PAGO]]=PROVEEDORES[[#This Row],[FECHA DE FACTURACIÓN]],"DE CONTADO","CRÉDITO")</f>
        <v>CRÉDITO</v>
      </c>
      <c r="B1050" s="138" t="str">
        <f>+IF((PROVEEDORES[[#This Row],[FECHA DE PAGO]]-PROVEEDORES[[#This Row],[FECHA DE FACTURACIÓN]])&gt;PROVEEDORES[[#This Row],[PLAZO Días]],"PAGO VENCIDO")</f>
        <v>PAGO VENCIDO</v>
      </c>
      <c r="C1050" s="138">
        <f>+VLOOKUP(PROVEEDORES[[#This Row],[PROVEEDOR]],TERCEROS_INFO[#All],2,FALSE)</f>
        <v>30</v>
      </c>
      <c r="D1050" s="139">
        <f>+SUMIFS(PROVEEDORES[Total],PROVEEDORES[PROVEEDOR],PROVEEDORES[[#This Row],[PROVEEDOR]],PROVEEDORES[FECHA DE PAGO],"")</f>
        <v>4466504.835</v>
      </c>
      <c r="E1050" s="140"/>
      <c r="F1050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050" s="127">
        <v>45278</v>
      </c>
      <c r="H1050" s="123" t="s">
        <v>18</v>
      </c>
      <c r="I1050" s="127">
        <v>45245</v>
      </c>
      <c r="J1050" s="124" t="s">
        <v>1256</v>
      </c>
      <c r="K1050" s="124" t="s">
        <v>1530</v>
      </c>
      <c r="L1050" s="124"/>
      <c r="M1050" s="125">
        <v>1809303</v>
      </c>
      <c r="N1050" s="148">
        <v>343767.57</v>
      </c>
      <c r="O1050" s="148">
        <v>0</v>
      </c>
      <c r="P1050" s="149">
        <v>2.5000000000000001E-2</v>
      </c>
      <c r="Q1050" s="148">
        <v>45232.575000000004</v>
      </c>
      <c r="R1050" s="150">
        <v>2107837.9949999996</v>
      </c>
      <c r="S10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0" s="135">
        <f ca="1">+IF(PROVEEDORES[[#This Row],[FECHA DE PAGO]]=0,TODAY()-PROVEEDORES[[#This Row],[FECHA DE FACTURACIÓN]]-PROVEEDORES[[#This Row],[PLAZO Días]],0)</f>
        <v>0</v>
      </c>
      <c r="U1050" s="135" t="str">
        <f>+VLOOKUP(PROVEEDORES[[#This Row],[PROVEEDOR]],Terceros!$A:$D,4,FALSE)</f>
        <v>2,5% con base</v>
      </c>
      <c r="V1050" s="135">
        <f>+YEAR(PROVEEDORES[[#This Row],[FECHA DE FACTURACIÓN]])</f>
        <v>2023</v>
      </c>
      <c r="W1050" s="135">
        <f>+MATCH(PROVEEDORES[[#This Row],[año facturado]],Retenciones!$1:$1,0)</f>
        <v>6</v>
      </c>
      <c r="X1050" s="136">
        <f>+VLOOKUP(PROVEEDORES[[#This Row],[ID RETENCION]],Retenciones!$A$1:$O$25,PROVEEDORES[[#This Row],[indicador de columna]],FALSE)</f>
        <v>1145000</v>
      </c>
      <c r="Y1050" s="137">
        <f>+VLOOKUP(PROVEEDORES[[#This Row],[ID RETENCION]],Retenciones!$A$1:$O$25,2,FALSE)</f>
        <v>2.5000000000000001E-2</v>
      </c>
      <c r="Z1050" s="126" t="b">
        <f>+OR(COUNTIF(PROVEEDORES[[#This Row],[PROVEEDOR]],"*"&amp;'Palabra que no opera y Listas d'!$A$2&amp;"*"))</f>
        <v>0</v>
      </c>
    </row>
    <row r="1051" spans="1:26" ht="27.75" customHeight="1" x14ac:dyDescent="0.25">
      <c r="A1051" s="141" t="str">
        <f>+IF(PROVEEDORES[[#This Row],[FECHA DE PAGO]]=PROVEEDORES[[#This Row],[FECHA DE FACTURACIÓN]],"DE CONTADO","CRÉDITO")</f>
        <v>CRÉDITO</v>
      </c>
      <c r="B1051" s="138" t="str">
        <f>+IF((PROVEEDORES[[#This Row],[FECHA DE PAGO]]-PROVEEDORES[[#This Row],[FECHA DE FACTURACIÓN]])&gt;PROVEEDORES[[#This Row],[PLAZO Días]],"PAGO VENCIDO")</f>
        <v>PAGO VENCIDO</v>
      </c>
      <c r="C1051" s="138">
        <f>+VLOOKUP(PROVEEDORES[[#This Row],[PROVEEDOR]],TERCEROS_INFO[#All],2,FALSE)</f>
        <v>30</v>
      </c>
      <c r="D1051" s="139">
        <f>+SUMIFS(PROVEEDORES[Total],PROVEEDORES[PROVEEDOR],PROVEEDORES[[#This Row],[PROVEEDOR]],PROVEEDORES[FECHA DE PAGO],"")</f>
        <v>1776037.21</v>
      </c>
      <c r="E1051" s="140"/>
      <c r="F1051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051" s="127">
        <v>45278</v>
      </c>
      <c r="H1051" s="123" t="s">
        <v>17</v>
      </c>
      <c r="I1051" s="127">
        <v>45247</v>
      </c>
      <c r="J1051" s="124" t="s">
        <v>1230</v>
      </c>
      <c r="K1051" s="124" t="s">
        <v>1530</v>
      </c>
      <c r="L1051" s="124"/>
      <c r="M1051" s="125">
        <v>1350000</v>
      </c>
      <c r="N1051" s="148">
        <v>256500</v>
      </c>
      <c r="O1051" s="148">
        <v>0</v>
      </c>
      <c r="P1051" s="149">
        <v>0</v>
      </c>
      <c r="Q1051" s="148">
        <v>0</v>
      </c>
      <c r="R1051" s="150">
        <v>1606500</v>
      </c>
      <c r="S10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1" s="135">
        <f ca="1">+IF(PROVEEDORES[[#This Row],[FECHA DE PAGO]]=0,TODAY()-PROVEEDORES[[#This Row],[FECHA DE FACTURACIÓN]]-PROVEEDORES[[#This Row],[PLAZO Días]],0)</f>
        <v>0</v>
      </c>
      <c r="U1051" s="135">
        <f>+VLOOKUP(PROVEEDORES[[#This Row],[PROVEEDOR]],Terceros!$A:$D,4,FALSE)</f>
        <v>0</v>
      </c>
      <c r="V1051" s="135">
        <f>+YEAR(PROVEEDORES[[#This Row],[FECHA DE FACTURACIÓN]])</f>
        <v>2023</v>
      </c>
      <c r="W1051" s="135">
        <f>+MATCH(PROVEEDORES[[#This Row],[año facturado]],Retenciones!$1:$1,0)</f>
        <v>6</v>
      </c>
      <c r="X1051" s="136">
        <f>+VLOOKUP(PROVEEDORES[[#This Row],[ID RETENCION]],Retenciones!$A$1:$O$25,PROVEEDORES[[#This Row],[indicador de columna]],FALSE)</f>
        <v>0</v>
      </c>
      <c r="Y1051" s="137">
        <f>+VLOOKUP(PROVEEDORES[[#This Row],[ID RETENCION]],Retenciones!$A$1:$O$25,2,FALSE)</f>
        <v>0</v>
      </c>
      <c r="Z1051" s="126" t="b">
        <f>+OR(COUNTIF(PROVEEDORES[[#This Row],[PROVEEDOR]],"*"&amp;'Palabra que no opera y Listas d'!$A$2&amp;"*"))</f>
        <v>0</v>
      </c>
    </row>
    <row r="1052" spans="1:26" ht="27.75" customHeight="1" x14ac:dyDescent="0.25">
      <c r="A1052" s="141" t="str">
        <f>+IF(PROVEEDORES[[#This Row],[FECHA DE PAGO]]=PROVEEDORES[[#This Row],[FECHA DE FACTURACIÓN]],"DE CONTADO","CRÉDITO")</f>
        <v>CRÉDITO</v>
      </c>
      <c r="B1052" s="138" t="b">
        <f>+IF((PROVEEDORES[[#This Row],[FECHA DE PAGO]]-PROVEEDORES[[#This Row],[FECHA DE FACTURACIÓN]])&gt;PROVEEDORES[[#This Row],[PLAZO Días]],"PAGO VENCIDO")</f>
        <v>0</v>
      </c>
      <c r="C1052" s="138">
        <f>+VLOOKUP(PROVEEDORES[[#This Row],[PROVEEDOR]],TERCEROS_INFO[#All],2,FALSE)</f>
        <v>60</v>
      </c>
      <c r="D1052" s="139">
        <f>+SUMIFS(PROVEEDORES[Total],PROVEEDORES[PROVEEDOR],PROVEEDORES[[#This Row],[PROVEEDOR]],PROVEEDORES[FECHA DE PAGO],"")</f>
        <v>1730482</v>
      </c>
      <c r="E1052" s="140"/>
      <c r="F1052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52" s="127">
        <v>45278</v>
      </c>
      <c r="H1052" s="123" t="s">
        <v>222</v>
      </c>
      <c r="I1052" s="127">
        <v>45251</v>
      </c>
      <c r="J1052" s="124">
        <v>1831</v>
      </c>
      <c r="K1052" s="124" t="s">
        <v>1530</v>
      </c>
      <c r="L1052" s="124"/>
      <c r="M1052" s="125">
        <v>602000</v>
      </c>
      <c r="N1052" s="148">
        <v>0</v>
      </c>
      <c r="O1052" s="148">
        <v>0</v>
      </c>
      <c r="P1052" s="149">
        <v>0</v>
      </c>
      <c r="Q1052" s="148">
        <v>0</v>
      </c>
      <c r="R1052" s="150">
        <v>602000</v>
      </c>
      <c r="S10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2" s="135">
        <f ca="1">+IF(PROVEEDORES[[#This Row],[FECHA DE PAGO]]=0,TODAY()-PROVEEDORES[[#This Row],[FECHA DE FACTURACIÓN]]-PROVEEDORES[[#This Row],[PLAZO Días]],0)</f>
        <v>0</v>
      </c>
      <c r="U1052" s="135">
        <f>+VLOOKUP(PROVEEDORES[[#This Row],[PROVEEDOR]],Terceros!$A:$D,4,FALSE)</f>
        <v>0</v>
      </c>
      <c r="V1052" s="135">
        <f>+YEAR(PROVEEDORES[[#This Row],[FECHA DE FACTURACIÓN]])</f>
        <v>2023</v>
      </c>
      <c r="W1052" s="135">
        <f>+MATCH(PROVEEDORES[[#This Row],[año facturado]],Retenciones!$1:$1,0)</f>
        <v>6</v>
      </c>
      <c r="X1052" s="136">
        <f>+VLOOKUP(PROVEEDORES[[#This Row],[ID RETENCION]],Retenciones!$A$1:$O$25,PROVEEDORES[[#This Row],[indicador de columna]],FALSE)</f>
        <v>0</v>
      </c>
      <c r="Y1052" s="137">
        <f>+VLOOKUP(PROVEEDORES[[#This Row],[ID RETENCION]],Retenciones!$A$1:$O$25,2,FALSE)</f>
        <v>0</v>
      </c>
      <c r="Z1052" s="126" t="b">
        <f>+OR(COUNTIF(PROVEEDORES[[#This Row],[PROVEEDOR]],"*"&amp;'Palabra que no opera y Listas d'!$A$2&amp;"*"))</f>
        <v>0</v>
      </c>
    </row>
    <row r="1053" spans="1:26" ht="27.75" customHeight="1" x14ac:dyDescent="0.25">
      <c r="A1053" s="141" t="str">
        <f>+IF(PROVEEDORES[[#This Row],[FECHA DE PAGO]]=PROVEEDORES[[#This Row],[FECHA DE FACTURACIÓN]],"DE CONTADO","CRÉDITO")</f>
        <v>CRÉDITO</v>
      </c>
      <c r="B1053" s="138" t="b">
        <f>+IF((PROVEEDORES[[#This Row],[FECHA DE PAGO]]-PROVEEDORES[[#This Row],[FECHA DE FACTURACIÓN]])&gt;PROVEEDORES[[#This Row],[PLAZO Días]],"PAGO VENCIDO")</f>
        <v>0</v>
      </c>
      <c r="C1053" s="138">
        <f>+VLOOKUP(PROVEEDORES[[#This Row],[PROVEEDOR]],TERCEROS_INFO[#All],2,FALSE)</f>
        <v>60</v>
      </c>
      <c r="D1053" s="139">
        <f>+SUMIFS(PROVEEDORES[Total],PROVEEDORES[PROVEEDOR],PROVEEDORES[[#This Row],[PROVEEDOR]],PROVEEDORES[FECHA DE PAGO],"")</f>
        <v>1730482</v>
      </c>
      <c r="E1053" s="140"/>
      <c r="F1053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53" s="127">
        <v>45278</v>
      </c>
      <c r="H1053" s="123" t="s">
        <v>222</v>
      </c>
      <c r="I1053" s="127">
        <v>45252</v>
      </c>
      <c r="J1053" s="124">
        <v>1832</v>
      </c>
      <c r="K1053" s="124" t="s">
        <v>1530</v>
      </c>
      <c r="L1053" s="124"/>
      <c r="M1053" s="125">
        <v>584800</v>
      </c>
      <c r="N1053" s="148">
        <v>0</v>
      </c>
      <c r="O1053" s="148">
        <v>0</v>
      </c>
      <c r="P1053" s="149">
        <v>0</v>
      </c>
      <c r="Q1053" s="148">
        <v>0</v>
      </c>
      <c r="R1053" s="150">
        <v>584800</v>
      </c>
      <c r="S10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3" s="135">
        <f ca="1">+IF(PROVEEDORES[[#This Row],[FECHA DE PAGO]]=0,TODAY()-PROVEEDORES[[#This Row],[FECHA DE FACTURACIÓN]]-PROVEEDORES[[#This Row],[PLAZO Días]],0)</f>
        <v>0</v>
      </c>
      <c r="U1053" s="135">
        <f>+VLOOKUP(PROVEEDORES[[#This Row],[PROVEEDOR]],Terceros!$A:$D,4,FALSE)</f>
        <v>0</v>
      </c>
      <c r="V1053" s="135">
        <f>+YEAR(PROVEEDORES[[#This Row],[FECHA DE FACTURACIÓN]])</f>
        <v>2023</v>
      </c>
      <c r="W1053" s="135">
        <f>+MATCH(PROVEEDORES[[#This Row],[año facturado]],Retenciones!$1:$1,0)</f>
        <v>6</v>
      </c>
      <c r="X1053" s="136">
        <f>+VLOOKUP(PROVEEDORES[[#This Row],[ID RETENCION]],Retenciones!$A$1:$O$25,PROVEEDORES[[#This Row],[indicador de columna]],FALSE)</f>
        <v>0</v>
      </c>
      <c r="Y1053" s="137">
        <f>+VLOOKUP(PROVEEDORES[[#This Row],[ID RETENCION]],Retenciones!$A$1:$O$25,2,FALSE)</f>
        <v>0</v>
      </c>
      <c r="Z1053" s="126" t="b">
        <f>+OR(COUNTIF(PROVEEDORES[[#This Row],[PROVEEDOR]],"*"&amp;'Palabra que no opera y Listas d'!$A$2&amp;"*"))</f>
        <v>0</v>
      </c>
    </row>
    <row r="1054" spans="1:26" ht="27.75" customHeight="1" x14ac:dyDescent="0.25">
      <c r="A1054" s="141" t="str">
        <f>+IF(PROVEEDORES[[#This Row],[FECHA DE PAGO]]=PROVEEDORES[[#This Row],[FECHA DE FACTURACIÓN]],"DE CONTADO","CRÉDITO")</f>
        <v>CRÉDITO</v>
      </c>
      <c r="B1054" s="138" t="b">
        <f>+IF((PROVEEDORES[[#This Row],[FECHA DE PAGO]]-PROVEEDORES[[#This Row],[FECHA DE FACTURACIÓN]])&gt;PROVEEDORES[[#This Row],[PLAZO Días]],"PAGO VENCIDO")</f>
        <v>0</v>
      </c>
      <c r="C1054" s="138">
        <f>+VLOOKUP(PROVEEDORES[[#This Row],[PROVEEDOR]],TERCEROS_INFO[#All],2,FALSE)</f>
        <v>30</v>
      </c>
      <c r="D1054" s="139">
        <f>+SUMIFS(PROVEEDORES[Total],PROVEEDORES[PROVEEDOR],PROVEEDORES[[#This Row],[PROVEEDOR]],PROVEEDORES[FECHA DE PAGO],"")</f>
        <v>1776037.21</v>
      </c>
      <c r="E1054" s="140"/>
      <c r="F1054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054" s="127">
        <v>45278</v>
      </c>
      <c r="H1054" s="123" t="s">
        <v>17</v>
      </c>
      <c r="I1054" s="127">
        <v>45257</v>
      </c>
      <c r="J1054" s="124" t="s">
        <v>1268</v>
      </c>
      <c r="K1054" s="124" t="s">
        <v>1530</v>
      </c>
      <c r="L1054" s="124"/>
      <c r="M1054" s="125">
        <v>137997.5</v>
      </c>
      <c r="N1054" s="148">
        <v>26219.525000000001</v>
      </c>
      <c r="O1054" s="148">
        <v>0</v>
      </c>
      <c r="P1054" s="149">
        <v>0</v>
      </c>
      <c r="Q1054" s="148">
        <v>0</v>
      </c>
      <c r="R1054" s="150">
        <v>164217.02499999999</v>
      </c>
      <c r="S10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4" s="135">
        <f ca="1">+IF(PROVEEDORES[[#This Row],[FECHA DE PAGO]]=0,TODAY()-PROVEEDORES[[#This Row],[FECHA DE FACTURACIÓN]]-PROVEEDORES[[#This Row],[PLAZO Días]],0)</f>
        <v>0</v>
      </c>
      <c r="U1054" s="135">
        <f>+VLOOKUP(PROVEEDORES[[#This Row],[PROVEEDOR]],Terceros!$A:$D,4,FALSE)</f>
        <v>0</v>
      </c>
      <c r="V1054" s="135">
        <f>+YEAR(PROVEEDORES[[#This Row],[FECHA DE FACTURACIÓN]])</f>
        <v>2023</v>
      </c>
      <c r="W1054" s="135">
        <f>+MATCH(PROVEEDORES[[#This Row],[año facturado]],Retenciones!$1:$1,0)</f>
        <v>6</v>
      </c>
      <c r="X1054" s="136">
        <f>+VLOOKUP(PROVEEDORES[[#This Row],[ID RETENCION]],Retenciones!$A$1:$O$25,PROVEEDORES[[#This Row],[indicador de columna]],FALSE)</f>
        <v>0</v>
      </c>
      <c r="Y1054" s="137">
        <f>+VLOOKUP(PROVEEDORES[[#This Row],[ID RETENCION]],Retenciones!$A$1:$O$25,2,FALSE)</f>
        <v>0</v>
      </c>
      <c r="Z1054" s="126" t="b">
        <f>+OR(COUNTIF(PROVEEDORES[[#This Row],[PROVEEDOR]],"*"&amp;'Palabra que no opera y Listas d'!$A$2&amp;"*"))</f>
        <v>0</v>
      </c>
    </row>
    <row r="1055" spans="1:26" ht="27.75" customHeight="1" x14ac:dyDescent="0.25">
      <c r="A1055" s="141" t="str">
        <f>+IF(PROVEEDORES[[#This Row],[FECHA DE PAGO]]=PROVEEDORES[[#This Row],[FECHA DE FACTURACIÓN]],"DE CONTADO","CRÉDITO")</f>
        <v>CRÉDITO</v>
      </c>
      <c r="B1055" s="138" t="b">
        <f>+IF((PROVEEDORES[[#This Row],[FECHA DE PAGO]]-PROVEEDORES[[#This Row],[FECHA DE FACTURACIÓN]])&gt;PROVEEDORES[[#This Row],[PLAZO Días]],"PAGO VENCIDO")</f>
        <v>0</v>
      </c>
      <c r="C1055" s="138">
        <f>+VLOOKUP(PROVEEDORES[[#This Row],[PROVEEDOR]],TERCEROS_INFO[#All],2,FALSE)</f>
        <v>60</v>
      </c>
      <c r="D1055" s="139">
        <f>+SUMIFS(PROVEEDORES[Total],PROVEEDORES[PROVEEDOR],PROVEEDORES[[#This Row],[PROVEEDOR]],PROVEEDORES[FECHA DE PAGO],"")</f>
        <v>1730482</v>
      </c>
      <c r="E1055" s="140"/>
      <c r="F1055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55" s="127">
        <v>45278</v>
      </c>
      <c r="H1055" s="123" t="s">
        <v>222</v>
      </c>
      <c r="I1055" s="127">
        <v>45260</v>
      </c>
      <c r="J1055" s="124">
        <v>1835</v>
      </c>
      <c r="K1055" s="124" t="s">
        <v>1530</v>
      </c>
      <c r="L1055" s="124"/>
      <c r="M1055" s="125">
        <v>172000</v>
      </c>
      <c r="N1055" s="148">
        <v>0</v>
      </c>
      <c r="O1055" s="148">
        <v>0</v>
      </c>
      <c r="P1055" s="149">
        <v>0</v>
      </c>
      <c r="Q1055" s="148">
        <v>0</v>
      </c>
      <c r="R1055" s="150">
        <v>172000</v>
      </c>
      <c r="S10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5" s="135">
        <f ca="1">+IF(PROVEEDORES[[#This Row],[FECHA DE PAGO]]=0,TODAY()-PROVEEDORES[[#This Row],[FECHA DE FACTURACIÓN]]-PROVEEDORES[[#This Row],[PLAZO Días]],0)</f>
        <v>0</v>
      </c>
      <c r="U1055" s="135">
        <f>+VLOOKUP(PROVEEDORES[[#This Row],[PROVEEDOR]],Terceros!$A:$D,4,FALSE)</f>
        <v>0</v>
      </c>
      <c r="V1055" s="135">
        <f>+YEAR(PROVEEDORES[[#This Row],[FECHA DE FACTURACIÓN]])</f>
        <v>2023</v>
      </c>
      <c r="W1055" s="135">
        <f>+MATCH(PROVEEDORES[[#This Row],[año facturado]],Retenciones!$1:$1,0)</f>
        <v>6</v>
      </c>
      <c r="X1055" s="136">
        <f>+VLOOKUP(PROVEEDORES[[#This Row],[ID RETENCION]],Retenciones!$A$1:$O$25,PROVEEDORES[[#This Row],[indicador de columna]],FALSE)</f>
        <v>0</v>
      </c>
      <c r="Y1055" s="137">
        <f>+VLOOKUP(PROVEEDORES[[#This Row],[ID RETENCION]],Retenciones!$A$1:$O$25,2,FALSE)</f>
        <v>0</v>
      </c>
      <c r="Z1055" s="126" t="b">
        <f>+OR(COUNTIF(PROVEEDORES[[#This Row],[PROVEEDOR]],"*"&amp;'Palabra que no opera y Listas d'!$A$2&amp;"*"))</f>
        <v>0</v>
      </c>
    </row>
    <row r="1056" spans="1:26" ht="27.75" customHeight="1" x14ac:dyDescent="0.25">
      <c r="A1056" s="141" t="str">
        <f>+IF(PROVEEDORES[[#This Row],[FECHA DE PAGO]]=PROVEEDORES[[#This Row],[FECHA DE FACTURACIÓN]],"DE CONTADO","CRÉDITO")</f>
        <v>CRÉDITO</v>
      </c>
      <c r="B1056" s="138" t="b">
        <f>+IF((PROVEEDORES[[#This Row],[FECHA DE PAGO]]-PROVEEDORES[[#This Row],[FECHA DE FACTURACIÓN]])&gt;PROVEEDORES[[#This Row],[PLAZO Días]],"PAGO VENCIDO")</f>
        <v>0</v>
      </c>
      <c r="C1056" s="138">
        <f>+VLOOKUP(PROVEEDORES[[#This Row],[PROVEEDOR]],TERCEROS_INFO[#All],2,FALSE)</f>
        <v>60</v>
      </c>
      <c r="D1056" s="139">
        <f>+SUMIFS(PROVEEDORES[Total],PROVEEDORES[PROVEEDOR],PROVEEDORES[[#This Row],[PROVEEDOR]],PROVEEDORES[FECHA DE PAGO],"")</f>
        <v>1730482</v>
      </c>
      <c r="E1056" s="140"/>
      <c r="F1056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56" s="127">
        <v>45278</v>
      </c>
      <c r="H1056" s="123" t="s">
        <v>222</v>
      </c>
      <c r="I1056" s="127">
        <v>45260</v>
      </c>
      <c r="J1056" s="124">
        <v>1836</v>
      </c>
      <c r="K1056" s="124" t="s">
        <v>1530</v>
      </c>
      <c r="L1056" s="124"/>
      <c r="M1056" s="125">
        <v>447200</v>
      </c>
      <c r="N1056" s="148">
        <v>0</v>
      </c>
      <c r="O1056" s="148">
        <v>0</v>
      </c>
      <c r="P1056" s="149">
        <v>0</v>
      </c>
      <c r="Q1056" s="148">
        <v>0</v>
      </c>
      <c r="R1056" s="150">
        <v>447200</v>
      </c>
      <c r="S10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6" s="135">
        <f ca="1">+IF(PROVEEDORES[[#This Row],[FECHA DE PAGO]]=0,TODAY()-PROVEEDORES[[#This Row],[FECHA DE FACTURACIÓN]]-PROVEEDORES[[#This Row],[PLAZO Días]],0)</f>
        <v>0</v>
      </c>
      <c r="U1056" s="135">
        <f>+VLOOKUP(PROVEEDORES[[#This Row],[PROVEEDOR]],Terceros!$A:$D,4,FALSE)</f>
        <v>0</v>
      </c>
      <c r="V1056" s="135">
        <f>+YEAR(PROVEEDORES[[#This Row],[FECHA DE FACTURACIÓN]])</f>
        <v>2023</v>
      </c>
      <c r="W1056" s="135">
        <f>+MATCH(PROVEEDORES[[#This Row],[año facturado]],Retenciones!$1:$1,0)</f>
        <v>6</v>
      </c>
      <c r="X1056" s="136">
        <f>+VLOOKUP(PROVEEDORES[[#This Row],[ID RETENCION]],Retenciones!$A$1:$O$25,PROVEEDORES[[#This Row],[indicador de columna]],FALSE)</f>
        <v>0</v>
      </c>
      <c r="Y1056" s="137">
        <f>+VLOOKUP(PROVEEDORES[[#This Row],[ID RETENCION]],Retenciones!$A$1:$O$25,2,FALSE)</f>
        <v>0</v>
      </c>
      <c r="Z1056" s="126" t="b">
        <f>+OR(COUNTIF(PROVEEDORES[[#This Row],[PROVEEDOR]],"*"&amp;'Palabra que no opera y Listas d'!$A$2&amp;"*"))</f>
        <v>0</v>
      </c>
    </row>
    <row r="1057" spans="1:26" ht="27.75" customHeight="1" x14ac:dyDescent="0.25">
      <c r="A1057" s="141" t="str">
        <f>+IF(PROVEEDORES[[#This Row],[FECHA DE PAGO]]=PROVEEDORES[[#This Row],[FECHA DE FACTURACIÓN]],"DE CONTADO","CRÉDITO")</f>
        <v>CRÉDITO</v>
      </c>
      <c r="B1057" s="138" t="b">
        <f>+IF((PROVEEDORES[[#This Row],[FECHA DE PAGO]]-PROVEEDORES[[#This Row],[FECHA DE FACTURACIÓN]])&gt;PROVEEDORES[[#This Row],[PLAZO Días]],"PAGO VENCIDO")</f>
        <v>0</v>
      </c>
      <c r="C1057" s="138">
        <f>+VLOOKUP(PROVEEDORES[[#This Row],[PROVEEDOR]],TERCEROS_INFO[#All],2,FALSE)</f>
        <v>60</v>
      </c>
      <c r="D1057" s="139">
        <f>+SUMIFS(PROVEEDORES[Total],PROVEEDORES[PROVEEDOR],PROVEEDORES[[#This Row],[PROVEEDOR]],PROVEEDORES[FECHA DE PAGO],"")</f>
        <v>1730482</v>
      </c>
      <c r="E1057" s="140"/>
      <c r="F1057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57" s="127">
        <v>45278</v>
      </c>
      <c r="H1057" s="123" t="s">
        <v>222</v>
      </c>
      <c r="I1057" s="127">
        <v>45260</v>
      </c>
      <c r="J1057" s="124">
        <v>1837</v>
      </c>
      <c r="K1057" s="124" t="s">
        <v>1530</v>
      </c>
      <c r="L1057" s="124"/>
      <c r="M1057" s="125">
        <v>516000</v>
      </c>
      <c r="N1057" s="148">
        <v>0</v>
      </c>
      <c r="O1057" s="148">
        <v>0</v>
      </c>
      <c r="P1057" s="149">
        <v>0</v>
      </c>
      <c r="Q1057" s="148">
        <v>0</v>
      </c>
      <c r="R1057" s="150">
        <v>516000</v>
      </c>
      <c r="S10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7" s="135">
        <f ca="1">+IF(PROVEEDORES[[#This Row],[FECHA DE PAGO]]=0,TODAY()-PROVEEDORES[[#This Row],[FECHA DE FACTURACIÓN]]-PROVEEDORES[[#This Row],[PLAZO Días]],0)</f>
        <v>0</v>
      </c>
      <c r="U1057" s="135">
        <f>+VLOOKUP(PROVEEDORES[[#This Row],[PROVEEDOR]],Terceros!$A:$D,4,FALSE)</f>
        <v>0</v>
      </c>
      <c r="V1057" s="135">
        <f>+YEAR(PROVEEDORES[[#This Row],[FECHA DE FACTURACIÓN]])</f>
        <v>2023</v>
      </c>
      <c r="W1057" s="135">
        <f>+MATCH(PROVEEDORES[[#This Row],[año facturado]],Retenciones!$1:$1,0)</f>
        <v>6</v>
      </c>
      <c r="X1057" s="136">
        <f>+VLOOKUP(PROVEEDORES[[#This Row],[ID RETENCION]],Retenciones!$A$1:$O$25,PROVEEDORES[[#This Row],[indicador de columna]],FALSE)</f>
        <v>0</v>
      </c>
      <c r="Y1057" s="137">
        <f>+VLOOKUP(PROVEEDORES[[#This Row],[ID RETENCION]],Retenciones!$A$1:$O$25,2,FALSE)</f>
        <v>0</v>
      </c>
      <c r="Z1057" s="126" t="b">
        <f>+OR(COUNTIF(PROVEEDORES[[#This Row],[PROVEEDOR]],"*"&amp;'Palabra que no opera y Listas d'!$A$2&amp;"*"))</f>
        <v>0</v>
      </c>
    </row>
    <row r="1058" spans="1:26" ht="27.75" customHeight="1" x14ac:dyDescent="0.25">
      <c r="A1058" s="141" t="str">
        <f>+IF(PROVEEDORES[[#This Row],[FECHA DE PAGO]]=PROVEEDORES[[#This Row],[FECHA DE FACTURACIÓN]],"DE CONTADO","CRÉDITO")</f>
        <v>CRÉDITO</v>
      </c>
      <c r="B1058" s="138" t="b">
        <f>+IF((PROVEEDORES[[#This Row],[FECHA DE PAGO]]-PROVEEDORES[[#This Row],[FECHA DE FACTURACIÓN]])&gt;PROVEEDORES[[#This Row],[PLAZO Días]],"PAGO VENCIDO")</f>
        <v>0</v>
      </c>
      <c r="C1058" s="138">
        <f>+VLOOKUP(PROVEEDORES[[#This Row],[PROVEEDOR]],TERCEROS_INFO[#All],2,FALSE)</f>
        <v>60</v>
      </c>
      <c r="D1058" s="139">
        <f>+SUMIFS(PROVEEDORES[Total],PROVEEDORES[PROVEEDOR],PROVEEDORES[[#This Row],[PROVEEDOR]],PROVEEDORES[FECHA DE PAGO],"")</f>
        <v>1730482</v>
      </c>
      <c r="E1058" s="140"/>
      <c r="F1058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58" s="127">
        <v>45278</v>
      </c>
      <c r="H1058" s="123" t="s">
        <v>222</v>
      </c>
      <c r="I1058" s="127">
        <v>45260</v>
      </c>
      <c r="J1058" s="124">
        <v>1841</v>
      </c>
      <c r="K1058" s="124" t="s">
        <v>1530</v>
      </c>
      <c r="L1058" s="124"/>
      <c r="M1058" s="125">
        <v>1097790</v>
      </c>
      <c r="N1058" s="148">
        <v>0</v>
      </c>
      <c r="O1058" s="148">
        <v>0</v>
      </c>
      <c r="P1058" s="149">
        <v>0</v>
      </c>
      <c r="Q1058" s="148">
        <v>0</v>
      </c>
      <c r="R1058" s="150">
        <v>1097790</v>
      </c>
      <c r="S10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8" s="135">
        <f ca="1">+IF(PROVEEDORES[[#This Row],[FECHA DE PAGO]]=0,TODAY()-PROVEEDORES[[#This Row],[FECHA DE FACTURACIÓN]]-PROVEEDORES[[#This Row],[PLAZO Días]],0)</f>
        <v>0</v>
      </c>
      <c r="U1058" s="135">
        <f>+VLOOKUP(PROVEEDORES[[#This Row],[PROVEEDOR]],Terceros!$A:$D,4,FALSE)</f>
        <v>0</v>
      </c>
      <c r="V1058" s="135">
        <f>+YEAR(PROVEEDORES[[#This Row],[FECHA DE FACTURACIÓN]])</f>
        <v>2023</v>
      </c>
      <c r="W1058" s="135">
        <f>+MATCH(PROVEEDORES[[#This Row],[año facturado]],Retenciones!$1:$1,0)</f>
        <v>6</v>
      </c>
      <c r="X1058" s="136">
        <f>+VLOOKUP(PROVEEDORES[[#This Row],[ID RETENCION]],Retenciones!$A$1:$O$25,PROVEEDORES[[#This Row],[indicador de columna]],FALSE)</f>
        <v>0</v>
      </c>
      <c r="Y1058" s="137">
        <f>+VLOOKUP(PROVEEDORES[[#This Row],[ID RETENCION]],Retenciones!$A$1:$O$25,2,FALSE)</f>
        <v>0</v>
      </c>
      <c r="Z1058" s="126" t="b">
        <f>+OR(COUNTIF(PROVEEDORES[[#This Row],[PROVEEDOR]],"*"&amp;'Palabra que no opera y Listas d'!$A$2&amp;"*"))</f>
        <v>0</v>
      </c>
    </row>
    <row r="1059" spans="1:26" ht="27.75" customHeight="1" x14ac:dyDescent="0.25">
      <c r="A1059" s="141" t="str">
        <f>+IF(PROVEEDORES[[#This Row],[FECHA DE PAGO]]=PROVEEDORES[[#This Row],[FECHA DE FACTURACIÓN]],"DE CONTADO","CRÉDITO")</f>
        <v>CRÉDITO</v>
      </c>
      <c r="B1059" s="138" t="b">
        <f>+IF((PROVEEDORES[[#This Row],[FECHA DE PAGO]]-PROVEEDORES[[#This Row],[FECHA DE FACTURACIÓN]])&gt;PROVEEDORES[[#This Row],[PLAZO Días]],"PAGO VENCIDO")</f>
        <v>0</v>
      </c>
      <c r="C1059" s="138">
        <f>+VLOOKUP(PROVEEDORES[[#This Row],[PROVEEDOR]],TERCEROS_INFO[#All],2,FALSE)</f>
        <v>60</v>
      </c>
      <c r="D1059" s="139">
        <f>+SUMIFS(PROVEEDORES[Total],PROVEEDORES[PROVEEDOR],PROVEEDORES[[#This Row],[PROVEEDOR]],PROVEEDORES[FECHA DE PAGO],"")</f>
        <v>1730482</v>
      </c>
      <c r="E1059" s="140"/>
      <c r="F1059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59" s="127">
        <v>45278</v>
      </c>
      <c r="H1059" s="123" t="s">
        <v>222</v>
      </c>
      <c r="I1059" s="127">
        <v>45260</v>
      </c>
      <c r="J1059" s="124">
        <v>1851</v>
      </c>
      <c r="K1059" s="124" t="s">
        <v>1530</v>
      </c>
      <c r="L1059" s="124"/>
      <c r="M1059" s="125">
        <v>756800</v>
      </c>
      <c r="N1059" s="148">
        <v>0</v>
      </c>
      <c r="O1059" s="148">
        <v>0</v>
      </c>
      <c r="P1059" s="149">
        <v>0</v>
      </c>
      <c r="Q1059" s="148">
        <v>0</v>
      </c>
      <c r="R1059" s="150">
        <v>756800</v>
      </c>
      <c r="S10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59" s="135">
        <f ca="1">+IF(PROVEEDORES[[#This Row],[FECHA DE PAGO]]=0,TODAY()-PROVEEDORES[[#This Row],[FECHA DE FACTURACIÓN]]-PROVEEDORES[[#This Row],[PLAZO Días]],0)</f>
        <v>0</v>
      </c>
      <c r="U1059" s="135">
        <f>+VLOOKUP(PROVEEDORES[[#This Row],[PROVEEDOR]],Terceros!$A:$D,4,FALSE)</f>
        <v>0</v>
      </c>
      <c r="V1059" s="135">
        <f>+YEAR(PROVEEDORES[[#This Row],[FECHA DE FACTURACIÓN]])</f>
        <v>2023</v>
      </c>
      <c r="W1059" s="135">
        <f>+MATCH(PROVEEDORES[[#This Row],[año facturado]],Retenciones!$1:$1,0)</f>
        <v>6</v>
      </c>
      <c r="X1059" s="136">
        <f>+VLOOKUP(PROVEEDORES[[#This Row],[ID RETENCION]],Retenciones!$A$1:$O$25,PROVEEDORES[[#This Row],[indicador de columna]],FALSE)</f>
        <v>0</v>
      </c>
      <c r="Y1059" s="137">
        <f>+VLOOKUP(PROVEEDORES[[#This Row],[ID RETENCION]],Retenciones!$A$1:$O$25,2,FALSE)</f>
        <v>0</v>
      </c>
      <c r="Z1059" s="126" t="b">
        <f>+OR(COUNTIF(PROVEEDORES[[#This Row],[PROVEEDOR]],"*"&amp;'Palabra que no opera y Listas d'!$A$2&amp;"*"))</f>
        <v>0</v>
      </c>
    </row>
    <row r="1060" spans="1:26" ht="27.75" customHeight="1" x14ac:dyDescent="0.25">
      <c r="A1060" s="141" t="str">
        <f>+IF(PROVEEDORES[[#This Row],[FECHA DE PAGO]]=PROVEEDORES[[#This Row],[FECHA DE FACTURACIÓN]],"DE CONTADO","CRÉDITO")</f>
        <v>CRÉDITO</v>
      </c>
      <c r="B1060" s="138" t="b">
        <f>+IF((PROVEEDORES[[#This Row],[FECHA DE PAGO]]-PROVEEDORES[[#This Row],[FECHA DE FACTURACIÓN]])&gt;PROVEEDORES[[#This Row],[PLAZO Días]],"PAGO VENCIDO")</f>
        <v>0</v>
      </c>
      <c r="C1060" s="138">
        <f>+VLOOKUP(PROVEEDORES[[#This Row],[PROVEEDOR]],TERCEROS_INFO[#All],2,FALSE)</f>
        <v>60</v>
      </c>
      <c r="D1060" s="139">
        <f>+SUMIFS(PROVEEDORES[Total],PROVEEDORES[PROVEEDOR],PROVEEDORES[[#This Row],[PROVEEDOR]],PROVEEDORES[FECHA DE PAGO],"")</f>
        <v>1730482</v>
      </c>
      <c r="E1060" s="140"/>
      <c r="F1060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60" s="127">
        <v>45278</v>
      </c>
      <c r="H1060" s="123" t="s">
        <v>222</v>
      </c>
      <c r="I1060" s="127">
        <v>45260</v>
      </c>
      <c r="J1060" s="124">
        <v>1850</v>
      </c>
      <c r="K1060" s="124" t="s">
        <v>1530</v>
      </c>
      <c r="L1060" s="124"/>
      <c r="M1060" s="125">
        <v>1177770</v>
      </c>
      <c r="N1060" s="148">
        <v>0</v>
      </c>
      <c r="O1060" s="148">
        <v>0</v>
      </c>
      <c r="P1060" s="149">
        <v>0</v>
      </c>
      <c r="Q1060" s="148">
        <v>0</v>
      </c>
      <c r="R1060" s="150">
        <v>1177770</v>
      </c>
      <c r="S10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0" s="135">
        <f ca="1">+IF(PROVEEDORES[[#This Row],[FECHA DE PAGO]]=0,TODAY()-PROVEEDORES[[#This Row],[FECHA DE FACTURACIÓN]]-PROVEEDORES[[#This Row],[PLAZO Días]],0)</f>
        <v>0</v>
      </c>
      <c r="U1060" s="135">
        <f>+VLOOKUP(PROVEEDORES[[#This Row],[PROVEEDOR]],Terceros!$A:$D,4,FALSE)</f>
        <v>0</v>
      </c>
      <c r="V1060" s="135">
        <f>+YEAR(PROVEEDORES[[#This Row],[FECHA DE FACTURACIÓN]])</f>
        <v>2023</v>
      </c>
      <c r="W1060" s="135">
        <f>+MATCH(PROVEEDORES[[#This Row],[año facturado]],Retenciones!$1:$1,0)</f>
        <v>6</v>
      </c>
      <c r="X1060" s="136">
        <f>+VLOOKUP(PROVEEDORES[[#This Row],[ID RETENCION]],Retenciones!$A$1:$O$25,PROVEEDORES[[#This Row],[indicador de columna]],FALSE)</f>
        <v>0</v>
      </c>
      <c r="Y1060" s="137">
        <f>+VLOOKUP(PROVEEDORES[[#This Row],[ID RETENCION]],Retenciones!$A$1:$O$25,2,FALSE)</f>
        <v>0</v>
      </c>
      <c r="Z1060" s="126" t="b">
        <f>+OR(COUNTIF(PROVEEDORES[[#This Row],[PROVEEDOR]],"*"&amp;'Palabra que no opera y Listas d'!$A$2&amp;"*"))</f>
        <v>0</v>
      </c>
    </row>
    <row r="1061" spans="1:26" ht="27.75" customHeight="1" x14ac:dyDescent="0.25">
      <c r="A1061" s="141" t="str">
        <f>+IF(PROVEEDORES[[#This Row],[FECHA DE PAGO]]=PROVEEDORES[[#This Row],[FECHA DE FACTURACIÓN]],"DE CONTADO","CRÉDITO")</f>
        <v>CRÉDITO</v>
      </c>
      <c r="B1061" s="138" t="b">
        <f>+IF((PROVEEDORES[[#This Row],[FECHA DE PAGO]]-PROVEEDORES[[#This Row],[FECHA DE FACTURACIÓN]])&gt;PROVEEDORES[[#This Row],[PLAZO Días]],"PAGO VENCIDO")</f>
        <v>0</v>
      </c>
      <c r="C1061" s="138">
        <f>+VLOOKUP(PROVEEDORES[[#This Row],[PROVEEDOR]],TERCEROS_INFO[#All],2,FALSE)</f>
        <v>60</v>
      </c>
      <c r="D1061" s="139">
        <f>+SUMIFS(PROVEEDORES[Total],PROVEEDORES[PROVEEDOR],PROVEEDORES[[#This Row],[PROVEEDOR]],PROVEEDORES[FECHA DE PAGO],"")</f>
        <v>1730482</v>
      </c>
      <c r="E1061" s="140"/>
      <c r="F1061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61" s="127">
        <v>45278</v>
      </c>
      <c r="H1061" s="123" t="s">
        <v>222</v>
      </c>
      <c r="I1061" s="127">
        <v>45264</v>
      </c>
      <c r="J1061" s="124">
        <v>1853</v>
      </c>
      <c r="K1061" s="124" t="s">
        <v>504</v>
      </c>
      <c r="L1061" s="124"/>
      <c r="M1061" s="125">
        <v>619200</v>
      </c>
      <c r="N1061" s="148">
        <v>0</v>
      </c>
      <c r="O1061" s="148">
        <v>0</v>
      </c>
      <c r="P1061" s="149">
        <v>0</v>
      </c>
      <c r="Q1061" s="148">
        <v>0</v>
      </c>
      <c r="R1061" s="150">
        <v>619200</v>
      </c>
      <c r="S10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1" s="135">
        <f ca="1">+IF(PROVEEDORES[[#This Row],[FECHA DE PAGO]]=0,TODAY()-PROVEEDORES[[#This Row],[FECHA DE FACTURACIÓN]]-PROVEEDORES[[#This Row],[PLAZO Días]],0)</f>
        <v>0</v>
      </c>
      <c r="U1061" s="135">
        <f>+VLOOKUP(PROVEEDORES[[#This Row],[PROVEEDOR]],Terceros!$A:$D,4,FALSE)</f>
        <v>0</v>
      </c>
      <c r="V1061" s="135">
        <f>+YEAR(PROVEEDORES[[#This Row],[FECHA DE FACTURACIÓN]])</f>
        <v>2023</v>
      </c>
      <c r="W1061" s="135">
        <f>+MATCH(PROVEEDORES[[#This Row],[año facturado]],Retenciones!$1:$1,0)</f>
        <v>6</v>
      </c>
      <c r="X1061" s="136">
        <f>+VLOOKUP(PROVEEDORES[[#This Row],[ID RETENCION]],Retenciones!$A$1:$O$25,PROVEEDORES[[#This Row],[indicador de columna]],FALSE)</f>
        <v>0</v>
      </c>
      <c r="Y1061" s="137">
        <f>+VLOOKUP(PROVEEDORES[[#This Row],[ID RETENCION]],Retenciones!$A$1:$O$25,2,FALSE)</f>
        <v>0</v>
      </c>
      <c r="Z1061" s="126" t="b">
        <f>+OR(COUNTIF(PROVEEDORES[[#This Row],[PROVEEDOR]],"*"&amp;'Palabra que no opera y Listas d'!$A$2&amp;"*"))</f>
        <v>0</v>
      </c>
    </row>
    <row r="1062" spans="1:26" ht="27.75" customHeight="1" x14ac:dyDescent="0.25">
      <c r="A1062" s="141" t="str">
        <f>+IF(PROVEEDORES[[#This Row],[FECHA DE PAGO]]=PROVEEDORES[[#This Row],[FECHA DE FACTURACIÓN]],"DE CONTADO","CRÉDITO")</f>
        <v>CRÉDITO</v>
      </c>
      <c r="B1062" s="138" t="b">
        <f>+IF((PROVEEDORES[[#This Row],[FECHA DE PAGO]]-PROVEEDORES[[#This Row],[FECHA DE FACTURACIÓN]])&gt;PROVEEDORES[[#This Row],[PLAZO Días]],"PAGO VENCIDO")</f>
        <v>0</v>
      </c>
      <c r="C1062" s="138">
        <f>+VLOOKUP(PROVEEDORES[[#This Row],[PROVEEDOR]],TERCEROS_INFO[#All],2,FALSE)</f>
        <v>60</v>
      </c>
      <c r="D1062" s="139">
        <f>+SUMIFS(PROVEEDORES[Total],PROVEEDORES[PROVEEDOR],PROVEEDORES[[#This Row],[PROVEEDOR]],PROVEEDORES[FECHA DE PAGO],"")</f>
        <v>1730482</v>
      </c>
      <c r="E1062" s="140"/>
      <c r="F1062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62" s="127">
        <v>45278</v>
      </c>
      <c r="H1062" s="123" t="s">
        <v>222</v>
      </c>
      <c r="I1062" s="127">
        <v>45267</v>
      </c>
      <c r="J1062" s="124">
        <v>1854</v>
      </c>
      <c r="K1062" s="124" t="s">
        <v>1530</v>
      </c>
      <c r="L1062" s="124"/>
      <c r="M1062" s="125">
        <v>344000</v>
      </c>
      <c r="N1062" s="148">
        <v>0</v>
      </c>
      <c r="O1062" s="148">
        <v>0</v>
      </c>
      <c r="P1062" s="149">
        <v>0</v>
      </c>
      <c r="Q1062" s="148">
        <v>0</v>
      </c>
      <c r="R1062" s="150">
        <v>344000</v>
      </c>
      <c r="S10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2" s="135">
        <f ca="1">+IF(PROVEEDORES[[#This Row],[FECHA DE PAGO]]=0,TODAY()-PROVEEDORES[[#This Row],[FECHA DE FACTURACIÓN]]-PROVEEDORES[[#This Row],[PLAZO Días]],0)</f>
        <v>0</v>
      </c>
      <c r="U1062" s="135">
        <f>+VLOOKUP(PROVEEDORES[[#This Row],[PROVEEDOR]],Terceros!$A:$D,4,FALSE)</f>
        <v>0</v>
      </c>
      <c r="V1062" s="135">
        <f>+YEAR(PROVEEDORES[[#This Row],[FECHA DE FACTURACIÓN]])</f>
        <v>2023</v>
      </c>
      <c r="W1062" s="135">
        <f>+MATCH(PROVEEDORES[[#This Row],[año facturado]],Retenciones!$1:$1,0)</f>
        <v>6</v>
      </c>
      <c r="X1062" s="136">
        <f>+VLOOKUP(PROVEEDORES[[#This Row],[ID RETENCION]],Retenciones!$A$1:$O$25,PROVEEDORES[[#This Row],[indicador de columna]],FALSE)</f>
        <v>0</v>
      </c>
      <c r="Y1062" s="137">
        <f>+VLOOKUP(PROVEEDORES[[#This Row],[ID RETENCION]],Retenciones!$A$1:$O$25,2,FALSE)</f>
        <v>0</v>
      </c>
      <c r="Z1062" s="126" t="b">
        <f>+OR(COUNTIF(PROVEEDORES[[#This Row],[PROVEEDOR]],"*"&amp;'Palabra que no opera y Listas d'!$A$2&amp;"*"))</f>
        <v>0</v>
      </c>
    </row>
    <row r="1063" spans="1:26" ht="27.75" customHeight="1" x14ac:dyDescent="0.25">
      <c r="A1063" s="141" t="str">
        <f>+IF(PROVEEDORES[[#This Row],[FECHA DE PAGO]]=PROVEEDORES[[#This Row],[FECHA DE FACTURACIÓN]],"DE CONTADO","CRÉDITO")</f>
        <v>CRÉDITO</v>
      </c>
      <c r="B1063" s="138" t="b">
        <f>+IF((PROVEEDORES[[#This Row],[FECHA DE PAGO]]-PROVEEDORES[[#This Row],[FECHA DE FACTURACIÓN]])&gt;PROVEEDORES[[#This Row],[PLAZO Días]],"PAGO VENCIDO")</f>
        <v>0</v>
      </c>
      <c r="C1063" s="138">
        <f>+VLOOKUP(PROVEEDORES[[#This Row],[PROVEEDOR]],TERCEROS_INFO[#All],2,FALSE)</f>
        <v>60</v>
      </c>
      <c r="D1063" s="139">
        <f>+SUMIFS(PROVEEDORES[Total],PROVEEDORES[PROVEEDOR],PROVEEDORES[[#This Row],[PROVEEDOR]],PROVEEDORES[FECHA DE PAGO],"")</f>
        <v>1730482</v>
      </c>
      <c r="E1063" s="140"/>
      <c r="F1063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063" s="127">
        <v>45278</v>
      </c>
      <c r="H1063" s="123" t="s">
        <v>222</v>
      </c>
      <c r="I1063" s="127">
        <v>45267</v>
      </c>
      <c r="J1063" s="124">
        <v>1863</v>
      </c>
      <c r="K1063" s="124" t="s">
        <v>1530</v>
      </c>
      <c r="L1063" s="124"/>
      <c r="M1063" s="125">
        <v>430000</v>
      </c>
      <c r="N1063" s="148">
        <v>0</v>
      </c>
      <c r="O1063" s="148">
        <v>0</v>
      </c>
      <c r="P1063" s="149">
        <v>0</v>
      </c>
      <c r="Q1063" s="148">
        <v>0</v>
      </c>
      <c r="R1063" s="150">
        <v>430000</v>
      </c>
      <c r="S10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3" s="135">
        <f ca="1">+IF(PROVEEDORES[[#This Row],[FECHA DE PAGO]]=0,TODAY()-PROVEEDORES[[#This Row],[FECHA DE FACTURACIÓN]]-PROVEEDORES[[#This Row],[PLAZO Días]],0)</f>
        <v>0</v>
      </c>
      <c r="U1063" s="135">
        <f>+VLOOKUP(PROVEEDORES[[#This Row],[PROVEEDOR]],Terceros!$A:$D,4,FALSE)</f>
        <v>0</v>
      </c>
      <c r="V1063" s="135">
        <f>+YEAR(PROVEEDORES[[#This Row],[FECHA DE FACTURACIÓN]])</f>
        <v>2023</v>
      </c>
      <c r="W1063" s="135">
        <f>+MATCH(PROVEEDORES[[#This Row],[año facturado]],Retenciones!$1:$1,0)</f>
        <v>6</v>
      </c>
      <c r="X1063" s="136">
        <f>+VLOOKUP(PROVEEDORES[[#This Row],[ID RETENCION]],Retenciones!$A$1:$O$25,PROVEEDORES[[#This Row],[indicador de columna]],FALSE)</f>
        <v>0</v>
      </c>
      <c r="Y1063" s="137">
        <f>+VLOOKUP(PROVEEDORES[[#This Row],[ID RETENCION]],Retenciones!$A$1:$O$25,2,FALSE)</f>
        <v>0</v>
      </c>
      <c r="Z1063" s="126" t="b">
        <f>+OR(COUNTIF(PROVEEDORES[[#This Row],[PROVEEDOR]],"*"&amp;'Palabra que no opera y Listas d'!$A$2&amp;"*"))</f>
        <v>0</v>
      </c>
    </row>
    <row r="1064" spans="1:26" ht="27.75" customHeight="1" x14ac:dyDescent="0.25">
      <c r="A1064" s="141" t="str">
        <f>+IF(PROVEEDORES[[#This Row],[FECHA DE PAGO]]=PROVEEDORES[[#This Row],[FECHA DE FACTURACIÓN]],"DE CONTADO","CRÉDITO")</f>
        <v>DE CONTADO</v>
      </c>
      <c r="B1064" s="138" t="b">
        <f>+IF((PROVEEDORES[[#This Row],[FECHA DE PAGO]]-PROVEEDORES[[#This Row],[FECHA DE FACTURACIÓN]])&gt;PROVEEDORES[[#This Row],[PLAZO Días]],"PAGO VENCIDO")</f>
        <v>0</v>
      </c>
      <c r="C1064" s="138">
        <f>+VLOOKUP(PROVEEDORES[[#This Row],[PROVEEDOR]],TERCEROS_INFO[#All],2,FALSE)</f>
        <v>30</v>
      </c>
      <c r="D1064" s="139">
        <f>+SUMIFS(PROVEEDORES[Total],PROVEEDORES[PROVEEDOR],PROVEEDORES[[#This Row],[PROVEEDOR]],PROVEEDORES[FECHA DE PAGO],"")</f>
        <v>0</v>
      </c>
      <c r="E1064" s="140"/>
      <c r="F1064" s="138">
        <f>+VLOOKUP(PROVEEDORES[[#This Row],[PROVEEDOR]],
                       Terceros!$A:$F,
                       5,
                       FALSE)</f>
        <v>0</v>
      </c>
      <c r="G1064" s="127">
        <v>45278</v>
      </c>
      <c r="H1064" s="123" t="s">
        <v>497</v>
      </c>
      <c r="I1064" s="127">
        <v>45278</v>
      </c>
      <c r="J1064" s="124" t="s">
        <v>1349</v>
      </c>
      <c r="K1064" s="124" t="s">
        <v>1530</v>
      </c>
      <c r="L1064" s="124"/>
      <c r="M1064" s="125">
        <v>1000000</v>
      </c>
      <c r="N1064" s="148">
        <v>190000</v>
      </c>
      <c r="O1064" s="148">
        <v>0</v>
      </c>
      <c r="P1064" s="149">
        <v>0</v>
      </c>
      <c r="Q1064" s="148">
        <v>0</v>
      </c>
      <c r="R1064" s="150">
        <v>1190000</v>
      </c>
      <c r="S10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4" s="135">
        <f ca="1">+IF(PROVEEDORES[[#This Row],[FECHA DE PAGO]]=0,TODAY()-PROVEEDORES[[#This Row],[FECHA DE FACTURACIÓN]]-PROVEEDORES[[#This Row],[PLAZO Días]],0)</f>
        <v>0</v>
      </c>
      <c r="U1064" s="135" t="str">
        <f>+VLOOKUP(PROVEEDORES[[#This Row],[PROVEEDOR]],Terceros!$A:$D,4,FALSE)</f>
        <v>2,5% con base</v>
      </c>
      <c r="V1064" s="135">
        <f>+YEAR(PROVEEDORES[[#This Row],[FECHA DE FACTURACIÓN]])</f>
        <v>2023</v>
      </c>
      <c r="W1064" s="135">
        <f>+MATCH(PROVEEDORES[[#This Row],[año facturado]],Retenciones!$1:$1,0)</f>
        <v>6</v>
      </c>
      <c r="X1064" s="136">
        <f>+VLOOKUP(PROVEEDORES[[#This Row],[ID RETENCION]],Retenciones!$A$1:$O$25,PROVEEDORES[[#This Row],[indicador de columna]],FALSE)</f>
        <v>1145000</v>
      </c>
      <c r="Y1064" s="137">
        <f>+VLOOKUP(PROVEEDORES[[#This Row],[ID RETENCION]],Retenciones!$A$1:$O$25,2,FALSE)</f>
        <v>2.5000000000000001E-2</v>
      </c>
      <c r="Z1064" s="126" t="b">
        <f>+OR(COUNTIF(PROVEEDORES[[#This Row],[PROVEEDOR]],"*"&amp;'Palabra que no opera y Listas d'!$A$2&amp;"*"))</f>
        <v>0</v>
      </c>
    </row>
    <row r="1065" spans="1:26" ht="27.75" customHeight="1" x14ac:dyDescent="0.25">
      <c r="A1065" s="141" t="str">
        <f>+IF(PROVEEDORES[[#This Row],[FECHA DE PAGO]]=PROVEEDORES[[#This Row],[FECHA DE FACTURACIÓN]],"DE CONTADO","CRÉDITO")</f>
        <v>DE CONTADO</v>
      </c>
      <c r="B1065" s="138" t="b">
        <f>+IF((PROVEEDORES[[#This Row],[FECHA DE PAGO]]-PROVEEDORES[[#This Row],[FECHA DE FACTURACIÓN]])&gt;PROVEEDORES[[#This Row],[PLAZO Días]],"PAGO VENCIDO")</f>
        <v>0</v>
      </c>
      <c r="C1065" s="138">
        <f>+VLOOKUP(PROVEEDORES[[#This Row],[PROVEEDOR]],TERCEROS_INFO[#All],2,FALSE)</f>
        <v>30</v>
      </c>
      <c r="D1065" s="139">
        <f>+SUMIFS(PROVEEDORES[Total],PROVEEDORES[PROVEEDOR],PROVEEDORES[[#This Row],[PROVEEDOR]],PROVEEDORES[FECHA DE PAGO],"")</f>
        <v>0</v>
      </c>
      <c r="E1065" s="140"/>
      <c r="F1065" s="138" t="str">
        <f>+VLOOKUP(PROVEEDORES[[#This Row],[PROVEEDOR]],
                       Terceros!$A:$F,
                       5,
                       FALSE)</f>
        <v>icelectronicsmedellin@hotmail.com</v>
      </c>
      <c r="G1065" s="127">
        <v>45278</v>
      </c>
      <c r="H1065" s="123" t="s">
        <v>1345</v>
      </c>
      <c r="I1065" s="127">
        <v>45278</v>
      </c>
      <c r="J1065" s="124" t="s">
        <v>1348</v>
      </c>
      <c r="K1065" s="124" t="s">
        <v>1530</v>
      </c>
      <c r="L1065" s="124"/>
      <c r="M1065" s="125">
        <v>630252</v>
      </c>
      <c r="N1065" s="148">
        <v>119747.88</v>
      </c>
      <c r="O1065" s="148">
        <v>0</v>
      </c>
      <c r="P1065" s="149">
        <v>0</v>
      </c>
      <c r="Q1065" s="148">
        <v>0</v>
      </c>
      <c r="R1065" s="150">
        <v>749999.88</v>
      </c>
      <c r="S10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5" s="135">
        <f ca="1">+IF(PROVEEDORES[[#This Row],[FECHA DE PAGO]]=0,TODAY()-PROVEEDORES[[#This Row],[FECHA DE FACTURACIÓN]]-PROVEEDORES[[#This Row],[PLAZO Días]],0)</f>
        <v>0</v>
      </c>
      <c r="U1065" s="135" t="str">
        <f>+VLOOKUP(PROVEEDORES[[#This Row],[PROVEEDOR]],Terceros!$A:$D,4,FALSE)</f>
        <v>2,5% con base</v>
      </c>
      <c r="V1065" s="135">
        <f>+YEAR(PROVEEDORES[[#This Row],[FECHA DE FACTURACIÓN]])</f>
        <v>2023</v>
      </c>
      <c r="W1065" s="135">
        <f>+MATCH(PROVEEDORES[[#This Row],[año facturado]],Retenciones!$1:$1,0)</f>
        <v>6</v>
      </c>
      <c r="X1065" s="136">
        <f>+VLOOKUP(PROVEEDORES[[#This Row],[ID RETENCION]],Retenciones!$A$1:$O$25,PROVEEDORES[[#This Row],[indicador de columna]],FALSE)</f>
        <v>1145000</v>
      </c>
      <c r="Y1065" s="137">
        <f>+VLOOKUP(PROVEEDORES[[#This Row],[ID RETENCION]],Retenciones!$A$1:$O$25,2,FALSE)</f>
        <v>2.5000000000000001E-2</v>
      </c>
      <c r="Z1065" s="126" t="b">
        <f>+OR(COUNTIF(PROVEEDORES[[#This Row],[PROVEEDOR]],"*"&amp;'Palabra que no opera y Listas d'!$A$2&amp;"*"))</f>
        <v>0</v>
      </c>
    </row>
    <row r="1066" spans="1:26" ht="27.75" customHeight="1" x14ac:dyDescent="0.25">
      <c r="A1066" s="141" t="str">
        <f>+IF(PROVEEDORES[[#This Row],[FECHA DE PAGO]]=PROVEEDORES[[#This Row],[FECHA DE FACTURACIÓN]],"DE CONTADO","CRÉDITO")</f>
        <v>DE CONTADO</v>
      </c>
      <c r="B1066" s="138" t="b">
        <f>+IF((PROVEEDORES[[#This Row],[FECHA DE PAGO]]-PROVEEDORES[[#This Row],[FECHA DE FACTURACIÓN]])&gt;PROVEEDORES[[#This Row],[PLAZO Días]],"PAGO VENCIDO")</f>
        <v>0</v>
      </c>
      <c r="C1066" s="138">
        <f>+VLOOKUP(PROVEEDORES[[#This Row],[PROVEEDOR]],TERCEROS_INFO[#All],2,FALSE)</f>
        <v>30</v>
      </c>
      <c r="D1066" s="139">
        <f>+SUMIFS(PROVEEDORES[Total],PROVEEDORES[PROVEEDOR],PROVEEDORES[[#This Row],[PROVEEDOR]],PROVEEDORES[FECHA DE PAGO],"")</f>
        <v>352000</v>
      </c>
      <c r="E1066" s="140"/>
      <c r="F1066" s="138" t="str">
        <f>+VLOOKUP(PROVEEDORES[[#This Row],[PROVEEDOR]],
                       Terceros!$A:$F,
                       5,
                       FALSE)</f>
        <v/>
      </c>
      <c r="G1066" s="127">
        <v>45278</v>
      </c>
      <c r="H1066" s="123" t="s">
        <v>527</v>
      </c>
      <c r="I1066" s="127">
        <v>45278</v>
      </c>
      <c r="J1066" s="124" t="s">
        <v>1441</v>
      </c>
      <c r="K1066" s="124" t="s">
        <v>1530</v>
      </c>
      <c r="L1066" s="124"/>
      <c r="M1066" s="125">
        <v>34500</v>
      </c>
      <c r="N1066" s="148">
        <v>0</v>
      </c>
      <c r="O1066" s="148">
        <v>0</v>
      </c>
      <c r="P1066" s="149">
        <v>0</v>
      </c>
      <c r="Q1066" s="148">
        <v>0</v>
      </c>
      <c r="R1066" s="150">
        <v>34500</v>
      </c>
      <c r="S10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6" s="135">
        <f ca="1">+IF(PROVEEDORES[[#This Row],[FECHA DE PAGO]]=0,TODAY()-PROVEEDORES[[#This Row],[FECHA DE FACTURACIÓN]]-PROVEEDORES[[#This Row],[PLAZO Días]],0)</f>
        <v>0</v>
      </c>
      <c r="U1066" s="135">
        <f>+VLOOKUP(PROVEEDORES[[#This Row],[PROVEEDOR]],Terceros!$A:$D,4,FALSE)</f>
        <v>0</v>
      </c>
      <c r="V1066" s="135">
        <f>+YEAR(PROVEEDORES[[#This Row],[FECHA DE FACTURACIÓN]])</f>
        <v>2023</v>
      </c>
      <c r="W1066" s="135">
        <f>+MATCH(PROVEEDORES[[#This Row],[año facturado]],Retenciones!$1:$1,0)</f>
        <v>6</v>
      </c>
      <c r="X1066" s="136">
        <f>+VLOOKUP(PROVEEDORES[[#This Row],[ID RETENCION]],Retenciones!$A$1:$O$25,PROVEEDORES[[#This Row],[indicador de columna]],FALSE)</f>
        <v>0</v>
      </c>
      <c r="Y1066" s="137">
        <f>+VLOOKUP(PROVEEDORES[[#This Row],[ID RETENCION]],Retenciones!$A$1:$O$25,2,FALSE)</f>
        <v>0</v>
      </c>
      <c r="Z1066" s="126" t="b">
        <f>+OR(COUNTIF(PROVEEDORES[[#This Row],[PROVEEDOR]],"*"&amp;'Palabra que no opera y Listas d'!$A$2&amp;"*"))</f>
        <v>0</v>
      </c>
    </row>
    <row r="1067" spans="1:26" ht="27.75" customHeight="1" x14ac:dyDescent="0.25">
      <c r="A1067" s="141" t="str">
        <f>+IF(PROVEEDORES[[#This Row],[FECHA DE PAGO]]=PROVEEDORES[[#This Row],[FECHA DE FACTURACIÓN]],"DE CONTADO","CRÉDITO")</f>
        <v>DE CONTADO</v>
      </c>
      <c r="B1067" s="138" t="b">
        <f>+IF((PROVEEDORES[[#This Row],[FECHA DE PAGO]]-PROVEEDORES[[#This Row],[FECHA DE FACTURACIÓN]])&gt;PROVEEDORES[[#This Row],[PLAZO Días]],"PAGO VENCIDO")</f>
        <v>0</v>
      </c>
      <c r="C1067" s="138">
        <f>+VLOOKUP(PROVEEDORES[[#This Row],[PROVEEDOR]],TERCEROS_INFO[#All],2,FALSE)</f>
        <v>30</v>
      </c>
      <c r="D1067" s="139">
        <f>+SUMIFS(PROVEEDORES[Total],PROVEEDORES[PROVEEDOR],PROVEEDORES[[#This Row],[PROVEEDOR]],PROVEEDORES[FECHA DE PAGO],"")</f>
        <v>352000</v>
      </c>
      <c r="E1067" s="140"/>
      <c r="F1067" s="138" t="str">
        <f>+VLOOKUP(PROVEEDORES[[#This Row],[PROVEEDOR]],
                       Terceros!$A:$F,
                       5,
                       FALSE)</f>
        <v/>
      </c>
      <c r="G1067" s="127">
        <v>45278</v>
      </c>
      <c r="H1067" s="123" t="s">
        <v>527</v>
      </c>
      <c r="I1067" s="127">
        <v>45278</v>
      </c>
      <c r="J1067" s="124" t="s">
        <v>1499</v>
      </c>
      <c r="K1067" s="124" t="s">
        <v>1530</v>
      </c>
      <c r="L1067" s="124"/>
      <c r="M1067" s="125">
        <v>418000</v>
      </c>
      <c r="N1067" s="148">
        <v>0</v>
      </c>
      <c r="O1067" s="148">
        <v>0</v>
      </c>
      <c r="P1067" s="149">
        <v>0</v>
      </c>
      <c r="Q1067" s="148">
        <v>0</v>
      </c>
      <c r="R1067" s="150">
        <v>418000</v>
      </c>
      <c r="S10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7" s="135">
        <f ca="1">+IF(PROVEEDORES[[#This Row],[FECHA DE PAGO]]=0,TODAY()-PROVEEDORES[[#This Row],[FECHA DE FACTURACIÓN]]-PROVEEDORES[[#This Row],[PLAZO Días]],0)</f>
        <v>0</v>
      </c>
      <c r="U1067" s="135">
        <f>+VLOOKUP(PROVEEDORES[[#This Row],[PROVEEDOR]],Terceros!$A:$D,4,FALSE)</f>
        <v>0</v>
      </c>
      <c r="V1067" s="135">
        <f>+YEAR(PROVEEDORES[[#This Row],[FECHA DE FACTURACIÓN]])</f>
        <v>2023</v>
      </c>
      <c r="W1067" s="135">
        <f>+MATCH(PROVEEDORES[[#This Row],[año facturado]],Retenciones!$1:$1,0)</f>
        <v>6</v>
      </c>
      <c r="X1067" s="136">
        <f>+VLOOKUP(PROVEEDORES[[#This Row],[ID RETENCION]],Retenciones!$A$1:$O$25,PROVEEDORES[[#This Row],[indicador de columna]],FALSE)</f>
        <v>0</v>
      </c>
      <c r="Y1067" s="137">
        <f>+VLOOKUP(PROVEEDORES[[#This Row],[ID RETENCION]],Retenciones!$A$1:$O$25,2,FALSE)</f>
        <v>0</v>
      </c>
      <c r="Z1067" s="126" t="b">
        <f>+OR(COUNTIF(PROVEEDORES[[#This Row],[PROVEEDOR]],"*"&amp;'Palabra que no opera y Listas d'!$A$2&amp;"*"))</f>
        <v>0</v>
      </c>
    </row>
    <row r="1068" spans="1:26" ht="27.75" customHeight="1" x14ac:dyDescent="0.25">
      <c r="A1068" s="141" t="str">
        <f>+IF(PROVEEDORES[[#This Row],[FECHA DE PAGO]]=PROVEEDORES[[#This Row],[FECHA DE FACTURACIÓN]],"DE CONTADO","CRÉDITO")</f>
        <v>CRÉDITO</v>
      </c>
      <c r="B1068" s="138" t="str">
        <f>+IF((PROVEEDORES[[#This Row],[FECHA DE PAGO]]-PROVEEDORES[[#This Row],[FECHA DE FACTURACIÓN]])&gt;PROVEEDORES[[#This Row],[PLAZO Días]],"PAGO VENCIDO")</f>
        <v>PAGO VENCIDO</v>
      </c>
      <c r="C1068" s="138">
        <f>+VLOOKUP(PROVEEDORES[[#This Row],[PROVEEDOR]],TERCEROS_INFO[#All],2,FALSE)</f>
        <v>30</v>
      </c>
      <c r="D1068" s="139">
        <f>+SUMIFS(PROVEEDORES[Total],PROVEEDORES[PROVEEDOR],PROVEEDORES[[#This Row],[PROVEEDOR]],PROVEEDORES[FECHA DE PAGO],"")</f>
        <v>9349257.8100000005</v>
      </c>
      <c r="E1068" s="140"/>
      <c r="F1068" s="13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068" s="127">
        <v>45280</v>
      </c>
      <c r="H1068" s="123" t="s">
        <v>226</v>
      </c>
      <c r="I1068" s="127">
        <v>45246</v>
      </c>
      <c r="J1068" s="124" t="s">
        <v>1249</v>
      </c>
      <c r="K1068" s="124" t="s">
        <v>1530</v>
      </c>
      <c r="L1068" s="124"/>
      <c r="M1068" s="125">
        <v>2491740</v>
      </c>
      <c r="N1068" s="148">
        <v>473430.6</v>
      </c>
      <c r="O1068" s="148">
        <v>0</v>
      </c>
      <c r="P1068" s="149">
        <v>2.5000000000000001E-2</v>
      </c>
      <c r="Q1068" s="148">
        <v>62293.5</v>
      </c>
      <c r="R1068" s="150">
        <v>2902877.1</v>
      </c>
      <c r="S10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8" s="135">
        <f ca="1">+IF(PROVEEDORES[[#This Row],[FECHA DE PAGO]]=0,TODAY()-PROVEEDORES[[#This Row],[FECHA DE FACTURACIÓN]]-PROVEEDORES[[#This Row],[PLAZO Días]],0)</f>
        <v>0</v>
      </c>
      <c r="U1068" s="135" t="str">
        <f>+VLOOKUP(PROVEEDORES[[#This Row],[PROVEEDOR]],Terceros!$A:$D,4,FALSE)</f>
        <v>2,5% con base</v>
      </c>
      <c r="V1068" s="135">
        <f>+YEAR(PROVEEDORES[[#This Row],[FECHA DE FACTURACIÓN]])</f>
        <v>2023</v>
      </c>
      <c r="W1068" s="135">
        <f>+MATCH(PROVEEDORES[[#This Row],[año facturado]],Retenciones!$1:$1,0)</f>
        <v>6</v>
      </c>
      <c r="X1068" s="136">
        <f>+VLOOKUP(PROVEEDORES[[#This Row],[ID RETENCION]],Retenciones!$A$1:$O$25,PROVEEDORES[[#This Row],[indicador de columna]],FALSE)</f>
        <v>1145000</v>
      </c>
      <c r="Y1068" s="137">
        <f>+VLOOKUP(PROVEEDORES[[#This Row],[ID RETENCION]],Retenciones!$A$1:$O$25,2,FALSE)</f>
        <v>2.5000000000000001E-2</v>
      </c>
      <c r="Z1068" s="126" t="b">
        <f>+OR(COUNTIF(PROVEEDORES[[#This Row],[PROVEEDOR]],"*"&amp;'Palabra que no opera y Listas d'!$A$2&amp;"*"))</f>
        <v>0</v>
      </c>
    </row>
    <row r="1069" spans="1:26" ht="27.75" customHeight="1" x14ac:dyDescent="0.25">
      <c r="A1069" s="141" t="str">
        <f>+IF(PROVEEDORES[[#This Row],[FECHA DE PAGO]]=PROVEEDORES[[#This Row],[FECHA DE FACTURACIÓN]],"DE CONTADO","CRÉDITO")</f>
        <v>CRÉDITO</v>
      </c>
      <c r="B1069" s="138" t="str">
        <f>+IF((PROVEEDORES[[#This Row],[FECHA DE PAGO]]-PROVEEDORES[[#This Row],[FECHA DE FACTURACIÓN]])&gt;PROVEEDORES[[#This Row],[PLAZO Días]],"PAGO VENCIDO")</f>
        <v>PAGO VENCIDO</v>
      </c>
      <c r="C1069" s="138">
        <f>+VLOOKUP(PROVEEDORES[[#This Row],[PROVEEDOR]],TERCEROS_INFO[#All],2,FALSE)</f>
        <v>30</v>
      </c>
      <c r="D1069" s="139">
        <f>+SUMIFS(PROVEEDORES[Total],PROVEEDORES[PROVEEDOR],PROVEEDORES[[#This Row],[PROVEEDOR]],PROVEEDORES[FECHA DE PAGO],"")</f>
        <v>12628497</v>
      </c>
      <c r="E1069" s="140"/>
      <c r="F1069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069" s="127">
        <v>45280</v>
      </c>
      <c r="H1069" s="123" t="s">
        <v>451</v>
      </c>
      <c r="I1069" s="127">
        <v>45247</v>
      </c>
      <c r="J1069" s="124" t="s">
        <v>1252</v>
      </c>
      <c r="K1069" s="124" t="s">
        <v>1530</v>
      </c>
      <c r="L1069" s="124"/>
      <c r="M1069" s="125">
        <v>763000</v>
      </c>
      <c r="N1069" s="148">
        <v>144970</v>
      </c>
      <c r="O1069" s="148">
        <v>0</v>
      </c>
      <c r="P1069" s="149">
        <v>0</v>
      </c>
      <c r="Q1069" s="148">
        <v>0</v>
      </c>
      <c r="R1069" s="150">
        <v>907970</v>
      </c>
      <c r="S10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69" s="135">
        <f ca="1">+IF(PROVEEDORES[[#This Row],[FECHA DE PAGO]]=0,TODAY()-PROVEEDORES[[#This Row],[FECHA DE FACTURACIÓN]]-PROVEEDORES[[#This Row],[PLAZO Días]],0)</f>
        <v>0</v>
      </c>
      <c r="U1069" s="135" t="str">
        <f>+VLOOKUP(PROVEEDORES[[#This Row],[PROVEEDOR]],Terceros!$A:$D,4,FALSE)</f>
        <v>2,5% con base</v>
      </c>
      <c r="V1069" s="135">
        <f>+YEAR(PROVEEDORES[[#This Row],[FECHA DE FACTURACIÓN]])</f>
        <v>2023</v>
      </c>
      <c r="W1069" s="135">
        <f>+MATCH(PROVEEDORES[[#This Row],[año facturado]],Retenciones!$1:$1,0)</f>
        <v>6</v>
      </c>
      <c r="X1069" s="136">
        <f>+VLOOKUP(PROVEEDORES[[#This Row],[ID RETENCION]],Retenciones!$A$1:$O$25,PROVEEDORES[[#This Row],[indicador de columna]],FALSE)</f>
        <v>1145000</v>
      </c>
      <c r="Y1069" s="137">
        <f>+VLOOKUP(PROVEEDORES[[#This Row],[ID RETENCION]],Retenciones!$A$1:$O$25,2,FALSE)</f>
        <v>2.5000000000000001E-2</v>
      </c>
      <c r="Z1069" s="126" t="b">
        <f>+OR(COUNTIF(PROVEEDORES[[#This Row],[PROVEEDOR]],"*"&amp;'Palabra que no opera y Listas d'!$A$2&amp;"*"))</f>
        <v>0</v>
      </c>
    </row>
    <row r="1070" spans="1:26" ht="27.75" customHeight="1" x14ac:dyDescent="0.25">
      <c r="A1070" s="141" t="str">
        <f>+IF(PROVEEDORES[[#This Row],[FECHA DE PAGO]]=PROVEEDORES[[#This Row],[FECHA DE FACTURACIÓN]],"DE CONTADO","CRÉDITO")</f>
        <v>CRÉDITO</v>
      </c>
      <c r="B1070" s="138" t="b">
        <f>+IF((PROVEEDORES[[#This Row],[FECHA DE PAGO]]-PROVEEDORES[[#This Row],[FECHA DE FACTURACIÓN]])&gt;PROVEEDORES[[#This Row],[PLAZO Días]],"PAGO VENCIDO")</f>
        <v>0</v>
      </c>
      <c r="C1070" s="138">
        <f>+VLOOKUP(PROVEEDORES[[#This Row],[PROVEEDOR]],TERCEROS_INFO[#All],2,FALSE)</f>
        <v>30</v>
      </c>
      <c r="D1070" s="139">
        <f>+SUMIFS(PROVEEDORES[Total],PROVEEDORES[PROVEEDOR],PROVEEDORES[[#This Row],[PROVEEDOR]],PROVEEDORES[FECHA DE PAGO],"")</f>
        <v>12628497</v>
      </c>
      <c r="E1070" s="140"/>
      <c r="F1070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070" s="127">
        <v>45280</v>
      </c>
      <c r="H1070" s="123" t="s">
        <v>451</v>
      </c>
      <c r="I1070" s="127">
        <v>45251</v>
      </c>
      <c r="J1070" s="124" t="s">
        <v>1253</v>
      </c>
      <c r="K1070" s="124" t="s">
        <v>1530</v>
      </c>
      <c r="L1070" s="124"/>
      <c r="M1070" s="125">
        <v>1008000</v>
      </c>
      <c r="N1070" s="148">
        <v>191520</v>
      </c>
      <c r="O1070" s="148">
        <v>0</v>
      </c>
      <c r="P1070" s="149">
        <v>0</v>
      </c>
      <c r="Q1070" s="148">
        <v>0</v>
      </c>
      <c r="R1070" s="150">
        <v>1199520</v>
      </c>
      <c r="S10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0" s="135">
        <f ca="1">+IF(PROVEEDORES[[#This Row],[FECHA DE PAGO]]=0,TODAY()-PROVEEDORES[[#This Row],[FECHA DE FACTURACIÓN]]-PROVEEDORES[[#This Row],[PLAZO Días]],0)</f>
        <v>0</v>
      </c>
      <c r="U1070" s="135" t="str">
        <f>+VLOOKUP(PROVEEDORES[[#This Row],[PROVEEDOR]],Terceros!$A:$D,4,FALSE)</f>
        <v>2,5% con base</v>
      </c>
      <c r="V1070" s="135">
        <f>+YEAR(PROVEEDORES[[#This Row],[FECHA DE FACTURACIÓN]])</f>
        <v>2023</v>
      </c>
      <c r="W1070" s="135">
        <f>+MATCH(PROVEEDORES[[#This Row],[año facturado]],Retenciones!$1:$1,0)</f>
        <v>6</v>
      </c>
      <c r="X1070" s="136">
        <f>+VLOOKUP(PROVEEDORES[[#This Row],[ID RETENCION]],Retenciones!$A$1:$O$25,PROVEEDORES[[#This Row],[indicador de columna]],FALSE)</f>
        <v>1145000</v>
      </c>
      <c r="Y1070" s="137">
        <f>+VLOOKUP(PROVEEDORES[[#This Row],[ID RETENCION]],Retenciones!$A$1:$O$25,2,FALSE)</f>
        <v>2.5000000000000001E-2</v>
      </c>
      <c r="Z1070" s="126" t="b">
        <f>+OR(COUNTIF(PROVEEDORES[[#This Row],[PROVEEDOR]],"*"&amp;'Palabra que no opera y Listas d'!$A$2&amp;"*"))</f>
        <v>0</v>
      </c>
    </row>
    <row r="1071" spans="1:26" ht="27.75" customHeight="1" x14ac:dyDescent="0.25">
      <c r="A1071" s="141" t="str">
        <f>+IF(PROVEEDORES[[#This Row],[FECHA DE PAGO]]=PROVEEDORES[[#This Row],[FECHA DE FACTURACIÓN]],"DE CONTADO","CRÉDITO")</f>
        <v>CRÉDITO</v>
      </c>
      <c r="B1071" s="138" t="b">
        <f>+IF((PROVEEDORES[[#This Row],[FECHA DE PAGO]]-PROVEEDORES[[#This Row],[FECHA DE FACTURACIÓN]])&gt;PROVEEDORES[[#This Row],[PLAZO Días]],"PAGO VENCIDO")</f>
        <v>0</v>
      </c>
      <c r="C1071" s="138">
        <f>+VLOOKUP(PROVEEDORES[[#This Row],[PROVEEDOR]],TERCEROS_INFO[#All],2,FALSE)</f>
        <v>180</v>
      </c>
      <c r="D1071" s="139">
        <f>+SUMIFS(PROVEEDORES[Total],PROVEEDORES[PROVEEDOR],PROVEEDORES[[#This Row],[PROVEEDOR]],PROVEEDORES[FECHA DE PAGO],"")</f>
        <v>0</v>
      </c>
      <c r="E1071" s="140"/>
      <c r="F1071" s="138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1071" s="127">
        <v>45280</v>
      </c>
      <c r="H1071" s="123" t="s">
        <v>370</v>
      </c>
      <c r="I1071" s="127">
        <v>45253</v>
      </c>
      <c r="J1071" s="124" t="s">
        <v>1264</v>
      </c>
      <c r="K1071" s="124" t="s">
        <v>1530</v>
      </c>
      <c r="L1071" s="124"/>
      <c r="M1071" s="125">
        <v>545547</v>
      </c>
      <c r="N1071" s="148">
        <v>27277.350000000002</v>
      </c>
      <c r="O1071" s="148">
        <v>0</v>
      </c>
      <c r="P1071" s="149">
        <v>0</v>
      </c>
      <c r="Q1071" s="148">
        <v>0</v>
      </c>
      <c r="R1071" s="150">
        <v>572824.35</v>
      </c>
      <c r="S10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1" s="135">
        <f ca="1">+IF(PROVEEDORES[[#This Row],[FECHA DE PAGO]]=0,TODAY()-PROVEEDORES[[#This Row],[FECHA DE FACTURACIÓN]]-PROVEEDORES[[#This Row],[PLAZO Días]],0)</f>
        <v>0</v>
      </c>
      <c r="U1071" s="135" t="str">
        <f>+VLOOKUP(PROVEEDORES[[#This Row],[PROVEEDOR]],Terceros!$A:$D,4,FALSE)</f>
        <v>2,5% con base</v>
      </c>
      <c r="V1071" s="135">
        <f>+YEAR(PROVEEDORES[[#This Row],[FECHA DE FACTURACIÓN]])</f>
        <v>2023</v>
      </c>
      <c r="W1071" s="135">
        <f>+MATCH(PROVEEDORES[[#This Row],[año facturado]],Retenciones!$1:$1,0)</f>
        <v>6</v>
      </c>
      <c r="X1071" s="136">
        <f>+VLOOKUP(PROVEEDORES[[#This Row],[ID RETENCION]],Retenciones!$A$1:$O$25,PROVEEDORES[[#This Row],[indicador de columna]],FALSE)</f>
        <v>1145000</v>
      </c>
      <c r="Y1071" s="137">
        <f>+VLOOKUP(PROVEEDORES[[#This Row],[ID RETENCION]],Retenciones!$A$1:$O$25,2,FALSE)</f>
        <v>2.5000000000000001E-2</v>
      </c>
      <c r="Z1071" s="126" t="b">
        <f>+OR(COUNTIF(PROVEEDORES[[#This Row],[PROVEEDOR]],"*"&amp;'Palabra que no opera y Listas d'!$A$2&amp;"*"))</f>
        <v>1</v>
      </c>
    </row>
    <row r="1072" spans="1:26" ht="27.75" customHeight="1" x14ac:dyDescent="0.25">
      <c r="A1072" s="141" t="str">
        <f>+IF(PROVEEDORES[[#This Row],[FECHA DE PAGO]]=PROVEEDORES[[#This Row],[FECHA DE FACTURACIÓN]],"DE CONTADO","CRÉDITO")</f>
        <v>CRÉDITO</v>
      </c>
      <c r="B1072" s="138" t="b">
        <f>+IF((PROVEEDORES[[#This Row],[FECHA DE PAGO]]-PROVEEDORES[[#This Row],[FECHA DE FACTURACIÓN]])&gt;PROVEEDORES[[#This Row],[PLAZO Días]],"PAGO VENCIDO")</f>
        <v>0</v>
      </c>
      <c r="C1072" s="138">
        <f>+VLOOKUP(PROVEEDORES[[#This Row],[PROVEEDOR]],TERCEROS_INFO[#All],2,FALSE)</f>
        <v>30</v>
      </c>
      <c r="D1072" s="139">
        <f>+SUMIFS(PROVEEDORES[Total],PROVEEDORES[PROVEEDOR],PROVEEDORES[[#This Row],[PROVEEDOR]],PROVEEDORES[FECHA DE PAGO],"")</f>
        <v>0</v>
      </c>
      <c r="E1072" s="140"/>
      <c r="F1072" s="138">
        <f>+VLOOKUP(PROVEEDORES[[#This Row],[PROVEEDOR]],
                       Terceros!$A:$F,
                       5,
                       FALSE)</f>
        <v>0</v>
      </c>
      <c r="G1072" s="127">
        <v>45280</v>
      </c>
      <c r="H1072" s="123" t="s">
        <v>836</v>
      </c>
      <c r="I1072" s="127">
        <v>45278</v>
      </c>
      <c r="J1072" s="124" t="s">
        <v>1341</v>
      </c>
      <c r="K1072" s="124" t="s">
        <v>504</v>
      </c>
      <c r="L1072" s="124"/>
      <c r="M1072" s="125">
        <v>500000</v>
      </c>
      <c r="N1072" s="148">
        <v>0</v>
      </c>
      <c r="O1072" s="148">
        <v>0</v>
      </c>
      <c r="P1072" s="149">
        <v>0</v>
      </c>
      <c r="Q1072" s="148">
        <v>0</v>
      </c>
      <c r="R1072" s="150">
        <v>500000</v>
      </c>
      <c r="S10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2" s="135">
        <f ca="1">+IF(PROVEEDORES[[#This Row],[FECHA DE PAGO]]=0,TODAY()-PROVEEDORES[[#This Row],[FECHA DE FACTURACIÓN]]-PROVEEDORES[[#This Row],[PLAZO Días]],0)</f>
        <v>0</v>
      </c>
      <c r="U1072" s="135">
        <f>+VLOOKUP(PROVEEDORES[[#This Row],[PROVEEDOR]],Terceros!$A:$D,4,FALSE)</f>
        <v>0</v>
      </c>
      <c r="V1072" s="135">
        <f>+YEAR(PROVEEDORES[[#This Row],[FECHA DE FACTURACIÓN]])</f>
        <v>2023</v>
      </c>
      <c r="W1072" s="135">
        <f>+MATCH(PROVEEDORES[[#This Row],[año facturado]],Retenciones!$1:$1,0)</f>
        <v>6</v>
      </c>
      <c r="X1072" s="136">
        <f>+VLOOKUP(PROVEEDORES[[#This Row],[ID RETENCION]],Retenciones!$A$1:$O$25,PROVEEDORES[[#This Row],[indicador de columna]],FALSE)</f>
        <v>0</v>
      </c>
      <c r="Y1072" s="137">
        <f>+VLOOKUP(PROVEEDORES[[#This Row],[ID RETENCION]],Retenciones!$A$1:$O$25,2,FALSE)</f>
        <v>0</v>
      </c>
      <c r="Z1072" s="126" t="b">
        <f>+OR(COUNTIF(PROVEEDORES[[#This Row],[PROVEEDOR]],"*"&amp;'Palabra que no opera y Listas d'!$A$2&amp;"*"))</f>
        <v>0</v>
      </c>
    </row>
    <row r="1073" spans="1:26" ht="27.75" customHeight="1" x14ac:dyDescent="0.25">
      <c r="A1073" s="141" t="str">
        <f>+IF(PROVEEDORES[[#This Row],[FECHA DE PAGO]]=PROVEEDORES[[#This Row],[FECHA DE FACTURACIÓN]],"DE CONTADO","CRÉDITO")</f>
        <v>DE CONTADO</v>
      </c>
      <c r="B1073" s="138" t="b">
        <f>+IF((PROVEEDORES[[#This Row],[FECHA DE PAGO]]-PROVEEDORES[[#This Row],[FECHA DE FACTURACIÓN]])&gt;PROVEEDORES[[#This Row],[PLAZO Días]],"PAGO VENCIDO")</f>
        <v>0</v>
      </c>
      <c r="C1073" s="138">
        <f>+VLOOKUP(PROVEEDORES[[#This Row],[PROVEEDOR]],TERCEROS_INFO[#All],2,FALSE)</f>
        <v>30</v>
      </c>
      <c r="D1073" s="139">
        <f>+SUMIFS(PROVEEDORES[Total],PROVEEDORES[PROVEEDOR],PROVEEDORES[[#This Row],[PROVEEDOR]],PROVEEDORES[FECHA DE PAGO],"")</f>
        <v>0</v>
      </c>
      <c r="E1073" s="140"/>
      <c r="F1073" s="138" t="str">
        <f>+VLOOKUP(PROVEEDORES[[#This Row],[PROVEEDOR]],
                       Terceros!$A:$F,
                       5,
                       FALSE)</f>
        <v/>
      </c>
      <c r="G1073" s="127">
        <v>45280</v>
      </c>
      <c r="H1073" s="123" t="s">
        <v>525</v>
      </c>
      <c r="I1073" s="127">
        <v>45280</v>
      </c>
      <c r="J1073" s="124" t="s">
        <v>1340</v>
      </c>
      <c r="K1073" s="124" t="s">
        <v>1530</v>
      </c>
      <c r="L1073" s="124"/>
      <c r="M1073" s="125">
        <v>665000</v>
      </c>
      <c r="N1073" s="148">
        <v>0</v>
      </c>
      <c r="O1073" s="148">
        <v>0</v>
      </c>
      <c r="P1073" s="149">
        <v>0</v>
      </c>
      <c r="Q1073" s="148">
        <v>0</v>
      </c>
      <c r="R1073" s="150">
        <v>665000</v>
      </c>
      <c r="S10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3" s="135">
        <f ca="1">+IF(PROVEEDORES[[#This Row],[FECHA DE PAGO]]=0,TODAY()-PROVEEDORES[[#This Row],[FECHA DE FACTURACIÓN]]-PROVEEDORES[[#This Row],[PLAZO Días]],0)</f>
        <v>0</v>
      </c>
      <c r="U1073" s="135">
        <f>+VLOOKUP(PROVEEDORES[[#This Row],[PROVEEDOR]],Terceros!$A:$D,4,FALSE)</f>
        <v>0</v>
      </c>
      <c r="V1073" s="135">
        <f>+YEAR(PROVEEDORES[[#This Row],[FECHA DE FACTURACIÓN]])</f>
        <v>2023</v>
      </c>
      <c r="W1073" s="135">
        <f>+MATCH(PROVEEDORES[[#This Row],[año facturado]],Retenciones!$1:$1,0)</f>
        <v>6</v>
      </c>
      <c r="X1073" s="136">
        <f>+VLOOKUP(PROVEEDORES[[#This Row],[ID RETENCION]],Retenciones!$A$1:$O$25,PROVEEDORES[[#This Row],[indicador de columna]],FALSE)</f>
        <v>0</v>
      </c>
      <c r="Y1073" s="137">
        <f>+VLOOKUP(PROVEEDORES[[#This Row],[ID RETENCION]],Retenciones!$A$1:$O$25,2,FALSE)</f>
        <v>0</v>
      </c>
      <c r="Z1073" s="126" t="b">
        <f>+OR(COUNTIF(PROVEEDORES[[#This Row],[PROVEEDOR]],"*"&amp;'Palabra que no opera y Listas d'!$A$2&amp;"*"))</f>
        <v>0</v>
      </c>
    </row>
    <row r="1074" spans="1:26" ht="27.75" customHeight="1" x14ac:dyDescent="0.25">
      <c r="A1074" s="141" t="str">
        <f>+IF(PROVEEDORES[[#This Row],[FECHA DE PAGO]]=PROVEEDORES[[#This Row],[FECHA DE FACTURACIÓN]],"DE CONTADO","CRÉDITO")</f>
        <v>DE CONTADO</v>
      </c>
      <c r="B1074" s="138" t="b">
        <f>+IF((PROVEEDORES[[#This Row],[FECHA DE PAGO]]-PROVEEDORES[[#This Row],[FECHA DE FACTURACIÓN]])&gt;PROVEEDORES[[#This Row],[PLAZO Días]],"PAGO VENCIDO")</f>
        <v>0</v>
      </c>
      <c r="C1074" s="138">
        <f>+VLOOKUP(PROVEEDORES[[#This Row],[PROVEEDOR]],TERCEROS_INFO[#All],2,FALSE)</f>
        <v>30</v>
      </c>
      <c r="D1074" s="139">
        <f>+SUMIFS(PROVEEDORES[Total],PROVEEDORES[PROVEEDOR],PROVEEDORES[[#This Row],[PROVEEDOR]],PROVEEDORES[FECHA DE PAGO],"")</f>
        <v>0</v>
      </c>
      <c r="E1074" s="140"/>
      <c r="F1074" s="138" t="str">
        <f>+VLOOKUP(PROVEEDORES[[#This Row],[PROVEEDOR]],
                       Terceros!$A:$F,
                       5,
                       FALSE)</f>
        <v/>
      </c>
      <c r="G1074" s="127">
        <v>45280</v>
      </c>
      <c r="H1074" s="123" t="s">
        <v>1824</v>
      </c>
      <c r="I1074" s="127">
        <v>45280</v>
      </c>
      <c r="J1074" s="124"/>
      <c r="K1074" s="124" t="s">
        <v>1530</v>
      </c>
      <c r="L1074" s="124"/>
      <c r="M1074" s="125">
        <v>1048450</v>
      </c>
      <c r="N1074" s="148">
        <v>0</v>
      </c>
      <c r="O1074" s="148">
        <v>0</v>
      </c>
      <c r="P1074" s="149">
        <v>0</v>
      </c>
      <c r="Q1074" s="148">
        <v>0</v>
      </c>
      <c r="R1074" s="150">
        <v>1048450</v>
      </c>
      <c r="S10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4" s="135">
        <f ca="1">+IF(PROVEEDORES[[#This Row],[FECHA DE PAGO]]=0,TODAY()-PROVEEDORES[[#This Row],[FECHA DE FACTURACIÓN]]-PROVEEDORES[[#This Row],[PLAZO Días]],0)</f>
        <v>0</v>
      </c>
      <c r="U1074" s="135">
        <f>+VLOOKUP(PROVEEDORES[[#This Row],[PROVEEDOR]],Terceros!$A:$D,4,FALSE)</f>
        <v>0</v>
      </c>
      <c r="V1074" s="135">
        <f>+YEAR(PROVEEDORES[[#This Row],[FECHA DE FACTURACIÓN]])</f>
        <v>2023</v>
      </c>
      <c r="W1074" s="135">
        <f>+MATCH(PROVEEDORES[[#This Row],[año facturado]],Retenciones!$1:$1,0)</f>
        <v>6</v>
      </c>
      <c r="X1074" s="136">
        <f>+VLOOKUP(PROVEEDORES[[#This Row],[ID RETENCION]],Retenciones!$A$1:$O$25,PROVEEDORES[[#This Row],[indicador de columna]],FALSE)</f>
        <v>0</v>
      </c>
      <c r="Y1074" s="137">
        <f>+VLOOKUP(PROVEEDORES[[#This Row],[ID RETENCION]],Retenciones!$A$1:$O$25,2,FALSE)</f>
        <v>0</v>
      </c>
      <c r="Z1074" s="126" t="b">
        <f>+OR(COUNTIF(PROVEEDORES[[#This Row],[PROVEEDOR]],"*"&amp;'Palabra que no opera y Listas d'!$A$2&amp;"*"))</f>
        <v>0</v>
      </c>
    </row>
    <row r="1075" spans="1:26" ht="27.75" customHeight="1" x14ac:dyDescent="0.25">
      <c r="A1075" s="141" t="str">
        <f>+IF(PROVEEDORES[[#This Row],[FECHA DE PAGO]]=PROVEEDORES[[#This Row],[FECHA DE FACTURACIÓN]],"DE CONTADO","CRÉDITO")</f>
        <v>CRÉDITO</v>
      </c>
      <c r="B1075" s="138" t="str">
        <f>+IF((PROVEEDORES[[#This Row],[FECHA DE PAGO]]-PROVEEDORES[[#This Row],[FECHA DE FACTURACIÓN]])&gt;PROVEEDORES[[#This Row],[PLAZO Días]],"PAGO VENCIDO")</f>
        <v>PAGO VENCIDO</v>
      </c>
      <c r="C1075" s="138">
        <f>+VLOOKUP(PROVEEDORES[[#This Row],[PROVEEDOR]],TERCEROS_INFO[#All],2,FALSE)</f>
        <v>30</v>
      </c>
      <c r="D1075" s="139">
        <f>+SUMIFS(PROVEEDORES[Total],PROVEEDORES[PROVEEDOR],PROVEEDORES[[#This Row],[PROVEEDOR]],PROVEEDORES[FECHA DE PAGO],"")</f>
        <v>0</v>
      </c>
      <c r="E1075" s="140"/>
      <c r="F1075" s="13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075" s="127">
        <v>45281</v>
      </c>
      <c r="H1075" s="123" t="s">
        <v>1592</v>
      </c>
      <c r="I1075" s="127">
        <v>45246</v>
      </c>
      <c r="J1075" s="124" t="s">
        <v>1244</v>
      </c>
      <c r="K1075" s="124" t="s">
        <v>1530</v>
      </c>
      <c r="L1075" s="124"/>
      <c r="M1075" s="125">
        <v>1996000</v>
      </c>
      <c r="N1075" s="148">
        <v>379240</v>
      </c>
      <c r="O1075" s="148">
        <v>0</v>
      </c>
      <c r="P1075" s="149">
        <v>2.5000000000000001E-2</v>
      </c>
      <c r="Q1075" s="148">
        <v>49900</v>
      </c>
      <c r="R1075" s="150">
        <v>2325340</v>
      </c>
      <c r="S10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5" s="135">
        <f ca="1">+IF(PROVEEDORES[[#This Row],[FECHA DE PAGO]]=0,TODAY()-PROVEEDORES[[#This Row],[FECHA DE FACTURACIÓN]]-PROVEEDORES[[#This Row],[PLAZO Días]],0)</f>
        <v>0</v>
      </c>
      <c r="U1075" s="135" t="str">
        <f>+VLOOKUP(PROVEEDORES[[#This Row],[PROVEEDOR]],Terceros!$A:$D,4,FALSE)</f>
        <v>2,5% con base</v>
      </c>
      <c r="V1075" s="135">
        <f>+YEAR(PROVEEDORES[[#This Row],[FECHA DE FACTURACIÓN]])</f>
        <v>2023</v>
      </c>
      <c r="W1075" s="135">
        <f>+MATCH(PROVEEDORES[[#This Row],[año facturado]],Retenciones!$1:$1,0)</f>
        <v>6</v>
      </c>
      <c r="X1075" s="136">
        <f>+VLOOKUP(PROVEEDORES[[#This Row],[ID RETENCION]],Retenciones!$A$1:$O$25,PROVEEDORES[[#This Row],[indicador de columna]],FALSE)</f>
        <v>1145000</v>
      </c>
      <c r="Y1075" s="137">
        <f>+VLOOKUP(PROVEEDORES[[#This Row],[ID RETENCION]],Retenciones!$A$1:$O$25,2,FALSE)</f>
        <v>2.5000000000000001E-2</v>
      </c>
      <c r="Z1075" s="126" t="b">
        <f>+OR(COUNTIF(PROVEEDORES[[#This Row],[PROVEEDOR]],"*"&amp;'Palabra que no opera y Listas d'!$A$2&amp;"*"))</f>
        <v>0</v>
      </c>
    </row>
    <row r="1076" spans="1:26" ht="27.75" customHeight="1" x14ac:dyDescent="0.25">
      <c r="A1076" s="141" t="str">
        <f>+IF(PROVEEDORES[[#This Row],[FECHA DE PAGO]]=PROVEEDORES[[#This Row],[FECHA DE FACTURACIÓN]],"DE CONTADO","CRÉDITO")</f>
        <v>CRÉDITO</v>
      </c>
      <c r="B1076" s="138" t="str">
        <f>+IF((PROVEEDORES[[#This Row],[FECHA DE PAGO]]-PROVEEDORES[[#This Row],[FECHA DE FACTURACIÓN]])&gt;PROVEEDORES[[#This Row],[PLAZO Días]],"PAGO VENCIDO")</f>
        <v>PAGO VENCIDO</v>
      </c>
      <c r="C1076" s="138">
        <f>+VLOOKUP(PROVEEDORES[[#This Row],[PROVEEDOR]],TERCEROS_INFO[#All],2,FALSE)</f>
        <v>30</v>
      </c>
      <c r="D1076" s="139">
        <f>+SUMIFS(PROVEEDORES[Total],PROVEEDORES[PROVEEDOR],PROVEEDORES[[#This Row],[PROVEEDOR]],PROVEEDORES[FECHA DE PAGO],"")</f>
        <v>2095000</v>
      </c>
      <c r="E1076" s="140"/>
      <c r="F1076" s="13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076" s="127">
        <v>45281</v>
      </c>
      <c r="H1076" s="123" t="s">
        <v>1804</v>
      </c>
      <c r="I1076" s="127">
        <v>45250</v>
      </c>
      <c r="J1076" s="124" t="s">
        <v>1273</v>
      </c>
      <c r="K1076" s="124" t="s">
        <v>1530</v>
      </c>
      <c r="L1076" s="124"/>
      <c r="M1076" s="125">
        <v>2610000</v>
      </c>
      <c r="N1076" s="148">
        <v>0</v>
      </c>
      <c r="O1076" s="148">
        <v>0</v>
      </c>
      <c r="P1076" s="149">
        <v>0</v>
      </c>
      <c r="Q1076" s="148">
        <v>0</v>
      </c>
      <c r="R1076" s="150">
        <v>2610000</v>
      </c>
      <c r="S10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6" s="135">
        <f ca="1">+IF(PROVEEDORES[[#This Row],[FECHA DE PAGO]]=0,TODAY()-PROVEEDORES[[#This Row],[FECHA DE FACTURACIÓN]]-PROVEEDORES[[#This Row],[PLAZO Días]],0)</f>
        <v>0</v>
      </c>
      <c r="U1076" s="135">
        <f>+VLOOKUP(PROVEEDORES[[#This Row],[PROVEEDOR]],Terceros!$A:$D,4,FALSE)</f>
        <v>0</v>
      </c>
      <c r="V1076" s="135">
        <f>+YEAR(PROVEEDORES[[#This Row],[FECHA DE FACTURACIÓN]])</f>
        <v>2023</v>
      </c>
      <c r="W1076" s="135">
        <f>+MATCH(PROVEEDORES[[#This Row],[año facturado]],Retenciones!$1:$1,0)</f>
        <v>6</v>
      </c>
      <c r="X1076" s="136">
        <f>+VLOOKUP(PROVEEDORES[[#This Row],[ID RETENCION]],Retenciones!$A$1:$O$25,PROVEEDORES[[#This Row],[indicador de columna]],FALSE)</f>
        <v>0</v>
      </c>
      <c r="Y1076" s="137">
        <f>+VLOOKUP(PROVEEDORES[[#This Row],[ID RETENCION]],Retenciones!$A$1:$O$25,2,FALSE)</f>
        <v>0</v>
      </c>
      <c r="Z1076" s="126" t="b">
        <f>+OR(COUNTIF(PROVEEDORES[[#This Row],[PROVEEDOR]],"*"&amp;'Palabra que no opera y Listas d'!$A$2&amp;"*"))</f>
        <v>0</v>
      </c>
    </row>
    <row r="1077" spans="1:26" ht="27.75" customHeight="1" x14ac:dyDescent="0.25">
      <c r="A1077" s="141" t="str">
        <f>+IF(PROVEEDORES[[#This Row],[FECHA DE PAGO]]=PROVEEDORES[[#This Row],[FECHA DE FACTURACIÓN]],"DE CONTADO","CRÉDITO")</f>
        <v>CRÉDITO</v>
      </c>
      <c r="B1077" s="138" t="b">
        <f>+IF((PROVEEDORES[[#This Row],[FECHA DE PAGO]]-PROVEEDORES[[#This Row],[FECHA DE FACTURACIÓN]])&gt;PROVEEDORES[[#This Row],[PLAZO Días]],"PAGO VENCIDO")</f>
        <v>0</v>
      </c>
      <c r="C1077" s="138">
        <f>+VLOOKUP(PROVEEDORES[[#This Row],[PROVEEDOR]],TERCEROS_INFO[#All],2,FALSE)</f>
        <v>30</v>
      </c>
      <c r="D1077" s="139">
        <f>+SUMIFS(PROVEEDORES[Total],PROVEEDORES[PROVEEDOR],PROVEEDORES[[#This Row],[PROVEEDOR]],PROVEEDORES[FECHA DE PAGO],"")</f>
        <v>4316000</v>
      </c>
      <c r="E1077" s="140"/>
      <c r="F1077" s="138" t="str">
        <f>+VLOOKUP(PROVEEDORES[[#This Row],[PROVEEDOR]],
                       Terceros!$A:$F,
                       5,
                       FALSE)</f>
        <v/>
      </c>
      <c r="G1077" s="127">
        <v>45281</v>
      </c>
      <c r="H1077" s="123" t="s">
        <v>1812</v>
      </c>
      <c r="I1077" s="127">
        <v>45251</v>
      </c>
      <c r="J1077" s="124" t="s">
        <v>1271</v>
      </c>
      <c r="K1077" s="124" t="s">
        <v>1530</v>
      </c>
      <c r="L1077" s="124"/>
      <c r="M1077" s="125">
        <v>1479000</v>
      </c>
      <c r="N1077" s="148">
        <v>0</v>
      </c>
      <c r="O1077" s="148">
        <v>0</v>
      </c>
      <c r="P1077" s="149">
        <v>0</v>
      </c>
      <c r="Q1077" s="148">
        <v>0</v>
      </c>
      <c r="R1077" s="150">
        <v>1479000</v>
      </c>
      <c r="S10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7" s="135">
        <f ca="1">+IF(PROVEEDORES[[#This Row],[FECHA DE PAGO]]=0,TODAY()-PROVEEDORES[[#This Row],[FECHA DE FACTURACIÓN]]-PROVEEDORES[[#This Row],[PLAZO Días]],0)</f>
        <v>0</v>
      </c>
      <c r="U1077" s="135">
        <f>+VLOOKUP(PROVEEDORES[[#This Row],[PROVEEDOR]],Terceros!$A:$D,4,FALSE)</f>
        <v>0</v>
      </c>
      <c r="V1077" s="135">
        <f>+YEAR(PROVEEDORES[[#This Row],[FECHA DE FACTURACIÓN]])</f>
        <v>2023</v>
      </c>
      <c r="W1077" s="135">
        <f>+MATCH(PROVEEDORES[[#This Row],[año facturado]],Retenciones!$1:$1,0)</f>
        <v>6</v>
      </c>
      <c r="X1077" s="136">
        <f>+VLOOKUP(PROVEEDORES[[#This Row],[ID RETENCION]],Retenciones!$A$1:$O$25,PROVEEDORES[[#This Row],[indicador de columna]],FALSE)</f>
        <v>0</v>
      </c>
      <c r="Y1077" s="137">
        <f>+VLOOKUP(PROVEEDORES[[#This Row],[ID RETENCION]],Retenciones!$A$1:$O$25,2,FALSE)</f>
        <v>0</v>
      </c>
      <c r="Z1077" s="126" t="b">
        <f>+OR(COUNTIF(PROVEEDORES[[#This Row],[PROVEEDOR]],"*"&amp;'Palabra que no opera y Listas d'!$A$2&amp;"*"))</f>
        <v>0</v>
      </c>
    </row>
    <row r="1078" spans="1:26" ht="27.75" customHeight="1" x14ac:dyDescent="0.25">
      <c r="A1078" s="141" t="str">
        <f>+IF(PROVEEDORES[[#This Row],[FECHA DE PAGO]]=PROVEEDORES[[#This Row],[FECHA DE FACTURACIÓN]],"DE CONTADO","CRÉDITO")</f>
        <v>CRÉDITO</v>
      </c>
      <c r="B1078" s="138" t="b">
        <f>+IF((PROVEEDORES[[#This Row],[FECHA DE PAGO]]-PROVEEDORES[[#This Row],[FECHA DE FACTURACIÓN]])&gt;PROVEEDORES[[#This Row],[PLAZO Días]],"PAGO VENCIDO")</f>
        <v>0</v>
      </c>
      <c r="C1078" s="138">
        <f>+VLOOKUP(PROVEEDORES[[#This Row],[PROVEEDOR]],TERCEROS_INFO[#All],2,FALSE)</f>
        <v>30</v>
      </c>
      <c r="D1078" s="139">
        <f>+SUMIFS(PROVEEDORES[Total],PROVEEDORES[PROVEEDOR],PROVEEDORES[[#This Row],[PROVEEDOR]],PROVEEDORES[FECHA DE PAGO],"")</f>
        <v>818443.92</v>
      </c>
      <c r="E1078" s="140"/>
      <c r="F1078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078" s="127">
        <v>45281</v>
      </c>
      <c r="H1078" s="123" t="s">
        <v>20</v>
      </c>
      <c r="I1078" s="127">
        <v>45253</v>
      </c>
      <c r="J1078" s="124" t="s">
        <v>1269</v>
      </c>
      <c r="K1078" s="124" t="s">
        <v>1530</v>
      </c>
      <c r="L1078" s="124"/>
      <c r="M1078" s="125">
        <v>2961970</v>
      </c>
      <c r="N1078" s="148">
        <v>562774.30000000005</v>
      </c>
      <c r="O1078" s="148">
        <v>0</v>
      </c>
      <c r="P1078" s="149">
        <v>2.5000000000000001E-2</v>
      </c>
      <c r="Q1078" s="148">
        <v>74049.25</v>
      </c>
      <c r="R1078" s="150">
        <v>3450695.05</v>
      </c>
      <c r="S10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8" s="135">
        <f ca="1">+IF(PROVEEDORES[[#This Row],[FECHA DE PAGO]]=0,TODAY()-PROVEEDORES[[#This Row],[FECHA DE FACTURACIÓN]]-PROVEEDORES[[#This Row],[PLAZO Días]],0)</f>
        <v>0</v>
      </c>
      <c r="U1078" s="135" t="str">
        <f>+VLOOKUP(PROVEEDORES[[#This Row],[PROVEEDOR]],Terceros!$A:$D,4,FALSE)</f>
        <v>2,5% con base</v>
      </c>
      <c r="V1078" s="135">
        <f>+YEAR(PROVEEDORES[[#This Row],[FECHA DE FACTURACIÓN]])</f>
        <v>2023</v>
      </c>
      <c r="W1078" s="135">
        <f>+MATCH(PROVEEDORES[[#This Row],[año facturado]],Retenciones!$1:$1,0)</f>
        <v>6</v>
      </c>
      <c r="X1078" s="136">
        <f>+VLOOKUP(PROVEEDORES[[#This Row],[ID RETENCION]],Retenciones!$A$1:$O$25,PROVEEDORES[[#This Row],[indicador de columna]],FALSE)</f>
        <v>1145000</v>
      </c>
      <c r="Y1078" s="137">
        <f>+VLOOKUP(PROVEEDORES[[#This Row],[ID RETENCION]],Retenciones!$A$1:$O$25,2,FALSE)</f>
        <v>2.5000000000000001E-2</v>
      </c>
      <c r="Z1078" s="126" t="b">
        <f>+OR(COUNTIF(PROVEEDORES[[#This Row],[PROVEEDOR]],"*"&amp;'Palabra que no opera y Listas d'!$A$2&amp;"*"))</f>
        <v>0</v>
      </c>
    </row>
    <row r="1079" spans="1:26" ht="27.75" customHeight="1" x14ac:dyDescent="0.25">
      <c r="A1079" s="141" t="str">
        <f>+IF(PROVEEDORES[[#This Row],[FECHA DE PAGO]]=PROVEEDORES[[#This Row],[FECHA DE FACTURACIÓN]],"DE CONTADO","CRÉDITO")</f>
        <v>CRÉDITO</v>
      </c>
      <c r="B1079" s="138" t="b">
        <f>+IF((PROVEEDORES[[#This Row],[FECHA DE PAGO]]-PROVEEDORES[[#This Row],[FECHA DE FACTURACIÓN]])&gt;PROVEEDORES[[#This Row],[PLAZO Días]],"PAGO VENCIDO")</f>
        <v>0</v>
      </c>
      <c r="C1079" s="138">
        <f>+VLOOKUP(PROVEEDORES[[#This Row],[PROVEEDOR]],TERCEROS_INFO[#All],2,FALSE)</f>
        <v>30</v>
      </c>
      <c r="D1079" s="139">
        <f>+SUMIFS(PROVEEDORES[Total],PROVEEDORES[PROVEEDOR],PROVEEDORES[[#This Row],[PROVEEDOR]],PROVEEDORES[FECHA DE PAGO],"")</f>
        <v>0</v>
      </c>
      <c r="E1079" s="140"/>
      <c r="F1079" s="138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1079" s="127">
        <v>45281</v>
      </c>
      <c r="H1079" s="123" t="s">
        <v>1130</v>
      </c>
      <c r="I1079" s="127">
        <v>45274</v>
      </c>
      <c r="J1079" s="124" t="s">
        <v>1339</v>
      </c>
      <c r="K1079" s="124" t="s">
        <v>1530</v>
      </c>
      <c r="L1079" s="124"/>
      <c r="M1079" s="125">
        <v>-26639</v>
      </c>
      <c r="N1079" s="148">
        <v>-5061.41</v>
      </c>
      <c r="O1079" s="148">
        <v>0</v>
      </c>
      <c r="P1079" s="149">
        <v>0</v>
      </c>
      <c r="Q1079" s="148">
        <v>0</v>
      </c>
      <c r="R1079" s="150">
        <v>-31700.41</v>
      </c>
      <c r="S10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79" s="135">
        <f ca="1">+IF(PROVEEDORES[[#This Row],[FECHA DE PAGO]]=0,TODAY()-PROVEEDORES[[#This Row],[FECHA DE FACTURACIÓN]]-PROVEEDORES[[#This Row],[PLAZO Días]],0)</f>
        <v>0</v>
      </c>
      <c r="U1079" s="135" t="str">
        <f>+VLOOKUP(PROVEEDORES[[#This Row],[PROVEEDOR]],Terceros!$A:$D,4,FALSE)</f>
        <v>2,5% con base</v>
      </c>
      <c r="V1079" s="135">
        <f>+YEAR(PROVEEDORES[[#This Row],[FECHA DE FACTURACIÓN]])</f>
        <v>2023</v>
      </c>
      <c r="W1079" s="135">
        <f>+MATCH(PROVEEDORES[[#This Row],[año facturado]],Retenciones!$1:$1,0)</f>
        <v>6</v>
      </c>
      <c r="X1079" s="136">
        <f>+VLOOKUP(PROVEEDORES[[#This Row],[ID RETENCION]],Retenciones!$A$1:$O$25,PROVEEDORES[[#This Row],[indicador de columna]],FALSE)</f>
        <v>1145000</v>
      </c>
      <c r="Y1079" s="137">
        <f>+VLOOKUP(PROVEEDORES[[#This Row],[ID RETENCION]],Retenciones!$A$1:$O$25,2,FALSE)</f>
        <v>2.5000000000000001E-2</v>
      </c>
      <c r="Z1079" s="126" t="b">
        <f>+OR(COUNTIF(PROVEEDORES[[#This Row],[PROVEEDOR]],"*"&amp;'Palabra que no opera y Listas d'!$A$2&amp;"*"))</f>
        <v>0</v>
      </c>
    </row>
    <row r="1080" spans="1:26" ht="27.75" customHeight="1" x14ac:dyDescent="0.25">
      <c r="A1080" s="141" t="str">
        <f>+IF(PROVEEDORES[[#This Row],[FECHA DE PAGO]]=PROVEEDORES[[#This Row],[FECHA DE FACTURACIÓN]],"DE CONTADO","CRÉDITO")</f>
        <v>CRÉDITO</v>
      </c>
      <c r="B1080" s="138" t="b">
        <f>+IF((PROVEEDORES[[#This Row],[FECHA DE PAGO]]-PROVEEDORES[[#This Row],[FECHA DE FACTURACIÓN]])&gt;PROVEEDORES[[#This Row],[PLAZO Días]],"PAGO VENCIDO")</f>
        <v>0</v>
      </c>
      <c r="C1080" s="138">
        <f>+VLOOKUP(PROVEEDORES[[#This Row],[PROVEEDOR]],TERCEROS_INFO[#All],2,FALSE)</f>
        <v>30</v>
      </c>
      <c r="D1080" s="139">
        <f>+SUMIFS(PROVEEDORES[Total],PROVEEDORES[PROVEEDOR],PROVEEDORES[[#This Row],[PROVEEDOR]],PROVEEDORES[FECHA DE PAGO],"")</f>
        <v>0</v>
      </c>
      <c r="E1080" s="140"/>
      <c r="F1080" s="138" t="str">
        <f>+VLOOKUP(PROVEEDORES[[#This Row],[PROVEEDOR]],
                       Terceros!$A:$F,
                       5,
                       FALSE)</f>
        <v>aristiduque0428@gmail.com;girlesa.ruiz@servipilas.com;joriescobar64@gmail.com</v>
      </c>
      <c r="G1080" s="127">
        <v>45281</v>
      </c>
      <c r="H1080" s="123" t="s">
        <v>1130</v>
      </c>
      <c r="I1080" s="127">
        <v>45274</v>
      </c>
      <c r="J1080" s="124" t="s">
        <v>1338</v>
      </c>
      <c r="K1080" s="124" t="s">
        <v>1530</v>
      </c>
      <c r="L1080" s="124"/>
      <c r="M1080" s="125">
        <v>649719</v>
      </c>
      <c r="N1080" s="148">
        <v>123446.61</v>
      </c>
      <c r="O1080" s="148">
        <v>0</v>
      </c>
      <c r="P1080" s="149">
        <v>0</v>
      </c>
      <c r="Q1080" s="148">
        <v>0</v>
      </c>
      <c r="R1080" s="150">
        <v>773165.61</v>
      </c>
      <c r="S10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0" s="135">
        <f ca="1">+IF(PROVEEDORES[[#This Row],[FECHA DE PAGO]]=0,TODAY()-PROVEEDORES[[#This Row],[FECHA DE FACTURACIÓN]]-PROVEEDORES[[#This Row],[PLAZO Días]],0)</f>
        <v>0</v>
      </c>
      <c r="U1080" s="135" t="str">
        <f>+VLOOKUP(PROVEEDORES[[#This Row],[PROVEEDOR]],Terceros!$A:$D,4,FALSE)</f>
        <v>2,5% con base</v>
      </c>
      <c r="V1080" s="135">
        <f>+YEAR(PROVEEDORES[[#This Row],[FECHA DE FACTURACIÓN]])</f>
        <v>2023</v>
      </c>
      <c r="W1080" s="135">
        <f>+MATCH(PROVEEDORES[[#This Row],[año facturado]],Retenciones!$1:$1,0)</f>
        <v>6</v>
      </c>
      <c r="X1080" s="136">
        <f>+VLOOKUP(PROVEEDORES[[#This Row],[ID RETENCION]],Retenciones!$A$1:$O$25,PROVEEDORES[[#This Row],[indicador de columna]],FALSE)</f>
        <v>1145000</v>
      </c>
      <c r="Y1080" s="137">
        <f>+VLOOKUP(PROVEEDORES[[#This Row],[ID RETENCION]],Retenciones!$A$1:$O$25,2,FALSE)</f>
        <v>2.5000000000000001E-2</v>
      </c>
      <c r="Z1080" s="126" t="b">
        <f>+OR(COUNTIF(PROVEEDORES[[#This Row],[PROVEEDOR]],"*"&amp;'Palabra que no opera y Listas d'!$A$2&amp;"*"))</f>
        <v>0</v>
      </c>
    </row>
    <row r="1081" spans="1:26" ht="27.75" customHeight="1" x14ac:dyDescent="0.25">
      <c r="A1081" s="141" t="str">
        <f>+IF(PROVEEDORES[[#This Row],[FECHA DE PAGO]]=PROVEEDORES[[#This Row],[FECHA DE FACTURACIÓN]],"DE CONTADO","CRÉDITO")</f>
        <v>CRÉDITO</v>
      </c>
      <c r="B1081" s="138" t="b">
        <f>+IF((PROVEEDORES[[#This Row],[FECHA DE PAGO]]-PROVEEDORES[[#This Row],[FECHA DE FACTURACIÓN]])&gt;PROVEEDORES[[#This Row],[PLAZO Días]],"PAGO VENCIDO")</f>
        <v>0</v>
      </c>
      <c r="C1081" s="138">
        <f>+VLOOKUP(PROVEEDORES[[#This Row],[PROVEEDOR]],TERCEROS_INFO[#All],2,FALSE)</f>
        <v>30</v>
      </c>
      <c r="D1081" s="139">
        <f>+SUMIFS(PROVEEDORES[Total],PROVEEDORES[PROVEEDOR],PROVEEDORES[[#This Row],[PROVEEDOR]],PROVEEDORES[FECHA DE PAGO],"")</f>
        <v>0</v>
      </c>
      <c r="E1081" s="140"/>
      <c r="F1081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081" s="127">
        <v>45281</v>
      </c>
      <c r="H1081" s="123" t="s">
        <v>382</v>
      </c>
      <c r="I1081" s="127">
        <v>45280</v>
      </c>
      <c r="J1081" s="124" t="s">
        <v>1384</v>
      </c>
      <c r="K1081" s="124" t="s">
        <v>1530</v>
      </c>
      <c r="L1081" s="124"/>
      <c r="M1081" s="125">
        <v>82000</v>
      </c>
      <c r="N1081" s="148">
        <v>0</v>
      </c>
      <c r="O1081" s="148">
        <v>0</v>
      </c>
      <c r="P1081" s="149">
        <v>0</v>
      </c>
      <c r="Q1081" s="148">
        <v>0</v>
      </c>
      <c r="R1081" s="150">
        <v>82000</v>
      </c>
      <c r="S10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1" s="135">
        <f ca="1">+IF(PROVEEDORES[[#This Row],[FECHA DE PAGO]]=0,TODAY()-PROVEEDORES[[#This Row],[FECHA DE FACTURACIÓN]]-PROVEEDORES[[#This Row],[PLAZO Días]],0)</f>
        <v>0</v>
      </c>
      <c r="U1081" s="135">
        <f>+VLOOKUP(PROVEEDORES[[#This Row],[PROVEEDOR]],Terceros!$A:$D,4,FALSE)</f>
        <v>0</v>
      </c>
      <c r="V1081" s="135">
        <f>+YEAR(PROVEEDORES[[#This Row],[FECHA DE FACTURACIÓN]])</f>
        <v>2023</v>
      </c>
      <c r="W1081" s="135">
        <f>+MATCH(PROVEEDORES[[#This Row],[año facturado]],Retenciones!$1:$1,0)</f>
        <v>6</v>
      </c>
      <c r="X1081" s="136">
        <f>+VLOOKUP(PROVEEDORES[[#This Row],[ID RETENCION]],Retenciones!$A$1:$O$25,PROVEEDORES[[#This Row],[indicador de columna]],FALSE)</f>
        <v>0</v>
      </c>
      <c r="Y1081" s="137">
        <f>+VLOOKUP(PROVEEDORES[[#This Row],[ID RETENCION]],Retenciones!$A$1:$O$25,2,FALSE)</f>
        <v>0</v>
      </c>
      <c r="Z1081" s="126" t="b">
        <f>+OR(COUNTIF(PROVEEDORES[[#This Row],[PROVEEDOR]],"*"&amp;'Palabra que no opera y Listas d'!$A$2&amp;"*"))</f>
        <v>1</v>
      </c>
    </row>
    <row r="1082" spans="1:26" ht="27.75" customHeight="1" x14ac:dyDescent="0.25">
      <c r="A1082" s="141" t="str">
        <f>+IF(PROVEEDORES[[#This Row],[FECHA DE PAGO]]=PROVEEDORES[[#This Row],[FECHA DE FACTURACIÓN]],"DE CONTADO","CRÉDITO")</f>
        <v>CRÉDITO</v>
      </c>
      <c r="B1082" s="138" t="str">
        <f>+IF((PROVEEDORES[[#This Row],[FECHA DE PAGO]]-PROVEEDORES[[#This Row],[FECHA DE FACTURACIÓN]])&gt;PROVEEDORES[[#This Row],[PLAZO Días]],"PAGO VENCIDO")</f>
        <v>PAGO VENCIDO</v>
      </c>
      <c r="C1082" s="138">
        <f>+VLOOKUP(PROVEEDORES[[#This Row],[PROVEEDOR]],TERCEROS_INFO[#All],2,FALSE)</f>
        <v>30</v>
      </c>
      <c r="D1082" s="139">
        <f>+SUMIFS(PROVEEDORES[Total],PROVEEDORES[PROVEEDOR],PROVEEDORES[[#This Row],[PROVEEDOR]],PROVEEDORES[FECHA DE PAGO],"")</f>
        <v>0</v>
      </c>
      <c r="E1082" s="140"/>
      <c r="F1082" s="138" t="str">
        <f>+VLOOKUP(PROVEEDORES[[#This Row],[PROVEEDOR]],
                       Terceros!$A:$F,
                       5,
                       FALSE)</f>
        <v/>
      </c>
      <c r="G1082" s="127">
        <v>45282</v>
      </c>
      <c r="H1082" s="123" t="s">
        <v>1811</v>
      </c>
      <c r="I1082" s="127">
        <v>45251</v>
      </c>
      <c r="J1082" s="124" t="s">
        <v>1274</v>
      </c>
      <c r="K1082" s="124" t="s">
        <v>1530</v>
      </c>
      <c r="L1082" s="124"/>
      <c r="M1082" s="125">
        <v>6427500</v>
      </c>
      <c r="N1082" s="148">
        <v>0</v>
      </c>
      <c r="O1082" s="148">
        <v>0</v>
      </c>
      <c r="P1082" s="149">
        <v>0</v>
      </c>
      <c r="Q1082" s="148">
        <v>0</v>
      </c>
      <c r="R1082" s="150">
        <v>6427500</v>
      </c>
      <c r="S10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2" s="135">
        <f ca="1">+IF(PROVEEDORES[[#This Row],[FECHA DE PAGO]]=0,TODAY()-PROVEEDORES[[#This Row],[FECHA DE FACTURACIÓN]]-PROVEEDORES[[#This Row],[PLAZO Días]],0)</f>
        <v>0</v>
      </c>
      <c r="U1082" s="135">
        <f>+VLOOKUP(PROVEEDORES[[#This Row],[PROVEEDOR]],Terceros!$A:$D,4,FALSE)</f>
        <v>0</v>
      </c>
      <c r="V1082" s="135">
        <f>+YEAR(PROVEEDORES[[#This Row],[FECHA DE FACTURACIÓN]])</f>
        <v>2023</v>
      </c>
      <c r="W1082" s="135">
        <f>+MATCH(PROVEEDORES[[#This Row],[año facturado]],Retenciones!$1:$1,0)</f>
        <v>6</v>
      </c>
      <c r="X1082" s="136">
        <f>+VLOOKUP(PROVEEDORES[[#This Row],[ID RETENCION]],Retenciones!$A$1:$O$25,PROVEEDORES[[#This Row],[indicador de columna]],FALSE)</f>
        <v>0</v>
      </c>
      <c r="Y1082" s="137">
        <f>+VLOOKUP(PROVEEDORES[[#This Row],[ID RETENCION]],Retenciones!$A$1:$O$25,2,FALSE)</f>
        <v>0</v>
      </c>
      <c r="Z1082" s="126" t="b">
        <f>+OR(COUNTIF(PROVEEDORES[[#This Row],[PROVEEDOR]],"*"&amp;'Palabra que no opera y Listas d'!$A$2&amp;"*"))</f>
        <v>0</v>
      </c>
    </row>
    <row r="1083" spans="1:26" ht="27.75" customHeight="1" x14ac:dyDescent="0.25">
      <c r="A1083" s="141" t="str">
        <f>+IF(PROVEEDORES[[#This Row],[FECHA DE PAGO]]=PROVEEDORES[[#This Row],[FECHA DE FACTURACIÓN]],"DE CONTADO","CRÉDITO")</f>
        <v>CRÉDITO</v>
      </c>
      <c r="B1083" s="138" t="str">
        <f>+IF((PROVEEDORES[[#This Row],[FECHA DE PAGO]]-PROVEEDORES[[#This Row],[FECHA DE FACTURACIÓN]])&gt;PROVEEDORES[[#This Row],[PLAZO Días]],"PAGO VENCIDO")</f>
        <v>PAGO VENCIDO</v>
      </c>
      <c r="C1083" s="138">
        <f>+VLOOKUP(PROVEEDORES[[#This Row],[PROVEEDOR]],TERCEROS_INFO[#All],2,FALSE)</f>
        <v>30</v>
      </c>
      <c r="D1083" s="139">
        <f>+SUMIFS(PROVEEDORES[Total],PROVEEDORES[PROVEEDOR],PROVEEDORES[[#This Row],[PROVEEDOR]],PROVEEDORES[FECHA DE PAGO],"")</f>
        <v>0</v>
      </c>
      <c r="E1083" s="140"/>
      <c r="F1083" s="13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083" s="127">
        <v>45282</v>
      </c>
      <c r="H1083" s="123" t="s">
        <v>452</v>
      </c>
      <c r="I1083" s="127">
        <v>45251</v>
      </c>
      <c r="J1083" s="124" t="s">
        <v>1246</v>
      </c>
      <c r="K1083" s="124" t="s">
        <v>1530</v>
      </c>
      <c r="L1083" s="124"/>
      <c r="M1083" s="125">
        <v>1411768</v>
      </c>
      <c r="N1083" s="148">
        <v>268235.92</v>
      </c>
      <c r="O1083" s="148">
        <v>0</v>
      </c>
      <c r="P1083" s="149">
        <v>2.5000000000000001E-2</v>
      </c>
      <c r="Q1083" s="148">
        <v>35294.200000000004</v>
      </c>
      <c r="R1083" s="150">
        <v>1644709.72</v>
      </c>
      <c r="S10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3" s="135">
        <f ca="1">+IF(PROVEEDORES[[#This Row],[FECHA DE PAGO]]=0,TODAY()-PROVEEDORES[[#This Row],[FECHA DE FACTURACIÓN]]-PROVEEDORES[[#This Row],[PLAZO Días]],0)</f>
        <v>0</v>
      </c>
      <c r="U1083" s="135" t="str">
        <f>+VLOOKUP(PROVEEDORES[[#This Row],[PROVEEDOR]],Terceros!$A:$D,4,FALSE)</f>
        <v>2,5% con base</v>
      </c>
      <c r="V1083" s="135">
        <f>+YEAR(PROVEEDORES[[#This Row],[FECHA DE FACTURACIÓN]])</f>
        <v>2023</v>
      </c>
      <c r="W1083" s="135">
        <f>+MATCH(PROVEEDORES[[#This Row],[año facturado]],Retenciones!$1:$1,0)</f>
        <v>6</v>
      </c>
      <c r="X1083" s="136">
        <f>+VLOOKUP(PROVEEDORES[[#This Row],[ID RETENCION]],Retenciones!$A$1:$O$25,PROVEEDORES[[#This Row],[indicador de columna]],FALSE)</f>
        <v>1145000</v>
      </c>
      <c r="Y1083" s="137">
        <f>+VLOOKUP(PROVEEDORES[[#This Row],[ID RETENCION]],Retenciones!$A$1:$O$25,2,FALSE)</f>
        <v>2.5000000000000001E-2</v>
      </c>
      <c r="Z1083" s="126" t="b">
        <f>+OR(COUNTIF(PROVEEDORES[[#This Row],[PROVEEDOR]],"*"&amp;'Palabra que no opera y Listas d'!$A$2&amp;"*"))</f>
        <v>0</v>
      </c>
    </row>
    <row r="1084" spans="1:26" ht="27.75" customHeight="1" x14ac:dyDescent="0.25">
      <c r="A1084" s="141" t="str">
        <f>+IF(PROVEEDORES[[#This Row],[FECHA DE PAGO]]=PROVEEDORES[[#This Row],[FECHA DE FACTURACIÓN]],"DE CONTADO","CRÉDITO")</f>
        <v>CRÉDITO</v>
      </c>
      <c r="B1084" s="138" t="str">
        <f>+IF((PROVEEDORES[[#This Row],[FECHA DE PAGO]]-PROVEEDORES[[#This Row],[FECHA DE FACTURACIÓN]])&gt;PROVEEDORES[[#This Row],[PLAZO Días]],"PAGO VENCIDO")</f>
        <v>PAGO VENCIDO</v>
      </c>
      <c r="C1084" s="138">
        <f>+VLOOKUP(PROVEEDORES[[#This Row],[PROVEEDOR]],TERCEROS_INFO[#All],2,FALSE)</f>
        <v>60</v>
      </c>
      <c r="D1084" s="139">
        <f>+SUMIFS(PROVEEDORES[Total],PROVEEDORES[PROVEEDOR],PROVEEDORES[[#This Row],[PROVEEDOR]],PROVEEDORES[FECHA DE PAGO],"")</f>
        <v>50353355.590000004</v>
      </c>
      <c r="E1084" s="140"/>
      <c r="F1084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084" s="127">
        <v>45286</v>
      </c>
      <c r="H1084" s="123" t="s">
        <v>9</v>
      </c>
      <c r="I1084" s="127">
        <v>45203</v>
      </c>
      <c r="J1084" s="124" t="s">
        <v>1343</v>
      </c>
      <c r="K1084" s="124" t="s">
        <v>1530</v>
      </c>
      <c r="L1084" s="124"/>
      <c r="M1084" s="125">
        <v>67227</v>
      </c>
      <c r="N1084" s="148">
        <v>12773.130000000001</v>
      </c>
      <c r="O1084" s="148">
        <v>0</v>
      </c>
      <c r="P1084" s="149">
        <v>0</v>
      </c>
      <c r="Q1084" s="148">
        <v>0</v>
      </c>
      <c r="R1084" s="150">
        <v>80000.13</v>
      </c>
      <c r="S10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4" s="135">
        <f ca="1">+IF(PROVEEDORES[[#This Row],[FECHA DE PAGO]]=0,TODAY()-PROVEEDORES[[#This Row],[FECHA DE FACTURACIÓN]]-PROVEEDORES[[#This Row],[PLAZO Días]],0)</f>
        <v>0</v>
      </c>
      <c r="U1084" s="135" t="str">
        <f>+VLOOKUP(PROVEEDORES[[#This Row],[PROVEEDOR]],Terceros!$A:$D,4,FALSE)</f>
        <v>2,5% con base</v>
      </c>
      <c r="V1084" s="135">
        <f>+YEAR(PROVEEDORES[[#This Row],[FECHA DE FACTURACIÓN]])</f>
        <v>2023</v>
      </c>
      <c r="W1084" s="135">
        <f>+MATCH(PROVEEDORES[[#This Row],[año facturado]],Retenciones!$1:$1,0)</f>
        <v>6</v>
      </c>
      <c r="X1084" s="136">
        <f>+VLOOKUP(PROVEEDORES[[#This Row],[ID RETENCION]],Retenciones!$A$1:$O$25,PROVEEDORES[[#This Row],[indicador de columna]],FALSE)</f>
        <v>1145000</v>
      </c>
      <c r="Y1084" s="137">
        <f>+VLOOKUP(PROVEEDORES[[#This Row],[ID RETENCION]],Retenciones!$A$1:$O$25,2,FALSE)</f>
        <v>2.5000000000000001E-2</v>
      </c>
      <c r="Z1084" s="126" t="b">
        <f>+OR(COUNTIF(PROVEEDORES[[#This Row],[PROVEEDOR]],"*"&amp;'Palabra que no opera y Listas d'!$A$2&amp;"*"))</f>
        <v>0</v>
      </c>
    </row>
    <row r="1085" spans="1:26" ht="27.75" customHeight="1" x14ac:dyDescent="0.25">
      <c r="A1085" s="141" t="str">
        <f>+IF(PROVEEDORES[[#This Row],[FECHA DE PAGO]]=PROVEEDORES[[#This Row],[FECHA DE FACTURACIÓN]],"DE CONTADO","CRÉDITO")</f>
        <v>CRÉDITO</v>
      </c>
      <c r="B1085" s="138" t="str">
        <f>+IF((PROVEEDORES[[#This Row],[FECHA DE PAGO]]-PROVEEDORES[[#This Row],[FECHA DE FACTURACIÓN]])&gt;PROVEEDORES[[#This Row],[PLAZO Días]],"PAGO VENCIDO")</f>
        <v>PAGO VENCIDO</v>
      </c>
      <c r="C1085" s="138">
        <f>+VLOOKUP(PROVEEDORES[[#This Row],[PROVEEDOR]],TERCEROS_INFO[#All],2,FALSE)</f>
        <v>30</v>
      </c>
      <c r="D1085" s="139">
        <f>+SUMIFS(PROVEEDORES[Total],PROVEEDORES[PROVEEDOR],PROVEEDORES[[#This Row],[PROVEEDOR]],PROVEEDORES[FECHA DE PAGO],"")</f>
        <v>4466504.835</v>
      </c>
      <c r="E1085" s="140"/>
      <c r="F1085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085" s="127">
        <v>45286</v>
      </c>
      <c r="H1085" s="123" t="s">
        <v>18</v>
      </c>
      <c r="I1085" s="127">
        <v>45252</v>
      </c>
      <c r="J1085" s="124" t="s">
        <v>1255</v>
      </c>
      <c r="K1085" s="124" t="s">
        <v>1530</v>
      </c>
      <c r="L1085" s="124"/>
      <c r="M1085" s="125">
        <v>3851267</v>
      </c>
      <c r="N1085" s="148">
        <v>731740.73</v>
      </c>
      <c r="O1085" s="148">
        <v>0</v>
      </c>
      <c r="P1085" s="149">
        <v>2.5000000000000001E-2</v>
      </c>
      <c r="Q1085" s="148">
        <v>96281.675000000003</v>
      </c>
      <c r="R1085" s="150">
        <v>4486726.0550000006</v>
      </c>
      <c r="S10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5" s="135">
        <f ca="1">+IF(PROVEEDORES[[#This Row],[FECHA DE PAGO]]=0,TODAY()-PROVEEDORES[[#This Row],[FECHA DE FACTURACIÓN]]-PROVEEDORES[[#This Row],[PLAZO Días]],0)</f>
        <v>0</v>
      </c>
      <c r="U1085" s="135" t="str">
        <f>+VLOOKUP(PROVEEDORES[[#This Row],[PROVEEDOR]],Terceros!$A:$D,4,FALSE)</f>
        <v>2,5% con base</v>
      </c>
      <c r="V1085" s="135">
        <f>+YEAR(PROVEEDORES[[#This Row],[FECHA DE FACTURACIÓN]])</f>
        <v>2023</v>
      </c>
      <c r="W1085" s="135">
        <f>+MATCH(PROVEEDORES[[#This Row],[año facturado]],Retenciones!$1:$1,0)</f>
        <v>6</v>
      </c>
      <c r="X1085" s="136">
        <f>+VLOOKUP(PROVEEDORES[[#This Row],[ID RETENCION]],Retenciones!$A$1:$O$25,PROVEEDORES[[#This Row],[indicador de columna]],FALSE)</f>
        <v>1145000</v>
      </c>
      <c r="Y1085" s="137">
        <f>+VLOOKUP(PROVEEDORES[[#This Row],[ID RETENCION]],Retenciones!$A$1:$O$25,2,FALSE)</f>
        <v>2.5000000000000001E-2</v>
      </c>
      <c r="Z1085" s="126" t="b">
        <f>+OR(COUNTIF(PROVEEDORES[[#This Row],[PROVEEDOR]],"*"&amp;'Palabra que no opera y Listas d'!$A$2&amp;"*"))</f>
        <v>0</v>
      </c>
    </row>
    <row r="1086" spans="1:26" ht="27.75" customHeight="1" x14ac:dyDescent="0.25">
      <c r="A1086" s="141" t="str">
        <f>+IF(PROVEEDORES[[#This Row],[FECHA DE PAGO]]=PROVEEDORES[[#This Row],[FECHA DE FACTURACIÓN]],"DE CONTADO","CRÉDITO")</f>
        <v>CRÉDITO</v>
      </c>
      <c r="B1086" s="138" t="b">
        <f>+IF((PROVEEDORES[[#This Row],[FECHA DE PAGO]]-PROVEEDORES[[#This Row],[FECHA DE FACTURACIÓN]])&gt;PROVEEDORES[[#This Row],[PLAZO Días]],"PAGO VENCIDO")</f>
        <v>0</v>
      </c>
      <c r="C1086" s="138">
        <f>+VLOOKUP(PROVEEDORES[[#This Row],[PROVEEDOR]],TERCEROS_INFO[#All],2,FALSE)</f>
        <v>90</v>
      </c>
      <c r="D1086" s="139">
        <f>+SUMIFS(PROVEEDORES[Total],PROVEEDORES[PROVEEDOR],PROVEEDORES[[#This Row],[PROVEEDOR]],PROVEEDORES[FECHA DE PAGO],"")</f>
        <v>17710735.315650001</v>
      </c>
      <c r="E1086" s="140"/>
      <c r="F1086" s="13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86" s="127">
        <v>45286</v>
      </c>
      <c r="H1086" s="123" t="s">
        <v>12</v>
      </c>
      <c r="I1086" s="127">
        <v>45254</v>
      </c>
      <c r="J1086" s="124" t="s">
        <v>1261</v>
      </c>
      <c r="K1086" s="124" t="s">
        <v>1530</v>
      </c>
      <c r="L1086" s="124"/>
      <c r="M1086" s="125">
        <v>21214285</v>
      </c>
      <c r="N1086" s="148">
        <v>4030714.15</v>
      </c>
      <c r="O1086" s="148">
        <v>0</v>
      </c>
      <c r="P1086" s="149">
        <v>2.5000000000000001E-2</v>
      </c>
      <c r="Q1086" s="148">
        <v>530357.125</v>
      </c>
      <c r="R1086" s="150">
        <v>24714642.024999999</v>
      </c>
      <c r="S10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6" s="135">
        <f ca="1">+IF(PROVEEDORES[[#This Row],[FECHA DE PAGO]]=0,TODAY()-PROVEEDORES[[#This Row],[FECHA DE FACTURACIÓN]]-PROVEEDORES[[#This Row],[PLAZO Días]],0)</f>
        <v>0</v>
      </c>
      <c r="U1086" s="135" t="str">
        <f>+VLOOKUP(PROVEEDORES[[#This Row],[PROVEEDOR]],Terceros!$A:$D,4,FALSE)</f>
        <v>2,5% con base</v>
      </c>
      <c r="V1086" s="135">
        <f>+YEAR(PROVEEDORES[[#This Row],[FECHA DE FACTURACIÓN]])</f>
        <v>2023</v>
      </c>
      <c r="W1086" s="135">
        <f>+MATCH(PROVEEDORES[[#This Row],[año facturado]],Retenciones!$1:$1,0)</f>
        <v>6</v>
      </c>
      <c r="X1086" s="136">
        <f>+VLOOKUP(PROVEEDORES[[#This Row],[ID RETENCION]],Retenciones!$A$1:$O$25,PROVEEDORES[[#This Row],[indicador de columna]],FALSE)</f>
        <v>1145000</v>
      </c>
      <c r="Y1086" s="137">
        <f>+VLOOKUP(PROVEEDORES[[#This Row],[ID RETENCION]],Retenciones!$A$1:$O$25,2,FALSE)</f>
        <v>2.5000000000000001E-2</v>
      </c>
      <c r="Z1086" s="126" t="b">
        <f>+OR(COUNTIF(PROVEEDORES[[#This Row],[PROVEEDOR]],"*"&amp;'Palabra que no opera y Listas d'!$A$2&amp;"*"))</f>
        <v>0</v>
      </c>
    </row>
    <row r="1087" spans="1:26" ht="27.75" customHeight="1" x14ac:dyDescent="0.25">
      <c r="A1087" s="141" t="str">
        <f>+IF(PROVEEDORES[[#This Row],[FECHA DE PAGO]]=PROVEEDORES[[#This Row],[FECHA DE FACTURACIÓN]],"DE CONTADO","CRÉDITO")</f>
        <v>CRÉDITO</v>
      </c>
      <c r="B1087" s="138" t="b">
        <f>+IF((PROVEEDORES[[#This Row],[FECHA DE PAGO]]-PROVEEDORES[[#This Row],[FECHA DE FACTURACIÓN]])&gt;PROVEEDORES[[#This Row],[PLAZO Días]],"PAGO VENCIDO")</f>
        <v>0</v>
      </c>
      <c r="C1087" s="138">
        <f>+VLOOKUP(PROVEEDORES[[#This Row],[PROVEEDOR]],TERCEROS_INFO[#All],2,FALSE)</f>
        <v>90</v>
      </c>
      <c r="D1087" s="139">
        <f>+SUMIFS(PROVEEDORES[Total],PROVEEDORES[PROVEEDOR],PROVEEDORES[[#This Row],[PROVEEDOR]],PROVEEDORES[FECHA DE PAGO],"")</f>
        <v>17710735.315650001</v>
      </c>
      <c r="E1087" s="140"/>
      <c r="F1087" s="13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87" s="127">
        <v>45286</v>
      </c>
      <c r="H1087" s="123" t="s">
        <v>12</v>
      </c>
      <c r="I1087" s="127">
        <v>45254</v>
      </c>
      <c r="J1087" s="124" t="s">
        <v>1260</v>
      </c>
      <c r="K1087" s="124" t="s">
        <v>1530</v>
      </c>
      <c r="L1087" s="124"/>
      <c r="M1087" s="125">
        <v>1260504</v>
      </c>
      <c r="N1087" s="148">
        <v>239495.76</v>
      </c>
      <c r="O1087" s="148">
        <v>0</v>
      </c>
      <c r="P1087" s="149">
        <v>2.5000000000000001E-2</v>
      </c>
      <c r="Q1087" s="148">
        <v>31512.600000000002</v>
      </c>
      <c r="R1087" s="150">
        <v>1468487.16</v>
      </c>
      <c r="S10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7" s="135">
        <f ca="1">+IF(PROVEEDORES[[#This Row],[FECHA DE PAGO]]=0,TODAY()-PROVEEDORES[[#This Row],[FECHA DE FACTURACIÓN]]-PROVEEDORES[[#This Row],[PLAZO Días]],0)</f>
        <v>0</v>
      </c>
      <c r="U1087" s="135" t="str">
        <f>+VLOOKUP(PROVEEDORES[[#This Row],[PROVEEDOR]],Terceros!$A:$D,4,FALSE)</f>
        <v>2,5% con base</v>
      </c>
      <c r="V1087" s="135">
        <f>+YEAR(PROVEEDORES[[#This Row],[FECHA DE FACTURACIÓN]])</f>
        <v>2023</v>
      </c>
      <c r="W1087" s="135">
        <f>+MATCH(PROVEEDORES[[#This Row],[año facturado]],Retenciones!$1:$1,0)</f>
        <v>6</v>
      </c>
      <c r="X1087" s="136">
        <f>+VLOOKUP(PROVEEDORES[[#This Row],[ID RETENCION]],Retenciones!$A$1:$O$25,PROVEEDORES[[#This Row],[indicador de columna]],FALSE)</f>
        <v>1145000</v>
      </c>
      <c r="Y1087" s="137">
        <f>+VLOOKUP(PROVEEDORES[[#This Row],[ID RETENCION]],Retenciones!$A$1:$O$25,2,FALSE)</f>
        <v>2.5000000000000001E-2</v>
      </c>
      <c r="Z1087" s="126" t="b">
        <f>+OR(COUNTIF(PROVEEDORES[[#This Row],[PROVEEDOR]],"*"&amp;'Palabra que no opera y Listas d'!$A$2&amp;"*"))</f>
        <v>0</v>
      </c>
    </row>
    <row r="1088" spans="1:26" ht="27.75" customHeight="1" x14ac:dyDescent="0.25">
      <c r="A1088" s="141" t="str">
        <f>+IF(PROVEEDORES[[#This Row],[FECHA DE PAGO]]=PROVEEDORES[[#This Row],[FECHA DE FACTURACIÓN]],"DE CONTADO","CRÉDITO")</f>
        <v>CRÉDITO</v>
      </c>
      <c r="B1088" s="138" t="b">
        <f>+IF((PROVEEDORES[[#This Row],[FECHA DE PAGO]]-PROVEEDORES[[#This Row],[FECHA DE FACTURACIÓN]])&gt;PROVEEDORES[[#This Row],[PLAZO Días]],"PAGO VENCIDO")</f>
        <v>0</v>
      </c>
      <c r="C1088" s="138">
        <f>+VLOOKUP(PROVEEDORES[[#This Row],[PROVEEDOR]],TERCEROS_INFO[#All],2,FALSE)</f>
        <v>90</v>
      </c>
      <c r="D1088" s="139">
        <f>+SUMIFS(PROVEEDORES[Total],PROVEEDORES[PROVEEDOR],PROVEEDORES[[#This Row],[PROVEEDOR]],PROVEEDORES[FECHA DE PAGO],"")</f>
        <v>17710735.315650001</v>
      </c>
      <c r="E1088" s="140"/>
      <c r="F1088" s="13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088" s="127">
        <v>45286</v>
      </c>
      <c r="H1088" s="123" t="s">
        <v>12</v>
      </c>
      <c r="I1088" s="127">
        <v>45254</v>
      </c>
      <c r="J1088" s="124" t="s">
        <v>1262</v>
      </c>
      <c r="K1088" s="124" t="s">
        <v>1530</v>
      </c>
      <c r="L1088" s="124"/>
      <c r="M1088" s="125">
        <v>49989</v>
      </c>
      <c r="N1088" s="148">
        <v>9497.91</v>
      </c>
      <c r="O1088" s="148">
        <v>0</v>
      </c>
      <c r="P1088" s="149">
        <v>0</v>
      </c>
      <c r="Q1088" s="148">
        <v>0</v>
      </c>
      <c r="R1088" s="150">
        <v>59486.91</v>
      </c>
      <c r="S10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8" s="135">
        <f ca="1">+IF(PROVEEDORES[[#This Row],[FECHA DE PAGO]]=0,TODAY()-PROVEEDORES[[#This Row],[FECHA DE FACTURACIÓN]]-PROVEEDORES[[#This Row],[PLAZO Días]],0)</f>
        <v>0</v>
      </c>
      <c r="U1088" s="135" t="str">
        <f>+VLOOKUP(PROVEEDORES[[#This Row],[PROVEEDOR]],Terceros!$A:$D,4,FALSE)</f>
        <v>2,5% con base</v>
      </c>
      <c r="V1088" s="135">
        <f>+YEAR(PROVEEDORES[[#This Row],[FECHA DE FACTURACIÓN]])</f>
        <v>2023</v>
      </c>
      <c r="W1088" s="135">
        <f>+MATCH(PROVEEDORES[[#This Row],[año facturado]],Retenciones!$1:$1,0)</f>
        <v>6</v>
      </c>
      <c r="X1088" s="136">
        <f>+VLOOKUP(PROVEEDORES[[#This Row],[ID RETENCION]],Retenciones!$A$1:$O$25,PROVEEDORES[[#This Row],[indicador de columna]],FALSE)</f>
        <v>1145000</v>
      </c>
      <c r="Y1088" s="137">
        <f>+VLOOKUP(PROVEEDORES[[#This Row],[ID RETENCION]],Retenciones!$A$1:$O$25,2,FALSE)</f>
        <v>2.5000000000000001E-2</v>
      </c>
      <c r="Z1088" s="126" t="b">
        <f>+OR(COUNTIF(PROVEEDORES[[#This Row],[PROVEEDOR]],"*"&amp;'Palabra que no opera y Listas d'!$A$2&amp;"*"))</f>
        <v>0</v>
      </c>
    </row>
    <row r="1089" spans="1:26" ht="27.75" customHeight="1" x14ac:dyDescent="0.25">
      <c r="A1089" s="141" t="str">
        <f>+IF(PROVEEDORES[[#This Row],[FECHA DE PAGO]]=PROVEEDORES[[#This Row],[FECHA DE FACTURACIÓN]],"DE CONTADO","CRÉDITO")</f>
        <v>CRÉDITO</v>
      </c>
      <c r="B1089" s="138" t="str">
        <f>+IF((PROVEEDORES[[#This Row],[FECHA DE PAGO]]-PROVEEDORES[[#This Row],[FECHA DE FACTURACIÓN]])&gt;PROVEEDORES[[#This Row],[PLAZO Días]],"PAGO VENCIDO")</f>
        <v>PAGO VENCIDO</v>
      </c>
      <c r="C1089" s="138">
        <f>+VLOOKUP(PROVEEDORES[[#This Row],[PROVEEDOR]],TERCEROS_INFO[#All],2,FALSE)</f>
        <v>30</v>
      </c>
      <c r="D1089" s="139">
        <f>+SUMIFS(PROVEEDORES[Total],PROVEEDORES[PROVEEDOR],PROVEEDORES[[#This Row],[PROVEEDOR]],PROVEEDORES[FECHA DE PAGO],"")</f>
        <v>4466504.835</v>
      </c>
      <c r="E1089" s="140"/>
      <c r="F1089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089" s="127">
        <v>45286</v>
      </c>
      <c r="H1089" s="123" t="s">
        <v>18</v>
      </c>
      <c r="I1089" s="127">
        <v>45254</v>
      </c>
      <c r="J1089" s="124" t="s">
        <v>1257</v>
      </c>
      <c r="K1089" s="124" t="s">
        <v>1530</v>
      </c>
      <c r="L1089" s="124"/>
      <c r="M1089" s="125">
        <v>3212390</v>
      </c>
      <c r="N1089" s="148">
        <v>610354.1</v>
      </c>
      <c r="O1089" s="148">
        <v>0</v>
      </c>
      <c r="P1089" s="149">
        <v>2.5000000000000001E-2</v>
      </c>
      <c r="Q1089" s="148">
        <v>80309.75</v>
      </c>
      <c r="R1089" s="150">
        <v>3742434.35</v>
      </c>
      <c r="S10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89" s="135">
        <f ca="1">+IF(PROVEEDORES[[#This Row],[FECHA DE PAGO]]=0,TODAY()-PROVEEDORES[[#This Row],[FECHA DE FACTURACIÓN]]-PROVEEDORES[[#This Row],[PLAZO Días]],0)</f>
        <v>0</v>
      </c>
      <c r="U1089" s="135" t="str">
        <f>+VLOOKUP(PROVEEDORES[[#This Row],[PROVEEDOR]],Terceros!$A:$D,4,FALSE)</f>
        <v>2,5% con base</v>
      </c>
      <c r="V1089" s="135">
        <f>+YEAR(PROVEEDORES[[#This Row],[FECHA DE FACTURACIÓN]])</f>
        <v>2023</v>
      </c>
      <c r="W1089" s="135">
        <f>+MATCH(PROVEEDORES[[#This Row],[año facturado]],Retenciones!$1:$1,0)</f>
        <v>6</v>
      </c>
      <c r="X1089" s="136">
        <f>+VLOOKUP(PROVEEDORES[[#This Row],[ID RETENCION]],Retenciones!$A$1:$O$25,PROVEEDORES[[#This Row],[indicador de columna]],FALSE)</f>
        <v>1145000</v>
      </c>
      <c r="Y1089" s="137">
        <f>+VLOOKUP(PROVEEDORES[[#This Row],[ID RETENCION]],Retenciones!$A$1:$O$25,2,FALSE)</f>
        <v>2.5000000000000001E-2</v>
      </c>
      <c r="Z1089" s="126" t="b">
        <f>+OR(COUNTIF(PROVEEDORES[[#This Row],[PROVEEDOR]],"*"&amp;'Palabra que no opera y Listas d'!$A$2&amp;"*"))</f>
        <v>0</v>
      </c>
    </row>
    <row r="1090" spans="1:26" ht="27.75" customHeight="1" x14ac:dyDescent="0.25">
      <c r="A1090" s="141" t="str">
        <f>+IF(PROVEEDORES[[#This Row],[FECHA DE PAGO]]=PROVEEDORES[[#This Row],[FECHA DE FACTURACIÓN]],"DE CONTADO","CRÉDITO")</f>
        <v>CRÉDITO</v>
      </c>
      <c r="B1090" s="138" t="b">
        <f>+IF((PROVEEDORES[[#This Row],[FECHA DE PAGO]]-PROVEEDORES[[#This Row],[FECHA DE FACTURACIÓN]])&gt;PROVEEDORES[[#This Row],[PLAZO Días]],"PAGO VENCIDO")</f>
        <v>0</v>
      </c>
      <c r="C1090" s="138">
        <f>+VLOOKUP(PROVEEDORES[[#This Row],[PROVEEDOR]],TERCEROS_INFO[#All],2,FALSE)</f>
        <v>60</v>
      </c>
      <c r="D1090" s="139">
        <f>+SUMIFS(PROVEEDORES[Total],PROVEEDORES[PROVEEDOR],PROVEEDORES[[#This Row],[PROVEEDOR]],PROVEEDORES[FECHA DE PAGO],"")</f>
        <v>50353355.590000004</v>
      </c>
      <c r="E1090" s="140"/>
      <c r="F1090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090" s="127">
        <v>45286</v>
      </c>
      <c r="H1090" s="123" t="s">
        <v>9</v>
      </c>
      <c r="I1090" s="127">
        <v>45281</v>
      </c>
      <c r="J1090" s="124" t="s">
        <v>1342</v>
      </c>
      <c r="K1090" s="124" t="s">
        <v>1530</v>
      </c>
      <c r="L1090" s="124"/>
      <c r="M1090" s="125">
        <v>22815172</v>
      </c>
      <c r="N1090" s="148">
        <f>+(PROVEEDORES[[#This Row],[SUBTOTAL]])*VLOOKUP(PROVEEDORES[[#This Row],[PROVEEDOR]],TERCEROS_INFO[#All],3,FALSE)</f>
        <v>4334882.68</v>
      </c>
      <c r="O1090" s="148">
        <f>+'Palabra que no opera y Listas d'!$D$2</f>
        <v>0</v>
      </c>
      <c r="P1090" s="149">
        <f>+IF(PROVEEDORES[[#This Row],[SUBTOTAL]]&lt;PROVEEDORES[[#This Row],[base retencion]],0,PROVEEDORES[[#This Row],[retención aplicada]])</f>
        <v>2.5000000000000001E-2</v>
      </c>
      <c r="Q1090" s="148">
        <f>+PROVEEDORES[[#This Row],[ReteFuente
%]]*(PROVEEDORES[[#This Row],[SUBTOTAL]])</f>
        <v>570379.30000000005</v>
      </c>
      <c r="R1090" s="150">
        <f>+PROVEEDORES[[#This Row],[SUBTOTAL]]+PROVEEDORES[[#This Row],[IVA 19%]]-PROVEEDORES[[#This Row],[Descuento
$]]-PROVEEDORES[[#This Row],[ReteFuente
$]]</f>
        <v>26579675.379999999</v>
      </c>
      <c r="S10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0" s="135">
        <f ca="1">+IF(PROVEEDORES[[#This Row],[FECHA DE PAGO]]=0,TODAY()-PROVEEDORES[[#This Row],[FECHA DE FACTURACIÓN]]-PROVEEDORES[[#This Row],[PLAZO Días]],0)</f>
        <v>0</v>
      </c>
      <c r="U1090" s="135" t="str">
        <f>+VLOOKUP(PROVEEDORES[[#This Row],[PROVEEDOR]],Terceros!$A:$D,4,FALSE)</f>
        <v>2,5% con base</v>
      </c>
      <c r="V1090" s="135">
        <f>+YEAR(PROVEEDORES[[#This Row],[FECHA DE FACTURACIÓN]])</f>
        <v>2023</v>
      </c>
      <c r="W1090" s="135">
        <f>+MATCH(PROVEEDORES[[#This Row],[año facturado]],Retenciones!$1:$1,0)</f>
        <v>6</v>
      </c>
      <c r="X1090" s="136">
        <f>+VLOOKUP(PROVEEDORES[[#This Row],[ID RETENCION]],Retenciones!$A$1:$O$25,PROVEEDORES[[#This Row],[indicador de columna]],FALSE)</f>
        <v>1145000</v>
      </c>
      <c r="Y1090" s="137">
        <f>+VLOOKUP(PROVEEDORES[[#This Row],[ID RETENCION]],Retenciones!$A$1:$O$25,2,FALSE)</f>
        <v>2.5000000000000001E-2</v>
      </c>
      <c r="Z1090" s="126" t="b">
        <f>+OR(COUNTIF(PROVEEDORES[[#This Row],[PROVEEDOR]],"*"&amp;'Palabra que no opera y Listas d'!$A$2&amp;"*"))</f>
        <v>0</v>
      </c>
    </row>
    <row r="1091" spans="1:26" ht="27.75" customHeight="1" x14ac:dyDescent="0.25">
      <c r="A1091" s="141" t="str">
        <f>+IF(PROVEEDORES[[#This Row],[FECHA DE PAGO]]=PROVEEDORES[[#This Row],[FECHA DE FACTURACIÓN]],"DE CONTADO","CRÉDITO")</f>
        <v>CRÉDITO</v>
      </c>
      <c r="B1091" s="138" t="str">
        <f>+IF((PROVEEDORES[[#This Row],[FECHA DE PAGO]]-PROVEEDORES[[#This Row],[FECHA DE FACTURACIÓN]])&gt;PROVEEDORES[[#This Row],[PLAZO Días]],"PAGO VENCIDO")</f>
        <v>PAGO VENCIDO</v>
      </c>
      <c r="C1091" s="138">
        <f>+VLOOKUP(PROVEEDORES[[#This Row],[PROVEEDOR]],TERCEROS_INFO[#All],2,FALSE)</f>
        <v>30</v>
      </c>
      <c r="D1091" s="139">
        <f>+SUMIFS(PROVEEDORES[Total],PROVEEDORES[PROVEEDOR],PROVEEDORES[[#This Row],[PROVEEDOR]],PROVEEDORES[FECHA DE PAGO],"")</f>
        <v>11973060.324999999</v>
      </c>
      <c r="E1091" s="140"/>
      <c r="F1091" s="13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091" s="127">
        <v>45287</v>
      </c>
      <c r="H1091" s="123" t="s">
        <v>64</v>
      </c>
      <c r="I1091" s="127">
        <v>45246</v>
      </c>
      <c r="J1091" s="124" t="s">
        <v>1258</v>
      </c>
      <c r="K1091" s="124" t="s">
        <v>1530</v>
      </c>
      <c r="L1091" s="124"/>
      <c r="M1091" s="125">
        <v>16744527</v>
      </c>
      <c r="N1091" s="148">
        <v>3181460.13</v>
      </c>
      <c r="O1091" s="148">
        <v>0</v>
      </c>
      <c r="P1091" s="149">
        <v>2.5000000000000001E-2</v>
      </c>
      <c r="Q1091" s="148">
        <v>418613.17500000005</v>
      </c>
      <c r="R1091" s="150">
        <v>19507373.954999998</v>
      </c>
      <c r="S10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1" s="135">
        <f ca="1">+IF(PROVEEDORES[[#This Row],[FECHA DE PAGO]]=0,TODAY()-PROVEEDORES[[#This Row],[FECHA DE FACTURACIÓN]]-PROVEEDORES[[#This Row],[PLAZO Días]],0)</f>
        <v>0</v>
      </c>
      <c r="U1091" s="135" t="str">
        <f>+VLOOKUP(PROVEEDORES[[#This Row],[PROVEEDOR]],Terceros!$A:$D,4,FALSE)</f>
        <v>2,5% con base</v>
      </c>
      <c r="V1091" s="135">
        <f>+YEAR(PROVEEDORES[[#This Row],[FECHA DE FACTURACIÓN]])</f>
        <v>2023</v>
      </c>
      <c r="W1091" s="135">
        <f>+MATCH(PROVEEDORES[[#This Row],[año facturado]],Retenciones!$1:$1,0)</f>
        <v>6</v>
      </c>
      <c r="X1091" s="136">
        <f>+VLOOKUP(PROVEEDORES[[#This Row],[ID RETENCION]],Retenciones!$A$1:$O$25,PROVEEDORES[[#This Row],[indicador de columna]],FALSE)</f>
        <v>1145000</v>
      </c>
      <c r="Y1091" s="137">
        <f>+VLOOKUP(PROVEEDORES[[#This Row],[ID RETENCION]],Retenciones!$A$1:$O$25,2,FALSE)</f>
        <v>2.5000000000000001E-2</v>
      </c>
      <c r="Z1091" s="126" t="b">
        <f>+OR(COUNTIF(PROVEEDORES[[#This Row],[PROVEEDOR]],"*"&amp;'Palabra que no opera y Listas d'!$A$2&amp;"*"))</f>
        <v>0</v>
      </c>
    </row>
    <row r="1092" spans="1:26" ht="27.75" customHeight="1" x14ac:dyDescent="0.25">
      <c r="A1092" s="141" t="str">
        <f>+IF(PROVEEDORES[[#This Row],[FECHA DE PAGO]]=PROVEEDORES[[#This Row],[FECHA DE FACTURACIÓN]],"DE CONTADO","CRÉDITO")</f>
        <v>CRÉDITO</v>
      </c>
      <c r="B1092" s="138" t="str">
        <f>+IF((PROVEEDORES[[#This Row],[FECHA DE PAGO]]-PROVEEDORES[[#This Row],[FECHA DE FACTURACIÓN]])&gt;PROVEEDORES[[#This Row],[PLAZO Días]],"PAGO VENCIDO")</f>
        <v>PAGO VENCIDO</v>
      </c>
      <c r="C1092" s="138">
        <f>+VLOOKUP(PROVEEDORES[[#This Row],[PROVEEDOR]],TERCEROS_INFO[#All],2,FALSE)</f>
        <v>30</v>
      </c>
      <c r="D1092" s="139">
        <f>+SUMIFS(PROVEEDORES[Total],PROVEEDORES[PROVEEDOR],PROVEEDORES[[#This Row],[PROVEEDOR]],PROVEEDORES[FECHA DE PAGO],"")</f>
        <v>4198834.75</v>
      </c>
      <c r="E1092" s="140"/>
      <c r="F1092" s="13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092" s="127">
        <v>45287</v>
      </c>
      <c r="H1092" s="123" t="s">
        <v>422</v>
      </c>
      <c r="I1092" s="127">
        <v>45252</v>
      </c>
      <c r="J1092" s="124" t="s">
        <v>1265</v>
      </c>
      <c r="K1092" s="124" t="s">
        <v>1530</v>
      </c>
      <c r="L1092" s="124"/>
      <c r="M1092" s="125">
        <v>1071000</v>
      </c>
      <c r="N1092" s="148">
        <v>203490</v>
      </c>
      <c r="O1092" s="148">
        <v>0</v>
      </c>
      <c r="P1092" s="149">
        <v>0</v>
      </c>
      <c r="Q1092" s="148">
        <v>0</v>
      </c>
      <c r="R1092" s="150">
        <v>1274490</v>
      </c>
      <c r="S10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2" s="135">
        <f ca="1">+IF(PROVEEDORES[[#This Row],[FECHA DE PAGO]]=0,TODAY()-PROVEEDORES[[#This Row],[FECHA DE FACTURACIÓN]]-PROVEEDORES[[#This Row],[PLAZO Días]],0)</f>
        <v>0</v>
      </c>
      <c r="U1092" s="135" t="str">
        <f>+VLOOKUP(PROVEEDORES[[#This Row],[PROVEEDOR]],Terceros!$A:$D,4,FALSE)</f>
        <v>2,5% con base</v>
      </c>
      <c r="V1092" s="135">
        <f>+YEAR(PROVEEDORES[[#This Row],[FECHA DE FACTURACIÓN]])</f>
        <v>2023</v>
      </c>
      <c r="W1092" s="135">
        <f>+MATCH(PROVEEDORES[[#This Row],[año facturado]],Retenciones!$1:$1,0)</f>
        <v>6</v>
      </c>
      <c r="X1092" s="136">
        <f>+VLOOKUP(PROVEEDORES[[#This Row],[ID RETENCION]],Retenciones!$A$1:$O$25,PROVEEDORES[[#This Row],[indicador de columna]],FALSE)</f>
        <v>1145000</v>
      </c>
      <c r="Y1092" s="137">
        <f>+VLOOKUP(PROVEEDORES[[#This Row],[ID RETENCION]],Retenciones!$A$1:$O$25,2,FALSE)</f>
        <v>2.5000000000000001E-2</v>
      </c>
      <c r="Z1092" s="126" t="b">
        <f>+OR(COUNTIF(PROVEEDORES[[#This Row],[PROVEEDOR]],"*"&amp;'Palabra que no opera y Listas d'!$A$2&amp;"*"))</f>
        <v>0</v>
      </c>
    </row>
    <row r="1093" spans="1:26" ht="27.75" customHeight="1" x14ac:dyDescent="0.25">
      <c r="A1093" s="141" t="str">
        <f>+IF(PROVEEDORES[[#This Row],[FECHA DE PAGO]]=PROVEEDORES[[#This Row],[FECHA DE FACTURACIÓN]],"DE CONTADO","CRÉDITO")</f>
        <v>CRÉDITO</v>
      </c>
      <c r="B1093" s="138" t="b">
        <f>+IF((PROVEEDORES[[#This Row],[FECHA DE PAGO]]-PROVEEDORES[[#This Row],[FECHA DE FACTURACIÓN]])&gt;PROVEEDORES[[#This Row],[PLAZO Días]],"PAGO VENCIDO")</f>
        <v>0</v>
      </c>
      <c r="C1093" s="138">
        <f>+VLOOKUP(PROVEEDORES[[#This Row],[PROVEEDOR]],TERCEROS_INFO[#All],2,FALSE)</f>
        <v>60</v>
      </c>
      <c r="D1093" s="139">
        <f>+SUMIFS(PROVEEDORES[Total],PROVEEDORES[PROVEEDOR],PROVEEDORES[[#This Row],[PROVEEDOR]],PROVEEDORES[FECHA DE PAGO],"")</f>
        <v>50353355.590000004</v>
      </c>
      <c r="E1093" s="140"/>
      <c r="F1093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093" s="127">
        <v>45287</v>
      </c>
      <c r="H1093" s="123" t="s">
        <v>9</v>
      </c>
      <c r="I1093" s="127">
        <v>45261</v>
      </c>
      <c r="J1093" s="124" t="s">
        <v>1369</v>
      </c>
      <c r="K1093" s="124" t="s">
        <v>1530</v>
      </c>
      <c r="L1093" s="124"/>
      <c r="M1093" s="125">
        <v>159664</v>
      </c>
      <c r="N1093" s="148">
        <v>30336.16</v>
      </c>
      <c r="O1093" s="148">
        <v>0</v>
      </c>
      <c r="P1093" s="149">
        <v>0</v>
      </c>
      <c r="Q1093" s="148">
        <v>0</v>
      </c>
      <c r="R1093" s="150">
        <v>190000.16</v>
      </c>
      <c r="S10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3" s="135">
        <f ca="1">+IF(PROVEEDORES[[#This Row],[FECHA DE PAGO]]=0,TODAY()-PROVEEDORES[[#This Row],[FECHA DE FACTURACIÓN]]-PROVEEDORES[[#This Row],[PLAZO Días]],0)</f>
        <v>0</v>
      </c>
      <c r="U1093" s="135" t="str">
        <f>+VLOOKUP(PROVEEDORES[[#This Row],[PROVEEDOR]],Terceros!$A:$D,4,FALSE)</f>
        <v>2,5% con base</v>
      </c>
      <c r="V1093" s="135">
        <f>+YEAR(PROVEEDORES[[#This Row],[FECHA DE FACTURACIÓN]])</f>
        <v>2023</v>
      </c>
      <c r="W1093" s="135">
        <f>+MATCH(PROVEEDORES[[#This Row],[año facturado]],Retenciones!$1:$1,0)</f>
        <v>6</v>
      </c>
      <c r="X1093" s="136">
        <f>+VLOOKUP(PROVEEDORES[[#This Row],[ID RETENCION]],Retenciones!$A$1:$O$25,PROVEEDORES[[#This Row],[indicador de columna]],FALSE)</f>
        <v>1145000</v>
      </c>
      <c r="Y1093" s="137">
        <f>+VLOOKUP(PROVEEDORES[[#This Row],[ID RETENCION]],Retenciones!$A$1:$O$25,2,FALSE)</f>
        <v>2.5000000000000001E-2</v>
      </c>
      <c r="Z1093" s="126" t="b">
        <f>+OR(COUNTIF(PROVEEDORES[[#This Row],[PROVEEDOR]],"*"&amp;'Palabra que no opera y Listas d'!$A$2&amp;"*"))</f>
        <v>0</v>
      </c>
    </row>
    <row r="1094" spans="1:26" ht="27.75" customHeight="1" x14ac:dyDescent="0.25">
      <c r="A1094" s="141" t="str">
        <f>+IF(PROVEEDORES[[#This Row],[FECHA DE PAGO]]=PROVEEDORES[[#This Row],[FECHA DE FACTURACIÓN]],"DE CONTADO","CRÉDITO")</f>
        <v>CRÉDITO</v>
      </c>
      <c r="B1094" s="138" t="b">
        <f>+IF((PROVEEDORES[[#This Row],[FECHA DE PAGO]]-PROVEEDORES[[#This Row],[FECHA DE FACTURACIÓN]])&gt;PROVEEDORES[[#This Row],[PLAZO Días]],"PAGO VENCIDO")</f>
        <v>0</v>
      </c>
      <c r="C1094" s="138">
        <f>+VLOOKUP(PROVEEDORES[[#This Row],[PROVEEDOR]],TERCEROS_INFO[#All],2,FALSE)</f>
        <v>30</v>
      </c>
      <c r="D1094" s="139">
        <f>+SUMIFS(PROVEEDORES[Total],PROVEEDORES[PROVEEDOR],PROVEEDORES[[#This Row],[PROVEEDOR]],PROVEEDORES[FECHA DE PAGO],"")</f>
        <v>11973060.324999999</v>
      </c>
      <c r="E1094" s="140"/>
      <c r="F1094" s="13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094" s="127">
        <v>45287</v>
      </c>
      <c r="H1094" s="123" t="s">
        <v>64</v>
      </c>
      <c r="I1094" s="127">
        <v>45286</v>
      </c>
      <c r="J1094" s="124" t="s">
        <v>1373</v>
      </c>
      <c r="K1094" s="124" t="s">
        <v>1530</v>
      </c>
      <c r="L1094" s="124"/>
      <c r="M1094" s="125">
        <v>-6302521</v>
      </c>
      <c r="N1094" s="148">
        <v>-1197478.99</v>
      </c>
      <c r="O1094" s="148">
        <v>0</v>
      </c>
      <c r="P1094" s="149">
        <v>0</v>
      </c>
      <c r="Q1094" s="148">
        <v>0</v>
      </c>
      <c r="R1094" s="150">
        <v>-7499999.9900000002</v>
      </c>
      <c r="S10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4" s="135">
        <f ca="1">+IF(PROVEEDORES[[#This Row],[FECHA DE PAGO]]=0,TODAY()-PROVEEDORES[[#This Row],[FECHA DE FACTURACIÓN]]-PROVEEDORES[[#This Row],[PLAZO Días]],0)</f>
        <v>0</v>
      </c>
      <c r="U1094" s="135" t="str">
        <f>+VLOOKUP(PROVEEDORES[[#This Row],[PROVEEDOR]],Terceros!$A:$D,4,FALSE)</f>
        <v>2,5% con base</v>
      </c>
      <c r="V1094" s="135">
        <f>+YEAR(PROVEEDORES[[#This Row],[FECHA DE FACTURACIÓN]])</f>
        <v>2023</v>
      </c>
      <c r="W1094" s="135">
        <f>+MATCH(PROVEEDORES[[#This Row],[año facturado]],Retenciones!$1:$1,0)</f>
        <v>6</v>
      </c>
      <c r="X1094" s="136">
        <f>+VLOOKUP(PROVEEDORES[[#This Row],[ID RETENCION]],Retenciones!$A$1:$O$25,PROVEEDORES[[#This Row],[indicador de columna]],FALSE)</f>
        <v>1145000</v>
      </c>
      <c r="Y1094" s="137">
        <f>+VLOOKUP(PROVEEDORES[[#This Row],[ID RETENCION]],Retenciones!$A$1:$O$25,2,FALSE)</f>
        <v>2.5000000000000001E-2</v>
      </c>
      <c r="Z1094" s="126" t="b">
        <f>+OR(COUNTIF(PROVEEDORES[[#This Row],[PROVEEDOR]],"*"&amp;'Palabra que no opera y Listas d'!$A$2&amp;"*"))</f>
        <v>0</v>
      </c>
    </row>
    <row r="1095" spans="1:26" ht="27.75" customHeight="1" x14ac:dyDescent="0.25">
      <c r="A1095" s="141" t="str">
        <f>+IF(PROVEEDORES[[#This Row],[FECHA DE PAGO]]=PROVEEDORES[[#This Row],[FECHA DE FACTURACIÓN]],"DE CONTADO","CRÉDITO")</f>
        <v>DE CONTADO</v>
      </c>
      <c r="B1095" s="138" t="b">
        <f>+IF((PROVEEDORES[[#This Row],[FECHA DE PAGO]]-PROVEEDORES[[#This Row],[FECHA DE FACTURACIÓN]])&gt;PROVEEDORES[[#This Row],[PLAZO Días]],"PAGO VENCIDO")</f>
        <v>0</v>
      </c>
      <c r="C1095" s="138">
        <f>+VLOOKUP(PROVEEDORES[[#This Row],[PROVEEDOR]],TERCEROS_INFO[#All],2,FALSE)</f>
        <v>60</v>
      </c>
      <c r="D1095" s="139">
        <f>+SUMIFS(PROVEEDORES[Total],PROVEEDORES[PROVEEDOR],PROVEEDORES[[#This Row],[PROVEEDOR]],PROVEEDORES[FECHA DE PAGO],"")</f>
        <v>0</v>
      </c>
      <c r="E1095" s="140"/>
      <c r="F1095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1095" s="127">
        <v>45287</v>
      </c>
      <c r="H1095" s="123" t="s">
        <v>65</v>
      </c>
      <c r="I1095" s="127">
        <v>45287</v>
      </c>
      <c r="J1095" s="124" t="s">
        <v>1641</v>
      </c>
      <c r="K1095" s="124" t="s">
        <v>1530</v>
      </c>
      <c r="L1095" s="124" t="s">
        <v>1534</v>
      </c>
      <c r="M1095" s="125">
        <v>6400000</v>
      </c>
      <c r="N1095" s="148">
        <v>0</v>
      </c>
      <c r="O1095" s="148">
        <v>0</v>
      </c>
      <c r="P1095" s="149">
        <v>0</v>
      </c>
      <c r="Q1095" s="148">
        <v>0</v>
      </c>
      <c r="R1095" s="150">
        <v>6400000</v>
      </c>
      <c r="S10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5" s="135">
        <f ca="1">+IF(PROVEEDORES[[#This Row],[FECHA DE PAGO]]=0,TODAY()-PROVEEDORES[[#This Row],[FECHA DE FACTURACIÓN]]-PROVEEDORES[[#This Row],[PLAZO Días]],0)</f>
        <v>0</v>
      </c>
      <c r="U1095" s="135" t="str">
        <f>+VLOOKUP(PROVEEDORES[[#This Row],[PROVEEDOR]],Terceros!$A:$D,4,FALSE)</f>
        <v>2,5% con base</v>
      </c>
      <c r="V1095" s="135">
        <f>+YEAR(PROVEEDORES[[#This Row],[FECHA DE FACTURACIÓN]])</f>
        <v>2023</v>
      </c>
      <c r="W1095" s="135">
        <f>+MATCH(PROVEEDORES[[#This Row],[año facturado]],Retenciones!$1:$1,0)</f>
        <v>6</v>
      </c>
      <c r="X1095" s="136">
        <f>+VLOOKUP(PROVEEDORES[[#This Row],[ID RETENCION]],Retenciones!$A$1:$O$25,PROVEEDORES[[#This Row],[indicador de columna]],FALSE)</f>
        <v>1145000</v>
      </c>
      <c r="Y1095" s="137">
        <f>+VLOOKUP(PROVEEDORES[[#This Row],[ID RETENCION]],Retenciones!$A$1:$O$25,2,FALSE)</f>
        <v>2.5000000000000001E-2</v>
      </c>
      <c r="Z1095" s="126" t="b">
        <f>+OR(COUNTIF(PROVEEDORES[[#This Row],[PROVEEDOR]],"*"&amp;'Palabra que no opera y Listas d'!$A$2&amp;"*"))</f>
        <v>0</v>
      </c>
    </row>
    <row r="1096" spans="1:26" ht="27.75" customHeight="1" x14ac:dyDescent="0.25">
      <c r="A1096" s="141" t="str">
        <f>+IF(PROVEEDORES[[#This Row],[FECHA DE PAGO]]=PROVEEDORES[[#This Row],[FECHA DE FACTURACIÓN]],"DE CONTADO","CRÉDITO")</f>
        <v>CRÉDITO</v>
      </c>
      <c r="B1096" s="138" t="b">
        <f>+IF((PROVEEDORES[[#This Row],[FECHA DE PAGO]]-PROVEEDORES[[#This Row],[FECHA DE FACTURACIÓN]])&gt;PROVEEDORES[[#This Row],[PLAZO Días]],"PAGO VENCIDO")</f>
        <v>0</v>
      </c>
      <c r="C1096" s="138">
        <f>+VLOOKUP(PROVEEDORES[[#This Row],[PROVEEDOR]],TERCEROS_INFO[#All],2,FALSE)</f>
        <v>45</v>
      </c>
      <c r="D1096" s="139">
        <f>+SUMIFS(PROVEEDORES[Total],PROVEEDORES[PROVEEDOR],PROVEEDORES[[#This Row],[PROVEEDOR]],PROVEEDORES[FECHA DE PAGO],"")</f>
        <v>2446500</v>
      </c>
      <c r="E1096" s="140"/>
      <c r="F1096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96" s="127">
        <v>45288</v>
      </c>
      <c r="H1096" s="123" t="s">
        <v>10</v>
      </c>
      <c r="I1096" s="127">
        <v>45247</v>
      </c>
      <c r="J1096" s="124" t="s">
        <v>1247</v>
      </c>
      <c r="K1096" s="124" t="s">
        <v>1530</v>
      </c>
      <c r="L1096" s="124"/>
      <c r="M1096" s="125">
        <v>2800000</v>
      </c>
      <c r="N1096" s="148">
        <v>532000</v>
      </c>
      <c r="O1096" s="148">
        <v>0</v>
      </c>
      <c r="P1096" s="149">
        <v>2.5000000000000001E-2</v>
      </c>
      <c r="Q1096" s="148">
        <v>70000</v>
      </c>
      <c r="R1096" s="150">
        <v>3262000</v>
      </c>
      <c r="S10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6" s="135">
        <f ca="1">+IF(PROVEEDORES[[#This Row],[FECHA DE PAGO]]=0,TODAY()-PROVEEDORES[[#This Row],[FECHA DE FACTURACIÓN]]-PROVEEDORES[[#This Row],[PLAZO Días]],0)</f>
        <v>0</v>
      </c>
      <c r="U1096" s="135" t="str">
        <f>+VLOOKUP(PROVEEDORES[[#This Row],[PROVEEDOR]],Terceros!$A:$D,4,FALSE)</f>
        <v>2,5% con base</v>
      </c>
      <c r="V1096" s="135">
        <f>+YEAR(PROVEEDORES[[#This Row],[FECHA DE FACTURACIÓN]])</f>
        <v>2023</v>
      </c>
      <c r="W1096" s="135">
        <f>+MATCH(PROVEEDORES[[#This Row],[año facturado]],Retenciones!$1:$1,0)</f>
        <v>6</v>
      </c>
      <c r="X1096" s="136">
        <f>+VLOOKUP(PROVEEDORES[[#This Row],[ID RETENCION]],Retenciones!$A$1:$O$25,PROVEEDORES[[#This Row],[indicador de columna]],FALSE)</f>
        <v>1145000</v>
      </c>
      <c r="Y1096" s="137">
        <f>+VLOOKUP(PROVEEDORES[[#This Row],[ID RETENCION]],Retenciones!$A$1:$O$25,2,FALSE)</f>
        <v>2.5000000000000001E-2</v>
      </c>
      <c r="Z1096" s="126" t="b">
        <f>+OR(COUNTIF(PROVEEDORES[[#This Row],[PROVEEDOR]],"*"&amp;'Palabra que no opera y Listas d'!$A$2&amp;"*"))</f>
        <v>0</v>
      </c>
    </row>
    <row r="1097" spans="1:26" ht="27.75" customHeight="1" x14ac:dyDescent="0.25">
      <c r="A1097" s="141" t="str">
        <f>+IF(PROVEEDORES[[#This Row],[FECHA DE PAGO]]=PROVEEDORES[[#This Row],[FECHA DE FACTURACIÓN]],"DE CONTADO","CRÉDITO")</f>
        <v>CRÉDITO</v>
      </c>
      <c r="B1097" s="138" t="b">
        <f>+IF((PROVEEDORES[[#This Row],[FECHA DE PAGO]]-PROVEEDORES[[#This Row],[FECHA DE FACTURACIÓN]])&gt;PROVEEDORES[[#This Row],[PLAZO Días]],"PAGO VENCIDO")</f>
        <v>0</v>
      </c>
      <c r="C1097" s="138">
        <f>+VLOOKUP(PROVEEDORES[[#This Row],[PROVEEDOR]],TERCEROS_INFO[#All],2,FALSE)</f>
        <v>45</v>
      </c>
      <c r="D1097" s="139">
        <f>+SUMIFS(PROVEEDORES[Total],PROVEEDORES[PROVEEDOR],PROVEEDORES[[#This Row],[PROVEEDOR]],PROVEEDORES[FECHA DE PAGO],"")</f>
        <v>2446500</v>
      </c>
      <c r="E1097" s="140"/>
      <c r="F1097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097" s="127">
        <v>45288</v>
      </c>
      <c r="H1097" s="123" t="s">
        <v>10</v>
      </c>
      <c r="I1097" s="127">
        <v>45247</v>
      </c>
      <c r="J1097" s="124" t="s">
        <v>1248</v>
      </c>
      <c r="K1097" s="124" t="s">
        <v>1530</v>
      </c>
      <c r="L1097" s="124"/>
      <c r="M1097" s="125">
        <v>380000</v>
      </c>
      <c r="N1097" s="148">
        <v>72200</v>
      </c>
      <c r="O1097" s="148">
        <v>0</v>
      </c>
      <c r="P1097" s="149">
        <v>0</v>
      </c>
      <c r="Q1097" s="148">
        <v>0</v>
      </c>
      <c r="R1097" s="150">
        <v>452200</v>
      </c>
      <c r="S10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7" s="135">
        <f ca="1">+IF(PROVEEDORES[[#This Row],[FECHA DE PAGO]]=0,TODAY()-PROVEEDORES[[#This Row],[FECHA DE FACTURACIÓN]]-PROVEEDORES[[#This Row],[PLAZO Días]],0)</f>
        <v>0</v>
      </c>
      <c r="U1097" s="135" t="str">
        <f>+VLOOKUP(PROVEEDORES[[#This Row],[PROVEEDOR]],Terceros!$A:$D,4,FALSE)</f>
        <v>2,5% con base</v>
      </c>
      <c r="V1097" s="135">
        <f>+YEAR(PROVEEDORES[[#This Row],[FECHA DE FACTURACIÓN]])</f>
        <v>2023</v>
      </c>
      <c r="W1097" s="135">
        <f>+MATCH(PROVEEDORES[[#This Row],[año facturado]],Retenciones!$1:$1,0)</f>
        <v>6</v>
      </c>
      <c r="X1097" s="136">
        <f>+VLOOKUP(PROVEEDORES[[#This Row],[ID RETENCION]],Retenciones!$A$1:$O$25,PROVEEDORES[[#This Row],[indicador de columna]],FALSE)</f>
        <v>1145000</v>
      </c>
      <c r="Y1097" s="137">
        <f>+VLOOKUP(PROVEEDORES[[#This Row],[ID RETENCION]],Retenciones!$A$1:$O$25,2,FALSE)</f>
        <v>2.5000000000000001E-2</v>
      </c>
      <c r="Z1097" s="126" t="b">
        <f>+OR(COUNTIF(PROVEEDORES[[#This Row],[PROVEEDOR]],"*"&amp;'Palabra que no opera y Listas d'!$A$2&amp;"*"))</f>
        <v>0</v>
      </c>
    </row>
    <row r="1098" spans="1:26" ht="27.75" customHeight="1" x14ac:dyDescent="0.25">
      <c r="A1098" s="141" t="str">
        <f>+IF(PROVEEDORES[[#This Row],[FECHA DE PAGO]]=PROVEEDORES[[#This Row],[FECHA DE FACTURACIÓN]],"DE CONTADO","CRÉDITO")</f>
        <v>CRÉDITO</v>
      </c>
      <c r="B1098" s="138" t="str">
        <f>+IF((PROVEEDORES[[#This Row],[FECHA DE PAGO]]-PROVEEDORES[[#This Row],[FECHA DE FACTURACIÓN]])&gt;PROVEEDORES[[#This Row],[PLAZO Días]],"PAGO VENCIDO")</f>
        <v>PAGO VENCIDO</v>
      </c>
      <c r="C1098" s="138">
        <f>+VLOOKUP(PROVEEDORES[[#This Row],[PROVEEDOR]],TERCEROS_INFO[#All],2,FALSE)</f>
        <v>30</v>
      </c>
      <c r="D1098" s="139">
        <f>+SUMIFS(PROVEEDORES[Total],PROVEEDORES[PROVEEDOR],PROVEEDORES[[#This Row],[PROVEEDOR]],PROVEEDORES[FECHA DE PAGO],"")</f>
        <v>0</v>
      </c>
      <c r="E1098" s="140"/>
      <c r="F1098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098" s="127">
        <v>45288</v>
      </c>
      <c r="H1098" s="123" t="s">
        <v>948</v>
      </c>
      <c r="I1098" s="127">
        <v>45251</v>
      </c>
      <c r="J1098" s="124" t="s">
        <v>1259</v>
      </c>
      <c r="K1098" s="124" t="s">
        <v>1530</v>
      </c>
      <c r="L1098" s="124"/>
      <c r="M1098" s="125">
        <v>756303</v>
      </c>
      <c r="N1098" s="148">
        <v>143697.57</v>
      </c>
      <c r="O1098" s="148">
        <v>0</v>
      </c>
      <c r="P1098" s="149">
        <v>0</v>
      </c>
      <c r="Q1098" s="148">
        <v>0</v>
      </c>
      <c r="R1098" s="150">
        <v>900000.57000000007</v>
      </c>
      <c r="S10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8" s="135">
        <f ca="1">+IF(PROVEEDORES[[#This Row],[FECHA DE PAGO]]=0,TODAY()-PROVEEDORES[[#This Row],[FECHA DE FACTURACIÓN]]-PROVEEDORES[[#This Row],[PLAZO Días]],0)</f>
        <v>0</v>
      </c>
      <c r="U1098" s="135" t="str">
        <f>+VLOOKUP(PROVEEDORES[[#This Row],[PROVEEDOR]],Terceros!$A:$D,4,FALSE)</f>
        <v>2,5% con base</v>
      </c>
      <c r="V1098" s="135">
        <f>+YEAR(PROVEEDORES[[#This Row],[FECHA DE FACTURACIÓN]])</f>
        <v>2023</v>
      </c>
      <c r="W1098" s="135">
        <f>+MATCH(PROVEEDORES[[#This Row],[año facturado]],Retenciones!$1:$1,0)</f>
        <v>6</v>
      </c>
      <c r="X1098" s="136">
        <f>+VLOOKUP(PROVEEDORES[[#This Row],[ID RETENCION]],Retenciones!$A$1:$O$25,PROVEEDORES[[#This Row],[indicador de columna]],FALSE)</f>
        <v>1145000</v>
      </c>
      <c r="Y1098" s="137">
        <f>+VLOOKUP(PROVEEDORES[[#This Row],[ID RETENCION]],Retenciones!$A$1:$O$25,2,FALSE)</f>
        <v>2.5000000000000001E-2</v>
      </c>
      <c r="Z1098" s="126" t="b">
        <f>+OR(COUNTIF(PROVEEDORES[[#This Row],[PROVEEDOR]],"*"&amp;'Palabra que no opera y Listas d'!$A$2&amp;"*"))</f>
        <v>0</v>
      </c>
    </row>
    <row r="1099" spans="1:26" ht="27.75" customHeight="1" x14ac:dyDescent="0.25">
      <c r="A1099" s="141" t="str">
        <f>+IF(PROVEEDORES[[#This Row],[FECHA DE PAGO]]=PROVEEDORES[[#This Row],[FECHA DE FACTURACIÓN]],"DE CONTADO","CRÉDITO")</f>
        <v>CRÉDITO</v>
      </c>
      <c r="B1099" s="138" t="b">
        <f>+IF((PROVEEDORES[[#This Row],[FECHA DE PAGO]]-PROVEEDORES[[#This Row],[FECHA DE FACTURACIÓN]])&gt;PROVEEDORES[[#This Row],[PLAZO Días]],"PAGO VENCIDO")</f>
        <v>0</v>
      </c>
      <c r="C1099" s="138">
        <f>+VLOOKUP(PROVEEDORES[[#This Row],[PROVEEDOR]],TERCEROS_INFO[#All],2,FALSE)</f>
        <v>45</v>
      </c>
      <c r="D1099" s="139">
        <f>+SUMIFS(PROVEEDORES[Total],PROVEEDORES[PROVEEDOR],PROVEEDORES[[#This Row],[PROVEEDOR]],PROVEEDORES[FECHA DE PAGO],"")</f>
        <v>22186260.039999999</v>
      </c>
      <c r="E1099" s="140"/>
      <c r="F1099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099" s="127">
        <v>45288</v>
      </c>
      <c r="H1099" s="123" t="s">
        <v>19</v>
      </c>
      <c r="I1099" s="127">
        <v>45252</v>
      </c>
      <c r="J1099" s="124" t="s">
        <v>1251</v>
      </c>
      <c r="K1099" s="124" t="s">
        <v>1530</v>
      </c>
      <c r="L1099" s="124"/>
      <c r="M1099" s="125">
        <v>2102085</v>
      </c>
      <c r="N1099" s="148">
        <v>399396.15</v>
      </c>
      <c r="O1099" s="148">
        <v>0</v>
      </c>
      <c r="P1099" s="149">
        <v>0</v>
      </c>
      <c r="Q1099" s="148">
        <v>0</v>
      </c>
      <c r="R1099" s="150">
        <v>2501481.15</v>
      </c>
      <c r="S10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099" s="135">
        <f ca="1">+IF(PROVEEDORES[[#This Row],[FECHA DE PAGO]]=0,TODAY()-PROVEEDORES[[#This Row],[FECHA DE FACTURACIÓN]]-PROVEEDORES[[#This Row],[PLAZO Días]],0)</f>
        <v>0</v>
      </c>
      <c r="U1099" s="135">
        <f>+VLOOKUP(PROVEEDORES[[#This Row],[PROVEEDOR]],Terceros!$A:$D,4,FALSE)</f>
        <v>0</v>
      </c>
      <c r="V1099" s="135">
        <f>+YEAR(PROVEEDORES[[#This Row],[FECHA DE FACTURACIÓN]])</f>
        <v>2023</v>
      </c>
      <c r="W1099" s="135">
        <f>+MATCH(PROVEEDORES[[#This Row],[año facturado]],Retenciones!$1:$1,0)</f>
        <v>6</v>
      </c>
      <c r="X1099" s="136">
        <f>+VLOOKUP(PROVEEDORES[[#This Row],[ID RETENCION]],Retenciones!$A$1:$O$25,PROVEEDORES[[#This Row],[indicador de columna]],FALSE)</f>
        <v>0</v>
      </c>
      <c r="Y1099" s="137">
        <f>+VLOOKUP(PROVEEDORES[[#This Row],[ID RETENCION]],Retenciones!$A$1:$O$25,2,FALSE)</f>
        <v>0</v>
      </c>
      <c r="Z1099" s="126" t="b">
        <f>+OR(COUNTIF(PROVEEDORES[[#This Row],[PROVEEDOR]],"*"&amp;'Palabra que no opera y Listas d'!$A$2&amp;"*"))</f>
        <v>0</v>
      </c>
    </row>
    <row r="1100" spans="1:26" ht="27.75" customHeight="1" x14ac:dyDescent="0.25">
      <c r="A1100" s="141" t="str">
        <f>+IF(PROVEEDORES[[#This Row],[FECHA DE PAGO]]=PROVEEDORES[[#This Row],[FECHA DE FACTURACIÓN]],"DE CONTADO","CRÉDITO")</f>
        <v>CRÉDITO</v>
      </c>
      <c r="B1100" s="138" t="str">
        <f>+IF((PROVEEDORES[[#This Row],[FECHA DE PAGO]]-PROVEEDORES[[#This Row],[FECHA DE FACTURACIÓN]])&gt;PROVEEDORES[[#This Row],[PLAZO Días]],"PAGO VENCIDO")</f>
        <v>PAGO VENCIDO</v>
      </c>
      <c r="C1100" s="138">
        <f>+VLOOKUP(PROVEEDORES[[#This Row],[PROVEEDOR]],TERCEROS_INFO[#All],2,FALSE)</f>
        <v>30</v>
      </c>
      <c r="D1100" s="139">
        <f>+SUMIFS(PROVEEDORES[Total],PROVEEDORES[PROVEEDOR],PROVEEDORES[[#This Row],[PROVEEDOR]],PROVEEDORES[FECHA DE PAGO],"")</f>
        <v>3152439.05</v>
      </c>
      <c r="E1100" s="140"/>
      <c r="F1100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100" s="127">
        <v>45288</v>
      </c>
      <c r="H1100" s="123" t="s">
        <v>220</v>
      </c>
      <c r="I1100" s="127">
        <v>45253</v>
      </c>
      <c r="J1100" s="124" t="s">
        <v>1319</v>
      </c>
      <c r="K1100" s="124" t="s">
        <v>1530</v>
      </c>
      <c r="L1100" s="124"/>
      <c r="M1100" s="125">
        <v>4760520</v>
      </c>
      <c r="N1100" s="148">
        <v>904498.8</v>
      </c>
      <c r="O1100" s="148">
        <v>0</v>
      </c>
      <c r="P1100" s="149">
        <v>0</v>
      </c>
      <c r="Q1100" s="148">
        <v>0</v>
      </c>
      <c r="R1100" s="150">
        <v>5665018.7999999998</v>
      </c>
      <c r="S11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0" s="135">
        <f ca="1">+IF(PROVEEDORES[[#This Row],[FECHA DE PAGO]]=0,TODAY()-PROVEEDORES[[#This Row],[FECHA DE FACTURACIÓN]]-PROVEEDORES[[#This Row],[PLAZO Días]],0)</f>
        <v>0</v>
      </c>
      <c r="U1100" s="135">
        <f>+VLOOKUP(PROVEEDORES[[#This Row],[PROVEEDOR]],Terceros!$A:$D,4,FALSE)</f>
        <v>0</v>
      </c>
      <c r="V1100" s="135">
        <f>+YEAR(PROVEEDORES[[#This Row],[FECHA DE FACTURACIÓN]])</f>
        <v>2023</v>
      </c>
      <c r="W1100" s="135">
        <f>+MATCH(PROVEEDORES[[#This Row],[año facturado]],Retenciones!$1:$1,0)</f>
        <v>6</v>
      </c>
      <c r="X1100" s="136">
        <f>+VLOOKUP(PROVEEDORES[[#This Row],[ID RETENCION]],Retenciones!$A$1:$O$25,PROVEEDORES[[#This Row],[indicador de columna]],FALSE)</f>
        <v>0</v>
      </c>
      <c r="Y1100" s="137">
        <f>+VLOOKUP(PROVEEDORES[[#This Row],[ID RETENCION]],Retenciones!$A$1:$O$25,2,FALSE)</f>
        <v>0</v>
      </c>
      <c r="Z1100" s="126" t="b">
        <f>+OR(COUNTIF(PROVEEDORES[[#This Row],[PROVEEDOR]],"*"&amp;'Palabra que no opera y Listas d'!$A$2&amp;"*"))</f>
        <v>0</v>
      </c>
    </row>
    <row r="1101" spans="1:26" ht="27.75" customHeight="1" x14ac:dyDescent="0.25">
      <c r="A1101" s="141" t="str">
        <f>+IF(PROVEEDORES[[#This Row],[FECHA DE PAGO]]=PROVEEDORES[[#This Row],[FECHA DE FACTURACIÓN]],"DE CONTADO","CRÉDITO")</f>
        <v>CRÉDITO</v>
      </c>
      <c r="B1101" s="138" t="str">
        <f>+IF((PROVEEDORES[[#This Row],[FECHA DE PAGO]]-PROVEEDORES[[#This Row],[FECHA DE FACTURACIÓN]])&gt;PROVEEDORES[[#This Row],[PLAZO Días]],"PAGO VENCIDO")</f>
        <v>PAGO VENCIDO</v>
      </c>
      <c r="C1101" s="138">
        <f>+VLOOKUP(PROVEEDORES[[#This Row],[PROVEEDOR]],TERCEROS_INFO[#All],2,FALSE)</f>
        <v>30</v>
      </c>
      <c r="D1101" s="139">
        <f>+SUMIFS(PROVEEDORES[Total],PROVEEDORES[PROVEEDOR],PROVEEDORES[[#This Row],[PROVEEDOR]],PROVEEDORES[FECHA DE PAGO],"")</f>
        <v>5813868.5099999998</v>
      </c>
      <c r="E1101" s="140"/>
      <c r="F1101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101" s="127">
        <v>45288</v>
      </c>
      <c r="H1101" s="123" t="s">
        <v>24</v>
      </c>
      <c r="I1101" s="127">
        <v>45254</v>
      </c>
      <c r="J1101" s="124" t="s">
        <v>1521</v>
      </c>
      <c r="K1101" s="124" t="s">
        <v>504</v>
      </c>
      <c r="L1101" s="124"/>
      <c r="M1101" s="125">
        <v>2695200</v>
      </c>
      <c r="N1101" s="148">
        <v>512088</v>
      </c>
      <c r="O1101" s="148">
        <v>0</v>
      </c>
      <c r="P1101" s="149">
        <v>2.5000000000000001E-2</v>
      </c>
      <c r="Q1101" s="148">
        <v>67380</v>
      </c>
      <c r="R1101" s="150">
        <v>3139908</v>
      </c>
      <c r="S11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1" s="135">
        <f ca="1">+IF(PROVEEDORES[[#This Row],[FECHA DE PAGO]]=0,TODAY()-PROVEEDORES[[#This Row],[FECHA DE FACTURACIÓN]]-PROVEEDORES[[#This Row],[PLAZO Días]],0)</f>
        <v>0</v>
      </c>
      <c r="U1101" s="135" t="str">
        <f>+VLOOKUP(PROVEEDORES[[#This Row],[PROVEEDOR]],Terceros!$A:$D,4,FALSE)</f>
        <v>2,5% con base</v>
      </c>
      <c r="V1101" s="135">
        <f>+YEAR(PROVEEDORES[[#This Row],[FECHA DE FACTURACIÓN]])</f>
        <v>2023</v>
      </c>
      <c r="W1101" s="135">
        <f>+MATCH(PROVEEDORES[[#This Row],[año facturado]],Retenciones!$1:$1,0)</f>
        <v>6</v>
      </c>
      <c r="X1101" s="136">
        <f>+VLOOKUP(PROVEEDORES[[#This Row],[ID RETENCION]],Retenciones!$A$1:$O$25,PROVEEDORES[[#This Row],[indicador de columna]],FALSE)</f>
        <v>1145000</v>
      </c>
      <c r="Y1101" s="137">
        <f>+VLOOKUP(PROVEEDORES[[#This Row],[ID RETENCION]],Retenciones!$A$1:$O$25,2,FALSE)</f>
        <v>2.5000000000000001E-2</v>
      </c>
      <c r="Z1101" s="126" t="b">
        <f>+OR(COUNTIF(PROVEEDORES[[#This Row],[PROVEEDOR]],"*"&amp;'Palabra que no opera y Listas d'!$A$2&amp;"*"))</f>
        <v>0</v>
      </c>
    </row>
    <row r="1102" spans="1:26" ht="27.75" customHeight="1" x14ac:dyDescent="0.25">
      <c r="A1102" s="141" t="str">
        <f>+IF(PROVEEDORES[[#This Row],[FECHA DE PAGO]]=PROVEEDORES[[#This Row],[FECHA DE FACTURACIÓN]],"DE CONTADO","CRÉDITO")</f>
        <v>CRÉDITO</v>
      </c>
      <c r="B1102" s="138" t="b">
        <f>+IF((PROVEEDORES[[#This Row],[FECHA DE PAGO]]-PROVEEDORES[[#This Row],[FECHA DE FACTURACIÓN]])&gt;PROVEEDORES[[#This Row],[PLAZO Días]],"PAGO VENCIDO")</f>
        <v>0</v>
      </c>
      <c r="C1102" s="138">
        <f>+VLOOKUP(PROVEEDORES[[#This Row],[PROVEEDOR]],TERCEROS_INFO[#All],2,FALSE)</f>
        <v>30</v>
      </c>
      <c r="D1102" s="139">
        <f>+SUMIFS(PROVEEDORES[Total],PROVEEDORES[PROVEEDOR],PROVEEDORES[[#This Row],[PROVEEDOR]],PROVEEDORES[FECHA DE PAGO],"")</f>
        <v>5813868.5099999998</v>
      </c>
      <c r="E1102" s="140"/>
      <c r="F1102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102" s="127">
        <v>45288</v>
      </c>
      <c r="H1102" s="123" t="s">
        <v>24</v>
      </c>
      <c r="I1102" s="127">
        <v>45258</v>
      </c>
      <c r="J1102" s="124" t="s">
        <v>1522</v>
      </c>
      <c r="K1102" s="124" t="s">
        <v>504</v>
      </c>
      <c r="L1102" s="124"/>
      <c r="M1102" s="125">
        <v>898400</v>
      </c>
      <c r="N1102" s="148">
        <v>170696</v>
      </c>
      <c r="O1102" s="148">
        <v>0</v>
      </c>
      <c r="P1102" s="149">
        <v>0</v>
      </c>
      <c r="Q1102" s="148">
        <v>0</v>
      </c>
      <c r="R1102" s="150">
        <v>1069096</v>
      </c>
      <c r="S11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2" s="135">
        <f ca="1">+IF(PROVEEDORES[[#This Row],[FECHA DE PAGO]]=0,TODAY()-PROVEEDORES[[#This Row],[FECHA DE FACTURACIÓN]]-PROVEEDORES[[#This Row],[PLAZO Días]],0)</f>
        <v>0</v>
      </c>
      <c r="U1102" s="135" t="str">
        <f>+VLOOKUP(PROVEEDORES[[#This Row],[PROVEEDOR]],Terceros!$A:$D,4,FALSE)</f>
        <v>2,5% con base</v>
      </c>
      <c r="V1102" s="135">
        <f>+YEAR(PROVEEDORES[[#This Row],[FECHA DE FACTURACIÓN]])</f>
        <v>2023</v>
      </c>
      <c r="W1102" s="135">
        <f>+MATCH(PROVEEDORES[[#This Row],[año facturado]],Retenciones!$1:$1,0)</f>
        <v>6</v>
      </c>
      <c r="X1102" s="136">
        <f>+VLOOKUP(PROVEEDORES[[#This Row],[ID RETENCION]],Retenciones!$A$1:$O$25,PROVEEDORES[[#This Row],[indicador de columna]],FALSE)</f>
        <v>1145000</v>
      </c>
      <c r="Y1102" s="137">
        <f>+VLOOKUP(PROVEEDORES[[#This Row],[ID RETENCION]],Retenciones!$A$1:$O$25,2,FALSE)</f>
        <v>2.5000000000000001E-2</v>
      </c>
      <c r="Z1102" s="126" t="b">
        <f>+OR(COUNTIF(PROVEEDORES[[#This Row],[PROVEEDOR]],"*"&amp;'Palabra que no opera y Listas d'!$A$2&amp;"*"))</f>
        <v>0</v>
      </c>
    </row>
    <row r="1103" spans="1:26" ht="27.75" customHeight="1" x14ac:dyDescent="0.25">
      <c r="A1103" s="141" t="str">
        <f>+IF(PROVEEDORES[[#This Row],[FECHA DE PAGO]]=PROVEEDORES[[#This Row],[FECHA DE FACTURACIÓN]],"DE CONTADO","CRÉDITO")</f>
        <v>CRÉDITO</v>
      </c>
      <c r="B1103" s="138" t="b">
        <f>+IF((PROVEEDORES[[#This Row],[FECHA DE PAGO]]-PROVEEDORES[[#This Row],[FECHA DE FACTURACIÓN]])&gt;PROVEEDORES[[#This Row],[PLAZO Días]],"PAGO VENCIDO")</f>
        <v>0</v>
      </c>
      <c r="C1103" s="138">
        <f>+VLOOKUP(PROVEEDORES[[#This Row],[PROVEEDOR]],TERCEROS_INFO[#All],2,FALSE)</f>
        <v>30</v>
      </c>
      <c r="D1103" s="139">
        <f>+SUMIFS(PROVEEDORES[Total],PROVEEDORES[PROVEEDOR],PROVEEDORES[[#This Row],[PROVEEDOR]],PROVEEDORES[FECHA DE PAGO],"")</f>
        <v>1695707.16</v>
      </c>
      <c r="E1103" s="140"/>
      <c r="F1103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103" s="127">
        <v>45288</v>
      </c>
      <c r="H1103" s="123" t="s">
        <v>194</v>
      </c>
      <c r="I1103" s="127">
        <v>45261</v>
      </c>
      <c r="J1103" s="124" t="s">
        <v>1331</v>
      </c>
      <c r="K1103" s="124" t="s">
        <v>1530</v>
      </c>
      <c r="L1103" s="124"/>
      <c r="M1103" s="125">
        <v>1979981</v>
      </c>
      <c r="N1103" s="148">
        <v>376196.39</v>
      </c>
      <c r="O1103" s="148">
        <v>0</v>
      </c>
      <c r="P1103" s="149">
        <v>0</v>
      </c>
      <c r="Q1103" s="148">
        <v>0</v>
      </c>
      <c r="R1103" s="150">
        <v>2356177.39</v>
      </c>
      <c r="S11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3" s="135">
        <f ca="1">+IF(PROVEEDORES[[#This Row],[FECHA DE PAGO]]=0,TODAY()-PROVEEDORES[[#This Row],[FECHA DE FACTURACIÓN]]-PROVEEDORES[[#This Row],[PLAZO Días]],0)</f>
        <v>0</v>
      </c>
      <c r="U1103" s="135">
        <f>+VLOOKUP(PROVEEDORES[[#This Row],[PROVEEDOR]],Terceros!$A:$D,4,FALSE)</f>
        <v>0</v>
      </c>
      <c r="V1103" s="135">
        <f>+YEAR(PROVEEDORES[[#This Row],[FECHA DE FACTURACIÓN]])</f>
        <v>2023</v>
      </c>
      <c r="W1103" s="135">
        <f>+MATCH(PROVEEDORES[[#This Row],[año facturado]],Retenciones!$1:$1,0)</f>
        <v>6</v>
      </c>
      <c r="X1103" s="136">
        <f>+VLOOKUP(PROVEEDORES[[#This Row],[ID RETENCION]],Retenciones!$A$1:$O$25,PROVEEDORES[[#This Row],[indicador de columna]],FALSE)</f>
        <v>0</v>
      </c>
      <c r="Y1103" s="137">
        <f>+VLOOKUP(PROVEEDORES[[#This Row],[ID RETENCION]],Retenciones!$A$1:$O$25,2,FALSE)</f>
        <v>0</v>
      </c>
      <c r="Z1103" s="126" t="b">
        <f>+OR(COUNTIF(PROVEEDORES[[#This Row],[PROVEEDOR]],"*"&amp;'Palabra que no opera y Listas d'!$A$2&amp;"*"))</f>
        <v>0</v>
      </c>
    </row>
    <row r="1104" spans="1:26" ht="27.75" customHeight="1" x14ac:dyDescent="0.25">
      <c r="A1104" s="141" t="str">
        <f>+IF(PROVEEDORES[[#This Row],[FECHA DE PAGO]]=PROVEEDORES[[#This Row],[FECHA DE FACTURACIÓN]],"DE CONTADO","CRÉDITO")</f>
        <v>CRÉDITO</v>
      </c>
      <c r="B1104" s="138" t="b">
        <f>+IF((PROVEEDORES[[#This Row],[FECHA DE PAGO]]-PROVEEDORES[[#This Row],[FECHA DE FACTURACIÓN]])&gt;PROVEEDORES[[#This Row],[PLAZO Días]],"PAGO VENCIDO")</f>
        <v>0</v>
      </c>
      <c r="C1104" s="138">
        <f>+VLOOKUP(PROVEEDORES[[#This Row],[PROVEEDOR]],TERCEROS_INFO[#All],2,FALSE)</f>
        <v>30</v>
      </c>
      <c r="D1104" s="139">
        <f>+SUMIFS(PROVEEDORES[Total],PROVEEDORES[PROVEEDOR],PROVEEDORES[[#This Row],[PROVEEDOR]],PROVEEDORES[FECHA DE PAGO],"")</f>
        <v>1695707.16</v>
      </c>
      <c r="E1104" s="140"/>
      <c r="F1104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104" s="127">
        <v>45288</v>
      </c>
      <c r="H1104" s="123" t="s">
        <v>194</v>
      </c>
      <c r="I1104" s="127">
        <v>45264</v>
      </c>
      <c r="J1104" s="124" t="s">
        <v>1332</v>
      </c>
      <c r="K1104" s="124" t="s">
        <v>504</v>
      </c>
      <c r="L1104" s="124"/>
      <c r="M1104" s="125">
        <v>1632998</v>
      </c>
      <c r="N1104" s="148">
        <v>310269.62</v>
      </c>
      <c r="O1104" s="148">
        <v>0</v>
      </c>
      <c r="P1104" s="149">
        <v>0</v>
      </c>
      <c r="Q1104" s="148">
        <v>0</v>
      </c>
      <c r="R1104" s="150">
        <v>1943267.62</v>
      </c>
      <c r="S11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4" s="135">
        <f ca="1">+IF(PROVEEDORES[[#This Row],[FECHA DE PAGO]]=0,TODAY()-PROVEEDORES[[#This Row],[FECHA DE FACTURACIÓN]]-PROVEEDORES[[#This Row],[PLAZO Días]],0)</f>
        <v>0</v>
      </c>
      <c r="U1104" s="135">
        <f>+VLOOKUP(PROVEEDORES[[#This Row],[PROVEEDOR]],Terceros!$A:$D,4,FALSE)</f>
        <v>0</v>
      </c>
      <c r="V1104" s="135">
        <f>+YEAR(PROVEEDORES[[#This Row],[FECHA DE FACTURACIÓN]])</f>
        <v>2023</v>
      </c>
      <c r="W1104" s="135">
        <f>+MATCH(PROVEEDORES[[#This Row],[año facturado]],Retenciones!$1:$1,0)</f>
        <v>6</v>
      </c>
      <c r="X1104" s="136">
        <f>+VLOOKUP(PROVEEDORES[[#This Row],[ID RETENCION]],Retenciones!$A$1:$O$25,PROVEEDORES[[#This Row],[indicador de columna]],FALSE)</f>
        <v>0</v>
      </c>
      <c r="Y1104" s="137">
        <f>+VLOOKUP(PROVEEDORES[[#This Row],[ID RETENCION]],Retenciones!$A$1:$O$25,2,FALSE)</f>
        <v>0</v>
      </c>
      <c r="Z1104" s="126" t="b">
        <f>+OR(COUNTIF(PROVEEDORES[[#This Row],[PROVEEDOR]],"*"&amp;'Palabra que no opera y Listas d'!$A$2&amp;"*"))</f>
        <v>0</v>
      </c>
    </row>
    <row r="1105" spans="1:26" ht="27.75" customHeight="1" x14ac:dyDescent="0.25">
      <c r="A1105" s="141" t="str">
        <f>+IF(PROVEEDORES[[#This Row],[FECHA DE PAGO]]=PROVEEDORES[[#This Row],[FECHA DE FACTURACIÓN]],"DE CONTADO","CRÉDITO")</f>
        <v>CRÉDITO</v>
      </c>
      <c r="B1105" s="138" t="b">
        <f>+IF((PROVEEDORES[[#This Row],[FECHA DE PAGO]]-PROVEEDORES[[#This Row],[FECHA DE FACTURACIÓN]])&gt;PROVEEDORES[[#This Row],[PLAZO Días]],"PAGO VENCIDO")</f>
        <v>0</v>
      </c>
      <c r="C1105" s="138">
        <f>+VLOOKUP(PROVEEDORES[[#This Row],[PROVEEDOR]],TERCEROS_INFO[#All],2,FALSE)</f>
        <v>30</v>
      </c>
      <c r="D1105" s="139">
        <f>+SUMIFS(PROVEEDORES[Total],PROVEEDORES[PROVEEDOR],PROVEEDORES[[#This Row],[PROVEEDOR]],PROVEEDORES[FECHA DE PAGO],"")</f>
        <v>0</v>
      </c>
      <c r="E1105" s="140"/>
      <c r="F1105" s="138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105" s="127">
        <v>45288</v>
      </c>
      <c r="H1105" s="123" t="s">
        <v>1186</v>
      </c>
      <c r="I1105" s="127">
        <v>45287</v>
      </c>
      <c r="J1105" s="124" t="s">
        <v>1374</v>
      </c>
      <c r="K1105" s="124" t="s">
        <v>1530</v>
      </c>
      <c r="L1105" s="124"/>
      <c r="M1105" s="125">
        <v>2280672</v>
      </c>
      <c r="N1105" s="148">
        <v>433327.68</v>
      </c>
      <c r="O1105" s="148">
        <v>0</v>
      </c>
      <c r="P1105" s="149">
        <v>2.5000000000000001E-2</v>
      </c>
      <c r="Q1105" s="148">
        <v>57016.800000000003</v>
      </c>
      <c r="R1105" s="150">
        <v>2656982.8800000004</v>
      </c>
      <c r="S11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5" s="135">
        <f ca="1">+IF(PROVEEDORES[[#This Row],[FECHA DE PAGO]]=0,TODAY()-PROVEEDORES[[#This Row],[FECHA DE FACTURACIÓN]]-PROVEEDORES[[#This Row],[PLAZO Días]],0)</f>
        <v>0</v>
      </c>
      <c r="U1105" s="135" t="str">
        <f>+VLOOKUP(PROVEEDORES[[#This Row],[PROVEEDOR]],Terceros!$A:$D,4,FALSE)</f>
        <v>2,5% con base</v>
      </c>
      <c r="V1105" s="135">
        <f>+YEAR(PROVEEDORES[[#This Row],[FECHA DE FACTURACIÓN]])</f>
        <v>2023</v>
      </c>
      <c r="W1105" s="135">
        <f>+MATCH(PROVEEDORES[[#This Row],[año facturado]],Retenciones!$1:$1,0)</f>
        <v>6</v>
      </c>
      <c r="X1105" s="136">
        <f>+VLOOKUP(PROVEEDORES[[#This Row],[ID RETENCION]],Retenciones!$A$1:$O$25,PROVEEDORES[[#This Row],[indicador de columna]],FALSE)</f>
        <v>1145000</v>
      </c>
      <c r="Y1105" s="137">
        <f>+VLOOKUP(PROVEEDORES[[#This Row],[ID RETENCION]],Retenciones!$A$1:$O$25,2,FALSE)</f>
        <v>2.5000000000000001E-2</v>
      </c>
      <c r="Z1105" s="126" t="b">
        <f>+OR(COUNTIF(PROVEEDORES[[#This Row],[PROVEEDOR]],"*"&amp;'Palabra que no opera y Listas d'!$A$2&amp;"*"))</f>
        <v>0</v>
      </c>
    </row>
    <row r="1106" spans="1:26" ht="27.75" customHeight="1" x14ac:dyDescent="0.25">
      <c r="A1106" s="141" t="str">
        <f>+IF(PROVEEDORES[[#This Row],[FECHA DE PAGO]]=PROVEEDORES[[#This Row],[FECHA DE FACTURACIÓN]],"DE CONTADO","CRÉDITO")</f>
        <v>DE CONTADO</v>
      </c>
      <c r="B1106" s="138" t="b">
        <f>+IF((PROVEEDORES[[#This Row],[FECHA DE PAGO]]-PROVEEDORES[[#This Row],[FECHA DE FACTURACIÓN]])&gt;PROVEEDORES[[#This Row],[PLAZO Días]],"PAGO VENCIDO")</f>
        <v>0</v>
      </c>
      <c r="C1106" s="138">
        <f>+VLOOKUP(PROVEEDORES[[#This Row],[PROVEEDOR]],TERCEROS_INFO[#All],2,FALSE)</f>
        <v>30</v>
      </c>
      <c r="D1106" s="139">
        <f>+SUMIFS(PROVEEDORES[Total],PROVEEDORES[PROVEEDOR],PROVEEDORES[[#This Row],[PROVEEDOR]],PROVEEDORES[FECHA DE PAGO],"")</f>
        <v>0</v>
      </c>
      <c r="E1106" s="140"/>
      <c r="F1106" s="138" t="str">
        <f>+VLOOKUP(PROVEEDORES[[#This Row],[PROVEEDOR]],
                       Terceros!$A:$F,
                       5,
                       FALSE)</f>
        <v/>
      </c>
      <c r="G1106" s="127">
        <v>45288</v>
      </c>
      <c r="H1106" s="123" t="s">
        <v>1824</v>
      </c>
      <c r="I1106" s="127">
        <v>45288</v>
      </c>
      <c r="J1106" s="124"/>
      <c r="K1106" s="124" t="s">
        <v>1530</v>
      </c>
      <c r="L1106" s="124"/>
      <c r="M1106" s="125">
        <v>1303050</v>
      </c>
      <c r="N1106" s="148">
        <v>0</v>
      </c>
      <c r="O1106" s="148">
        <v>0</v>
      </c>
      <c r="P1106" s="149">
        <v>0</v>
      </c>
      <c r="Q1106" s="148">
        <v>0</v>
      </c>
      <c r="R1106" s="150">
        <v>1303050</v>
      </c>
      <c r="S11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6" s="135">
        <f ca="1">+IF(PROVEEDORES[[#This Row],[FECHA DE PAGO]]=0,TODAY()-PROVEEDORES[[#This Row],[FECHA DE FACTURACIÓN]]-PROVEEDORES[[#This Row],[PLAZO Días]],0)</f>
        <v>0</v>
      </c>
      <c r="U1106" s="135">
        <f>+VLOOKUP(PROVEEDORES[[#This Row],[PROVEEDOR]],Terceros!$A:$D,4,FALSE)</f>
        <v>0</v>
      </c>
      <c r="V1106" s="135">
        <f>+YEAR(PROVEEDORES[[#This Row],[FECHA DE FACTURACIÓN]])</f>
        <v>2023</v>
      </c>
      <c r="W1106" s="135">
        <f>+MATCH(PROVEEDORES[[#This Row],[año facturado]],Retenciones!$1:$1,0)</f>
        <v>6</v>
      </c>
      <c r="X1106" s="136">
        <f>+VLOOKUP(PROVEEDORES[[#This Row],[ID RETENCION]],Retenciones!$A$1:$O$25,PROVEEDORES[[#This Row],[indicador de columna]],FALSE)</f>
        <v>0</v>
      </c>
      <c r="Y1106" s="137">
        <f>+VLOOKUP(PROVEEDORES[[#This Row],[ID RETENCION]],Retenciones!$A$1:$O$25,2,FALSE)</f>
        <v>0</v>
      </c>
      <c r="Z1106" s="126" t="b">
        <f>+OR(COUNTIF(PROVEEDORES[[#This Row],[PROVEEDOR]],"*"&amp;'Palabra que no opera y Listas d'!$A$2&amp;"*"))</f>
        <v>0</v>
      </c>
    </row>
    <row r="1107" spans="1:26" ht="27.75" customHeight="1" x14ac:dyDescent="0.25">
      <c r="A1107" s="141" t="str">
        <f>+IF(PROVEEDORES[[#This Row],[FECHA DE PAGO]]=PROVEEDORES[[#This Row],[FECHA DE FACTURACIÓN]],"DE CONTADO","CRÉDITO")</f>
        <v>DE CONTADO</v>
      </c>
      <c r="B1107" s="138" t="b">
        <f>+IF((PROVEEDORES[[#This Row],[FECHA DE PAGO]]-PROVEEDORES[[#This Row],[FECHA DE FACTURACIÓN]])&gt;PROVEEDORES[[#This Row],[PLAZO Días]],"PAGO VENCIDO")</f>
        <v>0</v>
      </c>
      <c r="C1107" s="138">
        <f>+VLOOKUP(PROVEEDORES[[#This Row],[PROVEEDOR]],TERCEROS_INFO[#All],2,FALSE)</f>
        <v>30</v>
      </c>
      <c r="D1107" s="139">
        <f>+SUMIFS(PROVEEDORES[Total],PROVEEDORES[PROVEEDOR],PROVEEDORES[[#This Row],[PROVEEDOR]],PROVEEDORES[FECHA DE PAGO],"")</f>
        <v>0</v>
      </c>
      <c r="E1107" s="140"/>
      <c r="F1107" s="138">
        <f>+VLOOKUP(PROVEEDORES[[#This Row],[PROVEEDOR]],
                       Terceros!$A:$F,
                       5,
                       FALSE)</f>
        <v>0</v>
      </c>
      <c r="G1107" s="127">
        <v>45288</v>
      </c>
      <c r="H1107" s="123" t="s">
        <v>836</v>
      </c>
      <c r="I1107" s="127">
        <v>45288</v>
      </c>
      <c r="J1107" s="124" t="s">
        <v>1385</v>
      </c>
      <c r="K1107" s="124" t="s">
        <v>504</v>
      </c>
      <c r="L1107" s="124"/>
      <c r="M1107" s="125">
        <v>248000</v>
      </c>
      <c r="N1107" s="148">
        <v>0</v>
      </c>
      <c r="O1107" s="148">
        <v>0</v>
      </c>
      <c r="P1107" s="149">
        <v>0</v>
      </c>
      <c r="Q1107" s="148">
        <v>0</v>
      </c>
      <c r="R1107" s="150">
        <v>248000</v>
      </c>
      <c r="S11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7" s="135">
        <f ca="1">+IF(PROVEEDORES[[#This Row],[FECHA DE PAGO]]=0,TODAY()-PROVEEDORES[[#This Row],[FECHA DE FACTURACIÓN]]-PROVEEDORES[[#This Row],[PLAZO Días]],0)</f>
        <v>0</v>
      </c>
      <c r="U1107" s="135">
        <f>+VLOOKUP(PROVEEDORES[[#This Row],[PROVEEDOR]],Terceros!$A:$D,4,FALSE)</f>
        <v>0</v>
      </c>
      <c r="V1107" s="135">
        <f>+YEAR(PROVEEDORES[[#This Row],[FECHA DE FACTURACIÓN]])</f>
        <v>2023</v>
      </c>
      <c r="W1107" s="135">
        <f>+MATCH(PROVEEDORES[[#This Row],[año facturado]],Retenciones!$1:$1,0)</f>
        <v>6</v>
      </c>
      <c r="X1107" s="136">
        <f>+VLOOKUP(PROVEEDORES[[#This Row],[ID RETENCION]],Retenciones!$A$1:$O$25,PROVEEDORES[[#This Row],[indicador de columna]],FALSE)</f>
        <v>0</v>
      </c>
      <c r="Y1107" s="137">
        <f>+VLOOKUP(PROVEEDORES[[#This Row],[ID RETENCION]],Retenciones!$A$1:$O$25,2,FALSE)</f>
        <v>0</v>
      </c>
      <c r="Z1107" s="126" t="b">
        <f>+OR(COUNTIF(PROVEEDORES[[#This Row],[PROVEEDOR]],"*"&amp;'Palabra que no opera y Listas d'!$A$2&amp;"*"))</f>
        <v>0</v>
      </c>
    </row>
    <row r="1108" spans="1:26" ht="27.75" customHeight="1" x14ac:dyDescent="0.25">
      <c r="A1108" s="141" t="str">
        <f>+IF(PROVEEDORES[[#This Row],[FECHA DE PAGO]]=PROVEEDORES[[#This Row],[FECHA DE FACTURACIÓN]],"DE CONTADO","CRÉDITO")</f>
        <v>DE CONTADO</v>
      </c>
      <c r="B1108" s="138" t="b">
        <f>+IF((PROVEEDORES[[#This Row],[FECHA DE PAGO]]-PROVEEDORES[[#This Row],[FECHA DE FACTURACIÓN]])&gt;PROVEEDORES[[#This Row],[PLAZO Días]],"PAGO VENCIDO")</f>
        <v>0</v>
      </c>
      <c r="C1108" s="138">
        <f>+VLOOKUP(PROVEEDORES[[#This Row],[PROVEEDOR]],TERCEROS_INFO[#All],2,FALSE)</f>
        <v>30</v>
      </c>
      <c r="D1108" s="139">
        <f>+SUMIFS(PROVEEDORES[Total],PROVEEDORES[PROVEEDOR],PROVEEDORES[[#This Row],[PROVEEDOR]],PROVEEDORES[FECHA DE PAGO],"")</f>
        <v>0</v>
      </c>
      <c r="E1108" s="140"/>
      <c r="F1108" s="138">
        <f>+VLOOKUP(PROVEEDORES[[#This Row],[PROVEEDOR]],
                       Terceros!$A:$F,
                       5,
                       FALSE)</f>
        <v>0</v>
      </c>
      <c r="G1108" s="127">
        <v>45289</v>
      </c>
      <c r="H1108" s="123" t="s">
        <v>1392</v>
      </c>
      <c r="I1108" s="127">
        <v>45289</v>
      </c>
      <c r="J1108" s="124" t="s">
        <v>1393</v>
      </c>
      <c r="K1108" s="124" t="s">
        <v>1530</v>
      </c>
      <c r="L1108" s="124"/>
      <c r="M1108" s="125">
        <v>1981000</v>
      </c>
      <c r="N1108" s="148">
        <v>376390</v>
      </c>
      <c r="O1108" s="148">
        <v>0</v>
      </c>
      <c r="P1108" s="149">
        <v>2.5000000000000001E-2</v>
      </c>
      <c r="Q1108" s="148">
        <v>49525</v>
      </c>
      <c r="R1108" s="150">
        <v>2307865</v>
      </c>
      <c r="S11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8" s="135">
        <f ca="1">+IF(PROVEEDORES[[#This Row],[FECHA DE PAGO]]=0,TODAY()-PROVEEDORES[[#This Row],[FECHA DE FACTURACIÓN]]-PROVEEDORES[[#This Row],[PLAZO Días]],0)</f>
        <v>0</v>
      </c>
      <c r="U1108" s="135" t="str">
        <f>+VLOOKUP(PROVEEDORES[[#This Row],[PROVEEDOR]],Terceros!$A:$D,4,FALSE)</f>
        <v>2,5% con base</v>
      </c>
      <c r="V1108" s="135">
        <f>+YEAR(PROVEEDORES[[#This Row],[FECHA DE FACTURACIÓN]])</f>
        <v>2023</v>
      </c>
      <c r="W1108" s="135">
        <f>+MATCH(PROVEEDORES[[#This Row],[año facturado]],Retenciones!$1:$1,0)</f>
        <v>6</v>
      </c>
      <c r="X1108" s="136">
        <f>+VLOOKUP(PROVEEDORES[[#This Row],[ID RETENCION]],Retenciones!$A$1:$O$25,PROVEEDORES[[#This Row],[indicador de columna]],FALSE)</f>
        <v>1145000</v>
      </c>
      <c r="Y1108" s="137">
        <f>+VLOOKUP(PROVEEDORES[[#This Row],[ID RETENCION]],Retenciones!$A$1:$O$25,2,FALSE)</f>
        <v>2.5000000000000001E-2</v>
      </c>
      <c r="Z1108" s="126" t="b">
        <f>+OR(COUNTIF(PROVEEDORES[[#This Row],[PROVEEDOR]],"*"&amp;'Palabra que no opera y Listas d'!$A$2&amp;"*"))</f>
        <v>0</v>
      </c>
    </row>
    <row r="1109" spans="1:26" ht="27.75" customHeight="1" x14ac:dyDescent="0.25">
      <c r="A1109" s="141" t="str">
        <f>+IF(PROVEEDORES[[#This Row],[FECHA DE PAGO]]=PROVEEDORES[[#This Row],[FECHA DE FACTURACIÓN]],"DE CONTADO","CRÉDITO")</f>
        <v>DE CONTADO</v>
      </c>
      <c r="B1109" s="138" t="b">
        <f>+IF((PROVEEDORES[[#This Row],[FECHA DE PAGO]]-PROVEEDORES[[#This Row],[FECHA DE FACTURACIÓN]])&gt;PROVEEDORES[[#This Row],[PLAZO Días]],"PAGO VENCIDO")</f>
        <v>0</v>
      </c>
      <c r="C1109" s="138">
        <f>+VLOOKUP(PROVEEDORES[[#This Row],[PROVEEDOR]],TERCEROS_INFO[#All],2,FALSE)</f>
        <v>0</v>
      </c>
      <c r="D1109" s="139">
        <f>+SUMIFS(PROVEEDORES[Total],PROVEEDORES[PROVEEDOR],PROVEEDORES[[#This Row],[PROVEEDOR]],PROVEEDORES[FECHA DE PAGO],"")</f>
        <v>0</v>
      </c>
      <c r="E1109" s="140"/>
      <c r="F1109" s="138">
        <f>+VLOOKUP(PROVEEDORES[[#This Row],[PROVEEDOR]],
                       Terceros!$A:$F,
                       5,
                       FALSE)</f>
        <v>0</v>
      </c>
      <c r="G1109" s="127">
        <v>45289</v>
      </c>
      <c r="H1109" s="123" t="s">
        <v>456</v>
      </c>
      <c r="I1109" s="127">
        <v>45289</v>
      </c>
      <c r="J1109" s="124" t="s">
        <v>1293</v>
      </c>
      <c r="K1109" s="124" t="s">
        <v>1530</v>
      </c>
      <c r="L1109" s="124"/>
      <c r="M1109" s="125">
        <v>245000</v>
      </c>
      <c r="N1109" s="148">
        <v>0</v>
      </c>
      <c r="O1109" s="148">
        <v>0</v>
      </c>
      <c r="P1109" s="149">
        <v>0</v>
      </c>
      <c r="Q1109" s="148">
        <v>0</v>
      </c>
      <c r="R1109" s="150">
        <v>245000</v>
      </c>
      <c r="S11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09" s="135">
        <f ca="1">+IF(PROVEEDORES[[#This Row],[FECHA DE PAGO]]=0,TODAY()-PROVEEDORES[[#This Row],[FECHA DE FACTURACIÓN]]-PROVEEDORES[[#This Row],[PLAZO Días]],0)</f>
        <v>0</v>
      </c>
      <c r="U1109" s="135">
        <f>+VLOOKUP(PROVEEDORES[[#This Row],[PROVEEDOR]],Terceros!$A:$D,4,FALSE)</f>
        <v>0</v>
      </c>
      <c r="V1109" s="135">
        <f>+YEAR(PROVEEDORES[[#This Row],[FECHA DE FACTURACIÓN]])</f>
        <v>2023</v>
      </c>
      <c r="W1109" s="135">
        <f>+MATCH(PROVEEDORES[[#This Row],[año facturado]],Retenciones!$1:$1,0)</f>
        <v>6</v>
      </c>
      <c r="X1109" s="136">
        <f>+VLOOKUP(PROVEEDORES[[#This Row],[ID RETENCION]],Retenciones!$A$1:$O$25,PROVEEDORES[[#This Row],[indicador de columna]],FALSE)</f>
        <v>0</v>
      </c>
      <c r="Y1109" s="137">
        <f>+VLOOKUP(PROVEEDORES[[#This Row],[ID RETENCION]],Retenciones!$A$1:$O$25,2,FALSE)</f>
        <v>0</v>
      </c>
      <c r="Z1109" s="126" t="b">
        <f>+OR(COUNTIF(PROVEEDORES[[#This Row],[PROVEEDOR]],"*"&amp;'Palabra que no opera y Listas d'!$A$2&amp;"*"))</f>
        <v>1</v>
      </c>
    </row>
    <row r="1110" spans="1:26" ht="27.75" customHeight="1" x14ac:dyDescent="0.25">
      <c r="A1110" s="141" t="str">
        <f>+IF(PROVEEDORES[[#This Row],[FECHA DE PAGO]]=PROVEEDORES[[#This Row],[FECHA DE FACTURACIÓN]],"DE CONTADO","CRÉDITO")</f>
        <v>CRÉDITO</v>
      </c>
      <c r="B1110" s="138" t="b">
        <f>+IF((PROVEEDORES[[#This Row],[FECHA DE PAGO]]-PROVEEDORES[[#This Row],[FECHA DE FACTURACIÓN]])&gt;PROVEEDORES[[#This Row],[PLAZO Días]],"PAGO VENCIDO")</f>
        <v>0</v>
      </c>
      <c r="C1110" s="138">
        <f>+VLOOKUP(PROVEEDORES[[#This Row],[PROVEEDOR]],TERCEROS_INFO[#All],2,FALSE)</f>
        <v>30</v>
      </c>
      <c r="D1110" s="139">
        <f>+SUMIFS(PROVEEDORES[Total],PROVEEDORES[PROVEEDOR],PROVEEDORES[[#This Row],[PROVEEDOR]],PROVEEDORES[FECHA DE PAGO],"")</f>
        <v>0</v>
      </c>
      <c r="E1110" s="140"/>
      <c r="F1110" s="138" t="str">
        <f>+VLOOKUP(PROVEEDORES[[#This Row],[PROVEEDOR]],
                       Terceros!$A:$F,
                       5,
                       FALSE)</f>
        <v/>
      </c>
      <c r="G1110" s="127">
        <v>45290</v>
      </c>
      <c r="H1110" s="123" t="s">
        <v>481</v>
      </c>
      <c r="I1110" s="127">
        <v>45289</v>
      </c>
      <c r="J1110" s="124" t="s">
        <v>1390</v>
      </c>
      <c r="K1110" s="124" t="s">
        <v>1530</v>
      </c>
      <c r="L1110" s="124"/>
      <c r="M1110" s="125">
        <v>1345000</v>
      </c>
      <c r="N1110" s="148">
        <v>0</v>
      </c>
      <c r="O1110" s="148">
        <v>0</v>
      </c>
      <c r="P1110" s="149">
        <v>0</v>
      </c>
      <c r="Q1110" s="148">
        <v>0</v>
      </c>
      <c r="R1110" s="150">
        <v>1345000</v>
      </c>
      <c r="S11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0" s="135">
        <f ca="1">+IF(PROVEEDORES[[#This Row],[FECHA DE PAGO]]=0,TODAY()-PROVEEDORES[[#This Row],[FECHA DE FACTURACIÓN]]-PROVEEDORES[[#This Row],[PLAZO Días]],0)</f>
        <v>0</v>
      </c>
      <c r="U1110" s="135">
        <f>+VLOOKUP(PROVEEDORES[[#This Row],[PROVEEDOR]],Terceros!$A:$D,4,FALSE)</f>
        <v>0</v>
      </c>
      <c r="V1110" s="135">
        <f>+YEAR(PROVEEDORES[[#This Row],[FECHA DE FACTURACIÓN]])</f>
        <v>2023</v>
      </c>
      <c r="W1110" s="135">
        <f>+MATCH(PROVEEDORES[[#This Row],[año facturado]],Retenciones!$1:$1,0)</f>
        <v>6</v>
      </c>
      <c r="X1110" s="136">
        <f>+VLOOKUP(PROVEEDORES[[#This Row],[ID RETENCION]],Retenciones!$A$1:$O$25,PROVEEDORES[[#This Row],[indicador de columna]],FALSE)</f>
        <v>0</v>
      </c>
      <c r="Y1110" s="137">
        <f>+VLOOKUP(PROVEEDORES[[#This Row],[ID RETENCION]],Retenciones!$A$1:$O$25,2,FALSE)</f>
        <v>0</v>
      </c>
      <c r="Z1110" s="126" t="b">
        <f>+OR(COUNTIF(PROVEEDORES[[#This Row],[PROVEEDOR]],"*"&amp;'Palabra que no opera y Listas d'!$A$2&amp;"*"))</f>
        <v>0</v>
      </c>
    </row>
    <row r="1111" spans="1:26" ht="27.75" customHeight="1" x14ac:dyDescent="0.25">
      <c r="A1111" s="141" t="str">
        <f>+IF(PROVEEDORES[[#This Row],[FECHA DE PAGO]]=PROVEEDORES[[#This Row],[FECHA DE FACTURACIÓN]],"DE CONTADO","CRÉDITO")</f>
        <v>CRÉDITO</v>
      </c>
      <c r="B1111" s="138" t="b">
        <f>+IF((PROVEEDORES[[#This Row],[FECHA DE PAGO]]-PROVEEDORES[[#This Row],[FECHA DE FACTURACIÓN]])&gt;PROVEEDORES[[#This Row],[PLAZO Días]],"PAGO VENCIDO")</f>
        <v>0</v>
      </c>
      <c r="C1111" s="138">
        <f>+VLOOKUP(PROVEEDORES[[#This Row],[PROVEEDOR]],TERCEROS_INFO[#All],2,FALSE)</f>
        <v>30</v>
      </c>
      <c r="D1111" s="139">
        <f>+SUMIFS(PROVEEDORES[Total],PROVEEDORES[PROVEEDOR],PROVEEDORES[[#This Row],[PROVEEDOR]],PROVEEDORES[FECHA DE PAGO],"")</f>
        <v>0</v>
      </c>
      <c r="E1111" s="140"/>
      <c r="F1111" s="138" t="str">
        <f>+VLOOKUP(PROVEEDORES[[#This Row],[PROVEEDOR]],
                       Terceros!$A:$F,
                       5,
                       FALSE)</f>
        <v/>
      </c>
      <c r="G1111" s="127">
        <v>45291</v>
      </c>
      <c r="H1111" s="123" t="s">
        <v>481</v>
      </c>
      <c r="I1111" s="127">
        <v>45290</v>
      </c>
      <c r="J1111" s="124" t="s">
        <v>1391</v>
      </c>
      <c r="K1111" s="124" t="s">
        <v>1530</v>
      </c>
      <c r="L1111" s="124"/>
      <c r="M1111" s="125">
        <v>690000</v>
      </c>
      <c r="N1111" s="148">
        <v>0</v>
      </c>
      <c r="O1111" s="148">
        <v>0</v>
      </c>
      <c r="P1111" s="149">
        <v>0</v>
      </c>
      <c r="Q1111" s="148">
        <v>0</v>
      </c>
      <c r="R1111" s="150">
        <v>690000</v>
      </c>
      <c r="S11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1" s="135">
        <f ca="1">+IF(PROVEEDORES[[#This Row],[FECHA DE PAGO]]=0,TODAY()-PROVEEDORES[[#This Row],[FECHA DE FACTURACIÓN]]-PROVEEDORES[[#This Row],[PLAZO Días]],0)</f>
        <v>0</v>
      </c>
      <c r="U1111" s="135">
        <f>+VLOOKUP(PROVEEDORES[[#This Row],[PROVEEDOR]],Terceros!$A:$D,4,FALSE)</f>
        <v>0</v>
      </c>
      <c r="V1111" s="135">
        <f>+YEAR(PROVEEDORES[[#This Row],[FECHA DE FACTURACIÓN]])</f>
        <v>2023</v>
      </c>
      <c r="W1111" s="135">
        <f>+MATCH(PROVEEDORES[[#This Row],[año facturado]],Retenciones!$1:$1,0)</f>
        <v>6</v>
      </c>
      <c r="X1111" s="136">
        <f>+VLOOKUP(PROVEEDORES[[#This Row],[ID RETENCION]],Retenciones!$A$1:$O$25,PROVEEDORES[[#This Row],[indicador de columna]],FALSE)</f>
        <v>0</v>
      </c>
      <c r="Y1111" s="137">
        <f>+VLOOKUP(PROVEEDORES[[#This Row],[ID RETENCION]],Retenciones!$A$1:$O$25,2,FALSE)</f>
        <v>0</v>
      </c>
      <c r="Z1111" s="126" t="b">
        <f>+OR(COUNTIF(PROVEEDORES[[#This Row],[PROVEEDOR]],"*"&amp;'Palabra que no opera y Listas d'!$A$2&amp;"*"))</f>
        <v>0</v>
      </c>
    </row>
    <row r="1112" spans="1:26" ht="27.75" customHeight="1" x14ac:dyDescent="0.25">
      <c r="A1112" s="141" t="str">
        <f>+IF(PROVEEDORES[[#This Row],[FECHA DE PAGO]]=PROVEEDORES[[#This Row],[FECHA DE FACTURACIÓN]],"DE CONTADO","CRÉDITO")</f>
        <v>CRÉDITO</v>
      </c>
      <c r="B1112" s="138" t="str">
        <f>+IF((PROVEEDORES[[#This Row],[FECHA DE PAGO]]-PROVEEDORES[[#This Row],[FECHA DE FACTURACIÓN]])&gt;PROVEEDORES[[#This Row],[PLAZO Días]],"PAGO VENCIDO")</f>
        <v>PAGO VENCIDO</v>
      </c>
      <c r="C1112" s="138">
        <f>+VLOOKUP(PROVEEDORES[[#This Row],[PROVEEDOR]],TERCEROS_INFO[#All],2,FALSE)</f>
        <v>30</v>
      </c>
      <c r="D1112" s="139">
        <f>+SUMIFS(PROVEEDORES[Total],PROVEEDORES[PROVEEDOR],PROVEEDORES[[#This Row],[PROVEEDOR]],PROVEEDORES[FECHA DE PAGO],"")</f>
        <v>1776037.21</v>
      </c>
      <c r="E1112" s="140"/>
      <c r="F1112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112" s="127">
        <v>45293</v>
      </c>
      <c r="H1112" s="123" t="s">
        <v>17</v>
      </c>
      <c r="I1112" s="127">
        <v>45261</v>
      </c>
      <c r="J1112" s="124" t="s">
        <v>1292</v>
      </c>
      <c r="K1112" s="124" t="s">
        <v>1530</v>
      </c>
      <c r="L1112" s="124"/>
      <c r="M1112" s="125">
        <v>537354</v>
      </c>
      <c r="N1112" s="148">
        <v>102097.26</v>
      </c>
      <c r="O1112" s="148">
        <v>0</v>
      </c>
      <c r="P1112" s="149">
        <v>0</v>
      </c>
      <c r="Q1112" s="148">
        <v>0</v>
      </c>
      <c r="R1112" s="150">
        <v>639451.26</v>
      </c>
      <c r="S11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2" s="135">
        <f ca="1">+IF(PROVEEDORES[[#This Row],[FECHA DE PAGO]]=0,TODAY()-PROVEEDORES[[#This Row],[FECHA DE FACTURACIÓN]]-PROVEEDORES[[#This Row],[PLAZO Días]],0)</f>
        <v>0</v>
      </c>
      <c r="U1112" s="135">
        <f>+VLOOKUP(PROVEEDORES[[#This Row],[PROVEEDOR]],Terceros!$A:$D,4,FALSE)</f>
        <v>0</v>
      </c>
      <c r="V1112" s="135">
        <f>+YEAR(PROVEEDORES[[#This Row],[FECHA DE FACTURACIÓN]])</f>
        <v>2023</v>
      </c>
      <c r="W1112" s="135">
        <f>+MATCH(PROVEEDORES[[#This Row],[año facturado]],Retenciones!$1:$1,0)</f>
        <v>6</v>
      </c>
      <c r="X1112" s="136">
        <f>+VLOOKUP(PROVEEDORES[[#This Row],[ID RETENCION]],Retenciones!$A$1:$O$25,PROVEEDORES[[#This Row],[indicador de columna]],FALSE)</f>
        <v>0</v>
      </c>
      <c r="Y1112" s="137">
        <f>+VLOOKUP(PROVEEDORES[[#This Row],[ID RETENCION]],Retenciones!$A$1:$O$25,2,FALSE)</f>
        <v>0</v>
      </c>
      <c r="Z1112" s="126" t="b">
        <f>+OR(COUNTIF(PROVEEDORES[[#This Row],[PROVEEDOR]],"*"&amp;'Palabra que no opera y Listas d'!$A$2&amp;"*"))</f>
        <v>0</v>
      </c>
    </row>
    <row r="1113" spans="1:26" ht="27.75" customHeight="1" x14ac:dyDescent="0.25">
      <c r="A1113" s="141" t="str">
        <f>+IF(PROVEEDORES[[#This Row],[FECHA DE PAGO]]=PROVEEDORES[[#This Row],[FECHA DE FACTURACIÓN]],"DE CONTADO","CRÉDITO")</f>
        <v>CRÉDITO</v>
      </c>
      <c r="B1113" s="138" t="b">
        <f>+IF((PROVEEDORES[[#This Row],[FECHA DE PAGO]]-PROVEEDORES[[#This Row],[FECHA DE FACTURACIÓN]])&gt;PROVEEDORES[[#This Row],[PLAZO Días]],"PAGO VENCIDO")</f>
        <v>0</v>
      </c>
      <c r="C1113" s="138">
        <f>+VLOOKUP(PROVEEDORES[[#This Row],[PROVEEDOR]],TERCEROS_INFO[#All],2,FALSE)</f>
        <v>30</v>
      </c>
      <c r="D1113" s="139">
        <f>+SUMIFS(PROVEEDORES[Total],PROVEEDORES[PROVEEDOR],PROVEEDORES[[#This Row],[PROVEEDOR]],PROVEEDORES[FECHA DE PAGO],"")</f>
        <v>1776037.21</v>
      </c>
      <c r="E1113" s="140"/>
      <c r="F1113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113" s="127">
        <v>45293</v>
      </c>
      <c r="H1113" s="123" t="s">
        <v>17</v>
      </c>
      <c r="I1113" s="127">
        <v>45274</v>
      </c>
      <c r="J1113" s="124" t="s">
        <v>1329</v>
      </c>
      <c r="K1113" s="124" t="s">
        <v>1530</v>
      </c>
      <c r="L1113" s="124"/>
      <c r="M1113" s="125">
        <v>120904</v>
      </c>
      <c r="N1113" s="148">
        <v>22971.760000000002</v>
      </c>
      <c r="O1113" s="148">
        <v>0</v>
      </c>
      <c r="P1113" s="149">
        <v>0</v>
      </c>
      <c r="Q1113" s="148">
        <v>0</v>
      </c>
      <c r="R1113" s="150">
        <v>143875.76</v>
      </c>
      <c r="S11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3" s="135">
        <f ca="1">+IF(PROVEEDORES[[#This Row],[FECHA DE PAGO]]=0,TODAY()-PROVEEDORES[[#This Row],[FECHA DE FACTURACIÓN]]-PROVEEDORES[[#This Row],[PLAZO Días]],0)</f>
        <v>0</v>
      </c>
      <c r="U1113" s="135">
        <f>+VLOOKUP(PROVEEDORES[[#This Row],[PROVEEDOR]],Terceros!$A:$D,4,FALSE)</f>
        <v>0</v>
      </c>
      <c r="V1113" s="135">
        <f>+YEAR(PROVEEDORES[[#This Row],[FECHA DE FACTURACIÓN]])</f>
        <v>2023</v>
      </c>
      <c r="W1113" s="135">
        <f>+MATCH(PROVEEDORES[[#This Row],[año facturado]],Retenciones!$1:$1,0)</f>
        <v>6</v>
      </c>
      <c r="X1113" s="136">
        <f>+VLOOKUP(PROVEEDORES[[#This Row],[ID RETENCION]],Retenciones!$A$1:$O$25,PROVEEDORES[[#This Row],[indicador de columna]],FALSE)</f>
        <v>0</v>
      </c>
      <c r="Y1113" s="137">
        <f>+VLOOKUP(PROVEEDORES[[#This Row],[ID RETENCION]],Retenciones!$A$1:$O$25,2,FALSE)</f>
        <v>0</v>
      </c>
      <c r="Z1113" s="126" t="b">
        <f>+OR(COUNTIF(PROVEEDORES[[#This Row],[PROVEEDOR]],"*"&amp;'Palabra que no opera y Listas d'!$A$2&amp;"*"))</f>
        <v>0</v>
      </c>
    </row>
    <row r="1114" spans="1:26" ht="27.75" customHeight="1" x14ac:dyDescent="0.25">
      <c r="A1114" s="141" t="str">
        <f>+IF(PROVEEDORES[[#This Row],[FECHA DE PAGO]]=PROVEEDORES[[#This Row],[FECHA DE FACTURACIÓN]],"DE CONTADO","CRÉDITO")</f>
        <v>CRÉDITO</v>
      </c>
      <c r="B1114" s="138" t="b">
        <f>+IF((PROVEEDORES[[#This Row],[FECHA DE PAGO]]-PROVEEDORES[[#This Row],[FECHA DE FACTURACIÓN]])&gt;PROVEEDORES[[#This Row],[PLAZO Días]],"PAGO VENCIDO")</f>
        <v>0</v>
      </c>
      <c r="C1114" s="138">
        <f>+VLOOKUP(PROVEEDORES[[#This Row],[PROVEEDOR]],TERCEROS_INFO[#All],2,FALSE)</f>
        <v>30</v>
      </c>
      <c r="D1114" s="139">
        <f>+SUMIFS(PROVEEDORES[Total],PROVEEDORES[PROVEEDOR],PROVEEDORES[[#This Row],[PROVEEDOR]],PROVEEDORES[FECHA DE PAGO],"")</f>
        <v>0</v>
      </c>
      <c r="E1114" s="140"/>
      <c r="F1114" s="138" t="str">
        <f>+VLOOKUP(PROVEEDORES[[#This Row],[PROVEEDOR]],
                       Terceros!$A:$F,
                       5,
                       FALSE)</f>
        <v>PSE</v>
      </c>
      <c r="G1114" s="127">
        <v>45293</v>
      </c>
      <c r="H1114" s="123" t="s">
        <v>390</v>
      </c>
      <c r="I1114" s="127">
        <v>45292</v>
      </c>
      <c r="J1114" s="124"/>
      <c r="K1114" s="124" t="s">
        <v>1530</v>
      </c>
      <c r="L1114" s="124"/>
      <c r="M1114" s="125">
        <v>611127</v>
      </c>
      <c r="N1114" s="148">
        <v>0</v>
      </c>
      <c r="O1114" s="148">
        <v>0</v>
      </c>
      <c r="P1114" s="149">
        <v>0</v>
      </c>
      <c r="Q1114" s="148">
        <v>0</v>
      </c>
      <c r="R1114" s="150">
        <v>611127</v>
      </c>
      <c r="S11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4" s="135">
        <f ca="1">+IF(PROVEEDORES[[#This Row],[FECHA DE PAGO]]=0,TODAY()-PROVEEDORES[[#This Row],[FECHA DE FACTURACIÓN]]-PROVEEDORES[[#This Row],[PLAZO Días]],0)</f>
        <v>0</v>
      </c>
      <c r="U1114" s="135">
        <f>+VLOOKUP(PROVEEDORES[[#This Row],[PROVEEDOR]],Terceros!$A:$D,4,FALSE)</f>
        <v>0</v>
      </c>
      <c r="V1114" s="135">
        <f>+YEAR(PROVEEDORES[[#This Row],[FECHA DE FACTURACIÓN]])</f>
        <v>2024</v>
      </c>
      <c r="W1114" s="135">
        <f>+MATCH(PROVEEDORES[[#This Row],[año facturado]],Retenciones!$1:$1,0)</f>
        <v>7</v>
      </c>
      <c r="X1114" s="136">
        <f>+VLOOKUP(PROVEEDORES[[#This Row],[ID RETENCION]],Retenciones!$A$1:$O$25,PROVEEDORES[[#This Row],[indicador de columna]],FALSE)</f>
        <v>0</v>
      </c>
      <c r="Y1114" s="137">
        <f>+VLOOKUP(PROVEEDORES[[#This Row],[ID RETENCION]],Retenciones!$A$1:$O$25,2,FALSE)</f>
        <v>0</v>
      </c>
      <c r="Z1114" s="126" t="b">
        <f>+OR(COUNTIF(PROVEEDORES[[#This Row],[PROVEEDOR]],"*"&amp;'Palabra que no opera y Listas d'!$A$2&amp;"*"))</f>
        <v>1</v>
      </c>
    </row>
    <row r="1115" spans="1:26" ht="27.75" customHeight="1" x14ac:dyDescent="0.25">
      <c r="A1115" s="141" t="str">
        <f>+IF(PROVEEDORES[[#This Row],[FECHA DE PAGO]]=PROVEEDORES[[#This Row],[FECHA DE FACTURACIÓN]],"DE CONTADO","CRÉDITO")</f>
        <v>DE CONTADO</v>
      </c>
      <c r="B1115" s="138" t="b">
        <f>+IF((PROVEEDORES[[#This Row],[FECHA DE PAGO]]-PROVEEDORES[[#This Row],[FECHA DE FACTURACIÓN]])&gt;PROVEEDORES[[#This Row],[PLAZO Días]],"PAGO VENCIDO")</f>
        <v>0</v>
      </c>
      <c r="C1115" s="138">
        <f>+VLOOKUP(PROVEEDORES[[#This Row],[PROVEEDOR]],TERCEROS_INFO[#All],2,FALSE)</f>
        <v>30</v>
      </c>
      <c r="D1115" s="139">
        <f>+SUMIFS(PROVEEDORES[Total],PROVEEDORES[PROVEEDOR],PROVEEDORES[[#This Row],[PROVEEDOR]],PROVEEDORES[FECHA DE PAGO],"")</f>
        <v>0</v>
      </c>
      <c r="E1115" s="140"/>
      <c r="F1115" s="138" t="str">
        <f>+VLOOKUP(PROVEEDORES[[#This Row],[PROVEEDOR]],
                       Terceros!$A:$F,
                       5,
                       FALSE)</f>
        <v/>
      </c>
      <c r="G1115" s="127">
        <v>45293</v>
      </c>
      <c r="H1115" s="123" t="s">
        <v>525</v>
      </c>
      <c r="I1115" s="127">
        <v>45293</v>
      </c>
      <c r="J1115" s="124" t="s">
        <v>1120</v>
      </c>
      <c r="K1115" s="124" t="s">
        <v>1530</v>
      </c>
      <c r="L1115" s="124"/>
      <c r="M1115" s="125">
        <v>200000</v>
      </c>
      <c r="N1115" s="148">
        <v>0</v>
      </c>
      <c r="O1115" s="148">
        <v>0</v>
      </c>
      <c r="P1115" s="149">
        <v>0</v>
      </c>
      <c r="Q1115" s="148">
        <v>0</v>
      </c>
      <c r="R1115" s="150">
        <v>200000</v>
      </c>
      <c r="S11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5" s="135">
        <f ca="1">+IF(PROVEEDORES[[#This Row],[FECHA DE PAGO]]=0,TODAY()-PROVEEDORES[[#This Row],[FECHA DE FACTURACIÓN]]-PROVEEDORES[[#This Row],[PLAZO Días]],0)</f>
        <v>0</v>
      </c>
      <c r="U1115" s="135">
        <f>+VLOOKUP(PROVEEDORES[[#This Row],[PROVEEDOR]],Terceros!$A:$D,4,FALSE)</f>
        <v>0</v>
      </c>
      <c r="V1115" s="135">
        <f>+YEAR(PROVEEDORES[[#This Row],[FECHA DE FACTURACIÓN]])</f>
        <v>2024</v>
      </c>
      <c r="W1115" s="135">
        <f>+MATCH(PROVEEDORES[[#This Row],[año facturado]],Retenciones!$1:$1,0)</f>
        <v>7</v>
      </c>
      <c r="X1115" s="136">
        <f>+VLOOKUP(PROVEEDORES[[#This Row],[ID RETENCION]],Retenciones!$A$1:$O$25,PROVEEDORES[[#This Row],[indicador de columna]],FALSE)</f>
        <v>0</v>
      </c>
      <c r="Y1115" s="137">
        <f>+VLOOKUP(PROVEEDORES[[#This Row],[ID RETENCION]],Retenciones!$A$1:$O$25,2,FALSE)</f>
        <v>0</v>
      </c>
      <c r="Z1115" s="126" t="b">
        <f>+OR(COUNTIF(PROVEEDORES[[#This Row],[PROVEEDOR]],"*"&amp;'Palabra que no opera y Listas d'!$A$2&amp;"*"))</f>
        <v>0</v>
      </c>
    </row>
    <row r="1116" spans="1:26" ht="27.75" customHeight="1" x14ac:dyDescent="0.25">
      <c r="A1116" s="141" t="str">
        <f>+IF(PROVEEDORES[[#This Row],[FECHA DE PAGO]]=PROVEEDORES[[#This Row],[FECHA DE FACTURACIÓN]],"DE CONTADO","CRÉDITO")</f>
        <v>DE CONTADO</v>
      </c>
      <c r="B1116" s="138" t="e">
        <f>+IF((PROVEEDORES[[#This Row],[FECHA DE PAGO]]-PROVEEDORES[[#This Row],[FECHA DE FACTURACIÓN]])&gt;PROVEEDORES[[#This Row],[PLAZO Días]],"PAGO VENCIDO")</f>
        <v>#N/A</v>
      </c>
      <c r="C1116" s="138" t="e">
        <f>+VLOOKUP(PROVEEDORES[[#This Row],[PROVEEDOR]],TERCEROS_INFO[#All],2,FALSE)</f>
        <v>#N/A</v>
      </c>
      <c r="D1116" s="139">
        <f>+SUMIFS(PROVEEDORES[Total],PROVEEDORES[PROVEEDOR],PROVEEDORES[[#This Row],[PROVEEDOR]],PROVEEDORES[FECHA DE PAGO],"")</f>
        <v>0</v>
      </c>
      <c r="E1116" s="140"/>
      <c r="F1116" s="138" t="e">
        <f>+VLOOKUP(PROVEEDORES[[#This Row],[PROVEEDOR]],
                       Terceros!$A:$F,
                       5,
                       FALSE)</f>
        <v>#N/A</v>
      </c>
      <c r="G1116" s="127">
        <v>45293</v>
      </c>
      <c r="H1116" s="123" t="s">
        <v>1873</v>
      </c>
      <c r="I1116" s="127">
        <v>45293</v>
      </c>
      <c r="J1116" s="124">
        <v>315688</v>
      </c>
      <c r="K1116" s="124" t="s">
        <v>504</v>
      </c>
      <c r="L1116" s="124"/>
      <c r="M1116" s="125">
        <v>3555000</v>
      </c>
      <c r="N1116" s="148">
        <v>0</v>
      </c>
      <c r="O1116" s="148">
        <v>0</v>
      </c>
      <c r="P1116" s="149">
        <v>0</v>
      </c>
      <c r="Q1116" s="148">
        <v>0</v>
      </c>
      <c r="R1116" s="150">
        <v>3555000</v>
      </c>
      <c r="S11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6" s="135">
        <f ca="1">+IF(PROVEEDORES[[#This Row],[FECHA DE PAGO]]=0,TODAY()-PROVEEDORES[[#This Row],[FECHA DE FACTURACIÓN]]-PROVEEDORES[[#This Row],[PLAZO Días]],0)</f>
        <v>0</v>
      </c>
      <c r="U1116" s="135" t="e">
        <f>+VLOOKUP(PROVEEDORES[[#This Row],[PROVEEDOR]],Terceros!$A:$D,4,FALSE)</f>
        <v>#N/A</v>
      </c>
      <c r="V1116" s="135">
        <f>+YEAR(PROVEEDORES[[#This Row],[FECHA DE FACTURACIÓN]])</f>
        <v>2024</v>
      </c>
      <c r="W1116" s="135">
        <f>+MATCH(PROVEEDORES[[#This Row],[año facturado]],Retenciones!$1:$1,0)</f>
        <v>7</v>
      </c>
      <c r="X1116" s="136" t="e">
        <f>+VLOOKUP(PROVEEDORES[[#This Row],[ID RETENCION]],Retenciones!$A$1:$O$25,PROVEEDORES[[#This Row],[indicador de columna]],FALSE)</f>
        <v>#N/A</v>
      </c>
      <c r="Y1116" s="137" t="e">
        <f>+VLOOKUP(PROVEEDORES[[#This Row],[ID RETENCION]],Retenciones!$A$1:$O$25,2,FALSE)</f>
        <v>#N/A</v>
      </c>
      <c r="Z1116" s="126" t="b">
        <f>+OR(COUNTIF(PROVEEDORES[[#This Row],[PROVEEDOR]],"*"&amp;'Palabra que no opera y Listas d'!$A$2&amp;"*"))</f>
        <v>0</v>
      </c>
    </row>
    <row r="1117" spans="1:26" ht="27.75" customHeight="1" x14ac:dyDescent="0.25">
      <c r="A1117" s="141" t="str">
        <f>+IF(PROVEEDORES[[#This Row],[FECHA DE PAGO]]=PROVEEDORES[[#This Row],[FECHA DE FACTURACIÓN]],"DE CONTADO","CRÉDITO")</f>
        <v>DE CONTADO</v>
      </c>
      <c r="B1117" s="138" t="b">
        <f>+IF((PROVEEDORES[[#This Row],[FECHA DE PAGO]]-PROVEEDORES[[#This Row],[FECHA DE FACTURACIÓN]])&gt;PROVEEDORES[[#This Row],[PLAZO Días]],"PAGO VENCIDO")</f>
        <v>0</v>
      </c>
      <c r="C1117" s="138">
        <f>+VLOOKUP(PROVEEDORES[[#This Row],[PROVEEDOR]],TERCEROS_INFO[#All],2,FALSE)</f>
        <v>30</v>
      </c>
      <c r="D1117" s="139">
        <f>+SUMIFS(PROVEEDORES[Total],PROVEEDORES[PROVEEDOR],PROVEEDORES[[#This Row],[PROVEEDOR]],PROVEEDORES[FECHA DE PAGO],"")</f>
        <v>0</v>
      </c>
      <c r="E1117" s="140"/>
      <c r="F1117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1117" s="127">
        <v>45293</v>
      </c>
      <c r="H1117" s="123" t="s">
        <v>1865</v>
      </c>
      <c r="I1117" s="127">
        <v>45293</v>
      </c>
      <c r="J1117" s="124" t="s">
        <v>1397</v>
      </c>
      <c r="K1117" s="124" t="s">
        <v>504</v>
      </c>
      <c r="L1117" s="124"/>
      <c r="M1117" s="125">
        <v>1690000</v>
      </c>
      <c r="N1117" s="148">
        <v>0</v>
      </c>
      <c r="O1117" s="148">
        <v>0</v>
      </c>
      <c r="P1117" s="149">
        <v>0</v>
      </c>
      <c r="Q1117" s="148">
        <v>0</v>
      </c>
      <c r="R1117" s="150">
        <v>1690000</v>
      </c>
      <c r="S11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7" s="135">
        <f ca="1">+IF(PROVEEDORES[[#This Row],[FECHA DE PAGO]]=0,TODAY()-PROVEEDORES[[#This Row],[FECHA DE FACTURACIÓN]]-PROVEEDORES[[#This Row],[PLAZO Días]],0)</f>
        <v>0</v>
      </c>
      <c r="U1117" s="135">
        <f>+VLOOKUP(PROVEEDORES[[#This Row],[PROVEEDOR]],Terceros!$A:$D,4,FALSE)</f>
        <v>0</v>
      </c>
      <c r="V1117" s="135">
        <f>+YEAR(PROVEEDORES[[#This Row],[FECHA DE FACTURACIÓN]])</f>
        <v>2024</v>
      </c>
      <c r="W1117" s="135">
        <f>+MATCH(PROVEEDORES[[#This Row],[año facturado]],Retenciones!$1:$1,0)</f>
        <v>7</v>
      </c>
      <c r="X1117" s="136">
        <f>+VLOOKUP(PROVEEDORES[[#This Row],[ID RETENCION]],Retenciones!$A$1:$O$25,PROVEEDORES[[#This Row],[indicador de columna]],FALSE)</f>
        <v>0</v>
      </c>
      <c r="Y1117" s="137">
        <f>+VLOOKUP(PROVEEDORES[[#This Row],[ID RETENCION]],Retenciones!$A$1:$O$25,2,FALSE)</f>
        <v>0</v>
      </c>
      <c r="Z1117" s="126" t="b">
        <f>+OR(COUNTIF(PROVEEDORES[[#This Row],[PROVEEDOR]],"*"&amp;'Palabra que no opera y Listas d'!$A$2&amp;"*"))</f>
        <v>0</v>
      </c>
    </row>
    <row r="1118" spans="1:26" ht="27.75" customHeight="1" x14ac:dyDescent="0.25">
      <c r="A1118" s="141" t="str">
        <f>+IF(PROVEEDORES[[#This Row],[FECHA DE PAGO]]=PROVEEDORES[[#This Row],[FECHA DE FACTURACIÓN]],"DE CONTADO","CRÉDITO")</f>
        <v>CRÉDITO</v>
      </c>
      <c r="B1118" s="138" t="str">
        <f>+IF((PROVEEDORES[[#This Row],[FECHA DE PAGO]]-PROVEEDORES[[#This Row],[FECHA DE FACTURACIÓN]])&gt;PROVEEDORES[[#This Row],[PLAZO Días]],"PAGO VENCIDO")</f>
        <v>PAGO VENCIDO</v>
      </c>
      <c r="C1118" s="138">
        <f>+VLOOKUP(PROVEEDORES[[#This Row],[PROVEEDOR]],TERCEROS_INFO[#All],2,FALSE)</f>
        <v>30</v>
      </c>
      <c r="D1118" s="139">
        <f>+SUMIFS(PROVEEDORES[Total],PROVEEDORES[PROVEEDOR],PROVEEDORES[[#This Row],[PROVEEDOR]],PROVEEDORES[FECHA DE PAGO],"")</f>
        <v>0</v>
      </c>
      <c r="E1118" s="140"/>
      <c r="F1118" s="138">
        <f>+VLOOKUP(PROVEEDORES[[#This Row],[PROVEEDOR]],
                       Terceros!$A:$F,
                       5,
                       FALSE)</f>
        <v>0</v>
      </c>
      <c r="G1118" s="127">
        <v>45294</v>
      </c>
      <c r="H1118" s="123" t="s">
        <v>1805</v>
      </c>
      <c r="I1118" s="127">
        <v>45261</v>
      </c>
      <c r="J1118" s="124" t="s">
        <v>1379</v>
      </c>
      <c r="K1118" s="124" t="s">
        <v>1530</v>
      </c>
      <c r="L1118" s="124"/>
      <c r="M1118" s="125">
        <v>1386600</v>
      </c>
      <c r="N1118" s="148">
        <v>0</v>
      </c>
      <c r="O1118" s="148">
        <v>0</v>
      </c>
      <c r="P1118" s="149">
        <v>0</v>
      </c>
      <c r="Q1118" s="148">
        <v>0</v>
      </c>
      <c r="R1118" s="150">
        <v>1386600</v>
      </c>
      <c r="S11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8" s="135">
        <f ca="1">+IF(PROVEEDORES[[#This Row],[FECHA DE PAGO]]=0,TODAY()-PROVEEDORES[[#This Row],[FECHA DE FACTURACIÓN]]-PROVEEDORES[[#This Row],[PLAZO Días]],0)</f>
        <v>0</v>
      </c>
      <c r="U1118" s="135">
        <f>+VLOOKUP(PROVEEDORES[[#This Row],[PROVEEDOR]],Terceros!$A:$D,4,FALSE)</f>
        <v>0</v>
      </c>
      <c r="V1118" s="135">
        <f>+YEAR(PROVEEDORES[[#This Row],[FECHA DE FACTURACIÓN]])</f>
        <v>2023</v>
      </c>
      <c r="W1118" s="135">
        <f>+MATCH(PROVEEDORES[[#This Row],[año facturado]],Retenciones!$1:$1,0)</f>
        <v>6</v>
      </c>
      <c r="X1118" s="136">
        <f>+VLOOKUP(PROVEEDORES[[#This Row],[ID RETENCION]],Retenciones!$A$1:$O$25,PROVEEDORES[[#This Row],[indicador de columna]],FALSE)</f>
        <v>0</v>
      </c>
      <c r="Y1118" s="137">
        <f>+VLOOKUP(PROVEEDORES[[#This Row],[ID RETENCION]],Retenciones!$A$1:$O$25,2,FALSE)</f>
        <v>0</v>
      </c>
      <c r="Z1118" s="126" t="b">
        <f>+OR(COUNTIF(PROVEEDORES[[#This Row],[PROVEEDOR]],"*"&amp;'Palabra que no opera y Listas d'!$A$2&amp;"*"))</f>
        <v>0</v>
      </c>
    </row>
    <row r="1119" spans="1:26" ht="27.75" customHeight="1" x14ac:dyDescent="0.25">
      <c r="A1119" s="141" t="str">
        <f>+IF(PROVEEDORES[[#This Row],[FECHA DE PAGO]]=PROVEEDORES[[#This Row],[FECHA DE FACTURACIÓN]],"DE CONTADO","CRÉDITO")</f>
        <v>DE CONTADO</v>
      </c>
      <c r="B1119" s="138" t="b">
        <f>+IF((PROVEEDORES[[#This Row],[FECHA DE PAGO]]-PROVEEDORES[[#This Row],[FECHA DE FACTURACIÓN]])&gt;PROVEEDORES[[#This Row],[PLAZO Días]],"PAGO VENCIDO")</f>
        <v>0</v>
      </c>
      <c r="C1119" s="138">
        <f>+VLOOKUP(PROVEEDORES[[#This Row],[PROVEEDOR]],TERCEROS_INFO[#All],2,FALSE)</f>
        <v>30</v>
      </c>
      <c r="D1119" s="139">
        <f>+SUMIFS(PROVEEDORES[Total],PROVEEDORES[PROVEEDOR],PROVEEDORES[[#This Row],[PROVEEDOR]],PROVEEDORES[FECHA DE PAGO],"")</f>
        <v>0</v>
      </c>
      <c r="E1119" s="140"/>
      <c r="F1119" s="138" t="str">
        <f>+VLOOKUP(PROVEEDORES[[#This Row],[PROVEEDOR]],
                       Terceros!$A:$F,
                       5,
                       FALSE)</f>
        <v/>
      </c>
      <c r="G1119" s="127">
        <v>45294</v>
      </c>
      <c r="H1119" s="123" t="s">
        <v>525</v>
      </c>
      <c r="I1119" s="127">
        <v>45294</v>
      </c>
      <c r="J1119" s="124" t="s">
        <v>1395</v>
      </c>
      <c r="K1119" s="124" t="s">
        <v>1530</v>
      </c>
      <c r="L1119" s="124"/>
      <c r="M1119" s="125">
        <v>5000000</v>
      </c>
      <c r="N1119" s="148">
        <v>0</v>
      </c>
      <c r="O1119" s="148">
        <v>0</v>
      </c>
      <c r="P1119" s="149">
        <v>0</v>
      </c>
      <c r="Q1119" s="148">
        <v>0</v>
      </c>
      <c r="R1119" s="150">
        <v>5000000</v>
      </c>
      <c r="S11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19" s="135">
        <f ca="1">+IF(PROVEEDORES[[#This Row],[FECHA DE PAGO]]=0,TODAY()-PROVEEDORES[[#This Row],[FECHA DE FACTURACIÓN]]-PROVEEDORES[[#This Row],[PLAZO Días]],0)</f>
        <v>0</v>
      </c>
      <c r="U1119" s="135">
        <f>+VLOOKUP(PROVEEDORES[[#This Row],[PROVEEDOR]],Terceros!$A:$D,4,FALSE)</f>
        <v>0</v>
      </c>
      <c r="V1119" s="135">
        <f>+YEAR(PROVEEDORES[[#This Row],[FECHA DE FACTURACIÓN]])</f>
        <v>2024</v>
      </c>
      <c r="W1119" s="135">
        <f>+MATCH(PROVEEDORES[[#This Row],[año facturado]],Retenciones!$1:$1,0)</f>
        <v>7</v>
      </c>
      <c r="X1119" s="136">
        <f>+VLOOKUP(PROVEEDORES[[#This Row],[ID RETENCION]],Retenciones!$A$1:$O$25,PROVEEDORES[[#This Row],[indicador de columna]],FALSE)</f>
        <v>0</v>
      </c>
      <c r="Y1119" s="137">
        <f>+VLOOKUP(PROVEEDORES[[#This Row],[ID RETENCION]],Retenciones!$A$1:$O$25,2,FALSE)</f>
        <v>0</v>
      </c>
      <c r="Z1119" s="126" t="b">
        <f>+OR(COUNTIF(PROVEEDORES[[#This Row],[PROVEEDOR]],"*"&amp;'Palabra que no opera y Listas d'!$A$2&amp;"*"))</f>
        <v>0</v>
      </c>
    </row>
    <row r="1120" spans="1:26" ht="27.75" customHeight="1" x14ac:dyDescent="0.25">
      <c r="A1120" s="141" t="str">
        <f>+IF(PROVEEDORES[[#This Row],[FECHA DE PAGO]]=PROVEEDORES[[#This Row],[FECHA DE FACTURACIÓN]],"DE CONTADO","CRÉDITO")</f>
        <v>DE CONTADO</v>
      </c>
      <c r="B1120" s="138" t="b">
        <f>+IF((PROVEEDORES[[#This Row],[FECHA DE PAGO]]-PROVEEDORES[[#This Row],[FECHA DE FACTURACIÓN]])&gt;PROVEEDORES[[#This Row],[PLAZO Días]],"PAGO VENCIDO")</f>
        <v>0</v>
      </c>
      <c r="C1120" s="138">
        <f>+VLOOKUP(PROVEEDORES[[#This Row],[PROVEEDOR]],TERCEROS_INFO[#All],2,FALSE)</f>
        <v>30</v>
      </c>
      <c r="D1120" s="139">
        <f>+SUMIFS(PROVEEDORES[Total],PROVEEDORES[PROVEEDOR],PROVEEDORES[[#This Row],[PROVEEDOR]],PROVEEDORES[FECHA DE PAGO],"")</f>
        <v>134000</v>
      </c>
      <c r="E1120" s="140"/>
      <c r="F1120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120" s="127">
        <v>45294</v>
      </c>
      <c r="H1120" s="123" t="s">
        <v>1808</v>
      </c>
      <c r="I1120" s="127">
        <v>45294</v>
      </c>
      <c r="J1120" s="124" t="s">
        <v>1436</v>
      </c>
      <c r="K1120" s="124" t="s">
        <v>1530</v>
      </c>
      <c r="L1120" s="124"/>
      <c r="M1120" s="125">
        <v>45000</v>
      </c>
      <c r="N1120" s="148">
        <v>0</v>
      </c>
      <c r="O1120" s="148">
        <v>0</v>
      </c>
      <c r="P1120" s="149">
        <v>0</v>
      </c>
      <c r="Q1120" s="148">
        <v>0</v>
      </c>
      <c r="R1120" s="150">
        <v>45000</v>
      </c>
      <c r="S11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0" s="135">
        <f ca="1">+IF(PROVEEDORES[[#This Row],[FECHA DE PAGO]]=0,TODAY()-PROVEEDORES[[#This Row],[FECHA DE FACTURACIÓN]]-PROVEEDORES[[#This Row],[PLAZO Días]],0)</f>
        <v>0</v>
      </c>
      <c r="U1120" s="135">
        <f>+VLOOKUP(PROVEEDORES[[#This Row],[PROVEEDOR]],Terceros!$A:$D,4,FALSE)</f>
        <v>0</v>
      </c>
      <c r="V1120" s="135">
        <f>+YEAR(PROVEEDORES[[#This Row],[FECHA DE FACTURACIÓN]])</f>
        <v>2024</v>
      </c>
      <c r="W1120" s="135">
        <f>+MATCH(PROVEEDORES[[#This Row],[año facturado]],Retenciones!$1:$1,0)</f>
        <v>7</v>
      </c>
      <c r="X1120" s="136">
        <f>+VLOOKUP(PROVEEDORES[[#This Row],[ID RETENCION]],Retenciones!$A$1:$O$25,PROVEEDORES[[#This Row],[indicador de columna]],FALSE)</f>
        <v>0</v>
      </c>
      <c r="Y1120" s="137">
        <f>+VLOOKUP(PROVEEDORES[[#This Row],[ID RETENCION]],Retenciones!$A$1:$O$25,2,FALSE)</f>
        <v>0</v>
      </c>
      <c r="Z1120" s="126" t="b">
        <f>+OR(COUNTIF(PROVEEDORES[[#This Row],[PROVEEDOR]],"*"&amp;'Palabra que no opera y Listas d'!$A$2&amp;"*"))</f>
        <v>0</v>
      </c>
    </row>
    <row r="1121" spans="1:26" ht="27.75" customHeight="1" x14ac:dyDescent="0.25">
      <c r="A1121" s="141" t="str">
        <f>+IF(PROVEEDORES[[#This Row],[FECHA DE PAGO]]=PROVEEDORES[[#This Row],[FECHA DE FACTURACIÓN]],"DE CONTADO","CRÉDITO")</f>
        <v>DE CONTADO</v>
      </c>
      <c r="B1121" s="138" t="b">
        <f>+IF((PROVEEDORES[[#This Row],[FECHA DE PAGO]]-PROVEEDORES[[#This Row],[FECHA DE FACTURACIÓN]])&gt;PROVEEDORES[[#This Row],[PLAZO Días]],"PAGO VENCIDO")</f>
        <v>0</v>
      </c>
      <c r="C1121" s="138">
        <f>+VLOOKUP(PROVEEDORES[[#This Row],[PROVEEDOR]],TERCEROS_INFO[#All],2,FALSE)</f>
        <v>30</v>
      </c>
      <c r="D1121" s="139">
        <f>+SUMIFS(PROVEEDORES[Total],PROVEEDORES[PROVEEDOR],PROVEEDORES[[#This Row],[PROVEEDOR]],PROVEEDORES[FECHA DE PAGO],"")</f>
        <v>0</v>
      </c>
      <c r="E1121" s="140"/>
      <c r="F1121" s="138" t="str">
        <f>+VLOOKUP(PROVEEDORES[[#This Row],[PROVEEDOR]],
                       Terceros!$A:$F,
                       5,
                       FALSE)</f>
        <v/>
      </c>
      <c r="G1121" s="127">
        <v>45296</v>
      </c>
      <c r="H1121" s="123" t="s">
        <v>525</v>
      </c>
      <c r="I1121" s="127">
        <v>45296</v>
      </c>
      <c r="J1121" s="124" t="s">
        <v>1398</v>
      </c>
      <c r="K1121" s="124" t="s">
        <v>1530</v>
      </c>
      <c r="L1121" s="124"/>
      <c r="M1121" s="125">
        <v>942000</v>
      </c>
      <c r="N1121" s="148">
        <v>0</v>
      </c>
      <c r="O1121" s="148">
        <v>0</v>
      </c>
      <c r="P1121" s="149">
        <v>0</v>
      </c>
      <c r="Q1121" s="148">
        <v>0</v>
      </c>
      <c r="R1121" s="150">
        <v>942000</v>
      </c>
      <c r="S11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1" s="135">
        <f ca="1">+IF(PROVEEDORES[[#This Row],[FECHA DE PAGO]]=0,TODAY()-PROVEEDORES[[#This Row],[FECHA DE FACTURACIÓN]]-PROVEEDORES[[#This Row],[PLAZO Días]],0)</f>
        <v>0</v>
      </c>
      <c r="U1121" s="135">
        <f>+VLOOKUP(PROVEEDORES[[#This Row],[PROVEEDOR]],Terceros!$A:$D,4,FALSE)</f>
        <v>0</v>
      </c>
      <c r="V1121" s="135">
        <f>+YEAR(PROVEEDORES[[#This Row],[FECHA DE FACTURACIÓN]])</f>
        <v>2024</v>
      </c>
      <c r="W1121" s="135">
        <f>+MATCH(PROVEEDORES[[#This Row],[año facturado]],Retenciones!$1:$1,0)</f>
        <v>7</v>
      </c>
      <c r="X1121" s="136">
        <f>+VLOOKUP(PROVEEDORES[[#This Row],[ID RETENCION]],Retenciones!$A$1:$O$25,PROVEEDORES[[#This Row],[indicador de columna]],FALSE)</f>
        <v>0</v>
      </c>
      <c r="Y1121" s="137">
        <f>+VLOOKUP(PROVEEDORES[[#This Row],[ID RETENCION]],Retenciones!$A$1:$O$25,2,FALSE)</f>
        <v>0</v>
      </c>
      <c r="Z1121" s="126" t="b">
        <f>+OR(COUNTIF(PROVEEDORES[[#This Row],[PROVEEDOR]],"*"&amp;'Palabra que no opera y Listas d'!$A$2&amp;"*"))</f>
        <v>0</v>
      </c>
    </row>
    <row r="1122" spans="1:26" ht="27.75" customHeight="1" x14ac:dyDescent="0.25">
      <c r="A1122" s="141" t="str">
        <f>+IF(PROVEEDORES[[#This Row],[FECHA DE PAGO]]=PROVEEDORES[[#This Row],[FECHA DE FACTURACIÓN]],"DE CONTADO","CRÉDITO")</f>
        <v>DE CONTADO</v>
      </c>
      <c r="B1122" s="138" t="b">
        <f>+IF((PROVEEDORES[[#This Row],[FECHA DE PAGO]]-PROVEEDORES[[#This Row],[FECHA DE FACTURACIÓN]])&gt;PROVEEDORES[[#This Row],[PLAZO Días]],"PAGO VENCIDO")</f>
        <v>0</v>
      </c>
      <c r="C1122" s="138">
        <f>+VLOOKUP(PROVEEDORES[[#This Row],[PROVEEDOR]],TERCEROS_INFO[#All],2,FALSE)</f>
        <v>30</v>
      </c>
      <c r="D1122" s="139">
        <f>+SUMIFS(PROVEEDORES[Total],PROVEEDORES[PROVEEDOR],PROVEEDORES[[#This Row],[PROVEEDOR]],PROVEEDORES[FECHA DE PAGO],"")</f>
        <v>0</v>
      </c>
      <c r="E1122" s="140"/>
      <c r="F1122" s="138" t="str">
        <f>+VLOOKUP(PROVEEDORES[[#This Row],[PROVEEDOR]],
                       Terceros!$A:$F,
                       5,
                       FALSE)</f>
        <v/>
      </c>
      <c r="G1122" s="127">
        <v>45296</v>
      </c>
      <c r="H1122" s="123" t="s">
        <v>1824</v>
      </c>
      <c r="I1122" s="127">
        <v>45296</v>
      </c>
      <c r="J1122" s="124"/>
      <c r="K1122" s="124" t="s">
        <v>1530</v>
      </c>
      <c r="L1122" s="124"/>
      <c r="M1122" s="125">
        <v>1000000</v>
      </c>
      <c r="N1122" s="148">
        <v>0</v>
      </c>
      <c r="O1122" s="148">
        <v>0</v>
      </c>
      <c r="P1122" s="149">
        <v>0</v>
      </c>
      <c r="Q1122" s="148">
        <v>0</v>
      </c>
      <c r="R1122" s="150">
        <v>1000000</v>
      </c>
      <c r="S11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2" s="135">
        <f ca="1">+IF(PROVEEDORES[[#This Row],[FECHA DE PAGO]]=0,TODAY()-PROVEEDORES[[#This Row],[FECHA DE FACTURACIÓN]]-PROVEEDORES[[#This Row],[PLAZO Días]],0)</f>
        <v>0</v>
      </c>
      <c r="U1122" s="135">
        <f>+VLOOKUP(PROVEEDORES[[#This Row],[PROVEEDOR]],Terceros!$A:$D,4,FALSE)</f>
        <v>0</v>
      </c>
      <c r="V1122" s="135">
        <f>+YEAR(PROVEEDORES[[#This Row],[FECHA DE FACTURACIÓN]])</f>
        <v>2024</v>
      </c>
      <c r="W1122" s="135">
        <f>+MATCH(PROVEEDORES[[#This Row],[año facturado]],Retenciones!$1:$1,0)</f>
        <v>7</v>
      </c>
      <c r="X1122" s="136">
        <f>+VLOOKUP(PROVEEDORES[[#This Row],[ID RETENCION]],Retenciones!$A$1:$O$25,PROVEEDORES[[#This Row],[indicador de columna]],FALSE)</f>
        <v>0</v>
      </c>
      <c r="Y1122" s="137">
        <f>+VLOOKUP(PROVEEDORES[[#This Row],[ID RETENCION]],Retenciones!$A$1:$O$25,2,FALSE)</f>
        <v>0</v>
      </c>
      <c r="Z1122" s="126" t="b">
        <f>+OR(COUNTIF(PROVEEDORES[[#This Row],[PROVEEDOR]],"*"&amp;'Palabra que no opera y Listas d'!$A$2&amp;"*"))</f>
        <v>0</v>
      </c>
    </row>
    <row r="1123" spans="1:26" ht="27.75" customHeight="1" x14ac:dyDescent="0.25">
      <c r="A1123" s="141" t="str">
        <f>+IF(PROVEEDORES[[#This Row],[FECHA DE PAGO]]=PROVEEDORES[[#This Row],[FECHA DE FACTURACIÓN]],"DE CONTADO","CRÉDITO")</f>
        <v>DE CONTADO</v>
      </c>
      <c r="B1123" s="138" t="b">
        <f>+IF((PROVEEDORES[[#This Row],[FECHA DE PAGO]]-PROVEEDORES[[#This Row],[FECHA DE FACTURACIÓN]])&gt;PROVEEDORES[[#This Row],[PLAZO Días]],"PAGO VENCIDO")</f>
        <v>0</v>
      </c>
      <c r="C1123" s="138">
        <f>+VLOOKUP(PROVEEDORES[[#This Row],[PROVEEDOR]],TERCEROS_INFO[#All],2,FALSE)</f>
        <v>30</v>
      </c>
      <c r="D1123" s="139">
        <f>+SUMIFS(PROVEEDORES[Total],PROVEEDORES[PROVEEDOR],PROVEEDORES[[#This Row],[PROVEEDOR]],PROVEEDORES[FECHA DE PAGO],"")</f>
        <v>0</v>
      </c>
      <c r="E1123" s="140"/>
      <c r="F1123" s="138">
        <f>+VLOOKUP(PROVEEDORES[[#This Row],[PROVEEDOR]],
                       Terceros!$A:$F,
                       5,
                       FALSE)</f>
        <v>0</v>
      </c>
      <c r="G1123" s="127">
        <v>45297</v>
      </c>
      <c r="H1123" s="123" t="s">
        <v>387</v>
      </c>
      <c r="I1123" s="127">
        <v>45297</v>
      </c>
      <c r="J1123" s="124" t="s">
        <v>1193</v>
      </c>
      <c r="K1123" s="124" t="s">
        <v>1530</v>
      </c>
      <c r="L1123" s="124"/>
      <c r="M1123" s="125">
        <v>7068207</v>
      </c>
      <c r="N1123" s="148">
        <v>0</v>
      </c>
      <c r="O1123" s="148">
        <v>0</v>
      </c>
      <c r="P1123" s="149">
        <v>0</v>
      </c>
      <c r="Q1123" s="148">
        <v>0</v>
      </c>
      <c r="R1123" s="150">
        <v>7068207</v>
      </c>
      <c r="S11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3" s="135">
        <f ca="1">+IF(PROVEEDORES[[#This Row],[FECHA DE PAGO]]=0,TODAY()-PROVEEDORES[[#This Row],[FECHA DE FACTURACIÓN]]-PROVEEDORES[[#This Row],[PLAZO Días]],0)</f>
        <v>0</v>
      </c>
      <c r="U1123" s="135">
        <f>+VLOOKUP(PROVEEDORES[[#This Row],[PROVEEDOR]],Terceros!$A:$D,4,FALSE)</f>
        <v>0</v>
      </c>
      <c r="V1123" s="135">
        <f>+YEAR(PROVEEDORES[[#This Row],[FECHA DE FACTURACIÓN]])</f>
        <v>2024</v>
      </c>
      <c r="W1123" s="135">
        <f>+MATCH(PROVEEDORES[[#This Row],[año facturado]],Retenciones!$1:$1,0)</f>
        <v>7</v>
      </c>
      <c r="X1123" s="136">
        <f>+VLOOKUP(PROVEEDORES[[#This Row],[ID RETENCION]],Retenciones!$A$1:$O$25,PROVEEDORES[[#This Row],[indicador de columna]],FALSE)</f>
        <v>0</v>
      </c>
      <c r="Y1123" s="137">
        <f>+VLOOKUP(PROVEEDORES[[#This Row],[ID RETENCION]],Retenciones!$A$1:$O$25,2,FALSE)</f>
        <v>0</v>
      </c>
      <c r="Z1123" s="126" t="b">
        <f>+OR(COUNTIF(PROVEEDORES[[#This Row],[PROVEEDOR]],"*"&amp;'Palabra que no opera y Listas d'!$A$2&amp;"*"))</f>
        <v>1</v>
      </c>
    </row>
    <row r="1124" spans="1:26" ht="27.75" customHeight="1" x14ac:dyDescent="0.25">
      <c r="A1124" s="141" t="str">
        <f>+IF(PROVEEDORES[[#This Row],[FECHA DE PAGO]]=PROVEEDORES[[#This Row],[FECHA DE FACTURACIÓN]],"DE CONTADO","CRÉDITO")</f>
        <v>CRÉDITO</v>
      </c>
      <c r="B1124" s="138" t="str">
        <f>+IF((PROVEEDORES[[#This Row],[FECHA DE PAGO]]-PROVEEDORES[[#This Row],[FECHA DE FACTURACIÓN]])&gt;PROVEEDORES[[#This Row],[PLAZO Días]],"PAGO VENCIDO")</f>
        <v>PAGO VENCIDO</v>
      </c>
      <c r="C1124" s="138">
        <f>+VLOOKUP(PROVEEDORES[[#This Row],[PROVEEDOR]],TERCEROS_INFO[#All],2,FALSE)</f>
        <v>30</v>
      </c>
      <c r="D1124" s="139">
        <f>+SUMIFS(PROVEEDORES[Total],PROVEEDORES[PROVEEDOR],PROVEEDORES[[#This Row],[PROVEEDOR]],PROVEEDORES[FECHA DE PAGO],"")</f>
        <v>4316000</v>
      </c>
      <c r="E1124" s="140"/>
      <c r="F1124" s="138" t="str">
        <f>+VLOOKUP(PROVEEDORES[[#This Row],[PROVEEDOR]],
                       Terceros!$A:$F,
                       5,
                       FALSE)</f>
        <v/>
      </c>
      <c r="G1124" s="127">
        <v>45300</v>
      </c>
      <c r="H1124" s="123" t="s">
        <v>1812</v>
      </c>
      <c r="I1124" s="127">
        <v>45261</v>
      </c>
      <c r="J1124" s="124" t="s">
        <v>1389</v>
      </c>
      <c r="K1124" s="124" t="s">
        <v>1530</v>
      </c>
      <c r="L1124" s="124"/>
      <c r="M1124" s="125">
        <v>866000</v>
      </c>
      <c r="N1124" s="148">
        <v>0</v>
      </c>
      <c r="O1124" s="148">
        <v>0</v>
      </c>
      <c r="P1124" s="149">
        <v>0</v>
      </c>
      <c r="Q1124" s="148">
        <v>0</v>
      </c>
      <c r="R1124" s="150">
        <v>866000</v>
      </c>
      <c r="S11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4" s="135">
        <f ca="1">+IF(PROVEEDORES[[#This Row],[FECHA DE PAGO]]=0,TODAY()-PROVEEDORES[[#This Row],[FECHA DE FACTURACIÓN]]-PROVEEDORES[[#This Row],[PLAZO Días]],0)</f>
        <v>0</v>
      </c>
      <c r="U1124" s="135">
        <f>+VLOOKUP(PROVEEDORES[[#This Row],[PROVEEDOR]],Terceros!$A:$D,4,FALSE)</f>
        <v>0</v>
      </c>
      <c r="V1124" s="135">
        <f>+YEAR(PROVEEDORES[[#This Row],[FECHA DE FACTURACIÓN]])</f>
        <v>2023</v>
      </c>
      <c r="W1124" s="135">
        <f>+MATCH(PROVEEDORES[[#This Row],[año facturado]],Retenciones!$1:$1,0)</f>
        <v>6</v>
      </c>
      <c r="X1124" s="136">
        <f>+VLOOKUP(PROVEEDORES[[#This Row],[ID RETENCION]],Retenciones!$A$1:$O$25,PROVEEDORES[[#This Row],[indicador de columna]],FALSE)</f>
        <v>0</v>
      </c>
      <c r="Y1124" s="137">
        <f>+VLOOKUP(PROVEEDORES[[#This Row],[ID RETENCION]],Retenciones!$A$1:$O$25,2,FALSE)</f>
        <v>0</v>
      </c>
      <c r="Z1124" s="126" t="b">
        <f>+OR(COUNTIF(PROVEEDORES[[#This Row],[PROVEEDOR]],"*"&amp;'Palabra que no opera y Listas d'!$A$2&amp;"*"))</f>
        <v>0</v>
      </c>
    </row>
    <row r="1125" spans="1:26" ht="27.75" customHeight="1" x14ac:dyDescent="0.25">
      <c r="A1125" s="141" t="str">
        <f>+IF(PROVEEDORES[[#This Row],[FECHA DE PAGO]]=PROVEEDORES[[#This Row],[FECHA DE FACTURACIÓN]],"DE CONTADO","CRÉDITO")</f>
        <v>CRÉDITO</v>
      </c>
      <c r="B1125" s="138" t="b">
        <f>+IF((PROVEEDORES[[#This Row],[FECHA DE PAGO]]-PROVEEDORES[[#This Row],[FECHA DE FACTURACIÓN]])&gt;PROVEEDORES[[#This Row],[PLAZO Días]],"PAGO VENCIDO")</f>
        <v>0</v>
      </c>
      <c r="C1125" s="138">
        <f>+VLOOKUP(PROVEEDORES[[#This Row],[PROVEEDOR]],TERCEROS_INFO[#All],2,FALSE)</f>
        <v>30</v>
      </c>
      <c r="D1125" s="139">
        <f>+SUMIFS(PROVEEDORES[Total],PROVEEDORES[PROVEEDOR],PROVEEDORES[[#This Row],[PROVEEDOR]],PROVEEDORES[FECHA DE PAGO],"")</f>
        <v>0</v>
      </c>
      <c r="E1125" s="140"/>
      <c r="F1125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125" s="127">
        <v>45300</v>
      </c>
      <c r="H1125" s="123" t="s">
        <v>368</v>
      </c>
      <c r="I1125" s="127">
        <v>45292</v>
      </c>
      <c r="J1125" s="124" t="s">
        <v>1424</v>
      </c>
      <c r="K1125" s="124" t="s">
        <v>1530</v>
      </c>
      <c r="L1125" s="124"/>
      <c r="M1125" s="125">
        <v>3792544</v>
      </c>
      <c r="N1125" s="148">
        <v>720583.36</v>
      </c>
      <c r="O1125" s="148">
        <v>0</v>
      </c>
      <c r="P1125" s="149">
        <v>0</v>
      </c>
      <c r="Q1125" s="148">
        <v>0</v>
      </c>
      <c r="R1125" s="150">
        <v>4513127.3600000003</v>
      </c>
      <c r="S11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5" s="135">
        <f ca="1">+IF(PROVEEDORES[[#This Row],[FECHA DE PAGO]]=0,TODAY()-PROVEEDORES[[#This Row],[FECHA DE FACTURACIÓN]]-PROVEEDORES[[#This Row],[PLAZO Días]],0)</f>
        <v>0</v>
      </c>
      <c r="U1125" s="135">
        <f>+VLOOKUP(PROVEEDORES[[#This Row],[PROVEEDOR]],Terceros!$A:$D,4,FALSE)</f>
        <v>0</v>
      </c>
      <c r="V1125" s="135">
        <f>+YEAR(PROVEEDORES[[#This Row],[FECHA DE FACTURACIÓN]])</f>
        <v>2024</v>
      </c>
      <c r="W1125" s="135">
        <f>+MATCH(PROVEEDORES[[#This Row],[año facturado]],Retenciones!$1:$1,0)</f>
        <v>7</v>
      </c>
      <c r="X1125" s="136">
        <f>+VLOOKUP(PROVEEDORES[[#This Row],[ID RETENCION]],Retenciones!$A$1:$O$25,PROVEEDORES[[#This Row],[indicador de columna]],FALSE)</f>
        <v>0</v>
      </c>
      <c r="Y1125" s="137">
        <f>+VLOOKUP(PROVEEDORES[[#This Row],[ID RETENCION]],Retenciones!$A$1:$O$25,2,FALSE)</f>
        <v>0</v>
      </c>
      <c r="Z1125" s="126" t="b">
        <f>+OR(COUNTIF(PROVEEDORES[[#This Row],[PROVEEDOR]],"*"&amp;'Palabra que no opera y Listas d'!$A$2&amp;"*"))</f>
        <v>1</v>
      </c>
    </row>
    <row r="1126" spans="1:26" ht="27.75" customHeight="1" x14ac:dyDescent="0.25">
      <c r="A1126" s="141" t="str">
        <f>+IF(PROVEEDORES[[#This Row],[FECHA DE PAGO]]=PROVEEDORES[[#This Row],[FECHA DE FACTURACIÓN]],"DE CONTADO","CRÉDITO")</f>
        <v>CRÉDITO</v>
      </c>
      <c r="B1126" s="138" t="b">
        <f>+IF((PROVEEDORES[[#This Row],[FECHA DE PAGO]]-PROVEEDORES[[#This Row],[FECHA DE FACTURACIÓN]])&gt;PROVEEDORES[[#This Row],[PLAZO Días]],"PAGO VENCIDO")</f>
        <v>0</v>
      </c>
      <c r="C1126" s="138">
        <f>+VLOOKUP(PROVEEDORES[[#This Row],[PROVEEDOR]],TERCEROS_INFO[#All],2,FALSE)</f>
        <v>10</v>
      </c>
      <c r="D1126" s="139">
        <f>+SUMIFS(PROVEEDORES[Total],PROVEEDORES[PROVEEDOR],PROVEEDORES[[#This Row],[PROVEEDOR]],PROVEEDORES[FECHA DE PAGO],"")</f>
        <v>-3510</v>
      </c>
      <c r="E1126" s="140"/>
      <c r="F1126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126" s="127">
        <v>45300</v>
      </c>
      <c r="H1126" s="123" t="s">
        <v>1452</v>
      </c>
      <c r="I1126" s="127">
        <v>45292</v>
      </c>
      <c r="J1126" s="124" t="s">
        <v>1400</v>
      </c>
      <c r="K1126" s="124" t="s">
        <v>1530</v>
      </c>
      <c r="L1126" s="124"/>
      <c r="M1126" s="125">
        <v>4394976</v>
      </c>
      <c r="N1126" s="148">
        <v>835045.44000000006</v>
      </c>
      <c r="O1126" s="148">
        <v>0</v>
      </c>
      <c r="P1126" s="149">
        <v>3.5000000000000003E-2</v>
      </c>
      <c r="Q1126" s="148">
        <v>153824.16</v>
      </c>
      <c r="R1126" s="150">
        <v>5076197.28</v>
      </c>
      <c r="S11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6" s="135">
        <f ca="1">+IF(PROVEEDORES[[#This Row],[FECHA DE PAGO]]=0,TODAY()-PROVEEDORES[[#This Row],[FECHA DE FACTURACIÓN]]-PROVEEDORES[[#This Row],[PLAZO Días]],0)</f>
        <v>0</v>
      </c>
      <c r="U1126" s="135" t="str">
        <f>+VLOOKUP(PROVEEDORES[[#This Row],[PROVEEDOR]],Terceros!$A:$D,4,FALSE)</f>
        <v>3,5% sin base</v>
      </c>
      <c r="V1126" s="135">
        <f>+YEAR(PROVEEDORES[[#This Row],[FECHA DE FACTURACIÓN]])</f>
        <v>2024</v>
      </c>
      <c r="W1126" s="135">
        <f>+MATCH(PROVEEDORES[[#This Row],[año facturado]],Retenciones!$1:$1,0)</f>
        <v>7</v>
      </c>
      <c r="X1126" s="136">
        <f>+VLOOKUP(PROVEEDORES[[#This Row],[ID RETENCION]],Retenciones!$A$1:$O$25,PROVEEDORES[[#This Row],[indicador de columna]],FALSE)</f>
        <v>0</v>
      </c>
      <c r="Y1126" s="137">
        <f>+VLOOKUP(PROVEEDORES[[#This Row],[ID RETENCION]],Retenciones!$A$1:$O$25,2,FALSE)</f>
        <v>3.5000000000000003E-2</v>
      </c>
      <c r="Z1126" s="126" t="b">
        <f>+OR(COUNTIF(PROVEEDORES[[#This Row],[PROVEEDOR]],"*"&amp;'Palabra que no opera y Listas d'!$A$2&amp;"*"))</f>
        <v>1</v>
      </c>
    </row>
    <row r="1127" spans="1:26" ht="27.75" customHeight="1" x14ac:dyDescent="0.25">
      <c r="A1127" s="141" t="str">
        <f>+IF(PROVEEDORES[[#This Row],[FECHA DE PAGO]]=PROVEEDORES[[#This Row],[FECHA DE FACTURACIÓN]],"DE CONTADO","CRÉDITO")</f>
        <v>CRÉDITO</v>
      </c>
      <c r="B1127" s="138" t="b">
        <f>+IF((PROVEEDORES[[#This Row],[FECHA DE PAGO]]-PROVEEDORES[[#This Row],[FECHA DE FACTURACIÓN]])&gt;PROVEEDORES[[#This Row],[PLAZO Días]],"PAGO VENCIDO")</f>
        <v>0</v>
      </c>
      <c r="C1127" s="138">
        <f>+VLOOKUP(PROVEEDORES[[#This Row],[PROVEEDOR]],TERCEROS_INFO[#All],2,FALSE)</f>
        <v>10</v>
      </c>
      <c r="D1127" s="139">
        <f>+SUMIFS(PROVEEDORES[Total],PROVEEDORES[PROVEEDOR],PROVEEDORES[[#This Row],[PROVEEDOR]],PROVEEDORES[FECHA DE PAGO],"")</f>
        <v>0</v>
      </c>
      <c r="E1127" s="140"/>
      <c r="F1127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127" s="127">
        <v>45300</v>
      </c>
      <c r="H1127" s="123" t="s">
        <v>482</v>
      </c>
      <c r="I1127" s="127">
        <v>45292</v>
      </c>
      <c r="J1127" s="124" t="s">
        <v>1401</v>
      </c>
      <c r="K1127" s="124" t="s">
        <v>1530</v>
      </c>
      <c r="L1127" s="124"/>
      <c r="M1127" s="125">
        <v>5350576</v>
      </c>
      <c r="N1127" s="148">
        <v>1016609.4400000001</v>
      </c>
      <c r="O1127" s="148">
        <v>0</v>
      </c>
      <c r="P1127" s="149">
        <v>0</v>
      </c>
      <c r="Q1127" s="148">
        <v>0</v>
      </c>
      <c r="R1127" s="150">
        <v>6367185.4400000004</v>
      </c>
      <c r="S11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7" s="135">
        <f ca="1">+IF(PROVEEDORES[[#This Row],[FECHA DE PAGO]]=0,TODAY()-PROVEEDORES[[#This Row],[FECHA DE FACTURACIÓN]]-PROVEEDORES[[#This Row],[PLAZO Días]],0)</f>
        <v>0</v>
      </c>
      <c r="U1127" s="135">
        <f>+VLOOKUP(PROVEEDORES[[#This Row],[PROVEEDOR]],Terceros!$A:$D,4,FALSE)</f>
        <v>0</v>
      </c>
      <c r="V1127" s="135">
        <f>+YEAR(PROVEEDORES[[#This Row],[FECHA DE FACTURACIÓN]])</f>
        <v>2024</v>
      </c>
      <c r="W1127" s="135">
        <f>+MATCH(PROVEEDORES[[#This Row],[año facturado]],Retenciones!$1:$1,0)</f>
        <v>7</v>
      </c>
      <c r="X1127" s="136">
        <f>+VLOOKUP(PROVEEDORES[[#This Row],[ID RETENCION]],Retenciones!$A$1:$O$25,PROVEEDORES[[#This Row],[indicador de columna]],FALSE)</f>
        <v>0</v>
      </c>
      <c r="Y1127" s="137">
        <f>+VLOOKUP(PROVEEDORES[[#This Row],[ID RETENCION]],Retenciones!$A$1:$O$25,2,FALSE)</f>
        <v>0</v>
      </c>
      <c r="Z1127" s="126" t="b">
        <f>+OR(COUNTIF(PROVEEDORES[[#This Row],[PROVEEDOR]],"*"&amp;'Palabra que no opera y Listas d'!$A$2&amp;"*"))</f>
        <v>1</v>
      </c>
    </row>
    <row r="1128" spans="1:26" ht="27.75" customHeight="1" x14ac:dyDescent="0.25">
      <c r="A1128" s="141" t="str">
        <f>+IF(PROVEEDORES[[#This Row],[FECHA DE PAGO]]=PROVEEDORES[[#This Row],[FECHA DE FACTURACIÓN]],"DE CONTADO","CRÉDITO")</f>
        <v>DE CONTADO</v>
      </c>
      <c r="B1128" s="138" t="b">
        <f>+IF((PROVEEDORES[[#This Row],[FECHA DE PAGO]]-PROVEEDORES[[#This Row],[FECHA DE FACTURACIÓN]])&gt;PROVEEDORES[[#This Row],[PLAZO Días]],"PAGO VENCIDO")</f>
        <v>0</v>
      </c>
      <c r="C1128" s="138">
        <f>+VLOOKUP(PROVEEDORES[[#This Row],[PROVEEDOR]],TERCEROS_INFO[#All],2,FALSE)</f>
        <v>30</v>
      </c>
      <c r="D1128" s="139">
        <f>+SUMIFS(PROVEEDORES[Total],PROVEEDORES[PROVEEDOR],PROVEEDORES[[#This Row],[PROVEEDOR]],PROVEEDORES[FECHA DE PAGO],"")</f>
        <v>134000</v>
      </c>
      <c r="E1128" s="140"/>
      <c r="F1128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128" s="127">
        <v>45300</v>
      </c>
      <c r="H1128" s="123" t="s">
        <v>1808</v>
      </c>
      <c r="I1128" s="127">
        <v>45300</v>
      </c>
      <c r="J1128" s="124" t="s">
        <v>1438</v>
      </c>
      <c r="K1128" s="124" t="s">
        <v>1530</v>
      </c>
      <c r="L1128" s="124"/>
      <c r="M1128" s="125">
        <v>68000</v>
      </c>
      <c r="N1128" s="148">
        <v>0</v>
      </c>
      <c r="O1128" s="148">
        <v>0</v>
      </c>
      <c r="P1128" s="149">
        <v>0</v>
      </c>
      <c r="Q1128" s="148">
        <v>0</v>
      </c>
      <c r="R1128" s="150">
        <v>68000</v>
      </c>
      <c r="S11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8" s="135">
        <f ca="1">+IF(PROVEEDORES[[#This Row],[FECHA DE PAGO]]=0,TODAY()-PROVEEDORES[[#This Row],[FECHA DE FACTURACIÓN]]-PROVEEDORES[[#This Row],[PLAZO Días]],0)</f>
        <v>0</v>
      </c>
      <c r="U1128" s="135">
        <f>+VLOOKUP(PROVEEDORES[[#This Row],[PROVEEDOR]],Terceros!$A:$D,4,FALSE)</f>
        <v>0</v>
      </c>
      <c r="V1128" s="135">
        <f>+YEAR(PROVEEDORES[[#This Row],[FECHA DE FACTURACIÓN]])</f>
        <v>2024</v>
      </c>
      <c r="W1128" s="135">
        <f>+MATCH(PROVEEDORES[[#This Row],[año facturado]],Retenciones!$1:$1,0)</f>
        <v>7</v>
      </c>
      <c r="X1128" s="136">
        <f>+VLOOKUP(PROVEEDORES[[#This Row],[ID RETENCION]],Retenciones!$A$1:$O$25,PROVEEDORES[[#This Row],[indicador de columna]],FALSE)</f>
        <v>0</v>
      </c>
      <c r="Y1128" s="137">
        <f>+VLOOKUP(PROVEEDORES[[#This Row],[ID RETENCION]],Retenciones!$A$1:$O$25,2,FALSE)</f>
        <v>0</v>
      </c>
      <c r="Z1128" s="126" t="b">
        <f>+OR(COUNTIF(PROVEEDORES[[#This Row],[PROVEEDOR]],"*"&amp;'Palabra que no opera y Listas d'!$A$2&amp;"*"))</f>
        <v>0</v>
      </c>
    </row>
    <row r="1129" spans="1:26" ht="27.75" customHeight="1" x14ac:dyDescent="0.25">
      <c r="A1129" s="141" t="str">
        <f>+IF(PROVEEDORES[[#This Row],[FECHA DE PAGO]]=PROVEEDORES[[#This Row],[FECHA DE FACTURACIÓN]],"DE CONTADO","CRÉDITO")</f>
        <v>DE CONTADO</v>
      </c>
      <c r="B1129" s="138" t="b">
        <f>+IF((PROVEEDORES[[#This Row],[FECHA DE PAGO]]-PROVEEDORES[[#This Row],[FECHA DE FACTURACIÓN]])&gt;PROVEEDORES[[#This Row],[PLAZO Días]],"PAGO VENCIDO")</f>
        <v>0</v>
      </c>
      <c r="C1129" s="138">
        <f>+VLOOKUP(PROVEEDORES[[#This Row],[PROVEEDOR]],TERCEROS_INFO[#All],2,FALSE)</f>
        <v>30</v>
      </c>
      <c r="D1129" s="139">
        <f>+SUMIFS(PROVEEDORES[Total],PROVEEDORES[PROVEEDOR],PROVEEDORES[[#This Row],[PROVEEDOR]],PROVEEDORES[FECHA DE PAGO],"")</f>
        <v>0</v>
      </c>
      <c r="E1129" s="140"/>
      <c r="F1129" s="138">
        <f>+VLOOKUP(PROVEEDORES[[#This Row],[PROVEEDOR]],
                       Terceros!$A:$F,
                       5,
                       FALSE)</f>
        <v>0</v>
      </c>
      <c r="G1129" s="127">
        <v>45300</v>
      </c>
      <c r="H1129" s="123" t="s">
        <v>387</v>
      </c>
      <c r="I1129" s="127">
        <v>45300</v>
      </c>
      <c r="J1129" s="124" t="s">
        <v>173</v>
      </c>
      <c r="K1129" s="124" t="s">
        <v>1530</v>
      </c>
      <c r="L1129" s="124"/>
      <c r="M1129" s="125">
        <v>411454</v>
      </c>
      <c r="N1129" s="148">
        <v>0</v>
      </c>
      <c r="O1129" s="148">
        <v>0</v>
      </c>
      <c r="P1129" s="149">
        <v>0</v>
      </c>
      <c r="Q1129" s="148">
        <v>0</v>
      </c>
      <c r="R1129" s="150">
        <v>411454</v>
      </c>
      <c r="S11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29" s="135">
        <f ca="1">+IF(PROVEEDORES[[#This Row],[FECHA DE PAGO]]=0,TODAY()-PROVEEDORES[[#This Row],[FECHA DE FACTURACIÓN]]-PROVEEDORES[[#This Row],[PLAZO Días]],0)</f>
        <v>0</v>
      </c>
      <c r="U1129" s="135">
        <f>+VLOOKUP(PROVEEDORES[[#This Row],[PROVEEDOR]],Terceros!$A:$D,4,FALSE)</f>
        <v>0</v>
      </c>
      <c r="V1129" s="135">
        <f>+YEAR(PROVEEDORES[[#This Row],[FECHA DE FACTURACIÓN]])</f>
        <v>2024</v>
      </c>
      <c r="W1129" s="135">
        <f>+MATCH(PROVEEDORES[[#This Row],[año facturado]],Retenciones!$1:$1,0)</f>
        <v>7</v>
      </c>
      <c r="X1129" s="136">
        <f>+VLOOKUP(PROVEEDORES[[#This Row],[ID RETENCION]],Retenciones!$A$1:$O$25,PROVEEDORES[[#This Row],[indicador de columna]],FALSE)</f>
        <v>0</v>
      </c>
      <c r="Y1129" s="137">
        <f>+VLOOKUP(PROVEEDORES[[#This Row],[ID RETENCION]],Retenciones!$A$1:$O$25,2,FALSE)</f>
        <v>0</v>
      </c>
      <c r="Z1129" s="126" t="b">
        <f>+OR(COUNTIF(PROVEEDORES[[#This Row],[PROVEEDOR]],"*"&amp;'Palabra que no opera y Listas d'!$A$2&amp;"*"))</f>
        <v>1</v>
      </c>
    </row>
    <row r="1130" spans="1:26" ht="27.75" customHeight="1" x14ac:dyDescent="0.25">
      <c r="A1130" s="141" t="str">
        <f>+IF(PROVEEDORES[[#This Row],[FECHA DE PAGO]]=PROVEEDORES[[#This Row],[FECHA DE FACTURACIÓN]],"DE CONTADO","CRÉDITO")</f>
        <v>CRÉDITO</v>
      </c>
      <c r="B1130" s="138" t="str">
        <f>+IF((PROVEEDORES[[#This Row],[FECHA DE PAGO]]-PROVEEDORES[[#This Row],[FECHA DE FACTURACIÓN]])&gt;PROVEEDORES[[#This Row],[PLAZO Días]],"PAGO VENCIDO")</f>
        <v>PAGO VENCIDO</v>
      </c>
      <c r="C1130" s="138">
        <f>+VLOOKUP(PROVEEDORES[[#This Row],[PROVEEDOR]],TERCEROS_INFO[#All],2,FALSE)</f>
        <v>30</v>
      </c>
      <c r="D1130" s="139">
        <f>+SUMIFS(PROVEEDORES[Total],PROVEEDORES[PROVEEDOR],PROVEEDORES[[#This Row],[PROVEEDOR]],PROVEEDORES[FECHA DE PAGO],"")</f>
        <v>5427539.2800000003</v>
      </c>
      <c r="E1130" s="140"/>
      <c r="F1130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130" s="127">
        <v>45301</v>
      </c>
      <c r="H1130" s="123" t="s">
        <v>11</v>
      </c>
      <c r="I1130" s="127">
        <v>45253</v>
      </c>
      <c r="J1130" s="124" t="s">
        <v>1245</v>
      </c>
      <c r="K1130" s="124" t="s">
        <v>1530</v>
      </c>
      <c r="L1130" s="124"/>
      <c r="M1130" s="125">
        <v>8067241</v>
      </c>
      <c r="N1130" s="148">
        <v>1532775.79</v>
      </c>
      <c r="O1130" s="148">
        <v>0</v>
      </c>
      <c r="P1130" s="149">
        <v>2.5000000000000001E-2</v>
      </c>
      <c r="Q1130" s="148">
        <v>201681.02500000002</v>
      </c>
      <c r="R1130" s="150">
        <v>9398335.7649999987</v>
      </c>
      <c r="S11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0" s="135">
        <f ca="1">+IF(PROVEEDORES[[#This Row],[FECHA DE PAGO]]=0,TODAY()-PROVEEDORES[[#This Row],[FECHA DE FACTURACIÓN]]-PROVEEDORES[[#This Row],[PLAZO Días]],0)</f>
        <v>0</v>
      </c>
      <c r="U1130" s="135" t="str">
        <f>+VLOOKUP(PROVEEDORES[[#This Row],[PROVEEDOR]],Terceros!$A:$D,4,FALSE)</f>
        <v>2,5% con base</v>
      </c>
      <c r="V1130" s="135">
        <f>+YEAR(PROVEEDORES[[#This Row],[FECHA DE FACTURACIÓN]])</f>
        <v>2023</v>
      </c>
      <c r="W1130" s="135">
        <f>+MATCH(PROVEEDORES[[#This Row],[año facturado]],Retenciones!$1:$1,0)</f>
        <v>6</v>
      </c>
      <c r="X1130" s="136">
        <f>+VLOOKUP(PROVEEDORES[[#This Row],[ID RETENCION]],Retenciones!$A$1:$O$25,PROVEEDORES[[#This Row],[indicador de columna]],FALSE)</f>
        <v>1145000</v>
      </c>
      <c r="Y1130" s="137">
        <f>+VLOOKUP(PROVEEDORES[[#This Row],[ID RETENCION]],Retenciones!$A$1:$O$25,2,FALSE)</f>
        <v>2.5000000000000001E-2</v>
      </c>
      <c r="Z1130" s="126" t="b">
        <f>+OR(COUNTIF(PROVEEDORES[[#This Row],[PROVEEDOR]],"*"&amp;'Palabra que no opera y Listas d'!$A$2&amp;"*"))</f>
        <v>0</v>
      </c>
    </row>
    <row r="1131" spans="1:26" ht="27.75" customHeight="1" x14ac:dyDescent="0.25">
      <c r="A1131" s="141" t="str">
        <f>+IF(PROVEEDORES[[#This Row],[FECHA DE PAGO]]=PROVEEDORES[[#This Row],[FECHA DE FACTURACIÓN]],"DE CONTADO","CRÉDITO")</f>
        <v>CRÉDITO</v>
      </c>
      <c r="B1131" s="138" t="str">
        <f>+IF((PROVEEDORES[[#This Row],[FECHA DE PAGO]]-PROVEEDORES[[#This Row],[FECHA DE FACTURACIÓN]])&gt;PROVEEDORES[[#This Row],[PLAZO Días]],"PAGO VENCIDO")</f>
        <v>PAGO VENCIDO</v>
      </c>
      <c r="C1131" s="138">
        <f>+VLOOKUP(PROVEEDORES[[#This Row],[PROVEEDOR]],TERCEROS_INFO[#All],2,FALSE)</f>
        <v>30</v>
      </c>
      <c r="D1131" s="139">
        <f>+SUMIFS(PROVEEDORES[Total],PROVEEDORES[PROVEEDOR],PROVEEDORES[[#This Row],[PROVEEDOR]],PROVEEDORES[FECHA DE PAGO],"")</f>
        <v>0</v>
      </c>
      <c r="E1131" s="140"/>
      <c r="F1131" s="138" t="str">
        <f>+VLOOKUP(PROVEEDORES[[#This Row],[PROVEEDOR]],
                       Terceros!$A:$F,
                       5,
                       FALSE)</f>
        <v/>
      </c>
      <c r="G1131" s="127">
        <v>45302</v>
      </c>
      <c r="H1131" s="123" t="s">
        <v>1811</v>
      </c>
      <c r="I1131" s="127">
        <v>45251</v>
      </c>
      <c r="J1131" s="124" t="s">
        <v>1274</v>
      </c>
      <c r="K1131" s="124" t="s">
        <v>1530</v>
      </c>
      <c r="L1131" s="124"/>
      <c r="M1131" s="125">
        <v>600000</v>
      </c>
      <c r="N1131" s="148">
        <v>0</v>
      </c>
      <c r="O1131" s="148">
        <v>0</v>
      </c>
      <c r="P1131" s="149">
        <v>0</v>
      </c>
      <c r="Q1131" s="148">
        <v>0</v>
      </c>
      <c r="R1131" s="150">
        <v>600000</v>
      </c>
      <c r="S11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1" s="135">
        <f ca="1">+IF(PROVEEDORES[[#This Row],[FECHA DE PAGO]]=0,TODAY()-PROVEEDORES[[#This Row],[FECHA DE FACTURACIÓN]]-PROVEEDORES[[#This Row],[PLAZO Días]],0)</f>
        <v>0</v>
      </c>
      <c r="U1131" s="135">
        <f>+VLOOKUP(PROVEEDORES[[#This Row],[PROVEEDOR]],Terceros!$A:$D,4,FALSE)</f>
        <v>0</v>
      </c>
      <c r="V1131" s="135">
        <f>+YEAR(PROVEEDORES[[#This Row],[FECHA DE FACTURACIÓN]])</f>
        <v>2023</v>
      </c>
      <c r="W1131" s="135">
        <f>+MATCH(PROVEEDORES[[#This Row],[año facturado]],Retenciones!$1:$1,0)</f>
        <v>6</v>
      </c>
      <c r="X1131" s="136">
        <f>+VLOOKUP(PROVEEDORES[[#This Row],[ID RETENCION]],Retenciones!$A$1:$O$25,PROVEEDORES[[#This Row],[indicador de columna]],FALSE)</f>
        <v>0</v>
      </c>
      <c r="Y1131" s="137">
        <f>+VLOOKUP(PROVEEDORES[[#This Row],[ID RETENCION]],Retenciones!$A$1:$O$25,2,FALSE)</f>
        <v>0</v>
      </c>
      <c r="Z1131" s="126" t="b">
        <f>+OR(COUNTIF(PROVEEDORES[[#This Row],[PROVEEDOR]],"*"&amp;'Palabra que no opera y Listas d'!$A$2&amp;"*"))</f>
        <v>0</v>
      </c>
    </row>
    <row r="1132" spans="1:26" ht="27.75" customHeight="1" x14ac:dyDescent="0.25">
      <c r="A1132" s="141" t="str">
        <f>+IF(PROVEEDORES[[#This Row],[FECHA DE PAGO]]=PROVEEDORES[[#This Row],[FECHA DE FACTURACIÓN]],"DE CONTADO","CRÉDITO")</f>
        <v>CRÉDITO</v>
      </c>
      <c r="B1132" s="138" t="str">
        <f>+IF((PROVEEDORES[[#This Row],[FECHA DE PAGO]]-PROVEEDORES[[#This Row],[FECHA DE FACTURACIÓN]])&gt;PROVEEDORES[[#This Row],[PLAZO Días]],"PAGO VENCIDO")</f>
        <v>PAGO VENCIDO</v>
      </c>
      <c r="C1132" s="138">
        <f>+VLOOKUP(PROVEEDORES[[#This Row],[PROVEEDOR]],TERCEROS_INFO[#All],2,FALSE)</f>
        <v>30</v>
      </c>
      <c r="D1132" s="139">
        <f>+SUMIFS(PROVEEDORES[Total],PROVEEDORES[PROVEEDOR],PROVEEDORES[[#This Row],[PROVEEDOR]],PROVEEDORES[FECHA DE PAGO],"")</f>
        <v>0</v>
      </c>
      <c r="E1132" s="140"/>
      <c r="F1132" s="138" t="str">
        <f>+VLOOKUP(PROVEEDORES[[#This Row],[PROVEEDOR]],
                       Terceros!$A:$F,
                       5,
                       FALSE)</f>
        <v/>
      </c>
      <c r="G1132" s="127">
        <v>45302</v>
      </c>
      <c r="H1132" s="123" t="s">
        <v>294</v>
      </c>
      <c r="I1132" s="127">
        <v>45267</v>
      </c>
      <c r="J1132" s="124" t="s">
        <v>1368</v>
      </c>
      <c r="K1132" s="124" t="s">
        <v>1530</v>
      </c>
      <c r="L1132" s="124"/>
      <c r="M1132" s="125">
        <v>342000</v>
      </c>
      <c r="N1132" s="148">
        <v>0</v>
      </c>
      <c r="O1132" s="148">
        <v>0</v>
      </c>
      <c r="P1132" s="149">
        <v>0</v>
      </c>
      <c r="Q1132" s="148">
        <v>0</v>
      </c>
      <c r="R1132" s="150">
        <v>342000</v>
      </c>
      <c r="S11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2" s="135">
        <f ca="1">+IF(PROVEEDORES[[#This Row],[FECHA DE PAGO]]=0,TODAY()-PROVEEDORES[[#This Row],[FECHA DE FACTURACIÓN]]-PROVEEDORES[[#This Row],[PLAZO Días]],0)</f>
        <v>0</v>
      </c>
      <c r="U1132" s="135">
        <f>+VLOOKUP(PROVEEDORES[[#This Row],[PROVEEDOR]],Terceros!$A:$D,4,FALSE)</f>
        <v>0</v>
      </c>
      <c r="V1132" s="135">
        <f>+YEAR(PROVEEDORES[[#This Row],[FECHA DE FACTURACIÓN]])</f>
        <v>2023</v>
      </c>
      <c r="W1132" s="135">
        <f>+MATCH(PROVEEDORES[[#This Row],[año facturado]],Retenciones!$1:$1,0)</f>
        <v>6</v>
      </c>
      <c r="X1132" s="136">
        <f>+VLOOKUP(PROVEEDORES[[#This Row],[ID RETENCION]],Retenciones!$A$1:$O$25,PROVEEDORES[[#This Row],[indicador de columna]],FALSE)</f>
        <v>0</v>
      </c>
      <c r="Y1132" s="137">
        <f>+VLOOKUP(PROVEEDORES[[#This Row],[ID RETENCION]],Retenciones!$A$1:$O$25,2,FALSE)</f>
        <v>0</v>
      </c>
      <c r="Z1132" s="126" t="b">
        <f>+OR(COUNTIF(PROVEEDORES[[#This Row],[PROVEEDOR]],"*"&amp;'Palabra que no opera y Listas d'!$A$2&amp;"*"))</f>
        <v>0</v>
      </c>
    </row>
    <row r="1133" spans="1:26" ht="27.75" customHeight="1" x14ac:dyDescent="0.25">
      <c r="A1133" s="141" t="str">
        <f>+IF(PROVEEDORES[[#This Row],[FECHA DE PAGO]]=PROVEEDORES[[#This Row],[FECHA DE FACTURACIÓN]],"DE CONTADO","CRÉDITO")</f>
        <v>CRÉDITO</v>
      </c>
      <c r="B1133" s="138" t="str">
        <f>+IF((PROVEEDORES[[#This Row],[FECHA DE PAGO]]-PROVEEDORES[[#This Row],[FECHA DE FACTURACIÓN]])&gt;PROVEEDORES[[#This Row],[PLAZO Días]],"PAGO VENCIDO")</f>
        <v>PAGO VENCIDO</v>
      </c>
      <c r="C1133" s="138">
        <f>+VLOOKUP(PROVEEDORES[[#This Row],[PROVEEDOR]],TERCEROS_INFO[#All],2,FALSE)</f>
        <v>30</v>
      </c>
      <c r="D1133" s="139">
        <f>+SUMIFS(PROVEEDORES[Total],PROVEEDORES[PROVEEDOR],PROVEEDORES[[#This Row],[PROVEEDOR]],PROVEEDORES[FECHA DE PAGO],"")</f>
        <v>0</v>
      </c>
      <c r="E1133" s="140"/>
      <c r="F1133" s="13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133" s="127">
        <v>45303</v>
      </c>
      <c r="H1133" s="123" t="s">
        <v>1580</v>
      </c>
      <c r="I1133" s="127">
        <v>45272</v>
      </c>
      <c r="J1133" s="124" t="s">
        <v>1334</v>
      </c>
      <c r="K1133" s="124" t="s">
        <v>1530</v>
      </c>
      <c r="L1133" s="124"/>
      <c r="M1133" s="125">
        <v>361000</v>
      </c>
      <c r="N1133" s="148">
        <v>68590</v>
      </c>
      <c r="O1133" s="148">
        <v>0</v>
      </c>
      <c r="P1133" s="149">
        <v>0</v>
      </c>
      <c r="Q1133" s="148">
        <v>0</v>
      </c>
      <c r="R1133" s="150">
        <v>429590</v>
      </c>
      <c r="S11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3" s="135">
        <f ca="1">+IF(PROVEEDORES[[#This Row],[FECHA DE PAGO]]=0,TODAY()-PROVEEDORES[[#This Row],[FECHA DE FACTURACIÓN]]-PROVEEDORES[[#This Row],[PLAZO Días]],0)</f>
        <v>0</v>
      </c>
      <c r="U1133" s="135" t="str">
        <f>+VLOOKUP(PROVEEDORES[[#This Row],[PROVEEDOR]],Terceros!$A:$D,4,FALSE)</f>
        <v>2,5% con base</v>
      </c>
      <c r="V1133" s="135">
        <f>+YEAR(PROVEEDORES[[#This Row],[FECHA DE FACTURACIÓN]])</f>
        <v>2023</v>
      </c>
      <c r="W1133" s="135">
        <f>+MATCH(PROVEEDORES[[#This Row],[año facturado]],Retenciones!$1:$1,0)</f>
        <v>6</v>
      </c>
      <c r="X1133" s="136">
        <f>+VLOOKUP(PROVEEDORES[[#This Row],[ID RETENCION]],Retenciones!$A$1:$O$25,PROVEEDORES[[#This Row],[indicador de columna]],FALSE)</f>
        <v>1145000</v>
      </c>
      <c r="Y1133" s="137">
        <f>+VLOOKUP(PROVEEDORES[[#This Row],[ID RETENCION]],Retenciones!$A$1:$O$25,2,FALSE)</f>
        <v>2.5000000000000001E-2</v>
      </c>
      <c r="Z1133" s="126" t="b">
        <f>+OR(COUNTIF(PROVEEDORES[[#This Row],[PROVEEDOR]],"*"&amp;'Palabra que no opera y Listas d'!$A$2&amp;"*"))</f>
        <v>0</v>
      </c>
    </row>
    <row r="1134" spans="1:26" ht="27.75" customHeight="1" x14ac:dyDescent="0.25">
      <c r="A1134" s="141" t="str">
        <f>+IF(PROVEEDORES[[#This Row],[FECHA DE PAGO]]=PROVEEDORES[[#This Row],[FECHA DE FACTURACIÓN]],"DE CONTADO","CRÉDITO")</f>
        <v>CRÉDITO</v>
      </c>
      <c r="B1134" s="138" t="b">
        <f>+IF((PROVEEDORES[[#This Row],[FECHA DE PAGO]]-PROVEEDORES[[#This Row],[FECHA DE FACTURACIÓN]])&gt;PROVEEDORES[[#This Row],[PLAZO Días]],"PAGO VENCIDO")</f>
        <v>0</v>
      </c>
      <c r="C1134" s="138">
        <f>+VLOOKUP(PROVEEDORES[[#This Row],[PROVEEDOR]],TERCEROS_INFO[#All],2,FALSE)</f>
        <v>30</v>
      </c>
      <c r="D1134" s="139">
        <f>+SUMIFS(PROVEEDORES[Total],PROVEEDORES[PROVEEDOR],PROVEEDORES[[#This Row],[PROVEEDOR]],PROVEEDORES[FECHA DE PAGO],"")</f>
        <v>0</v>
      </c>
      <c r="E1134" s="140"/>
      <c r="F1134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134" s="127">
        <v>45303</v>
      </c>
      <c r="H1134" s="123" t="s">
        <v>383</v>
      </c>
      <c r="I1134" s="127">
        <v>45292</v>
      </c>
      <c r="J1134" s="124" t="s">
        <v>1451</v>
      </c>
      <c r="K1134" s="124" t="s">
        <v>1530</v>
      </c>
      <c r="L1134" s="124"/>
      <c r="M1134" s="125">
        <v>27605</v>
      </c>
      <c r="N1134" s="148">
        <v>5244.95</v>
      </c>
      <c r="O1134" s="148">
        <v>0</v>
      </c>
      <c r="P1134" s="149">
        <v>3.5000000000000003E-2</v>
      </c>
      <c r="Q1134" s="148">
        <v>966.17500000000007</v>
      </c>
      <c r="R1134" s="150">
        <v>31883.774999999998</v>
      </c>
      <c r="S11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4" s="135">
        <f ca="1">+IF(PROVEEDORES[[#This Row],[FECHA DE PAGO]]=0,TODAY()-PROVEEDORES[[#This Row],[FECHA DE FACTURACIÓN]]-PROVEEDORES[[#This Row],[PLAZO Días]],0)</f>
        <v>0</v>
      </c>
      <c r="U1134" s="135" t="str">
        <f>+VLOOKUP(PROVEEDORES[[#This Row],[PROVEEDOR]],Terceros!$A:$D,4,FALSE)</f>
        <v>3,5% sin base</v>
      </c>
      <c r="V1134" s="135">
        <f>+YEAR(PROVEEDORES[[#This Row],[FECHA DE FACTURACIÓN]])</f>
        <v>2024</v>
      </c>
      <c r="W1134" s="135">
        <f>+MATCH(PROVEEDORES[[#This Row],[año facturado]],Retenciones!$1:$1,0)</f>
        <v>7</v>
      </c>
      <c r="X1134" s="136">
        <f>+VLOOKUP(PROVEEDORES[[#This Row],[ID RETENCION]],Retenciones!$A$1:$O$25,PROVEEDORES[[#This Row],[indicador de columna]],FALSE)</f>
        <v>0</v>
      </c>
      <c r="Y1134" s="137">
        <f>+VLOOKUP(PROVEEDORES[[#This Row],[ID RETENCION]],Retenciones!$A$1:$O$25,2,FALSE)</f>
        <v>3.5000000000000003E-2</v>
      </c>
      <c r="Z1134" s="126" t="b">
        <f>+OR(COUNTIF(PROVEEDORES[[#This Row],[PROVEEDOR]],"*"&amp;'Palabra que no opera y Listas d'!$A$2&amp;"*"))</f>
        <v>1</v>
      </c>
    </row>
    <row r="1135" spans="1:26" ht="27.75" customHeight="1" x14ac:dyDescent="0.25">
      <c r="A1135" s="141" t="str">
        <f>+IF(PROVEEDORES[[#This Row],[FECHA DE PAGO]]=PROVEEDORES[[#This Row],[FECHA DE FACTURACIÓN]],"DE CONTADO","CRÉDITO")</f>
        <v>CRÉDITO</v>
      </c>
      <c r="B1135" s="138" t="b">
        <f>+IF((PROVEEDORES[[#This Row],[FECHA DE PAGO]]-PROVEEDORES[[#This Row],[FECHA DE FACTURACIÓN]])&gt;PROVEEDORES[[#This Row],[PLAZO Días]],"PAGO VENCIDO")</f>
        <v>0</v>
      </c>
      <c r="C1135" s="138">
        <f>+VLOOKUP(PROVEEDORES[[#This Row],[PROVEEDOR]],TERCEROS_INFO[#All],2,FALSE)</f>
        <v>30</v>
      </c>
      <c r="D1135" s="139">
        <f>+SUMIFS(PROVEEDORES[Total],PROVEEDORES[PROVEEDOR],PROVEEDORES[[#This Row],[PROVEEDOR]],PROVEEDORES[FECHA DE PAGO],"")</f>
        <v>0</v>
      </c>
      <c r="E1135" s="140"/>
      <c r="F1135" s="138" t="str">
        <f>+VLOOKUP(PROVEEDORES[[#This Row],[PROVEEDOR]],
                       Terceros!$A:$F,
                       5,
                       FALSE)</f>
        <v>PSE</v>
      </c>
      <c r="G1135" s="127">
        <v>45303</v>
      </c>
      <c r="H1135" s="123" t="s">
        <v>388</v>
      </c>
      <c r="I1135" s="127">
        <v>45292</v>
      </c>
      <c r="J1135" s="124" t="s">
        <v>1422</v>
      </c>
      <c r="K1135" s="124" t="s">
        <v>1530</v>
      </c>
      <c r="L1135" s="124"/>
      <c r="M1135" s="125">
        <v>458700</v>
      </c>
      <c r="N1135" s="148">
        <v>87153</v>
      </c>
      <c r="O1135" s="148">
        <v>0</v>
      </c>
      <c r="P1135" s="149">
        <v>0</v>
      </c>
      <c r="Q1135" s="148">
        <v>0</v>
      </c>
      <c r="R1135" s="150">
        <v>545853</v>
      </c>
      <c r="S11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5" s="135">
        <f ca="1">+IF(PROVEEDORES[[#This Row],[FECHA DE PAGO]]=0,TODAY()-PROVEEDORES[[#This Row],[FECHA DE FACTURACIÓN]]-PROVEEDORES[[#This Row],[PLAZO Días]],0)</f>
        <v>0</v>
      </c>
      <c r="U1135" s="135">
        <f>+VLOOKUP(PROVEEDORES[[#This Row],[PROVEEDOR]],Terceros!$A:$D,4,FALSE)</f>
        <v>0</v>
      </c>
      <c r="V1135" s="135">
        <f>+YEAR(PROVEEDORES[[#This Row],[FECHA DE FACTURACIÓN]])</f>
        <v>2024</v>
      </c>
      <c r="W1135" s="135">
        <f>+MATCH(PROVEEDORES[[#This Row],[año facturado]],Retenciones!$1:$1,0)</f>
        <v>7</v>
      </c>
      <c r="X1135" s="136">
        <f>+VLOOKUP(PROVEEDORES[[#This Row],[ID RETENCION]],Retenciones!$A$1:$O$25,PROVEEDORES[[#This Row],[indicador de columna]],FALSE)</f>
        <v>0</v>
      </c>
      <c r="Y1135" s="137">
        <f>+VLOOKUP(PROVEEDORES[[#This Row],[ID RETENCION]],Retenciones!$A$1:$O$25,2,FALSE)</f>
        <v>0</v>
      </c>
      <c r="Z1135" s="126" t="b">
        <f>+OR(COUNTIF(PROVEEDORES[[#This Row],[PROVEEDOR]],"*"&amp;'Palabra que no opera y Listas d'!$A$2&amp;"*"))</f>
        <v>1</v>
      </c>
    </row>
    <row r="1136" spans="1:26" ht="27.75" customHeight="1" x14ac:dyDescent="0.25">
      <c r="A1136" s="141" t="str">
        <f>+IF(PROVEEDORES[[#This Row],[FECHA DE PAGO]]=PROVEEDORES[[#This Row],[FECHA DE FACTURACIÓN]],"DE CONTADO","CRÉDITO")</f>
        <v>CRÉDITO</v>
      </c>
      <c r="B1136" s="138" t="b">
        <f>+IF((PROVEEDORES[[#This Row],[FECHA DE PAGO]]-PROVEEDORES[[#This Row],[FECHA DE FACTURACIÓN]])&gt;PROVEEDORES[[#This Row],[PLAZO Días]],"PAGO VENCIDO")</f>
        <v>0</v>
      </c>
      <c r="C1136" s="138">
        <f>+VLOOKUP(PROVEEDORES[[#This Row],[PROVEEDOR]],TERCEROS_INFO[#All],2,FALSE)</f>
        <v>30</v>
      </c>
      <c r="D1136" s="139">
        <f>+SUMIFS(PROVEEDORES[Total],PROVEEDORES[PROVEEDOR],PROVEEDORES[[#This Row],[PROVEEDOR]],PROVEEDORES[FECHA DE PAGO],"")</f>
        <v>0</v>
      </c>
      <c r="E1136" s="140"/>
      <c r="F1136" s="138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136" s="127">
        <v>45303</v>
      </c>
      <c r="H1136" s="123" t="s">
        <v>1186</v>
      </c>
      <c r="I1136" s="127">
        <v>45302</v>
      </c>
      <c r="J1136" s="124" t="s">
        <v>1421</v>
      </c>
      <c r="K1136" s="124" t="s">
        <v>1530</v>
      </c>
      <c r="L1136" s="124"/>
      <c r="M1136" s="125">
        <v>1297479.67</v>
      </c>
      <c r="N1136" s="148">
        <v>246521.1373</v>
      </c>
      <c r="O1136" s="148">
        <v>0</v>
      </c>
      <c r="P1136" s="149">
        <v>2.5000000000000001E-2</v>
      </c>
      <c r="Q1136" s="148">
        <v>32436.991750000001</v>
      </c>
      <c r="R1136" s="150">
        <v>1511563.8155499999</v>
      </c>
      <c r="S11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6" s="135">
        <f ca="1">+IF(PROVEEDORES[[#This Row],[FECHA DE PAGO]]=0,TODAY()-PROVEEDORES[[#This Row],[FECHA DE FACTURACIÓN]]-PROVEEDORES[[#This Row],[PLAZO Días]],0)</f>
        <v>0</v>
      </c>
      <c r="U1136" s="135" t="str">
        <f>+VLOOKUP(PROVEEDORES[[#This Row],[PROVEEDOR]],Terceros!$A:$D,4,FALSE)</f>
        <v>2,5% con base</v>
      </c>
      <c r="V1136" s="135">
        <f>+YEAR(PROVEEDORES[[#This Row],[FECHA DE FACTURACIÓN]])</f>
        <v>2024</v>
      </c>
      <c r="W1136" s="135">
        <f>+MATCH(PROVEEDORES[[#This Row],[año facturado]],Retenciones!$1:$1,0)</f>
        <v>7</v>
      </c>
      <c r="X1136" s="136">
        <f>+VLOOKUP(PROVEEDORES[[#This Row],[ID RETENCION]],Retenciones!$A$1:$O$25,PROVEEDORES[[#This Row],[indicador de columna]],FALSE)</f>
        <v>1271000</v>
      </c>
      <c r="Y1136" s="137">
        <f>+VLOOKUP(PROVEEDORES[[#This Row],[ID RETENCION]],Retenciones!$A$1:$O$25,2,FALSE)</f>
        <v>2.5000000000000001E-2</v>
      </c>
      <c r="Z1136" s="126" t="b">
        <f>+OR(COUNTIF(PROVEEDORES[[#This Row],[PROVEEDOR]],"*"&amp;'Palabra que no opera y Listas d'!$A$2&amp;"*"))</f>
        <v>0</v>
      </c>
    </row>
    <row r="1137" spans="1:26" ht="27.75" customHeight="1" x14ac:dyDescent="0.25">
      <c r="A1137" s="141" t="str">
        <f>+IF(PROVEEDORES[[#This Row],[FECHA DE PAGO]]=PROVEEDORES[[#This Row],[FECHA DE FACTURACIÓN]],"DE CONTADO","CRÉDITO")</f>
        <v>DE CONTADO</v>
      </c>
      <c r="B1137" s="138" t="b">
        <f>+IF((PROVEEDORES[[#This Row],[FECHA DE PAGO]]-PROVEEDORES[[#This Row],[FECHA DE FACTURACIÓN]])&gt;PROVEEDORES[[#This Row],[PLAZO Días]],"PAGO VENCIDO")</f>
        <v>0</v>
      </c>
      <c r="C1137" s="138">
        <f>+VLOOKUP(PROVEEDORES[[#This Row],[PROVEEDOR]],TERCEROS_INFO[#All],2,FALSE)</f>
        <v>30</v>
      </c>
      <c r="D1137" s="139">
        <f>+SUMIFS(PROVEEDORES[Total],PROVEEDORES[PROVEEDOR],PROVEEDORES[[#This Row],[PROVEEDOR]],PROVEEDORES[FECHA DE PAGO],"")</f>
        <v>0</v>
      </c>
      <c r="E1137" s="140"/>
      <c r="F1137" s="138">
        <f>+VLOOKUP(PROVEEDORES[[#This Row],[PROVEEDOR]],
                       Terceros!$A:$F,
                       5,
                       FALSE)</f>
        <v>0</v>
      </c>
      <c r="G1137" s="127">
        <v>45303</v>
      </c>
      <c r="H1137" s="123" t="s">
        <v>387</v>
      </c>
      <c r="I1137" s="127">
        <v>45303</v>
      </c>
      <c r="J1137" s="124" t="s">
        <v>441</v>
      </c>
      <c r="K1137" s="124" t="s">
        <v>1530</v>
      </c>
      <c r="L1137" s="124"/>
      <c r="M1137" s="125">
        <v>129083</v>
      </c>
      <c r="N1137" s="148">
        <v>0</v>
      </c>
      <c r="O1137" s="148">
        <v>0</v>
      </c>
      <c r="P1137" s="149">
        <v>0</v>
      </c>
      <c r="Q1137" s="148">
        <v>0</v>
      </c>
      <c r="R1137" s="150">
        <v>129083</v>
      </c>
      <c r="S11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7" s="135">
        <f ca="1">+IF(PROVEEDORES[[#This Row],[FECHA DE PAGO]]=0,TODAY()-PROVEEDORES[[#This Row],[FECHA DE FACTURACIÓN]]-PROVEEDORES[[#This Row],[PLAZO Días]],0)</f>
        <v>0</v>
      </c>
      <c r="U1137" s="135">
        <f>+VLOOKUP(PROVEEDORES[[#This Row],[PROVEEDOR]],Terceros!$A:$D,4,FALSE)</f>
        <v>0</v>
      </c>
      <c r="V1137" s="135">
        <f>+YEAR(PROVEEDORES[[#This Row],[FECHA DE FACTURACIÓN]])</f>
        <v>2024</v>
      </c>
      <c r="W1137" s="135">
        <f>+MATCH(PROVEEDORES[[#This Row],[año facturado]],Retenciones!$1:$1,0)</f>
        <v>7</v>
      </c>
      <c r="X1137" s="136">
        <f>+VLOOKUP(PROVEEDORES[[#This Row],[ID RETENCION]],Retenciones!$A$1:$O$25,PROVEEDORES[[#This Row],[indicador de columna]],FALSE)</f>
        <v>0</v>
      </c>
      <c r="Y1137" s="137">
        <f>+VLOOKUP(PROVEEDORES[[#This Row],[ID RETENCION]],Retenciones!$A$1:$O$25,2,FALSE)</f>
        <v>0</v>
      </c>
      <c r="Z1137" s="126" t="b">
        <f>+OR(COUNTIF(PROVEEDORES[[#This Row],[PROVEEDOR]],"*"&amp;'Palabra que no opera y Listas d'!$A$2&amp;"*"))</f>
        <v>1</v>
      </c>
    </row>
    <row r="1138" spans="1:26" ht="27.75" customHeight="1" x14ac:dyDescent="0.25">
      <c r="A1138" s="141" t="str">
        <f>+IF(PROVEEDORES[[#This Row],[FECHA DE PAGO]]=PROVEEDORES[[#This Row],[FECHA DE FACTURACIÓN]],"DE CONTADO","CRÉDITO")</f>
        <v>CRÉDITO</v>
      </c>
      <c r="B1138" s="138" t="b">
        <f>+IF((PROVEEDORES[[#This Row],[FECHA DE PAGO]]-PROVEEDORES[[#This Row],[FECHA DE FACTURACIÓN]])&gt;PROVEEDORES[[#This Row],[PLAZO Días]],"PAGO VENCIDO")</f>
        <v>0</v>
      </c>
      <c r="C1138" s="138">
        <f>+VLOOKUP(PROVEEDORES[[#This Row],[PROVEEDOR]],TERCEROS_INFO[#All],2,FALSE)</f>
        <v>30</v>
      </c>
      <c r="D1138" s="139">
        <f>+SUMIFS(PROVEEDORES[Total],PROVEEDORES[PROVEEDOR],PROVEEDORES[[#This Row],[PROVEEDOR]],PROVEEDORES[FECHA DE PAGO],"")</f>
        <v>0</v>
      </c>
      <c r="E1138" s="140"/>
      <c r="F1138" s="138" t="str">
        <f>+VLOOKUP(PROVEEDORES[[#This Row],[PROVEEDOR]],
                       Terceros!$A:$F,
                       5,
                       FALSE)</f>
        <v/>
      </c>
      <c r="G1138" s="127">
        <v>45304</v>
      </c>
      <c r="H1138" s="123" t="s">
        <v>466</v>
      </c>
      <c r="I1138" s="127">
        <v>45289</v>
      </c>
      <c r="J1138" s="124" t="s">
        <v>1386</v>
      </c>
      <c r="K1138" s="124" t="s">
        <v>1530</v>
      </c>
      <c r="L1138" s="124"/>
      <c r="M1138" s="125">
        <v>759000</v>
      </c>
      <c r="N1138" s="148">
        <v>0</v>
      </c>
      <c r="O1138" s="148">
        <v>0</v>
      </c>
      <c r="P1138" s="149">
        <v>0</v>
      </c>
      <c r="Q1138" s="148">
        <v>0</v>
      </c>
      <c r="R1138" s="150">
        <v>759000</v>
      </c>
      <c r="S11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8" s="135">
        <f ca="1">+IF(PROVEEDORES[[#This Row],[FECHA DE PAGO]]=0,TODAY()-PROVEEDORES[[#This Row],[FECHA DE FACTURACIÓN]]-PROVEEDORES[[#This Row],[PLAZO Días]],0)</f>
        <v>0</v>
      </c>
      <c r="U1138" s="135">
        <f>+VLOOKUP(PROVEEDORES[[#This Row],[PROVEEDOR]],Terceros!$A:$D,4,FALSE)</f>
        <v>0</v>
      </c>
      <c r="V1138" s="135">
        <f>+YEAR(PROVEEDORES[[#This Row],[FECHA DE FACTURACIÓN]])</f>
        <v>2023</v>
      </c>
      <c r="W1138" s="135">
        <f>+MATCH(PROVEEDORES[[#This Row],[año facturado]],Retenciones!$1:$1,0)</f>
        <v>6</v>
      </c>
      <c r="X1138" s="136">
        <f>+VLOOKUP(PROVEEDORES[[#This Row],[ID RETENCION]],Retenciones!$A$1:$O$25,PROVEEDORES[[#This Row],[indicador de columna]],FALSE)</f>
        <v>0</v>
      </c>
      <c r="Y1138" s="137">
        <f>+VLOOKUP(PROVEEDORES[[#This Row],[ID RETENCION]],Retenciones!$A$1:$O$25,2,FALSE)</f>
        <v>0</v>
      </c>
      <c r="Z1138" s="126" t="b">
        <f>+OR(COUNTIF(PROVEEDORES[[#This Row],[PROVEEDOR]],"*"&amp;'Palabra que no opera y Listas d'!$A$2&amp;"*"))</f>
        <v>0</v>
      </c>
    </row>
    <row r="1139" spans="1:26" ht="27.75" customHeight="1" x14ac:dyDescent="0.25">
      <c r="A1139" s="141" t="str">
        <f>+IF(PROVEEDORES[[#This Row],[FECHA DE PAGO]]=PROVEEDORES[[#This Row],[FECHA DE FACTURACIÓN]],"DE CONTADO","CRÉDITO")</f>
        <v>DE CONTADO</v>
      </c>
      <c r="B1139" s="138" t="b">
        <f>+IF((PROVEEDORES[[#This Row],[FECHA DE PAGO]]-PROVEEDORES[[#This Row],[FECHA DE FACTURACIÓN]])&gt;PROVEEDORES[[#This Row],[PLAZO Días]],"PAGO VENCIDO")</f>
        <v>0</v>
      </c>
      <c r="C1139" s="138">
        <f>+VLOOKUP(PROVEEDORES[[#This Row],[PROVEEDOR]],TERCEROS_INFO[#All],2,FALSE)</f>
        <v>30</v>
      </c>
      <c r="D1139" s="139">
        <f>+SUMIFS(PROVEEDORES[Total],PROVEEDORES[PROVEEDOR],PROVEEDORES[[#This Row],[PROVEEDOR]],PROVEEDORES[FECHA DE PAGO],"")</f>
        <v>1350000</v>
      </c>
      <c r="E1139" s="140"/>
      <c r="F1139" s="138" t="str">
        <f>+VLOOKUP(PROVEEDORES[[#This Row],[PROVEEDOR]],
                       Terceros!$A:$F,
                       5,
                       FALSE)</f>
        <v/>
      </c>
      <c r="G1139" s="127">
        <v>45304</v>
      </c>
      <c r="H1139" s="123" t="s">
        <v>1807</v>
      </c>
      <c r="I1139" s="127">
        <v>45304</v>
      </c>
      <c r="J1139" s="124" t="s">
        <v>1443</v>
      </c>
      <c r="K1139" s="124" t="s">
        <v>1530</v>
      </c>
      <c r="L1139" s="124"/>
      <c r="M1139" s="125">
        <v>720000</v>
      </c>
      <c r="N1139" s="148">
        <v>0</v>
      </c>
      <c r="O1139" s="148">
        <v>0</v>
      </c>
      <c r="P1139" s="149">
        <v>0</v>
      </c>
      <c r="Q1139" s="148">
        <v>0</v>
      </c>
      <c r="R1139" s="150">
        <v>720000</v>
      </c>
      <c r="S11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39" s="135">
        <f ca="1">+IF(PROVEEDORES[[#This Row],[FECHA DE PAGO]]=0,TODAY()-PROVEEDORES[[#This Row],[FECHA DE FACTURACIÓN]]-PROVEEDORES[[#This Row],[PLAZO Días]],0)</f>
        <v>0</v>
      </c>
      <c r="U1139" s="135">
        <f>+VLOOKUP(PROVEEDORES[[#This Row],[PROVEEDOR]],Terceros!$A:$D,4,FALSE)</f>
        <v>0</v>
      </c>
      <c r="V1139" s="135">
        <f>+YEAR(PROVEEDORES[[#This Row],[FECHA DE FACTURACIÓN]])</f>
        <v>2024</v>
      </c>
      <c r="W1139" s="135">
        <f>+MATCH(PROVEEDORES[[#This Row],[año facturado]],Retenciones!$1:$1,0)</f>
        <v>7</v>
      </c>
      <c r="X1139" s="136">
        <f>+VLOOKUP(PROVEEDORES[[#This Row],[ID RETENCION]],Retenciones!$A$1:$O$25,PROVEEDORES[[#This Row],[indicador de columna]],FALSE)</f>
        <v>0</v>
      </c>
      <c r="Y1139" s="137">
        <f>+VLOOKUP(PROVEEDORES[[#This Row],[ID RETENCION]],Retenciones!$A$1:$O$25,2,FALSE)</f>
        <v>0</v>
      </c>
      <c r="Z1139" s="126" t="b">
        <f>+OR(COUNTIF(PROVEEDORES[[#This Row],[PROVEEDOR]],"*"&amp;'Palabra que no opera y Listas d'!$A$2&amp;"*"))</f>
        <v>0</v>
      </c>
    </row>
    <row r="1140" spans="1:26" ht="27.75" customHeight="1" x14ac:dyDescent="0.25">
      <c r="A1140" s="141" t="str">
        <f>+IF(PROVEEDORES[[#This Row],[FECHA DE PAGO]]=PROVEEDORES[[#This Row],[FECHA DE FACTURACIÓN]],"DE CONTADO","CRÉDITO")</f>
        <v>DE CONTADO</v>
      </c>
      <c r="B1140" s="138" t="b">
        <f>+IF((PROVEEDORES[[#This Row],[FECHA DE PAGO]]-PROVEEDORES[[#This Row],[FECHA DE FACTURACIÓN]])&gt;PROVEEDORES[[#This Row],[PLAZO Días]],"PAGO VENCIDO")</f>
        <v>0</v>
      </c>
      <c r="C1140" s="138">
        <f>+VLOOKUP(PROVEEDORES[[#This Row],[PROVEEDOR]],TERCEROS_INFO[#All],2,FALSE)</f>
        <v>30</v>
      </c>
      <c r="D1140" s="139">
        <f>+SUMIFS(PROVEEDORES[Total],PROVEEDORES[PROVEEDOR],PROVEEDORES[[#This Row],[PROVEEDOR]],PROVEEDORES[FECHA DE PAGO],"")</f>
        <v>0</v>
      </c>
      <c r="E1140" s="140"/>
      <c r="F1140" s="138" t="str">
        <f>+VLOOKUP(PROVEEDORES[[#This Row],[PROVEEDOR]],
                       Terceros!$A:$F,
                       5,
                       FALSE)</f>
        <v/>
      </c>
      <c r="G1140" s="127">
        <v>45306</v>
      </c>
      <c r="H1140" s="123" t="s">
        <v>525</v>
      </c>
      <c r="I1140" s="127">
        <v>45306</v>
      </c>
      <c r="J1140" s="124" t="s">
        <v>1445</v>
      </c>
      <c r="K1140" s="124" t="s">
        <v>1530</v>
      </c>
      <c r="L1140" s="124"/>
      <c r="M1140" s="125">
        <v>462000</v>
      </c>
      <c r="N1140" s="148">
        <v>0</v>
      </c>
      <c r="O1140" s="148">
        <v>0</v>
      </c>
      <c r="P1140" s="149">
        <v>0</v>
      </c>
      <c r="Q1140" s="148">
        <v>0</v>
      </c>
      <c r="R1140" s="150">
        <v>462000</v>
      </c>
      <c r="S11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0" s="135">
        <f ca="1">+IF(PROVEEDORES[[#This Row],[FECHA DE PAGO]]=0,TODAY()-PROVEEDORES[[#This Row],[FECHA DE FACTURACIÓN]]-PROVEEDORES[[#This Row],[PLAZO Días]],0)</f>
        <v>0</v>
      </c>
      <c r="U1140" s="135">
        <f>+VLOOKUP(PROVEEDORES[[#This Row],[PROVEEDOR]],Terceros!$A:$D,4,FALSE)</f>
        <v>0</v>
      </c>
      <c r="V1140" s="135">
        <f>+YEAR(PROVEEDORES[[#This Row],[FECHA DE FACTURACIÓN]])</f>
        <v>2024</v>
      </c>
      <c r="W1140" s="135">
        <f>+MATCH(PROVEEDORES[[#This Row],[año facturado]],Retenciones!$1:$1,0)</f>
        <v>7</v>
      </c>
      <c r="X1140" s="136">
        <f>+VLOOKUP(PROVEEDORES[[#This Row],[ID RETENCION]],Retenciones!$A$1:$O$25,PROVEEDORES[[#This Row],[indicador de columna]],FALSE)</f>
        <v>0</v>
      </c>
      <c r="Y1140" s="137">
        <f>+VLOOKUP(PROVEEDORES[[#This Row],[ID RETENCION]],Retenciones!$A$1:$O$25,2,FALSE)</f>
        <v>0</v>
      </c>
      <c r="Z1140" s="126" t="b">
        <f>+OR(COUNTIF(PROVEEDORES[[#This Row],[PROVEEDOR]],"*"&amp;'Palabra que no opera y Listas d'!$A$2&amp;"*"))</f>
        <v>0</v>
      </c>
    </row>
    <row r="1141" spans="1:26" ht="27.75" customHeight="1" x14ac:dyDescent="0.25">
      <c r="A1141" s="141" t="str">
        <f>+IF(PROVEEDORES[[#This Row],[FECHA DE PAGO]]=PROVEEDORES[[#This Row],[FECHA DE FACTURACIÓN]],"DE CONTADO","CRÉDITO")</f>
        <v>DE CONTADO</v>
      </c>
      <c r="B1141" s="138" t="b">
        <f>+IF((PROVEEDORES[[#This Row],[FECHA DE PAGO]]-PROVEEDORES[[#This Row],[FECHA DE FACTURACIÓN]])&gt;PROVEEDORES[[#This Row],[PLAZO Días]],"PAGO VENCIDO")</f>
        <v>0</v>
      </c>
      <c r="C1141" s="138">
        <f>+VLOOKUP(PROVEEDORES[[#This Row],[PROVEEDOR]],TERCEROS_INFO[#All],2,FALSE)</f>
        <v>30</v>
      </c>
      <c r="D1141" s="139">
        <f>+SUMIFS(PROVEEDORES[Total],PROVEEDORES[PROVEEDOR],PROVEEDORES[[#This Row],[PROVEEDOR]],PROVEEDORES[FECHA DE PAGO],"")</f>
        <v>0</v>
      </c>
      <c r="E1141" s="140"/>
      <c r="F1141" s="138" t="str">
        <f>+VLOOKUP(PROVEEDORES[[#This Row],[PROVEEDOR]],
                       Terceros!$A:$F,
                       5,
                       FALSE)</f>
        <v/>
      </c>
      <c r="G1141" s="127">
        <v>45306</v>
      </c>
      <c r="H1141" s="123" t="s">
        <v>1824</v>
      </c>
      <c r="I1141" s="127">
        <v>45306</v>
      </c>
      <c r="J1141" s="124"/>
      <c r="K1141" s="124" t="s">
        <v>1530</v>
      </c>
      <c r="L1141" s="124"/>
      <c r="M1141" s="125">
        <v>1000000</v>
      </c>
      <c r="N1141" s="148">
        <v>0</v>
      </c>
      <c r="O1141" s="148">
        <v>0</v>
      </c>
      <c r="P1141" s="149">
        <v>0</v>
      </c>
      <c r="Q1141" s="148">
        <v>0</v>
      </c>
      <c r="R1141" s="150">
        <v>1000000</v>
      </c>
      <c r="S11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1" s="135">
        <f ca="1">+IF(PROVEEDORES[[#This Row],[FECHA DE PAGO]]=0,TODAY()-PROVEEDORES[[#This Row],[FECHA DE FACTURACIÓN]]-PROVEEDORES[[#This Row],[PLAZO Días]],0)</f>
        <v>0</v>
      </c>
      <c r="U1141" s="135">
        <f>+VLOOKUP(PROVEEDORES[[#This Row],[PROVEEDOR]],Terceros!$A:$D,4,FALSE)</f>
        <v>0</v>
      </c>
      <c r="V1141" s="135">
        <f>+YEAR(PROVEEDORES[[#This Row],[FECHA DE FACTURACIÓN]])</f>
        <v>2024</v>
      </c>
      <c r="W1141" s="135">
        <f>+MATCH(PROVEEDORES[[#This Row],[año facturado]],Retenciones!$1:$1,0)</f>
        <v>7</v>
      </c>
      <c r="X1141" s="136">
        <f>+VLOOKUP(PROVEEDORES[[#This Row],[ID RETENCION]],Retenciones!$A$1:$O$25,PROVEEDORES[[#This Row],[indicador de columna]],FALSE)</f>
        <v>0</v>
      </c>
      <c r="Y1141" s="137">
        <f>+VLOOKUP(PROVEEDORES[[#This Row],[ID RETENCION]],Retenciones!$A$1:$O$25,2,FALSE)</f>
        <v>0</v>
      </c>
      <c r="Z1141" s="126" t="b">
        <f>+OR(COUNTIF(PROVEEDORES[[#This Row],[PROVEEDOR]],"*"&amp;'Palabra que no opera y Listas d'!$A$2&amp;"*"))</f>
        <v>0</v>
      </c>
    </row>
    <row r="1142" spans="1:26" ht="27.75" customHeight="1" x14ac:dyDescent="0.25">
      <c r="A1142" s="141" t="str">
        <f>+IF(PROVEEDORES[[#This Row],[FECHA DE PAGO]]=PROVEEDORES[[#This Row],[FECHA DE FACTURACIÓN]],"DE CONTADO","CRÉDITO")</f>
        <v>CRÉDITO</v>
      </c>
      <c r="B1142" s="138" t="b">
        <f>+IF((PROVEEDORES[[#This Row],[FECHA DE PAGO]]-PROVEEDORES[[#This Row],[FECHA DE FACTURACIÓN]])&gt;PROVEEDORES[[#This Row],[PLAZO Días]],"PAGO VENCIDO")</f>
        <v>0</v>
      </c>
      <c r="C1142" s="138">
        <f>+VLOOKUP(PROVEEDORES[[#This Row],[PROVEEDOR]],TERCEROS_INFO[#All],2,FALSE)</f>
        <v>30</v>
      </c>
      <c r="D1142" s="139">
        <f>+SUMIFS(PROVEEDORES[Total],PROVEEDORES[PROVEEDOR],PROVEEDORES[[#This Row],[PROVEEDOR]],PROVEEDORES[FECHA DE PAGO],"")</f>
        <v>0</v>
      </c>
      <c r="E1142" s="140"/>
      <c r="F1142" s="138" t="str">
        <f>+VLOOKUP(PROVEEDORES[[#This Row],[PROVEEDOR]],
                       Terceros!$A:$F,
                       5,
                       FALSE)</f>
        <v/>
      </c>
      <c r="G1142" s="127">
        <v>45306</v>
      </c>
      <c r="H1142" s="123" t="s">
        <v>481</v>
      </c>
      <c r="I1142" s="127">
        <v>45307</v>
      </c>
      <c r="J1142" s="124" t="s">
        <v>1439</v>
      </c>
      <c r="K1142" s="124" t="s">
        <v>1530</v>
      </c>
      <c r="L1142" s="124"/>
      <c r="M1142" s="125">
        <v>2717000</v>
      </c>
      <c r="N1142" s="148">
        <v>0</v>
      </c>
      <c r="O1142" s="148">
        <v>0</v>
      </c>
      <c r="P1142" s="149">
        <v>0</v>
      </c>
      <c r="Q1142" s="148">
        <v>0</v>
      </c>
      <c r="R1142" s="150">
        <v>2717000</v>
      </c>
      <c r="S11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2" s="135">
        <f ca="1">+IF(PROVEEDORES[[#This Row],[FECHA DE PAGO]]=0,TODAY()-PROVEEDORES[[#This Row],[FECHA DE FACTURACIÓN]]-PROVEEDORES[[#This Row],[PLAZO Días]],0)</f>
        <v>0</v>
      </c>
      <c r="U1142" s="135">
        <f>+VLOOKUP(PROVEEDORES[[#This Row],[PROVEEDOR]],Terceros!$A:$D,4,FALSE)</f>
        <v>0</v>
      </c>
      <c r="V1142" s="135">
        <f>+YEAR(PROVEEDORES[[#This Row],[FECHA DE FACTURACIÓN]])</f>
        <v>2024</v>
      </c>
      <c r="W1142" s="135">
        <f>+MATCH(PROVEEDORES[[#This Row],[año facturado]],Retenciones!$1:$1,0)</f>
        <v>7</v>
      </c>
      <c r="X1142" s="136">
        <f>+VLOOKUP(PROVEEDORES[[#This Row],[ID RETENCION]],Retenciones!$A$1:$O$25,PROVEEDORES[[#This Row],[indicador de columna]],FALSE)</f>
        <v>0</v>
      </c>
      <c r="Y1142" s="137">
        <f>+VLOOKUP(PROVEEDORES[[#This Row],[ID RETENCION]],Retenciones!$A$1:$O$25,2,FALSE)</f>
        <v>0</v>
      </c>
      <c r="Z1142" s="126" t="b">
        <f>+OR(COUNTIF(PROVEEDORES[[#This Row],[PROVEEDOR]],"*"&amp;'Palabra que no opera y Listas d'!$A$2&amp;"*"))</f>
        <v>0</v>
      </c>
    </row>
    <row r="1143" spans="1:26" ht="27.75" customHeight="1" x14ac:dyDescent="0.25">
      <c r="A1143" s="141" t="str">
        <f>+IF(PROVEEDORES[[#This Row],[FECHA DE PAGO]]=PROVEEDORES[[#This Row],[FECHA DE FACTURACIÓN]],"DE CONTADO","CRÉDITO")</f>
        <v>CRÉDITO</v>
      </c>
      <c r="B1143" s="138" t="str">
        <f>+IF((PROVEEDORES[[#This Row],[FECHA DE PAGO]]-PROVEEDORES[[#This Row],[FECHA DE FACTURACIÓN]])&gt;PROVEEDORES[[#This Row],[PLAZO Días]],"PAGO VENCIDO")</f>
        <v>PAGO VENCIDO</v>
      </c>
      <c r="C1143" s="138">
        <f>+VLOOKUP(PROVEEDORES[[#This Row],[PROVEEDOR]],TERCEROS_INFO[#All],2,FALSE)</f>
        <v>30</v>
      </c>
      <c r="D1143" s="139">
        <f>+SUMIFS(PROVEEDORES[Total],PROVEEDORES[PROVEEDOR],PROVEEDORES[[#This Row],[PROVEEDOR]],PROVEEDORES[FECHA DE PAGO],"")</f>
        <v>1776037.21</v>
      </c>
      <c r="E1143" s="140"/>
      <c r="F1143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143" s="127">
        <v>45307</v>
      </c>
      <c r="H1143" s="123" t="s">
        <v>17</v>
      </c>
      <c r="I1143" s="127">
        <v>45231</v>
      </c>
      <c r="J1143" s="124" t="s">
        <v>1428</v>
      </c>
      <c r="K1143" s="124" t="s">
        <v>1530</v>
      </c>
      <c r="L1143" s="124"/>
      <c r="M1143" s="125">
        <v>138397.19</v>
      </c>
      <c r="N1143" s="148">
        <v>26295.466100000001</v>
      </c>
      <c r="O1143" s="148">
        <v>0</v>
      </c>
      <c r="P1143" s="149">
        <v>0</v>
      </c>
      <c r="Q1143" s="148">
        <v>0</v>
      </c>
      <c r="R1143" s="150">
        <v>164692.65609999999</v>
      </c>
      <c r="S11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3" s="135">
        <f ca="1">+IF(PROVEEDORES[[#This Row],[FECHA DE PAGO]]=0,TODAY()-PROVEEDORES[[#This Row],[FECHA DE FACTURACIÓN]]-PROVEEDORES[[#This Row],[PLAZO Días]],0)</f>
        <v>0</v>
      </c>
      <c r="U1143" s="135">
        <f>+VLOOKUP(PROVEEDORES[[#This Row],[PROVEEDOR]],Terceros!$A:$D,4,FALSE)</f>
        <v>0</v>
      </c>
      <c r="V1143" s="135">
        <f>+YEAR(PROVEEDORES[[#This Row],[FECHA DE FACTURACIÓN]])</f>
        <v>2023</v>
      </c>
      <c r="W1143" s="135">
        <f>+MATCH(PROVEEDORES[[#This Row],[año facturado]],Retenciones!$1:$1,0)</f>
        <v>6</v>
      </c>
      <c r="X1143" s="136">
        <f>+VLOOKUP(PROVEEDORES[[#This Row],[ID RETENCION]],Retenciones!$A$1:$O$25,PROVEEDORES[[#This Row],[indicador de columna]],FALSE)</f>
        <v>0</v>
      </c>
      <c r="Y1143" s="137">
        <f>+VLOOKUP(PROVEEDORES[[#This Row],[ID RETENCION]],Retenciones!$A$1:$O$25,2,FALSE)</f>
        <v>0</v>
      </c>
      <c r="Z1143" s="126" t="b">
        <f>+OR(COUNTIF(PROVEEDORES[[#This Row],[PROVEEDOR]],"*"&amp;'Palabra que no opera y Listas d'!$A$2&amp;"*"))</f>
        <v>0</v>
      </c>
    </row>
    <row r="1144" spans="1:26" ht="27.75" customHeight="1" x14ac:dyDescent="0.25">
      <c r="A1144" s="141" t="str">
        <f>+IF(PROVEEDORES[[#This Row],[FECHA DE PAGO]]=PROVEEDORES[[#This Row],[FECHA DE FACTURACIÓN]],"DE CONTADO","CRÉDITO")</f>
        <v>CRÉDITO</v>
      </c>
      <c r="B1144" s="138" t="b">
        <f>+IF((PROVEEDORES[[#This Row],[FECHA DE PAGO]]-PROVEEDORES[[#This Row],[FECHA DE FACTURACIÓN]])&gt;PROVEEDORES[[#This Row],[PLAZO Días]],"PAGO VENCIDO")</f>
        <v>0</v>
      </c>
      <c r="C1144" s="138">
        <f>+VLOOKUP(PROVEEDORES[[#This Row],[PROVEEDOR]],TERCEROS_INFO[#All],2,FALSE)</f>
        <v>30</v>
      </c>
      <c r="D1144" s="139">
        <f>+SUMIFS(PROVEEDORES[Total],PROVEEDORES[PROVEEDOR],PROVEEDORES[[#This Row],[PROVEEDOR]],PROVEEDORES[FECHA DE PAGO],"")</f>
        <v>1776037.21</v>
      </c>
      <c r="E1144" s="140"/>
      <c r="F1144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144" s="127">
        <v>45307</v>
      </c>
      <c r="H1144" s="123" t="s">
        <v>17</v>
      </c>
      <c r="I1144" s="127">
        <v>45279</v>
      </c>
      <c r="J1144" s="124" t="s">
        <v>1354</v>
      </c>
      <c r="K1144" s="124" t="s">
        <v>1530</v>
      </c>
      <c r="L1144" s="124"/>
      <c r="M1144" s="125">
        <v>1106631</v>
      </c>
      <c r="N1144" s="148">
        <v>210259.89</v>
      </c>
      <c r="O1144" s="148">
        <v>0</v>
      </c>
      <c r="P1144" s="149">
        <v>0</v>
      </c>
      <c r="Q1144" s="148">
        <v>0</v>
      </c>
      <c r="R1144" s="150">
        <v>1316890.8900000001</v>
      </c>
      <c r="S11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4" s="135">
        <f ca="1">+IF(PROVEEDORES[[#This Row],[FECHA DE PAGO]]=0,TODAY()-PROVEEDORES[[#This Row],[FECHA DE FACTURACIÓN]]-PROVEEDORES[[#This Row],[PLAZO Días]],0)</f>
        <v>0</v>
      </c>
      <c r="U1144" s="135">
        <f>+VLOOKUP(PROVEEDORES[[#This Row],[PROVEEDOR]],Terceros!$A:$D,4,FALSE)</f>
        <v>0</v>
      </c>
      <c r="V1144" s="135">
        <f>+YEAR(PROVEEDORES[[#This Row],[FECHA DE FACTURACIÓN]])</f>
        <v>2023</v>
      </c>
      <c r="W1144" s="135">
        <f>+MATCH(PROVEEDORES[[#This Row],[año facturado]],Retenciones!$1:$1,0)</f>
        <v>6</v>
      </c>
      <c r="X1144" s="136">
        <f>+VLOOKUP(PROVEEDORES[[#This Row],[ID RETENCION]],Retenciones!$A$1:$O$25,PROVEEDORES[[#This Row],[indicador de columna]],FALSE)</f>
        <v>0</v>
      </c>
      <c r="Y1144" s="137">
        <f>+VLOOKUP(PROVEEDORES[[#This Row],[ID RETENCION]],Retenciones!$A$1:$O$25,2,FALSE)</f>
        <v>0</v>
      </c>
      <c r="Z1144" s="126" t="b">
        <f>+OR(COUNTIF(PROVEEDORES[[#This Row],[PROVEEDOR]],"*"&amp;'Palabra que no opera y Listas d'!$A$2&amp;"*"))</f>
        <v>0</v>
      </c>
    </row>
    <row r="1145" spans="1:26" ht="27.75" customHeight="1" x14ac:dyDescent="0.25">
      <c r="A1145" s="141" t="str">
        <f>+IF(PROVEEDORES[[#This Row],[FECHA DE PAGO]]=PROVEEDORES[[#This Row],[FECHA DE FACTURACIÓN]],"DE CONTADO","CRÉDITO")</f>
        <v>CRÉDITO</v>
      </c>
      <c r="B1145" s="138" t="b">
        <f>+IF((PROVEEDORES[[#This Row],[FECHA DE PAGO]]-PROVEEDORES[[#This Row],[FECHA DE FACTURACIÓN]])&gt;PROVEEDORES[[#This Row],[PLAZO Días]],"PAGO VENCIDO")</f>
        <v>0</v>
      </c>
      <c r="C1145" s="138">
        <f>+VLOOKUP(PROVEEDORES[[#This Row],[PROVEEDOR]],TERCEROS_INFO[#All],2,FALSE)</f>
        <v>30</v>
      </c>
      <c r="D1145" s="139">
        <f>+SUMIFS(PROVEEDORES[Total],PROVEEDORES[PROVEEDOR],PROVEEDORES[[#This Row],[PROVEEDOR]],PROVEEDORES[FECHA DE PAGO],"")</f>
        <v>0</v>
      </c>
      <c r="E1145" s="140"/>
      <c r="F1145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145" s="127">
        <v>45307</v>
      </c>
      <c r="H1145" s="123" t="s">
        <v>368</v>
      </c>
      <c r="I1145" s="127">
        <v>45292</v>
      </c>
      <c r="J1145" s="124" t="s">
        <v>1423</v>
      </c>
      <c r="K1145" s="124" t="s">
        <v>1530</v>
      </c>
      <c r="L1145" s="124"/>
      <c r="M1145" s="125">
        <v>992451</v>
      </c>
      <c r="N1145" s="148">
        <v>188565.69</v>
      </c>
      <c r="O1145" s="148">
        <v>0</v>
      </c>
      <c r="P1145" s="149">
        <v>0.04</v>
      </c>
      <c r="Q1145" s="148">
        <v>39698.04</v>
      </c>
      <c r="R1145" s="150">
        <v>1141318.6499999999</v>
      </c>
      <c r="S11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5" s="135">
        <f ca="1">+IF(PROVEEDORES[[#This Row],[FECHA DE PAGO]]=0,TODAY()-PROVEEDORES[[#This Row],[FECHA DE FACTURACIÓN]]-PROVEEDORES[[#This Row],[PLAZO Días]],0)</f>
        <v>0</v>
      </c>
      <c r="U1145" s="135">
        <f>+VLOOKUP(PROVEEDORES[[#This Row],[PROVEEDOR]],Terceros!$A:$D,4,FALSE)</f>
        <v>0</v>
      </c>
      <c r="V1145" s="135">
        <f>+YEAR(PROVEEDORES[[#This Row],[FECHA DE FACTURACIÓN]])</f>
        <v>2024</v>
      </c>
      <c r="W1145" s="135">
        <f>+MATCH(PROVEEDORES[[#This Row],[año facturado]],Retenciones!$1:$1,0)</f>
        <v>7</v>
      </c>
      <c r="X1145" s="136">
        <f>+VLOOKUP(PROVEEDORES[[#This Row],[ID RETENCION]],Retenciones!$A$1:$O$25,PROVEEDORES[[#This Row],[indicador de columna]],FALSE)</f>
        <v>0</v>
      </c>
      <c r="Y1145" s="137">
        <f>+VLOOKUP(PROVEEDORES[[#This Row],[ID RETENCION]],Retenciones!$A$1:$O$25,2,FALSE)</f>
        <v>0</v>
      </c>
      <c r="Z1145" s="126" t="b">
        <f>+OR(COUNTIF(PROVEEDORES[[#This Row],[PROVEEDOR]],"*"&amp;'Palabra que no opera y Listas d'!$A$2&amp;"*"))</f>
        <v>1</v>
      </c>
    </row>
    <row r="1146" spans="1:26" ht="27.75" customHeight="1" x14ac:dyDescent="0.25">
      <c r="A1146" s="141" t="str">
        <f>+IF(PROVEEDORES[[#This Row],[FECHA DE PAGO]]=PROVEEDORES[[#This Row],[FECHA DE FACTURACIÓN]],"DE CONTADO","CRÉDITO")</f>
        <v>CRÉDITO</v>
      </c>
      <c r="B1146" s="138" t="b">
        <f>+IF((PROVEEDORES[[#This Row],[FECHA DE PAGO]]-PROVEEDORES[[#This Row],[FECHA DE FACTURACIÓN]])&gt;PROVEEDORES[[#This Row],[PLAZO Días]],"PAGO VENCIDO")</f>
        <v>0</v>
      </c>
      <c r="C1146" s="138">
        <f>+VLOOKUP(PROVEEDORES[[#This Row],[PROVEEDOR]],TERCEROS_INFO[#All],2,FALSE)</f>
        <v>30</v>
      </c>
      <c r="D1146" s="139">
        <f>+SUMIFS(PROVEEDORES[Total],PROVEEDORES[PROVEEDOR],PROVEEDORES[[#This Row],[PROVEEDOR]],PROVEEDORES[FECHA DE PAGO],"")</f>
        <v>0</v>
      </c>
      <c r="E1146" s="140"/>
      <c r="F1146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1146" s="127">
        <v>45307</v>
      </c>
      <c r="H1146" s="123" t="s">
        <v>373</v>
      </c>
      <c r="I1146" s="127">
        <v>45292</v>
      </c>
      <c r="J1146" s="124" t="s">
        <v>1425</v>
      </c>
      <c r="K1146" s="124" t="s">
        <v>1530</v>
      </c>
      <c r="L1146" s="124"/>
      <c r="M1146" s="125">
        <v>2202761</v>
      </c>
      <c r="N1146" s="148">
        <v>0</v>
      </c>
      <c r="O1146" s="148">
        <v>0</v>
      </c>
      <c r="P1146" s="149">
        <v>0</v>
      </c>
      <c r="Q1146" s="148">
        <v>0</v>
      </c>
      <c r="R1146" s="150">
        <v>2202761</v>
      </c>
      <c r="S11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6" s="135">
        <f ca="1">+IF(PROVEEDORES[[#This Row],[FECHA DE PAGO]]=0,TODAY()-PROVEEDORES[[#This Row],[FECHA DE FACTURACIÓN]]-PROVEEDORES[[#This Row],[PLAZO Días]],0)</f>
        <v>0</v>
      </c>
      <c r="U1146" s="135">
        <f>+VLOOKUP(PROVEEDORES[[#This Row],[PROVEEDOR]],Terceros!$A:$D,4,FALSE)</f>
        <v>0</v>
      </c>
      <c r="V1146" s="135">
        <f>+YEAR(PROVEEDORES[[#This Row],[FECHA DE FACTURACIÓN]])</f>
        <v>2024</v>
      </c>
      <c r="W1146" s="135">
        <f>+MATCH(PROVEEDORES[[#This Row],[año facturado]],Retenciones!$1:$1,0)</f>
        <v>7</v>
      </c>
      <c r="X1146" s="136">
        <f>+VLOOKUP(PROVEEDORES[[#This Row],[ID RETENCION]],Retenciones!$A$1:$O$25,PROVEEDORES[[#This Row],[indicador de columna]],FALSE)</f>
        <v>0</v>
      </c>
      <c r="Y1146" s="137">
        <f>+VLOOKUP(PROVEEDORES[[#This Row],[ID RETENCION]],Retenciones!$A$1:$O$25,2,FALSE)</f>
        <v>0</v>
      </c>
      <c r="Z1146" s="126" t="b">
        <f>+OR(COUNTIF(PROVEEDORES[[#This Row],[PROVEEDOR]],"*"&amp;'Palabra que no opera y Listas d'!$A$2&amp;"*"))</f>
        <v>1</v>
      </c>
    </row>
    <row r="1147" spans="1:26" ht="27.75" customHeight="1" x14ac:dyDescent="0.25">
      <c r="A1147" s="141" t="str">
        <f>+IF(PROVEEDORES[[#This Row],[FECHA DE PAGO]]=PROVEEDORES[[#This Row],[FECHA DE FACTURACIÓN]],"DE CONTADO","CRÉDITO")</f>
        <v>CRÉDITO</v>
      </c>
      <c r="B1147" s="138" t="b">
        <f>+IF((PROVEEDORES[[#This Row],[FECHA DE PAGO]]-PROVEEDORES[[#This Row],[FECHA DE FACTURACIÓN]])&gt;PROVEEDORES[[#This Row],[PLAZO Días]],"PAGO VENCIDO")</f>
        <v>0</v>
      </c>
      <c r="C1147" s="138">
        <f>+VLOOKUP(PROVEEDORES[[#This Row],[PROVEEDOR]],TERCEROS_INFO[#All],2,FALSE)</f>
        <v>30</v>
      </c>
      <c r="D1147" s="139">
        <f>+SUMIFS(PROVEEDORES[Total],PROVEEDORES[PROVEEDOR],PROVEEDORES[[#This Row],[PROVEEDOR]],PROVEEDORES[FECHA DE PAGO],"")</f>
        <v>0</v>
      </c>
      <c r="E1147" s="140"/>
      <c r="F1147" s="138" t="str">
        <f>+VLOOKUP(PROVEEDORES[[#This Row],[PROVEEDOR]],
                       Terceros!$A:$F,
                       5,
                       FALSE)</f>
        <v>facturacion@losmolinos.com.co</v>
      </c>
      <c r="G1147" s="127">
        <v>45307</v>
      </c>
      <c r="H1147" s="123" t="s">
        <v>376</v>
      </c>
      <c r="I1147" s="127">
        <v>45292</v>
      </c>
      <c r="J1147" s="124" t="s">
        <v>1399</v>
      </c>
      <c r="K1147" s="124" t="s">
        <v>1530</v>
      </c>
      <c r="L1147" s="124"/>
      <c r="M1147" s="125">
        <v>363203</v>
      </c>
      <c r="N1147" s="148">
        <v>0</v>
      </c>
      <c r="O1147" s="148">
        <v>0</v>
      </c>
      <c r="P1147" s="149">
        <v>0</v>
      </c>
      <c r="Q1147" s="148">
        <v>0</v>
      </c>
      <c r="R1147" s="150">
        <v>363203</v>
      </c>
      <c r="S11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7" s="135">
        <f ca="1">+IF(PROVEEDORES[[#This Row],[FECHA DE PAGO]]=0,TODAY()-PROVEEDORES[[#This Row],[FECHA DE FACTURACIÓN]]-PROVEEDORES[[#This Row],[PLAZO Días]],0)</f>
        <v>0</v>
      </c>
      <c r="U1147" s="135">
        <f>+VLOOKUP(PROVEEDORES[[#This Row],[PROVEEDOR]],Terceros!$A:$D,4,FALSE)</f>
        <v>0</v>
      </c>
      <c r="V1147" s="135">
        <f>+YEAR(PROVEEDORES[[#This Row],[FECHA DE FACTURACIÓN]])</f>
        <v>2024</v>
      </c>
      <c r="W1147" s="135">
        <f>+MATCH(PROVEEDORES[[#This Row],[año facturado]],Retenciones!$1:$1,0)</f>
        <v>7</v>
      </c>
      <c r="X1147" s="136">
        <f>+VLOOKUP(PROVEEDORES[[#This Row],[ID RETENCION]],Retenciones!$A$1:$O$25,PROVEEDORES[[#This Row],[indicador de columna]],FALSE)</f>
        <v>0</v>
      </c>
      <c r="Y1147" s="137">
        <f>+VLOOKUP(PROVEEDORES[[#This Row],[ID RETENCION]],Retenciones!$A$1:$O$25,2,FALSE)</f>
        <v>0</v>
      </c>
      <c r="Z1147" s="126" t="b">
        <f>+OR(COUNTIF(PROVEEDORES[[#This Row],[PROVEEDOR]],"*"&amp;'Palabra que no opera y Listas d'!$A$2&amp;"*"))</f>
        <v>1</v>
      </c>
    </row>
    <row r="1148" spans="1:26" ht="27.75" customHeight="1" x14ac:dyDescent="0.25">
      <c r="A1148" s="141" t="str">
        <f>+IF(PROVEEDORES[[#This Row],[FECHA DE PAGO]]=PROVEEDORES[[#This Row],[FECHA DE FACTURACIÓN]],"DE CONTADO","CRÉDITO")</f>
        <v>CRÉDITO</v>
      </c>
      <c r="B1148" s="138" t="b">
        <f>+IF((PROVEEDORES[[#This Row],[FECHA DE PAGO]]-PROVEEDORES[[#This Row],[FECHA DE FACTURACIÓN]])&gt;PROVEEDORES[[#This Row],[PLAZO Días]],"PAGO VENCIDO")</f>
        <v>0</v>
      </c>
      <c r="C1148" s="138">
        <f>+VLOOKUP(PROVEEDORES[[#This Row],[PROVEEDOR]],TERCEROS_INFO[#All],2,FALSE)</f>
        <v>30</v>
      </c>
      <c r="D1148" s="139">
        <f>+SUMIFS(PROVEEDORES[Total],PROVEEDORES[PROVEEDOR],PROVEEDORES[[#This Row],[PROVEEDOR]],PROVEEDORES[FECHA DE PAGO],"")</f>
        <v>0</v>
      </c>
      <c r="E1148" s="140"/>
      <c r="F1148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148" s="127">
        <v>45307</v>
      </c>
      <c r="H1148" s="123" t="s">
        <v>382</v>
      </c>
      <c r="I1148" s="127">
        <v>45292</v>
      </c>
      <c r="J1148" s="124" t="s">
        <v>1430</v>
      </c>
      <c r="K1148" s="124" t="s">
        <v>1530</v>
      </c>
      <c r="L1148" s="124"/>
      <c r="M1148" s="125">
        <v>1047050</v>
      </c>
      <c r="N1148" s="148">
        <v>0</v>
      </c>
      <c r="O1148" s="148">
        <v>0</v>
      </c>
      <c r="P1148" s="149">
        <v>0</v>
      </c>
      <c r="Q1148" s="148">
        <v>0</v>
      </c>
      <c r="R1148" s="150">
        <v>1047050</v>
      </c>
      <c r="S11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8" s="135">
        <f ca="1">+IF(PROVEEDORES[[#This Row],[FECHA DE PAGO]]=0,TODAY()-PROVEEDORES[[#This Row],[FECHA DE FACTURACIÓN]]-PROVEEDORES[[#This Row],[PLAZO Días]],0)</f>
        <v>0</v>
      </c>
      <c r="U1148" s="135">
        <f>+VLOOKUP(PROVEEDORES[[#This Row],[PROVEEDOR]],Terceros!$A:$D,4,FALSE)</f>
        <v>0</v>
      </c>
      <c r="V1148" s="135">
        <f>+YEAR(PROVEEDORES[[#This Row],[FECHA DE FACTURACIÓN]])</f>
        <v>2024</v>
      </c>
      <c r="W1148" s="135">
        <f>+MATCH(PROVEEDORES[[#This Row],[año facturado]],Retenciones!$1:$1,0)</f>
        <v>7</v>
      </c>
      <c r="X1148" s="136">
        <f>+VLOOKUP(PROVEEDORES[[#This Row],[ID RETENCION]],Retenciones!$A$1:$O$25,PROVEEDORES[[#This Row],[indicador de columna]],FALSE)</f>
        <v>0</v>
      </c>
      <c r="Y1148" s="137">
        <f>+VLOOKUP(PROVEEDORES[[#This Row],[ID RETENCION]],Retenciones!$A$1:$O$25,2,FALSE)</f>
        <v>0</v>
      </c>
      <c r="Z1148" s="126" t="b">
        <f>+OR(COUNTIF(PROVEEDORES[[#This Row],[PROVEEDOR]],"*"&amp;'Palabra que no opera y Listas d'!$A$2&amp;"*"))</f>
        <v>1</v>
      </c>
    </row>
    <row r="1149" spans="1:26" ht="27.75" customHeight="1" x14ac:dyDescent="0.25">
      <c r="A1149" s="141" t="str">
        <f>+IF(PROVEEDORES[[#This Row],[FECHA DE PAGO]]=PROVEEDORES[[#This Row],[FECHA DE FACTURACIÓN]],"DE CONTADO","CRÉDITO")</f>
        <v>CRÉDITO</v>
      </c>
      <c r="B1149" s="138" t="b">
        <f>+IF((PROVEEDORES[[#This Row],[FECHA DE PAGO]]-PROVEEDORES[[#This Row],[FECHA DE FACTURACIÓN]])&gt;PROVEEDORES[[#This Row],[PLAZO Días]],"PAGO VENCIDO")</f>
        <v>0</v>
      </c>
      <c r="C1149" s="138">
        <f>+VLOOKUP(PROVEEDORES[[#This Row],[PROVEEDOR]],TERCEROS_INFO[#All],2,FALSE)</f>
        <v>30</v>
      </c>
      <c r="D1149" s="139">
        <f>+SUMIFS(PROVEEDORES[Total],PROVEEDORES[PROVEEDOR],PROVEEDORES[[#This Row],[PROVEEDOR]],PROVEEDORES[FECHA DE PAGO],"")</f>
        <v>0</v>
      </c>
      <c r="E1149" s="140"/>
      <c r="F1149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149" s="127">
        <v>45307</v>
      </c>
      <c r="H1149" s="123" t="s">
        <v>382</v>
      </c>
      <c r="I1149" s="127">
        <v>45292</v>
      </c>
      <c r="J1149" s="124" t="s">
        <v>1429</v>
      </c>
      <c r="K1149" s="124" t="s">
        <v>1530</v>
      </c>
      <c r="L1149" s="124"/>
      <c r="M1149" s="125">
        <v>1024255</v>
      </c>
      <c r="N1149" s="148">
        <v>0</v>
      </c>
      <c r="O1149" s="148">
        <v>0</v>
      </c>
      <c r="P1149" s="149">
        <v>0</v>
      </c>
      <c r="Q1149" s="148">
        <v>0</v>
      </c>
      <c r="R1149" s="150">
        <v>1024255</v>
      </c>
      <c r="S11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49" s="135">
        <f ca="1">+IF(PROVEEDORES[[#This Row],[FECHA DE PAGO]]=0,TODAY()-PROVEEDORES[[#This Row],[FECHA DE FACTURACIÓN]]-PROVEEDORES[[#This Row],[PLAZO Días]],0)</f>
        <v>0</v>
      </c>
      <c r="U1149" s="135">
        <f>+VLOOKUP(PROVEEDORES[[#This Row],[PROVEEDOR]],Terceros!$A:$D,4,FALSE)</f>
        <v>0</v>
      </c>
      <c r="V1149" s="135">
        <f>+YEAR(PROVEEDORES[[#This Row],[FECHA DE FACTURACIÓN]])</f>
        <v>2024</v>
      </c>
      <c r="W1149" s="135">
        <f>+MATCH(PROVEEDORES[[#This Row],[año facturado]],Retenciones!$1:$1,0)</f>
        <v>7</v>
      </c>
      <c r="X1149" s="136">
        <f>+VLOOKUP(PROVEEDORES[[#This Row],[ID RETENCION]],Retenciones!$A$1:$O$25,PROVEEDORES[[#This Row],[indicador de columna]],FALSE)</f>
        <v>0</v>
      </c>
      <c r="Y1149" s="137">
        <f>+VLOOKUP(PROVEEDORES[[#This Row],[ID RETENCION]],Retenciones!$A$1:$O$25,2,FALSE)</f>
        <v>0</v>
      </c>
      <c r="Z1149" s="126" t="b">
        <f>+OR(COUNTIF(PROVEEDORES[[#This Row],[PROVEEDOR]],"*"&amp;'Palabra que no opera y Listas d'!$A$2&amp;"*"))</f>
        <v>1</v>
      </c>
    </row>
    <row r="1150" spans="1:26" ht="27.75" customHeight="1" x14ac:dyDescent="0.25">
      <c r="A1150" s="141" t="str">
        <f>+IF(PROVEEDORES[[#This Row],[FECHA DE PAGO]]=PROVEEDORES[[#This Row],[FECHA DE FACTURACIÓN]],"DE CONTADO","CRÉDITO")</f>
        <v>CRÉDITO</v>
      </c>
      <c r="B1150" s="138" t="b">
        <f>+IF((PROVEEDORES[[#This Row],[FECHA DE PAGO]]-PROVEEDORES[[#This Row],[FECHA DE FACTURACIÓN]])&gt;PROVEEDORES[[#This Row],[PLAZO Días]],"PAGO VENCIDO")</f>
        <v>0</v>
      </c>
      <c r="C1150" s="138">
        <f>+VLOOKUP(PROVEEDORES[[#This Row],[PROVEEDOR]],TERCEROS_INFO[#All],2,FALSE)</f>
        <v>30</v>
      </c>
      <c r="D1150" s="139">
        <f>+SUMIFS(PROVEEDORES[Total],PROVEEDORES[PROVEEDOR],PROVEEDORES[[#This Row],[PROVEEDOR]],PROVEEDORES[FECHA DE PAGO],"")</f>
        <v>0</v>
      </c>
      <c r="E1150" s="140"/>
      <c r="F1150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150" s="127">
        <v>45307</v>
      </c>
      <c r="H1150" s="123" t="s">
        <v>394</v>
      </c>
      <c r="I1150" s="127">
        <v>45292</v>
      </c>
      <c r="J1150" s="124" t="s">
        <v>1427</v>
      </c>
      <c r="K1150" s="124" t="s">
        <v>1530</v>
      </c>
      <c r="L1150" s="124"/>
      <c r="M1150" s="125">
        <v>246493</v>
      </c>
      <c r="N1150" s="148">
        <v>46833.67</v>
      </c>
      <c r="O1150" s="148">
        <v>0</v>
      </c>
      <c r="P1150" s="149">
        <v>3.5000000000000003E-2</v>
      </c>
      <c r="Q1150" s="148">
        <v>8627.255000000001</v>
      </c>
      <c r="R1150" s="150">
        <v>284699.41499999998</v>
      </c>
      <c r="S11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0" s="135">
        <f ca="1">+IF(PROVEEDORES[[#This Row],[FECHA DE PAGO]]=0,TODAY()-PROVEEDORES[[#This Row],[FECHA DE FACTURACIÓN]]-PROVEEDORES[[#This Row],[PLAZO Días]],0)</f>
        <v>0</v>
      </c>
      <c r="U1150" s="135" t="str">
        <f>+VLOOKUP(PROVEEDORES[[#This Row],[PROVEEDOR]],Terceros!$A:$D,4,FALSE)</f>
        <v>3,5% sin base</v>
      </c>
      <c r="V1150" s="135">
        <f>+YEAR(PROVEEDORES[[#This Row],[FECHA DE FACTURACIÓN]])</f>
        <v>2024</v>
      </c>
      <c r="W1150" s="135">
        <f>+MATCH(PROVEEDORES[[#This Row],[año facturado]],Retenciones!$1:$1,0)</f>
        <v>7</v>
      </c>
      <c r="X1150" s="136">
        <f>+VLOOKUP(PROVEEDORES[[#This Row],[ID RETENCION]],Retenciones!$A$1:$O$25,PROVEEDORES[[#This Row],[indicador de columna]],FALSE)</f>
        <v>0</v>
      </c>
      <c r="Y1150" s="137">
        <f>+VLOOKUP(PROVEEDORES[[#This Row],[ID RETENCION]],Retenciones!$A$1:$O$25,2,FALSE)</f>
        <v>3.5000000000000003E-2</v>
      </c>
      <c r="Z1150" s="126" t="b">
        <f>+OR(COUNTIF(PROVEEDORES[[#This Row],[PROVEEDOR]],"*"&amp;'Palabra que no opera y Listas d'!$A$2&amp;"*"))</f>
        <v>1</v>
      </c>
    </row>
    <row r="1151" spans="1:26" ht="27.75" customHeight="1" x14ac:dyDescent="0.25">
      <c r="A1151" s="141" t="str">
        <f>+IF(PROVEEDORES[[#This Row],[FECHA DE PAGO]]=PROVEEDORES[[#This Row],[FECHA DE FACTURACIÓN]],"DE CONTADO","CRÉDITO")</f>
        <v>CRÉDITO</v>
      </c>
      <c r="B1151" s="138" t="str">
        <f>+IF((PROVEEDORES[[#This Row],[FECHA DE PAGO]]-PROVEEDORES[[#This Row],[FECHA DE FACTURACIÓN]])&gt;PROVEEDORES[[#This Row],[PLAZO Días]],"PAGO VENCIDO")</f>
        <v>PAGO VENCIDO</v>
      </c>
      <c r="C1151" s="138">
        <f>+VLOOKUP(PROVEEDORES[[#This Row],[PROVEEDOR]],TERCEROS_INFO[#All],2,FALSE)</f>
        <v>13</v>
      </c>
      <c r="D1151" s="139">
        <f>+SUMIFS(PROVEEDORES[Total],PROVEEDORES[PROVEEDOR],PROVEEDORES[[#This Row],[PROVEEDOR]],PROVEEDORES[FECHA DE PAGO],"")</f>
        <v>0</v>
      </c>
      <c r="E1151" s="140"/>
      <c r="F1151" s="138">
        <f>+VLOOKUP(PROVEEDORES[[#This Row],[PROVEEDOR]],
                       Terceros!$A:$F,
                       5,
                       FALSE)</f>
        <v>0</v>
      </c>
      <c r="G1151" s="127">
        <v>45307</v>
      </c>
      <c r="H1151" s="123" t="s">
        <v>389</v>
      </c>
      <c r="I1151" s="127">
        <v>45292</v>
      </c>
      <c r="J1151" s="124"/>
      <c r="K1151" s="124" t="s">
        <v>1530</v>
      </c>
      <c r="L1151" s="124"/>
      <c r="M1151" s="125">
        <v>777310</v>
      </c>
      <c r="N1151" s="148">
        <v>0</v>
      </c>
      <c r="O1151" s="148">
        <v>0</v>
      </c>
      <c r="P1151" s="149">
        <v>0</v>
      </c>
      <c r="Q1151" s="148">
        <v>0</v>
      </c>
      <c r="R1151" s="150">
        <v>777310</v>
      </c>
      <c r="S11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1" s="135">
        <f ca="1">+IF(PROVEEDORES[[#This Row],[FECHA DE PAGO]]=0,TODAY()-PROVEEDORES[[#This Row],[FECHA DE FACTURACIÓN]]-PROVEEDORES[[#This Row],[PLAZO Días]],0)</f>
        <v>0</v>
      </c>
      <c r="U1151" s="135">
        <f>+VLOOKUP(PROVEEDORES[[#This Row],[PROVEEDOR]],Terceros!$A:$D,4,FALSE)</f>
        <v>0</v>
      </c>
      <c r="V1151" s="135">
        <f>+YEAR(PROVEEDORES[[#This Row],[FECHA DE FACTURACIÓN]])</f>
        <v>2024</v>
      </c>
      <c r="W1151" s="135">
        <f>+MATCH(PROVEEDORES[[#This Row],[año facturado]],Retenciones!$1:$1,0)</f>
        <v>7</v>
      </c>
      <c r="X1151" s="136">
        <f>+VLOOKUP(PROVEEDORES[[#This Row],[ID RETENCION]],Retenciones!$A$1:$O$25,PROVEEDORES[[#This Row],[indicador de columna]],FALSE)</f>
        <v>0</v>
      </c>
      <c r="Y1151" s="137">
        <f>+VLOOKUP(PROVEEDORES[[#This Row],[ID RETENCION]],Retenciones!$A$1:$O$25,2,FALSE)</f>
        <v>0</v>
      </c>
      <c r="Z1151" s="126" t="b">
        <f>+OR(COUNTIF(PROVEEDORES[[#This Row],[PROVEEDOR]],"*"&amp;'Palabra que no opera y Listas d'!$A$2&amp;"*"))</f>
        <v>1</v>
      </c>
    </row>
    <row r="1152" spans="1:26" ht="27.75" customHeight="1" x14ac:dyDescent="0.25">
      <c r="A1152" s="141" t="str">
        <f>+IF(PROVEEDORES[[#This Row],[FECHA DE PAGO]]=PROVEEDORES[[#This Row],[FECHA DE FACTURACIÓN]],"DE CONTADO","CRÉDITO")</f>
        <v>CRÉDITO</v>
      </c>
      <c r="B1152" s="138" t="b">
        <f>+IF((PROVEEDORES[[#This Row],[FECHA DE PAGO]]-PROVEEDORES[[#This Row],[FECHA DE FACTURACIÓN]])&gt;PROVEEDORES[[#This Row],[PLAZO Días]],"PAGO VENCIDO")</f>
        <v>0</v>
      </c>
      <c r="C1152" s="138">
        <f>+VLOOKUP(PROVEEDORES[[#This Row],[PROVEEDOR]],TERCEROS_INFO[#All],2,FALSE)</f>
        <v>30</v>
      </c>
      <c r="D1152" s="139">
        <f>+SUMIFS(PROVEEDORES[Total],PROVEEDORES[PROVEEDOR],PROVEEDORES[[#This Row],[PROVEEDOR]],PROVEEDORES[FECHA DE PAGO],"")</f>
        <v>0</v>
      </c>
      <c r="E1152" s="140"/>
      <c r="F1152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152" s="127">
        <v>45307</v>
      </c>
      <c r="H1152" s="123" t="s">
        <v>380</v>
      </c>
      <c r="I1152" s="127">
        <v>45294</v>
      </c>
      <c r="J1152" s="124" t="s">
        <v>1431</v>
      </c>
      <c r="K1152" s="124" t="s">
        <v>1530</v>
      </c>
      <c r="L1152" s="124"/>
      <c r="M1152" s="125">
        <v>3456200</v>
      </c>
      <c r="N1152" s="148">
        <v>0</v>
      </c>
      <c r="O1152" s="148">
        <v>0</v>
      </c>
      <c r="P1152" s="149">
        <v>3.5000000000000003E-2</v>
      </c>
      <c r="Q1152" s="148">
        <v>120967.00000000001</v>
      </c>
      <c r="R1152" s="150">
        <v>3335233</v>
      </c>
      <c r="S11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2" s="135">
        <f ca="1">+IF(PROVEEDORES[[#This Row],[FECHA DE PAGO]]=0,TODAY()-PROVEEDORES[[#This Row],[FECHA DE FACTURACIÓN]]-PROVEEDORES[[#This Row],[PLAZO Días]],0)</f>
        <v>0</v>
      </c>
      <c r="U1152" s="135" t="str">
        <f>+VLOOKUP(PROVEEDORES[[#This Row],[PROVEEDOR]],Terceros!$A:$D,4,FALSE)</f>
        <v>3,5% sin base</v>
      </c>
      <c r="V1152" s="135">
        <f>+YEAR(PROVEEDORES[[#This Row],[FECHA DE FACTURACIÓN]])</f>
        <v>2024</v>
      </c>
      <c r="W1152" s="135">
        <f>+MATCH(PROVEEDORES[[#This Row],[año facturado]],Retenciones!$1:$1,0)</f>
        <v>7</v>
      </c>
      <c r="X1152" s="136">
        <f>+VLOOKUP(PROVEEDORES[[#This Row],[ID RETENCION]],Retenciones!$A$1:$O$25,PROVEEDORES[[#This Row],[indicador de columna]],FALSE)</f>
        <v>0</v>
      </c>
      <c r="Y1152" s="137">
        <f>+VLOOKUP(PROVEEDORES[[#This Row],[ID RETENCION]],Retenciones!$A$1:$O$25,2,FALSE)</f>
        <v>3.5000000000000003E-2</v>
      </c>
      <c r="Z1152" s="126" t="b">
        <f>+OR(COUNTIF(PROVEEDORES[[#This Row],[PROVEEDOR]],"*"&amp;'Palabra que no opera y Listas d'!$A$2&amp;"*"))</f>
        <v>1</v>
      </c>
    </row>
    <row r="1153" spans="1:26" ht="27.75" customHeight="1" x14ac:dyDescent="0.25">
      <c r="A1153" s="141" t="str">
        <f>+IF(PROVEEDORES[[#This Row],[FECHA DE PAGO]]=PROVEEDORES[[#This Row],[FECHA DE FACTURACIÓN]],"DE CONTADO","CRÉDITO")</f>
        <v>DE CONTADO</v>
      </c>
      <c r="B1153" s="138" t="b">
        <f>+IF((PROVEEDORES[[#This Row],[FECHA DE PAGO]]-PROVEEDORES[[#This Row],[FECHA DE FACTURACIÓN]])&gt;PROVEEDORES[[#This Row],[PLAZO Días]],"PAGO VENCIDO")</f>
        <v>0</v>
      </c>
      <c r="C1153" s="138">
        <f>+VLOOKUP(PROVEEDORES[[#This Row],[PROVEEDOR]],TERCEROS_INFO[#All],2,FALSE)</f>
        <v>30</v>
      </c>
      <c r="D1153" s="139">
        <f>+SUMIFS(PROVEEDORES[Total],PROVEEDORES[PROVEEDOR],PROVEEDORES[[#This Row],[PROVEEDOR]],PROVEEDORES[FECHA DE PAGO],"")</f>
        <v>134000</v>
      </c>
      <c r="E1153" s="140"/>
      <c r="F1153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153" s="127">
        <v>45307</v>
      </c>
      <c r="H1153" s="123" t="s">
        <v>1808</v>
      </c>
      <c r="I1153" s="127">
        <v>45307</v>
      </c>
      <c r="J1153" s="124" t="s">
        <v>1437</v>
      </c>
      <c r="K1153" s="124" t="s">
        <v>1530</v>
      </c>
      <c r="L1153" s="124"/>
      <c r="M1153" s="125">
        <v>215000</v>
      </c>
      <c r="N1153" s="148">
        <v>0</v>
      </c>
      <c r="O1153" s="148">
        <v>0</v>
      </c>
      <c r="P1153" s="149">
        <v>0</v>
      </c>
      <c r="Q1153" s="148">
        <v>0</v>
      </c>
      <c r="R1153" s="150">
        <v>215000</v>
      </c>
      <c r="S11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3" s="135">
        <f ca="1">+IF(PROVEEDORES[[#This Row],[FECHA DE PAGO]]=0,TODAY()-PROVEEDORES[[#This Row],[FECHA DE FACTURACIÓN]]-PROVEEDORES[[#This Row],[PLAZO Días]],0)</f>
        <v>0</v>
      </c>
      <c r="U1153" s="135">
        <f>+VLOOKUP(PROVEEDORES[[#This Row],[PROVEEDOR]],Terceros!$A:$D,4,FALSE)</f>
        <v>0</v>
      </c>
      <c r="V1153" s="135">
        <f>+YEAR(PROVEEDORES[[#This Row],[FECHA DE FACTURACIÓN]])</f>
        <v>2024</v>
      </c>
      <c r="W1153" s="135">
        <f>+MATCH(PROVEEDORES[[#This Row],[año facturado]],Retenciones!$1:$1,0)</f>
        <v>7</v>
      </c>
      <c r="X1153" s="136">
        <f>+VLOOKUP(PROVEEDORES[[#This Row],[ID RETENCION]],Retenciones!$A$1:$O$25,PROVEEDORES[[#This Row],[indicador de columna]],FALSE)</f>
        <v>0</v>
      </c>
      <c r="Y1153" s="137">
        <f>+VLOOKUP(PROVEEDORES[[#This Row],[ID RETENCION]],Retenciones!$A$1:$O$25,2,FALSE)</f>
        <v>0</v>
      </c>
      <c r="Z1153" s="126" t="b">
        <f>+OR(COUNTIF(PROVEEDORES[[#This Row],[PROVEEDOR]],"*"&amp;'Palabra que no opera y Listas d'!$A$2&amp;"*"))</f>
        <v>0</v>
      </c>
    </row>
    <row r="1154" spans="1:26" ht="27.75" customHeight="1" x14ac:dyDescent="0.25">
      <c r="A1154" s="141" t="str">
        <f>+IF(PROVEEDORES[[#This Row],[FECHA DE PAGO]]=PROVEEDORES[[#This Row],[FECHA DE FACTURACIÓN]],"DE CONTADO","CRÉDITO")</f>
        <v>CRÉDITO</v>
      </c>
      <c r="B1154" s="138" t="str">
        <f>+IF((PROVEEDORES[[#This Row],[FECHA DE PAGO]]-PROVEEDORES[[#This Row],[FECHA DE FACTURACIÓN]])&gt;PROVEEDORES[[#This Row],[PLAZO Días]],"PAGO VENCIDO")</f>
        <v>PAGO VENCIDO</v>
      </c>
      <c r="C1154" s="138">
        <f>+VLOOKUP(PROVEEDORES[[#This Row],[PROVEEDOR]],TERCEROS_INFO[#All],2,FALSE)</f>
        <v>0</v>
      </c>
      <c r="D1154" s="139">
        <f>+SUMIFS(PROVEEDORES[Total],PROVEEDORES[PROVEEDOR],PROVEEDORES[[#This Row],[PROVEEDOR]],PROVEEDORES[FECHA DE PAGO],"")</f>
        <v>0</v>
      </c>
      <c r="E1154" s="140"/>
      <c r="F1154" s="138" t="str">
        <f>+VLOOKUP(PROVEEDORES[[#This Row],[PROVEEDOR]],
                       Terceros!$A:$F,
                       5,
                       FALSE)</f>
        <v>contabilidad@comercialweb.com.co;info@servipilas.com</v>
      </c>
      <c r="G1154" s="127">
        <v>45308</v>
      </c>
      <c r="H1154" s="123" t="s">
        <v>560</v>
      </c>
      <c r="I1154" s="127">
        <v>45307</v>
      </c>
      <c r="J1154" s="124">
        <v>2158</v>
      </c>
      <c r="K1154" s="124" t="s">
        <v>504</v>
      </c>
      <c r="L1154" s="124"/>
      <c r="M1154" s="125">
        <v>690000</v>
      </c>
      <c r="N1154" s="148">
        <v>0</v>
      </c>
      <c r="O1154" s="148">
        <v>0</v>
      </c>
      <c r="P1154" s="149">
        <v>0</v>
      </c>
      <c r="Q1154" s="148">
        <v>0</v>
      </c>
      <c r="R1154" s="150">
        <v>690000</v>
      </c>
      <c r="S11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4" s="135">
        <f ca="1">+IF(PROVEEDORES[[#This Row],[FECHA DE PAGO]]=0,TODAY()-PROVEEDORES[[#This Row],[FECHA DE FACTURACIÓN]]-PROVEEDORES[[#This Row],[PLAZO Días]],0)</f>
        <v>0</v>
      </c>
      <c r="U1154" s="135">
        <f>+VLOOKUP(PROVEEDORES[[#This Row],[PROVEEDOR]],Terceros!$A:$D,4,FALSE)</f>
        <v>0</v>
      </c>
      <c r="V1154" s="135">
        <f>+YEAR(PROVEEDORES[[#This Row],[FECHA DE FACTURACIÓN]])</f>
        <v>2024</v>
      </c>
      <c r="W1154" s="135">
        <f>+MATCH(PROVEEDORES[[#This Row],[año facturado]],Retenciones!$1:$1,0)</f>
        <v>7</v>
      </c>
      <c r="X1154" s="136">
        <f>+VLOOKUP(PROVEEDORES[[#This Row],[ID RETENCION]],Retenciones!$A$1:$O$25,PROVEEDORES[[#This Row],[indicador de columna]],FALSE)</f>
        <v>0</v>
      </c>
      <c r="Y1154" s="137">
        <f>+VLOOKUP(PROVEEDORES[[#This Row],[ID RETENCION]],Retenciones!$A$1:$O$25,2,FALSE)</f>
        <v>0</v>
      </c>
      <c r="Z1154" s="126" t="b">
        <f>+OR(COUNTIF(PROVEEDORES[[#This Row],[PROVEEDOR]],"*"&amp;'Palabra que no opera y Listas d'!$A$2&amp;"*"))</f>
        <v>1</v>
      </c>
    </row>
    <row r="1155" spans="1:26" ht="27.75" customHeight="1" x14ac:dyDescent="0.25">
      <c r="A1155" s="141" t="str">
        <f>+IF(PROVEEDORES[[#This Row],[FECHA DE PAGO]]=PROVEEDORES[[#This Row],[FECHA DE FACTURACIÓN]],"DE CONTADO","CRÉDITO")</f>
        <v>CRÉDITO</v>
      </c>
      <c r="B1155" s="138" t="e">
        <f>+IF((PROVEEDORES[[#This Row],[FECHA DE PAGO]]-PROVEEDORES[[#This Row],[FECHA DE FACTURACIÓN]])&gt;PROVEEDORES[[#This Row],[PLAZO Días]],"PAGO VENCIDO")</f>
        <v>#N/A</v>
      </c>
      <c r="C1155" s="138" t="e">
        <f>+VLOOKUP(PROVEEDORES[[#This Row],[PROVEEDOR]],TERCEROS_INFO[#All],2,FALSE)</f>
        <v>#N/A</v>
      </c>
      <c r="D1155" s="139">
        <f>+SUMIFS(PROVEEDORES[Total],PROVEEDORES[PROVEEDOR],PROVEEDORES[[#This Row],[PROVEEDOR]],PROVEEDORES[FECHA DE PAGO],"")</f>
        <v>0</v>
      </c>
      <c r="E1155" s="140"/>
      <c r="F1155" s="138" t="e">
        <f>+VLOOKUP(PROVEEDORES[[#This Row],[PROVEEDOR]],
                       Terceros!$A:$F,
                       5,
                       FALSE)</f>
        <v>#N/A</v>
      </c>
      <c r="G1155" s="127">
        <v>45308</v>
      </c>
      <c r="H1155" s="123" t="s">
        <v>1873</v>
      </c>
      <c r="I1155" s="127">
        <v>45307</v>
      </c>
      <c r="J1155" s="124"/>
      <c r="K1155" s="124" t="s">
        <v>504</v>
      </c>
      <c r="L1155" s="124"/>
      <c r="M1155" s="125">
        <v>1562000</v>
      </c>
      <c r="N1155" s="148">
        <v>0</v>
      </c>
      <c r="O1155" s="148">
        <v>0</v>
      </c>
      <c r="P1155" s="149">
        <v>0</v>
      </c>
      <c r="Q1155" s="148">
        <v>0</v>
      </c>
      <c r="R1155" s="150">
        <v>1562000</v>
      </c>
      <c r="S11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5" s="135">
        <f ca="1">+IF(PROVEEDORES[[#This Row],[FECHA DE PAGO]]=0,TODAY()-PROVEEDORES[[#This Row],[FECHA DE FACTURACIÓN]]-PROVEEDORES[[#This Row],[PLAZO Días]],0)</f>
        <v>0</v>
      </c>
      <c r="U1155" s="135" t="e">
        <f>+VLOOKUP(PROVEEDORES[[#This Row],[PROVEEDOR]],Terceros!$A:$D,4,FALSE)</f>
        <v>#N/A</v>
      </c>
      <c r="V1155" s="135">
        <f>+YEAR(PROVEEDORES[[#This Row],[FECHA DE FACTURACIÓN]])</f>
        <v>2024</v>
      </c>
      <c r="W1155" s="135">
        <f>+MATCH(PROVEEDORES[[#This Row],[año facturado]],Retenciones!$1:$1,0)</f>
        <v>7</v>
      </c>
      <c r="X1155" s="136" t="e">
        <f>+VLOOKUP(PROVEEDORES[[#This Row],[ID RETENCION]],Retenciones!$A$1:$O$25,PROVEEDORES[[#This Row],[indicador de columna]],FALSE)</f>
        <v>#N/A</v>
      </c>
      <c r="Y1155" s="137" t="e">
        <f>+VLOOKUP(PROVEEDORES[[#This Row],[ID RETENCION]],Retenciones!$A$1:$O$25,2,FALSE)</f>
        <v>#N/A</v>
      </c>
      <c r="Z1155" s="126" t="b">
        <f>+OR(COUNTIF(PROVEEDORES[[#This Row],[PROVEEDOR]],"*"&amp;'Palabra que no opera y Listas d'!$A$2&amp;"*"))</f>
        <v>0</v>
      </c>
    </row>
    <row r="1156" spans="1:26" ht="27.75" customHeight="1" x14ac:dyDescent="0.25">
      <c r="A1156" s="141" t="str">
        <f>+IF(PROVEEDORES[[#This Row],[FECHA DE PAGO]]=PROVEEDORES[[#This Row],[FECHA DE FACTURACIÓN]],"DE CONTADO","CRÉDITO")</f>
        <v>CRÉDITO</v>
      </c>
      <c r="B1156" s="138" t="b">
        <f>+IF((PROVEEDORES[[#This Row],[FECHA DE PAGO]]-PROVEEDORES[[#This Row],[FECHA DE FACTURACIÓN]])&gt;PROVEEDORES[[#This Row],[PLAZO Días]],"PAGO VENCIDO")</f>
        <v>0</v>
      </c>
      <c r="C1156" s="138">
        <f>+VLOOKUP(PROVEEDORES[[#This Row],[PROVEEDOR]],TERCEROS_INFO[#All],2,FALSE)</f>
        <v>30</v>
      </c>
      <c r="D1156" s="139">
        <f>+SUMIFS(PROVEEDORES[Total],PROVEEDORES[PROVEEDOR],PROVEEDORES[[#This Row],[PROVEEDOR]],PROVEEDORES[FECHA DE PAGO],"")</f>
        <v>0</v>
      </c>
      <c r="E1156" s="140"/>
      <c r="F1156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1156" s="127">
        <v>45308</v>
      </c>
      <c r="H1156" s="123" t="s">
        <v>1865</v>
      </c>
      <c r="I1156" s="127">
        <v>45307</v>
      </c>
      <c r="J1156" s="124" t="s">
        <v>1448</v>
      </c>
      <c r="K1156" s="124" t="s">
        <v>504</v>
      </c>
      <c r="L1156" s="124"/>
      <c r="M1156" s="125">
        <v>1974686</v>
      </c>
      <c r="N1156" s="148">
        <v>0</v>
      </c>
      <c r="O1156" s="148">
        <v>0</v>
      </c>
      <c r="P1156" s="149">
        <v>0</v>
      </c>
      <c r="Q1156" s="148">
        <v>0</v>
      </c>
      <c r="R1156" s="150">
        <v>1974686</v>
      </c>
      <c r="S11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6" s="135">
        <f ca="1">+IF(PROVEEDORES[[#This Row],[FECHA DE PAGO]]=0,TODAY()-PROVEEDORES[[#This Row],[FECHA DE FACTURACIÓN]]-PROVEEDORES[[#This Row],[PLAZO Días]],0)</f>
        <v>0</v>
      </c>
      <c r="U1156" s="135">
        <f>+VLOOKUP(PROVEEDORES[[#This Row],[PROVEEDOR]],Terceros!$A:$D,4,FALSE)</f>
        <v>0</v>
      </c>
      <c r="V1156" s="135">
        <f>+YEAR(PROVEEDORES[[#This Row],[FECHA DE FACTURACIÓN]])</f>
        <v>2024</v>
      </c>
      <c r="W1156" s="135">
        <f>+MATCH(PROVEEDORES[[#This Row],[año facturado]],Retenciones!$1:$1,0)</f>
        <v>7</v>
      </c>
      <c r="X1156" s="136">
        <f>+VLOOKUP(PROVEEDORES[[#This Row],[ID RETENCION]],Retenciones!$A$1:$O$25,PROVEEDORES[[#This Row],[indicador de columna]],FALSE)</f>
        <v>0</v>
      </c>
      <c r="Y1156" s="137">
        <f>+VLOOKUP(PROVEEDORES[[#This Row],[ID RETENCION]],Retenciones!$A$1:$O$25,2,FALSE)</f>
        <v>0</v>
      </c>
      <c r="Z1156" s="126" t="b">
        <f>+OR(COUNTIF(PROVEEDORES[[#This Row],[PROVEEDOR]],"*"&amp;'Palabra que no opera y Listas d'!$A$2&amp;"*"))</f>
        <v>0</v>
      </c>
    </row>
    <row r="1157" spans="1:26" ht="27.75" customHeight="1" x14ac:dyDescent="0.25">
      <c r="A1157" s="141" t="str">
        <f>+IF(PROVEEDORES[[#This Row],[FECHA DE PAGO]]=PROVEEDORES[[#This Row],[FECHA DE FACTURACIÓN]],"DE CONTADO","CRÉDITO")</f>
        <v>CRÉDITO</v>
      </c>
      <c r="B1157" s="138" t="str">
        <f>+IF((PROVEEDORES[[#This Row],[FECHA DE PAGO]]-PROVEEDORES[[#This Row],[FECHA DE FACTURACIÓN]])&gt;PROVEEDORES[[#This Row],[PLAZO Días]],"PAGO VENCIDO")</f>
        <v>PAGO VENCIDO</v>
      </c>
      <c r="C1157" s="138">
        <f>+VLOOKUP(PROVEEDORES[[#This Row],[PROVEEDOR]],TERCEROS_INFO[#All],2,FALSE)</f>
        <v>30</v>
      </c>
      <c r="D1157" s="139">
        <f>+SUMIFS(PROVEEDORES[Total],PROVEEDORES[PROVEEDOR],PROVEEDORES[[#This Row],[PROVEEDOR]],PROVEEDORES[FECHA DE PAGO],"")</f>
        <v>4466504.835</v>
      </c>
      <c r="E1157" s="140"/>
      <c r="F1157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157" s="127">
        <v>45309</v>
      </c>
      <c r="H1157" s="123" t="s">
        <v>18</v>
      </c>
      <c r="I1157" s="127">
        <v>45266</v>
      </c>
      <c r="J1157" s="124" t="s">
        <v>1327</v>
      </c>
      <c r="K1157" s="124" t="s">
        <v>504</v>
      </c>
      <c r="L1157" s="124"/>
      <c r="M1157" s="125">
        <v>2050362</v>
      </c>
      <c r="N1157" s="148">
        <v>389568.78</v>
      </c>
      <c r="O1157" s="148">
        <v>0</v>
      </c>
      <c r="P1157" s="149">
        <v>2.5000000000000001E-2</v>
      </c>
      <c r="Q1157" s="148">
        <v>51259.05</v>
      </c>
      <c r="R1157" s="150">
        <v>2388671.7300000004</v>
      </c>
      <c r="S11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7" s="135">
        <f ca="1">+IF(PROVEEDORES[[#This Row],[FECHA DE PAGO]]=0,TODAY()-PROVEEDORES[[#This Row],[FECHA DE FACTURACIÓN]]-PROVEEDORES[[#This Row],[PLAZO Días]],0)</f>
        <v>0</v>
      </c>
      <c r="U1157" s="135" t="str">
        <f>+VLOOKUP(PROVEEDORES[[#This Row],[PROVEEDOR]],Terceros!$A:$D,4,FALSE)</f>
        <v>2,5% con base</v>
      </c>
      <c r="V1157" s="135">
        <f>+YEAR(PROVEEDORES[[#This Row],[FECHA DE FACTURACIÓN]])</f>
        <v>2023</v>
      </c>
      <c r="W1157" s="135">
        <f>+MATCH(PROVEEDORES[[#This Row],[año facturado]],Retenciones!$1:$1,0)</f>
        <v>6</v>
      </c>
      <c r="X1157" s="136">
        <f>+VLOOKUP(PROVEEDORES[[#This Row],[ID RETENCION]],Retenciones!$A$1:$O$25,PROVEEDORES[[#This Row],[indicador de columna]],FALSE)</f>
        <v>1145000</v>
      </c>
      <c r="Y1157" s="137">
        <f>+VLOOKUP(PROVEEDORES[[#This Row],[ID RETENCION]],Retenciones!$A$1:$O$25,2,FALSE)</f>
        <v>2.5000000000000001E-2</v>
      </c>
      <c r="Z1157" s="126" t="b">
        <f>+OR(COUNTIF(PROVEEDORES[[#This Row],[PROVEEDOR]],"*"&amp;'Palabra que no opera y Listas d'!$A$2&amp;"*"))</f>
        <v>0</v>
      </c>
    </row>
    <row r="1158" spans="1:26" ht="27.75" customHeight="1" x14ac:dyDescent="0.25">
      <c r="A1158" s="141" t="str">
        <f>+IF(PROVEEDORES[[#This Row],[FECHA DE PAGO]]=PROVEEDORES[[#This Row],[FECHA DE FACTURACIÓN]],"DE CONTADO","CRÉDITO")</f>
        <v>CRÉDITO</v>
      </c>
      <c r="B1158" s="138" t="str">
        <f>+IF((PROVEEDORES[[#This Row],[FECHA DE PAGO]]-PROVEEDORES[[#This Row],[FECHA DE FACTURACIÓN]])&gt;PROVEEDORES[[#This Row],[PLAZO Días]],"PAGO VENCIDO")</f>
        <v>PAGO VENCIDO</v>
      </c>
      <c r="C1158" s="138">
        <f>+VLOOKUP(PROVEEDORES[[#This Row],[PROVEEDOR]],TERCEROS_INFO[#All],2,FALSE)</f>
        <v>30</v>
      </c>
      <c r="D1158" s="139">
        <f>+SUMIFS(PROVEEDORES[Total],PROVEEDORES[PROVEEDOR],PROVEEDORES[[#This Row],[PROVEEDOR]],PROVEEDORES[FECHA DE PAGO],"")</f>
        <v>4466504.835</v>
      </c>
      <c r="E1158" s="140"/>
      <c r="F1158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158" s="127">
        <v>45309</v>
      </c>
      <c r="H1158" s="123" t="s">
        <v>18</v>
      </c>
      <c r="I1158" s="127">
        <v>45266</v>
      </c>
      <c r="J1158" s="124" t="s">
        <v>1357</v>
      </c>
      <c r="K1158" s="124" t="s">
        <v>504</v>
      </c>
      <c r="L1158" s="124"/>
      <c r="M1158" s="125">
        <v>1005285</v>
      </c>
      <c r="N1158" s="148">
        <v>191004.15</v>
      </c>
      <c r="O1158" s="148">
        <v>0</v>
      </c>
      <c r="P1158" s="149">
        <v>0</v>
      </c>
      <c r="Q1158" s="148">
        <v>0</v>
      </c>
      <c r="R1158" s="150">
        <v>1196289.1499999999</v>
      </c>
      <c r="S11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8" s="135">
        <f ca="1">+IF(PROVEEDORES[[#This Row],[FECHA DE PAGO]]=0,TODAY()-PROVEEDORES[[#This Row],[FECHA DE FACTURACIÓN]]-PROVEEDORES[[#This Row],[PLAZO Días]],0)</f>
        <v>0</v>
      </c>
      <c r="U1158" s="135" t="str">
        <f>+VLOOKUP(PROVEEDORES[[#This Row],[PROVEEDOR]],Terceros!$A:$D,4,FALSE)</f>
        <v>2,5% con base</v>
      </c>
      <c r="V1158" s="135">
        <f>+YEAR(PROVEEDORES[[#This Row],[FECHA DE FACTURACIÓN]])</f>
        <v>2023</v>
      </c>
      <c r="W1158" s="135">
        <f>+MATCH(PROVEEDORES[[#This Row],[año facturado]],Retenciones!$1:$1,0)</f>
        <v>6</v>
      </c>
      <c r="X1158" s="136">
        <f>+VLOOKUP(PROVEEDORES[[#This Row],[ID RETENCION]],Retenciones!$A$1:$O$25,PROVEEDORES[[#This Row],[indicador de columna]],FALSE)</f>
        <v>1145000</v>
      </c>
      <c r="Y1158" s="137">
        <f>+VLOOKUP(PROVEEDORES[[#This Row],[ID RETENCION]],Retenciones!$A$1:$O$25,2,FALSE)</f>
        <v>2.5000000000000001E-2</v>
      </c>
      <c r="Z1158" s="126" t="b">
        <f>+OR(COUNTIF(PROVEEDORES[[#This Row],[PROVEEDOR]],"*"&amp;'Palabra que no opera y Listas d'!$A$2&amp;"*"))</f>
        <v>0</v>
      </c>
    </row>
    <row r="1159" spans="1:26" ht="27.75" customHeight="1" x14ac:dyDescent="0.25">
      <c r="A1159" s="141" t="str">
        <f>+IF(PROVEEDORES[[#This Row],[FECHA DE PAGO]]=PROVEEDORES[[#This Row],[FECHA DE FACTURACIÓN]],"DE CONTADO","CRÉDITO")</f>
        <v>CRÉDITO</v>
      </c>
      <c r="B1159" s="138" t="b">
        <f>+IF((PROVEEDORES[[#This Row],[FECHA DE PAGO]]-PROVEEDORES[[#This Row],[FECHA DE FACTURACIÓN]])&gt;PROVEEDORES[[#This Row],[PLAZO Días]],"PAGO VENCIDO")</f>
        <v>0</v>
      </c>
      <c r="C1159" s="138">
        <f>+VLOOKUP(PROVEEDORES[[#This Row],[PROVEEDOR]],TERCEROS_INFO[#All],2,FALSE)</f>
        <v>30</v>
      </c>
      <c r="D1159" s="139">
        <f>+SUMIFS(PROVEEDORES[Total],PROVEEDORES[PROVEEDOR],PROVEEDORES[[#This Row],[PROVEEDOR]],PROVEEDORES[FECHA DE PAGO],"")</f>
        <v>0</v>
      </c>
      <c r="E1159" s="140"/>
      <c r="F1159" s="138">
        <f>+VLOOKUP(PROVEEDORES[[#This Row],[PROVEEDOR]],
                       Terceros!$A:$F,
                       5,
                       FALSE)</f>
        <v>0</v>
      </c>
      <c r="G1159" s="127">
        <v>45309</v>
      </c>
      <c r="H1159" s="123" t="s">
        <v>836</v>
      </c>
      <c r="I1159" s="127">
        <v>45307</v>
      </c>
      <c r="J1159" s="124" t="s">
        <v>1442</v>
      </c>
      <c r="K1159" s="124" t="s">
        <v>504</v>
      </c>
      <c r="L1159" s="124"/>
      <c r="M1159" s="125">
        <v>281000</v>
      </c>
      <c r="N1159" s="148">
        <v>0</v>
      </c>
      <c r="O1159" s="148">
        <v>0</v>
      </c>
      <c r="P1159" s="149">
        <v>0</v>
      </c>
      <c r="Q1159" s="148">
        <v>0</v>
      </c>
      <c r="R1159" s="150">
        <v>281000</v>
      </c>
      <c r="S11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59" s="135">
        <f ca="1">+IF(PROVEEDORES[[#This Row],[FECHA DE PAGO]]=0,TODAY()-PROVEEDORES[[#This Row],[FECHA DE FACTURACIÓN]]-PROVEEDORES[[#This Row],[PLAZO Días]],0)</f>
        <v>0</v>
      </c>
      <c r="U1159" s="135">
        <f>+VLOOKUP(PROVEEDORES[[#This Row],[PROVEEDOR]],Terceros!$A:$D,4,FALSE)</f>
        <v>0</v>
      </c>
      <c r="V1159" s="135">
        <f>+YEAR(PROVEEDORES[[#This Row],[FECHA DE FACTURACIÓN]])</f>
        <v>2024</v>
      </c>
      <c r="W1159" s="135">
        <f>+MATCH(PROVEEDORES[[#This Row],[año facturado]],Retenciones!$1:$1,0)</f>
        <v>7</v>
      </c>
      <c r="X1159" s="136">
        <f>+VLOOKUP(PROVEEDORES[[#This Row],[ID RETENCION]],Retenciones!$A$1:$O$25,PROVEEDORES[[#This Row],[indicador de columna]],FALSE)</f>
        <v>0</v>
      </c>
      <c r="Y1159" s="137">
        <f>+VLOOKUP(PROVEEDORES[[#This Row],[ID RETENCION]],Retenciones!$A$1:$O$25,2,FALSE)</f>
        <v>0</v>
      </c>
      <c r="Z1159" s="126" t="b">
        <f>+OR(COUNTIF(PROVEEDORES[[#This Row],[PROVEEDOR]],"*"&amp;'Palabra que no opera y Listas d'!$A$2&amp;"*"))</f>
        <v>0</v>
      </c>
    </row>
    <row r="1160" spans="1:26" ht="27.75" customHeight="1" x14ac:dyDescent="0.25">
      <c r="A1160" s="141" t="str">
        <f>+IF(PROVEEDORES[[#This Row],[FECHA DE PAGO]]=PROVEEDORES[[#This Row],[FECHA DE FACTURACIÓN]],"DE CONTADO","CRÉDITO")</f>
        <v>CRÉDITO</v>
      </c>
      <c r="B1160" s="138" t="b">
        <f>+IF((PROVEEDORES[[#This Row],[FECHA DE PAGO]]-PROVEEDORES[[#This Row],[FECHA DE FACTURACIÓN]])&gt;PROVEEDORES[[#This Row],[PLAZO Días]],"PAGO VENCIDO")</f>
        <v>0</v>
      </c>
      <c r="C1160" s="138">
        <f>+VLOOKUP(PROVEEDORES[[#This Row],[PROVEEDOR]],TERCEROS_INFO[#All],2,FALSE)</f>
        <v>10</v>
      </c>
      <c r="D1160" s="139">
        <f>+SUMIFS(PROVEEDORES[Total],PROVEEDORES[PROVEEDOR],PROVEEDORES[[#This Row],[PROVEEDOR]],PROVEEDORES[FECHA DE PAGO],"")</f>
        <v>0</v>
      </c>
      <c r="E1160" s="140"/>
      <c r="F1160" s="138" t="str">
        <f>+VLOOKUP(PROVEEDORES[[#This Row],[PROVEEDOR]],
                       Terceros!$A:$F,
                       5,
                       FALSE)</f>
        <v>syman07@hotmail.com;girlesa.ruiz@servipilas.com;joriescobar64@gmail.com</v>
      </c>
      <c r="G1160" s="127">
        <v>45309</v>
      </c>
      <c r="H1160" s="123" t="s">
        <v>433</v>
      </c>
      <c r="I1160" s="127">
        <v>45307</v>
      </c>
      <c r="J1160" s="124">
        <v>3883</v>
      </c>
      <c r="K1160" s="124" t="s">
        <v>1530</v>
      </c>
      <c r="L1160" s="124"/>
      <c r="M1160" s="125">
        <v>945000</v>
      </c>
      <c r="N1160" s="148">
        <v>179550</v>
      </c>
      <c r="O1160" s="148">
        <v>0</v>
      </c>
      <c r="P1160" s="149">
        <v>0.04</v>
      </c>
      <c r="Q1160" s="148">
        <v>37800</v>
      </c>
      <c r="R1160" s="150">
        <v>1086750</v>
      </c>
      <c r="S11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0" s="135">
        <f ca="1">+IF(PROVEEDORES[[#This Row],[FECHA DE PAGO]]=0,TODAY()-PROVEEDORES[[#This Row],[FECHA DE FACTURACIÓN]]-PROVEEDORES[[#This Row],[PLAZO Días]],0)</f>
        <v>0</v>
      </c>
      <c r="U1160" s="135" t="str">
        <f>+VLOOKUP(PROVEEDORES[[#This Row],[PROVEEDOR]],Terceros!$A:$D,4,FALSE)</f>
        <v>4% con base</v>
      </c>
      <c r="V1160" s="135">
        <f>+YEAR(PROVEEDORES[[#This Row],[FECHA DE FACTURACIÓN]])</f>
        <v>2024</v>
      </c>
      <c r="W1160" s="135">
        <f>+MATCH(PROVEEDORES[[#This Row],[año facturado]],Retenciones!$1:$1,0)</f>
        <v>7</v>
      </c>
      <c r="X1160" s="136">
        <f>+VLOOKUP(PROVEEDORES[[#This Row],[ID RETENCION]],Retenciones!$A$1:$O$25,PROVEEDORES[[#This Row],[indicador de columna]],FALSE)</f>
        <v>188000</v>
      </c>
      <c r="Y1160" s="137">
        <f>+VLOOKUP(PROVEEDORES[[#This Row],[ID RETENCION]],Retenciones!$A$1:$O$25,2,FALSE)</f>
        <v>0.04</v>
      </c>
      <c r="Z1160" s="126" t="b">
        <f>+OR(COUNTIF(PROVEEDORES[[#This Row],[PROVEEDOR]],"*"&amp;'Palabra que no opera y Listas d'!$A$2&amp;"*"))</f>
        <v>1</v>
      </c>
    </row>
    <row r="1161" spans="1:26" ht="27.75" customHeight="1" x14ac:dyDescent="0.25">
      <c r="A1161" s="141" t="str">
        <f>+IF(PROVEEDORES[[#This Row],[FECHA DE PAGO]]=PROVEEDORES[[#This Row],[FECHA DE FACTURACIÓN]],"DE CONTADO","CRÉDITO")</f>
        <v>CRÉDITO</v>
      </c>
      <c r="B1161" s="138" t="b">
        <f>+IF((PROVEEDORES[[#This Row],[FECHA DE PAGO]]-PROVEEDORES[[#This Row],[FECHA DE FACTURACIÓN]])&gt;PROVEEDORES[[#This Row],[PLAZO Días]],"PAGO VENCIDO")</f>
        <v>0</v>
      </c>
      <c r="C1161" s="138">
        <f>+VLOOKUP(PROVEEDORES[[#This Row],[PROVEEDOR]],TERCEROS_INFO[#All],2,FALSE)</f>
        <v>30</v>
      </c>
      <c r="D1161" s="139">
        <f>+SUMIFS(PROVEEDORES[Total],PROVEEDORES[PROVEEDOR],PROVEEDORES[[#This Row],[PROVEEDOR]],PROVEEDORES[FECHA DE PAGO],"")</f>
        <v>0</v>
      </c>
      <c r="E1161" s="140"/>
      <c r="F1161" s="138" t="str">
        <f>+VLOOKUP(PROVEEDORES[[#This Row],[PROVEEDOR]],
                       Terceros!$A:$F,
                       5,
                       FALSE)</f>
        <v/>
      </c>
      <c r="G1161" s="127">
        <v>45309</v>
      </c>
      <c r="H1161" s="123" t="s">
        <v>481</v>
      </c>
      <c r="I1161" s="127">
        <v>45308</v>
      </c>
      <c r="J1161" s="124" t="s">
        <v>1460</v>
      </c>
      <c r="K1161" s="124" t="s">
        <v>1530</v>
      </c>
      <c r="L1161" s="124"/>
      <c r="M1161" s="125">
        <v>5108000</v>
      </c>
      <c r="N1161" s="148">
        <v>0</v>
      </c>
      <c r="O1161" s="148">
        <v>0</v>
      </c>
      <c r="P1161" s="149">
        <v>0</v>
      </c>
      <c r="Q1161" s="148">
        <v>0</v>
      </c>
      <c r="R1161" s="150">
        <v>5108000</v>
      </c>
      <c r="S11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1" s="135">
        <f ca="1">+IF(PROVEEDORES[[#This Row],[FECHA DE PAGO]]=0,TODAY()-PROVEEDORES[[#This Row],[FECHA DE FACTURACIÓN]]-PROVEEDORES[[#This Row],[PLAZO Días]],0)</f>
        <v>0</v>
      </c>
      <c r="U1161" s="135">
        <f>+VLOOKUP(PROVEEDORES[[#This Row],[PROVEEDOR]],Terceros!$A:$D,4,FALSE)</f>
        <v>0</v>
      </c>
      <c r="V1161" s="135">
        <f>+YEAR(PROVEEDORES[[#This Row],[FECHA DE FACTURACIÓN]])</f>
        <v>2024</v>
      </c>
      <c r="W1161" s="135">
        <f>+MATCH(PROVEEDORES[[#This Row],[año facturado]],Retenciones!$1:$1,0)</f>
        <v>7</v>
      </c>
      <c r="X1161" s="136">
        <f>+VLOOKUP(PROVEEDORES[[#This Row],[ID RETENCION]],Retenciones!$A$1:$O$25,PROVEEDORES[[#This Row],[indicador de columna]],FALSE)</f>
        <v>0</v>
      </c>
      <c r="Y1161" s="137">
        <f>+VLOOKUP(PROVEEDORES[[#This Row],[ID RETENCION]],Retenciones!$A$1:$O$25,2,FALSE)</f>
        <v>0</v>
      </c>
      <c r="Z1161" s="126" t="b">
        <f>+OR(COUNTIF(PROVEEDORES[[#This Row],[PROVEEDOR]],"*"&amp;'Palabra que no opera y Listas d'!$A$2&amp;"*"))</f>
        <v>0</v>
      </c>
    </row>
    <row r="1162" spans="1:26" ht="27.75" customHeight="1" x14ac:dyDescent="0.25">
      <c r="A1162" s="141" t="str">
        <f>+IF(PROVEEDORES[[#This Row],[FECHA DE PAGO]]=PROVEEDORES[[#This Row],[FECHA DE FACTURACIÓN]],"DE CONTADO","CRÉDITO")</f>
        <v>CRÉDITO</v>
      </c>
      <c r="B1162" s="138" t="b">
        <f>+IF((PROVEEDORES[[#This Row],[FECHA DE PAGO]]-PROVEEDORES[[#This Row],[FECHA DE FACTURACIÓN]])&gt;PROVEEDORES[[#This Row],[PLAZO Días]],"PAGO VENCIDO")</f>
        <v>0</v>
      </c>
      <c r="C1162" s="138">
        <f>+VLOOKUP(PROVEEDORES[[#This Row],[PROVEEDOR]],TERCEROS_INFO[#All],2,FALSE)</f>
        <v>60</v>
      </c>
      <c r="D1162" s="139">
        <f>+SUMIFS(PROVEEDORES[Total],PROVEEDORES[PROVEEDOR],PROVEEDORES[[#This Row],[PROVEEDOR]],PROVEEDORES[FECHA DE PAGO],"")</f>
        <v>19124998.199999999</v>
      </c>
      <c r="E1162" s="140"/>
      <c r="F1162" s="13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162" s="127">
        <v>45310</v>
      </c>
      <c r="H1162" s="123" t="s">
        <v>30</v>
      </c>
      <c r="I1162" s="127">
        <v>45250</v>
      </c>
      <c r="J1162" s="124" t="s">
        <v>1469</v>
      </c>
      <c r="K1162" s="124" t="s">
        <v>1530</v>
      </c>
      <c r="L1162" s="124"/>
      <c r="M1162" s="125">
        <v>98075240</v>
      </c>
      <c r="N1162" s="148">
        <v>0</v>
      </c>
      <c r="O1162" s="148">
        <v>0</v>
      </c>
      <c r="P1162" s="149">
        <v>0</v>
      </c>
      <c r="Q1162" s="148">
        <v>0</v>
      </c>
      <c r="R1162" s="150">
        <v>98075240</v>
      </c>
      <c r="S11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2" s="135">
        <f ca="1">+IF(PROVEEDORES[[#This Row],[FECHA DE PAGO]]=0,TODAY()-PROVEEDORES[[#This Row],[FECHA DE FACTURACIÓN]]-PROVEEDORES[[#This Row],[PLAZO Días]],0)</f>
        <v>0</v>
      </c>
      <c r="U1162" s="135">
        <f>+VLOOKUP(PROVEEDORES[[#This Row],[PROVEEDOR]],Terceros!$A:$D,4,FALSE)</f>
        <v>0</v>
      </c>
      <c r="V1162" s="135">
        <f>+YEAR(PROVEEDORES[[#This Row],[FECHA DE FACTURACIÓN]])</f>
        <v>2023</v>
      </c>
      <c r="W1162" s="135">
        <f>+MATCH(PROVEEDORES[[#This Row],[año facturado]],Retenciones!$1:$1,0)</f>
        <v>6</v>
      </c>
      <c r="X1162" s="136">
        <f>+VLOOKUP(PROVEEDORES[[#This Row],[ID RETENCION]],Retenciones!$A$1:$O$25,PROVEEDORES[[#This Row],[indicador de columna]],FALSE)</f>
        <v>0</v>
      </c>
      <c r="Y1162" s="137">
        <f>+VLOOKUP(PROVEEDORES[[#This Row],[ID RETENCION]],Retenciones!$A$1:$O$25,2,FALSE)</f>
        <v>0</v>
      </c>
      <c r="Z1162" s="126" t="b">
        <f>+OR(COUNTIF(PROVEEDORES[[#This Row],[PROVEEDOR]],"*"&amp;'Palabra que no opera y Listas d'!$A$2&amp;"*"))</f>
        <v>0</v>
      </c>
    </row>
    <row r="1163" spans="1:26" ht="27.75" customHeight="1" x14ac:dyDescent="0.25">
      <c r="A1163" s="141" t="str">
        <f>+IF(PROVEEDORES[[#This Row],[FECHA DE PAGO]]=PROVEEDORES[[#This Row],[FECHA DE FACTURACIÓN]],"DE CONTADO","CRÉDITO")</f>
        <v>CRÉDITO</v>
      </c>
      <c r="B1163" s="138" t="str">
        <f>+IF((PROVEEDORES[[#This Row],[FECHA DE PAGO]]-PROVEEDORES[[#This Row],[FECHA DE FACTURACIÓN]])&gt;PROVEEDORES[[#This Row],[PLAZO Días]],"PAGO VENCIDO")</f>
        <v>PAGO VENCIDO</v>
      </c>
      <c r="C1163" s="138">
        <f>+VLOOKUP(PROVEEDORES[[#This Row],[PROVEEDOR]],TERCEROS_INFO[#All],2,FALSE)</f>
        <v>30</v>
      </c>
      <c r="D1163" s="139">
        <f>+SUMIFS(PROVEEDORES[Total],PROVEEDORES[PROVEEDOR],PROVEEDORES[[#This Row],[PROVEEDOR]],PROVEEDORES[FECHA DE PAGO],"")</f>
        <v>8456975.129999999</v>
      </c>
      <c r="E1163" s="140"/>
      <c r="F1163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163" s="127">
        <v>45310</v>
      </c>
      <c r="H1163" s="123" t="s">
        <v>1464</v>
      </c>
      <c r="I1163" s="127">
        <v>45272</v>
      </c>
      <c r="J1163" s="124" t="s">
        <v>1362</v>
      </c>
      <c r="K1163" s="124" t="s">
        <v>1530</v>
      </c>
      <c r="L1163" s="124"/>
      <c r="M1163" s="125">
        <v>1577674</v>
      </c>
      <c r="N1163" s="148">
        <v>299758.06</v>
      </c>
      <c r="O1163" s="148">
        <v>0</v>
      </c>
      <c r="P1163" s="149">
        <v>2.5000000000000001E-2</v>
      </c>
      <c r="Q1163" s="148">
        <v>39441.850000000006</v>
      </c>
      <c r="R1163" s="150">
        <v>1837990.21</v>
      </c>
      <c r="S11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3" s="135">
        <f ca="1">+IF(PROVEEDORES[[#This Row],[FECHA DE PAGO]]=0,TODAY()-PROVEEDORES[[#This Row],[FECHA DE FACTURACIÓN]]-PROVEEDORES[[#This Row],[PLAZO Días]],0)</f>
        <v>0</v>
      </c>
      <c r="U1163" s="135" t="str">
        <f>+VLOOKUP(PROVEEDORES[[#This Row],[PROVEEDOR]],Terceros!$A:$D,4,FALSE)</f>
        <v>2,5% con base</v>
      </c>
      <c r="V1163" s="135">
        <f>+YEAR(PROVEEDORES[[#This Row],[FECHA DE FACTURACIÓN]])</f>
        <v>2023</v>
      </c>
      <c r="W1163" s="135">
        <f>+MATCH(PROVEEDORES[[#This Row],[año facturado]],Retenciones!$1:$1,0)</f>
        <v>6</v>
      </c>
      <c r="X1163" s="136">
        <f>+VLOOKUP(PROVEEDORES[[#This Row],[ID RETENCION]],Retenciones!$A$1:$O$25,PROVEEDORES[[#This Row],[indicador de columna]],FALSE)</f>
        <v>1145000</v>
      </c>
      <c r="Y1163" s="137">
        <f>+VLOOKUP(PROVEEDORES[[#This Row],[ID RETENCION]],Retenciones!$A$1:$O$25,2,FALSE)</f>
        <v>2.5000000000000001E-2</v>
      </c>
      <c r="Z1163" s="126" t="b">
        <f>+OR(COUNTIF(PROVEEDORES[[#This Row],[PROVEEDOR]],"*"&amp;'Palabra que no opera y Listas d'!$A$2&amp;"*"))</f>
        <v>0</v>
      </c>
    </row>
    <row r="1164" spans="1:26" ht="27.75" customHeight="1" x14ac:dyDescent="0.25">
      <c r="A1164" s="141" t="str">
        <f>+IF(PROVEEDORES[[#This Row],[FECHA DE PAGO]]=PROVEEDORES[[#This Row],[FECHA DE FACTURACIÓN]],"DE CONTADO","CRÉDITO")</f>
        <v>DE CONTADO</v>
      </c>
      <c r="B1164" s="138" t="b">
        <f>+IF((PROVEEDORES[[#This Row],[FECHA DE PAGO]]-PROVEEDORES[[#This Row],[FECHA DE FACTURACIÓN]])&gt;PROVEEDORES[[#This Row],[PLAZO Días]],"PAGO VENCIDO")</f>
        <v>0</v>
      </c>
      <c r="C1164" s="138">
        <f>+VLOOKUP(PROVEEDORES[[#This Row],[PROVEEDOR]],TERCEROS_INFO[#All],2,FALSE)</f>
        <v>10</v>
      </c>
      <c r="D1164" s="139">
        <f>+SUMIFS(PROVEEDORES[Total],PROVEEDORES[PROVEEDOR],PROVEEDORES[[#This Row],[PROVEEDOR]],PROVEEDORES[FECHA DE PAGO],"")</f>
        <v>0</v>
      </c>
      <c r="E1164" s="140"/>
      <c r="F1164" s="138">
        <f>+VLOOKUP(PROVEEDORES[[#This Row],[PROVEEDOR]],
                       Terceros!$A:$F,
                       5,
                       FALSE)</f>
        <v>0</v>
      </c>
      <c r="G1164" s="127">
        <v>45310</v>
      </c>
      <c r="H1164" s="123" t="s">
        <v>1457</v>
      </c>
      <c r="I1164" s="127">
        <v>45310</v>
      </c>
      <c r="J1164" s="124" t="s">
        <v>1458</v>
      </c>
      <c r="K1164" s="124" t="s">
        <v>1530</v>
      </c>
      <c r="L1164" s="124"/>
      <c r="M1164" s="125">
        <v>392000</v>
      </c>
      <c r="N1164" s="148">
        <v>0</v>
      </c>
      <c r="O1164" s="148">
        <v>0</v>
      </c>
      <c r="P1164" s="149">
        <v>0</v>
      </c>
      <c r="Q1164" s="148">
        <v>0</v>
      </c>
      <c r="R1164" s="150">
        <v>392000</v>
      </c>
      <c r="S11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4" s="135">
        <f ca="1">+IF(PROVEEDORES[[#This Row],[FECHA DE PAGO]]=0,TODAY()-PROVEEDORES[[#This Row],[FECHA DE FACTURACIÓN]]-PROVEEDORES[[#This Row],[PLAZO Días]],0)</f>
        <v>0</v>
      </c>
      <c r="U1164" s="135">
        <f>+VLOOKUP(PROVEEDORES[[#This Row],[PROVEEDOR]],Terceros!$A:$D,4,FALSE)</f>
        <v>0</v>
      </c>
      <c r="V1164" s="135">
        <f>+YEAR(PROVEEDORES[[#This Row],[FECHA DE FACTURACIÓN]])</f>
        <v>2024</v>
      </c>
      <c r="W1164" s="135">
        <f>+MATCH(PROVEEDORES[[#This Row],[año facturado]],Retenciones!$1:$1,0)</f>
        <v>7</v>
      </c>
      <c r="X1164" s="136">
        <f>+VLOOKUP(PROVEEDORES[[#This Row],[ID RETENCION]],Retenciones!$A$1:$O$25,PROVEEDORES[[#This Row],[indicador de columna]],FALSE)</f>
        <v>0</v>
      </c>
      <c r="Y1164" s="137">
        <f>+VLOOKUP(PROVEEDORES[[#This Row],[ID RETENCION]],Retenciones!$A$1:$O$25,2,FALSE)</f>
        <v>0</v>
      </c>
      <c r="Z1164" s="126" t="b">
        <f>+OR(COUNTIF(PROVEEDORES[[#This Row],[PROVEEDOR]],"*"&amp;'Palabra que no opera y Listas d'!$A$2&amp;"*"))</f>
        <v>0</v>
      </c>
    </row>
    <row r="1165" spans="1:26" ht="27.75" customHeight="1" x14ac:dyDescent="0.25">
      <c r="A1165" s="141" t="str">
        <f>+IF(PROVEEDORES[[#This Row],[FECHA DE PAGO]]=PROVEEDORES[[#This Row],[FECHA DE FACTURACIÓN]],"DE CONTADO","CRÉDITO")</f>
        <v>DE CONTADO</v>
      </c>
      <c r="B1165" s="138" t="b">
        <f>+IF((PROVEEDORES[[#This Row],[FECHA DE PAGO]]-PROVEEDORES[[#This Row],[FECHA DE FACTURACIÓN]])&gt;PROVEEDORES[[#This Row],[PLAZO Días]],"PAGO VENCIDO")</f>
        <v>0</v>
      </c>
      <c r="C1165" s="138">
        <f>+VLOOKUP(PROVEEDORES[[#This Row],[PROVEEDOR]],TERCEROS_INFO[#All],2,FALSE)</f>
        <v>30</v>
      </c>
      <c r="D1165" s="139">
        <f>+SUMIFS(PROVEEDORES[Total],PROVEEDORES[PROVEEDOR],PROVEEDORES[[#This Row],[PROVEEDOR]],PROVEEDORES[FECHA DE PAGO],"")</f>
        <v>1350000</v>
      </c>
      <c r="E1165" s="140"/>
      <c r="F1165" s="138" t="str">
        <f>+VLOOKUP(PROVEEDORES[[#This Row],[PROVEEDOR]],
                       Terceros!$A:$F,
                       5,
                       FALSE)</f>
        <v/>
      </c>
      <c r="G1165" s="127">
        <v>45311</v>
      </c>
      <c r="H1165" s="123" t="s">
        <v>1807</v>
      </c>
      <c r="I1165" s="127">
        <v>45311</v>
      </c>
      <c r="J1165" s="124"/>
      <c r="K1165" s="124" t="s">
        <v>1530</v>
      </c>
      <c r="L1165" s="124"/>
      <c r="M1165" s="125">
        <v>280000</v>
      </c>
      <c r="N1165" s="148">
        <v>0</v>
      </c>
      <c r="O1165" s="148">
        <v>0</v>
      </c>
      <c r="P1165" s="149">
        <v>0</v>
      </c>
      <c r="Q1165" s="148">
        <v>0</v>
      </c>
      <c r="R1165" s="150">
        <v>280000</v>
      </c>
      <c r="S11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5" s="135">
        <f ca="1">+IF(PROVEEDORES[[#This Row],[FECHA DE PAGO]]=0,TODAY()-PROVEEDORES[[#This Row],[FECHA DE FACTURACIÓN]]-PROVEEDORES[[#This Row],[PLAZO Días]],0)</f>
        <v>0</v>
      </c>
      <c r="U1165" s="135">
        <f>+VLOOKUP(PROVEEDORES[[#This Row],[PROVEEDOR]],Terceros!$A:$D,4,FALSE)</f>
        <v>0</v>
      </c>
      <c r="V1165" s="135">
        <f>+YEAR(PROVEEDORES[[#This Row],[FECHA DE FACTURACIÓN]])</f>
        <v>2024</v>
      </c>
      <c r="W1165" s="135">
        <f>+MATCH(PROVEEDORES[[#This Row],[año facturado]],Retenciones!$1:$1,0)</f>
        <v>7</v>
      </c>
      <c r="X1165" s="136">
        <f>+VLOOKUP(PROVEEDORES[[#This Row],[ID RETENCION]],Retenciones!$A$1:$O$25,PROVEEDORES[[#This Row],[indicador de columna]],FALSE)</f>
        <v>0</v>
      </c>
      <c r="Y1165" s="137">
        <f>+VLOOKUP(PROVEEDORES[[#This Row],[ID RETENCION]],Retenciones!$A$1:$O$25,2,FALSE)</f>
        <v>0</v>
      </c>
      <c r="Z1165" s="126" t="b">
        <f>+OR(COUNTIF(PROVEEDORES[[#This Row],[PROVEEDOR]],"*"&amp;'Palabra que no opera y Listas d'!$A$2&amp;"*"))</f>
        <v>0</v>
      </c>
    </row>
    <row r="1166" spans="1:26" ht="27.75" customHeight="1" x14ac:dyDescent="0.25">
      <c r="A1166" s="141" t="str">
        <f>+IF(PROVEEDORES[[#This Row],[FECHA DE PAGO]]=PROVEEDORES[[#This Row],[FECHA DE FACTURACIÓN]],"DE CONTADO","CRÉDITO")</f>
        <v>DE CONTADO</v>
      </c>
      <c r="B1166" s="138" t="b">
        <f>+IF((PROVEEDORES[[#This Row],[FECHA DE PAGO]]-PROVEEDORES[[#This Row],[FECHA DE FACTURACIÓN]])&gt;PROVEEDORES[[#This Row],[PLAZO Días]],"PAGO VENCIDO")</f>
        <v>0</v>
      </c>
      <c r="C1166" s="138">
        <f>+VLOOKUP(PROVEEDORES[[#This Row],[PROVEEDOR]],TERCEROS_INFO[#All],2,FALSE)</f>
        <v>30</v>
      </c>
      <c r="D1166" s="139">
        <f>+SUMIFS(PROVEEDORES[Total],PROVEEDORES[PROVEEDOR],PROVEEDORES[[#This Row],[PROVEEDOR]],PROVEEDORES[FECHA DE PAGO],"")</f>
        <v>1350000</v>
      </c>
      <c r="E1166" s="140"/>
      <c r="F1166" s="138" t="str">
        <f>+VLOOKUP(PROVEEDORES[[#This Row],[PROVEEDOR]],
                       Terceros!$A:$F,
                       5,
                       FALSE)</f>
        <v/>
      </c>
      <c r="G1166" s="127">
        <v>45311</v>
      </c>
      <c r="H1166" s="123" t="s">
        <v>1807</v>
      </c>
      <c r="I1166" s="127">
        <v>45311</v>
      </c>
      <c r="J1166" s="124" t="s">
        <v>1459</v>
      </c>
      <c r="K1166" s="124" t="s">
        <v>1530</v>
      </c>
      <c r="L1166" s="124"/>
      <c r="M1166" s="125">
        <v>880000</v>
      </c>
      <c r="N1166" s="148">
        <v>0</v>
      </c>
      <c r="O1166" s="148">
        <v>0</v>
      </c>
      <c r="P1166" s="149">
        <v>0</v>
      </c>
      <c r="Q1166" s="148">
        <v>0</v>
      </c>
      <c r="R1166" s="150">
        <v>880000</v>
      </c>
      <c r="S11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6" s="135">
        <f ca="1">+IF(PROVEEDORES[[#This Row],[FECHA DE PAGO]]=0,TODAY()-PROVEEDORES[[#This Row],[FECHA DE FACTURACIÓN]]-PROVEEDORES[[#This Row],[PLAZO Días]],0)</f>
        <v>0</v>
      </c>
      <c r="U1166" s="135">
        <f>+VLOOKUP(PROVEEDORES[[#This Row],[PROVEEDOR]],Terceros!$A:$D,4,FALSE)</f>
        <v>0</v>
      </c>
      <c r="V1166" s="135">
        <f>+YEAR(PROVEEDORES[[#This Row],[FECHA DE FACTURACIÓN]])</f>
        <v>2024</v>
      </c>
      <c r="W1166" s="135">
        <f>+MATCH(PROVEEDORES[[#This Row],[año facturado]],Retenciones!$1:$1,0)</f>
        <v>7</v>
      </c>
      <c r="X1166" s="136">
        <f>+VLOOKUP(PROVEEDORES[[#This Row],[ID RETENCION]],Retenciones!$A$1:$O$25,PROVEEDORES[[#This Row],[indicador de columna]],FALSE)</f>
        <v>0</v>
      </c>
      <c r="Y1166" s="137">
        <f>+VLOOKUP(PROVEEDORES[[#This Row],[ID RETENCION]],Retenciones!$A$1:$O$25,2,FALSE)</f>
        <v>0</v>
      </c>
      <c r="Z1166" s="126" t="b">
        <f>+OR(COUNTIF(PROVEEDORES[[#This Row],[PROVEEDOR]],"*"&amp;'Palabra que no opera y Listas d'!$A$2&amp;"*"))</f>
        <v>0</v>
      </c>
    </row>
    <row r="1167" spans="1:26" ht="27.75" customHeight="1" x14ac:dyDescent="0.25">
      <c r="A1167" s="141" t="str">
        <f>+IF(PROVEEDORES[[#This Row],[FECHA DE PAGO]]=PROVEEDORES[[#This Row],[FECHA DE FACTURACIÓN]],"DE CONTADO","CRÉDITO")</f>
        <v>CRÉDITO</v>
      </c>
      <c r="B1167" s="138" t="b">
        <f>+IF((PROVEEDORES[[#This Row],[FECHA DE PAGO]]-PROVEEDORES[[#This Row],[FECHA DE FACTURACIÓN]])&gt;PROVEEDORES[[#This Row],[PLAZO Días]],"PAGO VENCIDO")</f>
        <v>0</v>
      </c>
      <c r="C1167" s="138">
        <f>+VLOOKUP(PROVEEDORES[[#This Row],[PROVEEDOR]],TERCEROS_INFO[#All],2,FALSE)</f>
        <v>30</v>
      </c>
      <c r="D1167" s="139">
        <f>+SUMIFS(PROVEEDORES[Total],PROVEEDORES[PROVEEDOR],PROVEEDORES[[#This Row],[PROVEEDOR]],PROVEEDORES[FECHA DE PAGO],"")</f>
        <v>0</v>
      </c>
      <c r="E1167" s="140"/>
      <c r="F1167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167" s="127">
        <v>45313</v>
      </c>
      <c r="H1167" s="123" t="s">
        <v>382</v>
      </c>
      <c r="I1167" s="127">
        <v>45323</v>
      </c>
      <c r="J1167" s="124" t="s">
        <v>1474</v>
      </c>
      <c r="K1167" s="124" t="s">
        <v>1530</v>
      </c>
      <c r="L1167" s="124"/>
      <c r="M1167" s="125">
        <v>25000</v>
      </c>
      <c r="N1167" s="148">
        <v>0</v>
      </c>
      <c r="O1167" s="148">
        <v>0</v>
      </c>
      <c r="P1167" s="149">
        <v>0</v>
      </c>
      <c r="Q1167" s="148">
        <v>0</v>
      </c>
      <c r="R1167" s="150">
        <v>25000</v>
      </c>
      <c r="S11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7" s="135">
        <f ca="1">+IF(PROVEEDORES[[#This Row],[FECHA DE PAGO]]=0,TODAY()-PROVEEDORES[[#This Row],[FECHA DE FACTURACIÓN]]-PROVEEDORES[[#This Row],[PLAZO Días]],0)</f>
        <v>0</v>
      </c>
      <c r="U1167" s="135">
        <f>+VLOOKUP(PROVEEDORES[[#This Row],[PROVEEDOR]],Terceros!$A:$D,4,FALSE)</f>
        <v>0</v>
      </c>
      <c r="V1167" s="135">
        <f>+YEAR(PROVEEDORES[[#This Row],[FECHA DE FACTURACIÓN]])</f>
        <v>2024</v>
      </c>
      <c r="W1167" s="135">
        <f>+MATCH(PROVEEDORES[[#This Row],[año facturado]],Retenciones!$1:$1,0)</f>
        <v>7</v>
      </c>
      <c r="X1167" s="136">
        <f>+VLOOKUP(PROVEEDORES[[#This Row],[ID RETENCION]],Retenciones!$A$1:$O$25,PROVEEDORES[[#This Row],[indicador de columna]],FALSE)</f>
        <v>0</v>
      </c>
      <c r="Y1167" s="137">
        <f>+VLOOKUP(PROVEEDORES[[#This Row],[ID RETENCION]],Retenciones!$A$1:$O$25,2,FALSE)</f>
        <v>0</v>
      </c>
      <c r="Z1167" s="126" t="b">
        <f>+OR(COUNTIF(PROVEEDORES[[#This Row],[PROVEEDOR]],"*"&amp;'Palabra que no opera y Listas d'!$A$2&amp;"*"))</f>
        <v>1</v>
      </c>
    </row>
    <row r="1168" spans="1:26" ht="27.75" customHeight="1" x14ac:dyDescent="0.25">
      <c r="A1168" s="141" t="str">
        <f>+IF(PROVEEDORES[[#This Row],[FECHA DE PAGO]]=PROVEEDORES[[#This Row],[FECHA DE FACTURACIÓN]],"DE CONTADO","CRÉDITO")</f>
        <v>CRÉDITO</v>
      </c>
      <c r="B1168" s="138" t="str">
        <f>+IF((PROVEEDORES[[#This Row],[FECHA DE PAGO]]-PROVEEDORES[[#This Row],[FECHA DE FACTURACIÓN]])&gt;PROVEEDORES[[#This Row],[PLAZO Días]],"PAGO VENCIDO")</f>
        <v>PAGO VENCIDO</v>
      </c>
      <c r="C1168" s="138">
        <f>+VLOOKUP(PROVEEDORES[[#This Row],[PROVEEDOR]],TERCEROS_INFO[#All],2,FALSE)</f>
        <v>60</v>
      </c>
      <c r="D1168" s="139">
        <f>+SUMIFS(PROVEEDORES[Total],PROVEEDORES[PROVEEDOR],PROVEEDORES[[#This Row],[PROVEEDOR]],PROVEEDORES[FECHA DE PAGO],"")</f>
        <v>19124998.199999999</v>
      </c>
      <c r="E1168" s="140"/>
      <c r="F1168" s="13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168" s="127">
        <v>45314</v>
      </c>
      <c r="H1168" s="123" t="s">
        <v>30</v>
      </c>
      <c r="I1168" s="127">
        <v>45247</v>
      </c>
      <c r="J1168" s="124" t="s">
        <v>1468</v>
      </c>
      <c r="K1168" s="124" t="s">
        <v>1530</v>
      </c>
      <c r="L1168" s="124"/>
      <c r="M1168" s="125">
        <v>14553283</v>
      </c>
      <c r="N1168" s="148">
        <v>0</v>
      </c>
      <c r="O1168" s="148">
        <v>0</v>
      </c>
      <c r="P1168" s="149">
        <v>0</v>
      </c>
      <c r="Q1168" s="148">
        <v>0</v>
      </c>
      <c r="R1168" s="150">
        <v>14553283</v>
      </c>
      <c r="S11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8" s="135">
        <f ca="1">+IF(PROVEEDORES[[#This Row],[FECHA DE PAGO]]=0,TODAY()-PROVEEDORES[[#This Row],[FECHA DE FACTURACIÓN]]-PROVEEDORES[[#This Row],[PLAZO Días]],0)</f>
        <v>0</v>
      </c>
      <c r="U1168" s="135">
        <f>+VLOOKUP(PROVEEDORES[[#This Row],[PROVEEDOR]],Terceros!$A:$D,4,FALSE)</f>
        <v>0</v>
      </c>
      <c r="V1168" s="135">
        <f>+YEAR(PROVEEDORES[[#This Row],[FECHA DE FACTURACIÓN]])</f>
        <v>2023</v>
      </c>
      <c r="W1168" s="135">
        <f>+MATCH(PROVEEDORES[[#This Row],[año facturado]],Retenciones!$1:$1,0)</f>
        <v>6</v>
      </c>
      <c r="X1168" s="136">
        <f>+VLOOKUP(PROVEEDORES[[#This Row],[ID RETENCION]],Retenciones!$A$1:$O$25,PROVEEDORES[[#This Row],[indicador de columna]],FALSE)</f>
        <v>0</v>
      </c>
      <c r="Y1168" s="137">
        <f>+VLOOKUP(PROVEEDORES[[#This Row],[ID RETENCION]],Retenciones!$A$1:$O$25,2,FALSE)</f>
        <v>0</v>
      </c>
      <c r="Z1168" s="126" t="b">
        <f>+OR(COUNTIF(PROVEEDORES[[#This Row],[PROVEEDOR]],"*"&amp;'Palabra que no opera y Listas d'!$A$2&amp;"*"))</f>
        <v>0</v>
      </c>
    </row>
    <row r="1169" spans="1:26" ht="27.75" customHeight="1" x14ac:dyDescent="0.25">
      <c r="A1169" s="141" t="str">
        <f>+IF(PROVEEDORES[[#This Row],[FECHA DE PAGO]]=PROVEEDORES[[#This Row],[FECHA DE FACTURACIÓN]],"DE CONTADO","CRÉDITO")</f>
        <v>CRÉDITO</v>
      </c>
      <c r="B1169" s="138" t="str">
        <f>+IF((PROVEEDORES[[#This Row],[FECHA DE PAGO]]-PROVEEDORES[[#This Row],[FECHA DE FACTURACIÓN]])&gt;PROVEEDORES[[#This Row],[PLAZO Días]],"PAGO VENCIDO")</f>
        <v>PAGO VENCIDO</v>
      </c>
      <c r="C1169" s="138">
        <f>+VLOOKUP(PROVEEDORES[[#This Row],[PROVEEDOR]],TERCEROS_INFO[#All],2,FALSE)</f>
        <v>60</v>
      </c>
      <c r="D1169" s="139">
        <f>+SUMIFS(PROVEEDORES[Total],PROVEEDORES[PROVEEDOR],PROVEEDORES[[#This Row],[PROVEEDOR]],PROVEEDORES[FECHA DE PAGO],"")</f>
        <v>0</v>
      </c>
      <c r="E1169" s="140"/>
      <c r="F1169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1169" s="127">
        <v>45314</v>
      </c>
      <c r="H1169" s="123" t="s">
        <v>65</v>
      </c>
      <c r="I1169" s="127">
        <v>45251</v>
      </c>
      <c r="J1169" s="124" t="s">
        <v>1527</v>
      </c>
      <c r="K1169" s="124" t="s">
        <v>1530</v>
      </c>
      <c r="L1169" s="124"/>
      <c r="M1169" s="125">
        <v>8710860</v>
      </c>
      <c r="N1169" s="148">
        <v>1655063.4</v>
      </c>
      <c r="O1169" s="148">
        <v>0</v>
      </c>
      <c r="P1169" s="149">
        <v>2.5000000000000001E-2</v>
      </c>
      <c r="Q1169" s="148">
        <v>217771.5</v>
      </c>
      <c r="R1169" s="150">
        <v>10148151.9</v>
      </c>
      <c r="S11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69" s="135">
        <f ca="1">+IF(PROVEEDORES[[#This Row],[FECHA DE PAGO]]=0,TODAY()-PROVEEDORES[[#This Row],[FECHA DE FACTURACIÓN]]-PROVEEDORES[[#This Row],[PLAZO Días]],0)</f>
        <v>0</v>
      </c>
      <c r="U1169" s="135" t="str">
        <f>+VLOOKUP(PROVEEDORES[[#This Row],[PROVEEDOR]],Terceros!$A:$D,4,FALSE)</f>
        <v>2,5% con base</v>
      </c>
      <c r="V1169" s="135">
        <f>+YEAR(PROVEEDORES[[#This Row],[FECHA DE FACTURACIÓN]])</f>
        <v>2023</v>
      </c>
      <c r="W1169" s="135">
        <f>+MATCH(PROVEEDORES[[#This Row],[año facturado]],Retenciones!$1:$1,0)</f>
        <v>6</v>
      </c>
      <c r="X1169" s="136">
        <f>+VLOOKUP(PROVEEDORES[[#This Row],[ID RETENCION]],Retenciones!$A$1:$O$25,PROVEEDORES[[#This Row],[indicador de columna]],FALSE)</f>
        <v>1145000</v>
      </c>
      <c r="Y1169" s="137">
        <f>+VLOOKUP(PROVEEDORES[[#This Row],[ID RETENCION]],Retenciones!$A$1:$O$25,2,FALSE)</f>
        <v>2.5000000000000001E-2</v>
      </c>
      <c r="Z1169" s="126" t="b">
        <f>+OR(COUNTIF(PROVEEDORES[[#This Row],[PROVEEDOR]],"*"&amp;'Palabra que no opera y Listas d'!$A$2&amp;"*"))</f>
        <v>0</v>
      </c>
    </row>
    <row r="1170" spans="1:26" ht="27.75" customHeight="1" x14ac:dyDescent="0.25">
      <c r="A1170" s="141" t="str">
        <f>+IF(PROVEEDORES[[#This Row],[FECHA DE PAGO]]=PROVEEDORES[[#This Row],[FECHA DE FACTURACIÓN]],"DE CONTADO","CRÉDITO")</f>
        <v>CRÉDITO</v>
      </c>
      <c r="B1170" s="138" t="b">
        <f>+IF((PROVEEDORES[[#This Row],[FECHA DE PAGO]]-PROVEEDORES[[#This Row],[FECHA DE FACTURACIÓN]])&gt;PROVEEDORES[[#This Row],[PLAZO Días]],"PAGO VENCIDO")</f>
        <v>0</v>
      </c>
      <c r="C1170" s="138">
        <f>+VLOOKUP(PROVEEDORES[[#This Row],[PROVEEDOR]],TERCEROS_INFO[#All],2,FALSE)</f>
        <v>60</v>
      </c>
      <c r="D1170" s="139">
        <f>+SUMIFS(PROVEEDORES[Total],PROVEEDORES[PROVEEDOR],PROVEEDORES[[#This Row],[PROVEEDOR]],PROVEEDORES[FECHA DE PAGO],"")</f>
        <v>0</v>
      </c>
      <c r="E1170" s="140"/>
      <c r="F1170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1170" s="127">
        <v>45314</v>
      </c>
      <c r="H1170" s="123" t="s">
        <v>65</v>
      </c>
      <c r="I1170" s="127">
        <v>45271</v>
      </c>
      <c r="J1170" s="124" t="s">
        <v>1359</v>
      </c>
      <c r="K1170" s="124" t="s">
        <v>1530</v>
      </c>
      <c r="L1170" s="124"/>
      <c r="M1170" s="125">
        <v>3963010</v>
      </c>
      <c r="N1170" s="148">
        <v>752971.9</v>
      </c>
      <c r="O1170" s="148">
        <v>0</v>
      </c>
      <c r="P1170" s="149">
        <v>2.5000000000000001E-2</v>
      </c>
      <c r="Q1170" s="148">
        <v>99075.25</v>
      </c>
      <c r="R1170" s="150">
        <v>4616906.6500000004</v>
      </c>
      <c r="S11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0" s="135">
        <f ca="1">+IF(PROVEEDORES[[#This Row],[FECHA DE PAGO]]=0,TODAY()-PROVEEDORES[[#This Row],[FECHA DE FACTURACIÓN]]-PROVEEDORES[[#This Row],[PLAZO Días]],0)</f>
        <v>0</v>
      </c>
      <c r="U1170" s="135" t="str">
        <f>+VLOOKUP(PROVEEDORES[[#This Row],[PROVEEDOR]],Terceros!$A:$D,4,FALSE)</f>
        <v>2,5% con base</v>
      </c>
      <c r="V1170" s="135">
        <f>+YEAR(PROVEEDORES[[#This Row],[FECHA DE FACTURACIÓN]])</f>
        <v>2023</v>
      </c>
      <c r="W1170" s="135">
        <f>+MATCH(PROVEEDORES[[#This Row],[año facturado]],Retenciones!$1:$1,0)</f>
        <v>6</v>
      </c>
      <c r="X1170" s="136">
        <f>+VLOOKUP(PROVEEDORES[[#This Row],[ID RETENCION]],Retenciones!$A$1:$O$25,PROVEEDORES[[#This Row],[indicador de columna]],FALSE)</f>
        <v>1145000</v>
      </c>
      <c r="Y1170" s="137">
        <f>+VLOOKUP(PROVEEDORES[[#This Row],[ID RETENCION]],Retenciones!$A$1:$O$25,2,FALSE)</f>
        <v>2.5000000000000001E-2</v>
      </c>
      <c r="Z1170" s="126" t="b">
        <f>+OR(COUNTIF(PROVEEDORES[[#This Row],[PROVEEDOR]],"*"&amp;'Palabra que no opera y Listas d'!$A$2&amp;"*"))</f>
        <v>0</v>
      </c>
    </row>
    <row r="1171" spans="1:26" ht="27.75" customHeight="1" x14ac:dyDescent="0.25">
      <c r="A1171" s="141" t="str">
        <f>+IF(PROVEEDORES[[#This Row],[FECHA DE PAGO]]=PROVEEDORES[[#This Row],[FECHA DE FACTURACIÓN]],"DE CONTADO","CRÉDITO")</f>
        <v>CRÉDITO</v>
      </c>
      <c r="B1171" s="138" t="b">
        <f>+IF((PROVEEDORES[[#This Row],[FECHA DE PAGO]]-PROVEEDORES[[#This Row],[FECHA DE FACTURACIÓN]])&gt;PROVEEDORES[[#This Row],[PLAZO Días]],"PAGO VENCIDO")</f>
        <v>0</v>
      </c>
      <c r="C1171" s="138">
        <f>+VLOOKUP(PROVEEDORES[[#This Row],[PROVEEDOR]],TERCEROS_INFO[#All],2,FALSE)</f>
        <v>60</v>
      </c>
      <c r="D1171" s="139">
        <f>+SUMIFS(PROVEEDORES[Total],PROVEEDORES[PROVEEDOR],PROVEEDORES[[#This Row],[PROVEEDOR]],PROVEEDORES[FECHA DE PAGO],"")</f>
        <v>0</v>
      </c>
      <c r="E1171" s="140"/>
      <c r="F1171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1171" s="127">
        <v>45314</v>
      </c>
      <c r="H1171" s="123" t="s">
        <v>65</v>
      </c>
      <c r="I1171" s="127">
        <v>45274</v>
      </c>
      <c r="J1171" s="124" t="s">
        <v>1526</v>
      </c>
      <c r="K1171" s="124" t="s">
        <v>1530</v>
      </c>
      <c r="L1171" s="124"/>
      <c r="M1171" s="125">
        <v>10849593</v>
      </c>
      <c r="N1171" s="148">
        <v>2061422.67</v>
      </c>
      <c r="O1171" s="148">
        <v>0</v>
      </c>
      <c r="P1171" s="149">
        <v>2.5000000000000001E-2</v>
      </c>
      <c r="Q1171" s="148">
        <v>271239.82500000001</v>
      </c>
      <c r="R1171" s="150">
        <v>12639775.845000001</v>
      </c>
      <c r="S11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1" s="135">
        <f ca="1">+IF(PROVEEDORES[[#This Row],[FECHA DE PAGO]]=0,TODAY()-PROVEEDORES[[#This Row],[FECHA DE FACTURACIÓN]]-PROVEEDORES[[#This Row],[PLAZO Días]],0)</f>
        <v>0</v>
      </c>
      <c r="U1171" s="135" t="str">
        <f>+VLOOKUP(PROVEEDORES[[#This Row],[PROVEEDOR]],Terceros!$A:$D,4,FALSE)</f>
        <v>2,5% con base</v>
      </c>
      <c r="V1171" s="135">
        <f>+YEAR(PROVEEDORES[[#This Row],[FECHA DE FACTURACIÓN]])</f>
        <v>2023</v>
      </c>
      <c r="W1171" s="135">
        <f>+MATCH(PROVEEDORES[[#This Row],[año facturado]],Retenciones!$1:$1,0)</f>
        <v>6</v>
      </c>
      <c r="X1171" s="136">
        <f>+VLOOKUP(PROVEEDORES[[#This Row],[ID RETENCION]],Retenciones!$A$1:$O$25,PROVEEDORES[[#This Row],[indicador de columna]],FALSE)</f>
        <v>1145000</v>
      </c>
      <c r="Y1171" s="137">
        <f>+VLOOKUP(PROVEEDORES[[#This Row],[ID RETENCION]],Retenciones!$A$1:$O$25,2,FALSE)</f>
        <v>2.5000000000000001E-2</v>
      </c>
      <c r="Z1171" s="126" t="b">
        <f>+OR(COUNTIF(PROVEEDORES[[#This Row],[PROVEEDOR]],"*"&amp;'Palabra que no opera y Listas d'!$A$2&amp;"*"))</f>
        <v>0</v>
      </c>
    </row>
    <row r="1172" spans="1:26" ht="27.75" customHeight="1" x14ac:dyDescent="0.25">
      <c r="A1172" s="141" t="str">
        <f>+IF(PROVEEDORES[[#This Row],[FECHA DE PAGO]]=PROVEEDORES[[#This Row],[FECHA DE FACTURACIÓN]],"DE CONTADO","CRÉDITO")</f>
        <v>DE CONTADO</v>
      </c>
      <c r="B1172" s="138" t="e">
        <f>+IF((PROVEEDORES[[#This Row],[FECHA DE PAGO]]-PROVEEDORES[[#This Row],[FECHA DE FACTURACIÓN]])&gt;PROVEEDORES[[#This Row],[PLAZO Días]],"PAGO VENCIDO")</f>
        <v>#N/A</v>
      </c>
      <c r="C1172" s="138" t="e">
        <f>+VLOOKUP(PROVEEDORES[[#This Row],[PROVEEDOR]],TERCEROS_INFO[#All],2,FALSE)</f>
        <v>#N/A</v>
      </c>
      <c r="D1172" s="139">
        <f>+SUMIFS(PROVEEDORES[Total],PROVEEDORES[PROVEEDOR],PROVEEDORES[[#This Row],[PROVEEDOR]],PROVEEDORES[FECHA DE PAGO],"")</f>
        <v>560900</v>
      </c>
      <c r="E1172" s="140"/>
      <c r="F1172" s="138" t="e">
        <f>+VLOOKUP(PROVEEDORES[[#This Row],[PROVEEDOR]],
                       Terceros!$A:$F,
                       5,
                       FALSE)</f>
        <v>#N/A</v>
      </c>
      <c r="G1172" s="127">
        <v>45314</v>
      </c>
      <c r="H1172" s="123" t="s">
        <v>1887</v>
      </c>
      <c r="I1172" s="127">
        <v>45314</v>
      </c>
      <c r="J1172" s="124" t="s">
        <v>1483</v>
      </c>
      <c r="K1172" s="124" t="s">
        <v>1530</v>
      </c>
      <c r="L1172" s="124"/>
      <c r="M1172" s="125">
        <v>72000</v>
      </c>
      <c r="N1172" s="148">
        <v>13680</v>
      </c>
      <c r="O1172" s="148">
        <v>0</v>
      </c>
      <c r="P1172" s="149">
        <v>0</v>
      </c>
      <c r="Q1172" s="148">
        <v>0</v>
      </c>
      <c r="R1172" s="150">
        <v>85680</v>
      </c>
      <c r="S11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2" s="135">
        <f ca="1">+IF(PROVEEDORES[[#This Row],[FECHA DE PAGO]]=0,TODAY()-PROVEEDORES[[#This Row],[FECHA DE FACTURACIÓN]]-PROVEEDORES[[#This Row],[PLAZO Días]],0)</f>
        <v>0</v>
      </c>
      <c r="U1172" s="135" t="e">
        <f>+VLOOKUP(PROVEEDORES[[#This Row],[PROVEEDOR]],Terceros!$A:$D,4,FALSE)</f>
        <v>#N/A</v>
      </c>
      <c r="V1172" s="135">
        <f>+YEAR(PROVEEDORES[[#This Row],[FECHA DE FACTURACIÓN]])</f>
        <v>2024</v>
      </c>
      <c r="W1172" s="135">
        <f>+MATCH(PROVEEDORES[[#This Row],[año facturado]],Retenciones!$1:$1,0)</f>
        <v>7</v>
      </c>
      <c r="X1172" s="136" t="e">
        <f>+VLOOKUP(PROVEEDORES[[#This Row],[ID RETENCION]],Retenciones!$A$1:$O$25,PROVEEDORES[[#This Row],[indicador de columna]],FALSE)</f>
        <v>#N/A</v>
      </c>
      <c r="Y1172" s="137" t="e">
        <f>+VLOOKUP(PROVEEDORES[[#This Row],[ID RETENCION]],Retenciones!$A$1:$O$25,2,FALSE)</f>
        <v>#N/A</v>
      </c>
      <c r="Z1172" s="126" t="b">
        <f>+OR(COUNTIF(PROVEEDORES[[#This Row],[PROVEEDOR]],"*"&amp;'Palabra que no opera y Listas d'!$A$2&amp;"*"))</f>
        <v>0</v>
      </c>
    </row>
    <row r="1173" spans="1:26" ht="27.75" customHeight="1" x14ac:dyDescent="0.25">
      <c r="A1173" s="141" t="str">
        <f>+IF(PROVEEDORES[[#This Row],[FECHA DE PAGO]]=PROVEEDORES[[#This Row],[FECHA DE FACTURACIÓN]],"DE CONTADO","CRÉDITO")</f>
        <v>DE CONTADO</v>
      </c>
      <c r="B1173" s="138" t="b">
        <f>+IF((PROVEEDORES[[#This Row],[FECHA DE PAGO]]-PROVEEDORES[[#This Row],[FECHA DE FACTURACIÓN]])&gt;PROVEEDORES[[#This Row],[PLAZO Días]],"PAGO VENCIDO")</f>
        <v>0</v>
      </c>
      <c r="C1173" s="138">
        <f>+VLOOKUP(PROVEEDORES[[#This Row],[PROVEEDOR]],TERCEROS_INFO[#All],2,FALSE)</f>
        <v>30</v>
      </c>
      <c r="D1173" s="139">
        <f>+SUMIFS(PROVEEDORES[Total],PROVEEDORES[PROVEEDOR],PROVEEDORES[[#This Row],[PROVEEDOR]],PROVEEDORES[FECHA DE PAGO],"")</f>
        <v>0</v>
      </c>
      <c r="E1173" s="140"/>
      <c r="F1173" s="138" t="str">
        <f>+VLOOKUP(PROVEEDORES[[#This Row],[PROVEEDOR]],
                       Terceros!$A:$F,
                       5,
                       FALSE)</f>
        <v/>
      </c>
      <c r="G1173" s="127">
        <v>45315</v>
      </c>
      <c r="H1173" s="123" t="s">
        <v>1824</v>
      </c>
      <c r="I1173" s="127">
        <v>45315</v>
      </c>
      <c r="J1173" s="124"/>
      <c r="K1173" s="124" t="s">
        <v>1530</v>
      </c>
      <c r="L1173" s="124"/>
      <c r="M1173" s="125">
        <v>1032800</v>
      </c>
      <c r="N1173" s="148">
        <v>0</v>
      </c>
      <c r="O1173" s="148">
        <v>0</v>
      </c>
      <c r="P1173" s="149">
        <v>0</v>
      </c>
      <c r="Q1173" s="148">
        <v>0</v>
      </c>
      <c r="R1173" s="150">
        <v>1032800</v>
      </c>
      <c r="S11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3" s="135">
        <f ca="1">+IF(PROVEEDORES[[#This Row],[FECHA DE PAGO]]=0,TODAY()-PROVEEDORES[[#This Row],[FECHA DE FACTURACIÓN]]-PROVEEDORES[[#This Row],[PLAZO Días]],0)</f>
        <v>0</v>
      </c>
      <c r="U1173" s="135">
        <f>+VLOOKUP(PROVEEDORES[[#This Row],[PROVEEDOR]],Terceros!$A:$D,4,FALSE)</f>
        <v>0</v>
      </c>
      <c r="V1173" s="135">
        <f>+YEAR(PROVEEDORES[[#This Row],[FECHA DE FACTURACIÓN]])</f>
        <v>2024</v>
      </c>
      <c r="W1173" s="135">
        <f>+MATCH(PROVEEDORES[[#This Row],[año facturado]],Retenciones!$1:$1,0)</f>
        <v>7</v>
      </c>
      <c r="X1173" s="136">
        <f>+VLOOKUP(PROVEEDORES[[#This Row],[ID RETENCION]],Retenciones!$A$1:$O$25,PROVEEDORES[[#This Row],[indicador de columna]],FALSE)</f>
        <v>0</v>
      </c>
      <c r="Y1173" s="137">
        <f>+VLOOKUP(PROVEEDORES[[#This Row],[ID RETENCION]],Retenciones!$A$1:$O$25,2,FALSE)</f>
        <v>0</v>
      </c>
      <c r="Z1173" s="126" t="b">
        <f>+OR(COUNTIF(PROVEEDORES[[#This Row],[PROVEEDOR]],"*"&amp;'Palabra que no opera y Listas d'!$A$2&amp;"*"))</f>
        <v>0</v>
      </c>
    </row>
    <row r="1174" spans="1:26" ht="27.75" customHeight="1" x14ac:dyDescent="0.25">
      <c r="A1174" s="141" t="str">
        <f>+IF(PROVEEDORES[[#This Row],[FECHA DE PAGO]]=PROVEEDORES[[#This Row],[FECHA DE FACTURACIÓN]],"DE CONTADO","CRÉDITO")</f>
        <v>CRÉDITO</v>
      </c>
      <c r="B1174" s="138" t="b">
        <f>+IF((PROVEEDORES[[#This Row],[FECHA DE PAGO]]-PROVEEDORES[[#This Row],[FECHA DE FACTURACIÓN]])&gt;PROVEEDORES[[#This Row],[PLAZO Días]],"PAGO VENCIDO")</f>
        <v>0</v>
      </c>
      <c r="C1174" s="138">
        <f>+VLOOKUP(PROVEEDORES[[#This Row],[PROVEEDOR]],TERCEROS_INFO[#All],2,FALSE)</f>
        <v>20</v>
      </c>
      <c r="D1174" s="139">
        <f>+SUMIFS(PROVEEDORES[Total],PROVEEDORES[PROVEEDOR],PROVEEDORES[[#This Row],[PROVEEDOR]],PROVEEDORES[FECHA DE PAGO],"")</f>
        <v>0</v>
      </c>
      <c r="E1174" s="140"/>
      <c r="F1174" s="138">
        <f>+VLOOKUP(PROVEEDORES[[#This Row],[PROVEEDOR]],
                       Terceros!$A:$F,
                       5,
                       FALSE)</f>
        <v>0</v>
      </c>
      <c r="G1174" s="127">
        <v>45316</v>
      </c>
      <c r="H1174" s="123" t="s">
        <v>1825</v>
      </c>
      <c r="I1174" s="127">
        <v>45301</v>
      </c>
      <c r="J1174" s="124" t="s">
        <v>1473</v>
      </c>
      <c r="K1174" s="124" t="s">
        <v>504</v>
      </c>
      <c r="L1174" s="124"/>
      <c r="M1174" s="125">
        <v>960300</v>
      </c>
      <c r="N1174" s="148">
        <v>0</v>
      </c>
      <c r="O1174" s="148">
        <v>0</v>
      </c>
      <c r="P1174" s="149">
        <v>0</v>
      </c>
      <c r="Q1174" s="148">
        <v>0</v>
      </c>
      <c r="R1174" s="150">
        <v>960300</v>
      </c>
      <c r="S11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4" s="135">
        <f ca="1">+IF(PROVEEDORES[[#This Row],[FECHA DE PAGO]]=0,TODAY()-PROVEEDORES[[#This Row],[FECHA DE FACTURACIÓN]]-PROVEEDORES[[#This Row],[PLAZO Días]],0)</f>
        <v>0</v>
      </c>
      <c r="U1174" s="135">
        <f>+VLOOKUP(PROVEEDORES[[#This Row],[PROVEEDOR]],Terceros!$A:$D,4,FALSE)</f>
        <v>0</v>
      </c>
      <c r="V1174" s="135">
        <f>+YEAR(PROVEEDORES[[#This Row],[FECHA DE FACTURACIÓN]])</f>
        <v>2024</v>
      </c>
      <c r="W1174" s="135">
        <f>+MATCH(PROVEEDORES[[#This Row],[año facturado]],Retenciones!$1:$1,0)</f>
        <v>7</v>
      </c>
      <c r="X1174" s="136">
        <f>+VLOOKUP(PROVEEDORES[[#This Row],[ID RETENCION]],Retenciones!$A$1:$O$25,PROVEEDORES[[#This Row],[indicador de columna]],FALSE)</f>
        <v>0</v>
      </c>
      <c r="Y1174" s="137">
        <f>+VLOOKUP(PROVEEDORES[[#This Row],[ID RETENCION]],Retenciones!$A$1:$O$25,2,FALSE)</f>
        <v>0</v>
      </c>
      <c r="Z1174" s="126" t="b">
        <f>+OR(COUNTIF(PROVEEDORES[[#This Row],[PROVEEDOR]],"*"&amp;'Palabra que no opera y Listas d'!$A$2&amp;"*"))</f>
        <v>0</v>
      </c>
    </row>
    <row r="1175" spans="1:26" ht="27.75" customHeight="1" x14ac:dyDescent="0.25">
      <c r="A1175" s="141" t="str">
        <f>+IF(PROVEEDORES[[#This Row],[FECHA DE PAGO]]=PROVEEDORES[[#This Row],[FECHA DE FACTURACIÓN]],"DE CONTADO","CRÉDITO")</f>
        <v>CRÉDITO</v>
      </c>
      <c r="B1175" s="138" t="b">
        <f>+IF((PROVEEDORES[[#This Row],[FECHA DE PAGO]]-PROVEEDORES[[#This Row],[FECHA DE FACTURACIÓN]])&gt;PROVEEDORES[[#This Row],[PLAZO Días]],"PAGO VENCIDO")</f>
        <v>0</v>
      </c>
      <c r="C1175" s="138">
        <f>+VLOOKUP(PROVEEDORES[[#This Row],[PROVEEDOR]],TERCEROS_INFO[#All],2,FALSE)</f>
        <v>30</v>
      </c>
      <c r="D1175" s="139">
        <f>+SUMIFS(PROVEEDORES[Total],PROVEEDORES[PROVEEDOR],PROVEEDORES[[#This Row],[PROVEEDOR]],PROVEEDORES[FECHA DE PAGO],"")</f>
        <v>0</v>
      </c>
      <c r="E1175" s="140"/>
      <c r="F1175" s="138" t="str">
        <f>+VLOOKUP(PROVEEDORES[[#This Row],[PROVEEDOR]],
                       Terceros!$A:$F,
                       5,
                       FALSE)</f>
        <v/>
      </c>
      <c r="G1175" s="127">
        <v>45316</v>
      </c>
      <c r="H1175" s="123" t="s">
        <v>481</v>
      </c>
      <c r="I1175" s="127">
        <v>45315</v>
      </c>
      <c r="J1175" s="124" t="s">
        <v>1485</v>
      </c>
      <c r="K1175" s="124" t="s">
        <v>1530</v>
      </c>
      <c r="L1175" s="124"/>
      <c r="M1175" s="125">
        <v>130000</v>
      </c>
      <c r="N1175" s="148">
        <v>0</v>
      </c>
      <c r="O1175" s="148">
        <v>0</v>
      </c>
      <c r="P1175" s="149">
        <v>0</v>
      </c>
      <c r="Q1175" s="148">
        <v>0</v>
      </c>
      <c r="R1175" s="150">
        <v>130000</v>
      </c>
      <c r="S11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5" s="135">
        <f ca="1">+IF(PROVEEDORES[[#This Row],[FECHA DE PAGO]]=0,TODAY()-PROVEEDORES[[#This Row],[FECHA DE FACTURACIÓN]]-PROVEEDORES[[#This Row],[PLAZO Días]],0)</f>
        <v>0</v>
      </c>
      <c r="U1175" s="135">
        <f>+VLOOKUP(PROVEEDORES[[#This Row],[PROVEEDOR]],Terceros!$A:$D,4,FALSE)</f>
        <v>0</v>
      </c>
      <c r="V1175" s="135">
        <f>+YEAR(PROVEEDORES[[#This Row],[FECHA DE FACTURACIÓN]])</f>
        <v>2024</v>
      </c>
      <c r="W1175" s="135">
        <f>+MATCH(PROVEEDORES[[#This Row],[año facturado]],Retenciones!$1:$1,0)</f>
        <v>7</v>
      </c>
      <c r="X1175" s="136">
        <f>+VLOOKUP(PROVEEDORES[[#This Row],[ID RETENCION]],Retenciones!$A$1:$O$25,PROVEEDORES[[#This Row],[indicador de columna]],FALSE)</f>
        <v>0</v>
      </c>
      <c r="Y1175" s="137">
        <f>+VLOOKUP(PROVEEDORES[[#This Row],[ID RETENCION]],Retenciones!$A$1:$O$25,2,FALSE)</f>
        <v>0</v>
      </c>
      <c r="Z1175" s="126" t="b">
        <f>+OR(COUNTIF(PROVEEDORES[[#This Row],[PROVEEDOR]],"*"&amp;'Palabra que no opera y Listas d'!$A$2&amp;"*"))</f>
        <v>0</v>
      </c>
    </row>
    <row r="1176" spans="1:26" ht="27.75" customHeight="1" x14ac:dyDescent="0.25">
      <c r="A1176" s="141" t="str">
        <f>+IF(PROVEEDORES[[#This Row],[FECHA DE PAGO]]=PROVEEDORES[[#This Row],[FECHA DE FACTURACIÓN]],"DE CONTADO","CRÉDITO")</f>
        <v>CRÉDITO</v>
      </c>
      <c r="B1176" s="138" t="str">
        <f>+IF((PROVEEDORES[[#This Row],[FECHA DE PAGO]]-PROVEEDORES[[#This Row],[FECHA DE FACTURACIÓN]])&gt;PROVEEDORES[[#This Row],[PLAZO Días]],"PAGO VENCIDO")</f>
        <v>PAGO VENCIDO</v>
      </c>
      <c r="C1176" s="138">
        <f>+VLOOKUP(PROVEEDORES[[#This Row],[PROVEEDOR]],TERCEROS_INFO[#All],2,FALSE)</f>
        <v>30</v>
      </c>
      <c r="D1176" s="139">
        <f>+SUMIFS(PROVEEDORES[Total],PROVEEDORES[PROVEEDOR],PROVEEDORES[[#This Row],[PROVEEDOR]],PROVEEDORES[FECHA DE PAGO],"")</f>
        <v>2028306.6264000002</v>
      </c>
      <c r="E1176" s="140"/>
      <c r="F1176" s="138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1176" s="127">
        <v>45317</v>
      </c>
      <c r="H1176" s="123" t="s">
        <v>218</v>
      </c>
      <c r="I1176" s="127">
        <v>45271</v>
      </c>
      <c r="J1176" s="124" t="s">
        <v>1326</v>
      </c>
      <c r="K1176" s="124" t="s">
        <v>1530</v>
      </c>
      <c r="L1176" s="124"/>
      <c r="M1176" s="125">
        <v>866151</v>
      </c>
      <c r="N1176" s="148">
        <v>164568.69</v>
      </c>
      <c r="O1176" s="148">
        <v>0</v>
      </c>
      <c r="P1176" s="149">
        <v>0</v>
      </c>
      <c r="Q1176" s="148">
        <v>0</v>
      </c>
      <c r="R1176" s="150">
        <v>1030719.69</v>
      </c>
      <c r="S11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6" s="135">
        <f ca="1">+IF(PROVEEDORES[[#This Row],[FECHA DE PAGO]]=0,TODAY()-PROVEEDORES[[#This Row],[FECHA DE FACTURACIÓN]]-PROVEEDORES[[#This Row],[PLAZO Días]],0)</f>
        <v>0</v>
      </c>
      <c r="U1176" s="135" t="str">
        <f>+VLOOKUP(PROVEEDORES[[#This Row],[PROVEEDOR]],Terceros!$A:$D,4,FALSE)</f>
        <v>2,5% con base</v>
      </c>
      <c r="V1176" s="135">
        <f>+YEAR(PROVEEDORES[[#This Row],[FECHA DE FACTURACIÓN]])</f>
        <v>2023</v>
      </c>
      <c r="W1176" s="135">
        <f>+MATCH(PROVEEDORES[[#This Row],[año facturado]],Retenciones!$1:$1,0)</f>
        <v>6</v>
      </c>
      <c r="X1176" s="136">
        <f>+VLOOKUP(PROVEEDORES[[#This Row],[ID RETENCION]],Retenciones!$A$1:$O$25,PROVEEDORES[[#This Row],[indicador de columna]],FALSE)</f>
        <v>1145000</v>
      </c>
      <c r="Y1176" s="137">
        <f>+VLOOKUP(PROVEEDORES[[#This Row],[ID RETENCION]],Retenciones!$A$1:$O$25,2,FALSE)</f>
        <v>2.5000000000000001E-2</v>
      </c>
      <c r="Z1176" s="126" t="b">
        <f>+OR(COUNTIF(PROVEEDORES[[#This Row],[PROVEEDOR]],"*"&amp;'Palabra que no opera y Listas d'!$A$2&amp;"*"))</f>
        <v>0</v>
      </c>
    </row>
    <row r="1177" spans="1:26" ht="27.75" customHeight="1" x14ac:dyDescent="0.25">
      <c r="A1177" s="141" t="str">
        <f>+IF(PROVEEDORES[[#This Row],[FECHA DE PAGO]]=PROVEEDORES[[#This Row],[FECHA DE FACTURACIÓN]],"DE CONTADO","CRÉDITO")</f>
        <v>CRÉDITO</v>
      </c>
      <c r="B1177" s="138" t="str">
        <f>+IF((PROVEEDORES[[#This Row],[FECHA DE PAGO]]-PROVEEDORES[[#This Row],[FECHA DE FACTURACIÓN]])&gt;PROVEEDORES[[#This Row],[PLAZO Días]],"PAGO VENCIDO")</f>
        <v>PAGO VENCIDO</v>
      </c>
      <c r="C1177" s="138">
        <f>+VLOOKUP(PROVEEDORES[[#This Row],[PROVEEDOR]],TERCEROS_INFO[#All],2,FALSE)</f>
        <v>30</v>
      </c>
      <c r="D1177" s="139">
        <f>+SUMIFS(PROVEEDORES[Total],PROVEEDORES[PROVEEDOR],PROVEEDORES[[#This Row],[PROVEEDOR]],PROVEEDORES[FECHA DE PAGO],"")</f>
        <v>0</v>
      </c>
      <c r="E1177" s="140"/>
      <c r="F1177" s="138">
        <f>+VLOOKUP(PROVEEDORES[[#This Row],[PROVEEDOR]],
                       Terceros!$A:$F,
                       5,
                       FALSE)</f>
        <v>0</v>
      </c>
      <c r="G1177" s="127">
        <v>45317</v>
      </c>
      <c r="H1177" s="123" t="s">
        <v>1170</v>
      </c>
      <c r="I1177" s="127">
        <v>45273</v>
      </c>
      <c r="J1177" s="124" t="s">
        <v>1366</v>
      </c>
      <c r="K1177" s="124" t="s">
        <v>1530</v>
      </c>
      <c r="L1177" s="124"/>
      <c r="M1177" s="125">
        <v>1355000</v>
      </c>
      <c r="N1177" s="148">
        <v>0</v>
      </c>
      <c r="O1177" s="148">
        <v>0</v>
      </c>
      <c r="P1177" s="149">
        <v>0</v>
      </c>
      <c r="Q1177" s="148">
        <v>0</v>
      </c>
      <c r="R1177" s="150">
        <v>1355000</v>
      </c>
      <c r="S11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7" s="135">
        <f ca="1">+IF(PROVEEDORES[[#This Row],[FECHA DE PAGO]]=0,TODAY()-PROVEEDORES[[#This Row],[FECHA DE FACTURACIÓN]]-PROVEEDORES[[#This Row],[PLAZO Días]],0)</f>
        <v>0</v>
      </c>
      <c r="U1177" s="135">
        <f>+VLOOKUP(PROVEEDORES[[#This Row],[PROVEEDOR]],Terceros!$A:$D,4,FALSE)</f>
        <v>0</v>
      </c>
      <c r="V1177" s="135">
        <f>+YEAR(PROVEEDORES[[#This Row],[FECHA DE FACTURACIÓN]])</f>
        <v>2023</v>
      </c>
      <c r="W1177" s="135">
        <f>+MATCH(PROVEEDORES[[#This Row],[año facturado]],Retenciones!$1:$1,0)</f>
        <v>6</v>
      </c>
      <c r="X1177" s="136">
        <f>+VLOOKUP(PROVEEDORES[[#This Row],[ID RETENCION]],Retenciones!$A$1:$O$25,PROVEEDORES[[#This Row],[indicador de columna]],FALSE)</f>
        <v>0</v>
      </c>
      <c r="Y1177" s="137">
        <f>+VLOOKUP(PROVEEDORES[[#This Row],[ID RETENCION]],Retenciones!$A$1:$O$25,2,FALSE)</f>
        <v>0</v>
      </c>
      <c r="Z1177" s="126" t="b">
        <f>+OR(COUNTIF(PROVEEDORES[[#This Row],[PROVEEDOR]],"*"&amp;'Palabra que no opera y Listas d'!$A$2&amp;"*"))</f>
        <v>0</v>
      </c>
    </row>
    <row r="1178" spans="1:26" ht="27.75" customHeight="1" x14ac:dyDescent="0.25">
      <c r="A1178" s="141" t="str">
        <f>+IF(PROVEEDORES[[#This Row],[FECHA DE PAGO]]=PROVEEDORES[[#This Row],[FECHA DE FACTURACIÓN]],"DE CONTADO","CRÉDITO")</f>
        <v>CRÉDITO</v>
      </c>
      <c r="B1178" s="138" t="str">
        <f>+IF((PROVEEDORES[[#This Row],[FECHA DE PAGO]]-PROVEEDORES[[#This Row],[FECHA DE FACTURACIÓN]])&gt;PROVEEDORES[[#This Row],[PLAZO Días]],"PAGO VENCIDO")</f>
        <v>PAGO VENCIDO</v>
      </c>
      <c r="C1178" s="138">
        <f>+VLOOKUP(PROVEEDORES[[#This Row],[PROVEEDOR]],TERCEROS_INFO[#All],2,FALSE)</f>
        <v>30</v>
      </c>
      <c r="D1178" s="139">
        <f>+SUMIFS(PROVEEDORES[Total],PROVEEDORES[PROVEEDOR],PROVEEDORES[[#This Row],[PROVEEDOR]],PROVEEDORES[FECHA DE PAGO],"")</f>
        <v>0</v>
      </c>
      <c r="E1178" s="140"/>
      <c r="F1178" s="138">
        <f>+VLOOKUP(PROVEEDORES[[#This Row],[PROVEEDOR]],
                       Terceros!$A:$F,
                       5,
                       FALSE)</f>
        <v>0</v>
      </c>
      <c r="G1178" s="127">
        <v>45317</v>
      </c>
      <c r="H1178" s="123" t="s">
        <v>1170</v>
      </c>
      <c r="I1178" s="127">
        <v>45274</v>
      </c>
      <c r="J1178" s="124" t="s">
        <v>1365</v>
      </c>
      <c r="K1178" s="124" t="s">
        <v>1530</v>
      </c>
      <c r="L1178" s="124"/>
      <c r="M1178" s="125">
        <v>350000</v>
      </c>
      <c r="N1178" s="148">
        <v>0</v>
      </c>
      <c r="O1178" s="148">
        <v>0</v>
      </c>
      <c r="P1178" s="149">
        <v>0</v>
      </c>
      <c r="Q1178" s="148">
        <v>0</v>
      </c>
      <c r="R1178" s="150">
        <v>350000</v>
      </c>
      <c r="S11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8" s="135">
        <f ca="1">+IF(PROVEEDORES[[#This Row],[FECHA DE PAGO]]=0,TODAY()-PROVEEDORES[[#This Row],[FECHA DE FACTURACIÓN]]-PROVEEDORES[[#This Row],[PLAZO Días]],0)</f>
        <v>0</v>
      </c>
      <c r="U1178" s="135">
        <f>+VLOOKUP(PROVEEDORES[[#This Row],[PROVEEDOR]],Terceros!$A:$D,4,FALSE)</f>
        <v>0</v>
      </c>
      <c r="V1178" s="135">
        <f>+YEAR(PROVEEDORES[[#This Row],[FECHA DE FACTURACIÓN]])</f>
        <v>2023</v>
      </c>
      <c r="W1178" s="135">
        <f>+MATCH(PROVEEDORES[[#This Row],[año facturado]],Retenciones!$1:$1,0)</f>
        <v>6</v>
      </c>
      <c r="X1178" s="136">
        <f>+VLOOKUP(PROVEEDORES[[#This Row],[ID RETENCION]],Retenciones!$A$1:$O$25,PROVEEDORES[[#This Row],[indicador de columna]],FALSE)</f>
        <v>0</v>
      </c>
      <c r="Y1178" s="137">
        <f>+VLOOKUP(PROVEEDORES[[#This Row],[ID RETENCION]],Retenciones!$A$1:$O$25,2,FALSE)</f>
        <v>0</v>
      </c>
      <c r="Z1178" s="126" t="b">
        <f>+OR(COUNTIF(PROVEEDORES[[#This Row],[PROVEEDOR]],"*"&amp;'Palabra que no opera y Listas d'!$A$2&amp;"*"))</f>
        <v>0</v>
      </c>
    </row>
    <row r="1179" spans="1:26" ht="27.75" customHeight="1" x14ac:dyDescent="0.25">
      <c r="A1179" s="141" t="str">
        <f>+IF(PROVEEDORES[[#This Row],[FECHA DE PAGO]]=PROVEEDORES[[#This Row],[FECHA DE FACTURACIÓN]],"DE CONTADO","CRÉDITO")</f>
        <v>CRÉDITO</v>
      </c>
      <c r="B1179" s="138" t="str">
        <f>+IF((PROVEEDORES[[#This Row],[FECHA DE PAGO]]-PROVEEDORES[[#This Row],[FECHA DE FACTURACIÓN]])&gt;PROVEEDORES[[#This Row],[PLAZO Días]],"PAGO VENCIDO")</f>
        <v>PAGO VENCIDO</v>
      </c>
      <c r="C1179" s="138">
        <f>+VLOOKUP(PROVEEDORES[[#This Row],[PROVEEDOR]],TERCEROS_INFO[#All],2,FALSE)</f>
        <v>30</v>
      </c>
      <c r="D1179" s="139">
        <f>+SUMIFS(PROVEEDORES[Total],PROVEEDORES[PROVEEDOR],PROVEEDORES[[#This Row],[PROVEEDOR]],PROVEEDORES[FECHA DE PAGO],"")</f>
        <v>2028306.6264000002</v>
      </c>
      <c r="E1179" s="140"/>
      <c r="F1179" s="138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1179" s="127">
        <v>45317</v>
      </c>
      <c r="H1179" s="123" t="s">
        <v>218</v>
      </c>
      <c r="I1179" s="127">
        <v>45274</v>
      </c>
      <c r="J1179" s="124" t="s">
        <v>1358</v>
      </c>
      <c r="K1179" s="124" t="s">
        <v>1530</v>
      </c>
      <c r="L1179" s="124"/>
      <c r="M1179" s="125">
        <v>79327</v>
      </c>
      <c r="N1179" s="148">
        <v>15072.130000000001</v>
      </c>
      <c r="O1179" s="148">
        <v>0</v>
      </c>
      <c r="P1179" s="149">
        <v>0</v>
      </c>
      <c r="Q1179" s="148">
        <v>0</v>
      </c>
      <c r="R1179" s="150">
        <v>94399.13</v>
      </c>
      <c r="S11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79" s="135">
        <f ca="1">+IF(PROVEEDORES[[#This Row],[FECHA DE PAGO]]=0,TODAY()-PROVEEDORES[[#This Row],[FECHA DE FACTURACIÓN]]-PROVEEDORES[[#This Row],[PLAZO Días]],0)</f>
        <v>0</v>
      </c>
      <c r="U1179" s="135" t="str">
        <f>+VLOOKUP(PROVEEDORES[[#This Row],[PROVEEDOR]],Terceros!$A:$D,4,FALSE)</f>
        <v>2,5% con base</v>
      </c>
      <c r="V1179" s="135">
        <f>+YEAR(PROVEEDORES[[#This Row],[FECHA DE FACTURACIÓN]])</f>
        <v>2023</v>
      </c>
      <c r="W1179" s="135">
        <f>+MATCH(PROVEEDORES[[#This Row],[año facturado]],Retenciones!$1:$1,0)</f>
        <v>6</v>
      </c>
      <c r="X1179" s="136">
        <f>+VLOOKUP(PROVEEDORES[[#This Row],[ID RETENCION]],Retenciones!$A$1:$O$25,PROVEEDORES[[#This Row],[indicador de columna]],FALSE)</f>
        <v>1145000</v>
      </c>
      <c r="Y1179" s="137">
        <f>+VLOOKUP(PROVEEDORES[[#This Row],[ID RETENCION]],Retenciones!$A$1:$O$25,2,FALSE)</f>
        <v>2.5000000000000001E-2</v>
      </c>
      <c r="Z1179" s="126" t="b">
        <f>+OR(COUNTIF(PROVEEDORES[[#This Row],[PROVEEDOR]],"*"&amp;'Palabra que no opera y Listas d'!$A$2&amp;"*"))</f>
        <v>0</v>
      </c>
    </row>
    <row r="1180" spans="1:26" ht="27.75" customHeight="1" x14ac:dyDescent="0.25">
      <c r="A1180" s="141" t="str">
        <f>+IF(PROVEEDORES[[#This Row],[FECHA DE PAGO]]=PROVEEDORES[[#This Row],[FECHA DE FACTURACIÓN]],"DE CONTADO","CRÉDITO")</f>
        <v>CRÉDITO</v>
      </c>
      <c r="B1180" s="138" t="str">
        <f>+IF((PROVEEDORES[[#This Row],[FECHA DE PAGO]]-PROVEEDORES[[#This Row],[FECHA DE FACTURACIÓN]])&gt;PROVEEDORES[[#This Row],[PLAZO Días]],"PAGO VENCIDO")</f>
        <v>PAGO VENCIDO</v>
      </c>
      <c r="C1180" s="138">
        <f>+VLOOKUP(PROVEEDORES[[#This Row],[PROVEEDOR]],TERCEROS_INFO[#All],2,FALSE)</f>
        <v>30</v>
      </c>
      <c r="D1180" s="139">
        <f>+SUMIFS(PROVEEDORES[Total],PROVEEDORES[PROVEEDOR],PROVEEDORES[[#This Row],[PROVEEDOR]],PROVEEDORES[FECHA DE PAGO],"")</f>
        <v>4466504.835</v>
      </c>
      <c r="E1180" s="140"/>
      <c r="F1180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180" s="127">
        <v>45317</v>
      </c>
      <c r="H1180" s="123" t="s">
        <v>18</v>
      </c>
      <c r="I1180" s="127">
        <v>45275</v>
      </c>
      <c r="J1180" s="124" t="s">
        <v>1356</v>
      </c>
      <c r="K1180" s="124" t="s">
        <v>504</v>
      </c>
      <c r="L1180" s="124"/>
      <c r="M1180" s="125">
        <v>5597576</v>
      </c>
      <c r="N1180" s="148">
        <v>1063539.44</v>
      </c>
      <c r="O1180" s="148">
        <v>0</v>
      </c>
      <c r="P1180" s="149">
        <v>2.5000000000000001E-2</v>
      </c>
      <c r="Q1180" s="148">
        <v>139939.4</v>
      </c>
      <c r="R1180" s="150">
        <v>6521176.0399999991</v>
      </c>
      <c r="S11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0" s="135">
        <f ca="1">+IF(PROVEEDORES[[#This Row],[FECHA DE PAGO]]=0,TODAY()-PROVEEDORES[[#This Row],[FECHA DE FACTURACIÓN]]-PROVEEDORES[[#This Row],[PLAZO Días]],0)</f>
        <v>0</v>
      </c>
      <c r="U1180" s="135" t="str">
        <f>+VLOOKUP(PROVEEDORES[[#This Row],[PROVEEDOR]],Terceros!$A:$D,4,FALSE)</f>
        <v>2,5% con base</v>
      </c>
      <c r="V1180" s="135">
        <f>+YEAR(PROVEEDORES[[#This Row],[FECHA DE FACTURACIÓN]])</f>
        <v>2023</v>
      </c>
      <c r="W1180" s="135">
        <f>+MATCH(PROVEEDORES[[#This Row],[año facturado]],Retenciones!$1:$1,0)</f>
        <v>6</v>
      </c>
      <c r="X1180" s="136">
        <f>+VLOOKUP(PROVEEDORES[[#This Row],[ID RETENCION]],Retenciones!$A$1:$O$25,PROVEEDORES[[#This Row],[indicador de columna]],FALSE)</f>
        <v>1145000</v>
      </c>
      <c r="Y1180" s="137">
        <f>+VLOOKUP(PROVEEDORES[[#This Row],[ID RETENCION]],Retenciones!$A$1:$O$25,2,FALSE)</f>
        <v>2.5000000000000001E-2</v>
      </c>
      <c r="Z1180" s="126" t="b">
        <f>+OR(COUNTIF(PROVEEDORES[[#This Row],[PROVEEDOR]],"*"&amp;'Palabra que no opera y Listas d'!$A$2&amp;"*"))</f>
        <v>0</v>
      </c>
    </row>
    <row r="1181" spans="1:26" ht="27.75" customHeight="1" x14ac:dyDescent="0.25">
      <c r="A1181" s="141" t="str">
        <f>+IF(PROVEEDORES[[#This Row],[FECHA DE PAGO]]=PROVEEDORES[[#This Row],[FECHA DE FACTURACIÓN]],"DE CONTADO","CRÉDITO")</f>
        <v>CRÉDITO</v>
      </c>
      <c r="B1181" s="138" t="str">
        <f>+IF((PROVEEDORES[[#This Row],[FECHA DE PAGO]]-PROVEEDORES[[#This Row],[FECHA DE FACTURACIÓN]])&gt;PROVEEDORES[[#This Row],[PLAZO Días]],"PAGO VENCIDO")</f>
        <v>PAGO VENCIDO</v>
      </c>
      <c r="C1181" s="138">
        <f>+VLOOKUP(PROVEEDORES[[#This Row],[PROVEEDOR]],TERCEROS_INFO[#All],2,FALSE)</f>
        <v>30</v>
      </c>
      <c r="D1181" s="139">
        <f>+SUMIFS(PROVEEDORES[Total],PROVEEDORES[PROVEEDOR],PROVEEDORES[[#This Row],[PROVEEDOR]],PROVEEDORES[FECHA DE PAGO],"")</f>
        <v>8456975.129999999</v>
      </c>
      <c r="E1181" s="140"/>
      <c r="F1181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181" s="127">
        <v>45317</v>
      </c>
      <c r="H1181" s="123" t="s">
        <v>1464</v>
      </c>
      <c r="I1181" s="127">
        <v>45280</v>
      </c>
      <c r="J1181" s="124" t="s">
        <v>1382</v>
      </c>
      <c r="K1181" s="124" t="s">
        <v>1530</v>
      </c>
      <c r="L1181" s="124"/>
      <c r="M1181" s="125">
        <v>616355</v>
      </c>
      <c r="N1181" s="148">
        <v>117107.45</v>
      </c>
      <c r="O1181" s="148">
        <v>0</v>
      </c>
      <c r="P1181" s="149">
        <v>0</v>
      </c>
      <c r="Q1181" s="148">
        <v>0</v>
      </c>
      <c r="R1181" s="150">
        <v>733462.45</v>
      </c>
      <c r="S11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1" s="135">
        <f ca="1">+IF(PROVEEDORES[[#This Row],[FECHA DE PAGO]]=0,TODAY()-PROVEEDORES[[#This Row],[FECHA DE FACTURACIÓN]]-PROVEEDORES[[#This Row],[PLAZO Días]],0)</f>
        <v>0</v>
      </c>
      <c r="U1181" s="135" t="str">
        <f>+VLOOKUP(PROVEEDORES[[#This Row],[PROVEEDOR]],Terceros!$A:$D,4,FALSE)</f>
        <v>2,5% con base</v>
      </c>
      <c r="V1181" s="135">
        <f>+YEAR(PROVEEDORES[[#This Row],[FECHA DE FACTURACIÓN]])</f>
        <v>2023</v>
      </c>
      <c r="W1181" s="135">
        <f>+MATCH(PROVEEDORES[[#This Row],[año facturado]],Retenciones!$1:$1,0)</f>
        <v>6</v>
      </c>
      <c r="X1181" s="136">
        <f>+VLOOKUP(PROVEEDORES[[#This Row],[ID RETENCION]],Retenciones!$A$1:$O$25,PROVEEDORES[[#This Row],[indicador de columna]],FALSE)</f>
        <v>1145000</v>
      </c>
      <c r="Y1181" s="137">
        <f>+VLOOKUP(PROVEEDORES[[#This Row],[ID RETENCION]],Retenciones!$A$1:$O$25,2,FALSE)</f>
        <v>2.5000000000000001E-2</v>
      </c>
      <c r="Z1181" s="126" t="b">
        <f>+OR(COUNTIF(PROVEEDORES[[#This Row],[PROVEEDOR]],"*"&amp;'Palabra que no opera y Listas d'!$A$2&amp;"*"))</f>
        <v>0</v>
      </c>
    </row>
    <row r="1182" spans="1:26" ht="27.75" customHeight="1" x14ac:dyDescent="0.25">
      <c r="A1182" s="141" t="str">
        <f>+IF(PROVEEDORES[[#This Row],[FECHA DE PAGO]]=PROVEEDORES[[#This Row],[FECHA DE FACTURACIÓN]],"DE CONTADO","CRÉDITO")</f>
        <v>CRÉDITO</v>
      </c>
      <c r="B1182" s="138" t="str">
        <f>+IF((PROVEEDORES[[#This Row],[FECHA DE PAGO]]-PROVEEDORES[[#This Row],[FECHA DE FACTURACIÓN]])&gt;PROVEEDORES[[#This Row],[PLAZO Días]],"PAGO VENCIDO")</f>
        <v>PAGO VENCIDO</v>
      </c>
      <c r="C1182" s="138">
        <f>+VLOOKUP(PROVEEDORES[[#This Row],[PROVEEDOR]],TERCEROS_INFO[#All],2,FALSE)</f>
        <v>30</v>
      </c>
      <c r="D1182" s="139">
        <f>+SUMIFS(PROVEEDORES[Total],PROVEEDORES[PROVEEDOR],PROVEEDORES[[#This Row],[PROVEEDOR]],PROVEEDORES[FECHA DE PAGO],"")</f>
        <v>5427539.2800000003</v>
      </c>
      <c r="E1182" s="140"/>
      <c r="F1182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182" s="127">
        <v>45317</v>
      </c>
      <c r="H1182" s="123" t="s">
        <v>11</v>
      </c>
      <c r="I1182" s="127">
        <v>45280</v>
      </c>
      <c r="J1182" s="124" t="s">
        <v>1370</v>
      </c>
      <c r="K1182" s="124" t="s">
        <v>1530</v>
      </c>
      <c r="L1182" s="124"/>
      <c r="M1182" s="125">
        <v>3882361</v>
      </c>
      <c r="N1182" s="148">
        <v>737648.59</v>
      </c>
      <c r="O1182" s="148">
        <v>0</v>
      </c>
      <c r="P1182" s="149">
        <v>2.5000000000000001E-2</v>
      </c>
      <c r="Q1182" s="148">
        <v>97059.025000000009</v>
      </c>
      <c r="R1182" s="150">
        <v>4522950.5649999995</v>
      </c>
      <c r="S11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2" s="135">
        <f ca="1">+IF(PROVEEDORES[[#This Row],[FECHA DE PAGO]]=0,TODAY()-PROVEEDORES[[#This Row],[FECHA DE FACTURACIÓN]]-PROVEEDORES[[#This Row],[PLAZO Días]],0)</f>
        <v>0</v>
      </c>
      <c r="U1182" s="135" t="str">
        <f>+VLOOKUP(PROVEEDORES[[#This Row],[PROVEEDOR]],Terceros!$A:$D,4,FALSE)</f>
        <v>2,5% con base</v>
      </c>
      <c r="V1182" s="135">
        <f>+YEAR(PROVEEDORES[[#This Row],[FECHA DE FACTURACIÓN]])</f>
        <v>2023</v>
      </c>
      <c r="W1182" s="135">
        <f>+MATCH(PROVEEDORES[[#This Row],[año facturado]],Retenciones!$1:$1,0)</f>
        <v>6</v>
      </c>
      <c r="X1182" s="136">
        <f>+VLOOKUP(PROVEEDORES[[#This Row],[ID RETENCION]],Retenciones!$A$1:$O$25,PROVEEDORES[[#This Row],[indicador de columna]],FALSE)</f>
        <v>1145000</v>
      </c>
      <c r="Y1182" s="137">
        <f>+VLOOKUP(PROVEEDORES[[#This Row],[ID RETENCION]],Retenciones!$A$1:$O$25,2,FALSE)</f>
        <v>2.5000000000000001E-2</v>
      </c>
      <c r="Z1182" s="126" t="b">
        <f>+OR(COUNTIF(PROVEEDORES[[#This Row],[PROVEEDOR]],"*"&amp;'Palabra que no opera y Listas d'!$A$2&amp;"*"))</f>
        <v>0</v>
      </c>
    </row>
    <row r="1183" spans="1:26" ht="27.75" customHeight="1" x14ac:dyDescent="0.25">
      <c r="A1183" s="141" t="str">
        <f>+IF(PROVEEDORES[[#This Row],[FECHA DE PAGO]]=PROVEEDORES[[#This Row],[FECHA DE FACTURACIÓN]],"DE CONTADO","CRÉDITO")</f>
        <v>CRÉDITO</v>
      </c>
      <c r="B1183" s="138" t="str">
        <f>+IF((PROVEEDORES[[#This Row],[FECHA DE PAGO]]-PROVEEDORES[[#This Row],[FECHA DE FACTURACIÓN]])&gt;PROVEEDORES[[#This Row],[PLAZO Días]],"PAGO VENCIDO")</f>
        <v>PAGO VENCIDO</v>
      </c>
      <c r="C1183" s="138">
        <f>+VLOOKUP(PROVEEDORES[[#This Row],[PROVEEDOR]],TERCEROS_INFO[#All],2,FALSE)</f>
        <v>30</v>
      </c>
      <c r="D1183" s="139">
        <f>+SUMIFS(PROVEEDORES[Total],PROVEEDORES[PROVEEDOR],PROVEEDORES[[#This Row],[PROVEEDOR]],PROVEEDORES[FECHA DE PAGO],"")</f>
        <v>5427539.2800000003</v>
      </c>
      <c r="E1183" s="140"/>
      <c r="F1183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183" s="127">
        <v>45317</v>
      </c>
      <c r="H1183" s="123" t="s">
        <v>11</v>
      </c>
      <c r="I1183" s="127">
        <v>45280</v>
      </c>
      <c r="J1183" s="124" t="s">
        <v>1371</v>
      </c>
      <c r="K1183" s="124" t="s">
        <v>1530</v>
      </c>
      <c r="L1183" s="124"/>
      <c r="M1183" s="125">
        <v>3882361</v>
      </c>
      <c r="N1183" s="148">
        <v>737648.59</v>
      </c>
      <c r="O1183" s="148">
        <v>0</v>
      </c>
      <c r="P1183" s="149">
        <v>2.5000000000000001E-2</v>
      </c>
      <c r="Q1183" s="148">
        <v>97059.025000000009</v>
      </c>
      <c r="R1183" s="150">
        <v>4522950.5649999995</v>
      </c>
      <c r="S11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3" s="135">
        <f ca="1">+IF(PROVEEDORES[[#This Row],[FECHA DE PAGO]]=0,TODAY()-PROVEEDORES[[#This Row],[FECHA DE FACTURACIÓN]]-PROVEEDORES[[#This Row],[PLAZO Días]],0)</f>
        <v>0</v>
      </c>
      <c r="U1183" s="135" t="str">
        <f>+VLOOKUP(PROVEEDORES[[#This Row],[PROVEEDOR]],Terceros!$A:$D,4,FALSE)</f>
        <v>2,5% con base</v>
      </c>
      <c r="V1183" s="135">
        <f>+YEAR(PROVEEDORES[[#This Row],[FECHA DE FACTURACIÓN]])</f>
        <v>2023</v>
      </c>
      <c r="W1183" s="135">
        <f>+MATCH(PROVEEDORES[[#This Row],[año facturado]],Retenciones!$1:$1,0)</f>
        <v>6</v>
      </c>
      <c r="X1183" s="136">
        <f>+VLOOKUP(PROVEEDORES[[#This Row],[ID RETENCION]],Retenciones!$A$1:$O$25,PROVEEDORES[[#This Row],[indicador de columna]],FALSE)</f>
        <v>1145000</v>
      </c>
      <c r="Y1183" s="137">
        <f>+VLOOKUP(PROVEEDORES[[#This Row],[ID RETENCION]],Retenciones!$A$1:$O$25,2,FALSE)</f>
        <v>2.5000000000000001E-2</v>
      </c>
      <c r="Z1183" s="126" t="b">
        <f>+OR(COUNTIF(PROVEEDORES[[#This Row],[PROVEEDOR]],"*"&amp;'Palabra que no opera y Listas d'!$A$2&amp;"*"))</f>
        <v>0</v>
      </c>
    </row>
    <row r="1184" spans="1:26" ht="27.75" customHeight="1" x14ac:dyDescent="0.25">
      <c r="A1184" s="141" t="str">
        <f>+IF(PROVEEDORES[[#This Row],[FECHA DE PAGO]]=PROVEEDORES[[#This Row],[FECHA DE FACTURACIÓN]],"DE CONTADO","CRÉDITO")</f>
        <v>CRÉDITO</v>
      </c>
      <c r="B1184" s="138" t="str">
        <f>+IF((PROVEEDORES[[#This Row],[FECHA DE PAGO]]-PROVEEDORES[[#This Row],[FECHA DE FACTURACIÓN]])&gt;PROVEEDORES[[#This Row],[PLAZO Días]],"PAGO VENCIDO")</f>
        <v>PAGO VENCIDO</v>
      </c>
      <c r="C1184" s="138">
        <f>+VLOOKUP(PROVEEDORES[[#This Row],[PROVEEDOR]],TERCEROS_INFO[#All],2,FALSE)</f>
        <v>30</v>
      </c>
      <c r="D1184" s="139">
        <f>+SUMIFS(PROVEEDORES[Total],PROVEEDORES[PROVEEDOR],PROVEEDORES[[#This Row],[PROVEEDOR]],PROVEEDORES[FECHA DE PAGO],"")</f>
        <v>8456975.129999999</v>
      </c>
      <c r="E1184" s="140"/>
      <c r="F1184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184" s="127">
        <v>45317</v>
      </c>
      <c r="H1184" s="123" t="s">
        <v>1464</v>
      </c>
      <c r="I1184" s="127">
        <v>45282</v>
      </c>
      <c r="J1184" s="124" t="s">
        <v>1383</v>
      </c>
      <c r="K1184" s="124" t="s">
        <v>1530</v>
      </c>
      <c r="L1184" s="124"/>
      <c r="M1184" s="125">
        <v>1308311</v>
      </c>
      <c r="N1184" s="148">
        <v>248579.09</v>
      </c>
      <c r="O1184" s="148">
        <v>0</v>
      </c>
      <c r="P1184" s="149">
        <v>2.5000000000000001E-2</v>
      </c>
      <c r="Q1184" s="148">
        <v>32707.775000000001</v>
      </c>
      <c r="R1184" s="150">
        <v>1524182.3150000002</v>
      </c>
      <c r="S11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4" s="135">
        <f ca="1">+IF(PROVEEDORES[[#This Row],[FECHA DE PAGO]]=0,TODAY()-PROVEEDORES[[#This Row],[FECHA DE FACTURACIÓN]]-PROVEEDORES[[#This Row],[PLAZO Días]],0)</f>
        <v>0</v>
      </c>
      <c r="U1184" s="135" t="str">
        <f>+VLOOKUP(PROVEEDORES[[#This Row],[PROVEEDOR]],Terceros!$A:$D,4,FALSE)</f>
        <v>2,5% con base</v>
      </c>
      <c r="V1184" s="135">
        <f>+YEAR(PROVEEDORES[[#This Row],[FECHA DE FACTURACIÓN]])</f>
        <v>2023</v>
      </c>
      <c r="W1184" s="135">
        <f>+MATCH(PROVEEDORES[[#This Row],[año facturado]],Retenciones!$1:$1,0)</f>
        <v>6</v>
      </c>
      <c r="X1184" s="136">
        <f>+VLOOKUP(PROVEEDORES[[#This Row],[ID RETENCION]],Retenciones!$A$1:$O$25,PROVEEDORES[[#This Row],[indicador de columna]],FALSE)</f>
        <v>1145000</v>
      </c>
      <c r="Y1184" s="137">
        <f>+VLOOKUP(PROVEEDORES[[#This Row],[ID RETENCION]],Retenciones!$A$1:$O$25,2,FALSE)</f>
        <v>2.5000000000000001E-2</v>
      </c>
      <c r="Z1184" s="126" t="b">
        <f>+OR(COUNTIF(PROVEEDORES[[#This Row],[PROVEEDOR]],"*"&amp;'Palabra que no opera y Listas d'!$A$2&amp;"*"))</f>
        <v>0</v>
      </c>
    </row>
    <row r="1185" spans="1:26" ht="27.75" customHeight="1" x14ac:dyDescent="0.25">
      <c r="A1185" s="141" t="str">
        <f>+IF(PROVEEDORES[[#This Row],[FECHA DE PAGO]]=PROVEEDORES[[#This Row],[FECHA DE FACTURACIÓN]],"DE CONTADO","CRÉDITO")</f>
        <v>CRÉDITO</v>
      </c>
      <c r="B1185" s="138" t="b">
        <f>+IF((PROVEEDORES[[#This Row],[FECHA DE PAGO]]-PROVEEDORES[[#This Row],[FECHA DE FACTURACIÓN]])&gt;PROVEEDORES[[#This Row],[PLAZO Días]],"PAGO VENCIDO")</f>
        <v>0</v>
      </c>
      <c r="C1185" s="138">
        <f>+VLOOKUP(PROVEEDORES[[#This Row],[PROVEEDOR]],TERCEROS_INFO[#All],2,FALSE)</f>
        <v>10</v>
      </c>
      <c r="D1185" s="139">
        <f>+SUMIFS(PROVEEDORES[Total],PROVEEDORES[PROVEEDOR],PROVEEDORES[[#This Row],[PROVEEDOR]],PROVEEDORES[FECHA DE PAGO],"")</f>
        <v>-3510</v>
      </c>
      <c r="E1185" s="140"/>
      <c r="F1185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185" s="127">
        <v>45317</v>
      </c>
      <c r="H1185" s="123" t="s">
        <v>1452</v>
      </c>
      <c r="I1185" s="127">
        <v>45308</v>
      </c>
      <c r="J1185" s="124" t="s">
        <v>1453</v>
      </c>
      <c r="K1185" s="124" t="s">
        <v>1530</v>
      </c>
      <c r="L1185" s="124"/>
      <c r="M1185" s="125">
        <v>40441</v>
      </c>
      <c r="N1185" s="148">
        <v>7683.79</v>
      </c>
      <c r="O1185" s="148">
        <v>0</v>
      </c>
      <c r="P1185" s="149">
        <v>3.5000000000000003E-2</v>
      </c>
      <c r="Q1185" s="148">
        <v>1415.4350000000002</v>
      </c>
      <c r="R1185" s="150">
        <v>46709.355000000003</v>
      </c>
      <c r="S11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5" s="135">
        <f ca="1">+IF(PROVEEDORES[[#This Row],[FECHA DE PAGO]]=0,TODAY()-PROVEEDORES[[#This Row],[FECHA DE FACTURACIÓN]]-PROVEEDORES[[#This Row],[PLAZO Días]],0)</f>
        <v>0</v>
      </c>
      <c r="U1185" s="135" t="str">
        <f>+VLOOKUP(PROVEEDORES[[#This Row],[PROVEEDOR]],Terceros!$A:$D,4,FALSE)</f>
        <v>3,5% sin base</v>
      </c>
      <c r="V1185" s="135">
        <f>+YEAR(PROVEEDORES[[#This Row],[FECHA DE FACTURACIÓN]])</f>
        <v>2024</v>
      </c>
      <c r="W1185" s="135">
        <f>+MATCH(PROVEEDORES[[#This Row],[año facturado]],Retenciones!$1:$1,0)</f>
        <v>7</v>
      </c>
      <c r="X1185" s="136">
        <f>+VLOOKUP(PROVEEDORES[[#This Row],[ID RETENCION]],Retenciones!$A$1:$O$25,PROVEEDORES[[#This Row],[indicador de columna]],FALSE)</f>
        <v>0</v>
      </c>
      <c r="Y1185" s="137">
        <f>+VLOOKUP(PROVEEDORES[[#This Row],[ID RETENCION]],Retenciones!$A$1:$O$25,2,FALSE)</f>
        <v>3.5000000000000003E-2</v>
      </c>
      <c r="Z1185" s="126" t="b">
        <f>+OR(COUNTIF(PROVEEDORES[[#This Row],[PROVEEDOR]],"*"&amp;'Palabra que no opera y Listas d'!$A$2&amp;"*"))</f>
        <v>1</v>
      </c>
    </row>
    <row r="1186" spans="1:26" ht="27.75" customHeight="1" x14ac:dyDescent="0.25">
      <c r="A1186" s="141" t="str">
        <f>+IF(PROVEEDORES[[#This Row],[FECHA DE PAGO]]=PROVEEDORES[[#This Row],[FECHA DE FACTURACIÓN]],"DE CONTADO","CRÉDITO")</f>
        <v>CRÉDITO</v>
      </c>
      <c r="B1186" s="138" t="b">
        <f>+IF((PROVEEDORES[[#This Row],[FECHA DE PAGO]]-PROVEEDORES[[#This Row],[FECHA DE FACTURACIÓN]])&gt;PROVEEDORES[[#This Row],[PLAZO Días]],"PAGO VENCIDO")</f>
        <v>0</v>
      </c>
      <c r="C1186" s="138">
        <f>+VLOOKUP(PROVEEDORES[[#This Row],[PROVEEDOR]],TERCEROS_INFO[#All],2,FALSE)</f>
        <v>30</v>
      </c>
      <c r="D1186" s="139">
        <f>+SUMIFS(PROVEEDORES[Total],PROVEEDORES[PROVEEDOR],PROVEEDORES[[#This Row],[PROVEEDOR]],PROVEEDORES[FECHA DE PAGO],"")</f>
        <v>352000</v>
      </c>
      <c r="E1186" s="140"/>
      <c r="F1186" s="138" t="str">
        <f>+VLOOKUP(PROVEEDORES[[#This Row],[PROVEEDOR]],
                       Terceros!$A:$F,
                       5,
                       FALSE)</f>
        <v/>
      </c>
      <c r="G1186" s="127">
        <v>45319</v>
      </c>
      <c r="H1186" s="123" t="s">
        <v>527</v>
      </c>
      <c r="I1186" s="127">
        <v>45318</v>
      </c>
      <c r="J1186" s="124" t="s">
        <v>1507</v>
      </c>
      <c r="K1186" s="124" t="s">
        <v>1530</v>
      </c>
      <c r="L1186" s="124"/>
      <c r="M1186" s="125">
        <v>137256</v>
      </c>
      <c r="N1186" s="148">
        <v>0</v>
      </c>
      <c r="O1186" s="148">
        <v>0</v>
      </c>
      <c r="P1186" s="149">
        <v>0</v>
      </c>
      <c r="Q1186" s="148">
        <v>0</v>
      </c>
      <c r="R1186" s="150">
        <v>137256</v>
      </c>
      <c r="S11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6" s="135">
        <f ca="1">+IF(PROVEEDORES[[#This Row],[FECHA DE PAGO]]=0,TODAY()-PROVEEDORES[[#This Row],[FECHA DE FACTURACIÓN]]-PROVEEDORES[[#This Row],[PLAZO Días]],0)</f>
        <v>0</v>
      </c>
      <c r="U1186" s="135">
        <f>+VLOOKUP(PROVEEDORES[[#This Row],[PROVEEDOR]],Terceros!$A:$D,4,FALSE)</f>
        <v>0</v>
      </c>
      <c r="V1186" s="135">
        <f>+YEAR(PROVEEDORES[[#This Row],[FECHA DE FACTURACIÓN]])</f>
        <v>2024</v>
      </c>
      <c r="W1186" s="135">
        <f>+MATCH(PROVEEDORES[[#This Row],[año facturado]],Retenciones!$1:$1,0)</f>
        <v>7</v>
      </c>
      <c r="X1186" s="136">
        <f>+VLOOKUP(PROVEEDORES[[#This Row],[ID RETENCION]],Retenciones!$A$1:$O$25,PROVEEDORES[[#This Row],[indicador de columna]],FALSE)</f>
        <v>0</v>
      </c>
      <c r="Y1186" s="137">
        <f>+VLOOKUP(PROVEEDORES[[#This Row],[ID RETENCION]],Retenciones!$A$1:$O$25,2,FALSE)</f>
        <v>0</v>
      </c>
      <c r="Z1186" s="126" t="b">
        <f>+OR(COUNTIF(PROVEEDORES[[#This Row],[PROVEEDOR]],"*"&amp;'Palabra que no opera y Listas d'!$A$2&amp;"*"))</f>
        <v>0</v>
      </c>
    </row>
    <row r="1187" spans="1:26" ht="27.75" customHeight="1" x14ac:dyDescent="0.25">
      <c r="A1187" s="141" t="str">
        <f>+IF(PROVEEDORES[[#This Row],[FECHA DE PAGO]]=PROVEEDORES[[#This Row],[FECHA DE FACTURACIÓN]],"DE CONTADO","CRÉDITO")</f>
        <v>CRÉDITO</v>
      </c>
      <c r="B1187" s="138" t="b">
        <f>+IF((PROVEEDORES[[#This Row],[FECHA DE PAGO]]-PROVEEDORES[[#This Row],[FECHA DE FACTURACIÓN]])&gt;PROVEEDORES[[#This Row],[PLAZO Días]],"PAGO VENCIDO")</f>
        <v>0</v>
      </c>
      <c r="C1187" s="138">
        <f>+VLOOKUP(PROVEEDORES[[#This Row],[PROVEEDOR]],TERCEROS_INFO[#All],2,FALSE)</f>
        <v>30</v>
      </c>
      <c r="D1187" s="139">
        <f>+SUMIFS(PROVEEDORES[Total],PROVEEDORES[PROVEEDOR],PROVEEDORES[[#This Row],[PROVEEDOR]],PROVEEDORES[FECHA DE PAGO],"")</f>
        <v>0</v>
      </c>
      <c r="E1187" s="140"/>
      <c r="F1187" s="138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187" s="127">
        <v>45319</v>
      </c>
      <c r="H1187" s="123" t="s">
        <v>1186</v>
      </c>
      <c r="I1187" s="127">
        <v>45318</v>
      </c>
      <c r="J1187" s="124" t="s">
        <v>1491</v>
      </c>
      <c r="K1187" s="124" t="s">
        <v>1530</v>
      </c>
      <c r="L1187" s="124"/>
      <c r="M1187" s="125">
        <v>808403.5</v>
      </c>
      <c r="N1187" s="148">
        <v>153596.66500000001</v>
      </c>
      <c r="O1187" s="148">
        <v>0</v>
      </c>
      <c r="P1187" s="149">
        <v>0</v>
      </c>
      <c r="Q1187" s="148">
        <v>0</v>
      </c>
      <c r="R1187" s="150">
        <v>962000.16500000004</v>
      </c>
      <c r="S11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7" s="135">
        <f ca="1">+IF(PROVEEDORES[[#This Row],[FECHA DE PAGO]]=0,TODAY()-PROVEEDORES[[#This Row],[FECHA DE FACTURACIÓN]]-PROVEEDORES[[#This Row],[PLAZO Días]],0)</f>
        <v>0</v>
      </c>
      <c r="U1187" s="135" t="str">
        <f>+VLOOKUP(PROVEEDORES[[#This Row],[PROVEEDOR]],Terceros!$A:$D,4,FALSE)</f>
        <v>2,5% con base</v>
      </c>
      <c r="V1187" s="135">
        <f>+YEAR(PROVEEDORES[[#This Row],[FECHA DE FACTURACIÓN]])</f>
        <v>2024</v>
      </c>
      <c r="W1187" s="135">
        <f>+MATCH(PROVEEDORES[[#This Row],[año facturado]],Retenciones!$1:$1,0)</f>
        <v>7</v>
      </c>
      <c r="X1187" s="136">
        <f>+VLOOKUP(PROVEEDORES[[#This Row],[ID RETENCION]],Retenciones!$A$1:$O$25,PROVEEDORES[[#This Row],[indicador de columna]],FALSE)</f>
        <v>1271000</v>
      </c>
      <c r="Y1187" s="137">
        <f>+VLOOKUP(PROVEEDORES[[#This Row],[ID RETENCION]],Retenciones!$A$1:$O$25,2,FALSE)</f>
        <v>2.5000000000000001E-2</v>
      </c>
      <c r="Z1187" s="126" t="b">
        <f>+OR(COUNTIF(PROVEEDORES[[#This Row],[PROVEEDOR]],"*"&amp;'Palabra que no opera y Listas d'!$A$2&amp;"*"))</f>
        <v>0</v>
      </c>
    </row>
    <row r="1188" spans="1:26" ht="27.75" customHeight="1" x14ac:dyDescent="0.25">
      <c r="A1188" s="141" t="str">
        <f>+IF(PROVEEDORES[[#This Row],[FECHA DE PAGO]]=PROVEEDORES[[#This Row],[FECHA DE FACTURACIÓN]],"DE CONTADO","CRÉDITO")</f>
        <v>DE CONTADO</v>
      </c>
      <c r="B1188" s="138" t="b">
        <f>+IF((PROVEEDORES[[#This Row],[FECHA DE PAGO]]-PROVEEDORES[[#This Row],[FECHA DE FACTURACIÓN]])&gt;PROVEEDORES[[#This Row],[PLAZO Días]],"PAGO VENCIDO")</f>
        <v>0</v>
      </c>
      <c r="C1188" s="138">
        <f>+VLOOKUP(PROVEEDORES[[#This Row],[PROVEEDOR]],TERCEROS_INFO[#All],2,FALSE)</f>
        <v>30</v>
      </c>
      <c r="D1188" s="139">
        <f>+SUMIFS(PROVEEDORES[Total],PROVEEDORES[PROVEEDOR],PROVEEDORES[[#This Row],[PROVEEDOR]],PROVEEDORES[FECHA DE PAGO],"")</f>
        <v>1350000</v>
      </c>
      <c r="E1188" s="140"/>
      <c r="F1188" s="138" t="str">
        <f>+VLOOKUP(PROVEEDORES[[#This Row],[PROVEEDOR]],
                       Terceros!$A:$F,
                       5,
                       FALSE)</f>
        <v/>
      </c>
      <c r="G1188" s="127">
        <v>45321</v>
      </c>
      <c r="H1188" s="123" t="s">
        <v>1807</v>
      </c>
      <c r="I1188" s="127">
        <v>45321</v>
      </c>
      <c r="J1188" s="124" t="s">
        <v>1493</v>
      </c>
      <c r="K1188" s="124" t="s">
        <v>1530</v>
      </c>
      <c r="L1188" s="124"/>
      <c r="M1188" s="125">
        <v>480000</v>
      </c>
      <c r="N1188" s="148">
        <v>0</v>
      </c>
      <c r="O1188" s="148">
        <v>0</v>
      </c>
      <c r="P1188" s="149">
        <v>0</v>
      </c>
      <c r="Q1188" s="148">
        <v>0</v>
      </c>
      <c r="R1188" s="150">
        <v>480000</v>
      </c>
      <c r="S11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8" s="135">
        <f ca="1">+IF(PROVEEDORES[[#This Row],[FECHA DE PAGO]]=0,TODAY()-PROVEEDORES[[#This Row],[FECHA DE FACTURACIÓN]]-PROVEEDORES[[#This Row],[PLAZO Días]],0)</f>
        <v>0</v>
      </c>
      <c r="U1188" s="135">
        <f>+VLOOKUP(PROVEEDORES[[#This Row],[PROVEEDOR]],Terceros!$A:$D,4,FALSE)</f>
        <v>0</v>
      </c>
      <c r="V1188" s="135">
        <f>+YEAR(PROVEEDORES[[#This Row],[FECHA DE FACTURACIÓN]])</f>
        <v>2024</v>
      </c>
      <c r="W1188" s="135">
        <f>+MATCH(PROVEEDORES[[#This Row],[año facturado]],Retenciones!$1:$1,0)</f>
        <v>7</v>
      </c>
      <c r="X1188" s="136">
        <f>+VLOOKUP(PROVEEDORES[[#This Row],[ID RETENCION]],Retenciones!$A$1:$O$25,PROVEEDORES[[#This Row],[indicador de columna]],FALSE)</f>
        <v>0</v>
      </c>
      <c r="Y1188" s="137">
        <f>+VLOOKUP(PROVEEDORES[[#This Row],[ID RETENCION]],Retenciones!$A$1:$O$25,2,FALSE)</f>
        <v>0</v>
      </c>
      <c r="Z1188" s="126" t="b">
        <f>+OR(COUNTIF(PROVEEDORES[[#This Row],[PROVEEDOR]],"*"&amp;'Palabra que no opera y Listas d'!$A$2&amp;"*"))</f>
        <v>0</v>
      </c>
    </row>
    <row r="1189" spans="1:26" ht="27.75" customHeight="1" x14ac:dyDescent="0.25">
      <c r="A1189" s="141" t="str">
        <f>+IF(PROVEEDORES[[#This Row],[FECHA DE PAGO]]=PROVEEDORES[[#This Row],[FECHA DE FACTURACIÓN]],"DE CONTADO","CRÉDITO")</f>
        <v>CRÉDITO</v>
      </c>
      <c r="B1189" s="138" t="str">
        <f>+IF((PROVEEDORES[[#This Row],[FECHA DE PAGO]]-PROVEEDORES[[#This Row],[FECHA DE FACTURACIÓN]])&gt;PROVEEDORES[[#This Row],[PLAZO Días]],"PAGO VENCIDO")</f>
        <v>PAGO VENCIDO</v>
      </c>
      <c r="C1189" s="138">
        <f>+VLOOKUP(PROVEEDORES[[#This Row],[PROVEEDOR]],TERCEROS_INFO[#All],2,FALSE)</f>
        <v>30</v>
      </c>
      <c r="D1189" s="139">
        <f>+SUMIFS(PROVEEDORES[Total],PROVEEDORES[PROVEEDOR],PROVEEDORES[[#This Row],[PROVEEDOR]],PROVEEDORES[FECHA DE PAGO],"")</f>
        <v>0</v>
      </c>
      <c r="E1189" s="140"/>
      <c r="F1189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1189" s="127">
        <v>45322</v>
      </c>
      <c r="H1189" s="123" t="s">
        <v>1863</v>
      </c>
      <c r="I1189" s="127">
        <v>45261</v>
      </c>
      <c r="J1189" s="124" t="s">
        <v>1466</v>
      </c>
      <c r="K1189" s="124" t="s">
        <v>1530</v>
      </c>
      <c r="L1189" s="124"/>
      <c r="M1189" s="125">
        <v>229206</v>
      </c>
      <c r="N1189" s="148">
        <v>0</v>
      </c>
      <c r="O1189" s="148">
        <v>0</v>
      </c>
      <c r="P1189" s="149">
        <v>0</v>
      </c>
      <c r="Q1189" s="148">
        <v>0</v>
      </c>
      <c r="R1189" s="150">
        <v>229206</v>
      </c>
      <c r="S11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89" s="135">
        <f ca="1">+IF(PROVEEDORES[[#This Row],[FECHA DE PAGO]]=0,TODAY()-PROVEEDORES[[#This Row],[FECHA DE FACTURACIÓN]]-PROVEEDORES[[#This Row],[PLAZO Días]],0)</f>
        <v>0</v>
      </c>
      <c r="U1189" s="135">
        <f>+VLOOKUP(PROVEEDORES[[#This Row],[PROVEEDOR]],Terceros!$A:$D,4,FALSE)</f>
        <v>0</v>
      </c>
      <c r="V1189" s="135">
        <f>+YEAR(PROVEEDORES[[#This Row],[FECHA DE FACTURACIÓN]])</f>
        <v>2023</v>
      </c>
      <c r="W1189" s="135">
        <f>+MATCH(PROVEEDORES[[#This Row],[año facturado]],Retenciones!$1:$1,0)</f>
        <v>6</v>
      </c>
      <c r="X1189" s="136">
        <f>+VLOOKUP(PROVEEDORES[[#This Row],[ID RETENCION]],Retenciones!$A$1:$O$25,PROVEEDORES[[#This Row],[indicador de columna]],FALSE)</f>
        <v>0</v>
      </c>
      <c r="Y1189" s="137">
        <f>+VLOOKUP(PROVEEDORES[[#This Row],[ID RETENCION]],Retenciones!$A$1:$O$25,2,FALSE)</f>
        <v>0</v>
      </c>
      <c r="Z1189" s="126" t="b">
        <f>+OR(COUNTIF(PROVEEDORES[[#This Row],[PROVEEDOR]],"*"&amp;'Palabra que no opera y Listas d'!$A$2&amp;"*"))</f>
        <v>0</v>
      </c>
    </row>
    <row r="1190" spans="1:26" ht="27.75" customHeight="1" x14ac:dyDescent="0.25">
      <c r="A1190" s="141" t="str">
        <f>+IF(PROVEEDORES[[#This Row],[FECHA DE PAGO]]=PROVEEDORES[[#This Row],[FECHA DE FACTURACIÓN]],"DE CONTADO","CRÉDITO")</f>
        <v>CRÉDITO</v>
      </c>
      <c r="B1190" s="138" t="str">
        <f>+IF((PROVEEDORES[[#This Row],[FECHA DE PAGO]]-PROVEEDORES[[#This Row],[FECHA DE FACTURACIÓN]])&gt;PROVEEDORES[[#This Row],[PLAZO Días]],"PAGO VENCIDO")</f>
        <v>PAGO VENCIDO</v>
      </c>
      <c r="C1190" s="138">
        <f>+VLOOKUP(PROVEEDORES[[#This Row],[PROVEEDOR]],TERCEROS_INFO[#All],2,FALSE)</f>
        <v>30</v>
      </c>
      <c r="D1190" s="139">
        <f>+SUMIFS(PROVEEDORES[Total],PROVEEDORES[PROVEEDOR],PROVEEDORES[[#This Row],[PROVEEDOR]],PROVEEDORES[FECHA DE PAGO],"")</f>
        <v>12628497</v>
      </c>
      <c r="E1190" s="140"/>
      <c r="F1190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190" s="127">
        <v>45322</v>
      </c>
      <c r="H1190" s="123" t="s">
        <v>451</v>
      </c>
      <c r="I1190" s="127">
        <v>45261</v>
      </c>
      <c r="J1190" s="124" t="s">
        <v>1328</v>
      </c>
      <c r="K1190" s="124" t="s">
        <v>1530</v>
      </c>
      <c r="L1190" s="124"/>
      <c r="M1190" s="125">
        <v>4116710</v>
      </c>
      <c r="N1190" s="148">
        <v>782174.9</v>
      </c>
      <c r="O1190" s="148">
        <v>0</v>
      </c>
      <c r="P1190" s="149">
        <v>2.5000000000000001E-2</v>
      </c>
      <c r="Q1190" s="148">
        <v>102917.75</v>
      </c>
      <c r="R1190" s="150">
        <v>4795967.1500000004</v>
      </c>
      <c r="S11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0" s="135">
        <f ca="1">+IF(PROVEEDORES[[#This Row],[FECHA DE PAGO]]=0,TODAY()-PROVEEDORES[[#This Row],[FECHA DE FACTURACIÓN]]-PROVEEDORES[[#This Row],[PLAZO Días]],0)</f>
        <v>0</v>
      </c>
      <c r="U1190" s="135" t="str">
        <f>+VLOOKUP(PROVEEDORES[[#This Row],[PROVEEDOR]],Terceros!$A:$D,4,FALSE)</f>
        <v>2,5% con base</v>
      </c>
      <c r="V1190" s="135">
        <f>+YEAR(PROVEEDORES[[#This Row],[FECHA DE FACTURACIÓN]])</f>
        <v>2023</v>
      </c>
      <c r="W1190" s="135">
        <f>+MATCH(PROVEEDORES[[#This Row],[año facturado]],Retenciones!$1:$1,0)</f>
        <v>6</v>
      </c>
      <c r="X1190" s="136">
        <f>+VLOOKUP(PROVEEDORES[[#This Row],[ID RETENCION]],Retenciones!$A$1:$O$25,PROVEEDORES[[#This Row],[indicador de columna]],FALSE)</f>
        <v>1145000</v>
      </c>
      <c r="Y1190" s="137">
        <f>+VLOOKUP(PROVEEDORES[[#This Row],[ID RETENCION]],Retenciones!$A$1:$O$25,2,FALSE)</f>
        <v>2.5000000000000001E-2</v>
      </c>
      <c r="Z1190" s="126" t="b">
        <f>+OR(COUNTIF(PROVEEDORES[[#This Row],[PROVEEDOR]],"*"&amp;'Palabra que no opera y Listas d'!$A$2&amp;"*"))</f>
        <v>0</v>
      </c>
    </row>
    <row r="1191" spans="1:26" ht="27.75" customHeight="1" x14ac:dyDescent="0.25">
      <c r="A1191" s="141" t="str">
        <f>+IF(PROVEEDORES[[#This Row],[FECHA DE PAGO]]=PROVEEDORES[[#This Row],[FECHA DE FACTURACIÓN]],"DE CONTADO","CRÉDITO")</f>
        <v>CRÉDITO</v>
      </c>
      <c r="B1191" s="138" t="str">
        <f>+IF((PROVEEDORES[[#This Row],[FECHA DE PAGO]]-PROVEEDORES[[#This Row],[FECHA DE FACTURACIÓN]])&gt;PROVEEDORES[[#This Row],[PLAZO Días]],"PAGO VENCIDO")</f>
        <v>PAGO VENCIDO</v>
      </c>
      <c r="C1191" s="138">
        <f>+VLOOKUP(PROVEEDORES[[#This Row],[PROVEEDOR]],TERCEROS_INFO[#All],2,FALSE)</f>
        <v>30</v>
      </c>
      <c r="D1191" s="139">
        <f>+SUMIFS(PROVEEDORES[Total],PROVEEDORES[PROVEEDOR],PROVEEDORES[[#This Row],[PROVEEDOR]],PROVEEDORES[FECHA DE PAGO],"")</f>
        <v>12628497</v>
      </c>
      <c r="E1191" s="140"/>
      <c r="F1191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191" s="127">
        <v>45322</v>
      </c>
      <c r="H1191" s="123" t="s">
        <v>451</v>
      </c>
      <c r="I1191" s="127">
        <v>45265</v>
      </c>
      <c r="J1191" s="124" t="s">
        <v>1330</v>
      </c>
      <c r="K1191" s="124" t="s">
        <v>1530</v>
      </c>
      <c r="L1191" s="124"/>
      <c r="M1191" s="125">
        <v>1260000</v>
      </c>
      <c r="N1191" s="148">
        <v>239400</v>
      </c>
      <c r="O1191" s="148">
        <v>0</v>
      </c>
      <c r="P1191" s="149">
        <v>2.5000000000000001E-2</v>
      </c>
      <c r="Q1191" s="148">
        <v>31500</v>
      </c>
      <c r="R1191" s="150">
        <v>1467900</v>
      </c>
      <c r="S11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1" s="135">
        <f ca="1">+IF(PROVEEDORES[[#This Row],[FECHA DE PAGO]]=0,TODAY()-PROVEEDORES[[#This Row],[FECHA DE FACTURACIÓN]]-PROVEEDORES[[#This Row],[PLAZO Días]],0)</f>
        <v>0</v>
      </c>
      <c r="U1191" s="135" t="str">
        <f>+VLOOKUP(PROVEEDORES[[#This Row],[PROVEEDOR]],Terceros!$A:$D,4,FALSE)</f>
        <v>2,5% con base</v>
      </c>
      <c r="V1191" s="135">
        <f>+YEAR(PROVEEDORES[[#This Row],[FECHA DE FACTURACIÓN]])</f>
        <v>2023</v>
      </c>
      <c r="W1191" s="135">
        <f>+MATCH(PROVEEDORES[[#This Row],[año facturado]],Retenciones!$1:$1,0)</f>
        <v>6</v>
      </c>
      <c r="X1191" s="136">
        <f>+VLOOKUP(PROVEEDORES[[#This Row],[ID RETENCION]],Retenciones!$A$1:$O$25,PROVEEDORES[[#This Row],[indicador de columna]],FALSE)</f>
        <v>1145000</v>
      </c>
      <c r="Y1191" s="137">
        <f>+VLOOKUP(PROVEEDORES[[#This Row],[ID RETENCION]],Retenciones!$A$1:$O$25,2,FALSE)</f>
        <v>2.5000000000000001E-2</v>
      </c>
      <c r="Z1191" s="126" t="b">
        <f>+OR(COUNTIF(PROVEEDORES[[#This Row],[PROVEEDOR]],"*"&amp;'Palabra que no opera y Listas d'!$A$2&amp;"*"))</f>
        <v>0</v>
      </c>
    </row>
    <row r="1192" spans="1:26" ht="27.75" customHeight="1" x14ac:dyDescent="0.25">
      <c r="A1192" s="141" t="str">
        <f>+IF(PROVEEDORES[[#This Row],[FECHA DE PAGO]]=PROVEEDORES[[#This Row],[FECHA DE FACTURACIÓN]],"DE CONTADO","CRÉDITO")</f>
        <v>CRÉDITO</v>
      </c>
      <c r="B1192" s="138" t="str">
        <f>+IF((PROVEEDORES[[#This Row],[FECHA DE PAGO]]-PROVEEDORES[[#This Row],[FECHA DE FACTURACIÓN]])&gt;PROVEEDORES[[#This Row],[PLAZO Días]],"PAGO VENCIDO")</f>
        <v>PAGO VENCIDO</v>
      </c>
      <c r="C1192" s="138">
        <f>+VLOOKUP(PROVEEDORES[[#This Row],[PROVEEDOR]],TERCEROS_INFO[#All],2,FALSE)</f>
        <v>30</v>
      </c>
      <c r="D1192" s="139">
        <f>+SUMIFS(PROVEEDORES[Total],PROVEEDORES[PROVEEDOR],PROVEEDORES[[#This Row],[PROVEEDOR]],PROVEEDORES[FECHA DE PAGO],"")</f>
        <v>5813868.5099999998</v>
      </c>
      <c r="E1192" s="140"/>
      <c r="F1192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192" s="127">
        <v>45322</v>
      </c>
      <c r="H1192" s="123" t="s">
        <v>24</v>
      </c>
      <c r="I1192" s="127">
        <v>45274</v>
      </c>
      <c r="J1192" s="124">
        <v>5042201</v>
      </c>
      <c r="K1192" s="124" t="s">
        <v>504</v>
      </c>
      <c r="L1192" s="124"/>
      <c r="M1192" s="125">
        <v>3150000</v>
      </c>
      <c r="N1192" s="148">
        <v>598500</v>
      </c>
      <c r="O1192" s="148">
        <v>0</v>
      </c>
      <c r="P1192" s="149">
        <v>2.5000000000000001E-2</v>
      </c>
      <c r="Q1192" s="148">
        <v>78750</v>
      </c>
      <c r="R1192" s="150">
        <v>3669750</v>
      </c>
      <c r="S11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2" s="135">
        <f ca="1">+IF(PROVEEDORES[[#This Row],[FECHA DE PAGO]]=0,TODAY()-PROVEEDORES[[#This Row],[FECHA DE FACTURACIÓN]]-PROVEEDORES[[#This Row],[PLAZO Días]],0)</f>
        <v>0</v>
      </c>
      <c r="U1192" s="135" t="str">
        <f>+VLOOKUP(PROVEEDORES[[#This Row],[PROVEEDOR]],Terceros!$A:$D,4,FALSE)</f>
        <v>2,5% con base</v>
      </c>
      <c r="V1192" s="135">
        <f>+YEAR(PROVEEDORES[[#This Row],[FECHA DE FACTURACIÓN]])</f>
        <v>2023</v>
      </c>
      <c r="W1192" s="135">
        <f>+MATCH(PROVEEDORES[[#This Row],[año facturado]],Retenciones!$1:$1,0)</f>
        <v>6</v>
      </c>
      <c r="X1192" s="136">
        <f>+VLOOKUP(PROVEEDORES[[#This Row],[ID RETENCION]],Retenciones!$A$1:$O$25,PROVEEDORES[[#This Row],[indicador de columna]],FALSE)</f>
        <v>1145000</v>
      </c>
      <c r="Y1192" s="137">
        <f>+VLOOKUP(PROVEEDORES[[#This Row],[ID RETENCION]],Retenciones!$A$1:$O$25,2,FALSE)</f>
        <v>2.5000000000000001E-2</v>
      </c>
      <c r="Z1192" s="126" t="b">
        <f>+OR(COUNTIF(PROVEEDORES[[#This Row],[PROVEEDOR]],"*"&amp;'Palabra que no opera y Listas d'!$A$2&amp;"*"))</f>
        <v>0</v>
      </c>
    </row>
    <row r="1193" spans="1:26" ht="27.75" customHeight="1" x14ac:dyDescent="0.25">
      <c r="A1193" s="141" t="str">
        <f>+IF(PROVEEDORES[[#This Row],[FECHA DE PAGO]]=PROVEEDORES[[#This Row],[FECHA DE FACTURACIÓN]],"DE CONTADO","CRÉDITO")</f>
        <v>CRÉDITO</v>
      </c>
      <c r="B1193" s="138" t="str">
        <f>+IF((PROVEEDORES[[#This Row],[FECHA DE PAGO]]-PROVEEDORES[[#This Row],[FECHA DE FACTURACIÓN]])&gt;PROVEEDORES[[#This Row],[PLAZO Días]],"PAGO VENCIDO")</f>
        <v>PAGO VENCIDO</v>
      </c>
      <c r="C1193" s="138">
        <f>+VLOOKUP(PROVEEDORES[[#This Row],[PROVEEDOR]],TERCEROS_INFO[#All],2,FALSE)</f>
        <v>30</v>
      </c>
      <c r="D1193" s="139">
        <f>+SUMIFS(PROVEEDORES[Total],PROVEEDORES[PROVEEDOR],PROVEEDORES[[#This Row],[PROVEEDOR]],PROVEEDORES[FECHA DE PAGO],"")</f>
        <v>12628497</v>
      </c>
      <c r="E1193" s="140"/>
      <c r="F1193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193" s="127">
        <v>45322</v>
      </c>
      <c r="H1193" s="123" t="s">
        <v>451</v>
      </c>
      <c r="I1193" s="127">
        <v>45286</v>
      </c>
      <c r="J1193" s="124" t="s">
        <v>1381</v>
      </c>
      <c r="K1193" s="124" t="s">
        <v>1530</v>
      </c>
      <c r="L1193" s="124"/>
      <c r="M1193" s="125">
        <v>4116710</v>
      </c>
      <c r="N1193" s="148">
        <v>782174.9</v>
      </c>
      <c r="O1193" s="148">
        <v>0</v>
      </c>
      <c r="P1193" s="149">
        <v>2.5000000000000001E-2</v>
      </c>
      <c r="Q1193" s="148">
        <v>102917.75</v>
      </c>
      <c r="R1193" s="150">
        <v>4795967.1500000004</v>
      </c>
      <c r="S11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3" s="135">
        <f ca="1">+IF(PROVEEDORES[[#This Row],[FECHA DE PAGO]]=0,TODAY()-PROVEEDORES[[#This Row],[FECHA DE FACTURACIÓN]]-PROVEEDORES[[#This Row],[PLAZO Días]],0)</f>
        <v>0</v>
      </c>
      <c r="U1193" s="135" t="str">
        <f>+VLOOKUP(PROVEEDORES[[#This Row],[PROVEEDOR]],Terceros!$A:$D,4,FALSE)</f>
        <v>2,5% con base</v>
      </c>
      <c r="V1193" s="135">
        <f>+YEAR(PROVEEDORES[[#This Row],[FECHA DE FACTURACIÓN]])</f>
        <v>2023</v>
      </c>
      <c r="W1193" s="135">
        <f>+MATCH(PROVEEDORES[[#This Row],[año facturado]],Retenciones!$1:$1,0)</f>
        <v>6</v>
      </c>
      <c r="X1193" s="136">
        <f>+VLOOKUP(PROVEEDORES[[#This Row],[ID RETENCION]],Retenciones!$A$1:$O$25,PROVEEDORES[[#This Row],[indicador de columna]],FALSE)</f>
        <v>1145000</v>
      </c>
      <c r="Y1193" s="137">
        <f>+VLOOKUP(PROVEEDORES[[#This Row],[ID RETENCION]],Retenciones!$A$1:$O$25,2,FALSE)</f>
        <v>2.5000000000000001E-2</v>
      </c>
      <c r="Z1193" s="126" t="b">
        <f>+OR(COUNTIF(PROVEEDORES[[#This Row],[PROVEEDOR]],"*"&amp;'Palabra que no opera y Listas d'!$A$2&amp;"*"))</f>
        <v>0</v>
      </c>
    </row>
    <row r="1194" spans="1:26" ht="27.75" customHeight="1" x14ac:dyDescent="0.25">
      <c r="A1194" s="141" t="str">
        <f>+IF(PROVEEDORES[[#This Row],[FECHA DE PAGO]]=PROVEEDORES[[#This Row],[FECHA DE FACTURACIÓN]],"DE CONTADO","CRÉDITO")</f>
        <v>CRÉDITO</v>
      </c>
      <c r="B1194" s="138" t="b">
        <f>+IF((PROVEEDORES[[#This Row],[FECHA DE PAGO]]-PROVEEDORES[[#This Row],[FECHA DE FACTURACIÓN]])&gt;PROVEEDORES[[#This Row],[PLAZO Días]],"PAGO VENCIDO")</f>
        <v>0</v>
      </c>
      <c r="C1194" s="138">
        <f>+VLOOKUP(PROVEEDORES[[#This Row],[PROVEEDOR]],TERCEROS_INFO[#All],2,FALSE)</f>
        <v>30</v>
      </c>
      <c r="D1194" s="139">
        <f>+SUMIFS(PROVEEDORES[Total],PROVEEDORES[PROVEEDOR],PROVEEDORES[[#This Row],[PROVEEDOR]],PROVEEDORES[FECHA DE PAGO],"")</f>
        <v>0</v>
      </c>
      <c r="E1194" s="140"/>
      <c r="F1194" s="138" t="str">
        <f>+VLOOKUP(PROVEEDORES[[#This Row],[PROVEEDOR]],
                       Terceros!$A:$F,
                       5,
                       FALSE)</f>
        <v>memoriasoriginales@gmail.com;girlesa.ruiz@servipilas.com;joriescobar64@gmail.com</v>
      </c>
      <c r="G1194" s="127">
        <v>45322</v>
      </c>
      <c r="H1194" s="123" t="s">
        <v>411</v>
      </c>
      <c r="I1194" s="127">
        <v>45300</v>
      </c>
      <c r="J1194" s="124" t="s">
        <v>1444</v>
      </c>
      <c r="K1194" s="124" t="s">
        <v>504</v>
      </c>
      <c r="L1194" s="124"/>
      <c r="M1194" s="125">
        <v>1800000</v>
      </c>
      <c r="N1194" s="148">
        <v>342000</v>
      </c>
      <c r="O1194" s="148">
        <v>0</v>
      </c>
      <c r="P1194" s="149">
        <v>2.5000000000000001E-2</v>
      </c>
      <c r="Q1194" s="148">
        <v>45000</v>
      </c>
      <c r="R1194" s="150">
        <v>2097000</v>
      </c>
      <c r="S11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4" s="135">
        <f ca="1">+IF(PROVEEDORES[[#This Row],[FECHA DE PAGO]]=0,TODAY()-PROVEEDORES[[#This Row],[FECHA DE FACTURACIÓN]]-PROVEEDORES[[#This Row],[PLAZO Días]],0)</f>
        <v>0</v>
      </c>
      <c r="U1194" s="135" t="str">
        <f>+VLOOKUP(PROVEEDORES[[#This Row],[PROVEEDOR]],Terceros!$A:$D,4,FALSE)</f>
        <v>2,5% con base</v>
      </c>
      <c r="V1194" s="135">
        <f>+YEAR(PROVEEDORES[[#This Row],[FECHA DE FACTURACIÓN]])</f>
        <v>2024</v>
      </c>
      <c r="W1194" s="135">
        <f>+MATCH(PROVEEDORES[[#This Row],[año facturado]],Retenciones!$1:$1,0)</f>
        <v>7</v>
      </c>
      <c r="X1194" s="136">
        <f>+VLOOKUP(PROVEEDORES[[#This Row],[ID RETENCION]],Retenciones!$A$1:$O$25,PROVEEDORES[[#This Row],[indicador de columna]],FALSE)</f>
        <v>1271000</v>
      </c>
      <c r="Y1194" s="137">
        <f>+VLOOKUP(PROVEEDORES[[#This Row],[ID RETENCION]],Retenciones!$A$1:$O$25,2,FALSE)</f>
        <v>2.5000000000000001E-2</v>
      </c>
      <c r="Z1194" s="126" t="b">
        <f>+OR(COUNTIF(PROVEEDORES[[#This Row],[PROVEEDOR]],"*"&amp;'Palabra que no opera y Listas d'!$A$2&amp;"*"))</f>
        <v>0</v>
      </c>
    </row>
    <row r="1195" spans="1:26" ht="27.75" customHeight="1" x14ac:dyDescent="0.25">
      <c r="A1195" s="141" t="str">
        <f>+IF(PROVEEDORES[[#This Row],[FECHA DE PAGO]]=PROVEEDORES[[#This Row],[FECHA DE FACTURACIÓN]],"DE CONTADO","CRÉDITO")</f>
        <v>CRÉDITO</v>
      </c>
      <c r="B1195" s="138" t="b">
        <f>+IF((PROVEEDORES[[#This Row],[FECHA DE PAGO]]-PROVEEDORES[[#This Row],[FECHA DE FACTURACIÓN]])&gt;PROVEEDORES[[#This Row],[PLAZO Días]],"PAGO VENCIDO")</f>
        <v>0</v>
      </c>
      <c r="C1195" s="138">
        <f>+VLOOKUP(PROVEEDORES[[#This Row],[PROVEEDOR]],TERCEROS_INFO[#All],2,FALSE)</f>
        <v>30</v>
      </c>
      <c r="D1195" s="139">
        <f>+SUMIFS(PROVEEDORES[Total],PROVEEDORES[PROVEEDOR],PROVEEDORES[[#This Row],[PROVEEDOR]],PROVEEDORES[FECHA DE PAGO],"")</f>
        <v>0</v>
      </c>
      <c r="E1195" s="140"/>
      <c r="F1195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1195" s="127">
        <v>45322</v>
      </c>
      <c r="H1195" s="123" t="s">
        <v>1865</v>
      </c>
      <c r="I1195" s="127">
        <v>45309</v>
      </c>
      <c r="J1195" s="124" t="s">
        <v>1494</v>
      </c>
      <c r="K1195" s="124" t="s">
        <v>504</v>
      </c>
      <c r="L1195" s="124"/>
      <c r="M1195" s="125">
        <v>209750</v>
      </c>
      <c r="N1195" s="148">
        <v>0</v>
      </c>
      <c r="O1195" s="148">
        <v>0</v>
      </c>
      <c r="P1195" s="149">
        <v>0</v>
      </c>
      <c r="Q1195" s="148">
        <v>0</v>
      </c>
      <c r="R1195" s="150">
        <v>209750</v>
      </c>
      <c r="S11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5" s="135">
        <f ca="1">+IF(PROVEEDORES[[#This Row],[FECHA DE PAGO]]=0,TODAY()-PROVEEDORES[[#This Row],[FECHA DE FACTURACIÓN]]-PROVEEDORES[[#This Row],[PLAZO Días]],0)</f>
        <v>0</v>
      </c>
      <c r="U1195" s="135">
        <f>+VLOOKUP(PROVEEDORES[[#This Row],[PROVEEDOR]],Terceros!$A:$D,4,FALSE)</f>
        <v>0</v>
      </c>
      <c r="V1195" s="135">
        <f>+YEAR(PROVEEDORES[[#This Row],[FECHA DE FACTURACIÓN]])</f>
        <v>2024</v>
      </c>
      <c r="W1195" s="135">
        <f>+MATCH(PROVEEDORES[[#This Row],[año facturado]],Retenciones!$1:$1,0)</f>
        <v>7</v>
      </c>
      <c r="X1195" s="136">
        <f>+VLOOKUP(PROVEEDORES[[#This Row],[ID RETENCION]],Retenciones!$A$1:$O$25,PROVEEDORES[[#This Row],[indicador de columna]],FALSE)</f>
        <v>0</v>
      </c>
      <c r="Y1195" s="137">
        <f>+VLOOKUP(PROVEEDORES[[#This Row],[ID RETENCION]],Retenciones!$A$1:$O$25,2,FALSE)</f>
        <v>0</v>
      </c>
      <c r="Z1195" s="126" t="b">
        <f>+OR(COUNTIF(PROVEEDORES[[#This Row],[PROVEEDOR]],"*"&amp;'Palabra que no opera y Listas d'!$A$2&amp;"*"))</f>
        <v>0</v>
      </c>
    </row>
    <row r="1196" spans="1:26" ht="27.75" customHeight="1" x14ac:dyDescent="0.25">
      <c r="A1196" s="141" t="str">
        <f>+IF(PROVEEDORES[[#This Row],[FECHA DE PAGO]]=PROVEEDORES[[#This Row],[FECHA DE FACTURACIÓN]],"DE CONTADO","CRÉDITO")</f>
        <v>CRÉDITO</v>
      </c>
      <c r="B1196" s="138" t="b">
        <f>+IF((PROVEEDORES[[#This Row],[FECHA DE PAGO]]-PROVEEDORES[[#This Row],[FECHA DE FACTURACIÓN]])&gt;PROVEEDORES[[#This Row],[PLAZO Días]],"PAGO VENCIDO")</f>
        <v>0</v>
      </c>
      <c r="C1196" s="138">
        <f>+VLOOKUP(PROVEEDORES[[#This Row],[PROVEEDOR]],TERCEROS_INFO[#All],2,FALSE)</f>
        <v>30</v>
      </c>
      <c r="D1196" s="139">
        <f>+SUMIFS(PROVEEDORES[Total],PROVEEDORES[PROVEEDOR],PROVEEDORES[[#This Row],[PROVEEDOR]],PROVEEDORES[FECHA DE PAGO],"")</f>
        <v>0</v>
      </c>
      <c r="E1196" s="140"/>
      <c r="F1196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1196" s="127">
        <v>45322</v>
      </c>
      <c r="H1196" s="123" t="s">
        <v>1865</v>
      </c>
      <c r="I1196" s="127">
        <v>45309</v>
      </c>
      <c r="J1196" s="124" t="s">
        <v>1495</v>
      </c>
      <c r="K1196" s="124" t="s">
        <v>504</v>
      </c>
      <c r="L1196" s="124"/>
      <c r="M1196" s="125">
        <v>380518</v>
      </c>
      <c r="N1196" s="148">
        <v>0</v>
      </c>
      <c r="O1196" s="148">
        <v>0</v>
      </c>
      <c r="P1196" s="149">
        <v>0</v>
      </c>
      <c r="Q1196" s="148">
        <v>0</v>
      </c>
      <c r="R1196" s="150">
        <v>380518</v>
      </c>
      <c r="S11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6" s="135">
        <f ca="1">+IF(PROVEEDORES[[#This Row],[FECHA DE PAGO]]=0,TODAY()-PROVEEDORES[[#This Row],[FECHA DE FACTURACIÓN]]-PROVEEDORES[[#This Row],[PLAZO Días]],0)</f>
        <v>0</v>
      </c>
      <c r="U1196" s="135">
        <f>+VLOOKUP(PROVEEDORES[[#This Row],[PROVEEDOR]],Terceros!$A:$D,4,FALSE)</f>
        <v>0</v>
      </c>
      <c r="V1196" s="135">
        <f>+YEAR(PROVEEDORES[[#This Row],[FECHA DE FACTURACIÓN]])</f>
        <v>2024</v>
      </c>
      <c r="W1196" s="135">
        <f>+MATCH(PROVEEDORES[[#This Row],[año facturado]],Retenciones!$1:$1,0)</f>
        <v>7</v>
      </c>
      <c r="X1196" s="136">
        <f>+VLOOKUP(PROVEEDORES[[#This Row],[ID RETENCION]],Retenciones!$A$1:$O$25,PROVEEDORES[[#This Row],[indicador de columna]],FALSE)</f>
        <v>0</v>
      </c>
      <c r="Y1196" s="137">
        <f>+VLOOKUP(PROVEEDORES[[#This Row],[ID RETENCION]],Retenciones!$A$1:$O$25,2,FALSE)</f>
        <v>0</v>
      </c>
      <c r="Z1196" s="126" t="b">
        <f>+OR(COUNTIF(PROVEEDORES[[#This Row],[PROVEEDOR]],"*"&amp;'Palabra que no opera y Listas d'!$A$2&amp;"*"))</f>
        <v>0</v>
      </c>
    </row>
    <row r="1197" spans="1:26" ht="27.75" customHeight="1" x14ac:dyDescent="0.25">
      <c r="A1197" s="141" t="str">
        <f>+IF(PROVEEDORES[[#This Row],[FECHA DE PAGO]]=PROVEEDORES[[#This Row],[FECHA DE FACTURACIÓN]],"DE CONTADO","CRÉDITO")</f>
        <v>DE CONTADO</v>
      </c>
      <c r="B1197" s="138" t="b">
        <f>+IF((PROVEEDORES[[#This Row],[FECHA DE PAGO]]-PROVEEDORES[[#This Row],[FECHA DE FACTURACIÓN]])&gt;PROVEEDORES[[#This Row],[PLAZO Días]],"PAGO VENCIDO")</f>
        <v>0</v>
      </c>
      <c r="C1197" s="138">
        <f>+VLOOKUP(PROVEEDORES[[#This Row],[PROVEEDOR]],TERCEROS_INFO[#All],2,FALSE)</f>
        <v>30</v>
      </c>
      <c r="D1197" s="139">
        <f>+SUMIFS(PROVEEDORES[Total],PROVEEDORES[PROVEEDOR],PROVEEDORES[[#This Row],[PROVEEDOR]],PROVEEDORES[FECHA DE PAGO],"")</f>
        <v>0</v>
      </c>
      <c r="E1197" s="140"/>
      <c r="F1197" s="138" t="str">
        <f>+VLOOKUP(PROVEEDORES[[#This Row],[PROVEEDOR]],
                       Terceros!$A:$F,
                       5,
                       FALSE)</f>
        <v/>
      </c>
      <c r="G1197" s="127">
        <v>45322</v>
      </c>
      <c r="H1197" s="123" t="s">
        <v>525</v>
      </c>
      <c r="I1197" s="127">
        <v>45322</v>
      </c>
      <c r="J1197" s="124" t="s">
        <v>479</v>
      </c>
      <c r="K1197" s="124" t="s">
        <v>1530</v>
      </c>
      <c r="L1197" s="124"/>
      <c r="M1197" s="125">
        <v>15000</v>
      </c>
      <c r="N1197" s="148">
        <v>0</v>
      </c>
      <c r="O1197" s="148">
        <v>0</v>
      </c>
      <c r="P1197" s="149">
        <v>0</v>
      </c>
      <c r="Q1197" s="148">
        <v>0</v>
      </c>
      <c r="R1197" s="150">
        <v>15000</v>
      </c>
      <c r="S11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7" s="135">
        <f ca="1">+IF(PROVEEDORES[[#This Row],[FECHA DE PAGO]]=0,TODAY()-PROVEEDORES[[#This Row],[FECHA DE FACTURACIÓN]]-PROVEEDORES[[#This Row],[PLAZO Días]],0)</f>
        <v>0</v>
      </c>
      <c r="U1197" s="135">
        <f>+VLOOKUP(PROVEEDORES[[#This Row],[PROVEEDOR]],Terceros!$A:$D,4,FALSE)</f>
        <v>0</v>
      </c>
      <c r="V1197" s="135">
        <f>+YEAR(PROVEEDORES[[#This Row],[FECHA DE FACTURACIÓN]])</f>
        <v>2024</v>
      </c>
      <c r="W1197" s="135">
        <f>+MATCH(PROVEEDORES[[#This Row],[año facturado]],Retenciones!$1:$1,0)</f>
        <v>7</v>
      </c>
      <c r="X1197" s="136">
        <f>+VLOOKUP(PROVEEDORES[[#This Row],[ID RETENCION]],Retenciones!$A$1:$O$25,PROVEEDORES[[#This Row],[indicador de columna]],FALSE)</f>
        <v>0</v>
      </c>
      <c r="Y1197" s="137">
        <f>+VLOOKUP(PROVEEDORES[[#This Row],[ID RETENCION]],Retenciones!$A$1:$O$25,2,FALSE)</f>
        <v>0</v>
      </c>
      <c r="Z1197" s="126" t="b">
        <f>+OR(COUNTIF(PROVEEDORES[[#This Row],[PROVEEDOR]],"*"&amp;'Palabra que no opera y Listas d'!$A$2&amp;"*"))</f>
        <v>0</v>
      </c>
    </row>
    <row r="1198" spans="1:26" ht="27.75" customHeight="1" x14ac:dyDescent="0.25">
      <c r="A1198" s="141" t="str">
        <f>+IF(PROVEEDORES[[#This Row],[FECHA DE PAGO]]=PROVEEDORES[[#This Row],[FECHA DE FACTURACIÓN]],"DE CONTADO","CRÉDITO")</f>
        <v>DE CONTADO</v>
      </c>
      <c r="B1198" s="138" t="b">
        <f>+IF((PROVEEDORES[[#This Row],[FECHA DE PAGO]]-PROVEEDORES[[#This Row],[FECHA DE FACTURACIÓN]])&gt;PROVEEDORES[[#This Row],[PLAZO Días]],"PAGO VENCIDO")</f>
        <v>0</v>
      </c>
      <c r="C1198" s="138">
        <f>+VLOOKUP(PROVEEDORES[[#This Row],[PROVEEDOR]],TERCEROS_INFO[#All],2,FALSE)</f>
        <v>30</v>
      </c>
      <c r="D1198" s="139">
        <f>+SUMIFS(PROVEEDORES[Total],PROVEEDORES[PROVEEDOR],PROVEEDORES[[#This Row],[PROVEEDOR]],PROVEEDORES[FECHA DE PAGO],"")</f>
        <v>0</v>
      </c>
      <c r="E1198" s="140"/>
      <c r="F1198" s="138" t="str">
        <f>+VLOOKUP(PROVEEDORES[[#This Row],[PROVEEDOR]],
                       Terceros!$A:$F,
                       5,
                       FALSE)</f>
        <v/>
      </c>
      <c r="G1198" s="127">
        <v>45322</v>
      </c>
      <c r="H1198" s="123" t="s">
        <v>525</v>
      </c>
      <c r="I1198" s="127">
        <v>45322</v>
      </c>
      <c r="J1198" s="124" t="s">
        <v>478</v>
      </c>
      <c r="K1198" s="124" t="s">
        <v>1530</v>
      </c>
      <c r="L1198" s="124"/>
      <c r="M1198" s="125">
        <v>494350</v>
      </c>
      <c r="N1198" s="148">
        <v>0</v>
      </c>
      <c r="O1198" s="148">
        <v>0</v>
      </c>
      <c r="P1198" s="149">
        <v>0</v>
      </c>
      <c r="Q1198" s="148">
        <v>0</v>
      </c>
      <c r="R1198" s="150">
        <v>494350</v>
      </c>
      <c r="S11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8" s="135">
        <f ca="1">+IF(PROVEEDORES[[#This Row],[FECHA DE PAGO]]=0,TODAY()-PROVEEDORES[[#This Row],[FECHA DE FACTURACIÓN]]-PROVEEDORES[[#This Row],[PLAZO Días]],0)</f>
        <v>0</v>
      </c>
      <c r="U1198" s="135">
        <f>+VLOOKUP(PROVEEDORES[[#This Row],[PROVEEDOR]],Terceros!$A:$D,4,FALSE)</f>
        <v>0</v>
      </c>
      <c r="V1198" s="135">
        <f>+YEAR(PROVEEDORES[[#This Row],[FECHA DE FACTURACIÓN]])</f>
        <v>2024</v>
      </c>
      <c r="W1198" s="135">
        <f>+MATCH(PROVEEDORES[[#This Row],[año facturado]],Retenciones!$1:$1,0)</f>
        <v>7</v>
      </c>
      <c r="X1198" s="136">
        <f>+VLOOKUP(PROVEEDORES[[#This Row],[ID RETENCION]],Retenciones!$A$1:$O$25,PROVEEDORES[[#This Row],[indicador de columna]],FALSE)</f>
        <v>0</v>
      </c>
      <c r="Y1198" s="137">
        <f>+VLOOKUP(PROVEEDORES[[#This Row],[ID RETENCION]],Retenciones!$A$1:$O$25,2,FALSE)</f>
        <v>0</v>
      </c>
      <c r="Z1198" s="126" t="b">
        <f>+OR(COUNTIF(PROVEEDORES[[#This Row],[PROVEEDOR]],"*"&amp;'Palabra que no opera y Listas d'!$A$2&amp;"*"))</f>
        <v>0</v>
      </c>
    </row>
    <row r="1199" spans="1:26" ht="27.75" customHeight="1" x14ac:dyDescent="0.25">
      <c r="A1199" s="141" t="str">
        <f>+IF(PROVEEDORES[[#This Row],[FECHA DE PAGO]]=PROVEEDORES[[#This Row],[FECHA DE FACTURACIÓN]],"DE CONTADO","CRÉDITO")</f>
        <v>DE CONTADO</v>
      </c>
      <c r="B1199" s="138" t="b">
        <f>+IF((PROVEEDORES[[#This Row],[FECHA DE PAGO]]-PROVEEDORES[[#This Row],[FECHA DE FACTURACIÓN]])&gt;PROVEEDORES[[#This Row],[PLAZO Días]],"PAGO VENCIDO")</f>
        <v>0</v>
      </c>
      <c r="C1199" s="138">
        <f>+VLOOKUP(PROVEEDORES[[#This Row],[PROVEEDOR]],TERCEROS_INFO[#All],2,FALSE)</f>
        <v>30</v>
      </c>
      <c r="D1199" s="139">
        <f>+SUMIFS(PROVEEDORES[Total],PROVEEDORES[PROVEEDOR],PROVEEDORES[[#This Row],[PROVEEDOR]],PROVEEDORES[FECHA DE PAGO],"")</f>
        <v>0</v>
      </c>
      <c r="E1199" s="140"/>
      <c r="F1199" s="138" t="str">
        <f>+VLOOKUP(PROVEEDORES[[#This Row],[PROVEEDOR]],
                       Terceros!$A:$F,
                       5,
                       FALSE)</f>
        <v/>
      </c>
      <c r="G1199" s="127">
        <v>45322</v>
      </c>
      <c r="H1199" s="123" t="s">
        <v>525</v>
      </c>
      <c r="I1199" s="127">
        <v>45322</v>
      </c>
      <c r="J1199" s="124" t="s">
        <v>476</v>
      </c>
      <c r="K1199" s="124" t="s">
        <v>1530</v>
      </c>
      <c r="L1199" s="124"/>
      <c r="M1199" s="125">
        <v>1035500</v>
      </c>
      <c r="N1199" s="148">
        <v>0</v>
      </c>
      <c r="O1199" s="148">
        <v>0</v>
      </c>
      <c r="P1199" s="149">
        <v>0</v>
      </c>
      <c r="Q1199" s="148">
        <v>0</v>
      </c>
      <c r="R1199" s="150">
        <v>1035500</v>
      </c>
      <c r="S11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199" s="135">
        <f ca="1">+IF(PROVEEDORES[[#This Row],[FECHA DE PAGO]]=0,TODAY()-PROVEEDORES[[#This Row],[FECHA DE FACTURACIÓN]]-PROVEEDORES[[#This Row],[PLAZO Días]],0)</f>
        <v>0</v>
      </c>
      <c r="U1199" s="135">
        <f>+VLOOKUP(PROVEEDORES[[#This Row],[PROVEEDOR]],Terceros!$A:$D,4,FALSE)</f>
        <v>0</v>
      </c>
      <c r="V1199" s="135">
        <f>+YEAR(PROVEEDORES[[#This Row],[FECHA DE FACTURACIÓN]])</f>
        <v>2024</v>
      </c>
      <c r="W1199" s="135">
        <f>+MATCH(PROVEEDORES[[#This Row],[año facturado]],Retenciones!$1:$1,0)</f>
        <v>7</v>
      </c>
      <c r="X1199" s="136">
        <f>+VLOOKUP(PROVEEDORES[[#This Row],[ID RETENCION]],Retenciones!$A$1:$O$25,PROVEEDORES[[#This Row],[indicador de columna]],FALSE)</f>
        <v>0</v>
      </c>
      <c r="Y1199" s="137">
        <f>+VLOOKUP(PROVEEDORES[[#This Row],[ID RETENCION]],Retenciones!$A$1:$O$25,2,FALSE)</f>
        <v>0</v>
      </c>
      <c r="Z1199" s="126" t="b">
        <f>+OR(COUNTIF(PROVEEDORES[[#This Row],[PROVEEDOR]],"*"&amp;'Palabra que no opera y Listas d'!$A$2&amp;"*"))</f>
        <v>0</v>
      </c>
    </row>
    <row r="1200" spans="1:26" ht="27.75" customHeight="1" x14ac:dyDescent="0.25">
      <c r="A1200" s="141" t="str">
        <f>+IF(PROVEEDORES[[#This Row],[FECHA DE PAGO]]=PROVEEDORES[[#This Row],[FECHA DE FACTURACIÓN]],"DE CONTADO","CRÉDITO")</f>
        <v>DE CONTADO</v>
      </c>
      <c r="B1200" s="138" t="b">
        <f>+IF((PROVEEDORES[[#This Row],[FECHA DE PAGO]]-PROVEEDORES[[#This Row],[FECHA DE FACTURACIÓN]])&gt;PROVEEDORES[[#This Row],[PLAZO Días]],"PAGO VENCIDO")</f>
        <v>0</v>
      </c>
      <c r="C1200" s="138">
        <f>+VLOOKUP(PROVEEDORES[[#This Row],[PROVEEDOR]],TERCEROS_INFO[#All],2,FALSE)</f>
        <v>30</v>
      </c>
      <c r="D1200" s="139">
        <f>+SUMIFS(PROVEEDORES[Total],PROVEEDORES[PROVEEDOR],PROVEEDORES[[#This Row],[PROVEEDOR]],PROVEEDORES[FECHA DE PAGO],"")</f>
        <v>0</v>
      </c>
      <c r="E1200" s="140"/>
      <c r="F1200" s="138" t="str">
        <f>+VLOOKUP(PROVEEDORES[[#This Row],[PROVEEDOR]],
                       Terceros!$A:$F,
                       5,
                       FALSE)</f>
        <v/>
      </c>
      <c r="G1200" s="127">
        <v>45322</v>
      </c>
      <c r="H1200" s="123" t="s">
        <v>525</v>
      </c>
      <c r="I1200" s="127">
        <v>45322</v>
      </c>
      <c r="J1200" s="124" t="s">
        <v>1517</v>
      </c>
      <c r="K1200" s="124" t="s">
        <v>1530</v>
      </c>
      <c r="L1200" s="124"/>
      <c r="M1200" s="125">
        <v>2667200</v>
      </c>
      <c r="N1200" s="148">
        <v>0</v>
      </c>
      <c r="O1200" s="148">
        <v>0</v>
      </c>
      <c r="P1200" s="149">
        <v>0</v>
      </c>
      <c r="Q1200" s="148">
        <v>0</v>
      </c>
      <c r="R1200" s="150">
        <v>2667200</v>
      </c>
      <c r="S12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0" s="135">
        <f ca="1">+IF(PROVEEDORES[[#This Row],[FECHA DE PAGO]]=0,TODAY()-PROVEEDORES[[#This Row],[FECHA DE FACTURACIÓN]]-PROVEEDORES[[#This Row],[PLAZO Días]],0)</f>
        <v>0</v>
      </c>
      <c r="U1200" s="135">
        <f>+VLOOKUP(PROVEEDORES[[#This Row],[PROVEEDOR]],Terceros!$A:$D,4,FALSE)</f>
        <v>0</v>
      </c>
      <c r="V1200" s="135">
        <f>+YEAR(PROVEEDORES[[#This Row],[FECHA DE FACTURACIÓN]])</f>
        <v>2024</v>
      </c>
      <c r="W1200" s="135">
        <f>+MATCH(PROVEEDORES[[#This Row],[año facturado]],Retenciones!$1:$1,0)</f>
        <v>7</v>
      </c>
      <c r="X1200" s="136">
        <f>+VLOOKUP(PROVEEDORES[[#This Row],[ID RETENCION]],Retenciones!$A$1:$O$25,PROVEEDORES[[#This Row],[indicador de columna]],FALSE)</f>
        <v>0</v>
      </c>
      <c r="Y1200" s="137">
        <f>+VLOOKUP(PROVEEDORES[[#This Row],[ID RETENCION]],Retenciones!$A$1:$O$25,2,FALSE)</f>
        <v>0</v>
      </c>
      <c r="Z1200" s="126" t="b">
        <f>+OR(COUNTIF(PROVEEDORES[[#This Row],[PROVEEDOR]],"*"&amp;'Palabra que no opera y Listas d'!$A$2&amp;"*"))</f>
        <v>0</v>
      </c>
    </row>
    <row r="1201" spans="1:26" ht="27.75" customHeight="1" x14ac:dyDescent="0.25">
      <c r="A1201" s="141" t="str">
        <f>+IF(PROVEEDORES[[#This Row],[FECHA DE PAGO]]=PROVEEDORES[[#This Row],[FECHA DE FACTURACIÓN]],"DE CONTADO","CRÉDITO")</f>
        <v>DE CONTADO</v>
      </c>
      <c r="B1201" s="138" t="b">
        <f>+IF((PROVEEDORES[[#This Row],[FECHA DE PAGO]]-PROVEEDORES[[#This Row],[FECHA DE FACTURACIÓN]])&gt;PROVEEDORES[[#This Row],[PLAZO Días]],"PAGO VENCIDO")</f>
        <v>0</v>
      </c>
      <c r="C1201" s="138">
        <f>+VLOOKUP(PROVEEDORES[[#This Row],[PROVEEDOR]],TERCEROS_INFO[#All],2,FALSE)</f>
        <v>30</v>
      </c>
      <c r="D1201" s="139">
        <f>+SUMIFS(PROVEEDORES[Total],PROVEEDORES[PROVEEDOR],PROVEEDORES[[#This Row],[PROVEEDOR]],PROVEEDORES[FECHA DE PAGO],"")</f>
        <v>0</v>
      </c>
      <c r="E1201" s="140"/>
      <c r="F1201" s="138" t="str">
        <f>+VLOOKUP(PROVEEDORES[[#This Row],[PROVEEDOR]],
                       Terceros!$A:$F,
                       5,
                       FALSE)</f>
        <v/>
      </c>
      <c r="G1201" s="127">
        <v>45322</v>
      </c>
      <c r="H1201" s="123" t="s">
        <v>525</v>
      </c>
      <c r="I1201" s="127">
        <v>45322</v>
      </c>
      <c r="J1201" s="124" t="s">
        <v>1518</v>
      </c>
      <c r="K1201" s="124" t="s">
        <v>504</v>
      </c>
      <c r="L1201" s="124"/>
      <c r="M1201" s="125">
        <v>474600</v>
      </c>
      <c r="N1201" s="148">
        <v>0</v>
      </c>
      <c r="O1201" s="148">
        <v>0</v>
      </c>
      <c r="P1201" s="149">
        <v>0</v>
      </c>
      <c r="Q1201" s="148">
        <v>0</v>
      </c>
      <c r="R1201" s="150">
        <v>474600</v>
      </c>
      <c r="S12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1" s="135">
        <f ca="1">+IF(PROVEEDORES[[#This Row],[FECHA DE PAGO]]=0,TODAY()-PROVEEDORES[[#This Row],[FECHA DE FACTURACIÓN]]-PROVEEDORES[[#This Row],[PLAZO Días]],0)</f>
        <v>0</v>
      </c>
      <c r="U1201" s="135">
        <f>+VLOOKUP(PROVEEDORES[[#This Row],[PROVEEDOR]],Terceros!$A:$D,4,FALSE)</f>
        <v>0</v>
      </c>
      <c r="V1201" s="135">
        <f>+YEAR(PROVEEDORES[[#This Row],[FECHA DE FACTURACIÓN]])</f>
        <v>2024</v>
      </c>
      <c r="W1201" s="135">
        <f>+MATCH(PROVEEDORES[[#This Row],[año facturado]],Retenciones!$1:$1,0)</f>
        <v>7</v>
      </c>
      <c r="X1201" s="136">
        <f>+VLOOKUP(PROVEEDORES[[#This Row],[ID RETENCION]],Retenciones!$A$1:$O$25,PROVEEDORES[[#This Row],[indicador de columna]],FALSE)</f>
        <v>0</v>
      </c>
      <c r="Y1201" s="137">
        <f>+VLOOKUP(PROVEEDORES[[#This Row],[ID RETENCION]],Retenciones!$A$1:$O$25,2,FALSE)</f>
        <v>0</v>
      </c>
      <c r="Z1201" s="126" t="b">
        <f>+OR(COUNTIF(PROVEEDORES[[#This Row],[PROVEEDOR]],"*"&amp;'Palabra que no opera y Listas d'!$A$2&amp;"*"))</f>
        <v>0</v>
      </c>
    </row>
    <row r="1202" spans="1:26" ht="27.75" customHeight="1" x14ac:dyDescent="0.25">
      <c r="A1202" s="141" t="str">
        <f>+IF(PROVEEDORES[[#This Row],[FECHA DE PAGO]]=PROVEEDORES[[#This Row],[FECHA DE FACTURACIÓN]],"DE CONTADO","CRÉDITO")</f>
        <v>DE CONTADO</v>
      </c>
      <c r="B1202" s="138" t="b">
        <f>+IF((PROVEEDORES[[#This Row],[FECHA DE PAGO]]-PROVEEDORES[[#This Row],[FECHA DE FACTURACIÓN]])&gt;PROVEEDORES[[#This Row],[PLAZO Días]],"PAGO VENCIDO")</f>
        <v>0</v>
      </c>
      <c r="C1202" s="138">
        <f>+VLOOKUP(PROVEEDORES[[#This Row],[PROVEEDOR]],TERCEROS_INFO[#All],2,FALSE)</f>
        <v>30</v>
      </c>
      <c r="D1202" s="139">
        <f>+SUMIFS(PROVEEDORES[Total],PROVEEDORES[PROVEEDOR],PROVEEDORES[[#This Row],[PROVEEDOR]],PROVEEDORES[FECHA DE PAGO],"")</f>
        <v>0</v>
      </c>
      <c r="E1202" s="140"/>
      <c r="F1202" s="138" t="str">
        <f>+VLOOKUP(PROVEEDORES[[#This Row],[PROVEEDOR]],
                       Terceros!$A:$F,
                       5,
                       FALSE)</f>
        <v/>
      </c>
      <c r="G1202" s="127">
        <v>45322</v>
      </c>
      <c r="H1202" s="123" t="s">
        <v>525</v>
      </c>
      <c r="I1202" s="127">
        <v>45322</v>
      </c>
      <c r="J1202" s="124" t="s">
        <v>480</v>
      </c>
      <c r="K1202" s="124" t="s">
        <v>1530</v>
      </c>
      <c r="L1202" s="124"/>
      <c r="M1202" s="125">
        <v>485750</v>
      </c>
      <c r="N1202" s="148">
        <v>0</v>
      </c>
      <c r="O1202" s="148">
        <v>0</v>
      </c>
      <c r="P1202" s="149">
        <v>0</v>
      </c>
      <c r="Q1202" s="148">
        <v>0</v>
      </c>
      <c r="R1202" s="150">
        <v>485750</v>
      </c>
      <c r="S12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2" s="135">
        <f ca="1">+IF(PROVEEDORES[[#This Row],[FECHA DE PAGO]]=0,TODAY()-PROVEEDORES[[#This Row],[FECHA DE FACTURACIÓN]]-PROVEEDORES[[#This Row],[PLAZO Días]],0)</f>
        <v>0</v>
      </c>
      <c r="U1202" s="135">
        <f>+VLOOKUP(PROVEEDORES[[#This Row],[PROVEEDOR]],Terceros!$A:$D,4,FALSE)</f>
        <v>0</v>
      </c>
      <c r="V1202" s="135">
        <f>+YEAR(PROVEEDORES[[#This Row],[FECHA DE FACTURACIÓN]])</f>
        <v>2024</v>
      </c>
      <c r="W1202" s="135">
        <f>+MATCH(PROVEEDORES[[#This Row],[año facturado]],Retenciones!$1:$1,0)</f>
        <v>7</v>
      </c>
      <c r="X1202" s="136">
        <f>+VLOOKUP(PROVEEDORES[[#This Row],[ID RETENCION]],Retenciones!$A$1:$O$25,PROVEEDORES[[#This Row],[indicador de columna]],FALSE)</f>
        <v>0</v>
      </c>
      <c r="Y1202" s="137">
        <f>+VLOOKUP(PROVEEDORES[[#This Row],[ID RETENCION]],Retenciones!$A$1:$O$25,2,FALSE)</f>
        <v>0</v>
      </c>
      <c r="Z1202" s="126" t="b">
        <f>+OR(COUNTIF(PROVEEDORES[[#This Row],[PROVEEDOR]],"*"&amp;'Palabra que no opera y Listas d'!$A$2&amp;"*"))</f>
        <v>0</v>
      </c>
    </row>
    <row r="1203" spans="1:26" ht="27.75" customHeight="1" x14ac:dyDescent="0.25">
      <c r="A1203" s="141" t="str">
        <f>+IF(PROVEEDORES[[#This Row],[FECHA DE PAGO]]=PROVEEDORES[[#This Row],[FECHA DE FACTURACIÓN]],"DE CONTADO","CRÉDITO")</f>
        <v>CRÉDITO</v>
      </c>
      <c r="B1203" s="138" t="str">
        <f>+IF((PROVEEDORES[[#This Row],[FECHA DE PAGO]]-PROVEEDORES[[#This Row],[FECHA DE FACTURACIÓN]])&gt;PROVEEDORES[[#This Row],[PLAZO Días]],"PAGO VENCIDO")</f>
        <v>PAGO VENCIDO</v>
      </c>
      <c r="C1203" s="138">
        <f>+VLOOKUP(PROVEEDORES[[#This Row],[PROVEEDOR]],TERCEROS_INFO[#All],2,FALSE)</f>
        <v>30</v>
      </c>
      <c r="D1203" s="139">
        <f>+SUMIFS(PROVEEDORES[Total],PROVEEDORES[PROVEEDOR],PROVEEDORES[[#This Row],[PROVEEDOR]],PROVEEDORES[FECHA DE PAGO],"")</f>
        <v>818443.92</v>
      </c>
      <c r="E1203" s="140"/>
      <c r="F1203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03" s="127">
        <v>45323</v>
      </c>
      <c r="H1203" s="123" t="s">
        <v>20</v>
      </c>
      <c r="I1203" s="127">
        <v>45280</v>
      </c>
      <c r="J1203" s="124" t="s">
        <v>1355</v>
      </c>
      <c r="K1203" s="124" t="s">
        <v>1530</v>
      </c>
      <c r="L1203" s="124" t="s">
        <v>1533</v>
      </c>
      <c r="M1203" s="125">
        <v>2381030</v>
      </c>
      <c r="N1203" s="148">
        <v>452395.7</v>
      </c>
      <c r="O1203" s="148">
        <v>0</v>
      </c>
      <c r="P1203" s="149">
        <v>2.5000000000000001E-2</v>
      </c>
      <c r="Q1203" s="148">
        <v>59525.75</v>
      </c>
      <c r="R1203" s="150">
        <v>2773899.95</v>
      </c>
      <c r="S12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3" s="135">
        <f ca="1">+IF(PROVEEDORES[[#This Row],[FECHA DE PAGO]]=0,TODAY()-PROVEEDORES[[#This Row],[FECHA DE FACTURACIÓN]]-PROVEEDORES[[#This Row],[PLAZO Días]],0)</f>
        <v>0</v>
      </c>
      <c r="U1203" s="135" t="str">
        <f>+VLOOKUP(PROVEEDORES[[#This Row],[PROVEEDOR]],Terceros!$A:$D,4,FALSE)</f>
        <v>2,5% con base</v>
      </c>
      <c r="V1203" s="135">
        <f>+YEAR(PROVEEDORES[[#This Row],[FECHA DE FACTURACIÓN]])</f>
        <v>2023</v>
      </c>
      <c r="W1203" s="135">
        <f>+MATCH(PROVEEDORES[[#This Row],[año facturado]],Retenciones!$1:$1,0)</f>
        <v>6</v>
      </c>
      <c r="X1203" s="136">
        <f>+VLOOKUP(PROVEEDORES[[#This Row],[ID RETENCION]],Retenciones!$A$1:$O$25,PROVEEDORES[[#This Row],[indicador de columna]],FALSE)</f>
        <v>1145000</v>
      </c>
      <c r="Y1203" s="137">
        <f>+VLOOKUP(PROVEEDORES[[#This Row],[ID RETENCION]],Retenciones!$A$1:$O$25,2,FALSE)</f>
        <v>2.5000000000000001E-2</v>
      </c>
      <c r="Z1203" s="126" t="b">
        <f>+OR(COUNTIF(PROVEEDORES[[#This Row],[PROVEEDOR]],"*"&amp;'Palabra que no opera y Listas d'!$A$2&amp;"*"))</f>
        <v>0</v>
      </c>
    </row>
    <row r="1204" spans="1:26" ht="27.75" customHeight="1" x14ac:dyDescent="0.25">
      <c r="A1204" s="141" t="str">
        <f>+IF(PROVEEDORES[[#This Row],[FECHA DE PAGO]]=PROVEEDORES[[#This Row],[FECHA DE FACTURACIÓN]],"DE CONTADO","CRÉDITO")</f>
        <v>DE CONTADO</v>
      </c>
      <c r="B1204" s="138" t="b">
        <f>+IF((PROVEEDORES[[#This Row],[FECHA DE PAGO]]-PROVEEDORES[[#This Row],[FECHA DE FACTURACIÓN]])&gt;PROVEEDORES[[#This Row],[PLAZO Días]],"PAGO VENCIDO")</f>
        <v>0</v>
      </c>
      <c r="C1204" s="138">
        <f>+VLOOKUP(PROVEEDORES[[#This Row],[PROVEEDOR]],TERCEROS_INFO[#All],2,FALSE)</f>
        <v>30</v>
      </c>
      <c r="D1204" s="139">
        <f>+SUMIFS(PROVEEDORES[Total],PROVEEDORES[PROVEEDOR],PROVEEDORES[[#This Row],[PROVEEDOR]],PROVEEDORES[FECHA DE PAGO],"")</f>
        <v>0</v>
      </c>
      <c r="E1204" s="140"/>
      <c r="F1204" s="138" t="str">
        <f>+VLOOKUP(PROVEEDORES[[#This Row],[PROVEEDOR]],
                       Terceros!$A:$F,
                       5,
                       FALSE)</f>
        <v/>
      </c>
      <c r="G1204" s="127">
        <v>45323</v>
      </c>
      <c r="H1204" s="123" t="s">
        <v>1824</v>
      </c>
      <c r="I1204" s="127">
        <v>45323</v>
      </c>
      <c r="J1204" s="124"/>
      <c r="K1204" s="124" t="s">
        <v>1530</v>
      </c>
      <c r="L1204" s="124" t="s">
        <v>1395</v>
      </c>
      <c r="M1204" s="125">
        <v>1126900</v>
      </c>
      <c r="N1204" s="148">
        <v>0</v>
      </c>
      <c r="O1204" s="148">
        <v>0</v>
      </c>
      <c r="P1204" s="149">
        <v>0</v>
      </c>
      <c r="Q1204" s="148">
        <v>0</v>
      </c>
      <c r="R1204" s="150">
        <v>1126900</v>
      </c>
      <c r="S12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4" s="135">
        <f ca="1">+IF(PROVEEDORES[[#This Row],[FECHA DE PAGO]]=0,TODAY()-PROVEEDORES[[#This Row],[FECHA DE FACTURACIÓN]]-PROVEEDORES[[#This Row],[PLAZO Días]],0)</f>
        <v>0</v>
      </c>
      <c r="U1204" s="135">
        <f>+VLOOKUP(PROVEEDORES[[#This Row],[PROVEEDOR]],Terceros!$A:$D,4,FALSE)</f>
        <v>0</v>
      </c>
      <c r="V1204" s="135">
        <f>+YEAR(PROVEEDORES[[#This Row],[FECHA DE FACTURACIÓN]])</f>
        <v>2024</v>
      </c>
      <c r="W1204" s="135">
        <f>+MATCH(PROVEEDORES[[#This Row],[año facturado]],Retenciones!$1:$1,0)</f>
        <v>7</v>
      </c>
      <c r="X1204" s="136">
        <f>+VLOOKUP(PROVEEDORES[[#This Row],[ID RETENCION]],Retenciones!$A$1:$O$25,PROVEEDORES[[#This Row],[indicador de columna]],FALSE)</f>
        <v>0</v>
      </c>
      <c r="Y1204" s="137">
        <f>+VLOOKUP(PROVEEDORES[[#This Row],[ID RETENCION]],Retenciones!$A$1:$O$25,2,FALSE)</f>
        <v>0</v>
      </c>
      <c r="Z1204" s="126" t="b">
        <f>+OR(COUNTIF(PROVEEDORES[[#This Row],[PROVEEDOR]],"*"&amp;'Palabra que no opera y Listas d'!$A$2&amp;"*"))</f>
        <v>0</v>
      </c>
    </row>
    <row r="1205" spans="1:26" ht="27.75" customHeight="1" x14ac:dyDescent="0.25">
      <c r="A1205" s="141" t="str">
        <f>+IF(PROVEEDORES[[#This Row],[FECHA DE PAGO]]=PROVEEDORES[[#This Row],[FECHA DE FACTURACIÓN]],"DE CONTADO","CRÉDITO")</f>
        <v>DE CONTADO</v>
      </c>
      <c r="B1205" s="138" t="b">
        <f>+IF((PROVEEDORES[[#This Row],[FECHA DE PAGO]]-PROVEEDORES[[#This Row],[FECHA DE FACTURACIÓN]])&gt;PROVEEDORES[[#This Row],[PLAZO Días]],"PAGO VENCIDO")</f>
        <v>0</v>
      </c>
      <c r="C1205" s="138">
        <f>+VLOOKUP(PROVEEDORES[[#This Row],[PROVEEDOR]],TERCEROS_INFO[#All],2,FALSE)</f>
        <v>30</v>
      </c>
      <c r="D1205" s="139">
        <f>+SUMIFS(PROVEEDORES[Total],PROVEEDORES[PROVEEDOR],PROVEEDORES[[#This Row],[PROVEEDOR]],PROVEEDORES[FECHA DE PAGO],"")</f>
        <v>0</v>
      </c>
      <c r="E1205" s="140"/>
      <c r="F1205" s="138" t="str">
        <f>+VLOOKUP(PROVEEDORES[[#This Row],[PROVEEDOR]],
                       Terceros!$A:$F,
                       5,
                       FALSE)</f>
        <v>PSE</v>
      </c>
      <c r="G1205" s="127">
        <v>45323</v>
      </c>
      <c r="H1205" s="123" t="s">
        <v>390</v>
      </c>
      <c r="I1205" s="127">
        <v>45323</v>
      </c>
      <c r="J1205" s="124"/>
      <c r="K1205" s="124" t="s">
        <v>1530</v>
      </c>
      <c r="L1205" s="124" t="s">
        <v>1533</v>
      </c>
      <c r="M1205" s="125">
        <v>633500</v>
      </c>
      <c r="N1205" s="148">
        <v>0</v>
      </c>
      <c r="O1205" s="148">
        <v>0</v>
      </c>
      <c r="P1205" s="149">
        <v>0</v>
      </c>
      <c r="Q1205" s="148">
        <v>0</v>
      </c>
      <c r="R1205" s="150">
        <v>633500</v>
      </c>
      <c r="S12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5" s="135">
        <f ca="1">+IF(PROVEEDORES[[#This Row],[FECHA DE PAGO]]=0,TODAY()-PROVEEDORES[[#This Row],[FECHA DE FACTURACIÓN]]-PROVEEDORES[[#This Row],[PLAZO Días]],0)</f>
        <v>0</v>
      </c>
      <c r="U1205" s="135">
        <f>+VLOOKUP(PROVEEDORES[[#This Row],[PROVEEDOR]],Terceros!$A:$D,4,FALSE)</f>
        <v>0</v>
      </c>
      <c r="V1205" s="135">
        <f>+YEAR(PROVEEDORES[[#This Row],[FECHA DE FACTURACIÓN]])</f>
        <v>2024</v>
      </c>
      <c r="W1205" s="135">
        <f>+MATCH(PROVEEDORES[[#This Row],[año facturado]],Retenciones!$1:$1,0)</f>
        <v>7</v>
      </c>
      <c r="X1205" s="136">
        <f>+VLOOKUP(PROVEEDORES[[#This Row],[ID RETENCION]],Retenciones!$A$1:$O$25,PROVEEDORES[[#This Row],[indicador de columna]],FALSE)</f>
        <v>0</v>
      </c>
      <c r="Y1205" s="137">
        <f>+VLOOKUP(PROVEEDORES[[#This Row],[ID RETENCION]],Retenciones!$A$1:$O$25,2,FALSE)</f>
        <v>0</v>
      </c>
      <c r="Z1205" s="126" t="b">
        <f>+OR(COUNTIF(PROVEEDORES[[#This Row],[PROVEEDOR]],"*"&amp;'Palabra que no opera y Listas d'!$A$2&amp;"*"))</f>
        <v>1</v>
      </c>
    </row>
    <row r="1206" spans="1:26" ht="27.75" customHeight="1" x14ac:dyDescent="0.25">
      <c r="A1206" s="141" t="str">
        <f>+IF(PROVEEDORES[[#This Row],[FECHA DE PAGO]]=PROVEEDORES[[#This Row],[FECHA DE FACTURACIÓN]],"DE CONTADO","CRÉDITO")</f>
        <v>CRÉDITO</v>
      </c>
      <c r="B1206" s="138" t="str">
        <f>+IF((PROVEEDORES[[#This Row],[FECHA DE PAGO]]-PROVEEDORES[[#This Row],[FECHA DE FACTURACIÓN]])&gt;PROVEEDORES[[#This Row],[PLAZO Días]],"PAGO VENCIDO")</f>
        <v>PAGO VENCIDO</v>
      </c>
      <c r="C1206" s="138">
        <f>+VLOOKUP(PROVEEDORES[[#This Row],[PROVEEDOR]],TERCEROS_INFO[#All],2,FALSE)</f>
        <v>30</v>
      </c>
      <c r="D1206" s="139">
        <f>+SUMIFS(PROVEEDORES[Total],PROVEEDORES[PROVEEDOR],PROVEEDORES[[#This Row],[PROVEEDOR]],PROVEEDORES[FECHA DE PAGO],"")</f>
        <v>3130000</v>
      </c>
      <c r="E1206" s="140"/>
      <c r="F1206" s="138">
        <f>+VLOOKUP(PROVEEDORES[[#This Row],[PROVEEDOR]],
                       Terceros!$A:$F,
                       5,
                       FALSE)</f>
        <v>0</v>
      </c>
      <c r="G1206" s="127">
        <v>45324</v>
      </c>
      <c r="H1206" s="123" t="s">
        <v>472</v>
      </c>
      <c r="I1206" s="127">
        <v>45265</v>
      </c>
      <c r="J1206" s="124" t="s">
        <v>1387</v>
      </c>
      <c r="K1206" s="124" t="s">
        <v>1530</v>
      </c>
      <c r="L1206" s="124" t="s">
        <v>1395</v>
      </c>
      <c r="M1206" s="125">
        <v>250000</v>
      </c>
      <c r="N1206" s="148">
        <v>0</v>
      </c>
      <c r="O1206" s="148">
        <v>0</v>
      </c>
      <c r="P1206" s="149">
        <v>0</v>
      </c>
      <c r="Q1206" s="148">
        <v>0</v>
      </c>
      <c r="R1206" s="150">
        <v>250000</v>
      </c>
      <c r="S12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6" s="135">
        <f ca="1">+IF(PROVEEDORES[[#This Row],[FECHA DE PAGO]]=0,TODAY()-PROVEEDORES[[#This Row],[FECHA DE FACTURACIÓN]]-PROVEEDORES[[#This Row],[PLAZO Días]],0)</f>
        <v>0</v>
      </c>
      <c r="U1206" s="135">
        <f>+VLOOKUP(PROVEEDORES[[#This Row],[PROVEEDOR]],Terceros!$A:$D,4,FALSE)</f>
        <v>0</v>
      </c>
      <c r="V1206" s="135">
        <f>+YEAR(PROVEEDORES[[#This Row],[FECHA DE FACTURACIÓN]])</f>
        <v>2023</v>
      </c>
      <c r="W1206" s="135">
        <f>+MATCH(PROVEEDORES[[#This Row],[año facturado]],Retenciones!$1:$1,0)</f>
        <v>6</v>
      </c>
      <c r="X1206" s="136">
        <f>+VLOOKUP(PROVEEDORES[[#This Row],[ID RETENCION]],Retenciones!$A$1:$O$25,PROVEEDORES[[#This Row],[indicador de columna]],FALSE)</f>
        <v>0</v>
      </c>
      <c r="Y1206" s="137">
        <f>+VLOOKUP(PROVEEDORES[[#This Row],[ID RETENCION]],Retenciones!$A$1:$O$25,2,FALSE)</f>
        <v>0</v>
      </c>
      <c r="Z1206" s="126" t="b">
        <f>+OR(COUNTIF(PROVEEDORES[[#This Row],[PROVEEDOR]],"*"&amp;'Palabra que no opera y Listas d'!$A$2&amp;"*"))</f>
        <v>0</v>
      </c>
    </row>
    <row r="1207" spans="1:26" ht="27.75" customHeight="1" x14ac:dyDescent="0.25">
      <c r="A1207" s="141" t="str">
        <f>+IF(PROVEEDORES[[#This Row],[FECHA DE PAGO]]=PROVEEDORES[[#This Row],[FECHA DE FACTURACIÓN]],"DE CONTADO","CRÉDITO")</f>
        <v>CRÉDITO</v>
      </c>
      <c r="B1207" s="138" t="b">
        <f>+IF((PROVEEDORES[[#This Row],[FECHA DE PAGO]]-PROVEEDORES[[#This Row],[FECHA DE FACTURACIÓN]])&gt;PROVEEDORES[[#This Row],[PLAZO Días]],"PAGO VENCIDO")</f>
        <v>0</v>
      </c>
      <c r="C1207" s="138">
        <f>+VLOOKUP(PROVEEDORES[[#This Row],[PROVEEDOR]],TERCEROS_INFO[#All],2,FALSE)</f>
        <v>30</v>
      </c>
      <c r="D1207" s="139">
        <f>+SUMIFS(PROVEEDORES[Total],PROVEEDORES[PROVEEDOR],PROVEEDORES[[#This Row],[PROVEEDOR]],PROVEEDORES[FECHA DE PAGO],"")</f>
        <v>0</v>
      </c>
      <c r="E1207" s="140"/>
      <c r="F1207" s="138">
        <f>+VLOOKUP(PROVEEDORES[[#This Row],[PROVEEDOR]],
                       Terceros!$A:$F,
                       5,
                       FALSE)</f>
        <v>0</v>
      </c>
      <c r="G1207" s="127">
        <v>45324</v>
      </c>
      <c r="H1207" s="123" t="s">
        <v>1805</v>
      </c>
      <c r="I1207" s="127">
        <v>45302</v>
      </c>
      <c r="J1207" s="124" t="s">
        <v>1440</v>
      </c>
      <c r="K1207" s="124" t="s">
        <v>1530</v>
      </c>
      <c r="L1207" s="124" t="s">
        <v>1395</v>
      </c>
      <c r="M1207" s="125">
        <v>492000</v>
      </c>
      <c r="N1207" s="148">
        <v>0</v>
      </c>
      <c r="O1207" s="148">
        <v>0</v>
      </c>
      <c r="P1207" s="149">
        <v>0</v>
      </c>
      <c r="Q1207" s="148">
        <v>0</v>
      </c>
      <c r="R1207" s="150">
        <v>492000</v>
      </c>
      <c r="S12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7" s="135">
        <f ca="1">+IF(PROVEEDORES[[#This Row],[FECHA DE PAGO]]=0,TODAY()-PROVEEDORES[[#This Row],[FECHA DE FACTURACIÓN]]-PROVEEDORES[[#This Row],[PLAZO Días]],0)</f>
        <v>0</v>
      </c>
      <c r="U1207" s="135">
        <f>+VLOOKUP(PROVEEDORES[[#This Row],[PROVEEDOR]],Terceros!$A:$D,4,FALSE)</f>
        <v>0</v>
      </c>
      <c r="V1207" s="135">
        <f>+YEAR(PROVEEDORES[[#This Row],[FECHA DE FACTURACIÓN]])</f>
        <v>2024</v>
      </c>
      <c r="W1207" s="135">
        <f>+MATCH(PROVEEDORES[[#This Row],[año facturado]],Retenciones!$1:$1,0)</f>
        <v>7</v>
      </c>
      <c r="X1207" s="136">
        <f>+VLOOKUP(PROVEEDORES[[#This Row],[ID RETENCION]],Retenciones!$A$1:$O$25,PROVEEDORES[[#This Row],[indicador de columna]],FALSE)</f>
        <v>0</v>
      </c>
      <c r="Y1207" s="137">
        <f>+VLOOKUP(PROVEEDORES[[#This Row],[ID RETENCION]],Retenciones!$A$1:$O$25,2,FALSE)</f>
        <v>0</v>
      </c>
      <c r="Z1207" s="126" t="b">
        <f>+OR(COUNTIF(PROVEEDORES[[#This Row],[PROVEEDOR]],"*"&amp;'Palabra que no opera y Listas d'!$A$2&amp;"*"))</f>
        <v>0</v>
      </c>
    </row>
    <row r="1208" spans="1:26" ht="27.75" customHeight="1" x14ac:dyDescent="0.25">
      <c r="A1208" s="141" t="str">
        <f>+IF(PROVEEDORES[[#This Row],[FECHA DE PAGO]]=PROVEEDORES[[#This Row],[FECHA DE FACTURACIÓN]],"DE CONTADO","CRÉDITO")</f>
        <v>CRÉDITO</v>
      </c>
      <c r="B1208" s="138" t="b">
        <f>+IF((PROVEEDORES[[#This Row],[FECHA DE PAGO]]-PROVEEDORES[[#This Row],[FECHA DE FACTURACIÓN]])&gt;PROVEEDORES[[#This Row],[PLAZO Días]],"PAGO VENCIDO")</f>
        <v>0</v>
      </c>
      <c r="C1208" s="138">
        <f>+VLOOKUP(PROVEEDORES[[#This Row],[PROVEEDOR]],TERCEROS_INFO[#All],2,FALSE)</f>
        <v>30</v>
      </c>
      <c r="D1208" s="139">
        <f>+SUMIFS(PROVEEDORES[Total],PROVEEDORES[PROVEEDOR],PROVEEDORES[[#This Row],[PROVEEDOR]],PROVEEDORES[FECHA DE PAGO],"")</f>
        <v>0</v>
      </c>
      <c r="E1208" s="140"/>
      <c r="F1208" s="138">
        <f>+VLOOKUP(PROVEEDORES[[#This Row],[PROVEEDOR]],
                       Terceros!$A:$F,
                       5,
                       FALSE)</f>
        <v>0</v>
      </c>
      <c r="G1208" s="127">
        <v>45324</v>
      </c>
      <c r="H1208" s="123" t="s">
        <v>836</v>
      </c>
      <c r="I1208" s="127">
        <v>45322</v>
      </c>
      <c r="J1208" s="124" t="s">
        <v>1510</v>
      </c>
      <c r="K1208" s="124" t="s">
        <v>504</v>
      </c>
      <c r="L1208" s="124" t="s">
        <v>1395</v>
      </c>
      <c r="M1208" s="125">
        <v>358000</v>
      </c>
      <c r="N1208" s="148">
        <v>0</v>
      </c>
      <c r="O1208" s="148">
        <v>0</v>
      </c>
      <c r="P1208" s="149">
        <v>0</v>
      </c>
      <c r="Q1208" s="148">
        <v>0</v>
      </c>
      <c r="R1208" s="150">
        <v>358000</v>
      </c>
      <c r="S12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8" s="135">
        <f ca="1">+IF(PROVEEDORES[[#This Row],[FECHA DE PAGO]]=0,TODAY()-PROVEEDORES[[#This Row],[FECHA DE FACTURACIÓN]]-PROVEEDORES[[#This Row],[PLAZO Días]],0)</f>
        <v>0</v>
      </c>
      <c r="U1208" s="135">
        <f>+VLOOKUP(PROVEEDORES[[#This Row],[PROVEEDOR]],Terceros!$A:$D,4,FALSE)</f>
        <v>0</v>
      </c>
      <c r="V1208" s="135">
        <f>+YEAR(PROVEEDORES[[#This Row],[FECHA DE FACTURACIÓN]])</f>
        <v>2024</v>
      </c>
      <c r="W1208" s="135">
        <f>+MATCH(PROVEEDORES[[#This Row],[año facturado]],Retenciones!$1:$1,0)</f>
        <v>7</v>
      </c>
      <c r="X1208" s="136">
        <f>+VLOOKUP(PROVEEDORES[[#This Row],[ID RETENCION]],Retenciones!$A$1:$O$25,PROVEEDORES[[#This Row],[indicador de columna]],FALSE)</f>
        <v>0</v>
      </c>
      <c r="Y1208" s="137">
        <f>+VLOOKUP(PROVEEDORES[[#This Row],[ID RETENCION]],Retenciones!$A$1:$O$25,2,FALSE)</f>
        <v>0</v>
      </c>
      <c r="Z1208" s="126" t="b">
        <f>+OR(COUNTIF(PROVEEDORES[[#This Row],[PROVEEDOR]],"*"&amp;'Palabra que no opera y Listas d'!$A$2&amp;"*"))</f>
        <v>0</v>
      </c>
    </row>
    <row r="1209" spans="1:26" ht="27.75" customHeight="1" x14ac:dyDescent="0.25">
      <c r="A1209" s="141" t="str">
        <f>+IF(PROVEEDORES[[#This Row],[FECHA DE PAGO]]=PROVEEDORES[[#This Row],[FECHA DE FACTURACIÓN]],"DE CONTADO","CRÉDITO")</f>
        <v>DE CONTADO</v>
      </c>
      <c r="B1209" s="138" t="b">
        <f>+IF((PROVEEDORES[[#This Row],[FECHA DE PAGO]]-PROVEEDORES[[#This Row],[FECHA DE FACTURACIÓN]])&gt;PROVEEDORES[[#This Row],[PLAZO Días]],"PAGO VENCIDO")</f>
        <v>0</v>
      </c>
      <c r="C1209" s="138">
        <f>+VLOOKUP(PROVEEDORES[[#This Row],[PROVEEDOR]],TERCEROS_INFO[#All],2,FALSE)</f>
        <v>30</v>
      </c>
      <c r="D1209" s="139">
        <f>+SUMIFS(PROVEEDORES[Total],PROVEEDORES[PROVEEDOR],PROVEEDORES[[#This Row],[PROVEEDOR]],PROVEEDORES[FECHA DE PAGO],"")</f>
        <v>0</v>
      </c>
      <c r="E1209" s="140"/>
      <c r="F1209" s="138" t="str">
        <f>+VLOOKUP(PROVEEDORES[[#This Row],[PROVEEDOR]],
                       Terceros!$A:$F,
                       5,
                       FALSE)</f>
        <v/>
      </c>
      <c r="G1209" s="127">
        <v>45324</v>
      </c>
      <c r="H1209" s="123" t="s">
        <v>525</v>
      </c>
      <c r="I1209" s="127">
        <v>45324</v>
      </c>
      <c r="J1209" s="124" t="s">
        <v>1120</v>
      </c>
      <c r="K1209" s="124" t="s">
        <v>1530</v>
      </c>
      <c r="L1209" s="124" t="s">
        <v>1395</v>
      </c>
      <c r="M1209" s="125">
        <v>200000</v>
      </c>
      <c r="N1209" s="148">
        <v>0</v>
      </c>
      <c r="O1209" s="148">
        <v>0</v>
      </c>
      <c r="P1209" s="149">
        <v>0</v>
      </c>
      <c r="Q1209" s="148">
        <v>0</v>
      </c>
      <c r="R1209" s="150">
        <v>200000</v>
      </c>
      <c r="S12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09" s="135">
        <f ca="1">+IF(PROVEEDORES[[#This Row],[FECHA DE PAGO]]=0,TODAY()-PROVEEDORES[[#This Row],[FECHA DE FACTURACIÓN]]-PROVEEDORES[[#This Row],[PLAZO Días]],0)</f>
        <v>0</v>
      </c>
      <c r="U1209" s="135">
        <f>+VLOOKUP(PROVEEDORES[[#This Row],[PROVEEDOR]],Terceros!$A:$D,4,FALSE)</f>
        <v>0</v>
      </c>
      <c r="V1209" s="135">
        <f>+YEAR(PROVEEDORES[[#This Row],[FECHA DE FACTURACIÓN]])</f>
        <v>2024</v>
      </c>
      <c r="W1209" s="135">
        <f>+MATCH(PROVEEDORES[[#This Row],[año facturado]],Retenciones!$1:$1,0)</f>
        <v>7</v>
      </c>
      <c r="X1209" s="136">
        <f>+VLOOKUP(PROVEEDORES[[#This Row],[ID RETENCION]],Retenciones!$A$1:$O$25,PROVEEDORES[[#This Row],[indicador de columna]],FALSE)</f>
        <v>0</v>
      </c>
      <c r="Y1209" s="137">
        <f>+VLOOKUP(PROVEEDORES[[#This Row],[ID RETENCION]],Retenciones!$A$1:$O$25,2,FALSE)</f>
        <v>0</v>
      </c>
      <c r="Z1209" s="126" t="b">
        <f>+OR(COUNTIF(PROVEEDORES[[#This Row],[PROVEEDOR]],"*"&amp;'Palabra que no opera y Listas d'!$A$2&amp;"*"))</f>
        <v>0</v>
      </c>
    </row>
    <row r="1210" spans="1:26" ht="27.75" customHeight="1" x14ac:dyDescent="0.25">
      <c r="A1210" s="141" t="str">
        <f>+IF(PROVEEDORES[[#This Row],[FECHA DE PAGO]]=PROVEEDORES[[#This Row],[FECHA DE FACTURACIÓN]],"DE CONTADO","CRÉDITO")</f>
        <v>DE CONTADO</v>
      </c>
      <c r="B1210" s="138" t="b">
        <f>+IF((PROVEEDORES[[#This Row],[FECHA DE PAGO]]-PROVEEDORES[[#This Row],[FECHA DE FACTURACIÓN]])&gt;PROVEEDORES[[#This Row],[PLAZO Días]],"PAGO VENCIDO")</f>
        <v>0</v>
      </c>
      <c r="C1210" s="138">
        <f>+VLOOKUP(PROVEEDORES[[#This Row],[PROVEEDOR]],TERCEROS_INFO[#All],2,FALSE)</f>
        <v>30</v>
      </c>
      <c r="D1210" s="139">
        <f>+SUMIFS(PROVEEDORES[Total],PROVEEDORES[PROVEEDOR],PROVEEDORES[[#This Row],[PROVEEDOR]],PROVEEDORES[FECHA DE PAGO],"")</f>
        <v>0</v>
      </c>
      <c r="E1210" s="140"/>
      <c r="F1210" s="138" t="str">
        <f>+VLOOKUP(PROVEEDORES[[#This Row],[PROVEEDOR]],
                       Terceros!$A:$F,
                       5,
                       FALSE)</f>
        <v>contabilidad@comsistel.com.co;girlesa.ruiz@servipilas.com;joriescobar64@gmail.com</v>
      </c>
      <c r="G1210" s="127">
        <v>45324</v>
      </c>
      <c r="H1210" s="123" t="s">
        <v>207</v>
      </c>
      <c r="I1210" s="127">
        <v>45324</v>
      </c>
      <c r="J1210" s="124" t="s">
        <v>1509</v>
      </c>
      <c r="K1210" s="124" t="s">
        <v>504</v>
      </c>
      <c r="L1210" s="124" t="s">
        <v>1534</v>
      </c>
      <c r="M1210" s="125">
        <v>1050000</v>
      </c>
      <c r="N1210" s="148">
        <v>199500</v>
      </c>
      <c r="O1210" s="148">
        <v>0</v>
      </c>
      <c r="P1210" s="149">
        <v>0</v>
      </c>
      <c r="Q1210" s="148">
        <v>0</v>
      </c>
      <c r="R1210" s="150">
        <v>1249500</v>
      </c>
      <c r="S12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0" s="135">
        <f ca="1">+IF(PROVEEDORES[[#This Row],[FECHA DE PAGO]]=0,TODAY()-PROVEEDORES[[#This Row],[FECHA DE FACTURACIÓN]]-PROVEEDORES[[#This Row],[PLAZO Días]],0)</f>
        <v>0</v>
      </c>
      <c r="U1210" s="135" t="str">
        <f>+VLOOKUP(PROVEEDORES[[#This Row],[PROVEEDOR]],Terceros!$A:$D,4,FALSE)</f>
        <v>2,5% con base</v>
      </c>
      <c r="V1210" s="135">
        <f>+YEAR(PROVEEDORES[[#This Row],[FECHA DE FACTURACIÓN]])</f>
        <v>2024</v>
      </c>
      <c r="W1210" s="135">
        <f>+MATCH(PROVEEDORES[[#This Row],[año facturado]],Retenciones!$1:$1,0)</f>
        <v>7</v>
      </c>
      <c r="X1210" s="136">
        <f>+VLOOKUP(PROVEEDORES[[#This Row],[ID RETENCION]],Retenciones!$A$1:$O$25,PROVEEDORES[[#This Row],[indicador de columna]],FALSE)</f>
        <v>1271000</v>
      </c>
      <c r="Y1210" s="137">
        <f>+VLOOKUP(PROVEEDORES[[#This Row],[ID RETENCION]],Retenciones!$A$1:$O$25,2,FALSE)</f>
        <v>2.5000000000000001E-2</v>
      </c>
      <c r="Z1210" s="126" t="b">
        <f>+OR(COUNTIF(PROVEEDORES[[#This Row],[PROVEEDOR]],"*"&amp;'Palabra que no opera y Listas d'!$A$2&amp;"*"))</f>
        <v>0</v>
      </c>
    </row>
    <row r="1211" spans="1:26" ht="27.75" customHeight="1" x14ac:dyDescent="0.25">
      <c r="A1211" s="141" t="str">
        <f>+IF(PROVEEDORES[[#This Row],[FECHA DE PAGO]]=PROVEEDORES[[#This Row],[FECHA DE FACTURACIÓN]],"DE CONTADO","CRÉDITO")</f>
        <v>DE CONTADO</v>
      </c>
      <c r="B1211" s="138" t="b">
        <f>+IF((PROVEEDORES[[#This Row],[FECHA DE PAGO]]-PROVEEDORES[[#This Row],[FECHA DE FACTURACIÓN]])&gt;PROVEEDORES[[#This Row],[PLAZO Días]],"PAGO VENCIDO")</f>
        <v>0</v>
      </c>
      <c r="C1211" s="138">
        <f>+VLOOKUP(PROVEEDORES[[#This Row],[PROVEEDOR]],TERCEROS_INFO[#All],2,FALSE)</f>
        <v>30</v>
      </c>
      <c r="D1211" s="139">
        <f>+SUMIFS(PROVEEDORES[Total],PROVEEDORES[PROVEEDOR],PROVEEDORES[[#This Row],[PROVEEDOR]],PROVEEDORES[FECHA DE PAGO],"")</f>
        <v>0</v>
      </c>
      <c r="E1211" s="140"/>
      <c r="F1211" s="138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211" s="127">
        <v>45325</v>
      </c>
      <c r="H1211" s="123" t="s">
        <v>1186</v>
      </c>
      <c r="I1211" s="127">
        <v>45325</v>
      </c>
      <c r="J1211" s="124" t="s">
        <v>1586</v>
      </c>
      <c r="K1211" s="124" t="s">
        <v>1530</v>
      </c>
      <c r="L1211" s="124" t="s">
        <v>1395</v>
      </c>
      <c r="M1211" s="125">
        <v>92437</v>
      </c>
      <c r="N1211" s="148">
        <v>17563.03</v>
      </c>
      <c r="O1211" s="148">
        <v>0</v>
      </c>
      <c r="P1211" s="149">
        <v>0</v>
      </c>
      <c r="Q1211" s="148">
        <v>0</v>
      </c>
      <c r="R1211" s="150">
        <v>110000.03</v>
      </c>
      <c r="S12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1" s="135">
        <f ca="1">+IF(PROVEEDORES[[#This Row],[FECHA DE PAGO]]=0,TODAY()-PROVEEDORES[[#This Row],[FECHA DE FACTURACIÓN]]-PROVEEDORES[[#This Row],[PLAZO Días]],0)</f>
        <v>0</v>
      </c>
      <c r="U1211" s="135" t="str">
        <f>+VLOOKUP(PROVEEDORES[[#This Row],[PROVEEDOR]],Terceros!$A:$D,4,FALSE)</f>
        <v>2,5% con base</v>
      </c>
      <c r="V1211" s="135">
        <f>+YEAR(PROVEEDORES[[#This Row],[FECHA DE FACTURACIÓN]])</f>
        <v>2024</v>
      </c>
      <c r="W1211" s="135">
        <f>+MATCH(PROVEEDORES[[#This Row],[año facturado]],Retenciones!$1:$1,0)</f>
        <v>7</v>
      </c>
      <c r="X1211" s="136">
        <f>+VLOOKUP(PROVEEDORES[[#This Row],[ID RETENCION]],Retenciones!$A$1:$O$25,PROVEEDORES[[#This Row],[indicador de columna]],FALSE)</f>
        <v>1271000</v>
      </c>
      <c r="Y1211" s="137">
        <f>+VLOOKUP(PROVEEDORES[[#This Row],[ID RETENCION]],Retenciones!$A$1:$O$25,2,FALSE)</f>
        <v>2.5000000000000001E-2</v>
      </c>
      <c r="Z1211" s="126" t="b">
        <f>+OR(COUNTIF(PROVEEDORES[[#This Row],[PROVEEDOR]],"*"&amp;'Palabra que no opera y Listas d'!$A$2&amp;"*"))</f>
        <v>0</v>
      </c>
    </row>
    <row r="1212" spans="1:26" ht="27.75" customHeight="1" x14ac:dyDescent="0.25">
      <c r="A1212" s="141" t="str">
        <f>+IF(PROVEEDORES[[#This Row],[FECHA DE PAGO]]=PROVEEDORES[[#This Row],[FECHA DE FACTURACIÓN]],"DE CONTADO","CRÉDITO")</f>
        <v>CRÉDITO</v>
      </c>
      <c r="B1212" s="138" t="str">
        <f>+IF((PROVEEDORES[[#This Row],[FECHA DE PAGO]]-PROVEEDORES[[#This Row],[FECHA DE FACTURACIÓN]])&gt;PROVEEDORES[[#This Row],[PLAZO Días]],"PAGO VENCIDO")</f>
        <v>PAGO VENCIDO</v>
      </c>
      <c r="C1212" s="138">
        <f>+VLOOKUP(PROVEEDORES[[#This Row],[PROVEEDOR]],TERCEROS_INFO[#All],2,FALSE)</f>
        <v>90</v>
      </c>
      <c r="D1212" s="139">
        <f>+SUMIFS(PROVEEDORES[Total],PROVEEDORES[PROVEEDOR],PROVEEDORES[[#This Row],[PROVEEDOR]],PROVEEDORES[FECHA DE PAGO],"")</f>
        <v>0</v>
      </c>
      <c r="E1212" s="140"/>
      <c r="F1212" s="138" t="str">
        <f>+VLOOKUP(PROVEEDORES[[#This Row],[PROVEEDOR]],
                       Terceros!$A:$F,
                       5,
                       FALSE)</f>
        <v>comercializadorajls@hotmail.com; girlesa.ruiz@servipilas.com;joriescobar64@gmail.com</v>
      </c>
      <c r="G1212" s="127">
        <v>45327</v>
      </c>
      <c r="H1212" s="123" t="s">
        <v>1219</v>
      </c>
      <c r="I1212" s="127">
        <v>45234</v>
      </c>
      <c r="J1212" s="124" t="s">
        <v>1523</v>
      </c>
      <c r="K1212" s="124" t="s">
        <v>1530</v>
      </c>
      <c r="L1212" s="124" t="s">
        <v>1536</v>
      </c>
      <c r="M1212" s="125">
        <v>10470588</v>
      </c>
      <c r="N1212" s="148">
        <v>1989411.72</v>
      </c>
      <c r="O1212" s="148">
        <v>0</v>
      </c>
      <c r="P1212" s="149">
        <v>2.5000000000000001E-2</v>
      </c>
      <c r="Q1212" s="148">
        <v>261764.7</v>
      </c>
      <c r="R1212" s="150">
        <v>12198235.020000001</v>
      </c>
      <c r="S12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2" s="135">
        <f ca="1">+IF(PROVEEDORES[[#This Row],[FECHA DE PAGO]]=0,TODAY()-PROVEEDORES[[#This Row],[FECHA DE FACTURACIÓN]]-PROVEEDORES[[#This Row],[PLAZO Días]],0)</f>
        <v>0</v>
      </c>
      <c r="U1212" s="135" t="str">
        <f>+VLOOKUP(PROVEEDORES[[#This Row],[PROVEEDOR]],Terceros!$A:$D,4,FALSE)</f>
        <v>2,5% con base</v>
      </c>
      <c r="V1212" s="135">
        <f>+YEAR(PROVEEDORES[[#This Row],[FECHA DE FACTURACIÓN]])</f>
        <v>2023</v>
      </c>
      <c r="W1212" s="135">
        <f>+MATCH(PROVEEDORES[[#This Row],[año facturado]],Retenciones!$1:$1,0)</f>
        <v>6</v>
      </c>
      <c r="X1212" s="136">
        <f>+VLOOKUP(PROVEEDORES[[#This Row],[ID RETENCION]],Retenciones!$A$1:$O$25,PROVEEDORES[[#This Row],[indicador de columna]],FALSE)</f>
        <v>1145000</v>
      </c>
      <c r="Y1212" s="137">
        <f>+VLOOKUP(PROVEEDORES[[#This Row],[ID RETENCION]],Retenciones!$A$1:$O$25,2,FALSE)</f>
        <v>2.5000000000000001E-2</v>
      </c>
      <c r="Z1212" s="126" t="b">
        <f>+OR(COUNTIF(PROVEEDORES[[#This Row],[PROVEEDOR]],"*"&amp;'Palabra que no opera y Listas d'!$A$2&amp;"*"))</f>
        <v>0</v>
      </c>
    </row>
    <row r="1213" spans="1:26" ht="27.75" customHeight="1" x14ac:dyDescent="0.25">
      <c r="A1213" s="141" t="str">
        <f>+IF(PROVEEDORES[[#This Row],[FECHA DE PAGO]]=PROVEEDORES[[#This Row],[FECHA DE FACTURACIÓN]],"DE CONTADO","CRÉDITO")</f>
        <v>CRÉDITO</v>
      </c>
      <c r="B1213" s="138" t="str">
        <f>+IF((PROVEEDORES[[#This Row],[FECHA DE PAGO]]-PROVEEDORES[[#This Row],[FECHA DE FACTURACIÓN]])&gt;PROVEEDORES[[#This Row],[PLAZO Días]],"PAGO VENCIDO")</f>
        <v>PAGO VENCIDO</v>
      </c>
      <c r="C1213" s="138">
        <f>+VLOOKUP(PROVEEDORES[[#This Row],[PROVEEDOR]],TERCEROS_INFO[#All],2,FALSE)</f>
        <v>30</v>
      </c>
      <c r="D1213" s="139">
        <f>+SUMIFS(PROVEEDORES[Total],PROVEEDORES[PROVEEDOR],PROVEEDORES[[#This Row],[PROVEEDOR]],PROVEEDORES[FECHA DE PAGO],"")</f>
        <v>0</v>
      </c>
      <c r="E1213" s="140"/>
      <c r="F1213" s="138" t="str">
        <f>+VLOOKUP(PROVEEDORES[[#This Row],[PROVEEDOR]],
                       Terceros!$A:$F,
                       5,
                       FALSE)</f>
        <v/>
      </c>
      <c r="G1213" s="127">
        <v>45327</v>
      </c>
      <c r="H1213" s="123" t="s">
        <v>1149</v>
      </c>
      <c r="I1213" s="127">
        <v>45264</v>
      </c>
      <c r="J1213" s="124" t="s">
        <v>1388</v>
      </c>
      <c r="K1213" s="124" t="s">
        <v>1530</v>
      </c>
      <c r="L1213" s="124" t="s">
        <v>1395</v>
      </c>
      <c r="M1213" s="125">
        <v>5480000</v>
      </c>
      <c r="N1213" s="148">
        <v>0</v>
      </c>
      <c r="O1213" s="148">
        <v>0</v>
      </c>
      <c r="P1213" s="149">
        <v>0</v>
      </c>
      <c r="Q1213" s="148">
        <v>0</v>
      </c>
      <c r="R1213" s="150">
        <v>5480000</v>
      </c>
      <c r="S12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3" s="135">
        <f ca="1">+IF(PROVEEDORES[[#This Row],[FECHA DE PAGO]]=0,TODAY()-PROVEEDORES[[#This Row],[FECHA DE FACTURACIÓN]]-PROVEEDORES[[#This Row],[PLAZO Días]],0)</f>
        <v>0</v>
      </c>
      <c r="U1213" s="135">
        <f>+VLOOKUP(PROVEEDORES[[#This Row],[PROVEEDOR]],Terceros!$A:$D,4,FALSE)</f>
        <v>0</v>
      </c>
      <c r="V1213" s="135">
        <f>+YEAR(PROVEEDORES[[#This Row],[FECHA DE FACTURACIÓN]])</f>
        <v>2023</v>
      </c>
      <c r="W1213" s="135">
        <f>+MATCH(PROVEEDORES[[#This Row],[año facturado]],Retenciones!$1:$1,0)</f>
        <v>6</v>
      </c>
      <c r="X1213" s="136">
        <f>+VLOOKUP(PROVEEDORES[[#This Row],[ID RETENCION]],Retenciones!$A$1:$O$25,PROVEEDORES[[#This Row],[indicador de columna]],FALSE)</f>
        <v>0</v>
      </c>
      <c r="Y1213" s="137">
        <f>+VLOOKUP(PROVEEDORES[[#This Row],[ID RETENCION]],Retenciones!$A$1:$O$25,2,FALSE)</f>
        <v>0</v>
      </c>
      <c r="Z1213" s="126" t="b">
        <f>+OR(COUNTIF(PROVEEDORES[[#This Row],[PROVEEDOR]],"*"&amp;'Palabra que no opera y Listas d'!$A$2&amp;"*"))</f>
        <v>0</v>
      </c>
    </row>
    <row r="1214" spans="1:26" ht="27.75" customHeight="1" x14ac:dyDescent="0.25">
      <c r="A1214" s="141" t="str">
        <f>+IF(PROVEEDORES[[#This Row],[FECHA DE PAGO]]=PROVEEDORES[[#This Row],[FECHA DE FACTURACIÓN]],"DE CONTADO","CRÉDITO")</f>
        <v>CRÉDITO</v>
      </c>
      <c r="B1214" s="138" t="str">
        <f>+IF((PROVEEDORES[[#This Row],[FECHA DE PAGO]]-PROVEEDORES[[#This Row],[FECHA DE FACTURACIÓN]])&gt;PROVEEDORES[[#This Row],[PLAZO Días]],"PAGO VENCIDO")</f>
        <v>PAGO VENCIDO</v>
      </c>
      <c r="C1214" s="138">
        <f>+VLOOKUP(PROVEEDORES[[#This Row],[PROVEEDOR]],TERCEROS_INFO[#All],2,FALSE)</f>
        <v>45</v>
      </c>
      <c r="D1214" s="139">
        <f>+SUMIFS(PROVEEDORES[Total],PROVEEDORES[PROVEEDOR],PROVEEDORES[[#This Row],[PROVEEDOR]],PROVEEDORES[FECHA DE PAGO],"")</f>
        <v>22186260.039999999</v>
      </c>
      <c r="E1214" s="140"/>
      <c r="F1214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214" s="127">
        <v>45327</v>
      </c>
      <c r="H1214" s="123" t="s">
        <v>19</v>
      </c>
      <c r="I1214" s="127">
        <v>45275</v>
      </c>
      <c r="J1214" s="124" t="s">
        <v>1525</v>
      </c>
      <c r="K1214" s="124" t="s">
        <v>504</v>
      </c>
      <c r="L1214" s="124" t="s">
        <v>1536</v>
      </c>
      <c r="M1214" s="125">
        <v>13252600</v>
      </c>
      <c r="N1214" s="148">
        <v>2517994</v>
      </c>
      <c r="O1214" s="148">
        <v>0</v>
      </c>
      <c r="P1214" s="149">
        <v>0</v>
      </c>
      <c r="Q1214" s="148">
        <v>0</v>
      </c>
      <c r="R1214" s="150">
        <v>15770594</v>
      </c>
      <c r="S12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4" s="135">
        <f ca="1">+IF(PROVEEDORES[[#This Row],[FECHA DE PAGO]]=0,TODAY()-PROVEEDORES[[#This Row],[FECHA DE FACTURACIÓN]]-PROVEEDORES[[#This Row],[PLAZO Días]],0)</f>
        <v>0</v>
      </c>
      <c r="U1214" s="135">
        <f>+VLOOKUP(PROVEEDORES[[#This Row],[PROVEEDOR]],Terceros!$A:$D,4,FALSE)</f>
        <v>0</v>
      </c>
      <c r="V1214" s="135">
        <f>+YEAR(PROVEEDORES[[#This Row],[FECHA DE FACTURACIÓN]])</f>
        <v>2023</v>
      </c>
      <c r="W1214" s="135">
        <f>+MATCH(PROVEEDORES[[#This Row],[año facturado]],Retenciones!$1:$1,0)</f>
        <v>6</v>
      </c>
      <c r="X1214" s="136">
        <f>+VLOOKUP(PROVEEDORES[[#This Row],[ID RETENCION]],Retenciones!$A$1:$O$25,PROVEEDORES[[#This Row],[indicador de columna]],FALSE)</f>
        <v>0</v>
      </c>
      <c r="Y1214" s="137">
        <f>+VLOOKUP(PROVEEDORES[[#This Row],[ID RETENCION]],Retenciones!$A$1:$O$25,2,FALSE)</f>
        <v>0</v>
      </c>
      <c r="Z1214" s="126" t="b">
        <f>+OR(COUNTIF(PROVEEDORES[[#This Row],[PROVEEDOR]],"*"&amp;'Palabra que no opera y Listas d'!$A$2&amp;"*"))</f>
        <v>0</v>
      </c>
    </row>
    <row r="1215" spans="1:26" ht="27.75" customHeight="1" x14ac:dyDescent="0.25">
      <c r="A1215" s="141" t="str">
        <f>+IF(PROVEEDORES[[#This Row],[FECHA DE PAGO]]=PROVEEDORES[[#This Row],[FECHA DE FACTURACIÓN]],"DE CONTADO","CRÉDITO")</f>
        <v>CRÉDITO</v>
      </c>
      <c r="B1215" s="138" t="str">
        <f>+IF((PROVEEDORES[[#This Row],[FECHA DE PAGO]]-PROVEEDORES[[#This Row],[FECHA DE FACTURACIÓN]])&gt;PROVEEDORES[[#This Row],[PLAZO Días]],"PAGO VENCIDO")</f>
        <v>PAGO VENCIDO</v>
      </c>
      <c r="C1215" s="138">
        <f>+VLOOKUP(PROVEEDORES[[#This Row],[PROVEEDOR]],TERCEROS_INFO[#All],2,FALSE)</f>
        <v>30</v>
      </c>
      <c r="D1215" s="139">
        <f>+SUMIFS(PROVEEDORES[Total],PROVEEDORES[PROVEEDOR],PROVEEDORES[[#This Row],[PROVEEDOR]],PROVEEDORES[FECHA DE PAGO],"")</f>
        <v>8456975.129999999</v>
      </c>
      <c r="E1215" s="140"/>
      <c r="F1215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215" s="127">
        <v>45327</v>
      </c>
      <c r="H1215" s="123" t="s">
        <v>1464</v>
      </c>
      <c r="I1215" s="127">
        <v>45287</v>
      </c>
      <c r="J1215" s="124" t="s">
        <v>1524</v>
      </c>
      <c r="K1215" s="124" t="s">
        <v>1530</v>
      </c>
      <c r="L1215" s="124" t="s">
        <v>1533</v>
      </c>
      <c r="M1215" s="125">
        <v>128442</v>
      </c>
      <c r="N1215" s="148">
        <v>24403.98</v>
      </c>
      <c r="O1215" s="148">
        <v>0</v>
      </c>
      <c r="P1215" s="149">
        <v>0</v>
      </c>
      <c r="Q1215" s="148">
        <v>0</v>
      </c>
      <c r="R1215" s="150">
        <v>152845.98000000001</v>
      </c>
      <c r="S12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5" s="135">
        <f ca="1">+IF(PROVEEDORES[[#This Row],[FECHA DE PAGO]]=0,TODAY()-PROVEEDORES[[#This Row],[FECHA DE FACTURACIÓN]]-PROVEEDORES[[#This Row],[PLAZO Días]],0)</f>
        <v>0</v>
      </c>
      <c r="U1215" s="135" t="str">
        <f>+VLOOKUP(PROVEEDORES[[#This Row],[PROVEEDOR]],Terceros!$A:$D,4,FALSE)</f>
        <v>2,5% con base</v>
      </c>
      <c r="V1215" s="135">
        <f>+YEAR(PROVEEDORES[[#This Row],[FECHA DE FACTURACIÓN]])</f>
        <v>2023</v>
      </c>
      <c r="W1215" s="135">
        <f>+MATCH(PROVEEDORES[[#This Row],[año facturado]],Retenciones!$1:$1,0)</f>
        <v>6</v>
      </c>
      <c r="X1215" s="136">
        <f>+VLOOKUP(PROVEEDORES[[#This Row],[ID RETENCION]],Retenciones!$A$1:$O$25,PROVEEDORES[[#This Row],[indicador de columna]],FALSE)</f>
        <v>1145000</v>
      </c>
      <c r="Y1215" s="137">
        <f>+VLOOKUP(PROVEEDORES[[#This Row],[ID RETENCION]],Retenciones!$A$1:$O$25,2,FALSE)</f>
        <v>2.5000000000000001E-2</v>
      </c>
      <c r="Z1215" s="126" t="b">
        <f>+OR(COUNTIF(PROVEEDORES[[#This Row],[PROVEEDOR]],"*"&amp;'Palabra que no opera y Listas d'!$A$2&amp;"*"))</f>
        <v>0</v>
      </c>
    </row>
    <row r="1216" spans="1:26" ht="27.75" customHeight="1" x14ac:dyDescent="0.25">
      <c r="A1216" s="141" t="str">
        <f>+IF(PROVEEDORES[[#This Row],[FECHA DE PAGO]]=PROVEEDORES[[#This Row],[FECHA DE FACTURACIÓN]],"DE CONTADO","CRÉDITO")</f>
        <v>CRÉDITO</v>
      </c>
      <c r="B1216" s="138" t="str">
        <f>+IF((PROVEEDORES[[#This Row],[FECHA DE PAGO]]-PROVEEDORES[[#This Row],[FECHA DE FACTURACIÓN]])&gt;PROVEEDORES[[#This Row],[PLAZO Días]],"PAGO VENCIDO")</f>
        <v>PAGO VENCIDO</v>
      </c>
      <c r="C1216" s="138">
        <f>+VLOOKUP(PROVEEDORES[[#This Row],[PROVEEDOR]],TERCEROS_INFO[#All],2,FALSE)</f>
        <v>30</v>
      </c>
      <c r="D1216" s="139">
        <f>+SUMIFS(PROVEEDORES[Total],PROVEEDORES[PROVEEDOR],PROVEEDORES[[#This Row],[PROVEEDOR]],PROVEEDORES[FECHA DE PAGO],"")</f>
        <v>4466504.835</v>
      </c>
      <c r="E1216" s="140"/>
      <c r="F1216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216" s="127">
        <v>45327</v>
      </c>
      <c r="H1216" s="123" t="s">
        <v>18</v>
      </c>
      <c r="I1216" s="127">
        <v>45287</v>
      </c>
      <c r="J1216" s="124">
        <v>1080927</v>
      </c>
      <c r="K1216" s="124" t="s">
        <v>504</v>
      </c>
      <c r="L1216" s="124" t="s">
        <v>1534</v>
      </c>
      <c r="M1216" s="125">
        <v>6665062</v>
      </c>
      <c r="N1216" s="148">
        <v>1266361.78</v>
      </c>
      <c r="O1216" s="148">
        <v>0</v>
      </c>
      <c r="P1216" s="149">
        <v>2.5000000000000001E-2</v>
      </c>
      <c r="Q1216" s="148">
        <v>166626.55000000002</v>
      </c>
      <c r="R1216" s="150">
        <v>7764797.2300000004</v>
      </c>
      <c r="S12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6" s="135">
        <f ca="1">+IF(PROVEEDORES[[#This Row],[FECHA DE PAGO]]=0,TODAY()-PROVEEDORES[[#This Row],[FECHA DE FACTURACIÓN]]-PROVEEDORES[[#This Row],[PLAZO Días]],0)</f>
        <v>0</v>
      </c>
      <c r="U1216" s="135" t="str">
        <f>+VLOOKUP(PROVEEDORES[[#This Row],[PROVEEDOR]],Terceros!$A:$D,4,FALSE)</f>
        <v>2,5% con base</v>
      </c>
      <c r="V1216" s="135">
        <f>+YEAR(PROVEEDORES[[#This Row],[FECHA DE FACTURACIÓN]])</f>
        <v>2023</v>
      </c>
      <c r="W1216" s="135">
        <f>+MATCH(PROVEEDORES[[#This Row],[año facturado]],Retenciones!$1:$1,0)</f>
        <v>6</v>
      </c>
      <c r="X1216" s="136">
        <f>+VLOOKUP(PROVEEDORES[[#This Row],[ID RETENCION]],Retenciones!$A$1:$O$25,PROVEEDORES[[#This Row],[indicador de columna]],FALSE)</f>
        <v>1145000</v>
      </c>
      <c r="Y1216" s="137">
        <f>+VLOOKUP(PROVEEDORES[[#This Row],[ID RETENCION]],Retenciones!$A$1:$O$25,2,FALSE)</f>
        <v>2.5000000000000001E-2</v>
      </c>
      <c r="Z1216" s="126" t="b">
        <f>+OR(COUNTIF(PROVEEDORES[[#This Row],[PROVEEDOR]],"*"&amp;'Palabra que no opera y Listas d'!$A$2&amp;"*"))</f>
        <v>0</v>
      </c>
    </row>
    <row r="1217" spans="1:26" ht="27.75" customHeight="1" x14ac:dyDescent="0.25">
      <c r="A1217" s="141" t="str">
        <f>+IF(PROVEEDORES[[#This Row],[FECHA DE PAGO]]=PROVEEDORES[[#This Row],[FECHA DE FACTURACIÓN]],"DE CONTADO","CRÉDITO")</f>
        <v>CRÉDITO</v>
      </c>
      <c r="B1217" s="138" t="str">
        <f>+IF((PROVEEDORES[[#This Row],[FECHA DE PAGO]]-PROVEEDORES[[#This Row],[FECHA DE FACTURACIÓN]])&gt;PROVEEDORES[[#This Row],[PLAZO Días]],"PAGO VENCIDO")</f>
        <v>PAGO VENCIDO</v>
      </c>
      <c r="C1217" s="138">
        <f>+VLOOKUP(PROVEEDORES[[#This Row],[PROVEEDOR]],TERCEROS_INFO[#All],2,FALSE)</f>
        <v>30</v>
      </c>
      <c r="D1217" s="139">
        <f>+SUMIFS(PROVEEDORES[Total],PROVEEDORES[PROVEEDOR],PROVEEDORES[[#This Row],[PROVEEDOR]],PROVEEDORES[FECHA DE PAGO],"")</f>
        <v>4466504.835</v>
      </c>
      <c r="E1217" s="140"/>
      <c r="F1217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217" s="127">
        <v>45327</v>
      </c>
      <c r="H1217" s="123" t="s">
        <v>18</v>
      </c>
      <c r="I1217" s="127">
        <v>45295</v>
      </c>
      <c r="J1217" s="124">
        <v>1081142</v>
      </c>
      <c r="K1217" s="124" t="s">
        <v>504</v>
      </c>
      <c r="L1217" s="124" t="s">
        <v>1534</v>
      </c>
      <c r="M1217" s="125">
        <v>1895289</v>
      </c>
      <c r="N1217" s="148">
        <v>360104.91000000003</v>
      </c>
      <c r="O1217" s="148">
        <v>0</v>
      </c>
      <c r="P1217" s="149">
        <v>2.5000000000000001E-2</v>
      </c>
      <c r="Q1217" s="148">
        <v>47382.225000000006</v>
      </c>
      <c r="R1217" s="150">
        <v>2208011.6850000001</v>
      </c>
      <c r="S12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7" s="135">
        <f ca="1">+IF(PROVEEDORES[[#This Row],[FECHA DE PAGO]]=0,TODAY()-PROVEEDORES[[#This Row],[FECHA DE FACTURACIÓN]]-PROVEEDORES[[#This Row],[PLAZO Días]],0)</f>
        <v>0</v>
      </c>
      <c r="U1217" s="135" t="str">
        <f>+VLOOKUP(PROVEEDORES[[#This Row],[PROVEEDOR]],Terceros!$A:$D,4,FALSE)</f>
        <v>2,5% con base</v>
      </c>
      <c r="V1217" s="135">
        <f>+YEAR(PROVEEDORES[[#This Row],[FECHA DE FACTURACIÓN]])</f>
        <v>2024</v>
      </c>
      <c r="W1217" s="135">
        <f>+MATCH(PROVEEDORES[[#This Row],[año facturado]],Retenciones!$1:$1,0)</f>
        <v>7</v>
      </c>
      <c r="X1217" s="136">
        <f>+VLOOKUP(PROVEEDORES[[#This Row],[ID RETENCION]],Retenciones!$A$1:$O$25,PROVEEDORES[[#This Row],[indicador de columna]],FALSE)</f>
        <v>1271000</v>
      </c>
      <c r="Y1217" s="137">
        <f>+VLOOKUP(PROVEEDORES[[#This Row],[ID RETENCION]],Retenciones!$A$1:$O$25,2,FALSE)</f>
        <v>2.5000000000000001E-2</v>
      </c>
      <c r="Z1217" s="126" t="b">
        <f>+OR(COUNTIF(PROVEEDORES[[#This Row],[PROVEEDOR]],"*"&amp;'Palabra que no opera y Listas d'!$A$2&amp;"*"))</f>
        <v>0</v>
      </c>
    </row>
    <row r="1218" spans="1:26" ht="27.75" customHeight="1" x14ac:dyDescent="0.25">
      <c r="A1218" s="141" t="str">
        <f>+IF(PROVEEDORES[[#This Row],[FECHA DE PAGO]]=PROVEEDORES[[#This Row],[FECHA DE FACTURACIÓN]],"DE CONTADO","CRÉDITO")</f>
        <v>CRÉDITO</v>
      </c>
      <c r="B1218" s="138" t="b">
        <f>+IF((PROVEEDORES[[#This Row],[FECHA DE PAGO]]-PROVEEDORES[[#This Row],[FECHA DE FACTURACIÓN]])&gt;PROVEEDORES[[#This Row],[PLAZO Días]],"PAGO VENCIDO")</f>
        <v>0</v>
      </c>
      <c r="C1218" s="138">
        <f>+VLOOKUP(PROVEEDORES[[#This Row],[PROVEEDOR]],TERCEROS_INFO[#All],2,FALSE)</f>
        <v>30</v>
      </c>
      <c r="D1218" s="139">
        <f>+SUMIFS(PROVEEDORES[Total],PROVEEDORES[PROVEEDOR],PROVEEDORES[[#This Row],[PROVEEDOR]],PROVEEDORES[FECHA DE PAGO],"")</f>
        <v>0</v>
      </c>
      <c r="E1218" s="140"/>
      <c r="F1218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218" s="127">
        <v>45327</v>
      </c>
      <c r="H1218" s="123" t="s">
        <v>368</v>
      </c>
      <c r="I1218" s="127">
        <v>45323</v>
      </c>
      <c r="J1218" s="124" t="s">
        <v>1630</v>
      </c>
      <c r="K1218" s="124" t="s">
        <v>1530</v>
      </c>
      <c r="L1218" s="124" t="s">
        <v>1536</v>
      </c>
      <c r="M1218" s="125">
        <v>3792544</v>
      </c>
      <c r="N1218" s="148">
        <v>720583.36</v>
      </c>
      <c r="O1218" s="148">
        <v>0</v>
      </c>
      <c r="P1218" s="149">
        <v>0</v>
      </c>
      <c r="Q1218" s="148">
        <v>0</v>
      </c>
      <c r="R1218" s="150">
        <v>4513127.3600000003</v>
      </c>
      <c r="S12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8" s="135">
        <f ca="1">+IF(PROVEEDORES[[#This Row],[FECHA DE PAGO]]=0,TODAY()-PROVEEDORES[[#This Row],[FECHA DE FACTURACIÓN]]-PROVEEDORES[[#This Row],[PLAZO Días]],0)</f>
        <v>0</v>
      </c>
      <c r="U1218" s="135">
        <f>+VLOOKUP(PROVEEDORES[[#This Row],[PROVEEDOR]],Terceros!$A:$D,4,FALSE)</f>
        <v>0</v>
      </c>
      <c r="V1218" s="135">
        <f>+YEAR(PROVEEDORES[[#This Row],[FECHA DE FACTURACIÓN]])</f>
        <v>2024</v>
      </c>
      <c r="W1218" s="135">
        <f>+MATCH(PROVEEDORES[[#This Row],[año facturado]],Retenciones!$1:$1,0)</f>
        <v>7</v>
      </c>
      <c r="X1218" s="136">
        <f>+VLOOKUP(PROVEEDORES[[#This Row],[ID RETENCION]],Retenciones!$A$1:$O$25,PROVEEDORES[[#This Row],[indicador de columna]],FALSE)</f>
        <v>0</v>
      </c>
      <c r="Y1218" s="137">
        <f>+VLOOKUP(PROVEEDORES[[#This Row],[ID RETENCION]],Retenciones!$A$1:$O$25,2,FALSE)</f>
        <v>0</v>
      </c>
      <c r="Z1218" s="126" t="b">
        <f>+OR(COUNTIF(PROVEEDORES[[#This Row],[PROVEEDOR]],"*"&amp;'Palabra que no opera y Listas d'!$A$2&amp;"*"))</f>
        <v>1</v>
      </c>
    </row>
    <row r="1219" spans="1:26" ht="27.75" customHeight="1" x14ac:dyDescent="0.25">
      <c r="A1219" s="141" t="str">
        <f>+IF(PROVEEDORES[[#This Row],[FECHA DE PAGO]]=PROVEEDORES[[#This Row],[FECHA DE FACTURACIÓN]],"DE CONTADO","CRÉDITO")</f>
        <v>CRÉDITO</v>
      </c>
      <c r="B1219" s="138" t="b">
        <f>+IF((PROVEEDORES[[#This Row],[FECHA DE PAGO]]-PROVEEDORES[[#This Row],[FECHA DE FACTURACIÓN]])&gt;PROVEEDORES[[#This Row],[PLAZO Días]],"PAGO VENCIDO")</f>
        <v>0</v>
      </c>
      <c r="C1219" s="138">
        <f>+VLOOKUP(PROVEEDORES[[#This Row],[PROVEEDOR]],TERCEROS_INFO[#All],2,FALSE)</f>
        <v>30</v>
      </c>
      <c r="D1219" s="139">
        <f>+SUMIFS(PROVEEDORES[Total],PROVEEDORES[PROVEEDOR],PROVEEDORES[[#This Row],[PROVEEDOR]],PROVEEDORES[FECHA DE PAGO],"")</f>
        <v>0</v>
      </c>
      <c r="E1219" s="140"/>
      <c r="F1219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219" s="127">
        <v>45327</v>
      </c>
      <c r="H1219" s="123" t="s">
        <v>368</v>
      </c>
      <c r="I1219" s="127">
        <v>45323</v>
      </c>
      <c r="J1219" s="124" t="s">
        <v>1629</v>
      </c>
      <c r="K1219" s="124" t="s">
        <v>1530</v>
      </c>
      <c r="L1219" s="124" t="s">
        <v>1536</v>
      </c>
      <c r="M1219" s="125">
        <v>992451</v>
      </c>
      <c r="N1219" s="148">
        <v>188565.69</v>
      </c>
      <c r="O1219" s="148">
        <v>0</v>
      </c>
      <c r="P1219" s="149">
        <v>0.04</v>
      </c>
      <c r="Q1219" s="148">
        <v>39698.04</v>
      </c>
      <c r="R1219" s="150">
        <v>1141318.6499999999</v>
      </c>
      <c r="S12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19" s="135">
        <f ca="1">+IF(PROVEEDORES[[#This Row],[FECHA DE PAGO]]=0,TODAY()-PROVEEDORES[[#This Row],[FECHA DE FACTURACIÓN]]-PROVEEDORES[[#This Row],[PLAZO Días]],0)</f>
        <v>0</v>
      </c>
      <c r="U1219" s="135">
        <f>+VLOOKUP(PROVEEDORES[[#This Row],[PROVEEDOR]],Terceros!$A:$D,4,FALSE)</f>
        <v>0</v>
      </c>
      <c r="V1219" s="135">
        <f>+YEAR(PROVEEDORES[[#This Row],[FECHA DE FACTURACIÓN]])</f>
        <v>2024</v>
      </c>
      <c r="W1219" s="135">
        <f>+MATCH(PROVEEDORES[[#This Row],[año facturado]],Retenciones!$1:$1,0)</f>
        <v>7</v>
      </c>
      <c r="X1219" s="136">
        <f>+VLOOKUP(PROVEEDORES[[#This Row],[ID RETENCION]],Retenciones!$A$1:$O$25,PROVEEDORES[[#This Row],[indicador de columna]],FALSE)</f>
        <v>0</v>
      </c>
      <c r="Y1219" s="137">
        <f>+VLOOKUP(PROVEEDORES[[#This Row],[ID RETENCION]],Retenciones!$A$1:$O$25,2,FALSE)</f>
        <v>0</v>
      </c>
      <c r="Z1219" s="126" t="b">
        <f>+OR(COUNTIF(PROVEEDORES[[#This Row],[PROVEEDOR]],"*"&amp;'Palabra que no opera y Listas d'!$A$2&amp;"*"))</f>
        <v>1</v>
      </c>
    </row>
    <row r="1220" spans="1:26" ht="27.75" customHeight="1" x14ac:dyDescent="0.25">
      <c r="A1220" s="141" t="str">
        <f>+IF(PROVEEDORES[[#This Row],[FECHA DE PAGO]]=PROVEEDORES[[#This Row],[FECHA DE FACTURACIÓN]],"DE CONTADO","CRÉDITO")</f>
        <v>CRÉDITO</v>
      </c>
      <c r="B1220" s="138" t="b">
        <f>+IF((PROVEEDORES[[#This Row],[FECHA DE PAGO]]-PROVEEDORES[[#This Row],[FECHA DE FACTURACIÓN]])&gt;PROVEEDORES[[#This Row],[PLAZO Días]],"PAGO VENCIDO")</f>
        <v>0</v>
      </c>
      <c r="C1220" s="138">
        <f>+VLOOKUP(PROVEEDORES[[#This Row],[PROVEEDOR]],TERCEROS_INFO[#All],2,FALSE)</f>
        <v>30</v>
      </c>
      <c r="D1220" s="139">
        <f>+SUMIFS(PROVEEDORES[Total],PROVEEDORES[PROVEEDOR],PROVEEDORES[[#This Row],[PROVEEDOR]],PROVEEDORES[FECHA DE PAGO],"")</f>
        <v>0</v>
      </c>
      <c r="E1220" s="140"/>
      <c r="F1220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220" s="127">
        <v>45327</v>
      </c>
      <c r="H1220" s="123" t="s">
        <v>382</v>
      </c>
      <c r="I1220" s="127">
        <v>45323</v>
      </c>
      <c r="J1220" s="124" t="s">
        <v>1512</v>
      </c>
      <c r="K1220" s="124" t="s">
        <v>1530</v>
      </c>
      <c r="L1220" s="124" t="s">
        <v>1536</v>
      </c>
      <c r="M1220" s="125">
        <v>1047050</v>
      </c>
      <c r="N1220" s="148">
        <v>0</v>
      </c>
      <c r="O1220" s="148">
        <v>0</v>
      </c>
      <c r="P1220" s="149">
        <v>0</v>
      </c>
      <c r="Q1220" s="148">
        <v>0</v>
      </c>
      <c r="R1220" s="150">
        <v>1047050</v>
      </c>
      <c r="S12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0" s="135">
        <f ca="1">+IF(PROVEEDORES[[#This Row],[FECHA DE PAGO]]=0,TODAY()-PROVEEDORES[[#This Row],[FECHA DE FACTURACIÓN]]-PROVEEDORES[[#This Row],[PLAZO Días]],0)</f>
        <v>0</v>
      </c>
      <c r="U1220" s="135">
        <f>+VLOOKUP(PROVEEDORES[[#This Row],[PROVEEDOR]],Terceros!$A:$D,4,FALSE)</f>
        <v>0</v>
      </c>
      <c r="V1220" s="135">
        <f>+YEAR(PROVEEDORES[[#This Row],[FECHA DE FACTURACIÓN]])</f>
        <v>2024</v>
      </c>
      <c r="W1220" s="135">
        <f>+MATCH(PROVEEDORES[[#This Row],[año facturado]],Retenciones!$1:$1,0)</f>
        <v>7</v>
      </c>
      <c r="X1220" s="136">
        <f>+VLOOKUP(PROVEEDORES[[#This Row],[ID RETENCION]],Retenciones!$A$1:$O$25,PROVEEDORES[[#This Row],[indicador de columna]],FALSE)</f>
        <v>0</v>
      </c>
      <c r="Y1220" s="137">
        <f>+VLOOKUP(PROVEEDORES[[#This Row],[ID RETENCION]],Retenciones!$A$1:$O$25,2,FALSE)</f>
        <v>0</v>
      </c>
      <c r="Z1220" s="126" t="b">
        <f>+OR(COUNTIF(PROVEEDORES[[#This Row],[PROVEEDOR]],"*"&amp;'Palabra que no opera y Listas d'!$A$2&amp;"*"))</f>
        <v>1</v>
      </c>
    </row>
    <row r="1221" spans="1:26" ht="27.75" customHeight="1" x14ac:dyDescent="0.25">
      <c r="A1221" s="141" t="str">
        <f>+IF(PROVEEDORES[[#This Row],[FECHA DE PAGO]]=PROVEEDORES[[#This Row],[FECHA DE FACTURACIÓN]],"DE CONTADO","CRÉDITO")</f>
        <v>CRÉDITO</v>
      </c>
      <c r="B1221" s="138" t="b">
        <f>+IF((PROVEEDORES[[#This Row],[FECHA DE PAGO]]-PROVEEDORES[[#This Row],[FECHA DE FACTURACIÓN]])&gt;PROVEEDORES[[#This Row],[PLAZO Días]],"PAGO VENCIDO")</f>
        <v>0</v>
      </c>
      <c r="C1221" s="138">
        <f>+VLOOKUP(PROVEEDORES[[#This Row],[PROVEEDOR]],TERCEROS_INFO[#All],2,FALSE)</f>
        <v>30</v>
      </c>
      <c r="D1221" s="139">
        <f>+SUMIFS(PROVEEDORES[Total],PROVEEDORES[PROVEEDOR],PROVEEDORES[[#This Row],[PROVEEDOR]],PROVEEDORES[FECHA DE PAGO],"")</f>
        <v>0</v>
      </c>
      <c r="E1221" s="140"/>
      <c r="F1221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221" s="127">
        <v>45327</v>
      </c>
      <c r="H1221" s="123" t="s">
        <v>382</v>
      </c>
      <c r="I1221" s="127">
        <v>45323</v>
      </c>
      <c r="J1221" s="124" t="s">
        <v>1513</v>
      </c>
      <c r="K1221" s="124" t="s">
        <v>1530</v>
      </c>
      <c r="L1221" s="124" t="s">
        <v>1536</v>
      </c>
      <c r="M1221" s="125">
        <v>1024255</v>
      </c>
      <c r="N1221" s="148">
        <v>0</v>
      </c>
      <c r="O1221" s="148">
        <v>0</v>
      </c>
      <c r="P1221" s="149">
        <v>0</v>
      </c>
      <c r="Q1221" s="148">
        <v>0</v>
      </c>
      <c r="R1221" s="150">
        <v>1024255</v>
      </c>
      <c r="S12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1" s="135">
        <f ca="1">+IF(PROVEEDORES[[#This Row],[FECHA DE PAGO]]=0,TODAY()-PROVEEDORES[[#This Row],[FECHA DE FACTURACIÓN]]-PROVEEDORES[[#This Row],[PLAZO Días]],0)</f>
        <v>0</v>
      </c>
      <c r="U1221" s="135">
        <f>+VLOOKUP(PROVEEDORES[[#This Row],[PROVEEDOR]],Terceros!$A:$D,4,FALSE)</f>
        <v>0</v>
      </c>
      <c r="V1221" s="135">
        <f>+YEAR(PROVEEDORES[[#This Row],[FECHA DE FACTURACIÓN]])</f>
        <v>2024</v>
      </c>
      <c r="W1221" s="135">
        <f>+MATCH(PROVEEDORES[[#This Row],[año facturado]],Retenciones!$1:$1,0)</f>
        <v>7</v>
      </c>
      <c r="X1221" s="136">
        <f>+VLOOKUP(PROVEEDORES[[#This Row],[ID RETENCION]],Retenciones!$A$1:$O$25,PROVEEDORES[[#This Row],[indicador de columna]],FALSE)</f>
        <v>0</v>
      </c>
      <c r="Y1221" s="137">
        <f>+VLOOKUP(PROVEEDORES[[#This Row],[ID RETENCION]],Retenciones!$A$1:$O$25,2,FALSE)</f>
        <v>0</v>
      </c>
      <c r="Z1221" s="126" t="b">
        <f>+OR(COUNTIF(PROVEEDORES[[#This Row],[PROVEEDOR]],"*"&amp;'Palabra que no opera y Listas d'!$A$2&amp;"*"))</f>
        <v>1</v>
      </c>
    </row>
    <row r="1222" spans="1:26" ht="27.75" customHeight="1" x14ac:dyDescent="0.25">
      <c r="A1222" s="141" t="str">
        <f>+IF(PROVEEDORES[[#This Row],[FECHA DE PAGO]]=PROVEEDORES[[#This Row],[FECHA DE FACTURACIÓN]],"DE CONTADO","CRÉDITO")</f>
        <v>CRÉDITO</v>
      </c>
      <c r="B1222" s="138" t="b">
        <f>+IF((PROVEEDORES[[#This Row],[FECHA DE PAGO]]-PROVEEDORES[[#This Row],[FECHA DE FACTURACIÓN]])&gt;PROVEEDORES[[#This Row],[PLAZO Días]],"PAGO VENCIDO")</f>
        <v>0</v>
      </c>
      <c r="C1222" s="138">
        <f>+VLOOKUP(PROVEEDORES[[#This Row],[PROVEEDOR]],TERCEROS_INFO[#All],2,FALSE)</f>
        <v>10</v>
      </c>
      <c r="D1222" s="139">
        <f>+SUMIFS(PROVEEDORES[Total],PROVEEDORES[PROVEEDOR],PROVEEDORES[[#This Row],[PROVEEDOR]],PROVEEDORES[FECHA DE PAGO],"")</f>
        <v>-3510</v>
      </c>
      <c r="E1222" s="140"/>
      <c r="F1222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222" s="127">
        <v>45327</v>
      </c>
      <c r="H1222" s="123" t="s">
        <v>1452</v>
      </c>
      <c r="I1222" s="127">
        <v>45323</v>
      </c>
      <c r="J1222" s="124" t="s">
        <v>1516</v>
      </c>
      <c r="K1222" s="124" t="s">
        <v>1530</v>
      </c>
      <c r="L1222" s="124" t="s">
        <v>1536</v>
      </c>
      <c r="M1222" s="125">
        <v>4435417</v>
      </c>
      <c r="N1222" s="148">
        <v>752248</v>
      </c>
      <c r="O1222" s="148">
        <v>0</v>
      </c>
      <c r="P1222" s="149">
        <v>3.5000000000000003E-2</v>
      </c>
      <c r="Q1222" s="148">
        <v>138572</v>
      </c>
      <c r="R1222" s="150">
        <v>5049093</v>
      </c>
      <c r="S12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2" s="135">
        <f ca="1">+IF(PROVEEDORES[[#This Row],[FECHA DE PAGO]]=0,TODAY()-PROVEEDORES[[#This Row],[FECHA DE FACTURACIÓN]]-PROVEEDORES[[#This Row],[PLAZO Días]],0)</f>
        <v>0</v>
      </c>
      <c r="U1222" s="135" t="str">
        <f>+VLOOKUP(PROVEEDORES[[#This Row],[PROVEEDOR]],Terceros!$A:$D,4,FALSE)</f>
        <v>3,5% sin base</v>
      </c>
      <c r="V1222" s="135">
        <f>+YEAR(PROVEEDORES[[#This Row],[FECHA DE FACTURACIÓN]])</f>
        <v>2024</v>
      </c>
      <c r="W1222" s="135">
        <f>+MATCH(PROVEEDORES[[#This Row],[año facturado]],Retenciones!$1:$1,0)</f>
        <v>7</v>
      </c>
      <c r="X1222" s="136">
        <f>+VLOOKUP(PROVEEDORES[[#This Row],[ID RETENCION]],Retenciones!$A$1:$O$25,PROVEEDORES[[#This Row],[indicador de columna]],FALSE)</f>
        <v>0</v>
      </c>
      <c r="Y1222" s="137">
        <f>+VLOOKUP(PROVEEDORES[[#This Row],[ID RETENCION]],Retenciones!$A$1:$O$25,2,FALSE)</f>
        <v>3.5000000000000003E-2</v>
      </c>
      <c r="Z1222" s="126" t="b">
        <f>+OR(COUNTIF(PROVEEDORES[[#This Row],[PROVEEDOR]],"*"&amp;'Palabra que no opera y Listas d'!$A$2&amp;"*"))</f>
        <v>1</v>
      </c>
    </row>
    <row r="1223" spans="1:26" ht="27.75" customHeight="1" x14ac:dyDescent="0.25">
      <c r="A1223" s="141" t="str">
        <f>+IF(PROVEEDORES[[#This Row],[FECHA DE PAGO]]=PROVEEDORES[[#This Row],[FECHA DE FACTURACIÓN]],"DE CONTADO","CRÉDITO")</f>
        <v>CRÉDITO</v>
      </c>
      <c r="B1223" s="138" t="b">
        <f>+IF((PROVEEDORES[[#This Row],[FECHA DE PAGO]]-PROVEEDORES[[#This Row],[FECHA DE FACTURACIÓN]])&gt;PROVEEDORES[[#This Row],[PLAZO Días]],"PAGO VENCIDO")</f>
        <v>0</v>
      </c>
      <c r="C1223" s="138">
        <f>+VLOOKUP(PROVEEDORES[[#This Row],[PROVEEDOR]],TERCEROS_INFO[#All],2,FALSE)</f>
        <v>30</v>
      </c>
      <c r="D1223" s="139">
        <f>+SUMIFS(PROVEEDORES[Total],PROVEEDORES[PROVEEDOR],PROVEEDORES[[#This Row],[PROVEEDOR]],PROVEEDORES[FECHA DE PAGO],"")</f>
        <v>0</v>
      </c>
      <c r="E1223" s="140"/>
      <c r="F1223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223" s="127">
        <v>45327</v>
      </c>
      <c r="H1223" s="123" t="s">
        <v>394</v>
      </c>
      <c r="I1223" s="127">
        <v>45323</v>
      </c>
      <c r="J1223" s="124" t="s">
        <v>394</v>
      </c>
      <c r="K1223" s="124" t="s">
        <v>1530</v>
      </c>
      <c r="L1223" s="124" t="s">
        <v>1536</v>
      </c>
      <c r="M1223" s="125">
        <v>246233</v>
      </c>
      <c r="N1223" s="148">
        <v>46784.270000000004</v>
      </c>
      <c r="O1223" s="148">
        <v>0</v>
      </c>
      <c r="P1223" s="149">
        <v>3.5000000000000003E-2</v>
      </c>
      <c r="Q1223" s="148">
        <v>8618.1550000000007</v>
      </c>
      <c r="R1223" s="150">
        <v>284399.11499999999</v>
      </c>
      <c r="S12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3" s="135">
        <f ca="1">+IF(PROVEEDORES[[#This Row],[FECHA DE PAGO]]=0,TODAY()-PROVEEDORES[[#This Row],[FECHA DE FACTURACIÓN]]-PROVEEDORES[[#This Row],[PLAZO Días]],0)</f>
        <v>0</v>
      </c>
      <c r="U1223" s="135" t="str">
        <f>+VLOOKUP(PROVEEDORES[[#This Row],[PROVEEDOR]],Terceros!$A:$D,4,FALSE)</f>
        <v>3,5% sin base</v>
      </c>
      <c r="V1223" s="135">
        <f>+YEAR(PROVEEDORES[[#This Row],[FECHA DE FACTURACIÓN]])</f>
        <v>2024</v>
      </c>
      <c r="W1223" s="135">
        <f>+MATCH(PROVEEDORES[[#This Row],[año facturado]],Retenciones!$1:$1,0)</f>
        <v>7</v>
      </c>
      <c r="X1223" s="136">
        <f>+VLOOKUP(PROVEEDORES[[#This Row],[ID RETENCION]],Retenciones!$A$1:$O$25,PROVEEDORES[[#This Row],[indicador de columna]],FALSE)</f>
        <v>0</v>
      </c>
      <c r="Y1223" s="137">
        <f>+VLOOKUP(PROVEEDORES[[#This Row],[ID RETENCION]],Retenciones!$A$1:$O$25,2,FALSE)</f>
        <v>3.5000000000000003E-2</v>
      </c>
      <c r="Z1223" s="126" t="b">
        <f>+OR(COUNTIF(PROVEEDORES[[#This Row],[PROVEEDOR]],"*"&amp;'Palabra que no opera y Listas d'!$A$2&amp;"*"))</f>
        <v>1</v>
      </c>
    </row>
    <row r="1224" spans="1:26" ht="27.75" customHeight="1" x14ac:dyDescent="0.25">
      <c r="A1224" s="141" t="str">
        <f>+IF(PROVEEDORES[[#This Row],[FECHA DE PAGO]]=PROVEEDORES[[#This Row],[FECHA DE FACTURACIÓN]],"DE CONTADO","CRÉDITO")</f>
        <v>CRÉDITO</v>
      </c>
      <c r="B1224" s="138" t="b">
        <f>+IF((PROVEEDORES[[#This Row],[FECHA DE PAGO]]-PROVEEDORES[[#This Row],[FECHA DE FACTURACIÓN]])&gt;PROVEEDORES[[#This Row],[PLAZO Días]],"PAGO VENCIDO")</f>
        <v>0</v>
      </c>
      <c r="C1224" s="138">
        <f>+VLOOKUP(PROVEEDORES[[#This Row],[PROVEEDOR]],TERCEROS_INFO[#All],2,FALSE)</f>
        <v>10</v>
      </c>
      <c r="D1224" s="139">
        <f>+SUMIFS(PROVEEDORES[Total],PROVEEDORES[PROVEEDOR],PROVEEDORES[[#This Row],[PROVEEDOR]],PROVEEDORES[FECHA DE PAGO],"")</f>
        <v>0</v>
      </c>
      <c r="E1224" s="140"/>
      <c r="F1224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224" s="127">
        <v>45327</v>
      </c>
      <c r="H1224" s="123" t="s">
        <v>482</v>
      </c>
      <c r="I1224" s="127">
        <v>45323</v>
      </c>
      <c r="J1224" s="124" t="s">
        <v>1514</v>
      </c>
      <c r="K1224" s="124" t="s">
        <v>1530</v>
      </c>
      <c r="L1224" s="124" t="s">
        <v>1536</v>
      </c>
      <c r="M1224" s="125">
        <v>5350576</v>
      </c>
      <c r="N1224" s="148">
        <v>1016609.4400000001</v>
      </c>
      <c r="O1224" s="148">
        <v>0</v>
      </c>
      <c r="P1224" s="149">
        <v>0</v>
      </c>
      <c r="Q1224" s="148">
        <v>0</v>
      </c>
      <c r="R1224" s="150">
        <v>6367185.4400000004</v>
      </c>
      <c r="S12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4" s="135">
        <f ca="1">+IF(PROVEEDORES[[#This Row],[FECHA DE PAGO]]=0,TODAY()-PROVEEDORES[[#This Row],[FECHA DE FACTURACIÓN]]-PROVEEDORES[[#This Row],[PLAZO Días]],0)</f>
        <v>0</v>
      </c>
      <c r="U1224" s="135">
        <f>+VLOOKUP(PROVEEDORES[[#This Row],[PROVEEDOR]],Terceros!$A:$D,4,FALSE)</f>
        <v>0</v>
      </c>
      <c r="V1224" s="135">
        <f>+YEAR(PROVEEDORES[[#This Row],[FECHA DE FACTURACIÓN]])</f>
        <v>2024</v>
      </c>
      <c r="W1224" s="135">
        <f>+MATCH(PROVEEDORES[[#This Row],[año facturado]],Retenciones!$1:$1,0)</f>
        <v>7</v>
      </c>
      <c r="X1224" s="136">
        <f>+VLOOKUP(PROVEEDORES[[#This Row],[ID RETENCION]],Retenciones!$A$1:$O$25,PROVEEDORES[[#This Row],[indicador de columna]],FALSE)</f>
        <v>0</v>
      </c>
      <c r="Y1224" s="137">
        <f>+VLOOKUP(PROVEEDORES[[#This Row],[ID RETENCION]],Retenciones!$A$1:$O$25,2,FALSE)</f>
        <v>0</v>
      </c>
      <c r="Z1224" s="126" t="b">
        <f>+OR(COUNTIF(PROVEEDORES[[#This Row],[PROVEEDOR]],"*"&amp;'Palabra que no opera y Listas d'!$A$2&amp;"*"))</f>
        <v>1</v>
      </c>
    </row>
    <row r="1225" spans="1:26" ht="27.75" customHeight="1" x14ac:dyDescent="0.25">
      <c r="A1225" s="141" t="str">
        <f>+IF(PROVEEDORES[[#This Row],[FECHA DE PAGO]]=PROVEEDORES[[#This Row],[FECHA DE FACTURACIÓN]],"DE CONTADO","CRÉDITO")</f>
        <v>CRÉDITO</v>
      </c>
      <c r="B1225" s="138" t="b">
        <f>+IF((PROVEEDORES[[#This Row],[FECHA DE PAGO]]-PROVEEDORES[[#This Row],[FECHA DE FACTURACIÓN]])&gt;PROVEEDORES[[#This Row],[PLAZO Días]],"PAGO VENCIDO")</f>
        <v>0</v>
      </c>
      <c r="C1225" s="138">
        <f>+VLOOKUP(PROVEEDORES[[#This Row],[PROVEEDOR]],TERCEROS_INFO[#All],2,FALSE)</f>
        <v>30</v>
      </c>
      <c r="D1225" s="139">
        <f>+SUMIFS(PROVEEDORES[Total],PROVEEDORES[PROVEEDOR],PROVEEDORES[[#This Row],[PROVEEDOR]],PROVEEDORES[FECHA DE PAGO],"")</f>
        <v>0</v>
      </c>
      <c r="E1225" s="140"/>
      <c r="F1225" s="138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225" s="127">
        <v>45327</v>
      </c>
      <c r="H1225" s="123" t="s">
        <v>1186</v>
      </c>
      <c r="I1225" s="127">
        <v>45325</v>
      </c>
      <c r="J1225" s="124" t="s">
        <v>1546</v>
      </c>
      <c r="K1225" s="124" t="s">
        <v>1530</v>
      </c>
      <c r="L1225" s="124" t="s">
        <v>1395</v>
      </c>
      <c r="M1225" s="125">
        <v>546220</v>
      </c>
      <c r="N1225" s="148">
        <v>103781.8</v>
      </c>
      <c r="O1225" s="148">
        <v>0</v>
      </c>
      <c r="P1225" s="149">
        <v>0</v>
      </c>
      <c r="Q1225" s="148">
        <v>0</v>
      </c>
      <c r="R1225" s="150">
        <v>650001.80000000005</v>
      </c>
      <c r="S12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5" s="135">
        <f ca="1">+IF(PROVEEDORES[[#This Row],[FECHA DE PAGO]]=0,TODAY()-PROVEEDORES[[#This Row],[FECHA DE FACTURACIÓN]]-PROVEEDORES[[#This Row],[PLAZO Días]],0)</f>
        <v>0</v>
      </c>
      <c r="U1225" s="135" t="str">
        <f>+VLOOKUP(PROVEEDORES[[#This Row],[PROVEEDOR]],Terceros!$A:$D,4,FALSE)</f>
        <v>2,5% con base</v>
      </c>
      <c r="V1225" s="135">
        <f>+YEAR(PROVEEDORES[[#This Row],[FECHA DE FACTURACIÓN]])</f>
        <v>2024</v>
      </c>
      <c r="W1225" s="135">
        <f>+MATCH(PROVEEDORES[[#This Row],[año facturado]],Retenciones!$1:$1,0)</f>
        <v>7</v>
      </c>
      <c r="X1225" s="136">
        <f>+VLOOKUP(PROVEEDORES[[#This Row],[ID RETENCION]],Retenciones!$A$1:$O$25,PROVEEDORES[[#This Row],[indicador de columna]],FALSE)</f>
        <v>1271000</v>
      </c>
      <c r="Y1225" s="137">
        <f>+VLOOKUP(PROVEEDORES[[#This Row],[ID RETENCION]],Retenciones!$A$1:$O$25,2,FALSE)</f>
        <v>2.5000000000000001E-2</v>
      </c>
      <c r="Z1225" s="126" t="b">
        <f>+OR(COUNTIF(PROVEEDORES[[#This Row],[PROVEEDOR]],"*"&amp;'Palabra que no opera y Listas d'!$A$2&amp;"*"))</f>
        <v>0</v>
      </c>
    </row>
    <row r="1226" spans="1:26" ht="27.75" customHeight="1" x14ac:dyDescent="0.25">
      <c r="A1226" s="141" t="str">
        <f>+IF(PROVEEDORES[[#This Row],[FECHA DE PAGO]]=PROVEEDORES[[#This Row],[FECHA DE FACTURACIÓN]],"DE CONTADO","CRÉDITO")</f>
        <v>DE CONTADO</v>
      </c>
      <c r="B1226" s="138" t="b">
        <f>+IF((PROVEEDORES[[#This Row],[FECHA DE PAGO]]-PROVEEDORES[[#This Row],[FECHA DE FACTURACIÓN]])&gt;PROVEEDORES[[#This Row],[PLAZO Días]],"PAGO VENCIDO")</f>
        <v>0</v>
      </c>
      <c r="C1226" s="138">
        <f>+VLOOKUP(PROVEEDORES[[#This Row],[PROVEEDOR]],TERCEROS_INFO[#All],2,FALSE)</f>
        <v>30</v>
      </c>
      <c r="D1226" s="139">
        <f>+SUMIFS(PROVEEDORES[Total],PROVEEDORES[PROVEEDOR],PROVEEDORES[[#This Row],[PROVEEDOR]],PROVEEDORES[FECHA DE PAGO],"")</f>
        <v>0</v>
      </c>
      <c r="E1226" s="140"/>
      <c r="F1226" s="138" t="str">
        <f>+VLOOKUP(PROVEEDORES[[#This Row],[PROVEEDOR]],
                       Terceros!$A:$F,
                       5,
                       FALSE)</f>
        <v/>
      </c>
      <c r="G1226" s="127">
        <v>45327</v>
      </c>
      <c r="H1226" s="123" t="s">
        <v>481</v>
      </c>
      <c r="I1226" s="127">
        <v>45327</v>
      </c>
      <c r="J1226" s="124" t="s">
        <v>1544</v>
      </c>
      <c r="K1226" s="124" t="s">
        <v>1530</v>
      </c>
      <c r="L1226" s="124" t="s">
        <v>1541</v>
      </c>
      <c r="M1226" s="125">
        <v>2430000</v>
      </c>
      <c r="N1226" s="148">
        <v>0</v>
      </c>
      <c r="O1226" s="148">
        <v>0</v>
      </c>
      <c r="P1226" s="149">
        <v>0</v>
      </c>
      <c r="Q1226" s="148">
        <v>0</v>
      </c>
      <c r="R1226" s="150">
        <v>2430000</v>
      </c>
      <c r="S12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6" s="135">
        <f ca="1">+IF(PROVEEDORES[[#This Row],[FECHA DE PAGO]]=0,TODAY()-PROVEEDORES[[#This Row],[FECHA DE FACTURACIÓN]]-PROVEEDORES[[#This Row],[PLAZO Días]],0)</f>
        <v>0</v>
      </c>
      <c r="U1226" s="135">
        <f>+VLOOKUP(PROVEEDORES[[#This Row],[PROVEEDOR]],Terceros!$A:$D,4,FALSE)</f>
        <v>0</v>
      </c>
      <c r="V1226" s="135">
        <f>+YEAR(PROVEEDORES[[#This Row],[FECHA DE FACTURACIÓN]])</f>
        <v>2024</v>
      </c>
      <c r="W1226" s="135">
        <f>+MATCH(PROVEEDORES[[#This Row],[año facturado]],Retenciones!$1:$1,0)</f>
        <v>7</v>
      </c>
      <c r="X1226" s="136">
        <f>+VLOOKUP(PROVEEDORES[[#This Row],[ID RETENCION]],Retenciones!$A$1:$O$25,PROVEEDORES[[#This Row],[indicador de columna]],FALSE)</f>
        <v>0</v>
      </c>
      <c r="Y1226" s="137">
        <f>+VLOOKUP(PROVEEDORES[[#This Row],[ID RETENCION]],Retenciones!$A$1:$O$25,2,FALSE)</f>
        <v>0</v>
      </c>
      <c r="Z1226" s="126" t="b">
        <f>+OR(COUNTIF(PROVEEDORES[[#This Row],[PROVEEDOR]],"*"&amp;'Palabra que no opera y Listas d'!$A$2&amp;"*"))</f>
        <v>0</v>
      </c>
    </row>
    <row r="1227" spans="1:26" ht="27.75" customHeight="1" x14ac:dyDescent="0.25">
      <c r="A1227" s="141" t="str">
        <f>+IF(PROVEEDORES[[#This Row],[FECHA DE PAGO]]=PROVEEDORES[[#This Row],[FECHA DE FACTURACIÓN]],"DE CONTADO","CRÉDITO")</f>
        <v>DE CONTADO</v>
      </c>
      <c r="B1227" s="138" t="b">
        <f>+IF((PROVEEDORES[[#This Row],[FECHA DE PAGO]]-PROVEEDORES[[#This Row],[FECHA DE FACTURACIÓN]])&gt;PROVEEDORES[[#This Row],[PLAZO Días]],"PAGO VENCIDO")</f>
        <v>0</v>
      </c>
      <c r="C1227" s="138">
        <f>+VLOOKUP(PROVEEDORES[[#This Row],[PROVEEDOR]],TERCEROS_INFO[#All],2,FALSE)</f>
        <v>30</v>
      </c>
      <c r="D1227" s="139">
        <f>+SUMIFS(PROVEEDORES[Total],PROVEEDORES[PROVEEDOR],PROVEEDORES[[#This Row],[PROVEEDOR]],PROVEEDORES[FECHA DE PAGO],"")</f>
        <v>0</v>
      </c>
      <c r="E1227" s="140"/>
      <c r="F1227" s="138" t="str">
        <f>+VLOOKUP(PROVEEDORES[[#This Row],[PROVEEDOR]],
                       Terceros!$A:$F,
                       5,
                       FALSE)</f>
        <v/>
      </c>
      <c r="G1227" s="127">
        <v>45328</v>
      </c>
      <c r="H1227" s="123" t="s">
        <v>36</v>
      </c>
      <c r="I1227" s="127">
        <v>45328</v>
      </c>
      <c r="J1227" s="124" t="s">
        <v>1547</v>
      </c>
      <c r="K1227" s="124" t="s">
        <v>1530</v>
      </c>
      <c r="L1227" s="124" t="s">
        <v>1395</v>
      </c>
      <c r="M1227" s="125">
        <v>37154</v>
      </c>
      <c r="N1227" s="148">
        <v>7059.26</v>
      </c>
      <c r="O1227" s="148">
        <v>0</v>
      </c>
      <c r="P1227" s="149">
        <v>0</v>
      </c>
      <c r="Q1227" s="148">
        <v>0</v>
      </c>
      <c r="R1227" s="150">
        <v>44213.26</v>
      </c>
      <c r="S12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7" s="135">
        <f ca="1">+IF(PROVEEDORES[[#This Row],[FECHA DE PAGO]]=0,TODAY()-PROVEEDORES[[#This Row],[FECHA DE FACTURACIÓN]]-PROVEEDORES[[#This Row],[PLAZO Días]],0)</f>
        <v>0</v>
      </c>
      <c r="U1227" s="135" t="str">
        <f>+VLOOKUP(PROVEEDORES[[#This Row],[PROVEEDOR]],Terceros!$A:$D,4,FALSE)</f>
        <v>2,5% con base</v>
      </c>
      <c r="V1227" s="135">
        <f>+YEAR(PROVEEDORES[[#This Row],[FECHA DE FACTURACIÓN]])</f>
        <v>2024</v>
      </c>
      <c r="W1227" s="135">
        <f>+MATCH(PROVEEDORES[[#This Row],[año facturado]],Retenciones!$1:$1,0)</f>
        <v>7</v>
      </c>
      <c r="X1227" s="136">
        <f>+VLOOKUP(PROVEEDORES[[#This Row],[ID RETENCION]],Retenciones!$A$1:$O$25,PROVEEDORES[[#This Row],[indicador de columna]],FALSE)</f>
        <v>1271000</v>
      </c>
      <c r="Y1227" s="137">
        <f>+VLOOKUP(PROVEEDORES[[#This Row],[ID RETENCION]],Retenciones!$A$1:$O$25,2,FALSE)</f>
        <v>2.5000000000000001E-2</v>
      </c>
      <c r="Z1227" s="126" t="b">
        <f>+OR(COUNTIF(PROVEEDORES[[#This Row],[PROVEEDOR]],"*"&amp;'Palabra que no opera y Listas d'!$A$2&amp;"*"))</f>
        <v>0</v>
      </c>
    </row>
    <row r="1228" spans="1:26" ht="27.75" customHeight="1" x14ac:dyDescent="0.25">
      <c r="A1228" s="141" t="str">
        <f>+IF(PROVEEDORES[[#This Row],[FECHA DE PAGO]]=PROVEEDORES[[#This Row],[FECHA DE FACTURACIÓN]],"DE CONTADO","CRÉDITO")</f>
        <v>CRÉDITO</v>
      </c>
      <c r="B1228" s="138" t="str">
        <f>+IF((PROVEEDORES[[#This Row],[FECHA DE PAGO]]-PROVEEDORES[[#This Row],[FECHA DE FACTURACIÓN]])&gt;PROVEEDORES[[#This Row],[PLAZO Días]],"PAGO VENCIDO")</f>
        <v>PAGO VENCIDO</v>
      </c>
      <c r="C1228" s="138">
        <f>+VLOOKUP(PROVEEDORES[[#This Row],[PROVEEDOR]],TERCEROS_INFO[#All],2,FALSE)</f>
        <v>30</v>
      </c>
      <c r="D1228" s="139">
        <f>+SUMIFS(PROVEEDORES[Total],PROVEEDORES[PROVEEDOR],PROVEEDORES[[#This Row],[PROVEEDOR]],PROVEEDORES[FECHA DE PAGO],"")</f>
        <v>0</v>
      </c>
      <c r="E1228" s="140"/>
      <c r="F1228" s="138" t="str">
        <f>+VLOOKUP(PROVEEDORES[[#This Row],[PROVEEDOR]],
                       Terceros!$A:$F,
                       5,
                       FALSE)</f>
        <v/>
      </c>
      <c r="G1228" s="127">
        <v>45329</v>
      </c>
      <c r="H1228" s="123" t="s">
        <v>1811</v>
      </c>
      <c r="I1228" s="127">
        <v>45282</v>
      </c>
      <c r="J1228" s="124" t="s">
        <v>1367</v>
      </c>
      <c r="K1228" s="124" t="s">
        <v>1530</v>
      </c>
      <c r="L1228" s="124" t="s">
        <v>1395</v>
      </c>
      <c r="M1228" s="125">
        <v>1500000</v>
      </c>
      <c r="N1228" s="148">
        <v>0</v>
      </c>
      <c r="O1228" s="148">
        <v>0</v>
      </c>
      <c r="P1228" s="149">
        <v>0</v>
      </c>
      <c r="Q1228" s="148">
        <v>0</v>
      </c>
      <c r="R1228" s="150">
        <v>1500000</v>
      </c>
      <c r="S12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8" s="135">
        <f ca="1">+IF(PROVEEDORES[[#This Row],[FECHA DE PAGO]]=0,TODAY()-PROVEEDORES[[#This Row],[FECHA DE FACTURACIÓN]]-PROVEEDORES[[#This Row],[PLAZO Días]],0)</f>
        <v>0</v>
      </c>
      <c r="U1228" s="135">
        <f>+VLOOKUP(PROVEEDORES[[#This Row],[PROVEEDOR]],Terceros!$A:$D,4,FALSE)</f>
        <v>0</v>
      </c>
      <c r="V1228" s="135">
        <f>+YEAR(PROVEEDORES[[#This Row],[FECHA DE FACTURACIÓN]])</f>
        <v>2023</v>
      </c>
      <c r="W1228" s="135">
        <f>+MATCH(PROVEEDORES[[#This Row],[año facturado]],Retenciones!$1:$1,0)</f>
        <v>6</v>
      </c>
      <c r="X1228" s="136">
        <f>+VLOOKUP(PROVEEDORES[[#This Row],[ID RETENCION]],Retenciones!$A$1:$O$25,PROVEEDORES[[#This Row],[indicador de columna]],FALSE)</f>
        <v>0</v>
      </c>
      <c r="Y1228" s="137">
        <f>+VLOOKUP(PROVEEDORES[[#This Row],[ID RETENCION]],Retenciones!$A$1:$O$25,2,FALSE)</f>
        <v>0</v>
      </c>
      <c r="Z1228" s="126" t="b">
        <f>+OR(COUNTIF(PROVEEDORES[[#This Row],[PROVEEDOR]],"*"&amp;'Palabra que no opera y Listas d'!$A$2&amp;"*"))</f>
        <v>0</v>
      </c>
    </row>
    <row r="1229" spans="1:26" ht="27.75" customHeight="1" x14ac:dyDescent="0.25">
      <c r="A1229" s="141" t="str">
        <f>+IF(PROVEEDORES[[#This Row],[FECHA DE PAGO]]=PROVEEDORES[[#This Row],[FECHA DE FACTURACIÓN]],"DE CONTADO","CRÉDITO")</f>
        <v>CRÉDITO</v>
      </c>
      <c r="B1229" s="138" t="str">
        <f>+IF((PROVEEDORES[[#This Row],[FECHA DE PAGO]]-PROVEEDORES[[#This Row],[FECHA DE FACTURACIÓN]])&gt;PROVEEDORES[[#This Row],[PLAZO Días]],"PAGO VENCIDO")</f>
        <v>PAGO VENCIDO</v>
      </c>
      <c r="C1229" s="138">
        <f>+VLOOKUP(PROVEEDORES[[#This Row],[PROVEEDOR]],TERCEROS_INFO[#All],2,FALSE)</f>
        <v>30</v>
      </c>
      <c r="D1229" s="139">
        <f>+SUMIFS(PROVEEDORES[Total],PROVEEDORES[PROVEEDOR],PROVEEDORES[[#This Row],[PROVEEDOR]],PROVEEDORES[FECHA DE PAGO],"")</f>
        <v>3130000</v>
      </c>
      <c r="E1229" s="140"/>
      <c r="F1229" s="138">
        <f>+VLOOKUP(PROVEEDORES[[#This Row],[PROVEEDOR]],
                       Terceros!$A:$F,
                       5,
                       FALSE)</f>
        <v>0</v>
      </c>
      <c r="G1229" s="127">
        <v>45330</v>
      </c>
      <c r="H1229" s="123" t="s">
        <v>472</v>
      </c>
      <c r="I1229" s="127">
        <v>45274</v>
      </c>
      <c r="J1229" s="124" t="s">
        <v>1323</v>
      </c>
      <c r="K1229" s="124" t="s">
        <v>1530</v>
      </c>
      <c r="L1229" s="124" t="s">
        <v>1395</v>
      </c>
      <c r="M1229" s="125">
        <v>2700000</v>
      </c>
      <c r="N1229" s="148">
        <v>0</v>
      </c>
      <c r="O1229" s="148">
        <v>0</v>
      </c>
      <c r="P1229" s="149">
        <v>0</v>
      </c>
      <c r="Q1229" s="148">
        <v>0</v>
      </c>
      <c r="R1229" s="150">
        <v>2700000</v>
      </c>
      <c r="S12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29" s="135">
        <f ca="1">+IF(PROVEEDORES[[#This Row],[FECHA DE PAGO]]=0,TODAY()-PROVEEDORES[[#This Row],[FECHA DE FACTURACIÓN]]-PROVEEDORES[[#This Row],[PLAZO Días]],0)</f>
        <v>0</v>
      </c>
      <c r="U1229" s="135">
        <f>+VLOOKUP(PROVEEDORES[[#This Row],[PROVEEDOR]],Terceros!$A:$D,4,FALSE)</f>
        <v>0</v>
      </c>
      <c r="V1229" s="135">
        <f>+YEAR(PROVEEDORES[[#This Row],[FECHA DE FACTURACIÓN]])</f>
        <v>2023</v>
      </c>
      <c r="W1229" s="135">
        <f>+MATCH(PROVEEDORES[[#This Row],[año facturado]],Retenciones!$1:$1,0)</f>
        <v>6</v>
      </c>
      <c r="X1229" s="136">
        <f>+VLOOKUP(PROVEEDORES[[#This Row],[ID RETENCION]],Retenciones!$A$1:$O$25,PROVEEDORES[[#This Row],[indicador de columna]],FALSE)</f>
        <v>0</v>
      </c>
      <c r="Y1229" s="137">
        <f>+VLOOKUP(PROVEEDORES[[#This Row],[ID RETENCION]],Retenciones!$A$1:$O$25,2,FALSE)</f>
        <v>0</v>
      </c>
      <c r="Z1229" s="126" t="b">
        <f>+OR(COUNTIF(PROVEEDORES[[#This Row],[PROVEEDOR]],"*"&amp;'Palabra que no opera y Listas d'!$A$2&amp;"*"))</f>
        <v>0</v>
      </c>
    </row>
    <row r="1230" spans="1:26" ht="27.75" customHeight="1" x14ac:dyDescent="0.25">
      <c r="A1230" s="141" t="str">
        <f>+IF(PROVEEDORES[[#This Row],[FECHA DE PAGO]]=PROVEEDORES[[#This Row],[FECHA DE FACTURACIÓN]],"DE CONTADO","CRÉDITO")</f>
        <v>CRÉDITO</v>
      </c>
      <c r="B1230" s="138" t="str">
        <f>+IF((PROVEEDORES[[#This Row],[FECHA DE PAGO]]-PROVEEDORES[[#This Row],[FECHA DE FACTURACIÓN]])&gt;PROVEEDORES[[#This Row],[PLAZO Días]],"PAGO VENCIDO")</f>
        <v>PAGO VENCIDO</v>
      </c>
      <c r="C1230" s="138">
        <f>+VLOOKUP(PROVEEDORES[[#This Row],[PROVEEDOR]],TERCEROS_INFO[#All],2,FALSE)</f>
        <v>30</v>
      </c>
      <c r="D1230" s="139">
        <f>+SUMIFS(PROVEEDORES[Total],PROVEEDORES[PROVEEDOR],PROVEEDORES[[#This Row],[PROVEEDOR]],PROVEEDORES[FECHA DE PAGO],"")</f>
        <v>0</v>
      </c>
      <c r="E1230" s="140"/>
      <c r="F1230" s="138">
        <f>+VLOOKUP(PROVEEDORES[[#This Row],[PROVEEDOR]],
                       Terceros!$A:$F,
                       5,
                       FALSE)</f>
        <v>0</v>
      </c>
      <c r="G1230" s="127">
        <v>45330</v>
      </c>
      <c r="H1230" s="123" t="s">
        <v>864</v>
      </c>
      <c r="I1230" s="127">
        <v>45287</v>
      </c>
      <c r="J1230" s="124" t="s">
        <v>1380</v>
      </c>
      <c r="K1230" s="124" t="s">
        <v>1530</v>
      </c>
      <c r="L1230" s="124" t="s">
        <v>1395</v>
      </c>
      <c r="M1230" s="125">
        <v>1110000</v>
      </c>
      <c r="N1230" s="148">
        <v>210900</v>
      </c>
      <c r="O1230" s="148">
        <v>0</v>
      </c>
      <c r="P1230" s="149">
        <v>0</v>
      </c>
      <c r="Q1230" s="148">
        <v>0</v>
      </c>
      <c r="R1230" s="150">
        <v>1320900</v>
      </c>
      <c r="S12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0" s="135">
        <f ca="1">+IF(PROVEEDORES[[#This Row],[FECHA DE PAGO]]=0,TODAY()-PROVEEDORES[[#This Row],[FECHA DE FACTURACIÓN]]-PROVEEDORES[[#This Row],[PLAZO Días]],0)</f>
        <v>0</v>
      </c>
      <c r="U1230" s="135" t="str">
        <f>+VLOOKUP(PROVEEDORES[[#This Row],[PROVEEDOR]],Terceros!$A:$D,4,FALSE)</f>
        <v>2,5% con base</v>
      </c>
      <c r="V1230" s="135">
        <f>+YEAR(PROVEEDORES[[#This Row],[FECHA DE FACTURACIÓN]])</f>
        <v>2023</v>
      </c>
      <c r="W1230" s="135">
        <f>+MATCH(PROVEEDORES[[#This Row],[año facturado]],Retenciones!$1:$1,0)</f>
        <v>6</v>
      </c>
      <c r="X1230" s="136">
        <f>+VLOOKUP(PROVEEDORES[[#This Row],[ID RETENCION]],Retenciones!$A$1:$O$25,PROVEEDORES[[#This Row],[indicador de columna]],FALSE)</f>
        <v>1145000</v>
      </c>
      <c r="Y1230" s="137">
        <f>+VLOOKUP(PROVEEDORES[[#This Row],[ID RETENCION]],Retenciones!$A$1:$O$25,2,FALSE)</f>
        <v>2.5000000000000001E-2</v>
      </c>
      <c r="Z1230" s="126" t="b">
        <f>+OR(COUNTIF(PROVEEDORES[[#This Row],[PROVEEDOR]],"*"&amp;'Palabra que no opera y Listas d'!$A$2&amp;"*"))</f>
        <v>0</v>
      </c>
    </row>
    <row r="1231" spans="1:26" ht="27.75" customHeight="1" x14ac:dyDescent="0.25">
      <c r="A1231" s="141" t="str">
        <f>+IF(PROVEEDORES[[#This Row],[FECHA DE PAGO]]=PROVEEDORES[[#This Row],[FECHA DE FACTURACIÓN]],"DE CONTADO","CRÉDITO")</f>
        <v>DE CONTADO</v>
      </c>
      <c r="B1231" s="138" t="b">
        <f>+IF((PROVEEDORES[[#This Row],[FECHA DE PAGO]]-PROVEEDORES[[#This Row],[FECHA DE FACTURACIÓN]])&gt;PROVEEDORES[[#This Row],[PLAZO Días]],"PAGO VENCIDO")</f>
        <v>0</v>
      </c>
      <c r="C1231" s="138">
        <f>+VLOOKUP(PROVEEDORES[[#This Row],[PROVEEDOR]],TERCEROS_INFO[#All],2,FALSE)</f>
        <v>30</v>
      </c>
      <c r="D1231" s="139">
        <f>+SUMIFS(PROVEEDORES[Total],PROVEEDORES[PROVEEDOR],PROVEEDORES[[#This Row],[PROVEEDOR]],PROVEEDORES[FECHA DE PAGO],"")</f>
        <v>3130000</v>
      </c>
      <c r="E1231" s="140"/>
      <c r="F1231" s="138">
        <f>+VLOOKUP(PROVEEDORES[[#This Row],[PROVEEDOR]],
                       Terceros!$A:$F,
                       5,
                       FALSE)</f>
        <v>0</v>
      </c>
      <c r="G1231" s="127">
        <v>45330</v>
      </c>
      <c r="H1231" s="123" t="s">
        <v>472</v>
      </c>
      <c r="I1231" s="127">
        <v>45330</v>
      </c>
      <c r="J1231" s="124" t="s">
        <v>1558</v>
      </c>
      <c r="K1231" s="124" t="s">
        <v>1530</v>
      </c>
      <c r="L1231" s="124" t="s">
        <v>1395</v>
      </c>
      <c r="M1231" s="125">
        <v>800000</v>
      </c>
      <c r="N1231" s="148">
        <v>0</v>
      </c>
      <c r="O1231" s="148">
        <v>0</v>
      </c>
      <c r="P1231" s="149">
        <v>0</v>
      </c>
      <c r="Q1231" s="148">
        <v>0</v>
      </c>
      <c r="R1231" s="150">
        <v>800000</v>
      </c>
      <c r="S12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1" s="135">
        <f ca="1">+IF(PROVEEDORES[[#This Row],[FECHA DE PAGO]]=0,TODAY()-PROVEEDORES[[#This Row],[FECHA DE FACTURACIÓN]]-PROVEEDORES[[#This Row],[PLAZO Días]],0)</f>
        <v>0</v>
      </c>
      <c r="U1231" s="135">
        <f>+VLOOKUP(PROVEEDORES[[#This Row],[PROVEEDOR]],Terceros!$A:$D,4,FALSE)</f>
        <v>0</v>
      </c>
      <c r="V1231" s="135">
        <f>+YEAR(PROVEEDORES[[#This Row],[FECHA DE FACTURACIÓN]])</f>
        <v>2024</v>
      </c>
      <c r="W1231" s="135">
        <f>+MATCH(PROVEEDORES[[#This Row],[año facturado]],Retenciones!$1:$1,0)</f>
        <v>7</v>
      </c>
      <c r="X1231" s="136">
        <f>+VLOOKUP(PROVEEDORES[[#This Row],[ID RETENCION]],Retenciones!$A$1:$O$25,PROVEEDORES[[#This Row],[indicador de columna]],FALSE)</f>
        <v>0</v>
      </c>
      <c r="Y1231" s="137">
        <f>+VLOOKUP(PROVEEDORES[[#This Row],[ID RETENCION]],Retenciones!$A$1:$O$25,2,FALSE)</f>
        <v>0</v>
      </c>
      <c r="Z1231" s="126" t="b">
        <f>+OR(COUNTIF(PROVEEDORES[[#This Row],[PROVEEDOR]],"*"&amp;'Palabra que no opera y Listas d'!$A$2&amp;"*"))</f>
        <v>0</v>
      </c>
    </row>
    <row r="1232" spans="1:26" ht="27.75" customHeight="1" x14ac:dyDescent="0.25">
      <c r="A1232" s="141" t="str">
        <f>+IF(PROVEEDORES[[#This Row],[FECHA DE PAGO]]=PROVEEDORES[[#This Row],[FECHA DE FACTURACIÓN]],"DE CONTADO","CRÉDITO")</f>
        <v>DE CONTADO</v>
      </c>
      <c r="B1232" s="138" t="b">
        <f>+IF((PROVEEDORES[[#This Row],[FECHA DE PAGO]]-PROVEEDORES[[#This Row],[FECHA DE FACTURACIÓN]])&gt;PROVEEDORES[[#This Row],[PLAZO Días]],"PAGO VENCIDO")</f>
        <v>0</v>
      </c>
      <c r="C1232" s="138">
        <f>+VLOOKUP(PROVEEDORES[[#This Row],[PROVEEDOR]],TERCEROS_INFO[#All],2,FALSE)</f>
        <v>30</v>
      </c>
      <c r="D1232" s="139">
        <f>+SUMIFS(PROVEEDORES[Total],PROVEEDORES[PROVEEDOR],PROVEEDORES[[#This Row],[PROVEEDOR]],PROVEEDORES[FECHA DE PAGO],"")</f>
        <v>0</v>
      </c>
      <c r="E1232" s="140"/>
      <c r="F1232" s="138" t="str">
        <f>+VLOOKUP(PROVEEDORES[[#This Row],[PROVEEDOR]],
                       Terceros!$A:$F,
                       5,
                       FALSE)</f>
        <v/>
      </c>
      <c r="G1232" s="127">
        <v>45331</v>
      </c>
      <c r="H1232" s="123" t="s">
        <v>1824</v>
      </c>
      <c r="I1232" s="127">
        <v>45331</v>
      </c>
      <c r="J1232" s="124"/>
      <c r="K1232" s="124" t="s">
        <v>1530</v>
      </c>
      <c r="L1232" s="124" t="s">
        <v>1395</v>
      </c>
      <c r="M1232" s="125">
        <v>1263000</v>
      </c>
      <c r="N1232" s="148">
        <v>0</v>
      </c>
      <c r="O1232" s="148">
        <v>0</v>
      </c>
      <c r="P1232" s="149">
        <v>0</v>
      </c>
      <c r="Q1232" s="148">
        <v>0</v>
      </c>
      <c r="R1232" s="150">
        <v>1263000</v>
      </c>
      <c r="S12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2" s="135">
        <f ca="1">+IF(PROVEEDORES[[#This Row],[FECHA DE PAGO]]=0,TODAY()-PROVEEDORES[[#This Row],[FECHA DE FACTURACIÓN]]-PROVEEDORES[[#This Row],[PLAZO Días]],0)</f>
        <v>0</v>
      </c>
      <c r="U1232" s="135">
        <f>+VLOOKUP(PROVEEDORES[[#This Row],[PROVEEDOR]],Terceros!$A:$D,4,FALSE)</f>
        <v>0</v>
      </c>
      <c r="V1232" s="135">
        <f>+YEAR(PROVEEDORES[[#This Row],[FECHA DE FACTURACIÓN]])</f>
        <v>2024</v>
      </c>
      <c r="W1232" s="135">
        <f>+MATCH(PROVEEDORES[[#This Row],[año facturado]],Retenciones!$1:$1,0)</f>
        <v>7</v>
      </c>
      <c r="X1232" s="136">
        <f>+VLOOKUP(PROVEEDORES[[#This Row],[ID RETENCION]],Retenciones!$A$1:$O$25,PROVEEDORES[[#This Row],[indicador de columna]],FALSE)</f>
        <v>0</v>
      </c>
      <c r="Y1232" s="137">
        <f>+VLOOKUP(PROVEEDORES[[#This Row],[ID RETENCION]],Retenciones!$A$1:$O$25,2,FALSE)</f>
        <v>0</v>
      </c>
      <c r="Z1232" s="126" t="b">
        <f>+OR(COUNTIF(PROVEEDORES[[#This Row],[PROVEEDOR]],"*"&amp;'Palabra que no opera y Listas d'!$A$2&amp;"*"))</f>
        <v>0</v>
      </c>
    </row>
    <row r="1233" spans="1:26" ht="27.75" customHeight="1" x14ac:dyDescent="0.25">
      <c r="A1233" s="141" t="str">
        <f>+IF(PROVEEDORES[[#This Row],[FECHA DE PAGO]]=PROVEEDORES[[#This Row],[FECHA DE FACTURACIÓN]],"DE CONTADO","CRÉDITO")</f>
        <v>DE CONTADO</v>
      </c>
      <c r="B1233" s="138" t="b">
        <f>+IF((PROVEEDORES[[#This Row],[FECHA DE PAGO]]-PROVEEDORES[[#This Row],[FECHA DE FACTURACIÓN]])&gt;PROVEEDORES[[#This Row],[PLAZO Días]],"PAGO VENCIDO")</f>
        <v>0</v>
      </c>
      <c r="C1233" s="138">
        <f>+VLOOKUP(PROVEEDORES[[#This Row],[PROVEEDOR]],TERCEROS_INFO[#All],2,FALSE)</f>
        <v>30</v>
      </c>
      <c r="D1233" s="139">
        <f>+SUMIFS(PROVEEDORES[Total],PROVEEDORES[PROVEEDOR],PROVEEDORES[[#This Row],[PROVEEDOR]],PROVEEDORES[FECHA DE PAGO],"")</f>
        <v>0</v>
      </c>
      <c r="E1233" s="140"/>
      <c r="F1233" s="138">
        <f>+VLOOKUP(PROVEEDORES[[#This Row],[PROVEEDOR]],
                       Terceros!$A:$F,
                       5,
                       FALSE)</f>
        <v>0</v>
      </c>
      <c r="G1233" s="127">
        <v>45331</v>
      </c>
      <c r="H1233" s="123" t="s">
        <v>387</v>
      </c>
      <c r="I1233" s="127">
        <v>45331</v>
      </c>
      <c r="J1233" s="124" t="s">
        <v>173</v>
      </c>
      <c r="K1233" s="124" t="s">
        <v>1530</v>
      </c>
      <c r="L1233" s="124" t="s">
        <v>1534</v>
      </c>
      <c r="M1233" s="125">
        <v>411454</v>
      </c>
      <c r="N1233" s="148">
        <v>0</v>
      </c>
      <c r="O1233" s="148">
        <v>0</v>
      </c>
      <c r="P1233" s="149">
        <v>0</v>
      </c>
      <c r="Q1233" s="148">
        <v>0</v>
      </c>
      <c r="R1233" s="150">
        <v>411454</v>
      </c>
      <c r="S12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3" s="135">
        <f ca="1">+IF(PROVEEDORES[[#This Row],[FECHA DE PAGO]]=0,TODAY()-PROVEEDORES[[#This Row],[FECHA DE FACTURACIÓN]]-PROVEEDORES[[#This Row],[PLAZO Días]],0)</f>
        <v>0</v>
      </c>
      <c r="U1233" s="135">
        <f>+VLOOKUP(PROVEEDORES[[#This Row],[PROVEEDOR]],Terceros!$A:$D,4,FALSE)</f>
        <v>0</v>
      </c>
      <c r="V1233" s="135">
        <f>+YEAR(PROVEEDORES[[#This Row],[FECHA DE FACTURACIÓN]])</f>
        <v>2024</v>
      </c>
      <c r="W1233" s="135">
        <f>+MATCH(PROVEEDORES[[#This Row],[año facturado]],Retenciones!$1:$1,0)</f>
        <v>7</v>
      </c>
      <c r="X1233" s="136">
        <f>+VLOOKUP(PROVEEDORES[[#This Row],[ID RETENCION]],Retenciones!$A$1:$O$25,PROVEEDORES[[#This Row],[indicador de columna]],FALSE)</f>
        <v>0</v>
      </c>
      <c r="Y1233" s="137">
        <f>+VLOOKUP(PROVEEDORES[[#This Row],[ID RETENCION]],Retenciones!$A$1:$O$25,2,FALSE)</f>
        <v>0</v>
      </c>
      <c r="Z1233" s="126" t="b">
        <f>+OR(COUNTIF(PROVEEDORES[[#This Row],[PROVEEDOR]],"*"&amp;'Palabra que no opera y Listas d'!$A$2&amp;"*"))</f>
        <v>1</v>
      </c>
    </row>
    <row r="1234" spans="1:26" ht="27.75" customHeight="1" x14ac:dyDescent="0.25">
      <c r="A1234" s="141" t="str">
        <f>+IF(PROVEEDORES[[#This Row],[FECHA DE PAGO]]=PROVEEDORES[[#This Row],[FECHA DE FACTURACIÓN]],"DE CONTADO","CRÉDITO")</f>
        <v>DE CONTADO</v>
      </c>
      <c r="B1234" s="138" t="b">
        <f>+IF((PROVEEDORES[[#This Row],[FECHA DE PAGO]]-PROVEEDORES[[#This Row],[FECHA DE FACTURACIÓN]])&gt;PROVEEDORES[[#This Row],[PLAZO Días]],"PAGO VENCIDO")</f>
        <v>0</v>
      </c>
      <c r="C1234" s="138">
        <f>+VLOOKUP(PROVEEDORES[[#This Row],[PROVEEDOR]],TERCEROS_INFO[#All],2,FALSE)</f>
        <v>30</v>
      </c>
      <c r="D1234" s="139">
        <f>+SUMIFS(PROVEEDORES[Total],PROVEEDORES[PROVEEDOR],PROVEEDORES[[#This Row],[PROVEEDOR]],PROVEEDORES[FECHA DE PAGO],"")</f>
        <v>1350000</v>
      </c>
      <c r="E1234" s="140"/>
      <c r="F1234" s="138" t="str">
        <f>+VLOOKUP(PROVEEDORES[[#This Row],[PROVEEDOR]],
                       Terceros!$A:$F,
                       5,
                       FALSE)</f>
        <v/>
      </c>
      <c r="G1234" s="127">
        <v>45332</v>
      </c>
      <c r="H1234" s="123" t="s">
        <v>1807</v>
      </c>
      <c r="I1234" s="127">
        <v>45332</v>
      </c>
      <c r="J1234" s="124" t="s">
        <v>1557</v>
      </c>
      <c r="K1234" s="124" t="s">
        <v>1530</v>
      </c>
      <c r="L1234" s="124" t="s">
        <v>1395</v>
      </c>
      <c r="M1234" s="125">
        <v>820000</v>
      </c>
      <c r="N1234" s="148">
        <v>0</v>
      </c>
      <c r="O1234" s="148">
        <v>0</v>
      </c>
      <c r="P1234" s="149">
        <v>0</v>
      </c>
      <c r="Q1234" s="148">
        <v>0</v>
      </c>
      <c r="R1234" s="150">
        <v>820000</v>
      </c>
      <c r="S12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4" s="135">
        <f ca="1">+IF(PROVEEDORES[[#This Row],[FECHA DE PAGO]]=0,TODAY()-PROVEEDORES[[#This Row],[FECHA DE FACTURACIÓN]]-PROVEEDORES[[#This Row],[PLAZO Días]],0)</f>
        <v>0</v>
      </c>
      <c r="U1234" s="135">
        <f>+VLOOKUP(PROVEEDORES[[#This Row],[PROVEEDOR]],Terceros!$A:$D,4,FALSE)</f>
        <v>0</v>
      </c>
      <c r="V1234" s="135">
        <f>+YEAR(PROVEEDORES[[#This Row],[FECHA DE FACTURACIÓN]])</f>
        <v>2024</v>
      </c>
      <c r="W1234" s="135">
        <f>+MATCH(PROVEEDORES[[#This Row],[año facturado]],Retenciones!$1:$1,0)</f>
        <v>7</v>
      </c>
      <c r="X1234" s="136">
        <f>+VLOOKUP(PROVEEDORES[[#This Row],[ID RETENCION]],Retenciones!$A$1:$O$25,PROVEEDORES[[#This Row],[indicador de columna]],FALSE)</f>
        <v>0</v>
      </c>
      <c r="Y1234" s="137">
        <f>+VLOOKUP(PROVEEDORES[[#This Row],[ID RETENCION]],Retenciones!$A$1:$O$25,2,FALSE)</f>
        <v>0</v>
      </c>
      <c r="Z1234" s="126" t="b">
        <f>+OR(COUNTIF(PROVEEDORES[[#This Row],[PROVEEDOR]],"*"&amp;'Palabra que no opera y Listas d'!$A$2&amp;"*"))</f>
        <v>0</v>
      </c>
    </row>
    <row r="1235" spans="1:26" ht="27.75" customHeight="1" x14ac:dyDescent="0.25">
      <c r="A1235" s="141" t="str">
        <f>+IF(PROVEEDORES[[#This Row],[FECHA DE PAGO]]=PROVEEDORES[[#This Row],[FECHA DE FACTURACIÓN]],"DE CONTADO","CRÉDITO")</f>
        <v>CRÉDITO</v>
      </c>
      <c r="B1235" s="138" t="str">
        <f>+IF((PROVEEDORES[[#This Row],[FECHA DE PAGO]]-PROVEEDORES[[#This Row],[FECHA DE FACTURACIÓN]])&gt;PROVEEDORES[[#This Row],[PLAZO Días]],"PAGO VENCIDO")</f>
        <v>PAGO VENCIDO</v>
      </c>
      <c r="C1235" s="138">
        <f>+VLOOKUP(PROVEEDORES[[#This Row],[PROVEEDOR]],TERCEROS_INFO[#All],2,FALSE)</f>
        <v>30</v>
      </c>
      <c r="D1235" s="139">
        <f>+SUMIFS(PROVEEDORES[Total],PROVEEDORES[PROVEEDOR],PROVEEDORES[[#This Row],[PROVEEDOR]],PROVEEDORES[FECHA DE PAGO],"")</f>
        <v>2095000</v>
      </c>
      <c r="E1235" s="140"/>
      <c r="F1235" s="13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235" s="127">
        <v>45334</v>
      </c>
      <c r="H1235" s="123" t="s">
        <v>1804</v>
      </c>
      <c r="I1235" s="127">
        <v>45302</v>
      </c>
      <c r="J1235" s="124" t="s">
        <v>1432</v>
      </c>
      <c r="K1235" s="124" t="s">
        <v>1530</v>
      </c>
      <c r="L1235" s="124" t="s">
        <v>1395</v>
      </c>
      <c r="M1235" s="125">
        <v>4202500</v>
      </c>
      <c r="N1235" s="148">
        <v>0</v>
      </c>
      <c r="O1235" s="148">
        <v>0</v>
      </c>
      <c r="P1235" s="149">
        <v>0</v>
      </c>
      <c r="Q1235" s="148">
        <v>0</v>
      </c>
      <c r="R1235" s="150">
        <v>4202500</v>
      </c>
      <c r="S12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5" s="135">
        <f ca="1">+IF(PROVEEDORES[[#This Row],[FECHA DE PAGO]]=0,TODAY()-PROVEEDORES[[#This Row],[FECHA DE FACTURACIÓN]]-PROVEEDORES[[#This Row],[PLAZO Días]],0)</f>
        <v>0</v>
      </c>
      <c r="U1235" s="135">
        <f>+VLOOKUP(PROVEEDORES[[#This Row],[PROVEEDOR]],Terceros!$A:$D,4,FALSE)</f>
        <v>0</v>
      </c>
      <c r="V1235" s="135">
        <f>+YEAR(PROVEEDORES[[#This Row],[FECHA DE FACTURACIÓN]])</f>
        <v>2024</v>
      </c>
      <c r="W1235" s="135">
        <f>+MATCH(PROVEEDORES[[#This Row],[año facturado]],Retenciones!$1:$1,0)</f>
        <v>7</v>
      </c>
      <c r="X1235" s="136">
        <f>+VLOOKUP(PROVEEDORES[[#This Row],[ID RETENCION]],Retenciones!$A$1:$O$25,PROVEEDORES[[#This Row],[indicador de columna]],FALSE)</f>
        <v>0</v>
      </c>
      <c r="Y1235" s="137">
        <f>+VLOOKUP(PROVEEDORES[[#This Row],[ID RETENCION]],Retenciones!$A$1:$O$25,2,FALSE)</f>
        <v>0</v>
      </c>
      <c r="Z1235" s="126" t="b">
        <f>+OR(COUNTIF(PROVEEDORES[[#This Row],[PROVEEDOR]],"*"&amp;'Palabra que no opera y Listas d'!$A$2&amp;"*"))</f>
        <v>0</v>
      </c>
    </row>
    <row r="1236" spans="1:26" ht="27.75" customHeight="1" x14ac:dyDescent="0.25">
      <c r="A1236" s="141" t="str">
        <f>+IF(PROVEEDORES[[#This Row],[FECHA DE PAGO]]=PROVEEDORES[[#This Row],[FECHA DE FACTURACIÓN]],"DE CONTADO","CRÉDITO")</f>
        <v>DE CONTADO</v>
      </c>
      <c r="B1236" s="138" t="b">
        <f>+IF((PROVEEDORES[[#This Row],[FECHA DE PAGO]]-PROVEEDORES[[#This Row],[FECHA DE FACTURACIÓN]])&gt;PROVEEDORES[[#This Row],[PLAZO Días]],"PAGO VENCIDO")</f>
        <v>0</v>
      </c>
      <c r="C1236" s="138">
        <f>+VLOOKUP(PROVEEDORES[[#This Row],[PROVEEDOR]],TERCEROS_INFO[#All],2,FALSE)</f>
        <v>30</v>
      </c>
      <c r="D1236" s="139">
        <f>+SUMIFS(PROVEEDORES[Total],PROVEEDORES[PROVEEDOR],PROVEEDORES[[#This Row],[PROVEEDOR]],PROVEEDORES[FECHA DE PAGO],"")</f>
        <v>1350000</v>
      </c>
      <c r="E1236" s="140"/>
      <c r="F1236" s="138" t="str">
        <f>+VLOOKUP(PROVEEDORES[[#This Row],[PROVEEDOR]],
                       Terceros!$A:$F,
                       5,
                       FALSE)</f>
        <v/>
      </c>
      <c r="G1236" s="127">
        <v>45334</v>
      </c>
      <c r="H1236" s="123" t="s">
        <v>1807</v>
      </c>
      <c r="I1236" s="127">
        <v>45334</v>
      </c>
      <c r="J1236" s="124" t="s">
        <v>1671</v>
      </c>
      <c r="K1236" s="124" t="s">
        <v>1530</v>
      </c>
      <c r="L1236" s="124" t="s">
        <v>1395</v>
      </c>
      <c r="M1236" s="125">
        <v>500000</v>
      </c>
      <c r="N1236" s="148">
        <v>0</v>
      </c>
      <c r="O1236" s="148">
        <v>0</v>
      </c>
      <c r="P1236" s="149">
        <v>0</v>
      </c>
      <c r="Q1236" s="148">
        <v>0</v>
      </c>
      <c r="R1236" s="150">
        <v>500000</v>
      </c>
      <c r="S12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6" s="135">
        <f ca="1">+IF(PROVEEDORES[[#This Row],[FECHA DE PAGO]]=0,TODAY()-PROVEEDORES[[#This Row],[FECHA DE FACTURACIÓN]]-PROVEEDORES[[#This Row],[PLAZO Días]],0)</f>
        <v>0</v>
      </c>
      <c r="U1236" s="135">
        <f>+VLOOKUP(PROVEEDORES[[#This Row],[PROVEEDOR]],Terceros!$A:$D,4,FALSE)</f>
        <v>0</v>
      </c>
      <c r="V1236" s="135">
        <f>+YEAR(PROVEEDORES[[#This Row],[FECHA DE FACTURACIÓN]])</f>
        <v>2024</v>
      </c>
      <c r="W1236" s="135">
        <f>+MATCH(PROVEEDORES[[#This Row],[año facturado]],Retenciones!$1:$1,0)</f>
        <v>7</v>
      </c>
      <c r="X1236" s="136">
        <f>+VLOOKUP(PROVEEDORES[[#This Row],[ID RETENCION]],Retenciones!$A$1:$O$25,PROVEEDORES[[#This Row],[indicador de columna]],FALSE)</f>
        <v>0</v>
      </c>
      <c r="Y1236" s="137">
        <f>+VLOOKUP(PROVEEDORES[[#This Row],[ID RETENCION]],Retenciones!$A$1:$O$25,2,FALSE)</f>
        <v>0</v>
      </c>
      <c r="Z1236" s="126" t="b">
        <f>+OR(COUNTIF(PROVEEDORES[[#This Row],[PROVEEDOR]],"*"&amp;'Palabra que no opera y Listas d'!$A$2&amp;"*"))</f>
        <v>0</v>
      </c>
    </row>
    <row r="1237" spans="1:26" ht="27.75" customHeight="1" x14ac:dyDescent="0.25">
      <c r="A1237" s="141" t="str">
        <f>+IF(PROVEEDORES[[#This Row],[FECHA DE PAGO]]=PROVEEDORES[[#This Row],[FECHA DE FACTURACIÓN]],"DE CONTADO","CRÉDITO")</f>
        <v>DE CONTADO</v>
      </c>
      <c r="B1237" s="138" t="b">
        <f>+IF((PROVEEDORES[[#This Row],[FECHA DE PAGO]]-PROVEEDORES[[#This Row],[FECHA DE FACTURACIÓN]])&gt;PROVEEDORES[[#This Row],[PLAZO Días]],"PAGO VENCIDO")</f>
        <v>0</v>
      </c>
      <c r="C1237" s="138">
        <f>+VLOOKUP(PROVEEDORES[[#This Row],[PROVEEDOR]],TERCEROS_INFO[#All],2,FALSE)</f>
        <v>30</v>
      </c>
      <c r="D1237" s="139">
        <f>+SUMIFS(PROVEEDORES[Total],PROVEEDORES[PROVEEDOR],PROVEEDORES[[#This Row],[PROVEEDOR]],PROVEEDORES[FECHA DE PAGO],"")</f>
        <v>1350000</v>
      </c>
      <c r="E1237" s="140"/>
      <c r="F1237" s="138" t="str">
        <f>+VLOOKUP(PROVEEDORES[[#This Row],[PROVEEDOR]],
                       Terceros!$A:$F,
                       5,
                       FALSE)</f>
        <v/>
      </c>
      <c r="G1237" s="127">
        <v>45334</v>
      </c>
      <c r="H1237" s="123" t="s">
        <v>1807</v>
      </c>
      <c r="I1237" s="127">
        <v>45334</v>
      </c>
      <c r="J1237" s="124" t="s">
        <v>1670</v>
      </c>
      <c r="K1237" s="124" t="s">
        <v>1530</v>
      </c>
      <c r="L1237" s="124" t="s">
        <v>1395</v>
      </c>
      <c r="M1237" s="125">
        <v>1100000</v>
      </c>
      <c r="N1237" s="148">
        <v>0</v>
      </c>
      <c r="O1237" s="148">
        <v>0</v>
      </c>
      <c r="P1237" s="149">
        <v>0</v>
      </c>
      <c r="Q1237" s="148">
        <v>0</v>
      </c>
      <c r="R1237" s="150">
        <v>1100000</v>
      </c>
      <c r="S12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7" s="135">
        <f ca="1">+IF(PROVEEDORES[[#This Row],[FECHA DE PAGO]]=0,TODAY()-PROVEEDORES[[#This Row],[FECHA DE FACTURACIÓN]]-PROVEEDORES[[#This Row],[PLAZO Días]],0)</f>
        <v>0</v>
      </c>
      <c r="U1237" s="135">
        <f>+VLOOKUP(PROVEEDORES[[#This Row],[PROVEEDOR]],Terceros!$A:$D,4,FALSE)</f>
        <v>0</v>
      </c>
      <c r="V1237" s="135">
        <f>+YEAR(PROVEEDORES[[#This Row],[FECHA DE FACTURACIÓN]])</f>
        <v>2024</v>
      </c>
      <c r="W1237" s="135">
        <f>+MATCH(PROVEEDORES[[#This Row],[año facturado]],Retenciones!$1:$1,0)</f>
        <v>7</v>
      </c>
      <c r="X1237" s="136">
        <f>+VLOOKUP(PROVEEDORES[[#This Row],[ID RETENCION]],Retenciones!$A$1:$O$25,PROVEEDORES[[#This Row],[indicador de columna]],FALSE)</f>
        <v>0</v>
      </c>
      <c r="Y1237" s="137">
        <f>+VLOOKUP(PROVEEDORES[[#This Row],[ID RETENCION]],Retenciones!$A$1:$O$25,2,FALSE)</f>
        <v>0</v>
      </c>
      <c r="Z1237" s="126" t="b">
        <f>+OR(COUNTIF(PROVEEDORES[[#This Row],[PROVEEDOR]],"*"&amp;'Palabra que no opera y Listas d'!$A$2&amp;"*"))</f>
        <v>0</v>
      </c>
    </row>
    <row r="1238" spans="1:26" ht="27.75" customHeight="1" x14ac:dyDescent="0.25">
      <c r="A1238" s="141" t="str">
        <f>+IF(PROVEEDORES[[#This Row],[FECHA DE PAGO]]=PROVEEDORES[[#This Row],[FECHA DE FACTURACIÓN]],"DE CONTADO","CRÉDITO")</f>
        <v>CRÉDITO</v>
      </c>
      <c r="B1238" s="138" t="str">
        <f>+IF((PROVEEDORES[[#This Row],[FECHA DE PAGO]]-PROVEEDORES[[#This Row],[FECHA DE FACTURACIÓN]])&gt;PROVEEDORES[[#This Row],[PLAZO Días]],"PAGO VENCIDO")</f>
        <v>PAGO VENCIDO</v>
      </c>
      <c r="C1238" s="138">
        <f>+VLOOKUP(PROVEEDORES[[#This Row],[PROVEEDOR]],TERCEROS_INFO[#All],2,FALSE)</f>
        <v>30</v>
      </c>
      <c r="D1238" s="139">
        <f>+SUMIFS(PROVEEDORES[Total],PROVEEDORES[PROVEEDOR],PROVEEDORES[[#This Row],[PROVEEDOR]],PROVEEDORES[FECHA DE PAGO],"")</f>
        <v>2080356.81</v>
      </c>
      <c r="E1238" s="140"/>
      <c r="F1238" s="13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238" s="127">
        <v>45335</v>
      </c>
      <c r="H1238" s="123" t="s">
        <v>31</v>
      </c>
      <c r="I1238" s="127">
        <v>45254</v>
      </c>
      <c r="J1238" s="124" t="s">
        <v>1254</v>
      </c>
      <c r="K1238" s="124" t="s">
        <v>1530</v>
      </c>
      <c r="L1238" s="124" t="s">
        <v>1533</v>
      </c>
      <c r="M1238" s="125">
        <v>-117311</v>
      </c>
      <c r="N1238" s="148">
        <v>-22289.09</v>
      </c>
      <c r="O1238" s="148">
        <v>0</v>
      </c>
      <c r="P1238" s="149">
        <v>0</v>
      </c>
      <c r="Q1238" s="148">
        <v>0</v>
      </c>
      <c r="R1238" s="150">
        <v>-139600.09</v>
      </c>
      <c r="S12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8" s="135">
        <f ca="1">+IF(PROVEEDORES[[#This Row],[FECHA DE PAGO]]=0,TODAY()-PROVEEDORES[[#This Row],[FECHA DE FACTURACIÓN]]-PROVEEDORES[[#This Row],[PLAZO Días]],0)</f>
        <v>0</v>
      </c>
      <c r="U1238" s="135" t="str">
        <f>+VLOOKUP(PROVEEDORES[[#This Row],[PROVEEDOR]],Terceros!$A:$D,4,FALSE)</f>
        <v>2,5% con base</v>
      </c>
      <c r="V1238" s="135">
        <f>+YEAR(PROVEEDORES[[#This Row],[FECHA DE FACTURACIÓN]])</f>
        <v>2023</v>
      </c>
      <c r="W1238" s="135">
        <f>+MATCH(PROVEEDORES[[#This Row],[año facturado]],Retenciones!$1:$1,0)</f>
        <v>6</v>
      </c>
      <c r="X1238" s="136">
        <f>+VLOOKUP(PROVEEDORES[[#This Row],[ID RETENCION]],Retenciones!$A$1:$O$25,PROVEEDORES[[#This Row],[indicador de columna]],FALSE)</f>
        <v>1145000</v>
      </c>
      <c r="Y1238" s="137">
        <f>+VLOOKUP(PROVEEDORES[[#This Row],[ID RETENCION]],Retenciones!$A$1:$O$25,2,FALSE)</f>
        <v>2.5000000000000001E-2</v>
      </c>
      <c r="Z1238" s="126" t="b">
        <f>+OR(COUNTIF(PROVEEDORES[[#This Row],[PROVEEDOR]],"*"&amp;'Palabra que no opera y Listas d'!$A$2&amp;"*"))</f>
        <v>0</v>
      </c>
    </row>
    <row r="1239" spans="1:26" ht="27.75" customHeight="1" x14ac:dyDescent="0.25">
      <c r="A1239" s="141" t="str">
        <f>+IF(PROVEEDORES[[#This Row],[FECHA DE PAGO]]=PROVEEDORES[[#This Row],[FECHA DE FACTURACIÓN]],"DE CONTADO","CRÉDITO")</f>
        <v>CRÉDITO</v>
      </c>
      <c r="B1239" s="138" t="str">
        <f>+IF((PROVEEDORES[[#This Row],[FECHA DE PAGO]]-PROVEEDORES[[#This Row],[FECHA DE FACTURACIÓN]])&gt;PROVEEDORES[[#This Row],[PLAZO Días]],"PAGO VENCIDO")</f>
        <v>PAGO VENCIDO</v>
      </c>
      <c r="C1239" s="138">
        <f>+VLOOKUP(PROVEEDORES[[#This Row],[PROVEEDOR]],TERCEROS_INFO[#All],2,FALSE)</f>
        <v>45</v>
      </c>
      <c r="D1239" s="139">
        <f>+SUMIFS(PROVEEDORES[Total],PROVEEDORES[PROVEEDOR],PROVEEDORES[[#This Row],[PROVEEDOR]],PROVEEDORES[FECHA DE PAGO],"")</f>
        <v>2446500</v>
      </c>
      <c r="E1239" s="140"/>
      <c r="F1239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39" s="127">
        <v>45335</v>
      </c>
      <c r="H1239" s="123" t="s">
        <v>10</v>
      </c>
      <c r="I1239" s="127">
        <v>45266</v>
      </c>
      <c r="J1239" s="124" t="s">
        <v>1335</v>
      </c>
      <c r="K1239" s="124" t="s">
        <v>1530</v>
      </c>
      <c r="L1239" s="124" t="s">
        <v>1533</v>
      </c>
      <c r="M1239" s="125">
        <v>4200000</v>
      </c>
      <c r="N1239" s="148">
        <v>798000</v>
      </c>
      <c r="O1239" s="148">
        <v>0</v>
      </c>
      <c r="P1239" s="149">
        <v>2.5000000000000001E-2</v>
      </c>
      <c r="Q1239" s="148">
        <v>105000</v>
      </c>
      <c r="R1239" s="150">
        <v>4893000</v>
      </c>
      <c r="S12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39" s="135">
        <f ca="1">+IF(PROVEEDORES[[#This Row],[FECHA DE PAGO]]=0,TODAY()-PROVEEDORES[[#This Row],[FECHA DE FACTURACIÓN]]-PROVEEDORES[[#This Row],[PLAZO Días]],0)</f>
        <v>0</v>
      </c>
      <c r="U1239" s="135" t="str">
        <f>+VLOOKUP(PROVEEDORES[[#This Row],[PROVEEDOR]],Terceros!$A:$D,4,FALSE)</f>
        <v>2,5% con base</v>
      </c>
      <c r="V1239" s="135">
        <f>+YEAR(PROVEEDORES[[#This Row],[FECHA DE FACTURACIÓN]])</f>
        <v>2023</v>
      </c>
      <c r="W1239" s="135">
        <f>+MATCH(PROVEEDORES[[#This Row],[año facturado]],Retenciones!$1:$1,0)</f>
        <v>6</v>
      </c>
      <c r="X1239" s="136">
        <f>+VLOOKUP(PROVEEDORES[[#This Row],[ID RETENCION]],Retenciones!$A$1:$O$25,PROVEEDORES[[#This Row],[indicador de columna]],FALSE)</f>
        <v>1145000</v>
      </c>
      <c r="Y1239" s="137">
        <f>+VLOOKUP(PROVEEDORES[[#This Row],[ID RETENCION]],Retenciones!$A$1:$O$25,2,FALSE)</f>
        <v>2.5000000000000001E-2</v>
      </c>
      <c r="Z1239" s="126" t="b">
        <f>+OR(COUNTIF(PROVEEDORES[[#This Row],[PROVEEDOR]],"*"&amp;'Palabra que no opera y Listas d'!$A$2&amp;"*"))</f>
        <v>0</v>
      </c>
    </row>
    <row r="1240" spans="1:26" ht="27.75" customHeight="1" x14ac:dyDescent="0.25">
      <c r="A1240" s="141" t="str">
        <f>+IF(PROVEEDORES[[#This Row],[FECHA DE PAGO]]=PROVEEDORES[[#This Row],[FECHA DE FACTURACIÓN]],"DE CONTADO","CRÉDITO")</f>
        <v>CRÉDITO</v>
      </c>
      <c r="B1240" s="138" t="str">
        <f>+IF((PROVEEDORES[[#This Row],[FECHA DE PAGO]]-PROVEEDORES[[#This Row],[FECHA DE FACTURACIÓN]])&gt;PROVEEDORES[[#This Row],[PLAZO Días]],"PAGO VENCIDO")</f>
        <v>PAGO VENCIDO</v>
      </c>
      <c r="C1240" s="138">
        <f>+VLOOKUP(PROVEEDORES[[#This Row],[PROVEEDOR]],TERCEROS_INFO[#All],2,FALSE)</f>
        <v>45</v>
      </c>
      <c r="D1240" s="139">
        <f>+SUMIFS(PROVEEDORES[Total],PROVEEDORES[PROVEEDOR],PROVEEDORES[[#This Row],[PROVEEDOR]],PROVEEDORES[FECHA DE PAGO],"")</f>
        <v>2446500</v>
      </c>
      <c r="E1240" s="140"/>
      <c r="F1240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240" s="127">
        <v>45335</v>
      </c>
      <c r="H1240" s="123" t="s">
        <v>10</v>
      </c>
      <c r="I1240" s="127">
        <v>45287</v>
      </c>
      <c r="J1240" s="124" t="s">
        <v>1375</v>
      </c>
      <c r="K1240" s="124" t="s">
        <v>1530</v>
      </c>
      <c r="L1240" s="124" t="s">
        <v>1533</v>
      </c>
      <c r="M1240" s="125">
        <v>2584000</v>
      </c>
      <c r="N1240" s="148">
        <v>490960</v>
      </c>
      <c r="O1240" s="148">
        <v>0</v>
      </c>
      <c r="P1240" s="149">
        <v>2.5000000000000001E-2</v>
      </c>
      <c r="Q1240" s="148">
        <v>64600</v>
      </c>
      <c r="R1240" s="150">
        <v>3010360</v>
      </c>
      <c r="S12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0" s="135">
        <f ca="1">+IF(PROVEEDORES[[#This Row],[FECHA DE PAGO]]=0,TODAY()-PROVEEDORES[[#This Row],[FECHA DE FACTURACIÓN]]-PROVEEDORES[[#This Row],[PLAZO Días]],0)</f>
        <v>0</v>
      </c>
      <c r="U1240" s="135" t="str">
        <f>+VLOOKUP(PROVEEDORES[[#This Row],[PROVEEDOR]],Terceros!$A:$D,4,FALSE)</f>
        <v>2,5% con base</v>
      </c>
      <c r="V1240" s="135">
        <f>+YEAR(PROVEEDORES[[#This Row],[FECHA DE FACTURACIÓN]])</f>
        <v>2023</v>
      </c>
      <c r="W1240" s="135">
        <f>+MATCH(PROVEEDORES[[#This Row],[año facturado]],Retenciones!$1:$1,0)</f>
        <v>6</v>
      </c>
      <c r="X1240" s="136">
        <f>+VLOOKUP(PROVEEDORES[[#This Row],[ID RETENCION]],Retenciones!$A$1:$O$25,PROVEEDORES[[#This Row],[indicador de columna]],FALSE)</f>
        <v>1145000</v>
      </c>
      <c r="Y1240" s="137">
        <f>+VLOOKUP(PROVEEDORES[[#This Row],[ID RETENCION]],Retenciones!$A$1:$O$25,2,FALSE)</f>
        <v>2.5000000000000001E-2</v>
      </c>
      <c r="Z1240" s="126" t="b">
        <f>+OR(COUNTIF(PROVEEDORES[[#This Row],[PROVEEDOR]],"*"&amp;'Palabra que no opera y Listas d'!$A$2&amp;"*"))</f>
        <v>0</v>
      </c>
    </row>
    <row r="1241" spans="1:26" ht="27.75" customHeight="1" x14ac:dyDescent="0.25">
      <c r="A1241" s="141" t="str">
        <f>+IF(PROVEEDORES[[#This Row],[FECHA DE PAGO]]=PROVEEDORES[[#This Row],[FECHA DE FACTURACIÓN]],"DE CONTADO","CRÉDITO")</f>
        <v>CRÉDITO</v>
      </c>
      <c r="B1241" s="138" t="str">
        <f>+IF((PROVEEDORES[[#This Row],[FECHA DE PAGO]]-PROVEEDORES[[#This Row],[FECHA DE FACTURACIÓN]])&gt;PROVEEDORES[[#This Row],[PLAZO Días]],"PAGO VENCIDO")</f>
        <v>PAGO VENCIDO</v>
      </c>
      <c r="C1241" s="138">
        <f>+VLOOKUP(PROVEEDORES[[#This Row],[PROVEEDOR]],TERCEROS_INFO[#All],2,FALSE)</f>
        <v>30</v>
      </c>
      <c r="D1241" s="139">
        <f>+SUMIFS(PROVEEDORES[Total],PROVEEDORES[PROVEEDOR],PROVEEDORES[[#This Row],[PROVEEDOR]],PROVEEDORES[FECHA DE PAGO],"")</f>
        <v>2080356.81</v>
      </c>
      <c r="E1241" s="140"/>
      <c r="F1241" s="13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241" s="127">
        <v>45335</v>
      </c>
      <c r="H1241" s="123" t="s">
        <v>31</v>
      </c>
      <c r="I1241" s="127">
        <v>45294</v>
      </c>
      <c r="J1241" s="124" t="s">
        <v>1435</v>
      </c>
      <c r="K1241" s="124" t="s">
        <v>1530</v>
      </c>
      <c r="L1241" s="124" t="s">
        <v>1533</v>
      </c>
      <c r="M1241" s="125">
        <v>3069747.4</v>
      </c>
      <c r="N1241" s="148">
        <v>583252.00599999994</v>
      </c>
      <c r="O1241" s="148">
        <v>0</v>
      </c>
      <c r="P1241" s="149">
        <v>2.5000000000000001E-2</v>
      </c>
      <c r="Q1241" s="148">
        <v>76743.684999999998</v>
      </c>
      <c r="R1241" s="150">
        <v>3576255.7209999999</v>
      </c>
      <c r="S12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1" s="135">
        <f ca="1">+IF(PROVEEDORES[[#This Row],[FECHA DE PAGO]]=0,TODAY()-PROVEEDORES[[#This Row],[FECHA DE FACTURACIÓN]]-PROVEEDORES[[#This Row],[PLAZO Días]],0)</f>
        <v>0</v>
      </c>
      <c r="U1241" s="135" t="str">
        <f>+VLOOKUP(PROVEEDORES[[#This Row],[PROVEEDOR]],Terceros!$A:$D,4,FALSE)</f>
        <v>2,5% con base</v>
      </c>
      <c r="V1241" s="135">
        <f>+YEAR(PROVEEDORES[[#This Row],[FECHA DE FACTURACIÓN]])</f>
        <v>2024</v>
      </c>
      <c r="W1241" s="135">
        <f>+MATCH(PROVEEDORES[[#This Row],[año facturado]],Retenciones!$1:$1,0)</f>
        <v>7</v>
      </c>
      <c r="X1241" s="136">
        <f>+VLOOKUP(PROVEEDORES[[#This Row],[ID RETENCION]],Retenciones!$A$1:$O$25,PROVEEDORES[[#This Row],[indicador de columna]],FALSE)</f>
        <v>1271000</v>
      </c>
      <c r="Y1241" s="137">
        <f>+VLOOKUP(PROVEEDORES[[#This Row],[ID RETENCION]],Retenciones!$A$1:$O$25,2,FALSE)</f>
        <v>2.5000000000000001E-2</v>
      </c>
      <c r="Z1241" s="126" t="b">
        <f>+OR(COUNTIF(PROVEEDORES[[#This Row],[PROVEEDOR]],"*"&amp;'Palabra que no opera y Listas d'!$A$2&amp;"*"))</f>
        <v>0</v>
      </c>
    </row>
    <row r="1242" spans="1:26" ht="27.75" customHeight="1" x14ac:dyDescent="0.25">
      <c r="A1242" s="141" t="str">
        <f>+IF(PROVEEDORES[[#This Row],[FECHA DE PAGO]]=PROVEEDORES[[#This Row],[FECHA DE FACTURACIÓN]],"DE CONTADO","CRÉDITO")</f>
        <v>CRÉDITO</v>
      </c>
      <c r="B1242" s="138" t="str">
        <f>+IF((PROVEEDORES[[#This Row],[FECHA DE PAGO]]-PROVEEDORES[[#This Row],[FECHA DE FACTURACIÓN]])&gt;PROVEEDORES[[#This Row],[PLAZO Días]],"PAGO VENCIDO")</f>
        <v>PAGO VENCIDO</v>
      </c>
      <c r="C1242" s="138">
        <f>+VLOOKUP(PROVEEDORES[[#This Row],[PROVEEDOR]],TERCEROS_INFO[#All],2,FALSE)</f>
        <v>0</v>
      </c>
      <c r="D1242" s="139">
        <f>+SUMIFS(PROVEEDORES[Total],PROVEEDORES[PROVEEDOR],PROVEEDORES[[#This Row],[PROVEEDOR]],PROVEEDORES[FECHA DE PAGO],"")</f>
        <v>0</v>
      </c>
      <c r="E1242" s="140"/>
      <c r="F1242" s="138">
        <f>+VLOOKUP(PROVEEDORES[[#This Row],[PROVEEDOR]],
                       Terceros!$A:$F,
                       5,
                       FALSE)</f>
        <v>0</v>
      </c>
      <c r="G1242" s="127">
        <v>45335</v>
      </c>
      <c r="H1242" s="123" t="s">
        <v>456</v>
      </c>
      <c r="I1242" s="127">
        <v>45322</v>
      </c>
      <c r="J1242" s="124" t="s">
        <v>1293</v>
      </c>
      <c r="K1242" s="124" t="s">
        <v>1530</v>
      </c>
      <c r="L1242" s="124" t="s">
        <v>1395</v>
      </c>
      <c r="M1242" s="125">
        <v>245000</v>
      </c>
      <c r="N1242" s="148">
        <v>0</v>
      </c>
      <c r="O1242" s="148">
        <v>0</v>
      </c>
      <c r="P1242" s="149">
        <v>0</v>
      </c>
      <c r="Q1242" s="148">
        <v>0</v>
      </c>
      <c r="R1242" s="150">
        <v>245000</v>
      </c>
      <c r="S12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2" s="135">
        <f ca="1">+IF(PROVEEDORES[[#This Row],[FECHA DE PAGO]]=0,TODAY()-PROVEEDORES[[#This Row],[FECHA DE FACTURACIÓN]]-PROVEEDORES[[#This Row],[PLAZO Días]],0)</f>
        <v>0</v>
      </c>
      <c r="U1242" s="135">
        <f>+VLOOKUP(PROVEEDORES[[#This Row],[PROVEEDOR]],Terceros!$A:$D,4,FALSE)</f>
        <v>0</v>
      </c>
      <c r="V1242" s="135">
        <f>+YEAR(PROVEEDORES[[#This Row],[FECHA DE FACTURACIÓN]])</f>
        <v>2024</v>
      </c>
      <c r="W1242" s="135">
        <f>+MATCH(PROVEEDORES[[#This Row],[año facturado]],Retenciones!$1:$1,0)</f>
        <v>7</v>
      </c>
      <c r="X1242" s="136">
        <f>+VLOOKUP(PROVEEDORES[[#This Row],[ID RETENCION]],Retenciones!$A$1:$O$25,PROVEEDORES[[#This Row],[indicador de columna]],FALSE)</f>
        <v>0</v>
      </c>
      <c r="Y1242" s="137">
        <f>+VLOOKUP(PROVEEDORES[[#This Row],[ID RETENCION]],Retenciones!$A$1:$O$25,2,FALSE)</f>
        <v>0</v>
      </c>
      <c r="Z1242" s="126" t="b">
        <f>+OR(COUNTIF(PROVEEDORES[[#This Row],[PROVEEDOR]],"*"&amp;'Palabra que no opera y Listas d'!$A$2&amp;"*"))</f>
        <v>1</v>
      </c>
    </row>
    <row r="1243" spans="1:26" ht="27.75" customHeight="1" x14ac:dyDescent="0.25">
      <c r="A1243" s="141" t="str">
        <f>+IF(PROVEEDORES[[#This Row],[FECHA DE PAGO]]=PROVEEDORES[[#This Row],[FECHA DE FACTURACIÓN]],"DE CONTADO","CRÉDITO")</f>
        <v>CRÉDITO</v>
      </c>
      <c r="B1243" s="138" t="b">
        <f>+IF((PROVEEDORES[[#This Row],[FECHA DE PAGO]]-PROVEEDORES[[#This Row],[FECHA DE FACTURACIÓN]])&gt;PROVEEDORES[[#This Row],[PLAZO Días]],"PAGO VENCIDO")</f>
        <v>0</v>
      </c>
      <c r="C1243" s="138">
        <f>+VLOOKUP(PROVEEDORES[[#This Row],[PROVEEDOR]],TERCEROS_INFO[#All],2,FALSE)</f>
        <v>30</v>
      </c>
      <c r="D1243" s="139">
        <f>+SUMIFS(PROVEEDORES[Total],PROVEEDORES[PROVEEDOR],PROVEEDORES[[#This Row],[PROVEEDOR]],PROVEEDORES[FECHA DE PAGO],"")</f>
        <v>0</v>
      </c>
      <c r="E1243" s="140"/>
      <c r="F1243" s="138">
        <f>+VLOOKUP(PROVEEDORES[[#This Row],[PROVEEDOR]],
                       Terceros!$A:$F,
                       5,
                       FALSE)</f>
        <v>0</v>
      </c>
      <c r="G1243" s="127">
        <v>45335</v>
      </c>
      <c r="H1243" s="123" t="s">
        <v>1549</v>
      </c>
      <c r="I1243" s="127">
        <v>45331</v>
      </c>
      <c r="J1243" s="124" t="s">
        <v>28</v>
      </c>
      <c r="K1243" s="124"/>
      <c r="L1243" s="124" t="s">
        <v>1395</v>
      </c>
      <c r="M1243" s="125">
        <v>610537</v>
      </c>
      <c r="N1243" s="148">
        <v>0</v>
      </c>
      <c r="O1243" s="148">
        <v>0</v>
      </c>
      <c r="P1243" s="149">
        <v>0</v>
      </c>
      <c r="Q1243" s="148">
        <v>0</v>
      </c>
      <c r="R1243" s="150">
        <v>610537</v>
      </c>
      <c r="S12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3" s="135">
        <f ca="1">+IF(PROVEEDORES[[#This Row],[FECHA DE PAGO]]=0,TODAY()-PROVEEDORES[[#This Row],[FECHA DE FACTURACIÓN]]-PROVEEDORES[[#This Row],[PLAZO Días]],0)</f>
        <v>0</v>
      </c>
      <c r="U1243" s="135">
        <f>+VLOOKUP(PROVEEDORES[[#This Row],[PROVEEDOR]],Terceros!$A:$D,4,FALSE)</f>
        <v>0</v>
      </c>
      <c r="V1243" s="135">
        <f>+YEAR(PROVEEDORES[[#This Row],[FECHA DE FACTURACIÓN]])</f>
        <v>2024</v>
      </c>
      <c r="W1243" s="135">
        <f>+MATCH(PROVEEDORES[[#This Row],[año facturado]],Retenciones!$1:$1,0)</f>
        <v>7</v>
      </c>
      <c r="X1243" s="136">
        <f>+VLOOKUP(PROVEEDORES[[#This Row],[ID RETENCION]],Retenciones!$A$1:$O$25,PROVEEDORES[[#This Row],[indicador de columna]],FALSE)</f>
        <v>0</v>
      </c>
      <c r="Y1243" s="137">
        <f>+VLOOKUP(PROVEEDORES[[#This Row],[ID RETENCION]],Retenciones!$A$1:$O$25,2,FALSE)</f>
        <v>0</v>
      </c>
      <c r="Z1243" s="126" t="b">
        <f>+OR(COUNTIF(PROVEEDORES[[#This Row],[PROVEEDOR]],"*"&amp;'Palabra que no opera y Listas d'!$A$2&amp;"*"))</f>
        <v>0</v>
      </c>
    </row>
    <row r="1244" spans="1:26" ht="27.75" customHeight="1" x14ac:dyDescent="0.25">
      <c r="A1244" s="141" t="str">
        <f>+IF(PROVEEDORES[[#This Row],[FECHA DE PAGO]]=PROVEEDORES[[#This Row],[FECHA DE FACTURACIÓN]],"DE CONTADO","CRÉDITO")</f>
        <v>DE CONTADO</v>
      </c>
      <c r="B1244" s="138" t="b">
        <f>+IF((PROVEEDORES[[#This Row],[FECHA DE PAGO]]-PROVEEDORES[[#This Row],[FECHA DE FACTURACIÓN]])&gt;PROVEEDORES[[#This Row],[PLAZO Días]],"PAGO VENCIDO")</f>
        <v>0</v>
      </c>
      <c r="C1244" s="138">
        <f>+VLOOKUP(PROVEEDORES[[#This Row],[PROVEEDOR]],TERCEROS_INFO[#All],2,FALSE)</f>
        <v>30</v>
      </c>
      <c r="D1244" s="139">
        <f>+SUMIFS(PROVEEDORES[Total],PROVEEDORES[PROVEEDOR],PROVEEDORES[[#This Row],[PROVEEDOR]],PROVEEDORES[FECHA DE PAGO],"")</f>
        <v>0</v>
      </c>
      <c r="E1244" s="140"/>
      <c r="F1244" s="138">
        <f>+VLOOKUP(PROVEEDORES[[#This Row],[PROVEEDOR]],
                       Terceros!$A:$F,
                       5,
                       FALSE)</f>
        <v>0</v>
      </c>
      <c r="G1244" s="127">
        <v>45335</v>
      </c>
      <c r="H1244" s="123" t="s">
        <v>861</v>
      </c>
      <c r="I1244" s="127">
        <v>45335</v>
      </c>
      <c r="J1244" s="124" t="s">
        <v>1611</v>
      </c>
      <c r="K1244" s="124" t="s">
        <v>1530</v>
      </c>
      <c r="L1244" s="124" t="s">
        <v>1395</v>
      </c>
      <c r="M1244" s="125">
        <v>140000</v>
      </c>
      <c r="N1244" s="148">
        <v>0</v>
      </c>
      <c r="O1244" s="148">
        <v>0</v>
      </c>
      <c r="P1244" s="149">
        <v>0</v>
      </c>
      <c r="Q1244" s="148">
        <v>0</v>
      </c>
      <c r="R1244" s="150">
        <v>140000</v>
      </c>
      <c r="S12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4" s="135">
        <f ca="1">+IF(PROVEEDORES[[#This Row],[FECHA DE PAGO]]=0,TODAY()-PROVEEDORES[[#This Row],[FECHA DE FACTURACIÓN]]-PROVEEDORES[[#This Row],[PLAZO Días]],0)</f>
        <v>0</v>
      </c>
      <c r="U1244" s="135">
        <f>+VLOOKUP(PROVEEDORES[[#This Row],[PROVEEDOR]],Terceros!$A:$D,4,FALSE)</f>
        <v>0</v>
      </c>
      <c r="V1244" s="135">
        <f>+YEAR(PROVEEDORES[[#This Row],[FECHA DE FACTURACIÓN]])</f>
        <v>2024</v>
      </c>
      <c r="W1244" s="135">
        <f>+MATCH(PROVEEDORES[[#This Row],[año facturado]],Retenciones!$1:$1,0)</f>
        <v>7</v>
      </c>
      <c r="X1244" s="136">
        <f>+VLOOKUP(PROVEEDORES[[#This Row],[ID RETENCION]],Retenciones!$A$1:$O$25,PROVEEDORES[[#This Row],[indicador de columna]],FALSE)</f>
        <v>0</v>
      </c>
      <c r="Y1244" s="137">
        <f>+VLOOKUP(PROVEEDORES[[#This Row],[ID RETENCION]],Retenciones!$A$1:$O$25,2,FALSE)</f>
        <v>0</v>
      </c>
      <c r="Z1244" s="126" t="b">
        <f>+OR(COUNTIF(PROVEEDORES[[#This Row],[PROVEEDOR]],"*"&amp;'Palabra que no opera y Listas d'!$A$2&amp;"*"))</f>
        <v>0</v>
      </c>
    </row>
    <row r="1245" spans="1:26" ht="27.75" customHeight="1" x14ac:dyDescent="0.25">
      <c r="A1245" s="141" t="str">
        <f>+IF(PROVEEDORES[[#This Row],[FECHA DE PAGO]]=PROVEEDORES[[#This Row],[FECHA DE FACTURACIÓN]],"DE CONTADO","CRÉDITO")</f>
        <v>DE CONTADO</v>
      </c>
      <c r="B1245" s="138" t="b">
        <f>+IF((PROVEEDORES[[#This Row],[FECHA DE PAGO]]-PROVEEDORES[[#This Row],[FECHA DE FACTURACIÓN]])&gt;PROVEEDORES[[#This Row],[PLAZO Días]],"PAGO VENCIDO")</f>
        <v>0</v>
      </c>
      <c r="C1245" s="138">
        <f>+VLOOKUP(PROVEEDORES[[#This Row],[PROVEEDOR]],TERCEROS_INFO[#All],2,FALSE)</f>
        <v>30</v>
      </c>
      <c r="D1245" s="139">
        <f>+SUMIFS(PROVEEDORES[Total],PROVEEDORES[PROVEEDOR],PROVEEDORES[[#This Row],[PROVEEDOR]],PROVEEDORES[FECHA DE PAGO],"")</f>
        <v>134000</v>
      </c>
      <c r="E1245" s="140"/>
      <c r="F1245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245" s="127">
        <v>45335</v>
      </c>
      <c r="H1245" s="123" t="s">
        <v>1808</v>
      </c>
      <c r="I1245" s="127">
        <v>45335</v>
      </c>
      <c r="J1245" s="124" t="s">
        <v>1605</v>
      </c>
      <c r="K1245" s="124" t="s">
        <v>1530</v>
      </c>
      <c r="L1245" s="124" t="s">
        <v>1395</v>
      </c>
      <c r="M1245" s="125">
        <v>50000</v>
      </c>
      <c r="N1245" s="148">
        <v>0</v>
      </c>
      <c r="O1245" s="148">
        <v>0</v>
      </c>
      <c r="P1245" s="149">
        <v>0</v>
      </c>
      <c r="Q1245" s="148">
        <v>0</v>
      </c>
      <c r="R1245" s="150">
        <v>50000</v>
      </c>
      <c r="S12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5" s="135">
        <f ca="1">+IF(PROVEEDORES[[#This Row],[FECHA DE PAGO]]=0,TODAY()-PROVEEDORES[[#This Row],[FECHA DE FACTURACIÓN]]-PROVEEDORES[[#This Row],[PLAZO Días]],0)</f>
        <v>0</v>
      </c>
      <c r="U1245" s="135">
        <f>+VLOOKUP(PROVEEDORES[[#This Row],[PROVEEDOR]],Terceros!$A:$D,4,FALSE)</f>
        <v>0</v>
      </c>
      <c r="V1245" s="135">
        <f>+YEAR(PROVEEDORES[[#This Row],[FECHA DE FACTURACIÓN]])</f>
        <v>2024</v>
      </c>
      <c r="W1245" s="135">
        <f>+MATCH(PROVEEDORES[[#This Row],[año facturado]],Retenciones!$1:$1,0)</f>
        <v>7</v>
      </c>
      <c r="X1245" s="136">
        <f>+VLOOKUP(PROVEEDORES[[#This Row],[ID RETENCION]],Retenciones!$A$1:$O$25,PROVEEDORES[[#This Row],[indicador de columna]],FALSE)</f>
        <v>0</v>
      </c>
      <c r="Y1245" s="137">
        <f>+VLOOKUP(PROVEEDORES[[#This Row],[ID RETENCION]],Retenciones!$A$1:$O$25,2,FALSE)</f>
        <v>0</v>
      </c>
      <c r="Z1245" s="126" t="b">
        <f>+OR(COUNTIF(PROVEEDORES[[#This Row],[PROVEEDOR]],"*"&amp;'Palabra que no opera y Listas d'!$A$2&amp;"*"))</f>
        <v>0</v>
      </c>
    </row>
    <row r="1246" spans="1:26" ht="27.75" customHeight="1" x14ac:dyDescent="0.25">
      <c r="A1246" s="141" t="str">
        <f>+IF(PROVEEDORES[[#This Row],[FECHA DE PAGO]]=PROVEEDORES[[#This Row],[FECHA DE FACTURACIÓN]],"DE CONTADO","CRÉDITO")</f>
        <v>DE CONTADO</v>
      </c>
      <c r="B1246" s="138" t="b">
        <f>+IF((PROVEEDORES[[#This Row],[FECHA DE PAGO]]-PROVEEDORES[[#This Row],[FECHA DE FACTURACIÓN]])&gt;PROVEEDORES[[#This Row],[PLAZO Días]],"PAGO VENCIDO")</f>
        <v>0</v>
      </c>
      <c r="C1246" s="138">
        <f>+VLOOKUP(PROVEEDORES[[#This Row],[PROVEEDOR]],TERCEROS_INFO[#All],2,FALSE)</f>
        <v>30</v>
      </c>
      <c r="D1246" s="139">
        <f>+SUMIFS(PROVEEDORES[Total],PROVEEDORES[PROVEEDOR],PROVEEDORES[[#This Row],[PROVEEDOR]],PROVEEDORES[FECHA DE PAGO],"")</f>
        <v>0</v>
      </c>
      <c r="E1246" s="140"/>
      <c r="F1246" s="138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246" s="127">
        <v>45335</v>
      </c>
      <c r="H1246" s="123" t="s">
        <v>1186</v>
      </c>
      <c r="I1246" s="127">
        <v>45335</v>
      </c>
      <c r="J1246" s="124" t="s">
        <v>1554</v>
      </c>
      <c r="K1246" s="124" t="s">
        <v>1530</v>
      </c>
      <c r="L1246" s="124" t="s">
        <v>1534</v>
      </c>
      <c r="M1246" s="125">
        <v>555461</v>
      </c>
      <c r="N1246" s="148">
        <v>105537.59</v>
      </c>
      <c r="O1246" s="148">
        <v>0</v>
      </c>
      <c r="P1246" s="149">
        <v>0</v>
      </c>
      <c r="Q1246" s="148">
        <v>0</v>
      </c>
      <c r="R1246" s="150">
        <v>660998.59</v>
      </c>
      <c r="S12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6" s="135">
        <f ca="1">+IF(PROVEEDORES[[#This Row],[FECHA DE PAGO]]=0,TODAY()-PROVEEDORES[[#This Row],[FECHA DE FACTURACIÓN]]-PROVEEDORES[[#This Row],[PLAZO Días]],0)</f>
        <v>0</v>
      </c>
      <c r="U1246" s="135" t="str">
        <f>+VLOOKUP(PROVEEDORES[[#This Row],[PROVEEDOR]],Terceros!$A:$D,4,FALSE)</f>
        <v>2,5% con base</v>
      </c>
      <c r="V1246" s="135">
        <f>+YEAR(PROVEEDORES[[#This Row],[FECHA DE FACTURACIÓN]])</f>
        <v>2024</v>
      </c>
      <c r="W1246" s="135">
        <f>+MATCH(PROVEEDORES[[#This Row],[año facturado]],Retenciones!$1:$1,0)</f>
        <v>7</v>
      </c>
      <c r="X1246" s="136">
        <f>+VLOOKUP(PROVEEDORES[[#This Row],[ID RETENCION]],Retenciones!$A$1:$O$25,PROVEEDORES[[#This Row],[indicador de columna]],FALSE)</f>
        <v>1271000</v>
      </c>
      <c r="Y1246" s="137">
        <f>+VLOOKUP(PROVEEDORES[[#This Row],[ID RETENCION]],Retenciones!$A$1:$O$25,2,FALSE)</f>
        <v>2.5000000000000001E-2</v>
      </c>
      <c r="Z1246" s="126" t="b">
        <f>+OR(COUNTIF(PROVEEDORES[[#This Row],[PROVEEDOR]],"*"&amp;'Palabra que no opera y Listas d'!$A$2&amp;"*"))</f>
        <v>0</v>
      </c>
    </row>
    <row r="1247" spans="1:26" ht="27.75" customHeight="1" x14ac:dyDescent="0.25">
      <c r="A1247" s="141" t="str">
        <f>+IF(PROVEEDORES[[#This Row],[FECHA DE PAGO]]=PROVEEDORES[[#This Row],[FECHA DE FACTURACIÓN]],"DE CONTADO","CRÉDITO")</f>
        <v>DE CONTADO</v>
      </c>
      <c r="B1247" s="138" t="b">
        <f>+IF((PROVEEDORES[[#This Row],[FECHA DE PAGO]]-PROVEEDORES[[#This Row],[FECHA DE FACTURACIÓN]])&gt;PROVEEDORES[[#This Row],[PLAZO Días]],"PAGO VENCIDO")</f>
        <v>0</v>
      </c>
      <c r="C1247" s="138">
        <f>+VLOOKUP(PROVEEDORES[[#This Row],[PROVEEDOR]],TERCEROS_INFO[#All],2,FALSE)</f>
        <v>30</v>
      </c>
      <c r="D1247" s="139">
        <f>+SUMIFS(PROVEEDORES[Total],PROVEEDORES[PROVEEDOR],PROVEEDORES[[#This Row],[PROVEEDOR]],PROVEEDORES[FECHA DE PAGO],"")</f>
        <v>0</v>
      </c>
      <c r="E1247" s="140"/>
      <c r="F1247" s="138">
        <f>+VLOOKUP(PROVEEDORES[[#This Row],[PROVEEDOR]],
                       Terceros!$A:$F,
                       5,
                       FALSE)</f>
        <v>0</v>
      </c>
      <c r="G1247" s="127">
        <v>45335</v>
      </c>
      <c r="H1247" s="123" t="s">
        <v>291</v>
      </c>
      <c r="I1247" s="127">
        <v>45335</v>
      </c>
      <c r="J1247" s="124" t="s">
        <v>1559</v>
      </c>
      <c r="K1247" s="124" t="s">
        <v>504</v>
      </c>
      <c r="L1247" s="124" t="s">
        <v>1534</v>
      </c>
      <c r="M1247" s="125">
        <v>1664417</v>
      </c>
      <c r="N1247" s="148">
        <v>316239.23</v>
      </c>
      <c r="O1247" s="148">
        <v>0</v>
      </c>
      <c r="P1247" s="149">
        <v>2.5000000000000001E-2</v>
      </c>
      <c r="Q1247" s="148">
        <v>41610.425000000003</v>
      </c>
      <c r="R1247" s="150">
        <v>1939045.8049999999</v>
      </c>
      <c r="S12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7" s="135">
        <f ca="1">+IF(PROVEEDORES[[#This Row],[FECHA DE PAGO]]=0,TODAY()-PROVEEDORES[[#This Row],[FECHA DE FACTURACIÓN]]-PROVEEDORES[[#This Row],[PLAZO Días]],0)</f>
        <v>0</v>
      </c>
      <c r="U1247" s="135" t="str">
        <f>+VLOOKUP(PROVEEDORES[[#This Row],[PROVEEDOR]],Terceros!$A:$D,4,FALSE)</f>
        <v>2,5% con base</v>
      </c>
      <c r="V1247" s="135">
        <f>+YEAR(PROVEEDORES[[#This Row],[FECHA DE FACTURACIÓN]])</f>
        <v>2024</v>
      </c>
      <c r="W1247" s="135">
        <f>+MATCH(PROVEEDORES[[#This Row],[año facturado]],Retenciones!$1:$1,0)</f>
        <v>7</v>
      </c>
      <c r="X1247" s="136">
        <f>+VLOOKUP(PROVEEDORES[[#This Row],[ID RETENCION]],Retenciones!$A$1:$O$25,PROVEEDORES[[#This Row],[indicador de columna]],FALSE)</f>
        <v>1271000</v>
      </c>
      <c r="Y1247" s="137">
        <f>+VLOOKUP(PROVEEDORES[[#This Row],[ID RETENCION]],Retenciones!$A$1:$O$25,2,FALSE)</f>
        <v>2.5000000000000001E-2</v>
      </c>
      <c r="Z1247" s="126" t="b">
        <f>+OR(COUNTIF(PROVEEDORES[[#This Row],[PROVEEDOR]],"*"&amp;'Palabra que no opera y Listas d'!$A$2&amp;"*"))</f>
        <v>0</v>
      </c>
    </row>
    <row r="1248" spans="1:26" ht="27.75" customHeight="1" x14ac:dyDescent="0.25">
      <c r="A1248" s="141" t="str">
        <f>+IF(PROVEEDORES[[#This Row],[FECHA DE PAGO]]=PROVEEDORES[[#This Row],[FECHA DE FACTURACIÓN]],"DE CONTADO","CRÉDITO")</f>
        <v>CRÉDITO</v>
      </c>
      <c r="B1248" s="138" t="str">
        <f>+IF((PROVEEDORES[[#This Row],[FECHA DE PAGO]]-PROVEEDORES[[#This Row],[FECHA DE FACTURACIÓN]])&gt;PROVEEDORES[[#This Row],[PLAZO Días]],"PAGO VENCIDO")</f>
        <v>PAGO VENCIDO</v>
      </c>
      <c r="C1248" s="138">
        <f>+VLOOKUP(PROVEEDORES[[#This Row],[PROVEEDOR]],TERCEROS_INFO[#All],2,FALSE)</f>
        <v>30</v>
      </c>
      <c r="D1248" s="139">
        <f>+SUMIFS(PROVEEDORES[Total],PROVEEDORES[PROVEEDOR],PROVEEDORES[[#This Row],[PROVEEDOR]],PROVEEDORES[FECHA DE PAGO],"")</f>
        <v>0</v>
      </c>
      <c r="E1248" s="140"/>
      <c r="F1248" s="138" t="str">
        <f>+VLOOKUP(PROVEEDORES[[#This Row],[PROVEEDOR]],
                       Terceros!$A:$F,
                       5,
                       FALSE)</f>
        <v>qyqomaira0321@hotmail.com;girlesa.ruiz@servipilas.com;joriescobar64@gmail.com</v>
      </c>
      <c r="G1248" s="127">
        <v>45336</v>
      </c>
      <c r="H1248" s="123" t="s">
        <v>710</v>
      </c>
      <c r="I1248" s="127">
        <v>45273</v>
      </c>
      <c r="J1248" s="124" t="s">
        <v>1353</v>
      </c>
      <c r="K1248" s="124" t="s">
        <v>1530</v>
      </c>
      <c r="L1248" s="124" t="s">
        <v>1536</v>
      </c>
      <c r="M1248" s="125">
        <v>7130000</v>
      </c>
      <c r="N1248" s="148">
        <v>1354700</v>
      </c>
      <c r="O1248" s="148">
        <v>0</v>
      </c>
      <c r="P1248" s="149">
        <v>0</v>
      </c>
      <c r="Q1248" s="148">
        <v>0</v>
      </c>
      <c r="R1248" s="150">
        <v>8484700</v>
      </c>
      <c r="S12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8" s="135">
        <f ca="1">+IF(PROVEEDORES[[#This Row],[FECHA DE PAGO]]=0,TODAY()-PROVEEDORES[[#This Row],[FECHA DE FACTURACIÓN]]-PROVEEDORES[[#This Row],[PLAZO Días]],0)</f>
        <v>0</v>
      </c>
      <c r="U1248" s="135">
        <f>+VLOOKUP(PROVEEDORES[[#This Row],[PROVEEDOR]],Terceros!$A:$D,4,FALSE)</f>
        <v>0</v>
      </c>
      <c r="V1248" s="135">
        <f>+YEAR(PROVEEDORES[[#This Row],[FECHA DE FACTURACIÓN]])</f>
        <v>2023</v>
      </c>
      <c r="W1248" s="135">
        <f>+MATCH(PROVEEDORES[[#This Row],[año facturado]],Retenciones!$1:$1,0)</f>
        <v>6</v>
      </c>
      <c r="X1248" s="136">
        <f>+VLOOKUP(PROVEEDORES[[#This Row],[ID RETENCION]],Retenciones!$A$1:$O$25,PROVEEDORES[[#This Row],[indicador de columna]],FALSE)</f>
        <v>0</v>
      </c>
      <c r="Y1248" s="137">
        <f>+VLOOKUP(PROVEEDORES[[#This Row],[ID RETENCION]],Retenciones!$A$1:$O$25,2,FALSE)</f>
        <v>0</v>
      </c>
      <c r="Z1248" s="126" t="b">
        <f>+OR(COUNTIF(PROVEEDORES[[#This Row],[PROVEEDOR]],"*"&amp;'Palabra que no opera y Listas d'!$A$2&amp;"*"))</f>
        <v>0</v>
      </c>
    </row>
    <row r="1249" spans="1:26" ht="27.75" customHeight="1" x14ac:dyDescent="0.25">
      <c r="A1249" s="141" t="str">
        <f>+IF(PROVEEDORES[[#This Row],[FECHA DE PAGO]]=PROVEEDORES[[#This Row],[FECHA DE FACTURACIÓN]],"DE CONTADO","CRÉDITO")</f>
        <v>CRÉDITO</v>
      </c>
      <c r="B1249" s="138" t="str">
        <f>+IF((PROVEEDORES[[#This Row],[FECHA DE PAGO]]-PROVEEDORES[[#This Row],[FECHA DE FACTURACIÓN]])&gt;PROVEEDORES[[#This Row],[PLAZO Días]],"PAGO VENCIDO")</f>
        <v>PAGO VENCIDO</v>
      </c>
      <c r="C1249" s="138">
        <f>+VLOOKUP(PROVEEDORES[[#This Row],[PROVEEDOR]],TERCEROS_INFO[#All],2,FALSE)</f>
        <v>0</v>
      </c>
      <c r="D1249" s="139">
        <f>+SUMIFS(PROVEEDORES[Total],PROVEEDORES[PROVEEDOR],PROVEEDORES[[#This Row],[PROVEEDOR]],PROVEEDORES[FECHA DE PAGO],"")</f>
        <v>0</v>
      </c>
      <c r="E1249" s="140"/>
      <c r="F1249" s="138" t="str">
        <f>+VLOOKUP(PROVEEDORES[[#This Row],[PROVEEDOR]],
                       Terceros!$A:$F,
                       5,
                       FALSE)</f>
        <v>ruben.montoya@serven.com.co;girlesa.ruiz@servipilas.com;joriescobar64@gmail.com</v>
      </c>
      <c r="G1249" s="127">
        <v>45336</v>
      </c>
      <c r="H1249" s="123" t="s">
        <v>1560</v>
      </c>
      <c r="I1249" s="127">
        <v>45334</v>
      </c>
      <c r="J1249" s="124" t="s">
        <v>1562</v>
      </c>
      <c r="K1249" s="124" t="s">
        <v>1530</v>
      </c>
      <c r="L1249" s="124" t="s">
        <v>1395</v>
      </c>
      <c r="M1249" s="125">
        <v>1222430</v>
      </c>
      <c r="N1249" s="148">
        <v>232261.7</v>
      </c>
      <c r="O1249" s="148">
        <v>0</v>
      </c>
      <c r="P1249" s="149">
        <v>3.5000000000000003E-2</v>
      </c>
      <c r="Q1249" s="148">
        <v>42785.05</v>
      </c>
      <c r="R1249" s="150">
        <v>1411906.65</v>
      </c>
      <c r="S12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49" s="135">
        <f ca="1">+IF(PROVEEDORES[[#This Row],[FECHA DE PAGO]]=0,TODAY()-PROVEEDORES[[#This Row],[FECHA DE FACTURACIÓN]]-PROVEEDORES[[#This Row],[PLAZO Días]],0)</f>
        <v>0</v>
      </c>
      <c r="U1249" s="135" t="str">
        <f>+VLOOKUP(PROVEEDORES[[#This Row],[PROVEEDOR]],Terceros!$A:$D,4,FALSE)</f>
        <v>3,5% sin base</v>
      </c>
      <c r="V1249" s="135">
        <f>+YEAR(PROVEEDORES[[#This Row],[FECHA DE FACTURACIÓN]])</f>
        <v>2024</v>
      </c>
      <c r="W1249" s="135">
        <f>+MATCH(PROVEEDORES[[#This Row],[año facturado]],Retenciones!$1:$1,0)</f>
        <v>7</v>
      </c>
      <c r="X1249" s="136">
        <f>+VLOOKUP(PROVEEDORES[[#This Row],[ID RETENCION]],Retenciones!$A$1:$O$25,PROVEEDORES[[#This Row],[indicador de columna]],FALSE)</f>
        <v>0</v>
      </c>
      <c r="Y1249" s="137">
        <f>+VLOOKUP(PROVEEDORES[[#This Row],[ID RETENCION]],Retenciones!$A$1:$O$25,2,FALSE)</f>
        <v>3.5000000000000003E-2</v>
      </c>
      <c r="Z1249" s="126" t="b">
        <f>+OR(COUNTIF(PROVEEDORES[[#This Row],[PROVEEDOR]],"*"&amp;'Palabra que no opera y Listas d'!$A$2&amp;"*"))</f>
        <v>0</v>
      </c>
    </row>
    <row r="1250" spans="1:26" ht="27.75" customHeight="1" x14ac:dyDescent="0.25">
      <c r="A1250" s="141" t="str">
        <f>+IF(PROVEEDORES[[#This Row],[FECHA DE PAGO]]=PROVEEDORES[[#This Row],[FECHA DE FACTURACIÓN]],"DE CONTADO","CRÉDITO")</f>
        <v>DE CONTADO</v>
      </c>
      <c r="B1250" s="138" t="b">
        <f>+IF((PROVEEDORES[[#This Row],[FECHA DE PAGO]]-PROVEEDORES[[#This Row],[FECHA DE FACTURACIÓN]])&gt;PROVEEDORES[[#This Row],[PLAZO Días]],"PAGO VENCIDO")</f>
        <v>0</v>
      </c>
      <c r="C1250" s="138">
        <f>+VLOOKUP(PROVEEDORES[[#This Row],[PROVEEDOR]],TERCEROS_INFO[#All],2,FALSE)</f>
        <v>30</v>
      </c>
      <c r="D1250" s="139">
        <f>+SUMIFS(PROVEEDORES[Total],PROVEEDORES[PROVEEDOR],PROVEEDORES[[#This Row],[PROVEEDOR]],PROVEEDORES[FECHA DE PAGO],"")</f>
        <v>0</v>
      </c>
      <c r="E1250" s="140"/>
      <c r="F1250" s="138" t="str">
        <f>+VLOOKUP(PROVEEDORES[[#This Row],[PROVEEDOR]],
                       Terceros!$A:$F,
                       5,
                       FALSE)</f>
        <v/>
      </c>
      <c r="G1250" s="127">
        <v>45336</v>
      </c>
      <c r="H1250" s="123" t="s">
        <v>1813</v>
      </c>
      <c r="I1250" s="127">
        <v>45336</v>
      </c>
      <c r="J1250" s="124" t="s">
        <v>1607</v>
      </c>
      <c r="K1250" s="124" t="s">
        <v>504</v>
      </c>
      <c r="L1250" s="124" t="s">
        <v>1537</v>
      </c>
      <c r="M1250" s="125">
        <v>279000</v>
      </c>
      <c r="N1250" s="148">
        <v>0</v>
      </c>
      <c r="O1250" s="148">
        <v>0</v>
      </c>
      <c r="P1250" s="149">
        <v>0</v>
      </c>
      <c r="Q1250" s="148">
        <v>0</v>
      </c>
      <c r="R1250" s="150">
        <v>279000</v>
      </c>
      <c r="S12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0" s="135">
        <f ca="1">+IF(PROVEEDORES[[#This Row],[FECHA DE PAGO]]=0,TODAY()-PROVEEDORES[[#This Row],[FECHA DE FACTURACIÓN]]-PROVEEDORES[[#This Row],[PLAZO Días]],0)</f>
        <v>0</v>
      </c>
      <c r="U1250" s="135">
        <f>+VLOOKUP(PROVEEDORES[[#This Row],[PROVEEDOR]],Terceros!$A:$D,4,FALSE)</f>
        <v>0</v>
      </c>
      <c r="V1250" s="135">
        <f>+YEAR(PROVEEDORES[[#This Row],[FECHA DE FACTURACIÓN]])</f>
        <v>2024</v>
      </c>
      <c r="W1250" s="135">
        <f>+MATCH(PROVEEDORES[[#This Row],[año facturado]],Retenciones!$1:$1,0)</f>
        <v>7</v>
      </c>
      <c r="X1250" s="136">
        <f>+VLOOKUP(PROVEEDORES[[#This Row],[ID RETENCION]],Retenciones!$A$1:$O$25,PROVEEDORES[[#This Row],[indicador de columna]],FALSE)</f>
        <v>0</v>
      </c>
      <c r="Y1250" s="137">
        <f>+VLOOKUP(PROVEEDORES[[#This Row],[ID RETENCION]],Retenciones!$A$1:$O$25,2,FALSE)</f>
        <v>0</v>
      </c>
      <c r="Z1250" s="126" t="b">
        <f>+OR(COUNTIF(PROVEEDORES[[#This Row],[PROVEEDOR]],"*"&amp;'Palabra que no opera y Listas d'!$A$2&amp;"*"))</f>
        <v>1</v>
      </c>
    </row>
    <row r="1251" spans="1:26" ht="27.75" customHeight="1" x14ac:dyDescent="0.25">
      <c r="A1251" s="141" t="str">
        <f>+IF(PROVEEDORES[[#This Row],[FECHA DE PAGO]]=PROVEEDORES[[#This Row],[FECHA DE FACTURACIÓN]],"DE CONTADO","CRÉDITO")</f>
        <v>DE CONTADO</v>
      </c>
      <c r="B1251" s="138" t="b">
        <f>+IF((PROVEEDORES[[#This Row],[FECHA DE PAGO]]-PROVEEDORES[[#This Row],[FECHA DE FACTURACIÓN]])&gt;PROVEEDORES[[#This Row],[PLAZO Días]],"PAGO VENCIDO")</f>
        <v>0</v>
      </c>
      <c r="C1251" s="138">
        <f>+VLOOKUP(PROVEEDORES[[#This Row],[PROVEEDOR]],TERCEROS_INFO[#All],2,FALSE)</f>
        <v>0</v>
      </c>
      <c r="D1251" s="139">
        <f>+SUMIFS(PROVEEDORES[Total],PROVEEDORES[PROVEEDOR],PROVEEDORES[[#This Row],[PROVEEDOR]],PROVEEDORES[FECHA DE PAGO],"")</f>
        <v>0</v>
      </c>
      <c r="E1251" s="140"/>
      <c r="F1251" s="138">
        <f>+VLOOKUP(PROVEEDORES[[#This Row],[PROVEEDOR]],
                       Terceros!$A:$F,
                       5,
                       FALSE)</f>
        <v>0</v>
      </c>
      <c r="G1251" s="127">
        <v>45336</v>
      </c>
      <c r="H1251" s="123" t="s">
        <v>1564</v>
      </c>
      <c r="I1251" s="127">
        <v>45336</v>
      </c>
      <c r="J1251" s="124">
        <v>87226</v>
      </c>
      <c r="K1251" s="124"/>
      <c r="L1251" s="124" t="s">
        <v>1395</v>
      </c>
      <c r="M1251" s="125">
        <v>356009</v>
      </c>
      <c r="N1251" s="148">
        <v>67641.710000000006</v>
      </c>
      <c r="O1251" s="148">
        <v>0</v>
      </c>
      <c r="P1251" s="149">
        <v>0</v>
      </c>
      <c r="Q1251" s="148">
        <v>0</v>
      </c>
      <c r="R1251" s="150">
        <v>423650.71</v>
      </c>
      <c r="S12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1" s="135">
        <f ca="1">+IF(PROVEEDORES[[#This Row],[FECHA DE PAGO]]=0,TODAY()-PROVEEDORES[[#This Row],[FECHA DE FACTURACIÓN]]-PROVEEDORES[[#This Row],[PLAZO Días]],0)</f>
        <v>0</v>
      </c>
      <c r="U1251" s="135">
        <f>+VLOOKUP(PROVEEDORES[[#This Row],[PROVEEDOR]],Terceros!$A:$D,4,FALSE)</f>
        <v>0</v>
      </c>
      <c r="V1251" s="135">
        <f>+YEAR(PROVEEDORES[[#This Row],[FECHA DE FACTURACIÓN]])</f>
        <v>2024</v>
      </c>
      <c r="W1251" s="135">
        <f>+MATCH(PROVEEDORES[[#This Row],[año facturado]],Retenciones!$1:$1,0)</f>
        <v>7</v>
      </c>
      <c r="X1251" s="136">
        <f>+VLOOKUP(PROVEEDORES[[#This Row],[ID RETENCION]],Retenciones!$A$1:$O$25,PROVEEDORES[[#This Row],[indicador de columna]],FALSE)</f>
        <v>0</v>
      </c>
      <c r="Y1251" s="137">
        <f>+VLOOKUP(PROVEEDORES[[#This Row],[ID RETENCION]],Retenciones!$A$1:$O$25,2,FALSE)</f>
        <v>0</v>
      </c>
      <c r="Z1251" s="126" t="b">
        <f>+OR(COUNTIF(PROVEEDORES[[#This Row],[PROVEEDOR]],"*"&amp;'Palabra que no opera y Listas d'!$A$2&amp;"*"))</f>
        <v>0</v>
      </c>
    </row>
    <row r="1252" spans="1:26" ht="27.75" customHeight="1" x14ac:dyDescent="0.25">
      <c r="A1252" s="141" t="str">
        <f>+IF(PROVEEDORES[[#This Row],[FECHA DE PAGO]]=PROVEEDORES[[#This Row],[FECHA DE FACTURACIÓN]],"DE CONTADO","CRÉDITO")</f>
        <v>CRÉDITO</v>
      </c>
      <c r="B1252" s="138" t="str">
        <f>+IF((PROVEEDORES[[#This Row],[FECHA DE PAGO]]-PROVEEDORES[[#This Row],[FECHA DE FACTURACIÓN]])&gt;PROVEEDORES[[#This Row],[PLAZO Días]],"PAGO VENCIDO")</f>
        <v>PAGO VENCIDO</v>
      </c>
      <c r="C1252" s="138">
        <f>+VLOOKUP(PROVEEDORES[[#This Row],[PROVEEDOR]],TERCEROS_INFO[#All],2,FALSE)</f>
        <v>30</v>
      </c>
      <c r="D1252" s="139">
        <f>+SUMIFS(PROVEEDORES[Total],PROVEEDORES[PROVEEDOR],PROVEEDORES[[#This Row],[PROVEEDOR]],PROVEEDORES[FECHA DE PAGO],"")</f>
        <v>0</v>
      </c>
      <c r="E1252" s="140"/>
      <c r="F1252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252" s="127">
        <v>45336</v>
      </c>
      <c r="H1252" s="123" t="s">
        <v>360</v>
      </c>
      <c r="I1252" s="127">
        <v>45272</v>
      </c>
      <c r="J1252" s="124" t="s">
        <v>1752</v>
      </c>
      <c r="K1252" s="124"/>
      <c r="L1252" s="124"/>
      <c r="M1252" s="125">
        <v>320151</v>
      </c>
      <c r="N1252" s="148">
        <v>60828.69</v>
      </c>
      <c r="O1252" s="148">
        <v>0</v>
      </c>
      <c r="P1252" s="149">
        <v>0</v>
      </c>
      <c r="Q1252" s="148">
        <v>0</v>
      </c>
      <c r="R1252" s="150">
        <v>380979.69</v>
      </c>
      <c r="S12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2" s="135">
        <f ca="1">+IF(PROVEEDORES[[#This Row],[FECHA DE PAGO]]=0,TODAY()-PROVEEDORES[[#This Row],[FECHA DE FACTURACIÓN]]-PROVEEDORES[[#This Row],[PLAZO Días]],0)</f>
        <v>0</v>
      </c>
      <c r="U1252" s="135">
        <f>+VLOOKUP(PROVEEDORES[[#This Row],[PROVEEDOR]],Terceros!$A:$D,4,FALSE)</f>
        <v>0</v>
      </c>
      <c r="V1252" s="135">
        <f>+YEAR(PROVEEDORES[[#This Row],[FECHA DE FACTURACIÓN]])</f>
        <v>2023</v>
      </c>
      <c r="W1252" s="135">
        <f>+MATCH(PROVEEDORES[[#This Row],[año facturado]],Retenciones!$1:$1,0)</f>
        <v>6</v>
      </c>
      <c r="X1252" s="136">
        <f>+VLOOKUP(PROVEEDORES[[#This Row],[ID RETENCION]],Retenciones!$A$1:$O$25,PROVEEDORES[[#This Row],[indicador de columna]],FALSE)</f>
        <v>0</v>
      </c>
      <c r="Y1252" s="137">
        <f>+VLOOKUP(PROVEEDORES[[#This Row],[ID RETENCION]],Retenciones!$A$1:$O$25,2,FALSE)</f>
        <v>0</v>
      </c>
      <c r="Z1252" s="126" t="b">
        <f>+OR(COUNTIF(PROVEEDORES[[#This Row],[PROVEEDOR]],"*"&amp;'Palabra que no opera y Listas d'!$A$2&amp;"*"))</f>
        <v>1</v>
      </c>
    </row>
    <row r="1253" spans="1:26" ht="27.75" customHeight="1" x14ac:dyDescent="0.25">
      <c r="A1253" s="141" t="str">
        <f>+IF(PROVEEDORES[[#This Row],[FECHA DE PAGO]]=PROVEEDORES[[#This Row],[FECHA DE FACTURACIÓN]],"DE CONTADO","CRÉDITO")</f>
        <v>CRÉDITO</v>
      </c>
      <c r="B1253" s="138" t="str">
        <f>+IF((PROVEEDORES[[#This Row],[FECHA DE PAGO]]-PROVEEDORES[[#This Row],[FECHA DE FACTURACIÓN]])&gt;PROVEEDORES[[#This Row],[PLAZO Días]],"PAGO VENCIDO")</f>
        <v>PAGO VENCIDO</v>
      </c>
      <c r="C1253" s="138">
        <f>+VLOOKUP(PROVEEDORES[[#This Row],[PROVEEDOR]],TERCEROS_INFO[#All],2,FALSE)</f>
        <v>30</v>
      </c>
      <c r="D1253" s="139">
        <f>+SUMIFS(PROVEEDORES[Total],PROVEEDORES[PROVEEDOR],PROVEEDORES[[#This Row],[PROVEEDOR]],PROVEEDORES[FECHA DE PAGO],"")</f>
        <v>0</v>
      </c>
      <c r="E1253" s="140"/>
      <c r="F1253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253" s="127">
        <v>45338</v>
      </c>
      <c r="H1253" s="123" t="s">
        <v>382</v>
      </c>
      <c r="I1253" s="127">
        <v>45265</v>
      </c>
      <c r="J1253" s="124" t="s">
        <v>1567</v>
      </c>
      <c r="K1253" s="124" t="s">
        <v>1530</v>
      </c>
      <c r="L1253" s="124" t="s">
        <v>1533</v>
      </c>
      <c r="M1253" s="125">
        <v>260356</v>
      </c>
      <c r="N1253" s="148">
        <v>0</v>
      </c>
      <c r="O1253" s="148">
        <v>0</v>
      </c>
      <c r="P1253" s="149">
        <v>0</v>
      </c>
      <c r="Q1253" s="148">
        <v>0</v>
      </c>
      <c r="R1253" s="150">
        <v>260356</v>
      </c>
      <c r="S12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3" s="135">
        <f ca="1">+IF(PROVEEDORES[[#This Row],[FECHA DE PAGO]]=0,TODAY()-PROVEEDORES[[#This Row],[FECHA DE FACTURACIÓN]]-PROVEEDORES[[#This Row],[PLAZO Días]],0)</f>
        <v>0</v>
      </c>
      <c r="U1253" s="135">
        <f>+VLOOKUP(PROVEEDORES[[#This Row],[PROVEEDOR]],Terceros!$A:$D,4,FALSE)</f>
        <v>0</v>
      </c>
      <c r="V1253" s="135">
        <f>+YEAR(PROVEEDORES[[#This Row],[FECHA DE FACTURACIÓN]])</f>
        <v>2023</v>
      </c>
      <c r="W1253" s="135">
        <f>+MATCH(PROVEEDORES[[#This Row],[año facturado]],Retenciones!$1:$1,0)</f>
        <v>6</v>
      </c>
      <c r="X1253" s="136">
        <f>+VLOOKUP(PROVEEDORES[[#This Row],[ID RETENCION]],Retenciones!$A$1:$O$25,PROVEEDORES[[#This Row],[indicador de columna]],FALSE)</f>
        <v>0</v>
      </c>
      <c r="Y1253" s="137">
        <f>+VLOOKUP(PROVEEDORES[[#This Row],[ID RETENCION]],Retenciones!$A$1:$O$25,2,FALSE)</f>
        <v>0</v>
      </c>
      <c r="Z1253" s="126" t="b">
        <f>+OR(COUNTIF(PROVEEDORES[[#This Row],[PROVEEDOR]],"*"&amp;'Palabra que no opera y Listas d'!$A$2&amp;"*"))</f>
        <v>1</v>
      </c>
    </row>
    <row r="1254" spans="1:26" ht="27.75" customHeight="1" x14ac:dyDescent="0.25">
      <c r="A1254" s="141" t="str">
        <f>+IF(PROVEEDORES[[#This Row],[FECHA DE PAGO]]=PROVEEDORES[[#This Row],[FECHA DE FACTURACIÓN]],"DE CONTADO","CRÉDITO")</f>
        <v>CRÉDITO</v>
      </c>
      <c r="B1254" s="138" t="str">
        <f>+IF((PROVEEDORES[[#This Row],[FECHA DE PAGO]]-PROVEEDORES[[#This Row],[FECHA DE FACTURACIÓN]])&gt;PROVEEDORES[[#This Row],[PLAZO Días]],"PAGO VENCIDO")</f>
        <v>PAGO VENCIDO</v>
      </c>
      <c r="C1254" s="138">
        <f>+VLOOKUP(PROVEEDORES[[#This Row],[PROVEEDOR]],TERCEROS_INFO[#All],2,FALSE)</f>
        <v>30</v>
      </c>
      <c r="D1254" s="139">
        <f>+SUMIFS(PROVEEDORES[Total],PROVEEDORES[PROVEEDOR],PROVEEDORES[[#This Row],[PROVEEDOR]],PROVEEDORES[FECHA DE PAGO],"")</f>
        <v>8456975.129999999</v>
      </c>
      <c r="E1254" s="140"/>
      <c r="F1254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254" s="127">
        <v>45338</v>
      </c>
      <c r="H1254" s="123" t="s">
        <v>1464</v>
      </c>
      <c r="I1254" s="127">
        <v>45302</v>
      </c>
      <c r="J1254" s="124" t="s">
        <v>1566</v>
      </c>
      <c r="K1254" s="124" t="s">
        <v>1530</v>
      </c>
      <c r="L1254" s="124" t="s">
        <v>1533</v>
      </c>
      <c r="M1254" s="125">
        <v>190736</v>
      </c>
      <c r="N1254" s="148">
        <v>36239.840000000004</v>
      </c>
      <c r="O1254" s="148">
        <v>0</v>
      </c>
      <c r="P1254" s="149">
        <v>0</v>
      </c>
      <c r="Q1254" s="148">
        <v>0</v>
      </c>
      <c r="R1254" s="150">
        <v>226975.84</v>
      </c>
      <c r="S12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4" s="135">
        <f ca="1">+IF(PROVEEDORES[[#This Row],[FECHA DE PAGO]]=0,TODAY()-PROVEEDORES[[#This Row],[FECHA DE FACTURACIÓN]]-PROVEEDORES[[#This Row],[PLAZO Días]],0)</f>
        <v>0</v>
      </c>
      <c r="U1254" s="135" t="str">
        <f>+VLOOKUP(PROVEEDORES[[#This Row],[PROVEEDOR]],Terceros!$A:$D,4,FALSE)</f>
        <v>2,5% con base</v>
      </c>
      <c r="V1254" s="135">
        <f>+YEAR(PROVEEDORES[[#This Row],[FECHA DE FACTURACIÓN]])</f>
        <v>2024</v>
      </c>
      <c r="W1254" s="135">
        <f>+MATCH(PROVEEDORES[[#This Row],[año facturado]],Retenciones!$1:$1,0)</f>
        <v>7</v>
      </c>
      <c r="X1254" s="136">
        <f>+VLOOKUP(PROVEEDORES[[#This Row],[ID RETENCION]],Retenciones!$A$1:$O$25,PROVEEDORES[[#This Row],[indicador de columna]],FALSE)</f>
        <v>1271000</v>
      </c>
      <c r="Y1254" s="137">
        <f>+VLOOKUP(PROVEEDORES[[#This Row],[ID RETENCION]],Retenciones!$A$1:$O$25,2,FALSE)</f>
        <v>2.5000000000000001E-2</v>
      </c>
      <c r="Z1254" s="126" t="b">
        <f>+OR(COUNTIF(PROVEEDORES[[#This Row],[PROVEEDOR]],"*"&amp;'Palabra que no opera y Listas d'!$A$2&amp;"*"))</f>
        <v>0</v>
      </c>
    </row>
    <row r="1255" spans="1:26" ht="27.75" customHeight="1" x14ac:dyDescent="0.25">
      <c r="A1255" s="141" t="str">
        <f>+IF(PROVEEDORES[[#This Row],[FECHA DE PAGO]]=PROVEEDORES[[#This Row],[FECHA DE FACTURACIÓN]],"DE CONTADO","CRÉDITO")</f>
        <v>CRÉDITO</v>
      </c>
      <c r="B1255" s="138" t="b">
        <f>+IF((PROVEEDORES[[#This Row],[FECHA DE PAGO]]-PROVEEDORES[[#This Row],[FECHA DE FACTURACIÓN]])&gt;PROVEEDORES[[#This Row],[PLAZO Días]],"PAGO VENCIDO")</f>
        <v>0</v>
      </c>
      <c r="C1255" s="138">
        <f>+VLOOKUP(PROVEEDORES[[#This Row],[PROVEEDOR]],TERCEROS_INFO[#All],2,FALSE)</f>
        <v>30</v>
      </c>
      <c r="D1255" s="139">
        <f>+SUMIFS(PROVEEDORES[Total],PROVEEDORES[PROVEEDOR],PROVEEDORES[[#This Row],[PROVEEDOR]],PROVEEDORES[FECHA DE PAGO],"")</f>
        <v>1776037.21</v>
      </c>
      <c r="E1255" s="140"/>
      <c r="F1255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255" s="127">
        <v>45338</v>
      </c>
      <c r="H1255" s="123" t="s">
        <v>17</v>
      </c>
      <c r="I1255" s="127">
        <v>45308</v>
      </c>
      <c r="J1255" s="124" t="s">
        <v>1480</v>
      </c>
      <c r="K1255" s="124" t="s">
        <v>1530</v>
      </c>
      <c r="L1255" s="124" t="s">
        <v>1533</v>
      </c>
      <c r="M1255" s="125">
        <v>1318050</v>
      </c>
      <c r="N1255" s="148">
        <v>0</v>
      </c>
      <c r="O1255" s="148">
        <v>0</v>
      </c>
      <c r="P1255" s="149">
        <v>0</v>
      </c>
      <c r="Q1255" s="148">
        <v>0</v>
      </c>
      <c r="R1255" s="150">
        <v>1318050</v>
      </c>
      <c r="S12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5" s="135">
        <f ca="1">+IF(PROVEEDORES[[#This Row],[FECHA DE PAGO]]=0,TODAY()-PROVEEDORES[[#This Row],[FECHA DE FACTURACIÓN]]-PROVEEDORES[[#This Row],[PLAZO Días]],0)</f>
        <v>0</v>
      </c>
      <c r="U1255" s="135">
        <f>+VLOOKUP(PROVEEDORES[[#This Row],[PROVEEDOR]],Terceros!$A:$D,4,FALSE)</f>
        <v>0</v>
      </c>
      <c r="V1255" s="135">
        <f>+YEAR(PROVEEDORES[[#This Row],[FECHA DE FACTURACIÓN]])</f>
        <v>2024</v>
      </c>
      <c r="W1255" s="135">
        <f>+MATCH(PROVEEDORES[[#This Row],[año facturado]],Retenciones!$1:$1,0)</f>
        <v>7</v>
      </c>
      <c r="X1255" s="136">
        <f>+VLOOKUP(PROVEEDORES[[#This Row],[ID RETENCION]],Retenciones!$A$1:$O$25,PROVEEDORES[[#This Row],[indicador de columna]],FALSE)</f>
        <v>0</v>
      </c>
      <c r="Y1255" s="137">
        <f>+VLOOKUP(PROVEEDORES[[#This Row],[ID RETENCION]],Retenciones!$A$1:$O$25,2,FALSE)</f>
        <v>0</v>
      </c>
      <c r="Z1255" s="126" t="b">
        <f>+OR(COUNTIF(PROVEEDORES[[#This Row],[PROVEEDOR]],"*"&amp;'Palabra que no opera y Listas d'!$A$2&amp;"*"))</f>
        <v>0</v>
      </c>
    </row>
    <row r="1256" spans="1:26" ht="27.75" customHeight="1" x14ac:dyDescent="0.25">
      <c r="A1256" s="141" t="str">
        <f>+IF(PROVEEDORES[[#This Row],[FECHA DE PAGO]]=PROVEEDORES[[#This Row],[FECHA DE FACTURACIÓN]],"DE CONTADO","CRÉDITO")</f>
        <v>CRÉDITO</v>
      </c>
      <c r="B1256" s="138" t="b">
        <f>+IF((PROVEEDORES[[#This Row],[FECHA DE PAGO]]-PROVEEDORES[[#This Row],[FECHA DE FACTURACIÓN]])&gt;PROVEEDORES[[#This Row],[PLAZO Días]],"PAGO VENCIDO")</f>
        <v>0</v>
      </c>
      <c r="C1256" s="138">
        <f>+VLOOKUP(PROVEEDORES[[#This Row],[PROVEEDOR]],TERCEROS_INFO[#All],2,FALSE)</f>
        <v>30</v>
      </c>
      <c r="D1256" s="139">
        <f>+SUMIFS(PROVEEDORES[Total],PROVEEDORES[PROVEEDOR],PROVEEDORES[[#This Row],[PROVEEDOR]],PROVEEDORES[FECHA DE PAGO],"")</f>
        <v>4198834.75</v>
      </c>
      <c r="E1256" s="140"/>
      <c r="F1256" s="13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256" s="127">
        <v>45338</v>
      </c>
      <c r="H1256" s="123" t="s">
        <v>422</v>
      </c>
      <c r="I1256" s="127">
        <v>45312</v>
      </c>
      <c r="J1256" s="124" t="s">
        <v>1505</v>
      </c>
      <c r="K1256" s="124" t="s">
        <v>1530</v>
      </c>
      <c r="L1256" s="124" t="s">
        <v>1534</v>
      </c>
      <c r="M1256" s="125">
        <v>1173000</v>
      </c>
      <c r="N1256" s="148">
        <v>222870</v>
      </c>
      <c r="O1256" s="148">
        <v>117300</v>
      </c>
      <c r="P1256" s="149">
        <v>0</v>
      </c>
      <c r="Q1256" s="148">
        <v>0</v>
      </c>
      <c r="R1256" s="150">
        <v>1278570</v>
      </c>
      <c r="S12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6" s="135">
        <f ca="1">+IF(PROVEEDORES[[#This Row],[FECHA DE PAGO]]=0,TODAY()-PROVEEDORES[[#This Row],[FECHA DE FACTURACIÓN]]-PROVEEDORES[[#This Row],[PLAZO Días]],0)</f>
        <v>0</v>
      </c>
      <c r="U1256" s="135" t="str">
        <f>+VLOOKUP(PROVEEDORES[[#This Row],[PROVEEDOR]],Terceros!$A:$D,4,FALSE)</f>
        <v>2,5% con base</v>
      </c>
      <c r="V1256" s="135">
        <f>+YEAR(PROVEEDORES[[#This Row],[FECHA DE FACTURACIÓN]])</f>
        <v>2024</v>
      </c>
      <c r="W1256" s="135">
        <f>+MATCH(PROVEEDORES[[#This Row],[año facturado]],Retenciones!$1:$1,0)</f>
        <v>7</v>
      </c>
      <c r="X1256" s="136">
        <f>+VLOOKUP(PROVEEDORES[[#This Row],[ID RETENCION]],Retenciones!$A$1:$O$25,PROVEEDORES[[#This Row],[indicador de columna]],FALSE)</f>
        <v>1271000</v>
      </c>
      <c r="Y1256" s="137">
        <f>+VLOOKUP(PROVEEDORES[[#This Row],[ID RETENCION]],Retenciones!$A$1:$O$25,2,FALSE)</f>
        <v>2.5000000000000001E-2</v>
      </c>
      <c r="Z1256" s="126" t="b">
        <f>+OR(COUNTIF(PROVEEDORES[[#This Row],[PROVEEDOR]],"*"&amp;'Palabra que no opera y Listas d'!$A$2&amp;"*"))</f>
        <v>0</v>
      </c>
    </row>
    <row r="1257" spans="1:26" ht="27.75" customHeight="1" x14ac:dyDescent="0.25">
      <c r="A1257" s="141" t="str">
        <f>+IF(PROVEEDORES[[#This Row],[FECHA DE PAGO]]=PROVEEDORES[[#This Row],[FECHA DE FACTURACIÓN]],"DE CONTADO","CRÉDITO")</f>
        <v>CRÉDITO</v>
      </c>
      <c r="B1257" s="138" t="str">
        <f>+IF((PROVEEDORES[[#This Row],[FECHA DE PAGO]]-PROVEEDORES[[#This Row],[FECHA DE FACTURACIÓN]])&gt;PROVEEDORES[[#This Row],[PLAZO Días]],"PAGO VENCIDO")</f>
        <v>PAGO VENCIDO</v>
      </c>
      <c r="C1257" s="138">
        <f>+VLOOKUP(PROVEEDORES[[#This Row],[PROVEEDOR]],TERCEROS_INFO[#All],2,FALSE)</f>
        <v>13</v>
      </c>
      <c r="D1257" s="139">
        <f>+SUMIFS(PROVEEDORES[Total],PROVEEDORES[PROVEEDOR],PROVEEDORES[[#This Row],[PROVEEDOR]],PROVEEDORES[FECHA DE PAGO],"")</f>
        <v>0</v>
      </c>
      <c r="E1257" s="140"/>
      <c r="F1257" s="138">
        <f>+VLOOKUP(PROVEEDORES[[#This Row],[PROVEEDOR]],
                       Terceros!$A:$F,
                       5,
                       FALSE)</f>
        <v>0</v>
      </c>
      <c r="G1257" s="127">
        <v>45338</v>
      </c>
      <c r="H1257" s="123" t="s">
        <v>389</v>
      </c>
      <c r="I1257" s="127">
        <v>45323</v>
      </c>
      <c r="J1257" s="124"/>
      <c r="K1257" s="124" t="s">
        <v>1530</v>
      </c>
      <c r="L1257" s="124" t="s">
        <v>1533</v>
      </c>
      <c r="M1257" s="125">
        <v>851877</v>
      </c>
      <c r="N1257" s="148">
        <v>0</v>
      </c>
      <c r="O1257" s="148">
        <v>0</v>
      </c>
      <c r="P1257" s="149">
        <v>0</v>
      </c>
      <c r="Q1257" s="148">
        <v>0</v>
      </c>
      <c r="R1257" s="150">
        <v>851877</v>
      </c>
      <c r="S12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7" s="135">
        <f ca="1">+IF(PROVEEDORES[[#This Row],[FECHA DE PAGO]]=0,TODAY()-PROVEEDORES[[#This Row],[FECHA DE FACTURACIÓN]]-PROVEEDORES[[#This Row],[PLAZO Días]],0)</f>
        <v>0</v>
      </c>
      <c r="U1257" s="135">
        <f>+VLOOKUP(PROVEEDORES[[#This Row],[PROVEEDOR]],Terceros!$A:$D,4,FALSE)</f>
        <v>0</v>
      </c>
      <c r="V1257" s="135">
        <f>+YEAR(PROVEEDORES[[#This Row],[FECHA DE FACTURACIÓN]])</f>
        <v>2024</v>
      </c>
      <c r="W1257" s="135">
        <f>+MATCH(PROVEEDORES[[#This Row],[año facturado]],Retenciones!$1:$1,0)</f>
        <v>7</v>
      </c>
      <c r="X1257" s="136">
        <f>+VLOOKUP(PROVEEDORES[[#This Row],[ID RETENCION]],Retenciones!$A$1:$O$25,PROVEEDORES[[#This Row],[indicador de columna]],FALSE)</f>
        <v>0</v>
      </c>
      <c r="Y1257" s="137">
        <f>+VLOOKUP(PROVEEDORES[[#This Row],[ID RETENCION]],Retenciones!$A$1:$O$25,2,FALSE)</f>
        <v>0</v>
      </c>
      <c r="Z1257" s="126" t="b">
        <f>+OR(COUNTIF(PROVEEDORES[[#This Row],[PROVEEDOR]],"*"&amp;'Palabra que no opera y Listas d'!$A$2&amp;"*"))</f>
        <v>1</v>
      </c>
    </row>
    <row r="1258" spans="1:26" ht="27.75" customHeight="1" x14ac:dyDescent="0.25">
      <c r="A1258" s="141" t="str">
        <f>+IF(PROVEEDORES[[#This Row],[FECHA DE PAGO]]=PROVEEDORES[[#This Row],[FECHA DE FACTURACIÓN]],"DE CONTADO","CRÉDITO")</f>
        <v>CRÉDITO</v>
      </c>
      <c r="B1258" s="138" t="b">
        <f>+IF((PROVEEDORES[[#This Row],[FECHA DE PAGO]]-PROVEEDORES[[#This Row],[FECHA DE FACTURACIÓN]])&gt;PROVEEDORES[[#This Row],[PLAZO Días]],"PAGO VENCIDO")</f>
        <v>0</v>
      </c>
      <c r="C1258" s="138">
        <f>+VLOOKUP(PROVEEDORES[[#This Row],[PROVEEDOR]],TERCEROS_INFO[#All],2,FALSE)</f>
        <v>30</v>
      </c>
      <c r="D1258" s="139">
        <f>+SUMIFS(PROVEEDORES[Total],PROVEEDORES[PROVEEDOR],PROVEEDORES[[#This Row],[PROVEEDOR]],PROVEEDORES[FECHA DE PAGO],"")</f>
        <v>0</v>
      </c>
      <c r="E1258" s="140"/>
      <c r="F1258" s="138">
        <f>+VLOOKUP(PROVEEDORES[[#This Row],[PROVEEDOR]],
                       Terceros!$A:$F,
                       5,
                       FALSE)</f>
        <v>0</v>
      </c>
      <c r="G1258" s="127">
        <v>45338</v>
      </c>
      <c r="H1258" s="123" t="s">
        <v>836</v>
      </c>
      <c r="I1258" s="127">
        <v>45324</v>
      </c>
      <c r="J1258" s="124" t="s">
        <v>1511</v>
      </c>
      <c r="K1258" s="124" t="s">
        <v>504</v>
      </c>
      <c r="L1258" s="124" t="s">
        <v>1395</v>
      </c>
      <c r="M1258" s="125">
        <v>-2000</v>
      </c>
      <c r="N1258" s="148">
        <v>0</v>
      </c>
      <c r="O1258" s="148">
        <v>0</v>
      </c>
      <c r="P1258" s="149">
        <v>0</v>
      </c>
      <c r="Q1258" s="148">
        <v>0</v>
      </c>
      <c r="R1258" s="150">
        <v>-2000</v>
      </c>
      <c r="S12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8" s="135">
        <f ca="1">+IF(PROVEEDORES[[#This Row],[FECHA DE PAGO]]=0,TODAY()-PROVEEDORES[[#This Row],[FECHA DE FACTURACIÓN]]-PROVEEDORES[[#This Row],[PLAZO Días]],0)</f>
        <v>0</v>
      </c>
      <c r="U1258" s="135">
        <f>+VLOOKUP(PROVEEDORES[[#This Row],[PROVEEDOR]],Terceros!$A:$D,4,FALSE)</f>
        <v>0</v>
      </c>
      <c r="V1258" s="135">
        <f>+YEAR(PROVEEDORES[[#This Row],[FECHA DE FACTURACIÓN]])</f>
        <v>2024</v>
      </c>
      <c r="W1258" s="135">
        <f>+MATCH(PROVEEDORES[[#This Row],[año facturado]],Retenciones!$1:$1,0)</f>
        <v>7</v>
      </c>
      <c r="X1258" s="136">
        <f>+VLOOKUP(PROVEEDORES[[#This Row],[ID RETENCION]],Retenciones!$A$1:$O$25,PROVEEDORES[[#This Row],[indicador de columna]],FALSE)</f>
        <v>0</v>
      </c>
      <c r="Y1258" s="137">
        <f>+VLOOKUP(PROVEEDORES[[#This Row],[ID RETENCION]],Retenciones!$A$1:$O$25,2,FALSE)</f>
        <v>0</v>
      </c>
      <c r="Z1258" s="126" t="b">
        <f>+OR(COUNTIF(PROVEEDORES[[#This Row],[PROVEEDOR]],"*"&amp;'Palabra que no opera y Listas d'!$A$2&amp;"*"))</f>
        <v>0</v>
      </c>
    </row>
    <row r="1259" spans="1:26" ht="27.75" customHeight="1" x14ac:dyDescent="0.25">
      <c r="A1259" s="141" t="str">
        <f>+IF(PROVEEDORES[[#This Row],[FECHA DE PAGO]]=PROVEEDORES[[#This Row],[FECHA DE FACTURACIÓN]],"DE CONTADO","CRÉDITO")</f>
        <v>CRÉDITO</v>
      </c>
      <c r="B1259" s="138" t="b">
        <f>+IF((PROVEEDORES[[#This Row],[FECHA DE PAGO]]-PROVEEDORES[[#This Row],[FECHA DE FACTURACIÓN]])&gt;PROVEEDORES[[#This Row],[PLAZO Días]],"PAGO VENCIDO")</f>
        <v>0</v>
      </c>
      <c r="C1259" s="138">
        <f>+VLOOKUP(PROVEEDORES[[#This Row],[PROVEEDOR]],TERCEROS_INFO[#All],2,FALSE)</f>
        <v>30</v>
      </c>
      <c r="D1259" s="139">
        <f>+SUMIFS(PROVEEDORES[Total],PROVEEDORES[PROVEEDOR],PROVEEDORES[[#This Row],[PROVEEDOR]],PROVEEDORES[FECHA DE PAGO],"")</f>
        <v>0</v>
      </c>
      <c r="E1259" s="140"/>
      <c r="F1259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1259" s="127">
        <v>45338</v>
      </c>
      <c r="H1259" s="123" t="s">
        <v>373</v>
      </c>
      <c r="I1259" s="127">
        <v>45328</v>
      </c>
      <c r="J1259" s="124" t="s">
        <v>1565</v>
      </c>
      <c r="K1259" s="124" t="s">
        <v>1530</v>
      </c>
      <c r="L1259" s="124" t="s">
        <v>1534</v>
      </c>
      <c r="M1259" s="125">
        <v>2202761</v>
      </c>
      <c r="N1259" s="148">
        <v>0</v>
      </c>
      <c r="O1259" s="148">
        <v>418942</v>
      </c>
      <c r="P1259" s="149">
        <v>0</v>
      </c>
      <c r="Q1259" s="148">
        <v>0</v>
      </c>
      <c r="R1259" s="150">
        <v>1783819</v>
      </c>
      <c r="S12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59" s="135">
        <f ca="1">+IF(PROVEEDORES[[#This Row],[FECHA DE PAGO]]=0,TODAY()-PROVEEDORES[[#This Row],[FECHA DE FACTURACIÓN]]-PROVEEDORES[[#This Row],[PLAZO Días]],0)</f>
        <v>0</v>
      </c>
      <c r="U1259" s="135">
        <f>+VLOOKUP(PROVEEDORES[[#This Row],[PROVEEDOR]],Terceros!$A:$D,4,FALSE)</f>
        <v>0</v>
      </c>
      <c r="V1259" s="135">
        <f>+YEAR(PROVEEDORES[[#This Row],[FECHA DE FACTURACIÓN]])</f>
        <v>2024</v>
      </c>
      <c r="W1259" s="135">
        <f>+MATCH(PROVEEDORES[[#This Row],[año facturado]],Retenciones!$1:$1,0)</f>
        <v>7</v>
      </c>
      <c r="X1259" s="136">
        <f>+VLOOKUP(PROVEEDORES[[#This Row],[ID RETENCION]],Retenciones!$A$1:$O$25,PROVEEDORES[[#This Row],[indicador de columna]],FALSE)</f>
        <v>0</v>
      </c>
      <c r="Y1259" s="137">
        <f>+VLOOKUP(PROVEEDORES[[#This Row],[ID RETENCION]],Retenciones!$A$1:$O$25,2,FALSE)</f>
        <v>0</v>
      </c>
      <c r="Z1259" s="126" t="b">
        <f>+OR(COUNTIF(PROVEEDORES[[#This Row],[PROVEEDOR]],"*"&amp;'Palabra que no opera y Listas d'!$A$2&amp;"*"))</f>
        <v>1</v>
      </c>
    </row>
    <row r="1260" spans="1:26" ht="27.75" customHeight="1" x14ac:dyDescent="0.25">
      <c r="A1260" s="141" t="str">
        <f>+IF(PROVEEDORES[[#This Row],[FECHA DE PAGO]]=PROVEEDORES[[#This Row],[FECHA DE FACTURACIÓN]],"DE CONTADO","CRÉDITO")</f>
        <v>CRÉDITO</v>
      </c>
      <c r="B1260" s="138" t="b">
        <f>+IF((PROVEEDORES[[#This Row],[FECHA DE PAGO]]-PROVEEDORES[[#This Row],[FECHA DE FACTURACIÓN]])&gt;PROVEEDORES[[#This Row],[PLAZO Días]],"PAGO VENCIDO")</f>
        <v>0</v>
      </c>
      <c r="C1260" s="138">
        <f>+VLOOKUP(PROVEEDORES[[#This Row],[PROVEEDOR]],TERCEROS_INFO[#All],2,FALSE)</f>
        <v>30</v>
      </c>
      <c r="D1260" s="139">
        <f>+SUMIFS(PROVEEDORES[Total],PROVEEDORES[PROVEEDOR],PROVEEDORES[[#This Row],[PROVEEDOR]],PROVEEDORES[FECHA DE PAGO],"")</f>
        <v>0</v>
      </c>
      <c r="E1260" s="140"/>
      <c r="F1260" s="138">
        <f>+VLOOKUP(PROVEEDORES[[#This Row],[PROVEEDOR]],
                       Terceros!$A:$F,
                       5,
                       FALSE)</f>
        <v>0</v>
      </c>
      <c r="G1260" s="127">
        <v>45338</v>
      </c>
      <c r="H1260" s="123" t="s">
        <v>836</v>
      </c>
      <c r="I1260" s="127">
        <v>45337</v>
      </c>
      <c r="J1260" s="124" t="s">
        <v>1563</v>
      </c>
      <c r="K1260" s="124" t="s">
        <v>504</v>
      </c>
      <c r="L1260" s="124" t="s">
        <v>1395</v>
      </c>
      <c r="M1260" s="125">
        <v>442000</v>
      </c>
      <c r="N1260" s="148">
        <v>0</v>
      </c>
      <c r="O1260" s="148">
        <v>0</v>
      </c>
      <c r="P1260" s="149">
        <v>0</v>
      </c>
      <c r="Q1260" s="148">
        <v>0</v>
      </c>
      <c r="R1260" s="150">
        <v>442000</v>
      </c>
      <c r="S12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0" s="135">
        <f ca="1">+IF(PROVEEDORES[[#This Row],[FECHA DE PAGO]]=0,TODAY()-PROVEEDORES[[#This Row],[FECHA DE FACTURACIÓN]]-PROVEEDORES[[#This Row],[PLAZO Días]],0)</f>
        <v>0</v>
      </c>
      <c r="U1260" s="135">
        <f>+VLOOKUP(PROVEEDORES[[#This Row],[PROVEEDOR]],Terceros!$A:$D,4,FALSE)</f>
        <v>0</v>
      </c>
      <c r="V1260" s="135">
        <f>+YEAR(PROVEEDORES[[#This Row],[FECHA DE FACTURACIÓN]])</f>
        <v>2024</v>
      </c>
      <c r="W1260" s="135">
        <f>+MATCH(PROVEEDORES[[#This Row],[año facturado]],Retenciones!$1:$1,0)</f>
        <v>7</v>
      </c>
      <c r="X1260" s="136">
        <f>+VLOOKUP(PROVEEDORES[[#This Row],[ID RETENCION]],Retenciones!$A$1:$O$25,PROVEEDORES[[#This Row],[indicador de columna]],FALSE)</f>
        <v>0</v>
      </c>
      <c r="Y1260" s="137">
        <f>+VLOOKUP(PROVEEDORES[[#This Row],[ID RETENCION]],Retenciones!$A$1:$O$25,2,FALSE)</f>
        <v>0</v>
      </c>
      <c r="Z1260" s="126" t="b">
        <f>+OR(COUNTIF(PROVEEDORES[[#This Row],[PROVEEDOR]],"*"&amp;'Palabra que no opera y Listas d'!$A$2&amp;"*"))</f>
        <v>0</v>
      </c>
    </row>
    <row r="1261" spans="1:26" ht="27.75" customHeight="1" x14ac:dyDescent="0.25">
      <c r="A1261" s="141" t="str">
        <f>+IF(PROVEEDORES[[#This Row],[FECHA DE PAGO]]=PROVEEDORES[[#This Row],[FECHA DE FACTURACIÓN]],"DE CONTADO","CRÉDITO")</f>
        <v>DE CONTADO</v>
      </c>
      <c r="B1261" s="138" t="b">
        <f>+IF((PROVEEDORES[[#This Row],[FECHA DE PAGO]]-PROVEEDORES[[#This Row],[FECHA DE FACTURACIÓN]])&gt;PROVEEDORES[[#This Row],[PLAZO Días]],"PAGO VENCIDO")</f>
        <v>0</v>
      </c>
      <c r="C1261" s="138">
        <f>+VLOOKUP(PROVEEDORES[[#This Row],[PROVEEDOR]],TERCEROS_INFO[#All],2,FALSE)</f>
        <v>30</v>
      </c>
      <c r="D1261" s="139">
        <f>+SUMIFS(PROVEEDORES[Total],PROVEEDORES[PROVEEDOR],PROVEEDORES[[#This Row],[PROVEEDOR]],PROVEEDORES[FECHA DE PAGO],"")</f>
        <v>0</v>
      </c>
      <c r="E1261" s="140"/>
      <c r="F1261" s="138" t="str">
        <f>+VLOOKUP(PROVEEDORES[[#This Row],[PROVEEDOR]],
                       Terceros!$A:$F,
                       5,
                       FALSE)</f>
        <v/>
      </c>
      <c r="G1261" s="127">
        <v>45338</v>
      </c>
      <c r="H1261" s="123" t="s">
        <v>1828</v>
      </c>
      <c r="I1261" s="127">
        <v>45338</v>
      </c>
      <c r="J1261" s="124" t="s">
        <v>1604</v>
      </c>
      <c r="K1261" s="124" t="s">
        <v>1530</v>
      </c>
      <c r="L1261" s="124" t="s">
        <v>1395</v>
      </c>
      <c r="M1261" s="125">
        <v>227000</v>
      </c>
      <c r="N1261" s="148">
        <v>0</v>
      </c>
      <c r="O1261" s="148">
        <v>0</v>
      </c>
      <c r="P1261" s="149">
        <v>0</v>
      </c>
      <c r="Q1261" s="148">
        <v>0</v>
      </c>
      <c r="R1261" s="150">
        <v>227000</v>
      </c>
      <c r="S12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1" s="135">
        <f ca="1">+IF(PROVEEDORES[[#This Row],[FECHA DE PAGO]]=0,TODAY()-PROVEEDORES[[#This Row],[FECHA DE FACTURACIÓN]]-PROVEEDORES[[#This Row],[PLAZO Días]],0)</f>
        <v>0</v>
      </c>
      <c r="U1261" s="135">
        <f>+VLOOKUP(PROVEEDORES[[#This Row],[PROVEEDOR]],Terceros!$A:$D,4,FALSE)</f>
        <v>0</v>
      </c>
      <c r="V1261" s="135">
        <f>+YEAR(PROVEEDORES[[#This Row],[FECHA DE FACTURACIÓN]])</f>
        <v>2024</v>
      </c>
      <c r="W1261" s="135">
        <f>+MATCH(PROVEEDORES[[#This Row],[año facturado]],Retenciones!$1:$1,0)</f>
        <v>7</v>
      </c>
      <c r="X1261" s="136">
        <f>+VLOOKUP(PROVEEDORES[[#This Row],[ID RETENCION]],Retenciones!$A$1:$O$25,PROVEEDORES[[#This Row],[indicador de columna]],FALSE)</f>
        <v>0</v>
      </c>
      <c r="Y1261" s="137">
        <f>+VLOOKUP(PROVEEDORES[[#This Row],[ID RETENCION]],Retenciones!$A$1:$O$25,2,FALSE)</f>
        <v>0</v>
      </c>
      <c r="Z1261" s="126" t="b">
        <f>+OR(COUNTIF(PROVEEDORES[[#This Row],[PROVEEDOR]],"*"&amp;'Palabra que no opera y Listas d'!$A$2&amp;"*"))</f>
        <v>0</v>
      </c>
    </row>
    <row r="1262" spans="1:26" ht="27.75" customHeight="1" x14ac:dyDescent="0.25">
      <c r="A1262" s="141" t="str">
        <f>+IF(PROVEEDORES[[#This Row],[FECHA DE PAGO]]=PROVEEDORES[[#This Row],[FECHA DE FACTURACIÓN]],"DE CONTADO","CRÉDITO")</f>
        <v>DE CONTADO</v>
      </c>
      <c r="B1262" s="138" t="b">
        <f>+IF((PROVEEDORES[[#This Row],[FECHA DE PAGO]]-PROVEEDORES[[#This Row],[FECHA DE FACTURACIÓN]])&gt;PROVEEDORES[[#This Row],[PLAZO Días]],"PAGO VENCIDO")</f>
        <v>0</v>
      </c>
      <c r="C1262" s="138">
        <f>+VLOOKUP(PROVEEDORES[[#This Row],[PROVEEDOR]],TERCEROS_INFO[#All],2,FALSE)</f>
        <v>30</v>
      </c>
      <c r="D1262" s="139">
        <f>+SUMIFS(PROVEEDORES[Total],PROVEEDORES[PROVEEDOR],PROVEEDORES[[#This Row],[PROVEEDOR]],PROVEEDORES[FECHA DE PAGO],"")</f>
        <v>0</v>
      </c>
      <c r="E1262" s="140"/>
      <c r="F1262" s="138" t="str">
        <f>+VLOOKUP(PROVEEDORES[[#This Row],[PROVEEDOR]],
                       Terceros!$A:$F,
                       5,
                       FALSE)</f>
        <v/>
      </c>
      <c r="G1262" s="127">
        <v>45338</v>
      </c>
      <c r="H1262" s="123" t="s">
        <v>1824</v>
      </c>
      <c r="I1262" s="127">
        <v>45338</v>
      </c>
      <c r="J1262" s="124"/>
      <c r="K1262" s="124" t="s">
        <v>1530</v>
      </c>
      <c r="L1262" s="124" t="s">
        <v>1395</v>
      </c>
      <c r="M1262" s="125">
        <v>609600</v>
      </c>
      <c r="N1262" s="148">
        <v>0</v>
      </c>
      <c r="O1262" s="148">
        <v>0</v>
      </c>
      <c r="P1262" s="149">
        <v>0</v>
      </c>
      <c r="Q1262" s="148">
        <v>0</v>
      </c>
      <c r="R1262" s="150">
        <v>609600</v>
      </c>
      <c r="S12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2" s="135">
        <f ca="1">+IF(PROVEEDORES[[#This Row],[FECHA DE PAGO]]=0,TODAY()-PROVEEDORES[[#This Row],[FECHA DE FACTURACIÓN]]-PROVEEDORES[[#This Row],[PLAZO Días]],0)</f>
        <v>0</v>
      </c>
      <c r="U1262" s="135">
        <f>+VLOOKUP(PROVEEDORES[[#This Row],[PROVEEDOR]],Terceros!$A:$D,4,FALSE)</f>
        <v>0</v>
      </c>
      <c r="V1262" s="135">
        <f>+YEAR(PROVEEDORES[[#This Row],[FECHA DE FACTURACIÓN]])</f>
        <v>2024</v>
      </c>
      <c r="W1262" s="135">
        <f>+MATCH(PROVEEDORES[[#This Row],[año facturado]],Retenciones!$1:$1,0)</f>
        <v>7</v>
      </c>
      <c r="X1262" s="136">
        <f>+VLOOKUP(PROVEEDORES[[#This Row],[ID RETENCION]],Retenciones!$A$1:$O$25,PROVEEDORES[[#This Row],[indicador de columna]],FALSE)</f>
        <v>0</v>
      </c>
      <c r="Y1262" s="137">
        <f>+VLOOKUP(PROVEEDORES[[#This Row],[ID RETENCION]],Retenciones!$A$1:$O$25,2,FALSE)</f>
        <v>0</v>
      </c>
      <c r="Z1262" s="126" t="b">
        <f>+OR(COUNTIF(PROVEEDORES[[#This Row],[PROVEEDOR]],"*"&amp;'Palabra que no opera y Listas d'!$A$2&amp;"*"))</f>
        <v>0</v>
      </c>
    </row>
    <row r="1263" spans="1:26" ht="27.75" customHeight="1" x14ac:dyDescent="0.25">
      <c r="A1263" s="141" t="str">
        <f>+IF(PROVEEDORES[[#This Row],[FECHA DE PAGO]]=PROVEEDORES[[#This Row],[FECHA DE FACTURACIÓN]],"DE CONTADO","CRÉDITO")</f>
        <v>DE CONTADO</v>
      </c>
      <c r="B1263" s="138" t="b">
        <f>+IF((PROVEEDORES[[#This Row],[FECHA DE PAGO]]-PROVEEDORES[[#This Row],[FECHA DE FACTURACIÓN]])&gt;PROVEEDORES[[#This Row],[PLAZO Días]],"PAGO VENCIDO")</f>
        <v>0</v>
      </c>
      <c r="C1263" s="138">
        <f>+VLOOKUP(PROVEEDORES[[#This Row],[PROVEEDOR]],TERCEROS_INFO[#All],2,FALSE)</f>
        <v>0</v>
      </c>
      <c r="D1263" s="139">
        <f>+SUMIFS(PROVEEDORES[Total],PROVEEDORES[PROVEEDOR],PROVEEDORES[[#This Row],[PROVEEDOR]],PROVEEDORES[FECHA DE PAGO],"")</f>
        <v>0</v>
      </c>
      <c r="E1263" s="140"/>
      <c r="F1263" s="138">
        <f>+VLOOKUP(PROVEEDORES[[#This Row],[PROVEEDOR]],
                       Terceros!$A:$F,
                       5,
                       FALSE)</f>
        <v>0</v>
      </c>
      <c r="G1263" s="127">
        <v>45338</v>
      </c>
      <c r="H1263" s="123" t="s">
        <v>1568</v>
      </c>
      <c r="I1263" s="127">
        <v>45338</v>
      </c>
      <c r="J1263" s="124">
        <v>23298</v>
      </c>
      <c r="K1263" s="124"/>
      <c r="L1263" s="124" t="s">
        <v>1395</v>
      </c>
      <c r="M1263" s="125">
        <v>17612</v>
      </c>
      <c r="N1263" s="148">
        <v>3346.28</v>
      </c>
      <c r="O1263" s="148">
        <v>0</v>
      </c>
      <c r="P1263" s="149">
        <v>0</v>
      </c>
      <c r="Q1263" s="148">
        <v>0</v>
      </c>
      <c r="R1263" s="150">
        <v>20958.28</v>
      </c>
      <c r="S12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3" s="135">
        <f ca="1">+IF(PROVEEDORES[[#This Row],[FECHA DE PAGO]]=0,TODAY()-PROVEEDORES[[#This Row],[FECHA DE FACTURACIÓN]]-PROVEEDORES[[#This Row],[PLAZO Días]],0)</f>
        <v>0</v>
      </c>
      <c r="U1263" s="135">
        <f>+VLOOKUP(PROVEEDORES[[#This Row],[PROVEEDOR]],Terceros!$A:$D,4,FALSE)</f>
        <v>0</v>
      </c>
      <c r="V1263" s="135">
        <f>+YEAR(PROVEEDORES[[#This Row],[FECHA DE FACTURACIÓN]])</f>
        <v>2024</v>
      </c>
      <c r="W1263" s="135">
        <f>+MATCH(PROVEEDORES[[#This Row],[año facturado]],Retenciones!$1:$1,0)</f>
        <v>7</v>
      </c>
      <c r="X1263" s="136">
        <f>+VLOOKUP(PROVEEDORES[[#This Row],[ID RETENCION]],Retenciones!$A$1:$O$25,PROVEEDORES[[#This Row],[indicador de columna]],FALSE)</f>
        <v>0</v>
      </c>
      <c r="Y1263" s="137">
        <f>+VLOOKUP(PROVEEDORES[[#This Row],[ID RETENCION]],Retenciones!$A$1:$O$25,2,FALSE)</f>
        <v>0</v>
      </c>
      <c r="Z1263" s="126" t="b">
        <f>+OR(COUNTIF(PROVEEDORES[[#This Row],[PROVEEDOR]],"*"&amp;'Palabra que no opera y Listas d'!$A$2&amp;"*"))</f>
        <v>0</v>
      </c>
    </row>
    <row r="1264" spans="1:26" ht="27.75" customHeight="1" x14ac:dyDescent="0.25">
      <c r="A1264" s="141" t="str">
        <f>+IF(PROVEEDORES[[#This Row],[FECHA DE PAGO]]=PROVEEDORES[[#This Row],[FECHA DE FACTURACIÓN]],"DE CONTADO","CRÉDITO")</f>
        <v>CRÉDITO</v>
      </c>
      <c r="B1264" s="138" t="b">
        <f>+IF((PROVEEDORES[[#This Row],[FECHA DE PAGO]]-PROVEEDORES[[#This Row],[FECHA DE FACTURACIÓN]])&gt;PROVEEDORES[[#This Row],[PLAZO Días]],"PAGO VENCIDO")</f>
        <v>0</v>
      </c>
      <c r="C1264" s="138">
        <f>+VLOOKUP(PROVEEDORES[[#This Row],[PROVEEDOR]],TERCEROS_INFO[#All],2,FALSE)</f>
        <v>30</v>
      </c>
      <c r="D1264" s="139">
        <f>+SUMIFS(PROVEEDORES[Total],PROVEEDORES[PROVEEDOR],PROVEEDORES[[#This Row],[PROVEEDOR]],PROVEEDORES[FECHA DE PAGO],"")</f>
        <v>0</v>
      </c>
      <c r="E1264" s="140"/>
      <c r="F1264" s="138" t="str">
        <f>+VLOOKUP(PROVEEDORES[[#This Row],[PROVEEDOR]],
                       Terceros!$A:$F,
                       5,
                       FALSE)</f>
        <v/>
      </c>
      <c r="G1264" s="127">
        <v>45339</v>
      </c>
      <c r="H1264" s="123" t="s">
        <v>481</v>
      </c>
      <c r="I1264" s="127">
        <v>45338</v>
      </c>
      <c r="J1264" s="124" t="s">
        <v>1608</v>
      </c>
      <c r="K1264" s="124" t="s">
        <v>1530</v>
      </c>
      <c r="L1264" s="124"/>
      <c r="M1264" s="125">
        <v>1093000</v>
      </c>
      <c r="N1264" s="148">
        <v>0</v>
      </c>
      <c r="O1264" s="148">
        <v>0</v>
      </c>
      <c r="P1264" s="149">
        <v>0</v>
      </c>
      <c r="Q1264" s="148">
        <v>0</v>
      </c>
      <c r="R1264" s="150">
        <v>1093000</v>
      </c>
      <c r="S12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4" s="135">
        <f ca="1">+IF(PROVEEDORES[[#This Row],[FECHA DE PAGO]]=0,TODAY()-PROVEEDORES[[#This Row],[FECHA DE FACTURACIÓN]]-PROVEEDORES[[#This Row],[PLAZO Días]],0)</f>
        <v>0</v>
      </c>
      <c r="U1264" s="135">
        <f>+VLOOKUP(PROVEEDORES[[#This Row],[PROVEEDOR]],Terceros!$A:$D,4,FALSE)</f>
        <v>0</v>
      </c>
      <c r="V1264" s="135">
        <f>+YEAR(PROVEEDORES[[#This Row],[FECHA DE FACTURACIÓN]])</f>
        <v>2024</v>
      </c>
      <c r="W1264" s="135">
        <f>+MATCH(PROVEEDORES[[#This Row],[año facturado]],Retenciones!$1:$1,0)</f>
        <v>7</v>
      </c>
      <c r="X1264" s="136">
        <f>+VLOOKUP(PROVEEDORES[[#This Row],[ID RETENCION]],Retenciones!$A$1:$O$25,PROVEEDORES[[#This Row],[indicador de columna]],FALSE)</f>
        <v>0</v>
      </c>
      <c r="Y1264" s="137">
        <f>+VLOOKUP(PROVEEDORES[[#This Row],[ID RETENCION]],Retenciones!$A$1:$O$25,2,FALSE)</f>
        <v>0</v>
      </c>
      <c r="Z1264" s="126" t="b">
        <f>+OR(COUNTIF(PROVEEDORES[[#This Row],[PROVEEDOR]],"*"&amp;'Palabra que no opera y Listas d'!$A$2&amp;"*"))</f>
        <v>0</v>
      </c>
    </row>
    <row r="1265" spans="1:26" ht="27.75" customHeight="1" x14ac:dyDescent="0.25">
      <c r="A1265" s="141" t="str">
        <f>+IF(PROVEEDORES[[#This Row],[FECHA DE PAGO]]=PROVEEDORES[[#This Row],[FECHA DE FACTURACIÓN]],"DE CONTADO","CRÉDITO")</f>
        <v>DE CONTADO</v>
      </c>
      <c r="B1265" s="138" t="b">
        <f>+IF((PROVEEDORES[[#This Row],[FECHA DE PAGO]]-PROVEEDORES[[#This Row],[FECHA DE FACTURACIÓN]])&gt;PROVEEDORES[[#This Row],[PLAZO Días]],"PAGO VENCIDO")</f>
        <v>0</v>
      </c>
      <c r="C1265" s="138">
        <f>+VLOOKUP(PROVEEDORES[[#This Row],[PROVEEDOR]],TERCEROS_INFO[#All],2,FALSE)</f>
        <v>30</v>
      </c>
      <c r="D1265" s="139">
        <f>+SUMIFS(PROVEEDORES[Total],PROVEEDORES[PROVEEDOR],PROVEEDORES[[#This Row],[PROVEEDOR]],PROVEEDORES[FECHA DE PAGO],"")</f>
        <v>1350000</v>
      </c>
      <c r="E1265" s="140"/>
      <c r="F1265" s="138" t="str">
        <f>+VLOOKUP(PROVEEDORES[[#This Row],[PROVEEDOR]],
                       Terceros!$A:$F,
                       5,
                       FALSE)</f>
        <v/>
      </c>
      <c r="G1265" s="127">
        <v>45339</v>
      </c>
      <c r="H1265" s="123" t="s">
        <v>1807</v>
      </c>
      <c r="I1265" s="127">
        <v>45339</v>
      </c>
      <c r="J1265" s="124" t="s">
        <v>1602</v>
      </c>
      <c r="K1265" s="124" t="s">
        <v>1530</v>
      </c>
      <c r="L1265" s="124" t="s">
        <v>1395</v>
      </c>
      <c r="M1265" s="125">
        <v>690000</v>
      </c>
      <c r="N1265" s="148">
        <v>0</v>
      </c>
      <c r="O1265" s="148">
        <v>0</v>
      </c>
      <c r="P1265" s="149">
        <v>0</v>
      </c>
      <c r="Q1265" s="148">
        <v>0</v>
      </c>
      <c r="R1265" s="150">
        <v>690000</v>
      </c>
      <c r="S12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5" s="135">
        <f ca="1">+IF(PROVEEDORES[[#This Row],[FECHA DE PAGO]]=0,TODAY()-PROVEEDORES[[#This Row],[FECHA DE FACTURACIÓN]]-PROVEEDORES[[#This Row],[PLAZO Días]],0)</f>
        <v>0</v>
      </c>
      <c r="U1265" s="135">
        <f>+VLOOKUP(PROVEEDORES[[#This Row],[PROVEEDOR]],Terceros!$A:$D,4,FALSE)</f>
        <v>0</v>
      </c>
      <c r="V1265" s="135">
        <f>+YEAR(PROVEEDORES[[#This Row],[FECHA DE FACTURACIÓN]])</f>
        <v>2024</v>
      </c>
      <c r="W1265" s="135">
        <f>+MATCH(PROVEEDORES[[#This Row],[año facturado]],Retenciones!$1:$1,0)</f>
        <v>7</v>
      </c>
      <c r="X1265" s="136">
        <f>+VLOOKUP(PROVEEDORES[[#This Row],[ID RETENCION]],Retenciones!$A$1:$O$25,PROVEEDORES[[#This Row],[indicador de columna]],FALSE)</f>
        <v>0</v>
      </c>
      <c r="Y1265" s="137">
        <f>+VLOOKUP(PROVEEDORES[[#This Row],[ID RETENCION]],Retenciones!$A$1:$O$25,2,FALSE)</f>
        <v>0</v>
      </c>
      <c r="Z1265" s="126" t="b">
        <f>+OR(COUNTIF(PROVEEDORES[[#This Row],[PROVEEDOR]],"*"&amp;'Palabra que no opera y Listas d'!$A$2&amp;"*"))</f>
        <v>0</v>
      </c>
    </row>
    <row r="1266" spans="1:26" ht="27.75" customHeight="1" x14ac:dyDescent="0.25">
      <c r="A1266" s="141" t="str">
        <f>+IF(PROVEEDORES[[#This Row],[FECHA DE PAGO]]=PROVEEDORES[[#This Row],[FECHA DE FACTURACIÓN]],"DE CONTADO","CRÉDITO")</f>
        <v>CRÉDITO</v>
      </c>
      <c r="B1266" s="138" t="str">
        <f>+IF((PROVEEDORES[[#This Row],[FECHA DE PAGO]]-PROVEEDORES[[#This Row],[FECHA DE FACTURACIÓN]])&gt;PROVEEDORES[[#This Row],[PLAZO Días]],"PAGO VENCIDO")</f>
        <v>PAGO VENCIDO</v>
      </c>
      <c r="C1266" s="138">
        <f>+VLOOKUP(PROVEEDORES[[#This Row],[PROVEEDOR]],TERCEROS_INFO[#All],2,FALSE)</f>
        <v>30</v>
      </c>
      <c r="D1266" s="139">
        <f>+SUMIFS(PROVEEDORES[Total],PROVEEDORES[PROVEEDOR],PROVEEDORES[[#This Row],[PROVEEDOR]],PROVEEDORES[FECHA DE PAGO],"")</f>
        <v>0</v>
      </c>
      <c r="E1266" s="140"/>
      <c r="F1266" s="138" t="str">
        <f>+VLOOKUP(PROVEEDORES[[#This Row],[PROVEEDOR]],
                       Terceros!$A:$F,
                       5,
                       FALSE)</f>
        <v>facturacion@losmolinos.com.co</v>
      </c>
      <c r="G1266" s="127">
        <v>45341</v>
      </c>
      <c r="H1266" s="123" t="s">
        <v>376</v>
      </c>
      <c r="I1266" s="127">
        <v>45293</v>
      </c>
      <c r="J1266" s="124" t="s">
        <v>1569</v>
      </c>
      <c r="K1266" s="124" t="s">
        <v>1530</v>
      </c>
      <c r="L1266" s="124" t="s">
        <v>1533</v>
      </c>
      <c r="M1266" s="125">
        <v>357058</v>
      </c>
      <c r="N1266" s="148">
        <v>0</v>
      </c>
      <c r="O1266" s="148">
        <v>10697.52</v>
      </c>
      <c r="P1266" s="149">
        <v>0</v>
      </c>
      <c r="Q1266" s="148">
        <v>0</v>
      </c>
      <c r="R1266" s="150">
        <v>346360.48</v>
      </c>
      <c r="S12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6" s="135">
        <f ca="1">+IF(PROVEEDORES[[#This Row],[FECHA DE PAGO]]=0,TODAY()-PROVEEDORES[[#This Row],[FECHA DE FACTURACIÓN]]-PROVEEDORES[[#This Row],[PLAZO Días]],0)</f>
        <v>0</v>
      </c>
      <c r="U1266" s="135">
        <f>+VLOOKUP(PROVEEDORES[[#This Row],[PROVEEDOR]],Terceros!$A:$D,4,FALSE)</f>
        <v>0</v>
      </c>
      <c r="V1266" s="135">
        <f>+YEAR(PROVEEDORES[[#This Row],[FECHA DE FACTURACIÓN]])</f>
        <v>2024</v>
      </c>
      <c r="W1266" s="135">
        <f>+MATCH(PROVEEDORES[[#This Row],[año facturado]],Retenciones!$1:$1,0)</f>
        <v>7</v>
      </c>
      <c r="X1266" s="136">
        <f>+VLOOKUP(PROVEEDORES[[#This Row],[ID RETENCION]],Retenciones!$A$1:$O$25,PROVEEDORES[[#This Row],[indicador de columna]],FALSE)</f>
        <v>0</v>
      </c>
      <c r="Y1266" s="137">
        <f>+VLOOKUP(PROVEEDORES[[#This Row],[ID RETENCION]],Retenciones!$A$1:$O$25,2,FALSE)</f>
        <v>0</v>
      </c>
      <c r="Z1266" s="126" t="b">
        <f>+OR(COUNTIF(PROVEEDORES[[#This Row],[PROVEEDOR]],"*"&amp;'Palabra que no opera y Listas d'!$A$2&amp;"*"))</f>
        <v>1</v>
      </c>
    </row>
    <row r="1267" spans="1:26" ht="27.75" customHeight="1" x14ac:dyDescent="0.25">
      <c r="A1267" s="141" t="str">
        <f>+IF(PROVEEDORES[[#This Row],[FECHA DE PAGO]]=PROVEEDORES[[#This Row],[FECHA DE FACTURACIÓN]],"DE CONTADO","CRÉDITO")</f>
        <v>CRÉDITO</v>
      </c>
      <c r="B1267" s="138" t="str">
        <f>+IF((PROVEEDORES[[#This Row],[FECHA DE PAGO]]-PROVEEDORES[[#This Row],[FECHA DE FACTURACIÓN]])&gt;PROVEEDORES[[#This Row],[PLAZO Días]],"PAGO VENCIDO")</f>
        <v>PAGO VENCIDO</v>
      </c>
      <c r="C1267" s="138">
        <f>+VLOOKUP(PROVEEDORES[[#This Row],[PROVEEDOR]],TERCEROS_INFO[#All],2,FALSE)</f>
        <v>30</v>
      </c>
      <c r="D1267" s="139">
        <f>+SUMIFS(PROVEEDORES[Total],PROVEEDORES[PROVEEDOR],PROVEEDORES[[#This Row],[PROVEEDOR]],PROVEEDORES[FECHA DE PAGO],"")</f>
        <v>8456975.129999999</v>
      </c>
      <c r="E1267" s="140"/>
      <c r="F1267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267" s="127">
        <v>45341</v>
      </c>
      <c r="H1267" s="123" t="s">
        <v>1464</v>
      </c>
      <c r="I1267" s="127">
        <v>45309</v>
      </c>
      <c r="J1267" s="124" t="s">
        <v>1465</v>
      </c>
      <c r="K1267" s="124" t="s">
        <v>1530</v>
      </c>
      <c r="L1267" s="124" t="s">
        <v>1533</v>
      </c>
      <c r="M1267" s="125">
        <v>2245165.5</v>
      </c>
      <c r="N1267" s="148">
        <v>426581.44500000001</v>
      </c>
      <c r="O1267" s="148">
        <v>0</v>
      </c>
      <c r="P1267" s="149">
        <v>2.5000000000000001E-2</v>
      </c>
      <c r="Q1267" s="148">
        <v>56129.137500000004</v>
      </c>
      <c r="R1267" s="150">
        <v>2615617.8074999996</v>
      </c>
      <c r="S12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7" s="135">
        <f ca="1">+IF(PROVEEDORES[[#This Row],[FECHA DE PAGO]]=0,TODAY()-PROVEEDORES[[#This Row],[FECHA DE FACTURACIÓN]]-PROVEEDORES[[#This Row],[PLAZO Días]],0)</f>
        <v>0</v>
      </c>
      <c r="U1267" s="135" t="str">
        <f>+VLOOKUP(PROVEEDORES[[#This Row],[PROVEEDOR]],Terceros!$A:$D,4,FALSE)</f>
        <v>2,5% con base</v>
      </c>
      <c r="V1267" s="135">
        <f>+YEAR(PROVEEDORES[[#This Row],[FECHA DE FACTURACIÓN]])</f>
        <v>2024</v>
      </c>
      <c r="W1267" s="135">
        <f>+MATCH(PROVEEDORES[[#This Row],[año facturado]],Retenciones!$1:$1,0)</f>
        <v>7</v>
      </c>
      <c r="X1267" s="136">
        <f>+VLOOKUP(PROVEEDORES[[#This Row],[ID RETENCION]],Retenciones!$A$1:$O$25,PROVEEDORES[[#This Row],[indicador de columna]],FALSE)</f>
        <v>1271000</v>
      </c>
      <c r="Y1267" s="137">
        <f>+VLOOKUP(PROVEEDORES[[#This Row],[ID RETENCION]],Retenciones!$A$1:$O$25,2,FALSE)</f>
        <v>2.5000000000000001E-2</v>
      </c>
      <c r="Z1267" s="126" t="b">
        <f>+OR(COUNTIF(PROVEEDORES[[#This Row],[PROVEEDOR]],"*"&amp;'Palabra que no opera y Listas d'!$A$2&amp;"*"))</f>
        <v>0</v>
      </c>
    </row>
    <row r="1268" spans="1:26" ht="27.75" customHeight="1" x14ac:dyDescent="0.25">
      <c r="A1268" s="141" t="str">
        <f>+IF(PROVEEDORES[[#This Row],[FECHA DE PAGO]]=PROVEEDORES[[#This Row],[FECHA DE FACTURACIÓN]],"DE CONTADO","CRÉDITO")</f>
        <v>CRÉDITO</v>
      </c>
      <c r="B1268" s="138" t="str">
        <f>+IF((PROVEEDORES[[#This Row],[FECHA DE PAGO]]-PROVEEDORES[[#This Row],[FECHA DE FACTURACIÓN]])&gt;PROVEEDORES[[#This Row],[PLAZO Días]],"PAGO VENCIDO")</f>
        <v>PAGO VENCIDO</v>
      </c>
      <c r="C1268" s="138">
        <f>+VLOOKUP(PROVEEDORES[[#This Row],[PROVEEDOR]],TERCEROS_INFO[#All],2,FALSE)</f>
        <v>30</v>
      </c>
      <c r="D1268" s="139">
        <f>+SUMIFS(PROVEEDORES[Total],PROVEEDORES[PROVEEDOR],PROVEEDORES[[#This Row],[PROVEEDOR]],PROVEEDORES[FECHA DE PAGO],"")</f>
        <v>818443.92</v>
      </c>
      <c r="E1268" s="140"/>
      <c r="F1268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268" s="127">
        <v>45341</v>
      </c>
      <c r="H1268" s="123" t="s">
        <v>20</v>
      </c>
      <c r="I1268" s="127">
        <v>45310</v>
      </c>
      <c r="J1268" s="124" t="s">
        <v>1462</v>
      </c>
      <c r="K1268" s="124" t="s">
        <v>1530</v>
      </c>
      <c r="L1268" s="124" t="s">
        <v>1533</v>
      </c>
      <c r="M1268" s="125">
        <v>4314984</v>
      </c>
      <c r="N1268" s="148">
        <v>819846.96</v>
      </c>
      <c r="O1268" s="148">
        <v>129449.51999999999</v>
      </c>
      <c r="P1268" s="149">
        <v>2.5000000000000001E-2</v>
      </c>
      <c r="Q1268" s="148">
        <v>107874.6</v>
      </c>
      <c r="R1268" s="150">
        <v>4897506.8400000008</v>
      </c>
      <c r="S12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8" s="135">
        <f ca="1">+IF(PROVEEDORES[[#This Row],[FECHA DE PAGO]]=0,TODAY()-PROVEEDORES[[#This Row],[FECHA DE FACTURACIÓN]]-PROVEEDORES[[#This Row],[PLAZO Días]],0)</f>
        <v>0</v>
      </c>
      <c r="U1268" s="135" t="str">
        <f>+VLOOKUP(PROVEEDORES[[#This Row],[PROVEEDOR]],Terceros!$A:$D,4,FALSE)</f>
        <v>2,5% con base</v>
      </c>
      <c r="V1268" s="135">
        <f>+YEAR(PROVEEDORES[[#This Row],[FECHA DE FACTURACIÓN]])</f>
        <v>2024</v>
      </c>
      <c r="W1268" s="135">
        <f>+MATCH(PROVEEDORES[[#This Row],[año facturado]],Retenciones!$1:$1,0)</f>
        <v>7</v>
      </c>
      <c r="X1268" s="136">
        <f>+VLOOKUP(PROVEEDORES[[#This Row],[ID RETENCION]],Retenciones!$A$1:$O$25,PROVEEDORES[[#This Row],[indicador de columna]],FALSE)</f>
        <v>1271000</v>
      </c>
      <c r="Y1268" s="137">
        <f>+VLOOKUP(PROVEEDORES[[#This Row],[ID RETENCION]],Retenciones!$A$1:$O$25,2,FALSE)</f>
        <v>2.5000000000000001E-2</v>
      </c>
      <c r="Z1268" s="126" t="b">
        <f>+OR(COUNTIF(PROVEEDORES[[#This Row],[PROVEEDOR]],"*"&amp;'Palabra que no opera y Listas d'!$A$2&amp;"*"))</f>
        <v>0</v>
      </c>
    </row>
    <row r="1269" spans="1:26" ht="27.75" customHeight="1" x14ac:dyDescent="0.25">
      <c r="A1269" s="141" t="str">
        <f>+IF(PROVEEDORES[[#This Row],[FECHA DE PAGO]]=PROVEEDORES[[#This Row],[FECHA DE FACTURACIÓN]],"DE CONTADO","CRÉDITO")</f>
        <v>CRÉDITO</v>
      </c>
      <c r="B1269" s="138" t="b">
        <f>+IF((PROVEEDORES[[#This Row],[FECHA DE PAGO]]-PROVEEDORES[[#This Row],[FECHA DE FACTURACIÓN]])&gt;PROVEEDORES[[#This Row],[PLAZO Días]],"PAGO VENCIDO")</f>
        <v>0</v>
      </c>
      <c r="C1269" s="138">
        <f>+VLOOKUP(PROVEEDORES[[#This Row],[PROVEEDOR]],TERCEROS_INFO[#All],2,FALSE)</f>
        <v>30</v>
      </c>
      <c r="D1269" s="139">
        <f>+SUMIFS(PROVEEDORES[Total],PROVEEDORES[PROVEEDOR],PROVEEDORES[[#This Row],[PROVEEDOR]],PROVEEDORES[FECHA DE PAGO],"")</f>
        <v>0</v>
      </c>
      <c r="E1269" s="140"/>
      <c r="F1269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269" s="127">
        <v>45341</v>
      </c>
      <c r="H1269" s="123" t="s">
        <v>394</v>
      </c>
      <c r="I1269" s="127">
        <v>45331</v>
      </c>
      <c r="J1269" s="124" t="s">
        <v>1570</v>
      </c>
      <c r="K1269" s="124" t="s">
        <v>1530</v>
      </c>
      <c r="L1269" s="124" t="s">
        <v>1533</v>
      </c>
      <c r="M1269" s="125">
        <v>39710</v>
      </c>
      <c r="N1269" s="148">
        <v>7544.9</v>
      </c>
      <c r="O1269" s="148">
        <v>0</v>
      </c>
      <c r="P1269" s="149">
        <v>3.5000000000000003E-2</v>
      </c>
      <c r="Q1269" s="148">
        <v>1389.8500000000001</v>
      </c>
      <c r="R1269" s="150">
        <v>45865.05</v>
      </c>
      <c r="S12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69" s="135">
        <f ca="1">+IF(PROVEEDORES[[#This Row],[FECHA DE PAGO]]=0,TODAY()-PROVEEDORES[[#This Row],[FECHA DE FACTURACIÓN]]-PROVEEDORES[[#This Row],[PLAZO Días]],0)</f>
        <v>0</v>
      </c>
      <c r="U1269" s="135" t="str">
        <f>+VLOOKUP(PROVEEDORES[[#This Row],[PROVEEDOR]],Terceros!$A:$D,4,FALSE)</f>
        <v>3,5% sin base</v>
      </c>
      <c r="V1269" s="135">
        <f>+YEAR(PROVEEDORES[[#This Row],[FECHA DE FACTURACIÓN]])</f>
        <v>2024</v>
      </c>
      <c r="W1269" s="135">
        <f>+MATCH(PROVEEDORES[[#This Row],[año facturado]],Retenciones!$1:$1,0)</f>
        <v>7</v>
      </c>
      <c r="X1269" s="136">
        <f>+VLOOKUP(PROVEEDORES[[#This Row],[ID RETENCION]],Retenciones!$A$1:$O$25,PROVEEDORES[[#This Row],[indicador de columna]],FALSE)</f>
        <v>0</v>
      </c>
      <c r="Y1269" s="137">
        <f>+VLOOKUP(PROVEEDORES[[#This Row],[ID RETENCION]],Retenciones!$A$1:$O$25,2,FALSE)</f>
        <v>3.5000000000000003E-2</v>
      </c>
      <c r="Z1269" s="126" t="b">
        <f>+OR(COUNTIF(PROVEEDORES[[#This Row],[PROVEEDOR]],"*"&amp;'Palabra que no opera y Listas d'!$A$2&amp;"*"))</f>
        <v>1</v>
      </c>
    </row>
    <row r="1270" spans="1:26" ht="27.75" customHeight="1" x14ac:dyDescent="0.25">
      <c r="A1270" s="141" t="str">
        <f>+IF(PROVEEDORES[[#This Row],[FECHA DE PAGO]]=PROVEEDORES[[#This Row],[FECHA DE FACTURACIÓN]],"DE CONTADO","CRÉDITO")</f>
        <v>CRÉDITO</v>
      </c>
      <c r="B1270" s="138" t="str">
        <f>+IF((PROVEEDORES[[#This Row],[FECHA DE PAGO]]-PROVEEDORES[[#This Row],[FECHA DE FACTURACIÓN]])&gt;PROVEEDORES[[#This Row],[PLAZO Días]],"PAGO VENCIDO")</f>
        <v>PAGO VENCIDO</v>
      </c>
      <c r="C1270" s="138">
        <f>+VLOOKUP(PROVEEDORES[[#This Row],[PROVEEDOR]],TERCEROS_INFO[#All],2,FALSE)</f>
        <v>30</v>
      </c>
      <c r="D1270" s="139">
        <f>+SUMIFS(PROVEEDORES[Total],PROVEEDORES[PROVEEDOR],PROVEEDORES[[#This Row],[PROVEEDOR]],PROVEEDORES[FECHA DE PAGO],"")</f>
        <v>134000</v>
      </c>
      <c r="E1270" s="140"/>
      <c r="F1270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270" s="127">
        <v>45342</v>
      </c>
      <c r="H1270" s="123" t="s">
        <v>1808</v>
      </c>
      <c r="I1270" s="127">
        <v>45271</v>
      </c>
      <c r="J1270" s="124" t="s">
        <v>1364</v>
      </c>
      <c r="K1270" s="124" t="s">
        <v>1530</v>
      </c>
      <c r="L1270" s="124" t="s">
        <v>1395</v>
      </c>
      <c r="M1270" s="125">
        <v>101000</v>
      </c>
      <c r="N1270" s="148">
        <v>0</v>
      </c>
      <c r="O1270" s="148">
        <v>5050</v>
      </c>
      <c r="P1270" s="149">
        <v>0</v>
      </c>
      <c r="Q1270" s="148">
        <v>0</v>
      </c>
      <c r="R1270" s="150">
        <v>95950</v>
      </c>
      <c r="S12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0" s="135">
        <f ca="1">+IF(PROVEEDORES[[#This Row],[FECHA DE PAGO]]=0,TODAY()-PROVEEDORES[[#This Row],[FECHA DE FACTURACIÓN]]-PROVEEDORES[[#This Row],[PLAZO Días]],0)</f>
        <v>0</v>
      </c>
      <c r="U1270" s="135">
        <f>+VLOOKUP(PROVEEDORES[[#This Row],[PROVEEDOR]],Terceros!$A:$D,4,FALSE)</f>
        <v>0</v>
      </c>
      <c r="V1270" s="135">
        <f>+YEAR(PROVEEDORES[[#This Row],[FECHA DE FACTURACIÓN]])</f>
        <v>2023</v>
      </c>
      <c r="W1270" s="135">
        <f>+MATCH(PROVEEDORES[[#This Row],[año facturado]],Retenciones!$1:$1,0)</f>
        <v>6</v>
      </c>
      <c r="X1270" s="136">
        <f>+VLOOKUP(PROVEEDORES[[#This Row],[ID RETENCION]],Retenciones!$A$1:$O$25,PROVEEDORES[[#This Row],[indicador de columna]],FALSE)</f>
        <v>0</v>
      </c>
      <c r="Y1270" s="137">
        <f>+VLOOKUP(PROVEEDORES[[#This Row],[ID RETENCION]],Retenciones!$A$1:$O$25,2,FALSE)</f>
        <v>0</v>
      </c>
      <c r="Z1270" s="126" t="b">
        <f>+OR(COUNTIF(PROVEEDORES[[#This Row],[PROVEEDOR]],"*"&amp;'Palabra que no opera y Listas d'!$A$2&amp;"*"))</f>
        <v>0</v>
      </c>
    </row>
    <row r="1271" spans="1:26" ht="27.75" customHeight="1" x14ac:dyDescent="0.25">
      <c r="A1271" s="141" t="str">
        <f>+IF(PROVEEDORES[[#This Row],[FECHA DE PAGO]]=PROVEEDORES[[#This Row],[FECHA DE FACTURACIÓN]],"DE CONTADO","CRÉDITO")</f>
        <v>CRÉDITO</v>
      </c>
      <c r="B1271" s="138" t="str">
        <f>+IF((PROVEEDORES[[#This Row],[FECHA DE PAGO]]-PROVEEDORES[[#This Row],[FECHA DE FACTURACIÓN]])&gt;PROVEEDORES[[#This Row],[PLAZO Días]],"PAGO VENCIDO")</f>
        <v>PAGO VENCIDO</v>
      </c>
      <c r="C1271" s="138">
        <f>+VLOOKUP(PROVEEDORES[[#This Row],[PROVEEDOR]],TERCEROS_INFO[#All],2,FALSE)</f>
        <v>30</v>
      </c>
      <c r="D1271" s="139">
        <f>+SUMIFS(PROVEEDORES[Total],PROVEEDORES[PROVEEDOR],PROVEEDORES[[#This Row],[PROVEEDOR]],PROVEEDORES[FECHA DE PAGO],"")</f>
        <v>134000</v>
      </c>
      <c r="E1271" s="140"/>
      <c r="F1271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271" s="127">
        <v>45342</v>
      </c>
      <c r="H1271" s="123" t="s">
        <v>1808</v>
      </c>
      <c r="I1271" s="127">
        <v>45271</v>
      </c>
      <c r="J1271" s="124" t="s">
        <v>1363</v>
      </c>
      <c r="K1271" s="124" t="s">
        <v>1530</v>
      </c>
      <c r="L1271" s="124" t="s">
        <v>1395</v>
      </c>
      <c r="M1271" s="125">
        <v>4925000</v>
      </c>
      <c r="N1271" s="148">
        <v>0</v>
      </c>
      <c r="O1271" s="148">
        <v>0</v>
      </c>
      <c r="P1271" s="149">
        <v>0</v>
      </c>
      <c r="Q1271" s="148">
        <v>0</v>
      </c>
      <c r="R1271" s="150">
        <v>4925000</v>
      </c>
      <c r="S12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1" s="135">
        <f ca="1">+IF(PROVEEDORES[[#This Row],[FECHA DE PAGO]]=0,TODAY()-PROVEEDORES[[#This Row],[FECHA DE FACTURACIÓN]]-PROVEEDORES[[#This Row],[PLAZO Días]],0)</f>
        <v>0</v>
      </c>
      <c r="U1271" s="135">
        <f>+VLOOKUP(PROVEEDORES[[#This Row],[PROVEEDOR]],Terceros!$A:$D,4,FALSE)</f>
        <v>0</v>
      </c>
      <c r="V1271" s="135">
        <f>+YEAR(PROVEEDORES[[#This Row],[FECHA DE FACTURACIÓN]])</f>
        <v>2023</v>
      </c>
      <c r="W1271" s="135">
        <f>+MATCH(PROVEEDORES[[#This Row],[año facturado]],Retenciones!$1:$1,0)</f>
        <v>6</v>
      </c>
      <c r="X1271" s="136">
        <f>+VLOOKUP(PROVEEDORES[[#This Row],[ID RETENCION]],Retenciones!$A$1:$O$25,PROVEEDORES[[#This Row],[indicador de columna]],FALSE)</f>
        <v>0</v>
      </c>
      <c r="Y1271" s="137">
        <f>+VLOOKUP(PROVEEDORES[[#This Row],[ID RETENCION]],Retenciones!$A$1:$O$25,2,FALSE)</f>
        <v>0</v>
      </c>
      <c r="Z1271" s="126" t="b">
        <f>+OR(COUNTIF(PROVEEDORES[[#This Row],[PROVEEDOR]],"*"&amp;'Palabra que no opera y Listas d'!$A$2&amp;"*"))</f>
        <v>0</v>
      </c>
    </row>
    <row r="1272" spans="1:26" ht="27.75" customHeight="1" x14ac:dyDescent="0.25">
      <c r="A1272" s="141" t="str">
        <f>+IF(PROVEEDORES[[#This Row],[FECHA DE PAGO]]=PROVEEDORES[[#This Row],[FECHA DE FACTURACIÓN]],"DE CONTADO","CRÉDITO")</f>
        <v>CRÉDITO</v>
      </c>
      <c r="B1272" s="138" t="b">
        <f>+IF((PROVEEDORES[[#This Row],[FECHA DE PAGO]]-PROVEEDORES[[#This Row],[FECHA DE FACTURACIÓN]])&gt;PROVEEDORES[[#This Row],[PLAZO Días]],"PAGO VENCIDO")</f>
        <v>0</v>
      </c>
      <c r="C1272" s="138">
        <f>+VLOOKUP(PROVEEDORES[[#This Row],[PROVEEDOR]],TERCEROS_INFO[#All],2,FALSE)</f>
        <v>60</v>
      </c>
      <c r="D1272" s="139">
        <f>+SUMIFS(PROVEEDORES[Total],PROVEEDORES[PROVEEDOR],PROVEEDORES[[#This Row],[PROVEEDOR]],PROVEEDORES[FECHA DE PAGO],"")</f>
        <v>1730482</v>
      </c>
      <c r="E1272" s="140"/>
      <c r="F1272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72" s="127">
        <v>45342</v>
      </c>
      <c r="H1272" s="123" t="s">
        <v>222</v>
      </c>
      <c r="I1272" s="127">
        <v>45282</v>
      </c>
      <c r="J1272" s="124">
        <v>1873</v>
      </c>
      <c r="K1272" s="124" t="s">
        <v>1530</v>
      </c>
      <c r="L1272" s="124" t="s">
        <v>1534</v>
      </c>
      <c r="M1272" s="125">
        <v>367015.60000000003</v>
      </c>
      <c r="N1272" s="148">
        <v>0</v>
      </c>
      <c r="O1272" s="148">
        <v>0</v>
      </c>
      <c r="P1272" s="149">
        <v>0</v>
      </c>
      <c r="Q1272" s="148">
        <v>0</v>
      </c>
      <c r="R1272" s="150">
        <v>367015.60000000003</v>
      </c>
      <c r="S12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2" s="135">
        <f ca="1">+IF(PROVEEDORES[[#This Row],[FECHA DE PAGO]]=0,TODAY()-PROVEEDORES[[#This Row],[FECHA DE FACTURACIÓN]]-PROVEEDORES[[#This Row],[PLAZO Días]],0)</f>
        <v>0</v>
      </c>
      <c r="U1272" s="135">
        <f>+VLOOKUP(PROVEEDORES[[#This Row],[PROVEEDOR]],Terceros!$A:$D,4,FALSE)</f>
        <v>0</v>
      </c>
      <c r="V1272" s="135">
        <f>+YEAR(PROVEEDORES[[#This Row],[FECHA DE FACTURACIÓN]])</f>
        <v>2023</v>
      </c>
      <c r="W1272" s="135">
        <f>+MATCH(PROVEEDORES[[#This Row],[año facturado]],Retenciones!$1:$1,0)</f>
        <v>6</v>
      </c>
      <c r="X1272" s="136">
        <f>+VLOOKUP(PROVEEDORES[[#This Row],[ID RETENCION]],Retenciones!$A$1:$O$25,PROVEEDORES[[#This Row],[indicador de columna]],FALSE)</f>
        <v>0</v>
      </c>
      <c r="Y1272" s="137">
        <f>+VLOOKUP(PROVEEDORES[[#This Row],[ID RETENCION]],Retenciones!$A$1:$O$25,2,FALSE)</f>
        <v>0</v>
      </c>
      <c r="Z1272" s="126" t="b">
        <f>+OR(COUNTIF(PROVEEDORES[[#This Row],[PROVEEDOR]],"*"&amp;'Palabra que no opera y Listas d'!$A$2&amp;"*"))</f>
        <v>0</v>
      </c>
    </row>
    <row r="1273" spans="1:26" ht="27.75" customHeight="1" x14ac:dyDescent="0.25">
      <c r="A1273" s="141" t="str">
        <f>+IF(PROVEEDORES[[#This Row],[FECHA DE PAGO]]=PROVEEDORES[[#This Row],[FECHA DE FACTURACIÓN]],"DE CONTADO","CRÉDITO")</f>
        <v>CRÉDITO</v>
      </c>
      <c r="B1273" s="138" t="str">
        <f>+IF((PROVEEDORES[[#This Row],[FECHA DE PAGO]]-PROVEEDORES[[#This Row],[FECHA DE FACTURACIÓN]])&gt;PROVEEDORES[[#This Row],[PLAZO Días]],"PAGO VENCIDO")</f>
        <v>PAGO VENCIDO</v>
      </c>
      <c r="C1273" s="138">
        <f>+VLOOKUP(PROVEEDORES[[#This Row],[PROVEEDOR]],TERCEROS_INFO[#All],2,FALSE)</f>
        <v>45</v>
      </c>
      <c r="D1273" s="139">
        <f>+SUMIFS(PROVEEDORES[Total],PROVEEDORES[PROVEEDOR],PROVEEDORES[[#This Row],[PROVEEDOR]],PROVEEDORES[FECHA DE PAGO],"")</f>
        <v>0</v>
      </c>
      <c r="E1273" s="140"/>
      <c r="F1273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73" s="127">
        <v>45342</v>
      </c>
      <c r="H1273" s="123" t="s">
        <v>224</v>
      </c>
      <c r="I1273" s="127">
        <v>45288</v>
      </c>
      <c r="J1273" s="124" t="s">
        <v>1477</v>
      </c>
      <c r="K1273" s="124" t="s">
        <v>504</v>
      </c>
      <c r="L1273" s="124" t="s">
        <v>1534</v>
      </c>
      <c r="M1273" s="125">
        <v>2852349.5</v>
      </c>
      <c r="N1273" s="148">
        <v>0</v>
      </c>
      <c r="O1273" s="148">
        <v>0</v>
      </c>
      <c r="P1273" s="149">
        <v>0</v>
      </c>
      <c r="Q1273" s="148">
        <v>0</v>
      </c>
      <c r="R1273" s="150">
        <v>2852349.5</v>
      </c>
      <c r="S12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3" s="135">
        <f ca="1">+IF(PROVEEDORES[[#This Row],[FECHA DE PAGO]]=0,TODAY()-PROVEEDORES[[#This Row],[FECHA DE FACTURACIÓN]]-PROVEEDORES[[#This Row],[PLAZO Días]],0)</f>
        <v>0</v>
      </c>
      <c r="U1273" s="135">
        <f>+VLOOKUP(PROVEEDORES[[#This Row],[PROVEEDOR]],Terceros!$A:$D,4,FALSE)</f>
        <v>0</v>
      </c>
      <c r="V1273" s="135">
        <f>+YEAR(PROVEEDORES[[#This Row],[FECHA DE FACTURACIÓN]])</f>
        <v>2023</v>
      </c>
      <c r="W1273" s="135">
        <f>+MATCH(PROVEEDORES[[#This Row],[año facturado]],Retenciones!$1:$1,0)</f>
        <v>6</v>
      </c>
      <c r="X1273" s="136">
        <f>+VLOOKUP(PROVEEDORES[[#This Row],[ID RETENCION]],Retenciones!$A$1:$O$25,PROVEEDORES[[#This Row],[indicador de columna]],FALSE)</f>
        <v>0</v>
      </c>
      <c r="Y1273" s="137">
        <f>+VLOOKUP(PROVEEDORES[[#This Row],[ID RETENCION]],Retenciones!$A$1:$O$25,2,FALSE)</f>
        <v>0</v>
      </c>
      <c r="Z1273" s="126" t="b">
        <f>+OR(COUNTIF(PROVEEDORES[[#This Row],[PROVEEDOR]],"*"&amp;'Palabra que no opera y Listas d'!$A$2&amp;"*"))</f>
        <v>0</v>
      </c>
    </row>
    <row r="1274" spans="1:26" ht="27.75" customHeight="1" x14ac:dyDescent="0.25">
      <c r="A1274" s="141" t="str">
        <f>+IF(PROVEEDORES[[#This Row],[FECHA DE PAGO]]=PROVEEDORES[[#This Row],[FECHA DE FACTURACIÓN]],"DE CONTADO","CRÉDITO")</f>
        <v>CRÉDITO</v>
      </c>
      <c r="B1274" s="138" t="b">
        <f>+IF((PROVEEDORES[[#This Row],[FECHA DE PAGO]]-PROVEEDORES[[#This Row],[FECHA DE FACTURACIÓN]])&gt;PROVEEDORES[[#This Row],[PLAZO Días]],"PAGO VENCIDO")</f>
        <v>0</v>
      </c>
      <c r="C1274" s="138">
        <f>+VLOOKUP(PROVEEDORES[[#This Row],[PROVEEDOR]],TERCEROS_INFO[#All],2,FALSE)</f>
        <v>60</v>
      </c>
      <c r="D1274" s="139">
        <f>+SUMIFS(PROVEEDORES[Total],PROVEEDORES[PROVEEDOR],PROVEEDORES[[#This Row],[PROVEEDOR]],PROVEEDORES[FECHA DE PAGO],"")</f>
        <v>1730482</v>
      </c>
      <c r="E1274" s="140"/>
      <c r="F1274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74" s="127">
        <v>45342</v>
      </c>
      <c r="H1274" s="123" t="s">
        <v>222</v>
      </c>
      <c r="I1274" s="127">
        <v>45292</v>
      </c>
      <c r="J1274" s="124">
        <v>1883</v>
      </c>
      <c r="K1274" s="124" t="s">
        <v>1530</v>
      </c>
      <c r="L1274" s="124" t="s">
        <v>1534</v>
      </c>
      <c r="M1274" s="125">
        <v>621134.01</v>
      </c>
      <c r="N1274" s="148">
        <v>0</v>
      </c>
      <c r="O1274" s="148">
        <v>0</v>
      </c>
      <c r="P1274" s="149">
        <v>0</v>
      </c>
      <c r="Q1274" s="148">
        <v>0</v>
      </c>
      <c r="R1274" s="150">
        <v>621134.01</v>
      </c>
      <c r="S12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4" s="135">
        <f ca="1">+IF(PROVEEDORES[[#This Row],[FECHA DE PAGO]]=0,TODAY()-PROVEEDORES[[#This Row],[FECHA DE FACTURACIÓN]]-PROVEEDORES[[#This Row],[PLAZO Días]],0)</f>
        <v>0</v>
      </c>
      <c r="U1274" s="135">
        <f>+VLOOKUP(PROVEEDORES[[#This Row],[PROVEEDOR]],Terceros!$A:$D,4,FALSE)</f>
        <v>0</v>
      </c>
      <c r="V1274" s="135">
        <f>+YEAR(PROVEEDORES[[#This Row],[FECHA DE FACTURACIÓN]])</f>
        <v>2024</v>
      </c>
      <c r="W1274" s="135">
        <f>+MATCH(PROVEEDORES[[#This Row],[año facturado]],Retenciones!$1:$1,0)</f>
        <v>7</v>
      </c>
      <c r="X1274" s="136">
        <f>+VLOOKUP(PROVEEDORES[[#This Row],[ID RETENCION]],Retenciones!$A$1:$O$25,PROVEEDORES[[#This Row],[indicador de columna]],FALSE)</f>
        <v>0</v>
      </c>
      <c r="Y1274" s="137">
        <f>+VLOOKUP(PROVEEDORES[[#This Row],[ID RETENCION]],Retenciones!$A$1:$O$25,2,FALSE)</f>
        <v>0</v>
      </c>
      <c r="Z1274" s="126" t="b">
        <f>+OR(COUNTIF(PROVEEDORES[[#This Row],[PROVEEDOR]],"*"&amp;'Palabra que no opera y Listas d'!$A$2&amp;"*"))</f>
        <v>0</v>
      </c>
    </row>
    <row r="1275" spans="1:26" ht="27.75" customHeight="1" x14ac:dyDescent="0.25">
      <c r="A1275" s="141" t="str">
        <f>+IF(PROVEEDORES[[#This Row],[FECHA DE PAGO]]=PROVEEDORES[[#This Row],[FECHA DE FACTURACIÓN]],"DE CONTADO","CRÉDITO")</f>
        <v>CRÉDITO</v>
      </c>
      <c r="B1275" s="138" t="b">
        <f>+IF((PROVEEDORES[[#This Row],[FECHA DE PAGO]]-PROVEEDORES[[#This Row],[FECHA DE FACTURACIÓN]])&gt;PROVEEDORES[[#This Row],[PLAZO Días]],"PAGO VENCIDO")</f>
        <v>0</v>
      </c>
      <c r="C1275" s="138">
        <f>+VLOOKUP(PROVEEDORES[[#This Row],[PROVEEDOR]],TERCEROS_INFO[#All],2,FALSE)</f>
        <v>60</v>
      </c>
      <c r="D1275" s="139">
        <f>+SUMIFS(PROVEEDORES[Total],PROVEEDORES[PROVEEDOR],PROVEEDORES[[#This Row],[PROVEEDOR]],PROVEEDORES[FECHA DE PAGO],"")</f>
        <v>1730482</v>
      </c>
      <c r="E1275" s="140"/>
      <c r="F1275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75" s="127">
        <v>45342</v>
      </c>
      <c r="H1275" s="123" t="s">
        <v>222</v>
      </c>
      <c r="I1275" s="127">
        <v>45292</v>
      </c>
      <c r="J1275" s="124">
        <v>1884</v>
      </c>
      <c r="K1275" s="124" t="s">
        <v>1530</v>
      </c>
      <c r="L1275" s="124" t="s">
        <v>1534</v>
      </c>
      <c r="M1275" s="125">
        <v>223400.80000000002</v>
      </c>
      <c r="N1275" s="148">
        <v>0</v>
      </c>
      <c r="O1275" s="148">
        <v>0</v>
      </c>
      <c r="P1275" s="149">
        <v>0</v>
      </c>
      <c r="Q1275" s="148">
        <v>0</v>
      </c>
      <c r="R1275" s="150">
        <v>223400.80000000002</v>
      </c>
      <c r="S12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5" s="135">
        <f ca="1">+IF(PROVEEDORES[[#This Row],[FECHA DE PAGO]]=0,TODAY()-PROVEEDORES[[#This Row],[FECHA DE FACTURACIÓN]]-PROVEEDORES[[#This Row],[PLAZO Días]],0)</f>
        <v>0</v>
      </c>
      <c r="U1275" s="135">
        <f>+VLOOKUP(PROVEEDORES[[#This Row],[PROVEEDOR]],Terceros!$A:$D,4,FALSE)</f>
        <v>0</v>
      </c>
      <c r="V1275" s="135">
        <f>+YEAR(PROVEEDORES[[#This Row],[FECHA DE FACTURACIÓN]])</f>
        <v>2024</v>
      </c>
      <c r="W1275" s="135">
        <f>+MATCH(PROVEEDORES[[#This Row],[año facturado]],Retenciones!$1:$1,0)</f>
        <v>7</v>
      </c>
      <c r="X1275" s="136">
        <f>+VLOOKUP(PROVEEDORES[[#This Row],[ID RETENCION]],Retenciones!$A$1:$O$25,PROVEEDORES[[#This Row],[indicador de columna]],FALSE)</f>
        <v>0</v>
      </c>
      <c r="Y1275" s="137">
        <f>+VLOOKUP(PROVEEDORES[[#This Row],[ID RETENCION]],Retenciones!$A$1:$O$25,2,FALSE)</f>
        <v>0</v>
      </c>
      <c r="Z1275" s="126" t="b">
        <f>+OR(COUNTIF(PROVEEDORES[[#This Row],[PROVEEDOR]],"*"&amp;'Palabra que no opera y Listas d'!$A$2&amp;"*"))</f>
        <v>0</v>
      </c>
    </row>
    <row r="1276" spans="1:26" ht="27.75" customHeight="1" x14ac:dyDescent="0.25">
      <c r="A1276" s="141" t="str">
        <f>+IF(PROVEEDORES[[#This Row],[FECHA DE PAGO]]=PROVEEDORES[[#This Row],[FECHA DE FACTURACIÓN]],"DE CONTADO","CRÉDITO")</f>
        <v>CRÉDITO</v>
      </c>
      <c r="B1276" s="138" t="b">
        <f>+IF((PROVEEDORES[[#This Row],[FECHA DE PAGO]]-PROVEEDORES[[#This Row],[FECHA DE FACTURACIÓN]])&gt;PROVEEDORES[[#This Row],[PLAZO Días]],"PAGO VENCIDO")</f>
        <v>0</v>
      </c>
      <c r="C1276" s="138">
        <f>+VLOOKUP(PROVEEDORES[[#This Row],[PROVEEDOR]],TERCEROS_INFO[#All],2,FALSE)</f>
        <v>60</v>
      </c>
      <c r="D1276" s="139">
        <f>+SUMIFS(PROVEEDORES[Total],PROVEEDORES[PROVEEDOR],PROVEEDORES[[#This Row],[PROVEEDOR]],PROVEEDORES[FECHA DE PAGO],"")</f>
        <v>1730482</v>
      </c>
      <c r="E1276" s="140"/>
      <c r="F1276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76" s="127">
        <v>45342</v>
      </c>
      <c r="H1276" s="123" t="s">
        <v>222</v>
      </c>
      <c r="I1276" s="127">
        <v>45311</v>
      </c>
      <c r="J1276" s="124" t="s">
        <v>1461</v>
      </c>
      <c r="K1276" s="124" t="s">
        <v>1530</v>
      </c>
      <c r="L1276" s="124" t="s">
        <v>1534</v>
      </c>
      <c r="M1276" s="125">
        <v>510630.40000000002</v>
      </c>
      <c r="N1276" s="148">
        <v>0</v>
      </c>
      <c r="O1276" s="148">
        <v>0</v>
      </c>
      <c r="P1276" s="149">
        <v>0</v>
      </c>
      <c r="Q1276" s="148">
        <v>0</v>
      </c>
      <c r="R1276" s="150">
        <v>510630.40000000002</v>
      </c>
      <c r="S12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6" s="135">
        <f ca="1">+IF(PROVEEDORES[[#This Row],[FECHA DE PAGO]]=0,TODAY()-PROVEEDORES[[#This Row],[FECHA DE FACTURACIÓN]]-PROVEEDORES[[#This Row],[PLAZO Días]],0)</f>
        <v>0</v>
      </c>
      <c r="U1276" s="135">
        <f>+VLOOKUP(PROVEEDORES[[#This Row],[PROVEEDOR]],Terceros!$A:$D,4,FALSE)</f>
        <v>0</v>
      </c>
      <c r="V1276" s="135">
        <f>+YEAR(PROVEEDORES[[#This Row],[FECHA DE FACTURACIÓN]])</f>
        <v>2024</v>
      </c>
      <c r="W1276" s="135">
        <f>+MATCH(PROVEEDORES[[#This Row],[año facturado]],Retenciones!$1:$1,0)</f>
        <v>7</v>
      </c>
      <c r="X1276" s="136">
        <f>+VLOOKUP(PROVEEDORES[[#This Row],[ID RETENCION]],Retenciones!$A$1:$O$25,PROVEEDORES[[#This Row],[indicador de columna]],FALSE)</f>
        <v>0</v>
      </c>
      <c r="Y1276" s="137">
        <f>+VLOOKUP(PROVEEDORES[[#This Row],[ID RETENCION]],Retenciones!$A$1:$O$25,2,FALSE)</f>
        <v>0</v>
      </c>
      <c r="Z1276" s="126" t="b">
        <f>+OR(COUNTIF(PROVEEDORES[[#This Row],[PROVEEDOR]],"*"&amp;'Palabra que no opera y Listas d'!$A$2&amp;"*"))</f>
        <v>0</v>
      </c>
    </row>
    <row r="1277" spans="1:26" ht="27.75" customHeight="1" x14ac:dyDescent="0.25">
      <c r="A1277" s="141" t="str">
        <f>+IF(PROVEEDORES[[#This Row],[FECHA DE PAGO]]=PROVEEDORES[[#This Row],[FECHA DE FACTURACIÓN]],"DE CONTADO","CRÉDITO")</f>
        <v>CRÉDITO</v>
      </c>
      <c r="B1277" s="138" t="b">
        <f>+IF((PROVEEDORES[[#This Row],[FECHA DE PAGO]]-PROVEEDORES[[#This Row],[FECHA DE FACTURACIÓN]])&gt;PROVEEDORES[[#This Row],[PLAZO Días]],"PAGO VENCIDO")</f>
        <v>0</v>
      </c>
      <c r="C1277" s="138">
        <f>+VLOOKUP(PROVEEDORES[[#This Row],[PROVEEDOR]],TERCEROS_INFO[#All],2,FALSE)</f>
        <v>60</v>
      </c>
      <c r="D1277" s="139">
        <f>+SUMIFS(PROVEEDORES[Total],PROVEEDORES[PROVEEDOR],PROVEEDORES[[#This Row],[PROVEEDOR]],PROVEEDORES[FECHA DE PAGO],"")</f>
        <v>1730482</v>
      </c>
      <c r="E1277" s="140"/>
      <c r="F1277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77" s="127">
        <v>45342</v>
      </c>
      <c r="H1277" s="123" t="s">
        <v>222</v>
      </c>
      <c r="I1277" s="127">
        <v>45311</v>
      </c>
      <c r="J1277" s="124">
        <v>1892</v>
      </c>
      <c r="K1277" s="124" t="s">
        <v>1530</v>
      </c>
      <c r="L1277" s="124" t="s">
        <v>1534</v>
      </c>
      <c r="M1277" s="125">
        <v>1456094.5</v>
      </c>
      <c r="N1277" s="148">
        <v>0</v>
      </c>
      <c r="O1277" s="148">
        <v>0</v>
      </c>
      <c r="P1277" s="149">
        <v>0</v>
      </c>
      <c r="Q1277" s="148">
        <v>0</v>
      </c>
      <c r="R1277" s="150">
        <v>1456094.5</v>
      </c>
      <c r="S12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7" s="135">
        <f ca="1">+IF(PROVEEDORES[[#This Row],[FECHA DE PAGO]]=0,TODAY()-PROVEEDORES[[#This Row],[FECHA DE FACTURACIÓN]]-PROVEEDORES[[#This Row],[PLAZO Días]],0)</f>
        <v>0</v>
      </c>
      <c r="U1277" s="135">
        <f>+VLOOKUP(PROVEEDORES[[#This Row],[PROVEEDOR]],Terceros!$A:$D,4,FALSE)</f>
        <v>0</v>
      </c>
      <c r="V1277" s="135">
        <f>+YEAR(PROVEEDORES[[#This Row],[FECHA DE FACTURACIÓN]])</f>
        <v>2024</v>
      </c>
      <c r="W1277" s="135">
        <f>+MATCH(PROVEEDORES[[#This Row],[año facturado]],Retenciones!$1:$1,0)</f>
        <v>7</v>
      </c>
      <c r="X1277" s="136">
        <f>+VLOOKUP(PROVEEDORES[[#This Row],[ID RETENCION]],Retenciones!$A$1:$O$25,PROVEEDORES[[#This Row],[indicador de columna]],FALSE)</f>
        <v>0</v>
      </c>
      <c r="Y1277" s="137">
        <f>+VLOOKUP(PROVEEDORES[[#This Row],[ID RETENCION]],Retenciones!$A$1:$O$25,2,FALSE)</f>
        <v>0</v>
      </c>
      <c r="Z1277" s="126" t="b">
        <f>+OR(COUNTIF(PROVEEDORES[[#This Row],[PROVEEDOR]],"*"&amp;'Palabra que no opera y Listas d'!$A$2&amp;"*"))</f>
        <v>0</v>
      </c>
    </row>
    <row r="1278" spans="1:26" ht="27.75" customHeight="1" x14ac:dyDescent="0.25">
      <c r="A1278" s="141" t="str">
        <f>+IF(PROVEEDORES[[#This Row],[FECHA DE PAGO]]=PROVEEDORES[[#This Row],[FECHA DE FACTURACIÓN]],"DE CONTADO","CRÉDITO")</f>
        <v>CRÉDITO</v>
      </c>
      <c r="B1278" s="138" t="b">
        <f>+IF((PROVEEDORES[[#This Row],[FECHA DE PAGO]]-PROVEEDORES[[#This Row],[FECHA DE FACTURACIÓN]])&gt;PROVEEDORES[[#This Row],[PLAZO Días]],"PAGO VENCIDO")</f>
        <v>0</v>
      </c>
      <c r="C1278" s="138">
        <f>+VLOOKUP(PROVEEDORES[[#This Row],[PROVEEDOR]],TERCEROS_INFO[#All],2,FALSE)</f>
        <v>60</v>
      </c>
      <c r="D1278" s="139">
        <f>+SUMIFS(PROVEEDORES[Total],PROVEEDORES[PROVEEDOR],PROVEEDORES[[#This Row],[PROVEEDOR]],PROVEEDORES[FECHA DE PAGO],"")</f>
        <v>1730482</v>
      </c>
      <c r="E1278" s="140"/>
      <c r="F1278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78" s="127">
        <v>45342</v>
      </c>
      <c r="H1278" s="123" t="s">
        <v>222</v>
      </c>
      <c r="I1278" s="127">
        <v>45321</v>
      </c>
      <c r="J1278" s="124" t="s">
        <v>1486</v>
      </c>
      <c r="K1278" s="124" t="s">
        <v>1530</v>
      </c>
      <c r="L1278" s="124" t="s">
        <v>1534</v>
      </c>
      <c r="M1278" s="125">
        <v>526587.6</v>
      </c>
      <c r="N1278" s="148">
        <v>0</v>
      </c>
      <c r="O1278" s="148">
        <v>0</v>
      </c>
      <c r="P1278" s="149">
        <v>0</v>
      </c>
      <c r="Q1278" s="148">
        <v>0</v>
      </c>
      <c r="R1278" s="150">
        <v>526587.6</v>
      </c>
      <c r="S12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8" s="135">
        <f ca="1">+IF(PROVEEDORES[[#This Row],[FECHA DE PAGO]]=0,TODAY()-PROVEEDORES[[#This Row],[FECHA DE FACTURACIÓN]]-PROVEEDORES[[#This Row],[PLAZO Días]],0)</f>
        <v>0</v>
      </c>
      <c r="U1278" s="135">
        <f>+VLOOKUP(PROVEEDORES[[#This Row],[PROVEEDOR]],Terceros!$A:$D,4,FALSE)</f>
        <v>0</v>
      </c>
      <c r="V1278" s="135">
        <f>+YEAR(PROVEEDORES[[#This Row],[FECHA DE FACTURACIÓN]])</f>
        <v>2024</v>
      </c>
      <c r="W1278" s="135">
        <f>+MATCH(PROVEEDORES[[#This Row],[año facturado]],Retenciones!$1:$1,0)</f>
        <v>7</v>
      </c>
      <c r="X1278" s="136">
        <f>+VLOOKUP(PROVEEDORES[[#This Row],[ID RETENCION]],Retenciones!$A$1:$O$25,PROVEEDORES[[#This Row],[indicador de columna]],FALSE)</f>
        <v>0</v>
      </c>
      <c r="Y1278" s="137">
        <f>+VLOOKUP(PROVEEDORES[[#This Row],[ID RETENCION]],Retenciones!$A$1:$O$25,2,FALSE)</f>
        <v>0</v>
      </c>
      <c r="Z1278" s="126" t="b">
        <f>+OR(COUNTIF(PROVEEDORES[[#This Row],[PROVEEDOR]],"*"&amp;'Palabra que no opera y Listas d'!$A$2&amp;"*"))</f>
        <v>0</v>
      </c>
    </row>
    <row r="1279" spans="1:26" ht="27.75" customHeight="1" x14ac:dyDescent="0.25">
      <c r="A1279" s="141" t="str">
        <f>+IF(PROVEEDORES[[#This Row],[FECHA DE PAGO]]=PROVEEDORES[[#This Row],[FECHA DE FACTURACIÓN]],"DE CONTADO","CRÉDITO")</f>
        <v>CRÉDITO</v>
      </c>
      <c r="B1279" s="138" t="b">
        <f>+IF((PROVEEDORES[[#This Row],[FECHA DE PAGO]]-PROVEEDORES[[#This Row],[FECHA DE FACTURACIÓN]])&gt;PROVEEDORES[[#This Row],[PLAZO Días]],"PAGO VENCIDO")</f>
        <v>0</v>
      </c>
      <c r="C1279" s="138">
        <f>+VLOOKUP(PROVEEDORES[[#This Row],[PROVEEDOR]],TERCEROS_INFO[#All],2,FALSE)</f>
        <v>60</v>
      </c>
      <c r="D1279" s="139">
        <f>+SUMIFS(PROVEEDORES[Total],PROVEEDORES[PROVEEDOR],PROVEEDORES[[#This Row],[PROVEEDOR]],PROVEEDORES[FECHA DE PAGO],"")</f>
        <v>1730482</v>
      </c>
      <c r="E1279" s="140"/>
      <c r="F1279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79" s="127">
        <v>45342</v>
      </c>
      <c r="H1279" s="123" t="s">
        <v>222</v>
      </c>
      <c r="I1279" s="127">
        <v>45337</v>
      </c>
      <c r="J1279" s="124">
        <v>1916</v>
      </c>
      <c r="K1279" s="124" t="s">
        <v>504</v>
      </c>
      <c r="L1279" s="124" t="s">
        <v>1534</v>
      </c>
      <c r="M1279" s="125">
        <v>590416.4</v>
      </c>
      <c r="N1279" s="148">
        <v>0</v>
      </c>
      <c r="O1279" s="148">
        <v>0</v>
      </c>
      <c r="P1279" s="149">
        <v>0</v>
      </c>
      <c r="Q1279" s="148">
        <v>0</v>
      </c>
      <c r="R1279" s="150">
        <v>590416.4</v>
      </c>
      <c r="S12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79" s="135">
        <f ca="1">+IF(PROVEEDORES[[#This Row],[FECHA DE PAGO]]=0,TODAY()-PROVEEDORES[[#This Row],[FECHA DE FACTURACIÓN]]-PROVEEDORES[[#This Row],[PLAZO Días]],0)</f>
        <v>0</v>
      </c>
      <c r="U1279" s="135">
        <f>+VLOOKUP(PROVEEDORES[[#This Row],[PROVEEDOR]],Terceros!$A:$D,4,FALSE)</f>
        <v>0</v>
      </c>
      <c r="V1279" s="135">
        <f>+YEAR(PROVEEDORES[[#This Row],[FECHA DE FACTURACIÓN]])</f>
        <v>2024</v>
      </c>
      <c r="W1279" s="135">
        <f>+MATCH(PROVEEDORES[[#This Row],[año facturado]],Retenciones!$1:$1,0)</f>
        <v>7</v>
      </c>
      <c r="X1279" s="136">
        <f>+VLOOKUP(PROVEEDORES[[#This Row],[ID RETENCION]],Retenciones!$A$1:$O$25,PROVEEDORES[[#This Row],[indicador de columna]],FALSE)</f>
        <v>0</v>
      </c>
      <c r="Y1279" s="137">
        <f>+VLOOKUP(PROVEEDORES[[#This Row],[ID RETENCION]],Retenciones!$A$1:$O$25,2,FALSE)</f>
        <v>0</v>
      </c>
      <c r="Z1279" s="126" t="b">
        <f>+OR(COUNTIF(PROVEEDORES[[#This Row],[PROVEEDOR]],"*"&amp;'Palabra que no opera y Listas d'!$A$2&amp;"*"))</f>
        <v>0</v>
      </c>
    </row>
    <row r="1280" spans="1:26" ht="27.75" customHeight="1" x14ac:dyDescent="0.25">
      <c r="A1280" s="141" t="str">
        <f>+IF(PROVEEDORES[[#This Row],[FECHA DE PAGO]]=PROVEEDORES[[#This Row],[FECHA DE FACTURACIÓN]],"DE CONTADO","CRÉDITO")</f>
        <v>CRÉDITO</v>
      </c>
      <c r="B1280" s="138" t="b">
        <f>+IF((PROVEEDORES[[#This Row],[FECHA DE PAGO]]-PROVEEDORES[[#This Row],[FECHA DE FACTURACIÓN]])&gt;PROVEEDORES[[#This Row],[PLAZO Días]],"PAGO VENCIDO")</f>
        <v>0</v>
      </c>
      <c r="C1280" s="138">
        <f>+VLOOKUP(PROVEEDORES[[#This Row],[PROVEEDOR]],TERCEROS_INFO[#All],2,FALSE)</f>
        <v>60</v>
      </c>
      <c r="D1280" s="139">
        <f>+SUMIFS(PROVEEDORES[Total],PROVEEDORES[PROVEEDOR],PROVEEDORES[[#This Row],[PROVEEDOR]],PROVEEDORES[FECHA DE PAGO],"")</f>
        <v>1730482</v>
      </c>
      <c r="E1280" s="140"/>
      <c r="F1280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80" s="127">
        <v>45342</v>
      </c>
      <c r="H1280" s="123" t="s">
        <v>222</v>
      </c>
      <c r="I1280" s="127">
        <v>45337</v>
      </c>
      <c r="J1280" s="124">
        <v>1917</v>
      </c>
      <c r="K1280" s="124" t="s">
        <v>504</v>
      </c>
      <c r="L1280" s="124" t="s">
        <v>1534</v>
      </c>
      <c r="M1280" s="125">
        <v>335101.2</v>
      </c>
      <c r="N1280" s="148">
        <v>0</v>
      </c>
      <c r="O1280" s="148">
        <v>0</v>
      </c>
      <c r="P1280" s="149">
        <v>0</v>
      </c>
      <c r="Q1280" s="148">
        <v>0</v>
      </c>
      <c r="R1280" s="150">
        <v>335101.2</v>
      </c>
      <c r="S12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0" s="135">
        <f ca="1">+IF(PROVEEDORES[[#This Row],[FECHA DE PAGO]]=0,TODAY()-PROVEEDORES[[#This Row],[FECHA DE FACTURACIÓN]]-PROVEEDORES[[#This Row],[PLAZO Días]],0)</f>
        <v>0</v>
      </c>
      <c r="U1280" s="135">
        <f>+VLOOKUP(PROVEEDORES[[#This Row],[PROVEEDOR]],Terceros!$A:$D,4,FALSE)</f>
        <v>0</v>
      </c>
      <c r="V1280" s="135">
        <f>+YEAR(PROVEEDORES[[#This Row],[FECHA DE FACTURACIÓN]])</f>
        <v>2024</v>
      </c>
      <c r="W1280" s="135">
        <f>+MATCH(PROVEEDORES[[#This Row],[año facturado]],Retenciones!$1:$1,0)</f>
        <v>7</v>
      </c>
      <c r="X1280" s="136">
        <f>+VLOOKUP(PROVEEDORES[[#This Row],[ID RETENCION]],Retenciones!$A$1:$O$25,PROVEEDORES[[#This Row],[indicador de columna]],FALSE)</f>
        <v>0</v>
      </c>
      <c r="Y1280" s="137">
        <f>+VLOOKUP(PROVEEDORES[[#This Row],[ID RETENCION]],Retenciones!$A$1:$O$25,2,FALSE)</f>
        <v>0</v>
      </c>
      <c r="Z1280" s="126" t="b">
        <f>+OR(COUNTIF(PROVEEDORES[[#This Row],[PROVEEDOR]],"*"&amp;'Palabra que no opera y Listas d'!$A$2&amp;"*"))</f>
        <v>0</v>
      </c>
    </row>
    <row r="1281" spans="1:26" ht="27.75" customHeight="1" x14ac:dyDescent="0.25">
      <c r="A1281" s="141" t="str">
        <f>+IF(PROVEEDORES[[#This Row],[FECHA DE PAGO]]=PROVEEDORES[[#This Row],[FECHA DE FACTURACIÓN]],"DE CONTADO","CRÉDITO")</f>
        <v>CRÉDITO</v>
      </c>
      <c r="B1281" s="138" t="b">
        <f>+IF((PROVEEDORES[[#This Row],[FECHA DE PAGO]]-PROVEEDORES[[#This Row],[FECHA DE FACTURACIÓN]])&gt;PROVEEDORES[[#This Row],[PLAZO Días]],"PAGO VENCIDO")</f>
        <v>0</v>
      </c>
      <c r="C1281" s="138">
        <f>+VLOOKUP(PROVEEDORES[[#This Row],[PROVEEDOR]],TERCEROS_INFO[#All],2,FALSE)</f>
        <v>60</v>
      </c>
      <c r="D1281" s="139">
        <f>+SUMIFS(PROVEEDORES[Total],PROVEEDORES[PROVEEDOR],PROVEEDORES[[#This Row],[PROVEEDOR]],PROVEEDORES[FECHA DE PAGO],"")</f>
        <v>1730482</v>
      </c>
      <c r="E1281" s="140"/>
      <c r="F1281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81" s="127">
        <v>45342</v>
      </c>
      <c r="H1281" s="123" t="s">
        <v>222</v>
      </c>
      <c r="I1281" s="127">
        <v>45337</v>
      </c>
      <c r="J1281" s="124">
        <v>1918</v>
      </c>
      <c r="K1281" s="124" t="s">
        <v>504</v>
      </c>
      <c r="L1281" s="124" t="s">
        <v>1534</v>
      </c>
      <c r="M1281" s="125">
        <v>223400.80000000002</v>
      </c>
      <c r="N1281" s="148">
        <v>0</v>
      </c>
      <c r="O1281" s="148">
        <v>0</v>
      </c>
      <c r="P1281" s="149">
        <v>0</v>
      </c>
      <c r="Q1281" s="148">
        <v>0</v>
      </c>
      <c r="R1281" s="150">
        <v>223400.80000000002</v>
      </c>
      <c r="S12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1" s="135">
        <f ca="1">+IF(PROVEEDORES[[#This Row],[FECHA DE PAGO]]=0,TODAY()-PROVEEDORES[[#This Row],[FECHA DE FACTURACIÓN]]-PROVEEDORES[[#This Row],[PLAZO Días]],0)</f>
        <v>0</v>
      </c>
      <c r="U1281" s="135">
        <f>+VLOOKUP(PROVEEDORES[[#This Row],[PROVEEDOR]],Terceros!$A:$D,4,FALSE)</f>
        <v>0</v>
      </c>
      <c r="V1281" s="135">
        <f>+YEAR(PROVEEDORES[[#This Row],[FECHA DE FACTURACIÓN]])</f>
        <v>2024</v>
      </c>
      <c r="W1281" s="135">
        <f>+MATCH(PROVEEDORES[[#This Row],[año facturado]],Retenciones!$1:$1,0)</f>
        <v>7</v>
      </c>
      <c r="X1281" s="136">
        <f>+VLOOKUP(PROVEEDORES[[#This Row],[ID RETENCION]],Retenciones!$A$1:$O$25,PROVEEDORES[[#This Row],[indicador de columna]],FALSE)</f>
        <v>0</v>
      </c>
      <c r="Y1281" s="137">
        <f>+VLOOKUP(PROVEEDORES[[#This Row],[ID RETENCION]],Retenciones!$A$1:$O$25,2,FALSE)</f>
        <v>0</v>
      </c>
      <c r="Z1281" s="126" t="b">
        <f>+OR(COUNTIF(PROVEEDORES[[#This Row],[PROVEEDOR]],"*"&amp;'Palabra que no opera y Listas d'!$A$2&amp;"*"))</f>
        <v>0</v>
      </c>
    </row>
    <row r="1282" spans="1:26" ht="27.75" customHeight="1" x14ac:dyDescent="0.25">
      <c r="A1282" s="141" t="str">
        <f>+IF(PROVEEDORES[[#This Row],[FECHA DE PAGO]]=PROVEEDORES[[#This Row],[FECHA DE FACTURACIÓN]],"DE CONTADO","CRÉDITO")</f>
        <v>CRÉDITO</v>
      </c>
      <c r="B1282" s="138" t="b">
        <f>+IF((PROVEEDORES[[#This Row],[FECHA DE PAGO]]-PROVEEDORES[[#This Row],[FECHA DE FACTURACIÓN]])&gt;PROVEEDORES[[#This Row],[PLAZO Días]],"PAGO VENCIDO")</f>
        <v>0</v>
      </c>
      <c r="C1282" s="138">
        <f>+VLOOKUP(PROVEEDORES[[#This Row],[PROVEEDOR]],TERCEROS_INFO[#All],2,FALSE)</f>
        <v>60</v>
      </c>
      <c r="D1282" s="139">
        <f>+SUMIFS(PROVEEDORES[Total],PROVEEDORES[PROVEEDOR],PROVEEDORES[[#This Row],[PROVEEDOR]],PROVEEDORES[FECHA DE PAGO],"")</f>
        <v>1730482</v>
      </c>
      <c r="E1282" s="140"/>
      <c r="F1282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82" s="127">
        <v>45342</v>
      </c>
      <c r="H1282" s="123" t="s">
        <v>222</v>
      </c>
      <c r="I1282" s="127">
        <v>45337</v>
      </c>
      <c r="J1282" s="124">
        <v>1919</v>
      </c>
      <c r="K1282" s="124" t="s">
        <v>504</v>
      </c>
      <c r="L1282" s="124" t="s">
        <v>1534</v>
      </c>
      <c r="M1282" s="125">
        <v>351058.4</v>
      </c>
      <c r="N1282" s="148">
        <v>0</v>
      </c>
      <c r="O1282" s="148">
        <v>0</v>
      </c>
      <c r="P1282" s="149">
        <v>0</v>
      </c>
      <c r="Q1282" s="148">
        <v>0</v>
      </c>
      <c r="R1282" s="150">
        <v>351058.4</v>
      </c>
      <c r="S12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2" s="135">
        <f ca="1">+IF(PROVEEDORES[[#This Row],[FECHA DE PAGO]]=0,TODAY()-PROVEEDORES[[#This Row],[FECHA DE FACTURACIÓN]]-PROVEEDORES[[#This Row],[PLAZO Días]],0)</f>
        <v>0</v>
      </c>
      <c r="U1282" s="135">
        <f>+VLOOKUP(PROVEEDORES[[#This Row],[PROVEEDOR]],Terceros!$A:$D,4,FALSE)</f>
        <v>0</v>
      </c>
      <c r="V1282" s="135">
        <f>+YEAR(PROVEEDORES[[#This Row],[FECHA DE FACTURACIÓN]])</f>
        <v>2024</v>
      </c>
      <c r="W1282" s="135">
        <f>+MATCH(PROVEEDORES[[#This Row],[año facturado]],Retenciones!$1:$1,0)</f>
        <v>7</v>
      </c>
      <c r="X1282" s="136">
        <f>+VLOOKUP(PROVEEDORES[[#This Row],[ID RETENCION]],Retenciones!$A$1:$O$25,PROVEEDORES[[#This Row],[indicador de columna]],FALSE)</f>
        <v>0</v>
      </c>
      <c r="Y1282" s="137">
        <f>+VLOOKUP(PROVEEDORES[[#This Row],[ID RETENCION]],Retenciones!$A$1:$O$25,2,FALSE)</f>
        <v>0</v>
      </c>
      <c r="Z1282" s="126" t="b">
        <f>+OR(COUNTIF(PROVEEDORES[[#This Row],[PROVEEDOR]],"*"&amp;'Palabra que no opera y Listas d'!$A$2&amp;"*"))</f>
        <v>0</v>
      </c>
    </row>
    <row r="1283" spans="1:26" ht="27.75" customHeight="1" x14ac:dyDescent="0.25">
      <c r="A1283" s="141" t="str">
        <f>+IF(PROVEEDORES[[#This Row],[FECHA DE PAGO]]=PROVEEDORES[[#This Row],[FECHA DE FACTURACIÓN]],"DE CONTADO","CRÉDITO")</f>
        <v>CRÉDITO</v>
      </c>
      <c r="B1283" s="138" t="b">
        <f>+IF((PROVEEDORES[[#This Row],[FECHA DE PAGO]]-PROVEEDORES[[#This Row],[FECHA DE FACTURACIÓN]])&gt;PROVEEDORES[[#This Row],[PLAZO Días]],"PAGO VENCIDO")</f>
        <v>0</v>
      </c>
      <c r="C1283" s="138">
        <f>+VLOOKUP(PROVEEDORES[[#This Row],[PROVEEDOR]],TERCEROS_INFO[#All],2,FALSE)</f>
        <v>60</v>
      </c>
      <c r="D1283" s="139">
        <f>+SUMIFS(PROVEEDORES[Total],PROVEEDORES[PROVEEDOR],PROVEEDORES[[#This Row],[PROVEEDOR]],PROVEEDORES[FECHA DE PAGO],"")</f>
        <v>1730482</v>
      </c>
      <c r="E1283" s="140"/>
      <c r="F1283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283" s="127">
        <v>45342</v>
      </c>
      <c r="H1283" s="123" t="s">
        <v>222</v>
      </c>
      <c r="I1283" s="127">
        <v>45337</v>
      </c>
      <c r="J1283" s="124">
        <v>1922</v>
      </c>
      <c r="K1283" s="124" t="s">
        <v>504</v>
      </c>
      <c r="L1283" s="124" t="s">
        <v>1534</v>
      </c>
      <c r="M1283" s="125">
        <v>207443.6</v>
      </c>
      <c r="N1283" s="148">
        <v>0</v>
      </c>
      <c r="O1283" s="148">
        <v>0</v>
      </c>
      <c r="P1283" s="149">
        <v>0</v>
      </c>
      <c r="Q1283" s="148">
        <v>0</v>
      </c>
      <c r="R1283" s="150">
        <v>207443.6</v>
      </c>
      <c r="S12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3" s="135">
        <f ca="1">+IF(PROVEEDORES[[#This Row],[FECHA DE PAGO]]=0,TODAY()-PROVEEDORES[[#This Row],[FECHA DE FACTURACIÓN]]-PROVEEDORES[[#This Row],[PLAZO Días]],0)</f>
        <v>0</v>
      </c>
      <c r="U1283" s="135">
        <f>+VLOOKUP(PROVEEDORES[[#This Row],[PROVEEDOR]],Terceros!$A:$D,4,FALSE)</f>
        <v>0</v>
      </c>
      <c r="V1283" s="135">
        <f>+YEAR(PROVEEDORES[[#This Row],[FECHA DE FACTURACIÓN]])</f>
        <v>2024</v>
      </c>
      <c r="W1283" s="135">
        <f>+MATCH(PROVEEDORES[[#This Row],[año facturado]],Retenciones!$1:$1,0)</f>
        <v>7</v>
      </c>
      <c r="X1283" s="136">
        <f>+VLOOKUP(PROVEEDORES[[#This Row],[ID RETENCION]],Retenciones!$A$1:$O$25,PROVEEDORES[[#This Row],[indicador de columna]],FALSE)</f>
        <v>0</v>
      </c>
      <c r="Y1283" s="137">
        <f>+VLOOKUP(PROVEEDORES[[#This Row],[ID RETENCION]],Retenciones!$A$1:$O$25,2,FALSE)</f>
        <v>0</v>
      </c>
      <c r="Z1283" s="126" t="b">
        <f>+OR(COUNTIF(PROVEEDORES[[#This Row],[PROVEEDOR]],"*"&amp;'Palabra que no opera y Listas d'!$A$2&amp;"*"))</f>
        <v>0</v>
      </c>
    </row>
    <row r="1284" spans="1:26" ht="27.75" customHeight="1" x14ac:dyDescent="0.25">
      <c r="A1284" s="141" t="str">
        <f>+IF(PROVEEDORES[[#This Row],[FECHA DE PAGO]]=PROVEEDORES[[#This Row],[FECHA DE FACTURACIÓN]],"DE CONTADO","CRÉDITO")</f>
        <v>CRÉDITO</v>
      </c>
      <c r="B1284" s="138" t="b">
        <f>+IF((PROVEEDORES[[#This Row],[FECHA DE PAGO]]-PROVEEDORES[[#This Row],[FECHA DE FACTURACIÓN]])&gt;PROVEEDORES[[#This Row],[PLAZO Días]],"PAGO VENCIDO")</f>
        <v>0</v>
      </c>
      <c r="C1284" s="138">
        <f>+VLOOKUP(PROVEEDORES[[#This Row],[PROVEEDOR]],TERCEROS_INFO[#All],2,FALSE)</f>
        <v>30</v>
      </c>
      <c r="D1284" s="139">
        <f>+SUMIFS(PROVEEDORES[Total],PROVEEDORES[PROVEEDOR],PROVEEDORES[[#This Row],[PROVEEDOR]],PROVEEDORES[FECHA DE PAGO],"")</f>
        <v>134000</v>
      </c>
      <c r="E1284" s="140"/>
      <c r="F1284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284" s="127">
        <v>45342</v>
      </c>
      <c r="H1284" s="123" t="s">
        <v>1808</v>
      </c>
      <c r="I1284" s="127">
        <v>45343</v>
      </c>
      <c r="J1284" s="124" t="s">
        <v>1741</v>
      </c>
      <c r="K1284" s="124" t="s">
        <v>1530</v>
      </c>
      <c r="L1284" s="124"/>
      <c r="M1284" s="125">
        <v>100000</v>
      </c>
      <c r="N1284" s="148">
        <v>0</v>
      </c>
      <c r="O1284" s="148">
        <v>0</v>
      </c>
      <c r="P1284" s="149">
        <v>0</v>
      </c>
      <c r="Q1284" s="148">
        <v>0</v>
      </c>
      <c r="R1284" s="150">
        <v>100000</v>
      </c>
      <c r="S12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4" s="135">
        <f ca="1">+IF(PROVEEDORES[[#This Row],[FECHA DE PAGO]]=0,TODAY()-PROVEEDORES[[#This Row],[FECHA DE FACTURACIÓN]]-PROVEEDORES[[#This Row],[PLAZO Días]],0)</f>
        <v>0</v>
      </c>
      <c r="U1284" s="135">
        <f>+VLOOKUP(PROVEEDORES[[#This Row],[PROVEEDOR]],Terceros!$A:$D,4,FALSE)</f>
        <v>0</v>
      </c>
      <c r="V1284" s="135">
        <f>+YEAR(PROVEEDORES[[#This Row],[FECHA DE FACTURACIÓN]])</f>
        <v>2024</v>
      </c>
      <c r="W1284" s="135">
        <f>+MATCH(PROVEEDORES[[#This Row],[año facturado]],Retenciones!$1:$1,0)</f>
        <v>7</v>
      </c>
      <c r="X1284" s="136">
        <f>+VLOOKUP(PROVEEDORES[[#This Row],[ID RETENCION]],Retenciones!$A$1:$O$25,PROVEEDORES[[#This Row],[indicador de columna]],FALSE)</f>
        <v>0</v>
      </c>
      <c r="Y1284" s="137">
        <f>+VLOOKUP(PROVEEDORES[[#This Row],[ID RETENCION]],Retenciones!$A$1:$O$25,2,FALSE)</f>
        <v>0</v>
      </c>
      <c r="Z1284" s="126" t="b">
        <f>+OR(COUNTIF(PROVEEDORES[[#This Row],[PROVEEDOR]],"*"&amp;'Palabra que no opera y Listas d'!$A$2&amp;"*"))</f>
        <v>0</v>
      </c>
    </row>
    <row r="1285" spans="1:26" ht="27.75" customHeight="1" x14ac:dyDescent="0.25">
      <c r="A1285" s="141" t="str">
        <f>+IF(PROVEEDORES[[#This Row],[FECHA DE PAGO]]=PROVEEDORES[[#This Row],[FECHA DE FACTURACIÓN]],"DE CONTADO","CRÉDITO")</f>
        <v>CRÉDITO</v>
      </c>
      <c r="B1285" s="138" t="b">
        <f>+IF((PROVEEDORES[[#This Row],[FECHA DE PAGO]]-PROVEEDORES[[#This Row],[FECHA DE FACTURACIÓN]])&gt;PROVEEDORES[[#This Row],[PLAZO Días]],"PAGO VENCIDO")</f>
        <v>0</v>
      </c>
      <c r="C1285" s="138">
        <f>+VLOOKUP(PROVEEDORES[[#This Row],[PROVEEDOR]],TERCEROS_INFO[#All],2,FALSE)</f>
        <v>30</v>
      </c>
      <c r="D1285" s="139">
        <f>+SUMIFS(PROVEEDORES[Total],PROVEEDORES[PROVEEDOR],PROVEEDORES[[#This Row],[PROVEEDOR]],PROVEEDORES[FECHA DE PAGO],"")</f>
        <v>0</v>
      </c>
      <c r="E1285" s="140"/>
      <c r="F1285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285" s="127">
        <v>45343</v>
      </c>
      <c r="H1285" s="123" t="s">
        <v>380</v>
      </c>
      <c r="I1285" s="127">
        <v>45328</v>
      </c>
      <c r="J1285" s="124" t="s">
        <v>1571</v>
      </c>
      <c r="K1285" s="124" t="s">
        <v>1530</v>
      </c>
      <c r="L1285" s="124" t="s">
        <v>1533</v>
      </c>
      <c r="M1285" s="125">
        <v>3456200</v>
      </c>
      <c r="N1285" s="148">
        <v>0</v>
      </c>
      <c r="O1285" s="148">
        <v>0</v>
      </c>
      <c r="P1285" s="149">
        <v>3.5000000000000003E-2</v>
      </c>
      <c r="Q1285" s="148">
        <v>120967.00000000001</v>
      </c>
      <c r="R1285" s="150">
        <v>3335233</v>
      </c>
      <c r="S12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5" s="135">
        <f ca="1">+IF(PROVEEDORES[[#This Row],[FECHA DE PAGO]]=0,TODAY()-PROVEEDORES[[#This Row],[FECHA DE FACTURACIÓN]]-PROVEEDORES[[#This Row],[PLAZO Días]],0)</f>
        <v>0</v>
      </c>
      <c r="U1285" s="135" t="str">
        <f>+VLOOKUP(PROVEEDORES[[#This Row],[PROVEEDOR]],Terceros!$A:$D,4,FALSE)</f>
        <v>3,5% sin base</v>
      </c>
      <c r="V1285" s="135">
        <f>+YEAR(PROVEEDORES[[#This Row],[FECHA DE FACTURACIÓN]])</f>
        <v>2024</v>
      </c>
      <c r="W1285" s="135">
        <f>+MATCH(PROVEEDORES[[#This Row],[año facturado]],Retenciones!$1:$1,0)</f>
        <v>7</v>
      </c>
      <c r="X1285" s="136">
        <f>+VLOOKUP(PROVEEDORES[[#This Row],[ID RETENCION]],Retenciones!$A$1:$O$25,PROVEEDORES[[#This Row],[indicador de columna]],FALSE)</f>
        <v>0</v>
      </c>
      <c r="Y1285" s="137">
        <f>+VLOOKUP(PROVEEDORES[[#This Row],[ID RETENCION]],Retenciones!$A$1:$O$25,2,FALSE)</f>
        <v>3.5000000000000003E-2</v>
      </c>
      <c r="Z1285" s="126" t="b">
        <f>+OR(COUNTIF(PROVEEDORES[[#This Row],[PROVEEDOR]],"*"&amp;'Palabra que no opera y Listas d'!$A$2&amp;"*"))</f>
        <v>1</v>
      </c>
    </row>
    <row r="1286" spans="1:26" ht="27.75" customHeight="1" x14ac:dyDescent="0.25">
      <c r="A1286" s="141" t="str">
        <f>+IF(PROVEEDORES[[#This Row],[FECHA DE PAGO]]=PROVEEDORES[[#This Row],[FECHA DE FACTURACIÓN]],"DE CONTADO","CRÉDITO")</f>
        <v>CRÉDITO</v>
      </c>
      <c r="B1286" s="138" t="b">
        <f>+IF((PROVEEDORES[[#This Row],[FECHA DE PAGO]]-PROVEEDORES[[#This Row],[FECHA DE FACTURACIÓN]])&gt;PROVEEDORES[[#This Row],[PLAZO Días]],"PAGO VENCIDO")</f>
        <v>0</v>
      </c>
      <c r="C1286" s="138">
        <f>+VLOOKUP(PROVEEDORES[[#This Row],[PROVEEDOR]],TERCEROS_INFO[#All],2,FALSE)</f>
        <v>30</v>
      </c>
      <c r="D1286" s="139">
        <f>+SUMIFS(PROVEEDORES[Total],PROVEEDORES[PROVEEDOR],PROVEEDORES[[#This Row],[PROVEEDOR]],PROVEEDORES[FECHA DE PAGO],"")</f>
        <v>0</v>
      </c>
      <c r="E1286" s="140"/>
      <c r="F1286" s="138" t="str">
        <f>+VLOOKUP(PROVEEDORES[[#This Row],[PROVEEDOR]],
                       Terceros!$A:$F,
                       5,
                       FALSE)</f>
        <v>contabilidad@comsistel.com.co;girlesa.ruiz@servipilas.com;joriescobar64@gmail.com</v>
      </c>
      <c r="G1286" s="127">
        <v>45343</v>
      </c>
      <c r="H1286" s="123" t="s">
        <v>207</v>
      </c>
      <c r="I1286" s="127">
        <v>45342</v>
      </c>
      <c r="J1286" s="124" t="s">
        <v>1577</v>
      </c>
      <c r="K1286" s="124" t="s">
        <v>504</v>
      </c>
      <c r="L1286" s="124" t="s">
        <v>1534</v>
      </c>
      <c r="M1286" s="125">
        <v>1539986</v>
      </c>
      <c r="N1286" s="148">
        <v>76999</v>
      </c>
      <c r="O1286" s="148">
        <v>0</v>
      </c>
      <c r="P1286" s="149">
        <v>2.5000000000000001E-2</v>
      </c>
      <c r="Q1286" s="148">
        <v>38499.65</v>
      </c>
      <c r="R1286" s="150">
        <v>1578485.35</v>
      </c>
      <c r="S12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6" s="135">
        <f ca="1">+IF(PROVEEDORES[[#This Row],[FECHA DE PAGO]]=0,TODAY()-PROVEEDORES[[#This Row],[FECHA DE FACTURACIÓN]]-PROVEEDORES[[#This Row],[PLAZO Días]],0)</f>
        <v>0</v>
      </c>
      <c r="U1286" s="135" t="str">
        <f>+VLOOKUP(PROVEEDORES[[#This Row],[PROVEEDOR]],Terceros!$A:$D,4,FALSE)</f>
        <v>2,5% con base</v>
      </c>
      <c r="V1286" s="135">
        <f>+YEAR(PROVEEDORES[[#This Row],[FECHA DE FACTURACIÓN]])</f>
        <v>2024</v>
      </c>
      <c r="W1286" s="135">
        <f>+MATCH(PROVEEDORES[[#This Row],[año facturado]],Retenciones!$1:$1,0)</f>
        <v>7</v>
      </c>
      <c r="X1286" s="136">
        <f>+VLOOKUP(PROVEEDORES[[#This Row],[ID RETENCION]],Retenciones!$A$1:$O$25,PROVEEDORES[[#This Row],[indicador de columna]],FALSE)</f>
        <v>1271000</v>
      </c>
      <c r="Y1286" s="137">
        <f>+VLOOKUP(PROVEEDORES[[#This Row],[ID RETENCION]],Retenciones!$A$1:$O$25,2,FALSE)</f>
        <v>2.5000000000000001E-2</v>
      </c>
      <c r="Z1286" s="126" t="b">
        <f>+OR(COUNTIF(PROVEEDORES[[#This Row],[PROVEEDOR]],"*"&amp;'Palabra que no opera y Listas d'!$A$2&amp;"*"))</f>
        <v>0</v>
      </c>
    </row>
    <row r="1287" spans="1:26" ht="27.75" customHeight="1" x14ac:dyDescent="0.25">
      <c r="A1287" s="141" t="str">
        <f>+IF(PROVEEDORES[[#This Row],[FECHA DE PAGO]]=PROVEEDORES[[#This Row],[FECHA DE FACTURACIÓN]],"DE CONTADO","CRÉDITO")</f>
        <v>DE CONTADO</v>
      </c>
      <c r="B1287" s="138" t="b">
        <f>+IF((PROVEEDORES[[#This Row],[FECHA DE PAGO]]-PROVEEDORES[[#This Row],[FECHA DE FACTURACIÓN]])&gt;PROVEEDORES[[#This Row],[PLAZO Días]],"PAGO VENCIDO")</f>
        <v>0</v>
      </c>
      <c r="C1287" s="138">
        <f>+VLOOKUP(PROVEEDORES[[#This Row],[PROVEEDOR]],TERCEROS_INFO[#All],2,FALSE)</f>
        <v>30</v>
      </c>
      <c r="D1287" s="139">
        <f>+SUMIFS(PROVEEDORES[Total],PROVEEDORES[PROVEEDOR],PROVEEDORES[[#This Row],[PROVEEDOR]],PROVEEDORES[FECHA DE PAGO],"")</f>
        <v>0</v>
      </c>
      <c r="E1287" s="140"/>
      <c r="F1287" s="138" t="str">
        <f>+VLOOKUP(PROVEEDORES[[#This Row],[PROVEEDOR]],
                       Terceros!$A:$F,
                       5,
                       FALSE)</f>
        <v>oag15@hotmail.com;girlesa.ruiz@servipilas.com;joriescobar64@gmail.com</v>
      </c>
      <c r="G1287" s="127">
        <v>45343</v>
      </c>
      <c r="H1287" s="123" t="s">
        <v>1163</v>
      </c>
      <c r="I1287" s="127">
        <v>45343</v>
      </c>
      <c r="J1287" s="124" t="s">
        <v>1587</v>
      </c>
      <c r="K1287" s="124" t="s">
        <v>1530</v>
      </c>
      <c r="L1287" s="124" t="s">
        <v>1395</v>
      </c>
      <c r="M1287" s="125">
        <v>552100.85</v>
      </c>
      <c r="N1287" s="148">
        <v>104899.1615</v>
      </c>
      <c r="O1287" s="148">
        <v>0</v>
      </c>
      <c r="P1287" s="149">
        <v>0</v>
      </c>
      <c r="Q1287" s="148">
        <v>0</v>
      </c>
      <c r="R1287" s="150">
        <v>657000.01150000002</v>
      </c>
      <c r="S12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7" s="135">
        <f ca="1">+IF(PROVEEDORES[[#This Row],[FECHA DE PAGO]]=0,TODAY()-PROVEEDORES[[#This Row],[FECHA DE FACTURACIÓN]]-PROVEEDORES[[#This Row],[PLAZO Días]],0)</f>
        <v>0</v>
      </c>
      <c r="U1287" s="135" t="str">
        <f>+VLOOKUP(PROVEEDORES[[#This Row],[PROVEEDOR]],Terceros!$A:$D,4,FALSE)</f>
        <v>2,5% con base</v>
      </c>
      <c r="V1287" s="135">
        <f>+YEAR(PROVEEDORES[[#This Row],[FECHA DE FACTURACIÓN]])</f>
        <v>2024</v>
      </c>
      <c r="W1287" s="135">
        <f>+MATCH(PROVEEDORES[[#This Row],[año facturado]],Retenciones!$1:$1,0)</f>
        <v>7</v>
      </c>
      <c r="X1287" s="136">
        <f>+VLOOKUP(PROVEEDORES[[#This Row],[ID RETENCION]],Retenciones!$A$1:$O$25,PROVEEDORES[[#This Row],[indicador de columna]],FALSE)</f>
        <v>1271000</v>
      </c>
      <c r="Y1287" s="137">
        <f>+VLOOKUP(PROVEEDORES[[#This Row],[ID RETENCION]],Retenciones!$A$1:$O$25,2,FALSE)</f>
        <v>2.5000000000000001E-2</v>
      </c>
      <c r="Z1287" s="126" t="b">
        <f>+OR(COUNTIF(PROVEEDORES[[#This Row],[PROVEEDOR]],"*"&amp;'Palabra que no opera y Listas d'!$A$2&amp;"*"))</f>
        <v>0</v>
      </c>
    </row>
    <row r="1288" spans="1:26" ht="27.75" customHeight="1" x14ac:dyDescent="0.25">
      <c r="A1288" s="141" t="str">
        <f>+IF(PROVEEDORES[[#This Row],[FECHA DE PAGO]]=PROVEEDORES[[#This Row],[FECHA DE FACTURACIÓN]],"DE CONTADO","CRÉDITO")</f>
        <v>DE CONTADO</v>
      </c>
      <c r="B1288" s="138" t="b">
        <f>+IF((PROVEEDORES[[#This Row],[FECHA DE PAGO]]-PROVEEDORES[[#This Row],[FECHA DE FACTURACIÓN]])&gt;PROVEEDORES[[#This Row],[PLAZO Días]],"PAGO VENCIDO")</f>
        <v>0</v>
      </c>
      <c r="C1288" s="138">
        <f>+VLOOKUP(PROVEEDORES[[#This Row],[PROVEEDOR]],TERCEROS_INFO[#All],2,FALSE)</f>
        <v>30</v>
      </c>
      <c r="D1288" s="139">
        <f>+SUMIFS(PROVEEDORES[Total],PROVEEDORES[PROVEEDOR],PROVEEDORES[[#This Row],[PROVEEDOR]],PROVEEDORES[FECHA DE PAGO],"")</f>
        <v>0</v>
      </c>
      <c r="E1288" s="140"/>
      <c r="F1288" s="138" t="str">
        <f>+VLOOKUP(PROVEEDORES[[#This Row],[PROVEEDOR]],
                       Terceros!$A:$F,
                       5,
                       FALSE)</f>
        <v/>
      </c>
      <c r="G1288" s="127">
        <v>45344</v>
      </c>
      <c r="H1288" s="123" t="s">
        <v>1824</v>
      </c>
      <c r="I1288" s="127">
        <v>45344</v>
      </c>
      <c r="J1288" s="124"/>
      <c r="K1288" s="124" t="s">
        <v>1530</v>
      </c>
      <c r="L1288" s="124" t="s">
        <v>1395</v>
      </c>
      <c r="M1288" s="125">
        <v>533177</v>
      </c>
      <c r="N1288" s="148">
        <v>0</v>
      </c>
      <c r="O1288" s="148">
        <v>0</v>
      </c>
      <c r="P1288" s="149">
        <v>0</v>
      </c>
      <c r="Q1288" s="148">
        <v>0</v>
      </c>
      <c r="R1288" s="150">
        <v>533177</v>
      </c>
      <c r="S12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8" s="135">
        <f ca="1">+IF(PROVEEDORES[[#This Row],[FECHA DE PAGO]]=0,TODAY()-PROVEEDORES[[#This Row],[FECHA DE FACTURACIÓN]]-PROVEEDORES[[#This Row],[PLAZO Días]],0)</f>
        <v>0</v>
      </c>
      <c r="U1288" s="135">
        <f>+VLOOKUP(PROVEEDORES[[#This Row],[PROVEEDOR]],Terceros!$A:$D,4,FALSE)</f>
        <v>0</v>
      </c>
      <c r="V1288" s="135">
        <f>+YEAR(PROVEEDORES[[#This Row],[FECHA DE FACTURACIÓN]])</f>
        <v>2024</v>
      </c>
      <c r="W1288" s="135">
        <f>+MATCH(PROVEEDORES[[#This Row],[año facturado]],Retenciones!$1:$1,0)</f>
        <v>7</v>
      </c>
      <c r="X1288" s="136">
        <f>+VLOOKUP(PROVEEDORES[[#This Row],[ID RETENCION]],Retenciones!$A$1:$O$25,PROVEEDORES[[#This Row],[indicador de columna]],FALSE)</f>
        <v>0</v>
      </c>
      <c r="Y1288" s="137">
        <f>+VLOOKUP(PROVEEDORES[[#This Row],[ID RETENCION]],Retenciones!$A$1:$O$25,2,FALSE)</f>
        <v>0</v>
      </c>
      <c r="Z1288" s="126" t="b">
        <f>+OR(COUNTIF(PROVEEDORES[[#This Row],[PROVEEDOR]],"*"&amp;'Palabra que no opera y Listas d'!$A$2&amp;"*"))</f>
        <v>0</v>
      </c>
    </row>
    <row r="1289" spans="1:26" ht="27.75" customHeight="1" x14ac:dyDescent="0.25">
      <c r="A1289" s="141" t="str">
        <f>+IF(PROVEEDORES[[#This Row],[FECHA DE PAGO]]=PROVEEDORES[[#This Row],[FECHA DE FACTURACIÓN]],"DE CONTADO","CRÉDITO")</f>
        <v>CRÉDITO</v>
      </c>
      <c r="B1289" s="138" t="str">
        <f>+IF((PROVEEDORES[[#This Row],[FECHA DE PAGO]]-PROVEEDORES[[#This Row],[FECHA DE FACTURACIÓN]])&gt;PROVEEDORES[[#This Row],[PLAZO Días]],"PAGO VENCIDO")</f>
        <v>PAGO VENCIDO</v>
      </c>
      <c r="C1289" s="138">
        <f>+VLOOKUP(PROVEEDORES[[#This Row],[PROVEEDOR]],TERCEROS_INFO[#All],2,FALSE)</f>
        <v>30</v>
      </c>
      <c r="D1289" s="139">
        <f>+SUMIFS(PROVEEDORES[Total],PROVEEDORES[PROVEEDOR],PROVEEDORES[[#This Row],[PROVEEDOR]],PROVEEDORES[FECHA DE PAGO],"")</f>
        <v>0</v>
      </c>
      <c r="E1289" s="140"/>
      <c r="F1289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89" s="127">
        <v>45345</v>
      </c>
      <c r="H1289" s="123" t="s">
        <v>1820</v>
      </c>
      <c r="I1289" s="127">
        <v>45265</v>
      </c>
      <c r="J1289" s="124" t="s">
        <v>1378</v>
      </c>
      <c r="K1289" s="124" t="s">
        <v>1530</v>
      </c>
      <c r="L1289" s="124" t="s">
        <v>1395</v>
      </c>
      <c r="M1289" s="125">
        <v>680000</v>
      </c>
      <c r="N1289" s="148">
        <v>0</v>
      </c>
      <c r="O1289" s="148">
        <v>0</v>
      </c>
      <c r="P1289" s="149">
        <v>0</v>
      </c>
      <c r="Q1289" s="148">
        <v>0</v>
      </c>
      <c r="R1289" s="150">
        <v>680000</v>
      </c>
      <c r="S12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89" s="135">
        <f ca="1">+IF(PROVEEDORES[[#This Row],[FECHA DE PAGO]]=0,TODAY()-PROVEEDORES[[#This Row],[FECHA DE FACTURACIÓN]]-PROVEEDORES[[#This Row],[PLAZO Días]],0)</f>
        <v>0</v>
      </c>
      <c r="U1289" s="135">
        <f>+VLOOKUP(PROVEEDORES[[#This Row],[PROVEEDOR]],Terceros!$A:$D,4,FALSE)</f>
        <v>0</v>
      </c>
      <c r="V1289" s="135">
        <f>+YEAR(PROVEEDORES[[#This Row],[FECHA DE FACTURACIÓN]])</f>
        <v>2023</v>
      </c>
      <c r="W1289" s="135">
        <f>+MATCH(PROVEEDORES[[#This Row],[año facturado]],Retenciones!$1:$1,0)</f>
        <v>6</v>
      </c>
      <c r="X1289" s="136">
        <f>+VLOOKUP(PROVEEDORES[[#This Row],[ID RETENCION]],Retenciones!$A$1:$O$25,PROVEEDORES[[#This Row],[indicador de columna]],FALSE)</f>
        <v>0</v>
      </c>
      <c r="Y1289" s="137">
        <f>+VLOOKUP(PROVEEDORES[[#This Row],[ID RETENCION]],Retenciones!$A$1:$O$25,2,FALSE)</f>
        <v>0</v>
      </c>
      <c r="Z1289" s="126" t="b">
        <f>+OR(COUNTIF(PROVEEDORES[[#This Row],[PROVEEDOR]],"*"&amp;'Palabra que no opera y Listas d'!$A$2&amp;"*"))</f>
        <v>0</v>
      </c>
    </row>
    <row r="1290" spans="1:26" ht="27.75" customHeight="1" x14ac:dyDescent="0.25">
      <c r="A1290" s="141" t="str">
        <f>+IF(PROVEEDORES[[#This Row],[FECHA DE PAGO]]=PROVEEDORES[[#This Row],[FECHA DE FACTURACIÓN]],"DE CONTADO","CRÉDITO")</f>
        <v>CRÉDITO</v>
      </c>
      <c r="B1290" s="138" t="b">
        <f>+IF((PROVEEDORES[[#This Row],[FECHA DE PAGO]]-PROVEEDORES[[#This Row],[FECHA DE FACTURACIÓN]])&gt;PROVEEDORES[[#This Row],[PLAZO Días]],"PAGO VENCIDO")</f>
        <v>0</v>
      </c>
      <c r="C1290" s="138">
        <f>+VLOOKUP(PROVEEDORES[[#This Row],[PROVEEDOR]],TERCEROS_INFO[#All],2,FALSE)</f>
        <v>60</v>
      </c>
      <c r="D1290" s="139">
        <f>+SUMIFS(PROVEEDORES[Total],PROVEEDORES[PROVEEDOR],PROVEEDORES[[#This Row],[PROVEEDOR]],PROVEEDORES[FECHA DE PAGO],"")</f>
        <v>0</v>
      </c>
      <c r="E1290" s="140"/>
      <c r="F1290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1290" s="127">
        <v>45345</v>
      </c>
      <c r="H1290" s="123" t="s">
        <v>65</v>
      </c>
      <c r="I1290" s="127">
        <v>45287</v>
      </c>
      <c r="J1290" s="124" t="s">
        <v>1642</v>
      </c>
      <c r="K1290" s="124" t="s">
        <v>1530</v>
      </c>
      <c r="L1290" s="124" t="s">
        <v>1534</v>
      </c>
      <c r="M1290" s="125">
        <v>18270200</v>
      </c>
      <c r="N1290" s="148">
        <v>3471338</v>
      </c>
      <c r="O1290" s="148">
        <v>0</v>
      </c>
      <c r="P1290" s="149">
        <v>2.5000000000000001E-2</v>
      </c>
      <c r="Q1290" s="148">
        <v>456755</v>
      </c>
      <c r="R1290" s="150">
        <v>14884783</v>
      </c>
      <c r="S12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0" s="135">
        <f ca="1">+IF(PROVEEDORES[[#This Row],[FECHA DE PAGO]]=0,TODAY()-PROVEEDORES[[#This Row],[FECHA DE FACTURACIÓN]]-PROVEEDORES[[#This Row],[PLAZO Días]],0)</f>
        <v>0</v>
      </c>
      <c r="U1290" s="135" t="str">
        <f>+VLOOKUP(PROVEEDORES[[#This Row],[PROVEEDOR]],Terceros!$A:$D,4,FALSE)</f>
        <v>2,5% con base</v>
      </c>
      <c r="V1290" s="135">
        <f>+YEAR(PROVEEDORES[[#This Row],[FECHA DE FACTURACIÓN]])</f>
        <v>2023</v>
      </c>
      <c r="W1290" s="135">
        <f>+MATCH(PROVEEDORES[[#This Row],[año facturado]],Retenciones!$1:$1,0)</f>
        <v>6</v>
      </c>
      <c r="X1290" s="136">
        <f>+VLOOKUP(PROVEEDORES[[#This Row],[ID RETENCION]],Retenciones!$A$1:$O$25,PROVEEDORES[[#This Row],[indicador de columna]],FALSE)</f>
        <v>1145000</v>
      </c>
      <c r="Y1290" s="137">
        <f>+VLOOKUP(PROVEEDORES[[#This Row],[ID RETENCION]],Retenciones!$A$1:$O$25,2,FALSE)</f>
        <v>2.5000000000000001E-2</v>
      </c>
      <c r="Z1290" s="126" t="b">
        <f>+OR(COUNTIF(PROVEEDORES[[#This Row],[PROVEEDOR]],"*"&amp;'Palabra que no opera y Listas d'!$A$2&amp;"*"))</f>
        <v>0</v>
      </c>
    </row>
    <row r="1291" spans="1:26" ht="27.75" customHeight="1" x14ac:dyDescent="0.25">
      <c r="A1291" s="141" t="str">
        <f>+IF(PROVEEDORES[[#This Row],[FECHA DE PAGO]]=PROVEEDORES[[#This Row],[FECHA DE FACTURACIÓN]],"DE CONTADO","CRÉDITO")</f>
        <v>CRÉDITO</v>
      </c>
      <c r="B1291" s="138" t="b">
        <f>+IF((PROVEEDORES[[#This Row],[FECHA DE PAGO]]-PROVEEDORES[[#This Row],[FECHA DE FACTURACIÓN]])&gt;PROVEEDORES[[#This Row],[PLAZO Días]],"PAGO VENCIDO")</f>
        <v>0</v>
      </c>
      <c r="C1291" s="138">
        <f>+VLOOKUP(PROVEEDORES[[#This Row],[PROVEEDOR]],TERCEROS_INFO[#All],2,FALSE)</f>
        <v>30</v>
      </c>
      <c r="D1291" s="139">
        <f>+SUMIFS(PROVEEDORES[Total],PROVEEDORES[PROVEEDOR],PROVEEDORES[[#This Row],[PROVEEDOR]],PROVEEDORES[FECHA DE PAGO],"")</f>
        <v>0</v>
      </c>
      <c r="E1291" s="140"/>
      <c r="F1291" s="138" t="str">
        <f>+VLOOKUP(PROVEEDORES[[#This Row],[PROVEEDOR]],
                       Terceros!$A:$F,
                       5,
                       FALSE)</f>
        <v/>
      </c>
      <c r="G1291" s="127">
        <v>45346</v>
      </c>
      <c r="H1291" s="123" t="s">
        <v>481</v>
      </c>
      <c r="I1291" s="127">
        <v>45345</v>
      </c>
      <c r="J1291" s="124" t="s">
        <v>1609</v>
      </c>
      <c r="K1291" s="124" t="s">
        <v>1530</v>
      </c>
      <c r="L1291" s="124"/>
      <c r="M1291" s="125">
        <v>1095000</v>
      </c>
      <c r="N1291" s="148">
        <v>0</v>
      </c>
      <c r="O1291" s="148">
        <v>0</v>
      </c>
      <c r="P1291" s="149">
        <v>0</v>
      </c>
      <c r="Q1291" s="148">
        <v>0</v>
      </c>
      <c r="R1291" s="150">
        <v>1095000</v>
      </c>
      <c r="S12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1" s="135">
        <f ca="1">+IF(PROVEEDORES[[#This Row],[FECHA DE PAGO]]=0,TODAY()-PROVEEDORES[[#This Row],[FECHA DE FACTURACIÓN]]-PROVEEDORES[[#This Row],[PLAZO Días]],0)</f>
        <v>0</v>
      </c>
      <c r="U1291" s="135">
        <f>+VLOOKUP(PROVEEDORES[[#This Row],[PROVEEDOR]],Terceros!$A:$D,4,FALSE)</f>
        <v>0</v>
      </c>
      <c r="V1291" s="135">
        <f>+YEAR(PROVEEDORES[[#This Row],[FECHA DE FACTURACIÓN]])</f>
        <v>2024</v>
      </c>
      <c r="W1291" s="135">
        <f>+MATCH(PROVEEDORES[[#This Row],[año facturado]],Retenciones!$1:$1,0)</f>
        <v>7</v>
      </c>
      <c r="X1291" s="136">
        <f>+VLOOKUP(PROVEEDORES[[#This Row],[ID RETENCION]],Retenciones!$A$1:$O$25,PROVEEDORES[[#This Row],[indicador de columna]],FALSE)</f>
        <v>0</v>
      </c>
      <c r="Y1291" s="137">
        <f>+VLOOKUP(PROVEEDORES[[#This Row],[ID RETENCION]],Retenciones!$A$1:$O$25,2,FALSE)</f>
        <v>0</v>
      </c>
      <c r="Z1291" s="126" t="b">
        <f>+OR(COUNTIF(PROVEEDORES[[#This Row],[PROVEEDOR]],"*"&amp;'Palabra que no opera y Listas d'!$A$2&amp;"*"))</f>
        <v>0</v>
      </c>
    </row>
    <row r="1292" spans="1:26" ht="27.75" customHeight="1" x14ac:dyDescent="0.25">
      <c r="A1292" s="141" t="str">
        <f>+IF(PROVEEDORES[[#This Row],[FECHA DE PAGO]]=PROVEEDORES[[#This Row],[FECHA DE FACTURACIÓN]],"DE CONTADO","CRÉDITO")</f>
        <v>CRÉDITO</v>
      </c>
      <c r="B1292" s="138" t="str">
        <f>+IF((PROVEEDORES[[#This Row],[FECHA DE PAGO]]-PROVEEDORES[[#This Row],[FECHA DE FACTURACIÓN]])&gt;PROVEEDORES[[#This Row],[PLAZO Días]],"PAGO VENCIDO")</f>
        <v>PAGO VENCIDO</v>
      </c>
      <c r="C1292" s="138">
        <f>+VLOOKUP(PROVEEDORES[[#This Row],[PROVEEDOR]],TERCEROS_INFO[#All],2,FALSE)</f>
        <v>30</v>
      </c>
      <c r="D1292" s="139">
        <f>+SUMIFS(PROVEEDORES[Total],PROVEEDORES[PROVEEDOR],PROVEEDORES[[#This Row],[PROVEEDOR]],PROVEEDORES[FECHA DE PAGO],"")</f>
        <v>0</v>
      </c>
      <c r="E1292" s="140"/>
      <c r="F1292" s="13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292" s="127">
        <v>45348</v>
      </c>
      <c r="H1292" s="123" t="s">
        <v>290</v>
      </c>
      <c r="I1292" s="127">
        <v>44867</v>
      </c>
      <c r="J1292" s="124" t="s">
        <v>1467</v>
      </c>
      <c r="K1292" s="124" t="s">
        <v>1530</v>
      </c>
      <c r="L1292" s="124" t="s">
        <v>1533</v>
      </c>
      <c r="M1292" s="125">
        <v>-56302.52</v>
      </c>
      <c r="N1292" s="148">
        <v>-10697.478799999999</v>
      </c>
      <c r="O1292" s="148">
        <v>0</v>
      </c>
      <c r="P1292" s="149">
        <v>0</v>
      </c>
      <c r="Q1292" s="148">
        <v>0</v>
      </c>
      <c r="R1292" s="150">
        <v>-66999.998800000001</v>
      </c>
      <c r="S12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2" s="135">
        <f ca="1">+IF(PROVEEDORES[[#This Row],[FECHA DE PAGO]]=0,TODAY()-PROVEEDORES[[#This Row],[FECHA DE FACTURACIÓN]]-PROVEEDORES[[#This Row],[PLAZO Días]],0)</f>
        <v>0</v>
      </c>
      <c r="U1292" s="135" t="str">
        <f>+VLOOKUP(PROVEEDORES[[#This Row],[PROVEEDOR]],Terceros!$A:$D,4,FALSE)</f>
        <v>2,5% con base</v>
      </c>
      <c r="V1292" s="135">
        <f>+YEAR(PROVEEDORES[[#This Row],[FECHA DE FACTURACIÓN]])</f>
        <v>2022</v>
      </c>
      <c r="W1292" s="135">
        <f>+MATCH(PROVEEDORES[[#This Row],[año facturado]],Retenciones!$1:$1,0)</f>
        <v>5</v>
      </c>
      <c r="X1292" s="136">
        <f>+VLOOKUP(PROVEEDORES[[#This Row],[ID RETENCION]],Retenciones!$A$1:$O$25,PROVEEDORES[[#This Row],[indicador de columna]],FALSE)</f>
        <v>1026000</v>
      </c>
      <c r="Y1292" s="137">
        <f>+VLOOKUP(PROVEEDORES[[#This Row],[ID RETENCION]],Retenciones!$A$1:$O$25,2,FALSE)</f>
        <v>2.5000000000000001E-2</v>
      </c>
      <c r="Z1292" s="126" t="b">
        <f>+OR(COUNTIF(PROVEEDORES[[#This Row],[PROVEEDOR]],"*"&amp;'Palabra que no opera y Listas d'!$A$2&amp;"*"))</f>
        <v>0</v>
      </c>
    </row>
    <row r="1293" spans="1:26" ht="27.75" customHeight="1" x14ac:dyDescent="0.25">
      <c r="A1293" s="141" t="str">
        <f>+IF(PROVEEDORES[[#This Row],[FECHA DE PAGO]]=PROVEEDORES[[#This Row],[FECHA DE FACTURACIÓN]],"DE CONTADO","CRÉDITO")</f>
        <v>CRÉDITO</v>
      </c>
      <c r="B1293" s="138" t="str">
        <f>+IF((PROVEEDORES[[#This Row],[FECHA DE PAGO]]-PROVEEDORES[[#This Row],[FECHA DE FACTURACIÓN]])&gt;PROVEEDORES[[#This Row],[PLAZO Días]],"PAGO VENCIDO")</f>
        <v>PAGO VENCIDO</v>
      </c>
      <c r="C1293" s="138">
        <f>+VLOOKUP(PROVEEDORES[[#This Row],[PROVEEDOR]],TERCEROS_INFO[#All],2,FALSE)</f>
        <v>30</v>
      </c>
      <c r="D1293" s="139">
        <f>+SUMIFS(PROVEEDORES[Total],PROVEEDORES[PROVEEDOR],PROVEEDORES[[#This Row],[PROVEEDOR]],PROVEEDORES[FECHA DE PAGO],"")</f>
        <v>9349257.8100000005</v>
      </c>
      <c r="E1293" s="140"/>
      <c r="F1293" s="13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293" s="127">
        <v>45348</v>
      </c>
      <c r="H1293" s="123" t="s">
        <v>226</v>
      </c>
      <c r="I1293" s="127">
        <v>45265</v>
      </c>
      <c r="J1293" s="124" t="s">
        <v>1333</v>
      </c>
      <c r="K1293" s="124" t="s">
        <v>1530</v>
      </c>
      <c r="L1293" s="124" t="s">
        <v>1534</v>
      </c>
      <c r="M1293" s="125">
        <v>3478190</v>
      </c>
      <c r="N1293" s="148">
        <v>660856.1</v>
      </c>
      <c r="O1293" s="148">
        <v>0</v>
      </c>
      <c r="P1293" s="149">
        <v>2.5000000000000001E-2</v>
      </c>
      <c r="Q1293" s="148">
        <v>86954.75</v>
      </c>
      <c r="R1293" s="150">
        <v>4052091.35</v>
      </c>
      <c r="S12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3" s="135">
        <f ca="1">+IF(PROVEEDORES[[#This Row],[FECHA DE PAGO]]=0,TODAY()-PROVEEDORES[[#This Row],[FECHA DE FACTURACIÓN]]-PROVEEDORES[[#This Row],[PLAZO Días]],0)</f>
        <v>0</v>
      </c>
      <c r="U1293" s="135" t="str">
        <f>+VLOOKUP(PROVEEDORES[[#This Row],[PROVEEDOR]],Terceros!$A:$D,4,FALSE)</f>
        <v>2,5% con base</v>
      </c>
      <c r="V1293" s="135">
        <f>+YEAR(PROVEEDORES[[#This Row],[FECHA DE FACTURACIÓN]])</f>
        <v>2023</v>
      </c>
      <c r="W1293" s="135">
        <f>+MATCH(PROVEEDORES[[#This Row],[año facturado]],Retenciones!$1:$1,0)</f>
        <v>6</v>
      </c>
      <c r="X1293" s="136">
        <f>+VLOOKUP(PROVEEDORES[[#This Row],[ID RETENCION]],Retenciones!$A$1:$O$25,PROVEEDORES[[#This Row],[indicador de columna]],FALSE)</f>
        <v>1145000</v>
      </c>
      <c r="Y1293" s="137">
        <f>+VLOOKUP(PROVEEDORES[[#This Row],[ID RETENCION]],Retenciones!$A$1:$O$25,2,FALSE)</f>
        <v>2.5000000000000001E-2</v>
      </c>
      <c r="Z1293" s="126" t="b">
        <f>+OR(COUNTIF(PROVEEDORES[[#This Row],[PROVEEDOR]],"*"&amp;'Palabra que no opera y Listas d'!$A$2&amp;"*"))</f>
        <v>0</v>
      </c>
    </row>
    <row r="1294" spans="1:26" ht="27.75" customHeight="1" x14ac:dyDescent="0.25">
      <c r="A1294" s="141" t="str">
        <f>+IF(PROVEEDORES[[#This Row],[FECHA DE PAGO]]=PROVEEDORES[[#This Row],[FECHA DE FACTURACIÓN]],"DE CONTADO","CRÉDITO")</f>
        <v>CRÉDITO</v>
      </c>
      <c r="B1294" s="138" t="str">
        <f>+IF((PROVEEDORES[[#This Row],[FECHA DE PAGO]]-PROVEEDORES[[#This Row],[FECHA DE FACTURACIÓN]])&gt;PROVEEDORES[[#This Row],[PLAZO Días]],"PAGO VENCIDO")</f>
        <v>PAGO VENCIDO</v>
      </c>
      <c r="C1294" s="138">
        <f>+VLOOKUP(PROVEEDORES[[#This Row],[PROVEEDOR]],TERCEROS_INFO[#All],2,FALSE)</f>
        <v>60</v>
      </c>
      <c r="D1294" s="139">
        <f>+SUMIFS(PROVEEDORES[Total],PROVEEDORES[PROVEEDOR],PROVEEDORES[[#This Row],[PROVEEDOR]],PROVEEDORES[FECHA DE PAGO],"")</f>
        <v>0</v>
      </c>
      <c r="E1294" s="140"/>
      <c r="F1294" s="13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294" s="127">
        <v>45348</v>
      </c>
      <c r="H1294" s="123" t="s">
        <v>221</v>
      </c>
      <c r="I1294" s="127">
        <v>45272</v>
      </c>
      <c r="J1294" s="124" t="s">
        <v>1361</v>
      </c>
      <c r="K1294" s="124" t="s">
        <v>1530</v>
      </c>
      <c r="L1294" s="124" t="s">
        <v>1533</v>
      </c>
      <c r="M1294" s="125">
        <v>2754790</v>
      </c>
      <c r="N1294" s="148">
        <v>523410.10000000003</v>
      </c>
      <c r="O1294" s="148">
        <v>0</v>
      </c>
      <c r="P1294" s="149">
        <v>2.5000000000000001E-2</v>
      </c>
      <c r="Q1294" s="148">
        <v>68869.75</v>
      </c>
      <c r="R1294" s="150">
        <v>3209330.35</v>
      </c>
      <c r="S12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4" s="135">
        <f ca="1">+IF(PROVEEDORES[[#This Row],[FECHA DE PAGO]]=0,TODAY()-PROVEEDORES[[#This Row],[FECHA DE FACTURACIÓN]]-PROVEEDORES[[#This Row],[PLAZO Días]],0)</f>
        <v>0</v>
      </c>
      <c r="U1294" s="135" t="str">
        <f>+VLOOKUP(PROVEEDORES[[#This Row],[PROVEEDOR]],Terceros!$A:$D,4,FALSE)</f>
        <v>2,5% con base</v>
      </c>
      <c r="V1294" s="135">
        <f>+YEAR(PROVEEDORES[[#This Row],[FECHA DE FACTURACIÓN]])</f>
        <v>2023</v>
      </c>
      <c r="W1294" s="135">
        <f>+MATCH(PROVEEDORES[[#This Row],[año facturado]],Retenciones!$1:$1,0)</f>
        <v>6</v>
      </c>
      <c r="X1294" s="136">
        <f>+VLOOKUP(PROVEEDORES[[#This Row],[ID RETENCION]],Retenciones!$A$1:$O$25,PROVEEDORES[[#This Row],[indicador de columna]],FALSE)</f>
        <v>1145000</v>
      </c>
      <c r="Y1294" s="137">
        <f>+VLOOKUP(PROVEEDORES[[#This Row],[ID RETENCION]],Retenciones!$A$1:$O$25,2,FALSE)</f>
        <v>2.5000000000000001E-2</v>
      </c>
      <c r="Z1294" s="126" t="b">
        <f>+OR(COUNTIF(PROVEEDORES[[#This Row],[PROVEEDOR]],"*"&amp;'Palabra que no opera y Listas d'!$A$2&amp;"*"))</f>
        <v>0</v>
      </c>
    </row>
    <row r="1295" spans="1:26" ht="27.75" customHeight="1" x14ac:dyDescent="0.25">
      <c r="A1295" s="141" t="str">
        <f>+IF(PROVEEDORES[[#This Row],[FECHA DE PAGO]]=PROVEEDORES[[#This Row],[FECHA DE FACTURACIÓN]],"DE CONTADO","CRÉDITO")</f>
        <v>CRÉDITO</v>
      </c>
      <c r="B1295" s="138" t="str">
        <f>+IF((PROVEEDORES[[#This Row],[FECHA DE PAGO]]-PROVEEDORES[[#This Row],[FECHA DE FACTURACIÓN]])&gt;PROVEEDORES[[#This Row],[PLAZO Días]],"PAGO VENCIDO")</f>
        <v>PAGO VENCIDO</v>
      </c>
      <c r="C1295" s="138">
        <f>+VLOOKUP(PROVEEDORES[[#This Row],[PROVEEDOR]],TERCEROS_INFO[#All],2,FALSE)</f>
        <v>60</v>
      </c>
      <c r="D1295" s="139">
        <f>+SUMIFS(PROVEEDORES[Total],PROVEEDORES[PROVEEDOR],PROVEEDORES[[#This Row],[PROVEEDOR]],PROVEEDORES[FECHA DE PAGO],"")</f>
        <v>0</v>
      </c>
      <c r="E1295" s="140"/>
      <c r="F1295" s="138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1295" s="127">
        <v>45348</v>
      </c>
      <c r="H1295" s="123" t="s">
        <v>582</v>
      </c>
      <c r="I1295" s="127">
        <v>45275</v>
      </c>
      <c r="J1295" s="124" t="s">
        <v>1360</v>
      </c>
      <c r="K1295" s="124" t="s">
        <v>1530</v>
      </c>
      <c r="L1295" s="124" t="s">
        <v>1534</v>
      </c>
      <c r="M1295" s="125">
        <v>4754000</v>
      </c>
      <c r="N1295" s="148">
        <v>903260</v>
      </c>
      <c r="O1295" s="148">
        <v>0</v>
      </c>
      <c r="P1295" s="149">
        <v>2.5000000000000001E-2</v>
      </c>
      <c r="Q1295" s="148">
        <v>118850</v>
      </c>
      <c r="R1295" s="150">
        <v>5538410</v>
      </c>
      <c r="S12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5" s="135">
        <f ca="1">+IF(PROVEEDORES[[#This Row],[FECHA DE PAGO]]=0,TODAY()-PROVEEDORES[[#This Row],[FECHA DE FACTURACIÓN]]-PROVEEDORES[[#This Row],[PLAZO Días]],0)</f>
        <v>0</v>
      </c>
      <c r="U1295" s="135" t="str">
        <f>+VLOOKUP(PROVEEDORES[[#This Row],[PROVEEDOR]],Terceros!$A:$D,4,FALSE)</f>
        <v>2,5% con base</v>
      </c>
      <c r="V1295" s="135">
        <f>+YEAR(PROVEEDORES[[#This Row],[FECHA DE FACTURACIÓN]])</f>
        <v>2023</v>
      </c>
      <c r="W1295" s="135">
        <f>+MATCH(PROVEEDORES[[#This Row],[año facturado]],Retenciones!$1:$1,0)</f>
        <v>6</v>
      </c>
      <c r="X1295" s="136">
        <f>+VLOOKUP(PROVEEDORES[[#This Row],[ID RETENCION]],Retenciones!$A$1:$O$25,PROVEEDORES[[#This Row],[indicador de columna]],FALSE)</f>
        <v>1145000</v>
      </c>
      <c r="Y1295" s="137">
        <f>+VLOOKUP(PROVEEDORES[[#This Row],[ID RETENCION]],Retenciones!$A$1:$O$25,2,FALSE)</f>
        <v>2.5000000000000001E-2</v>
      </c>
      <c r="Z1295" s="126" t="b">
        <f>+OR(COUNTIF(PROVEEDORES[[#This Row],[PROVEEDOR]],"*"&amp;'Palabra que no opera y Listas d'!$A$2&amp;"*"))</f>
        <v>0</v>
      </c>
    </row>
    <row r="1296" spans="1:26" ht="27.75" customHeight="1" x14ac:dyDescent="0.25">
      <c r="A1296" s="141" t="str">
        <f>+IF(PROVEEDORES[[#This Row],[FECHA DE PAGO]]=PROVEEDORES[[#This Row],[FECHA DE FACTURACIÓN]],"DE CONTADO","CRÉDITO")</f>
        <v>CRÉDITO</v>
      </c>
      <c r="B1296" s="138" t="str">
        <f>+IF((PROVEEDORES[[#This Row],[FECHA DE PAGO]]-PROVEEDORES[[#This Row],[FECHA DE FACTURACIÓN]])&gt;PROVEEDORES[[#This Row],[PLAZO Días]],"PAGO VENCIDO")</f>
        <v>PAGO VENCIDO</v>
      </c>
      <c r="C1296" s="138">
        <f>+VLOOKUP(PROVEEDORES[[#This Row],[PROVEEDOR]],TERCEROS_INFO[#All],2,FALSE)</f>
        <v>30</v>
      </c>
      <c r="D1296" s="139">
        <f>+SUMIFS(PROVEEDORES[Total],PROVEEDORES[PROVEEDOR],PROVEEDORES[[#This Row],[PROVEEDOR]],PROVEEDORES[FECHA DE PAGO],"")</f>
        <v>1460000.29</v>
      </c>
      <c r="E1296" s="140"/>
      <c r="F1296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296" s="127">
        <v>45348</v>
      </c>
      <c r="H1296" s="123" t="s">
        <v>131</v>
      </c>
      <c r="I1296" s="127">
        <v>45278</v>
      </c>
      <c r="J1296" s="124" t="s">
        <v>1352</v>
      </c>
      <c r="K1296" s="124" t="s">
        <v>1530</v>
      </c>
      <c r="L1296" s="124" t="s">
        <v>1534</v>
      </c>
      <c r="M1296" s="125">
        <v>868908</v>
      </c>
      <c r="N1296" s="148">
        <v>165092.51999999999</v>
      </c>
      <c r="O1296" s="148">
        <v>0</v>
      </c>
      <c r="P1296" s="149">
        <v>0</v>
      </c>
      <c r="Q1296" s="148">
        <v>0</v>
      </c>
      <c r="R1296" s="150">
        <v>1034000.52</v>
      </c>
      <c r="S12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6" s="135">
        <f ca="1">+IF(PROVEEDORES[[#This Row],[FECHA DE PAGO]]=0,TODAY()-PROVEEDORES[[#This Row],[FECHA DE FACTURACIÓN]]-PROVEEDORES[[#This Row],[PLAZO Días]],0)</f>
        <v>0</v>
      </c>
      <c r="U1296" s="135" t="str">
        <f>+VLOOKUP(PROVEEDORES[[#This Row],[PROVEEDOR]],Terceros!$A:$D,4,FALSE)</f>
        <v>2,5% con base</v>
      </c>
      <c r="V1296" s="135">
        <f>+YEAR(PROVEEDORES[[#This Row],[FECHA DE FACTURACIÓN]])</f>
        <v>2023</v>
      </c>
      <c r="W1296" s="135">
        <f>+MATCH(PROVEEDORES[[#This Row],[año facturado]],Retenciones!$1:$1,0)</f>
        <v>6</v>
      </c>
      <c r="X1296" s="136">
        <f>+VLOOKUP(PROVEEDORES[[#This Row],[ID RETENCION]],Retenciones!$A$1:$O$25,PROVEEDORES[[#This Row],[indicador de columna]],FALSE)</f>
        <v>1145000</v>
      </c>
      <c r="Y1296" s="137">
        <f>+VLOOKUP(PROVEEDORES[[#This Row],[ID RETENCION]],Retenciones!$A$1:$O$25,2,FALSE)</f>
        <v>2.5000000000000001E-2</v>
      </c>
      <c r="Z1296" s="126" t="b">
        <f>+OR(COUNTIF(PROVEEDORES[[#This Row],[PROVEEDOR]],"*"&amp;'Palabra que no opera y Listas d'!$A$2&amp;"*"))</f>
        <v>0</v>
      </c>
    </row>
    <row r="1297" spans="1:26" ht="27.75" customHeight="1" x14ac:dyDescent="0.25">
      <c r="A1297" s="141" t="str">
        <f>+IF(PROVEEDORES[[#This Row],[FECHA DE PAGO]]=PROVEEDORES[[#This Row],[FECHA DE FACTURACIÓN]],"DE CONTADO","CRÉDITO")</f>
        <v>CRÉDITO</v>
      </c>
      <c r="B1297" s="138" t="str">
        <f>+IF((PROVEEDORES[[#This Row],[FECHA DE PAGO]]-PROVEEDORES[[#This Row],[FECHA DE FACTURACIÓN]])&gt;PROVEEDORES[[#This Row],[PLAZO Días]],"PAGO VENCIDO")</f>
        <v>PAGO VENCIDO</v>
      </c>
      <c r="C1297" s="138">
        <f>+VLOOKUP(PROVEEDORES[[#This Row],[PROVEEDOR]],TERCEROS_INFO[#All],2,FALSE)</f>
        <v>30</v>
      </c>
      <c r="D1297" s="139">
        <f>+SUMIFS(PROVEEDORES[Total],PROVEEDORES[PROVEEDOR],PROVEEDORES[[#This Row],[PROVEEDOR]],PROVEEDORES[FECHA DE PAGO],"")</f>
        <v>9349257.8100000005</v>
      </c>
      <c r="E1297" s="140"/>
      <c r="F1297" s="13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297" s="127">
        <v>45348</v>
      </c>
      <c r="H1297" s="123" t="s">
        <v>226</v>
      </c>
      <c r="I1297" s="127">
        <v>45289</v>
      </c>
      <c r="J1297" s="124" t="s">
        <v>1394</v>
      </c>
      <c r="K1297" s="124" t="s">
        <v>1530</v>
      </c>
      <c r="L1297" s="124" t="s">
        <v>1534</v>
      </c>
      <c r="M1297" s="125">
        <v>1274790</v>
      </c>
      <c r="N1297" s="148">
        <v>242210.1</v>
      </c>
      <c r="O1297" s="148">
        <v>0</v>
      </c>
      <c r="P1297" s="149">
        <v>2.5000000000000001E-2</v>
      </c>
      <c r="Q1297" s="148">
        <v>31869.75</v>
      </c>
      <c r="R1297" s="150">
        <v>1485130.35</v>
      </c>
      <c r="S12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7" s="135">
        <f ca="1">+IF(PROVEEDORES[[#This Row],[FECHA DE PAGO]]=0,TODAY()-PROVEEDORES[[#This Row],[FECHA DE FACTURACIÓN]]-PROVEEDORES[[#This Row],[PLAZO Días]],0)</f>
        <v>0</v>
      </c>
      <c r="U1297" s="135" t="str">
        <f>+VLOOKUP(PROVEEDORES[[#This Row],[PROVEEDOR]],Terceros!$A:$D,4,FALSE)</f>
        <v>2,5% con base</v>
      </c>
      <c r="V1297" s="135">
        <f>+YEAR(PROVEEDORES[[#This Row],[FECHA DE FACTURACIÓN]])</f>
        <v>2023</v>
      </c>
      <c r="W1297" s="135">
        <f>+MATCH(PROVEEDORES[[#This Row],[año facturado]],Retenciones!$1:$1,0)</f>
        <v>6</v>
      </c>
      <c r="X1297" s="136">
        <f>+VLOOKUP(PROVEEDORES[[#This Row],[ID RETENCION]],Retenciones!$A$1:$O$25,PROVEEDORES[[#This Row],[indicador de columna]],FALSE)</f>
        <v>1145000</v>
      </c>
      <c r="Y1297" s="137">
        <f>+VLOOKUP(PROVEEDORES[[#This Row],[ID RETENCION]],Retenciones!$A$1:$O$25,2,FALSE)</f>
        <v>2.5000000000000001E-2</v>
      </c>
      <c r="Z1297" s="126" t="b">
        <f>+OR(COUNTIF(PROVEEDORES[[#This Row],[PROVEEDOR]],"*"&amp;'Palabra que no opera y Listas d'!$A$2&amp;"*"))</f>
        <v>0</v>
      </c>
    </row>
    <row r="1298" spans="1:26" ht="27.75" customHeight="1" x14ac:dyDescent="0.25">
      <c r="A1298" s="141" t="str">
        <f>+IF(PROVEEDORES[[#This Row],[FECHA DE PAGO]]=PROVEEDORES[[#This Row],[FECHA DE FACTURACIÓN]],"DE CONTADO","CRÉDITO")</f>
        <v>CRÉDITO</v>
      </c>
      <c r="B1298" s="138" t="str">
        <f>+IF((PROVEEDORES[[#This Row],[FECHA DE PAGO]]-PROVEEDORES[[#This Row],[FECHA DE FACTURACIÓN]])&gt;PROVEEDORES[[#This Row],[PLAZO Días]],"PAGO VENCIDO")</f>
        <v>PAGO VENCIDO</v>
      </c>
      <c r="C1298" s="138">
        <f>+VLOOKUP(PROVEEDORES[[#This Row],[PROVEEDOR]],TERCEROS_INFO[#All],2,FALSE)</f>
        <v>30</v>
      </c>
      <c r="D1298" s="139">
        <f>+SUMIFS(PROVEEDORES[Total],PROVEEDORES[PROVEEDOR],PROVEEDORES[[#This Row],[PROVEEDOR]],PROVEEDORES[FECHA DE PAGO],"")</f>
        <v>9349257.8100000005</v>
      </c>
      <c r="E1298" s="140"/>
      <c r="F1298" s="13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298" s="127">
        <v>45348</v>
      </c>
      <c r="H1298" s="123" t="s">
        <v>226</v>
      </c>
      <c r="I1298" s="127">
        <v>45308</v>
      </c>
      <c r="J1298" s="124" t="s">
        <v>1454</v>
      </c>
      <c r="K1298" s="124" t="s">
        <v>1530</v>
      </c>
      <c r="L1298" s="124" t="s">
        <v>1534</v>
      </c>
      <c r="M1298" s="125">
        <v>1109186</v>
      </c>
      <c r="N1298" s="148">
        <v>210745.34</v>
      </c>
      <c r="O1298" s="148">
        <v>0</v>
      </c>
      <c r="P1298" s="149">
        <v>0</v>
      </c>
      <c r="Q1298" s="148">
        <v>0</v>
      </c>
      <c r="R1298" s="150">
        <v>1319931.3400000001</v>
      </c>
      <c r="S12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8" s="135">
        <f ca="1">+IF(PROVEEDORES[[#This Row],[FECHA DE PAGO]]=0,TODAY()-PROVEEDORES[[#This Row],[FECHA DE FACTURACIÓN]]-PROVEEDORES[[#This Row],[PLAZO Días]],0)</f>
        <v>0</v>
      </c>
      <c r="U1298" s="135" t="str">
        <f>+VLOOKUP(PROVEEDORES[[#This Row],[PROVEEDOR]],Terceros!$A:$D,4,FALSE)</f>
        <v>2,5% con base</v>
      </c>
      <c r="V1298" s="135">
        <f>+YEAR(PROVEEDORES[[#This Row],[FECHA DE FACTURACIÓN]])</f>
        <v>2024</v>
      </c>
      <c r="W1298" s="135">
        <f>+MATCH(PROVEEDORES[[#This Row],[año facturado]],Retenciones!$1:$1,0)</f>
        <v>7</v>
      </c>
      <c r="X1298" s="136">
        <f>+VLOOKUP(PROVEEDORES[[#This Row],[ID RETENCION]],Retenciones!$A$1:$O$25,PROVEEDORES[[#This Row],[indicador de columna]],FALSE)</f>
        <v>1271000</v>
      </c>
      <c r="Y1298" s="137">
        <f>+VLOOKUP(PROVEEDORES[[#This Row],[ID RETENCION]],Retenciones!$A$1:$O$25,2,FALSE)</f>
        <v>2.5000000000000001E-2</v>
      </c>
      <c r="Z1298" s="126" t="b">
        <f>+OR(COUNTIF(PROVEEDORES[[#This Row],[PROVEEDOR]],"*"&amp;'Palabra que no opera y Listas d'!$A$2&amp;"*"))</f>
        <v>0</v>
      </c>
    </row>
    <row r="1299" spans="1:26" ht="27.75" customHeight="1" x14ac:dyDescent="0.25">
      <c r="A1299" s="141" t="str">
        <f>+IF(PROVEEDORES[[#This Row],[FECHA DE PAGO]]=PROVEEDORES[[#This Row],[FECHA DE FACTURACIÓN]],"DE CONTADO","CRÉDITO")</f>
        <v>CRÉDITO</v>
      </c>
      <c r="B1299" s="138" t="b">
        <f>+IF((PROVEEDORES[[#This Row],[FECHA DE PAGO]]-PROVEEDORES[[#This Row],[FECHA DE FACTURACIÓN]])&gt;PROVEEDORES[[#This Row],[PLAZO Días]],"PAGO VENCIDO")</f>
        <v>0</v>
      </c>
      <c r="C1299" s="138">
        <f>+VLOOKUP(PROVEEDORES[[#This Row],[PROVEEDOR]],TERCEROS_INFO[#All],2,FALSE)</f>
        <v>60</v>
      </c>
      <c r="D1299" s="139">
        <f>+SUMIFS(PROVEEDORES[Total],PROVEEDORES[PROVEEDOR],PROVEEDORES[[#This Row],[PROVEEDOR]],PROVEEDORES[FECHA DE PAGO],"")</f>
        <v>0</v>
      </c>
      <c r="E1299" s="140"/>
      <c r="F1299" s="13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299" s="127">
        <v>45348</v>
      </c>
      <c r="H1299" s="123" t="s">
        <v>221</v>
      </c>
      <c r="I1299" s="127">
        <v>45315</v>
      </c>
      <c r="J1299" s="124" t="s">
        <v>1481</v>
      </c>
      <c r="K1299" s="124" t="s">
        <v>1530</v>
      </c>
      <c r="L1299" s="124" t="s">
        <v>1533</v>
      </c>
      <c r="M1299" s="125">
        <v>1848739.5</v>
      </c>
      <c r="N1299" s="148">
        <v>351260.505</v>
      </c>
      <c r="O1299" s="148">
        <v>0</v>
      </c>
      <c r="P1299" s="149">
        <v>2.5000000000000001E-2</v>
      </c>
      <c r="Q1299" s="148">
        <v>46218.487500000003</v>
      </c>
      <c r="R1299" s="150">
        <v>2153781.5175000001</v>
      </c>
      <c r="S12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299" s="135">
        <f ca="1">+IF(PROVEEDORES[[#This Row],[FECHA DE PAGO]]=0,TODAY()-PROVEEDORES[[#This Row],[FECHA DE FACTURACIÓN]]-PROVEEDORES[[#This Row],[PLAZO Días]],0)</f>
        <v>0</v>
      </c>
      <c r="U1299" s="135" t="str">
        <f>+VLOOKUP(PROVEEDORES[[#This Row],[PROVEEDOR]],Terceros!$A:$D,4,FALSE)</f>
        <v>2,5% con base</v>
      </c>
      <c r="V1299" s="135">
        <f>+YEAR(PROVEEDORES[[#This Row],[FECHA DE FACTURACIÓN]])</f>
        <v>2024</v>
      </c>
      <c r="W1299" s="135">
        <f>+MATCH(PROVEEDORES[[#This Row],[año facturado]],Retenciones!$1:$1,0)</f>
        <v>7</v>
      </c>
      <c r="X1299" s="136">
        <f>+VLOOKUP(PROVEEDORES[[#This Row],[ID RETENCION]],Retenciones!$A$1:$O$25,PROVEEDORES[[#This Row],[indicador de columna]],FALSE)</f>
        <v>1271000</v>
      </c>
      <c r="Y1299" s="137">
        <f>+VLOOKUP(PROVEEDORES[[#This Row],[ID RETENCION]],Retenciones!$A$1:$O$25,2,FALSE)</f>
        <v>2.5000000000000001E-2</v>
      </c>
      <c r="Z1299" s="126" t="b">
        <f>+OR(COUNTIF(PROVEEDORES[[#This Row],[PROVEEDOR]],"*"&amp;'Palabra que no opera y Listas d'!$A$2&amp;"*"))</f>
        <v>0</v>
      </c>
    </row>
    <row r="1300" spans="1:26" ht="27.75" customHeight="1" x14ac:dyDescent="0.25">
      <c r="A1300" s="141" t="str">
        <f>+IF(PROVEEDORES[[#This Row],[FECHA DE PAGO]]=PROVEEDORES[[#This Row],[FECHA DE FACTURACIÓN]],"DE CONTADO","CRÉDITO")</f>
        <v>CRÉDITO</v>
      </c>
      <c r="B1300" s="138" t="str">
        <f>+IF((PROVEEDORES[[#This Row],[FECHA DE PAGO]]-PROVEEDORES[[#This Row],[FECHA DE FACTURACIÓN]])&gt;PROVEEDORES[[#This Row],[PLAZO Días]],"PAGO VENCIDO")</f>
        <v>PAGO VENCIDO</v>
      </c>
      <c r="C1300" s="138">
        <f>+VLOOKUP(PROVEEDORES[[#This Row],[PROVEEDOR]],TERCEROS_INFO[#All],2,FALSE)</f>
        <v>30</v>
      </c>
      <c r="D1300" s="139">
        <f>+SUMIFS(PROVEEDORES[Total],PROVEEDORES[PROVEEDOR],PROVEEDORES[[#This Row],[PROVEEDOR]],PROVEEDORES[FECHA DE PAGO],"")</f>
        <v>1460000.29</v>
      </c>
      <c r="E1300" s="140"/>
      <c r="F1300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300" s="127">
        <v>45348</v>
      </c>
      <c r="H1300" s="123" t="s">
        <v>131</v>
      </c>
      <c r="I1300" s="127">
        <v>45315</v>
      </c>
      <c r="J1300" s="124" t="s">
        <v>1478</v>
      </c>
      <c r="K1300" s="124" t="s">
        <v>1530</v>
      </c>
      <c r="L1300" s="124" t="s">
        <v>1533</v>
      </c>
      <c r="M1300" s="125">
        <v>397200</v>
      </c>
      <c r="N1300" s="148">
        <v>0</v>
      </c>
      <c r="O1300" s="148">
        <v>0</v>
      </c>
      <c r="P1300" s="149">
        <v>0</v>
      </c>
      <c r="Q1300" s="148">
        <v>0</v>
      </c>
      <c r="R1300" s="150">
        <v>397200</v>
      </c>
      <c r="S13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0" s="135">
        <f ca="1">+IF(PROVEEDORES[[#This Row],[FECHA DE PAGO]]=0,TODAY()-PROVEEDORES[[#This Row],[FECHA DE FACTURACIÓN]]-PROVEEDORES[[#This Row],[PLAZO Días]],0)</f>
        <v>0</v>
      </c>
      <c r="U1300" s="135" t="str">
        <f>+VLOOKUP(PROVEEDORES[[#This Row],[PROVEEDOR]],Terceros!$A:$D,4,FALSE)</f>
        <v>2,5% con base</v>
      </c>
      <c r="V1300" s="135">
        <f>+YEAR(PROVEEDORES[[#This Row],[FECHA DE FACTURACIÓN]])</f>
        <v>2024</v>
      </c>
      <c r="W1300" s="135">
        <f>+MATCH(PROVEEDORES[[#This Row],[año facturado]],Retenciones!$1:$1,0)</f>
        <v>7</v>
      </c>
      <c r="X1300" s="136">
        <f>+VLOOKUP(PROVEEDORES[[#This Row],[ID RETENCION]],Retenciones!$A$1:$O$25,PROVEEDORES[[#This Row],[indicador de columna]],FALSE)</f>
        <v>1271000</v>
      </c>
      <c r="Y1300" s="137">
        <f>+VLOOKUP(PROVEEDORES[[#This Row],[ID RETENCION]],Retenciones!$A$1:$O$25,2,FALSE)</f>
        <v>2.5000000000000001E-2</v>
      </c>
      <c r="Z1300" s="126" t="b">
        <f>+OR(COUNTIF(PROVEEDORES[[#This Row],[PROVEEDOR]],"*"&amp;'Palabra que no opera y Listas d'!$A$2&amp;"*"))</f>
        <v>0</v>
      </c>
    </row>
    <row r="1301" spans="1:26" ht="27.75" customHeight="1" x14ac:dyDescent="0.25">
      <c r="A1301" s="141" t="str">
        <f>+IF(PROVEEDORES[[#This Row],[FECHA DE PAGO]]=PROVEEDORES[[#This Row],[FECHA DE FACTURACIÓN]],"DE CONTADO","CRÉDITO")</f>
        <v>CRÉDITO</v>
      </c>
      <c r="B1301" s="138" t="str">
        <f>+IF((PROVEEDORES[[#This Row],[FECHA DE PAGO]]-PROVEEDORES[[#This Row],[FECHA DE FACTURACIÓN]])&gt;PROVEEDORES[[#This Row],[PLAZO Días]],"PAGO VENCIDO")</f>
        <v>PAGO VENCIDO</v>
      </c>
      <c r="C1301" s="138">
        <f>+VLOOKUP(PROVEEDORES[[#This Row],[PROVEEDOR]],TERCEROS_INFO[#All],2,FALSE)</f>
        <v>30</v>
      </c>
      <c r="D1301" s="139">
        <f>+SUMIFS(PROVEEDORES[Total],PROVEEDORES[PROVEEDOR],PROVEEDORES[[#This Row],[PROVEEDOR]],PROVEEDORES[FECHA DE PAGO],"")</f>
        <v>1776037.21</v>
      </c>
      <c r="E1301" s="140"/>
      <c r="F1301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301" s="127">
        <v>45348</v>
      </c>
      <c r="H1301" s="123" t="s">
        <v>17</v>
      </c>
      <c r="I1301" s="127">
        <v>45317</v>
      </c>
      <c r="J1301" s="124" t="s">
        <v>1479</v>
      </c>
      <c r="K1301" s="124" t="s">
        <v>1530</v>
      </c>
      <c r="L1301" s="124" t="s">
        <v>1533</v>
      </c>
      <c r="M1301" s="125">
        <v>1730813.22</v>
      </c>
      <c r="N1301" s="148">
        <v>16974</v>
      </c>
      <c r="O1301" s="148">
        <v>0</v>
      </c>
      <c r="P1301" s="149">
        <v>0</v>
      </c>
      <c r="Q1301" s="148">
        <v>0</v>
      </c>
      <c r="R1301" s="150">
        <v>1747787.22</v>
      </c>
      <c r="S13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1" s="135">
        <f ca="1">+IF(PROVEEDORES[[#This Row],[FECHA DE PAGO]]=0,TODAY()-PROVEEDORES[[#This Row],[FECHA DE FACTURACIÓN]]-PROVEEDORES[[#This Row],[PLAZO Días]],0)</f>
        <v>0</v>
      </c>
      <c r="U1301" s="135">
        <f>+VLOOKUP(PROVEEDORES[[#This Row],[PROVEEDOR]],Terceros!$A:$D,4,FALSE)</f>
        <v>0</v>
      </c>
      <c r="V1301" s="135">
        <f>+YEAR(PROVEEDORES[[#This Row],[FECHA DE FACTURACIÓN]])</f>
        <v>2024</v>
      </c>
      <c r="W1301" s="135">
        <f>+MATCH(PROVEEDORES[[#This Row],[año facturado]],Retenciones!$1:$1,0)</f>
        <v>7</v>
      </c>
      <c r="X1301" s="136">
        <f>+VLOOKUP(PROVEEDORES[[#This Row],[ID RETENCION]],Retenciones!$A$1:$O$25,PROVEEDORES[[#This Row],[indicador de columna]],FALSE)</f>
        <v>0</v>
      </c>
      <c r="Y1301" s="137">
        <f>+VLOOKUP(PROVEEDORES[[#This Row],[ID RETENCION]],Retenciones!$A$1:$O$25,2,FALSE)</f>
        <v>0</v>
      </c>
      <c r="Z1301" s="126" t="b">
        <f>+OR(COUNTIF(PROVEEDORES[[#This Row],[PROVEEDOR]],"*"&amp;'Palabra que no opera y Listas d'!$A$2&amp;"*"))</f>
        <v>0</v>
      </c>
    </row>
    <row r="1302" spans="1:26" ht="27.75" customHeight="1" x14ac:dyDescent="0.25">
      <c r="A1302" s="141" t="str">
        <f>+IF(PROVEEDORES[[#This Row],[FECHA DE PAGO]]=PROVEEDORES[[#This Row],[FECHA DE FACTURACIÓN]],"DE CONTADO","CRÉDITO")</f>
        <v>CRÉDITO</v>
      </c>
      <c r="B1302" s="138" t="b">
        <f>+IF((PROVEEDORES[[#This Row],[FECHA DE PAGO]]-PROVEEDORES[[#This Row],[FECHA DE FACTURACIÓN]])&gt;PROVEEDORES[[#This Row],[PLAZO Días]],"PAGO VENCIDO")</f>
        <v>0</v>
      </c>
      <c r="C1302" s="138">
        <f>+VLOOKUP(PROVEEDORES[[#This Row],[PROVEEDOR]],TERCEROS_INFO[#All],2,FALSE)</f>
        <v>30</v>
      </c>
      <c r="D1302" s="139">
        <f>+SUMIFS(PROVEEDORES[Total],PROVEEDORES[PROVEEDOR],PROVEEDORES[[#This Row],[PROVEEDOR]],PROVEEDORES[FECHA DE PAGO],"")</f>
        <v>0</v>
      </c>
      <c r="E1302" s="140"/>
      <c r="F1302" s="138">
        <f>+VLOOKUP(PROVEEDORES[[#This Row],[PROVEEDOR]],
                       Terceros!$A:$F,
                       5,
                       FALSE)</f>
        <v>0</v>
      </c>
      <c r="G1302" s="127">
        <v>45348</v>
      </c>
      <c r="H1302" s="123" t="s">
        <v>1805</v>
      </c>
      <c r="I1302" s="127">
        <v>45320</v>
      </c>
      <c r="J1302" s="124" t="s">
        <v>1508</v>
      </c>
      <c r="K1302" s="124" t="s">
        <v>1530</v>
      </c>
      <c r="L1302" s="124" t="s">
        <v>1395</v>
      </c>
      <c r="M1302" s="125">
        <v>840000</v>
      </c>
      <c r="N1302" s="148">
        <v>0</v>
      </c>
      <c r="O1302" s="148">
        <v>0</v>
      </c>
      <c r="P1302" s="149">
        <v>0</v>
      </c>
      <c r="Q1302" s="148">
        <v>0</v>
      </c>
      <c r="R1302" s="150">
        <v>840000</v>
      </c>
      <c r="S13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2" s="135">
        <f ca="1">+IF(PROVEEDORES[[#This Row],[FECHA DE PAGO]]=0,TODAY()-PROVEEDORES[[#This Row],[FECHA DE FACTURACIÓN]]-PROVEEDORES[[#This Row],[PLAZO Días]],0)</f>
        <v>0</v>
      </c>
      <c r="U1302" s="135">
        <f>+VLOOKUP(PROVEEDORES[[#This Row],[PROVEEDOR]],Terceros!$A:$D,4,FALSE)</f>
        <v>0</v>
      </c>
      <c r="V1302" s="135">
        <f>+YEAR(PROVEEDORES[[#This Row],[FECHA DE FACTURACIÓN]])</f>
        <v>2024</v>
      </c>
      <c r="W1302" s="135">
        <f>+MATCH(PROVEEDORES[[#This Row],[año facturado]],Retenciones!$1:$1,0)</f>
        <v>7</v>
      </c>
      <c r="X1302" s="136">
        <f>+VLOOKUP(PROVEEDORES[[#This Row],[ID RETENCION]],Retenciones!$A$1:$O$25,PROVEEDORES[[#This Row],[indicador de columna]],FALSE)</f>
        <v>0</v>
      </c>
      <c r="Y1302" s="137">
        <f>+VLOOKUP(PROVEEDORES[[#This Row],[ID RETENCION]],Retenciones!$A$1:$O$25,2,FALSE)</f>
        <v>0</v>
      </c>
      <c r="Z1302" s="126" t="b">
        <f>+OR(COUNTIF(PROVEEDORES[[#This Row],[PROVEEDOR]],"*"&amp;'Palabra que no opera y Listas d'!$A$2&amp;"*"))</f>
        <v>0</v>
      </c>
    </row>
    <row r="1303" spans="1:26" ht="27.75" customHeight="1" x14ac:dyDescent="0.25">
      <c r="A1303" s="141" t="str">
        <f>+IF(PROVEEDORES[[#This Row],[FECHA DE PAGO]]=PROVEEDORES[[#This Row],[FECHA DE FACTURACIÓN]],"DE CONTADO","CRÉDITO")</f>
        <v>CRÉDITO</v>
      </c>
      <c r="B1303" s="138" t="b">
        <f>+IF((PROVEEDORES[[#This Row],[FECHA DE PAGO]]-PROVEEDORES[[#This Row],[FECHA DE FACTURACIÓN]])&gt;PROVEEDORES[[#This Row],[PLAZO Días]],"PAGO VENCIDO")</f>
        <v>0</v>
      </c>
      <c r="C1303" s="138">
        <f>+VLOOKUP(PROVEEDORES[[#This Row],[PROVEEDOR]],TERCEROS_INFO[#All],2,FALSE)</f>
        <v>60</v>
      </c>
      <c r="D1303" s="139">
        <f>+SUMIFS(PROVEEDORES[Total],PROVEEDORES[PROVEEDOR],PROVEEDORES[[#This Row],[PROVEEDOR]],PROVEEDORES[FECHA DE PAGO],"")</f>
        <v>0</v>
      </c>
      <c r="E1303" s="140"/>
      <c r="F1303" s="13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303" s="127">
        <v>45348</v>
      </c>
      <c r="H1303" s="123" t="s">
        <v>221</v>
      </c>
      <c r="I1303" s="127">
        <v>45329</v>
      </c>
      <c r="J1303" s="124" t="s">
        <v>1550</v>
      </c>
      <c r="K1303" s="124"/>
      <c r="L1303" s="124" t="s">
        <v>1533</v>
      </c>
      <c r="M1303" s="148">
        <v>-19500</v>
      </c>
      <c r="N1303" s="148">
        <v>0</v>
      </c>
      <c r="O1303" s="148">
        <v>0</v>
      </c>
      <c r="P1303" s="149">
        <v>0</v>
      </c>
      <c r="Q1303" s="148">
        <v>0</v>
      </c>
      <c r="R1303" s="150">
        <v>-19500</v>
      </c>
      <c r="S13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3" s="135">
        <f ca="1">+IF(PROVEEDORES[[#This Row],[FECHA DE PAGO]]=0,TODAY()-PROVEEDORES[[#This Row],[FECHA DE FACTURACIÓN]]-PROVEEDORES[[#This Row],[PLAZO Días]],0)</f>
        <v>0</v>
      </c>
      <c r="U1303" s="135" t="str">
        <f>+VLOOKUP(PROVEEDORES[[#This Row],[PROVEEDOR]],Terceros!$A:$D,4,FALSE)</f>
        <v>2,5% con base</v>
      </c>
      <c r="V1303" s="135">
        <f>+YEAR(PROVEEDORES[[#This Row],[FECHA DE FACTURACIÓN]])</f>
        <v>2024</v>
      </c>
      <c r="W1303" s="135">
        <f>+MATCH(PROVEEDORES[[#This Row],[año facturado]],Retenciones!$1:$1,0)</f>
        <v>7</v>
      </c>
      <c r="X1303" s="136">
        <f>+VLOOKUP(PROVEEDORES[[#This Row],[ID RETENCION]],Retenciones!$A$1:$O$25,PROVEEDORES[[#This Row],[indicador de columna]],FALSE)</f>
        <v>1271000</v>
      </c>
      <c r="Y1303" s="137">
        <f>+VLOOKUP(PROVEEDORES[[#This Row],[ID RETENCION]],Retenciones!$A$1:$O$25,2,FALSE)</f>
        <v>2.5000000000000001E-2</v>
      </c>
      <c r="Z1303" s="126" t="b">
        <f>+OR(COUNTIF(PROVEEDORES[[#This Row],[PROVEEDOR]],"*"&amp;'Palabra que no opera y Listas d'!$A$2&amp;"*"))</f>
        <v>0</v>
      </c>
    </row>
    <row r="1304" spans="1:26" ht="27.75" customHeight="1" x14ac:dyDescent="0.25">
      <c r="A1304" s="141" t="str">
        <f>+IF(PROVEEDORES[[#This Row],[FECHA DE PAGO]]=PROVEEDORES[[#This Row],[FECHA DE FACTURACIÓN]],"DE CONTADO","CRÉDITO")</f>
        <v>DE CONTADO</v>
      </c>
      <c r="B1304" s="138" t="b">
        <f>+IF((PROVEEDORES[[#This Row],[FECHA DE PAGO]]-PROVEEDORES[[#This Row],[FECHA DE FACTURACIÓN]])&gt;PROVEEDORES[[#This Row],[PLAZO Días]],"PAGO VENCIDO")</f>
        <v>0</v>
      </c>
      <c r="C1304" s="138">
        <f>+VLOOKUP(PROVEEDORES[[#This Row],[PROVEEDOR]],TERCEROS_INFO[#All],2,FALSE)</f>
        <v>30</v>
      </c>
      <c r="D1304" s="139">
        <f>+SUMIFS(PROVEEDORES[Total],PROVEEDORES[PROVEEDOR],PROVEEDORES[[#This Row],[PROVEEDOR]],PROVEEDORES[FECHA DE PAGO],"")</f>
        <v>1350000</v>
      </c>
      <c r="E1304" s="140"/>
      <c r="F1304" s="138" t="str">
        <f>+VLOOKUP(PROVEEDORES[[#This Row],[PROVEEDOR]],
                       Terceros!$A:$F,
                       5,
                       FALSE)</f>
        <v/>
      </c>
      <c r="G1304" s="127">
        <v>45349</v>
      </c>
      <c r="H1304" s="123" t="s">
        <v>1807</v>
      </c>
      <c r="I1304" s="127">
        <v>45349</v>
      </c>
      <c r="J1304" s="124" t="s">
        <v>1601</v>
      </c>
      <c r="K1304" s="124" t="s">
        <v>1530</v>
      </c>
      <c r="L1304" s="124" t="s">
        <v>1395</v>
      </c>
      <c r="M1304" s="125">
        <v>720000</v>
      </c>
      <c r="N1304" s="148">
        <v>0</v>
      </c>
      <c r="O1304" s="148">
        <v>0</v>
      </c>
      <c r="P1304" s="149">
        <v>0</v>
      </c>
      <c r="Q1304" s="148">
        <v>0</v>
      </c>
      <c r="R1304" s="150">
        <v>720000</v>
      </c>
      <c r="S13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4" s="135">
        <f ca="1">+IF(PROVEEDORES[[#This Row],[FECHA DE PAGO]]=0,TODAY()-PROVEEDORES[[#This Row],[FECHA DE FACTURACIÓN]]-PROVEEDORES[[#This Row],[PLAZO Días]],0)</f>
        <v>0</v>
      </c>
      <c r="U1304" s="135">
        <f>+VLOOKUP(PROVEEDORES[[#This Row],[PROVEEDOR]],Terceros!$A:$D,4,FALSE)</f>
        <v>0</v>
      </c>
      <c r="V1304" s="135">
        <f>+YEAR(PROVEEDORES[[#This Row],[FECHA DE FACTURACIÓN]])</f>
        <v>2024</v>
      </c>
      <c r="W1304" s="135">
        <f>+MATCH(PROVEEDORES[[#This Row],[año facturado]],Retenciones!$1:$1,0)</f>
        <v>7</v>
      </c>
      <c r="X1304" s="136">
        <f>+VLOOKUP(PROVEEDORES[[#This Row],[ID RETENCION]],Retenciones!$A$1:$O$25,PROVEEDORES[[#This Row],[indicador de columna]],FALSE)</f>
        <v>0</v>
      </c>
      <c r="Y1304" s="137">
        <f>+VLOOKUP(PROVEEDORES[[#This Row],[ID RETENCION]],Retenciones!$A$1:$O$25,2,FALSE)</f>
        <v>0</v>
      </c>
      <c r="Z1304" s="126" t="b">
        <f>+OR(COUNTIF(PROVEEDORES[[#This Row],[PROVEEDOR]],"*"&amp;'Palabra que no opera y Listas d'!$A$2&amp;"*"))</f>
        <v>0</v>
      </c>
    </row>
    <row r="1305" spans="1:26" ht="27.75" customHeight="1" x14ac:dyDescent="0.25">
      <c r="A1305" s="141" t="str">
        <f>+IF(PROVEEDORES[[#This Row],[FECHA DE PAGO]]=PROVEEDORES[[#This Row],[FECHA DE FACTURACIÓN]],"DE CONTADO","CRÉDITO")</f>
        <v>CRÉDITO</v>
      </c>
      <c r="B1305" s="138" t="str">
        <f>+IF((PROVEEDORES[[#This Row],[FECHA DE PAGO]]-PROVEEDORES[[#This Row],[FECHA DE FACTURACIÓN]])&gt;PROVEEDORES[[#This Row],[PLAZO Días]],"PAGO VENCIDO")</f>
        <v>PAGO VENCIDO</v>
      </c>
      <c r="C1305" s="138">
        <f>+VLOOKUP(PROVEEDORES[[#This Row],[PROVEEDOR]],TERCEROS_INFO[#All],2,FALSE)</f>
        <v>0</v>
      </c>
      <c r="D1305" s="139">
        <f>+SUMIFS(PROVEEDORES[Total],PROVEEDORES[PROVEEDOR],PROVEEDORES[[#This Row],[PROVEEDOR]],PROVEEDORES[FECHA DE PAGO],"")</f>
        <v>0</v>
      </c>
      <c r="E1305" s="140"/>
      <c r="F1305" s="138">
        <f>+VLOOKUP(PROVEEDORES[[#This Row],[PROVEEDOR]],
                       Terceros!$A:$F,
                       5,
                       FALSE)</f>
        <v>0</v>
      </c>
      <c r="G1305" s="127">
        <v>45351</v>
      </c>
      <c r="H1305" s="123" t="s">
        <v>980</v>
      </c>
      <c r="I1305" s="127">
        <v>45342</v>
      </c>
      <c r="J1305" s="124" t="s">
        <v>1584</v>
      </c>
      <c r="K1305" s="124" t="s">
        <v>504</v>
      </c>
      <c r="L1305" s="124" t="s">
        <v>1534</v>
      </c>
      <c r="M1305" s="125">
        <v>354960</v>
      </c>
      <c r="N1305" s="148">
        <v>67442.399999999994</v>
      </c>
      <c r="O1305" s="148">
        <v>0</v>
      </c>
      <c r="P1305" s="149">
        <v>0.11</v>
      </c>
      <c r="Q1305" s="148">
        <v>39045.599999999999</v>
      </c>
      <c r="R1305" s="150">
        <v>383356.80000000005</v>
      </c>
      <c r="S13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5" s="135">
        <f ca="1">+IF(PROVEEDORES[[#This Row],[FECHA DE PAGO]]=0,TODAY()-PROVEEDORES[[#This Row],[FECHA DE FACTURACIÓN]]-PROVEEDORES[[#This Row],[PLAZO Días]],0)</f>
        <v>0</v>
      </c>
      <c r="U1305" s="135" t="str">
        <f>+VLOOKUP(PROVEEDORES[[#This Row],[PROVEEDOR]],Terceros!$A:$D,4,FALSE)</f>
        <v>11% sin base</v>
      </c>
      <c r="V1305" s="135">
        <f>+YEAR(PROVEEDORES[[#This Row],[FECHA DE FACTURACIÓN]])</f>
        <v>2024</v>
      </c>
      <c r="W1305" s="135">
        <f>+MATCH(PROVEEDORES[[#This Row],[año facturado]],Retenciones!$1:$1,0)</f>
        <v>7</v>
      </c>
      <c r="X1305" s="136">
        <f>+VLOOKUP(PROVEEDORES[[#This Row],[ID RETENCION]],Retenciones!$A$1:$O$25,PROVEEDORES[[#This Row],[indicador de columna]],FALSE)</f>
        <v>0</v>
      </c>
      <c r="Y1305" s="137">
        <f>+VLOOKUP(PROVEEDORES[[#This Row],[ID RETENCION]],Retenciones!$A$1:$O$25,2,FALSE)</f>
        <v>0.11</v>
      </c>
      <c r="Z1305" s="126" t="b">
        <f>+OR(COUNTIF(PROVEEDORES[[#This Row],[PROVEEDOR]],"*"&amp;'Palabra que no opera y Listas d'!$A$2&amp;"*"))</f>
        <v>0</v>
      </c>
    </row>
    <row r="1306" spans="1:26" ht="27.75" customHeight="1" x14ac:dyDescent="0.25">
      <c r="A1306" s="141" t="str">
        <f>+IF(PROVEEDORES[[#This Row],[FECHA DE PAGO]]=PROVEEDORES[[#This Row],[FECHA DE FACTURACIÓN]],"DE CONTADO","CRÉDITO")</f>
        <v>CRÉDITO</v>
      </c>
      <c r="B1306" s="138" t="str">
        <f>+IF((PROVEEDORES[[#This Row],[FECHA DE PAGO]]-PROVEEDORES[[#This Row],[FECHA DE FACTURACIÓN]])&gt;PROVEEDORES[[#This Row],[PLAZO Días]],"PAGO VENCIDO")</f>
        <v>PAGO VENCIDO</v>
      </c>
      <c r="C1306" s="138">
        <f>+VLOOKUP(PROVEEDORES[[#This Row],[PROVEEDOR]],TERCEROS_INFO[#All],2,FALSE)</f>
        <v>0</v>
      </c>
      <c r="D1306" s="139">
        <f>+SUMIFS(PROVEEDORES[Total],PROVEEDORES[PROVEEDOR],PROVEEDORES[[#This Row],[PROVEEDOR]],PROVEEDORES[FECHA DE PAGO],"")</f>
        <v>0</v>
      </c>
      <c r="E1306" s="140"/>
      <c r="F1306" s="138">
        <f>+VLOOKUP(PROVEEDORES[[#This Row],[PROVEEDOR]],
                       Terceros!$A:$F,
                       5,
                       FALSE)</f>
        <v>0</v>
      </c>
      <c r="G1306" s="127">
        <v>45351</v>
      </c>
      <c r="H1306" s="123" t="s">
        <v>980</v>
      </c>
      <c r="I1306" s="127">
        <v>45342</v>
      </c>
      <c r="J1306" s="124" t="s">
        <v>1583</v>
      </c>
      <c r="K1306" s="124" t="s">
        <v>504</v>
      </c>
      <c r="L1306" s="124" t="s">
        <v>1534</v>
      </c>
      <c r="M1306" s="125">
        <v>120000</v>
      </c>
      <c r="N1306" s="148">
        <v>22800</v>
      </c>
      <c r="O1306" s="148">
        <v>0</v>
      </c>
      <c r="P1306" s="149">
        <v>0.11</v>
      </c>
      <c r="Q1306" s="148">
        <v>13200</v>
      </c>
      <c r="R1306" s="150">
        <v>129600</v>
      </c>
      <c r="S13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6" s="135">
        <f ca="1">+IF(PROVEEDORES[[#This Row],[FECHA DE PAGO]]=0,TODAY()-PROVEEDORES[[#This Row],[FECHA DE FACTURACIÓN]]-PROVEEDORES[[#This Row],[PLAZO Días]],0)</f>
        <v>0</v>
      </c>
      <c r="U1306" s="135" t="str">
        <f>+VLOOKUP(PROVEEDORES[[#This Row],[PROVEEDOR]],Terceros!$A:$D,4,FALSE)</f>
        <v>11% sin base</v>
      </c>
      <c r="V1306" s="135">
        <f>+YEAR(PROVEEDORES[[#This Row],[FECHA DE FACTURACIÓN]])</f>
        <v>2024</v>
      </c>
      <c r="W1306" s="135">
        <f>+MATCH(PROVEEDORES[[#This Row],[año facturado]],Retenciones!$1:$1,0)</f>
        <v>7</v>
      </c>
      <c r="X1306" s="136">
        <f>+VLOOKUP(PROVEEDORES[[#This Row],[ID RETENCION]],Retenciones!$A$1:$O$25,PROVEEDORES[[#This Row],[indicador de columna]],FALSE)</f>
        <v>0</v>
      </c>
      <c r="Y1306" s="137">
        <f>+VLOOKUP(PROVEEDORES[[#This Row],[ID RETENCION]],Retenciones!$A$1:$O$25,2,FALSE)</f>
        <v>0.11</v>
      </c>
      <c r="Z1306" s="126" t="b">
        <f>+OR(COUNTIF(PROVEEDORES[[#This Row],[PROVEEDOR]],"*"&amp;'Palabra que no opera y Listas d'!$A$2&amp;"*"))</f>
        <v>0</v>
      </c>
    </row>
    <row r="1307" spans="1:26" ht="27.75" customHeight="1" x14ac:dyDescent="0.25">
      <c r="A1307" s="141" t="str">
        <f>+IF(PROVEEDORES[[#This Row],[FECHA DE PAGO]]=PROVEEDORES[[#This Row],[FECHA DE FACTURACIÓN]],"DE CONTADO","CRÉDITO")</f>
        <v>DE CONTADO</v>
      </c>
      <c r="B1307" s="138" t="b">
        <f>+IF((PROVEEDORES[[#This Row],[FECHA DE PAGO]]-PROVEEDORES[[#This Row],[FECHA DE FACTURACIÓN]])&gt;PROVEEDORES[[#This Row],[PLAZO Días]],"PAGO VENCIDO")</f>
        <v>0</v>
      </c>
      <c r="C1307" s="138">
        <f>+VLOOKUP(PROVEEDORES[[#This Row],[PROVEEDOR]],TERCEROS_INFO[#All],2,FALSE)</f>
        <v>30</v>
      </c>
      <c r="D1307" s="139">
        <f>+SUMIFS(PROVEEDORES[Total],PROVEEDORES[PROVEEDOR],PROVEEDORES[[#This Row],[PROVEEDOR]],PROVEEDORES[FECHA DE PAGO],"")</f>
        <v>0</v>
      </c>
      <c r="E1307" s="140"/>
      <c r="F1307" s="138" t="str">
        <f>+VLOOKUP(PROVEEDORES[[#This Row],[PROVEEDOR]],
                       Terceros!$A:$F,
                       5,
                       FALSE)</f>
        <v/>
      </c>
      <c r="G1307" s="127">
        <v>45351</v>
      </c>
      <c r="H1307" s="123" t="s">
        <v>525</v>
      </c>
      <c r="I1307" s="127">
        <v>45351</v>
      </c>
      <c r="J1307" s="124" t="s">
        <v>478</v>
      </c>
      <c r="K1307" s="124" t="s">
        <v>1530</v>
      </c>
      <c r="L1307" s="124"/>
      <c r="M1307" s="125">
        <v>5031000</v>
      </c>
      <c r="N1307" s="148">
        <v>0</v>
      </c>
      <c r="O1307" s="148">
        <v>0</v>
      </c>
      <c r="P1307" s="149">
        <v>0</v>
      </c>
      <c r="Q1307" s="148">
        <v>0</v>
      </c>
      <c r="R1307" s="150">
        <v>5031000</v>
      </c>
      <c r="S13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7" s="135">
        <f ca="1">+IF(PROVEEDORES[[#This Row],[FECHA DE PAGO]]=0,TODAY()-PROVEEDORES[[#This Row],[FECHA DE FACTURACIÓN]]-PROVEEDORES[[#This Row],[PLAZO Días]],0)</f>
        <v>0</v>
      </c>
      <c r="U1307" s="135">
        <f>+VLOOKUP(PROVEEDORES[[#This Row],[PROVEEDOR]],Terceros!$A:$D,4,FALSE)</f>
        <v>0</v>
      </c>
      <c r="V1307" s="135">
        <f>+YEAR(PROVEEDORES[[#This Row],[FECHA DE FACTURACIÓN]])</f>
        <v>2024</v>
      </c>
      <c r="W1307" s="135">
        <f>+MATCH(PROVEEDORES[[#This Row],[año facturado]],Retenciones!$1:$1,0)</f>
        <v>7</v>
      </c>
      <c r="X1307" s="136">
        <f>+VLOOKUP(PROVEEDORES[[#This Row],[ID RETENCION]],Retenciones!$A$1:$O$25,PROVEEDORES[[#This Row],[indicador de columna]],FALSE)</f>
        <v>0</v>
      </c>
      <c r="Y1307" s="137">
        <f>+VLOOKUP(PROVEEDORES[[#This Row],[ID RETENCION]],Retenciones!$A$1:$O$25,2,FALSE)</f>
        <v>0</v>
      </c>
      <c r="Z1307" s="126" t="b">
        <f>+OR(COUNTIF(PROVEEDORES[[#This Row],[PROVEEDOR]],"*"&amp;'Palabra que no opera y Listas d'!$A$2&amp;"*"))</f>
        <v>0</v>
      </c>
    </row>
    <row r="1308" spans="1:26" ht="27.75" customHeight="1" x14ac:dyDescent="0.25">
      <c r="A1308" s="141" t="str">
        <f>+IF(PROVEEDORES[[#This Row],[FECHA DE PAGO]]=PROVEEDORES[[#This Row],[FECHA DE FACTURACIÓN]],"DE CONTADO","CRÉDITO")</f>
        <v>DE CONTADO</v>
      </c>
      <c r="B1308" s="138" t="b">
        <f>+IF((PROVEEDORES[[#This Row],[FECHA DE PAGO]]-PROVEEDORES[[#This Row],[FECHA DE FACTURACIÓN]])&gt;PROVEEDORES[[#This Row],[PLAZO Días]],"PAGO VENCIDO")</f>
        <v>0</v>
      </c>
      <c r="C1308" s="138">
        <f>+VLOOKUP(PROVEEDORES[[#This Row],[PROVEEDOR]],TERCEROS_INFO[#All],2,FALSE)</f>
        <v>30</v>
      </c>
      <c r="D1308" s="139">
        <f>+SUMIFS(PROVEEDORES[Total],PROVEEDORES[PROVEEDOR],PROVEEDORES[[#This Row],[PROVEEDOR]],PROVEEDORES[FECHA DE PAGO],"")</f>
        <v>0</v>
      </c>
      <c r="E1308" s="140"/>
      <c r="F1308" s="138" t="str">
        <f>+VLOOKUP(PROVEEDORES[[#This Row],[PROVEEDOR]],
                       Terceros!$A:$F,
                       5,
                       FALSE)</f>
        <v/>
      </c>
      <c r="G1308" s="127">
        <v>45351</v>
      </c>
      <c r="H1308" s="123" t="s">
        <v>525</v>
      </c>
      <c r="I1308" s="127">
        <v>45351</v>
      </c>
      <c r="J1308" s="124" t="s">
        <v>476</v>
      </c>
      <c r="K1308" s="124" t="s">
        <v>1530</v>
      </c>
      <c r="L1308" s="124"/>
      <c r="M1308" s="125">
        <v>643500</v>
      </c>
      <c r="N1308" s="148">
        <v>0</v>
      </c>
      <c r="O1308" s="148">
        <v>0</v>
      </c>
      <c r="P1308" s="149">
        <v>0</v>
      </c>
      <c r="Q1308" s="148">
        <v>0</v>
      </c>
      <c r="R1308" s="150">
        <v>643500</v>
      </c>
      <c r="S13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8" s="135">
        <f ca="1">+IF(PROVEEDORES[[#This Row],[FECHA DE PAGO]]=0,TODAY()-PROVEEDORES[[#This Row],[FECHA DE FACTURACIÓN]]-PROVEEDORES[[#This Row],[PLAZO Días]],0)</f>
        <v>0</v>
      </c>
      <c r="U1308" s="135">
        <f>+VLOOKUP(PROVEEDORES[[#This Row],[PROVEEDOR]],Terceros!$A:$D,4,FALSE)</f>
        <v>0</v>
      </c>
      <c r="V1308" s="135">
        <f>+YEAR(PROVEEDORES[[#This Row],[FECHA DE FACTURACIÓN]])</f>
        <v>2024</v>
      </c>
      <c r="W1308" s="135">
        <f>+MATCH(PROVEEDORES[[#This Row],[año facturado]],Retenciones!$1:$1,0)</f>
        <v>7</v>
      </c>
      <c r="X1308" s="136">
        <f>+VLOOKUP(PROVEEDORES[[#This Row],[ID RETENCION]],Retenciones!$A$1:$O$25,PROVEEDORES[[#This Row],[indicador de columna]],FALSE)</f>
        <v>0</v>
      </c>
      <c r="Y1308" s="137">
        <f>+VLOOKUP(PROVEEDORES[[#This Row],[ID RETENCION]],Retenciones!$A$1:$O$25,2,FALSE)</f>
        <v>0</v>
      </c>
      <c r="Z1308" s="126" t="b">
        <f>+OR(COUNTIF(PROVEEDORES[[#This Row],[PROVEEDOR]],"*"&amp;'Palabra que no opera y Listas d'!$A$2&amp;"*"))</f>
        <v>0</v>
      </c>
    </row>
    <row r="1309" spans="1:26" ht="27.75" customHeight="1" x14ac:dyDescent="0.25">
      <c r="A1309" s="141" t="str">
        <f>+IF(PROVEEDORES[[#This Row],[FECHA DE PAGO]]=PROVEEDORES[[#This Row],[FECHA DE FACTURACIÓN]],"DE CONTADO","CRÉDITO")</f>
        <v>DE CONTADO</v>
      </c>
      <c r="B1309" s="138" t="b">
        <f>+IF((PROVEEDORES[[#This Row],[FECHA DE PAGO]]-PROVEEDORES[[#This Row],[FECHA DE FACTURACIÓN]])&gt;PROVEEDORES[[#This Row],[PLAZO Días]],"PAGO VENCIDO")</f>
        <v>0</v>
      </c>
      <c r="C1309" s="138">
        <f>+VLOOKUP(PROVEEDORES[[#This Row],[PROVEEDOR]],TERCEROS_INFO[#All],2,FALSE)</f>
        <v>30</v>
      </c>
      <c r="D1309" s="139">
        <f>+SUMIFS(PROVEEDORES[Total],PROVEEDORES[PROVEEDOR],PROVEEDORES[[#This Row],[PROVEEDOR]],PROVEEDORES[FECHA DE PAGO],"")</f>
        <v>0</v>
      </c>
      <c r="E1309" s="140"/>
      <c r="F1309" s="138" t="str">
        <f>+VLOOKUP(PROVEEDORES[[#This Row],[PROVEEDOR]],
                       Terceros!$A:$F,
                       5,
                       FALSE)</f>
        <v/>
      </c>
      <c r="G1309" s="127">
        <v>45351</v>
      </c>
      <c r="H1309" s="123" t="s">
        <v>525</v>
      </c>
      <c r="I1309" s="127">
        <v>45351</v>
      </c>
      <c r="J1309" s="124" t="s">
        <v>479</v>
      </c>
      <c r="K1309" s="124" t="s">
        <v>1530</v>
      </c>
      <c r="L1309" s="124"/>
      <c r="M1309" s="125">
        <v>6400</v>
      </c>
      <c r="N1309" s="148">
        <v>0</v>
      </c>
      <c r="O1309" s="148">
        <v>0</v>
      </c>
      <c r="P1309" s="149">
        <v>0</v>
      </c>
      <c r="Q1309" s="148">
        <v>0</v>
      </c>
      <c r="R1309" s="150">
        <v>6400</v>
      </c>
      <c r="S13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09" s="135">
        <f ca="1">+IF(PROVEEDORES[[#This Row],[FECHA DE PAGO]]=0,TODAY()-PROVEEDORES[[#This Row],[FECHA DE FACTURACIÓN]]-PROVEEDORES[[#This Row],[PLAZO Días]],0)</f>
        <v>0</v>
      </c>
      <c r="U1309" s="135">
        <f>+VLOOKUP(PROVEEDORES[[#This Row],[PROVEEDOR]],Terceros!$A:$D,4,FALSE)</f>
        <v>0</v>
      </c>
      <c r="V1309" s="135">
        <f>+YEAR(PROVEEDORES[[#This Row],[FECHA DE FACTURACIÓN]])</f>
        <v>2024</v>
      </c>
      <c r="W1309" s="135">
        <f>+MATCH(PROVEEDORES[[#This Row],[año facturado]],Retenciones!$1:$1,0)</f>
        <v>7</v>
      </c>
      <c r="X1309" s="136">
        <f>+VLOOKUP(PROVEEDORES[[#This Row],[ID RETENCION]],Retenciones!$A$1:$O$25,PROVEEDORES[[#This Row],[indicador de columna]],FALSE)</f>
        <v>0</v>
      </c>
      <c r="Y1309" s="137">
        <f>+VLOOKUP(PROVEEDORES[[#This Row],[ID RETENCION]],Retenciones!$A$1:$O$25,2,FALSE)</f>
        <v>0</v>
      </c>
      <c r="Z1309" s="126" t="b">
        <f>+OR(COUNTIF(PROVEEDORES[[#This Row],[PROVEEDOR]],"*"&amp;'Palabra que no opera y Listas d'!$A$2&amp;"*"))</f>
        <v>0</v>
      </c>
    </row>
    <row r="1310" spans="1:26" ht="27.75" customHeight="1" x14ac:dyDescent="0.25">
      <c r="A1310" s="141" t="str">
        <f>+IF(PROVEEDORES[[#This Row],[FECHA DE PAGO]]=PROVEEDORES[[#This Row],[FECHA DE FACTURACIÓN]],"DE CONTADO","CRÉDITO")</f>
        <v>DE CONTADO</v>
      </c>
      <c r="B1310" s="138" t="b">
        <f>+IF((PROVEEDORES[[#This Row],[FECHA DE PAGO]]-PROVEEDORES[[#This Row],[FECHA DE FACTURACIÓN]])&gt;PROVEEDORES[[#This Row],[PLAZO Días]],"PAGO VENCIDO")</f>
        <v>0</v>
      </c>
      <c r="C1310" s="138">
        <f>+VLOOKUP(PROVEEDORES[[#This Row],[PROVEEDOR]],TERCEROS_INFO[#All],2,FALSE)</f>
        <v>30</v>
      </c>
      <c r="D1310" s="139">
        <f>+SUMIFS(PROVEEDORES[Total],PROVEEDORES[PROVEEDOR],PROVEEDORES[[#This Row],[PROVEEDOR]],PROVEEDORES[FECHA DE PAGO],"")</f>
        <v>0</v>
      </c>
      <c r="E1310" s="140"/>
      <c r="F1310" s="138" t="str">
        <f>+VLOOKUP(PROVEEDORES[[#This Row],[PROVEEDOR]],
                       Terceros!$A:$F,
                       5,
                       FALSE)</f>
        <v/>
      </c>
      <c r="G1310" s="127">
        <v>45351</v>
      </c>
      <c r="H1310" s="123" t="s">
        <v>525</v>
      </c>
      <c r="I1310" s="127">
        <v>45351</v>
      </c>
      <c r="J1310" s="124" t="s">
        <v>1517</v>
      </c>
      <c r="K1310" s="124" t="s">
        <v>1530</v>
      </c>
      <c r="L1310" s="124"/>
      <c r="M1310" s="125">
        <v>1701400</v>
      </c>
      <c r="N1310" s="148">
        <v>0</v>
      </c>
      <c r="O1310" s="148">
        <v>0</v>
      </c>
      <c r="P1310" s="149">
        <v>0</v>
      </c>
      <c r="Q1310" s="148">
        <v>0</v>
      </c>
      <c r="R1310" s="150">
        <v>1701400</v>
      </c>
      <c r="S13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0" s="135">
        <f ca="1">+IF(PROVEEDORES[[#This Row],[FECHA DE PAGO]]=0,TODAY()-PROVEEDORES[[#This Row],[FECHA DE FACTURACIÓN]]-PROVEEDORES[[#This Row],[PLAZO Días]],0)</f>
        <v>0</v>
      </c>
      <c r="U1310" s="135">
        <f>+VLOOKUP(PROVEEDORES[[#This Row],[PROVEEDOR]],Terceros!$A:$D,4,FALSE)</f>
        <v>0</v>
      </c>
      <c r="V1310" s="135">
        <f>+YEAR(PROVEEDORES[[#This Row],[FECHA DE FACTURACIÓN]])</f>
        <v>2024</v>
      </c>
      <c r="W1310" s="135">
        <f>+MATCH(PROVEEDORES[[#This Row],[año facturado]],Retenciones!$1:$1,0)</f>
        <v>7</v>
      </c>
      <c r="X1310" s="136">
        <f>+VLOOKUP(PROVEEDORES[[#This Row],[ID RETENCION]],Retenciones!$A$1:$O$25,PROVEEDORES[[#This Row],[indicador de columna]],FALSE)</f>
        <v>0</v>
      </c>
      <c r="Y1310" s="137">
        <f>+VLOOKUP(PROVEEDORES[[#This Row],[ID RETENCION]],Retenciones!$A$1:$O$25,2,FALSE)</f>
        <v>0</v>
      </c>
      <c r="Z1310" s="126" t="b">
        <f>+OR(COUNTIF(PROVEEDORES[[#This Row],[PROVEEDOR]],"*"&amp;'Palabra que no opera y Listas d'!$A$2&amp;"*"))</f>
        <v>0</v>
      </c>
    </row>
    <row r="1311" spans="1:26" ht="27.75" customHeight="1" x14ac:dyDescent="0.25">
      <c r="A1311" s="141" t="str">
        <f>+IF(PROVEEDORES[[#This Row],[FECHA DE PAGO]]=PROVEEDORES[[#This Row],[FECHA DE FACTURACIÓN]],"DE CONTADO","CRÉDITO")</f>
        <v>DE CONTADO</v>
      </c>
      <c r="B1311" s="138" t="b">
        <f>+IF((PROVEEDORES[[#This Row],[FECHA DE PAGO]]-PROVEEDORES[[#This Row],[FECHA DE FACTURACIÓN]])&gt;PROVEEDORES[[#This Row],[PLAZO Días]],"PAGO VENCIDO")</f>
        <v>0</v>
      </c>
      <c r="C1311" s="138">
        <f>+VLOOKUP(PROVEEDORES[[#This Row],[PROVEEDOR]],TERCEROS_INFO[#All],2,FALSE)</f>
        <v>30</v>
      </c>
      <c r="D1311" s="139">
        <f>+SUMIFS(PROVEEDORES[Total],PROVEEDORES[PROVEEDOR],PROVEEDORES[[#This Row],[PROVEEDOR]],PROVEEDORES[FECHA DE PAGO],"")</f>
        <v>0</v>
      </c>
      <c r="E1311" s="140"/>
      <c r="F1311" s="138" t="str">
        <f>+VLOOKUP(PROVEEDORES[[#This Row],[PROVEEDOR]],
                       Terceros!$A:$F,
                       5,
                       FALSE)</f>
        <v/>
      </c>
      <c r="G1311" s="127">
        <v>45351</v>
      </c>
      <c r="H1311" s="123" t="s">
        <v>525</v>
      </c>
      <c r="I1311" s="127">
        <v>45351</v>
      </c>
      <c r="J1311" s="124" t="s">
        <v>1639</v>
      </c>
      <c r="K1311" s="124" t="s">
        <v>1530</v>
      </c>
      <c r="L1311" s="124"/>
      <c r="M1311" s="125">
        <v>430500</v>
      </c>
      <c r="N1311" s="148">
        <v>0</v>
      </c>
      <c r="O1311" s="148">
        <v>0</v>
      </c>
      <c r="P1311" s="149">
        <v>0</v>
      </c>
      <c r="Q1311" s="148">
        <v>0</v>
      </c>
      <c r="R1311" s="150">
        <v>430500</v>
      </c>
      <c r="S13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1" s="135">
        <f ca="1">+IF(PROVEEDORES[[#This Row],[FECHA DE PAGO]]=0,TODAY()-PROVEEDORES[[#This Row],[FECHA DE FACTURACIÓN]]-PROVEEDORES[[#This Row],[PLAZO Días]],0)</f>
        <v>0</v>
      </c>
      <c r="U1311" s="135">
        <f>+VLOOKUP(PROVEEDORES[[#This Row],[PROVEEDOR]],Terceros!$A:$D,4,FALSE)</f>
        <v>0</v>
      </c>
      <c r="V1311" s="135">
        <f>+YEAR(PROVEEDORES[[#This Row],[FECHA DE FACTURACIÓN]])</f>
        <v>2024</v>
      </c>
      <c r="W1311" s="135">
        <f>+MATCH(PROVEEDORES[[#This Row],[año facturado]],Retenciones!$1:$1,0)</f>
        <v>7</v>
      </c>
      <c r="X1311" s="136">
        <f>+VLOOKUP(PROVEEDORES[[#This Row],[ID RETENCION]],Retenciones!$A$1:$O$25,PROVEEDORES[[#This Row],[indicador de columna]],FALSE)</f>
        <v>0</v>
      </c>
      <c r="Y1311" s="137">
        <f>+VLOOKUP(PROVEEDORES[[#This Row],[ID RETENCION]],Retenciones!$A$1:$O$25,2,FALSE)</f>
        <v>0</v>
      </c>
      <c r="Z1311" s="126" t="b">
        <f>+OR(COUNTIF(PROVEEDORES[[#This Row],[PROVEEDOR]],"*"&amp;'Palabra que no opera y Listas d'!$A$2&amp;"*"))</f>
        <v>0</v>
      </c>
    </row>
    <row r="1312" spans="1:26" ht="27.75" customHeight="1" x14ac:dyDescent="0.25">
      <c r="A1312" s="141" t="str">
        <f>+IF(PROVEEDORES[[#This Row],[FECHA DE PAGO]]=PROVEEDORES[[#This Row],[FECHA DE FACTURACIÓN]],"DE CONTADO","CRÉDITO")</f>
        <v>DE CONTADO</v>
      </c>
      <c r="B1312" s="138" t="b">
        <f>+IF((PROVEEDORES[[#This Row],[FECHA DE PAGO]]-PROVEEDORES[[#This Row],[FECHA DE FACTURACIÓN]])&gt;PROVEEDORES[[#This Row],[PLAZO Días]],"PAGO VENCIDO")</f>
        <v>0</v>
      </c>
      <c r="C1312" s="138">
        <f>+VLOOKUP(PROVEEDORES[[#This Row],[PROVEEDOR]],TERCEROS_INFO[#All],2,FALSE)</f>
        <v>30</v>
      </c>
      <c r="D1312" s="139">
        <f>+SUMIFS(PROVEEDORES[Total],PROVEEDORES[PROVEEDOR],PROVEEDORES[[#This Row],[PROVEEDOR]],PROVEEDORES[FECHA DE PAGO],"")</f>
        <v>0</v>
      </c>
      <c r="E1312" s="140"/>
      <c r="F1312" s="138" t="str">
        <f>+VLOOKUP(PROVEEDORES[[#This Row],[PROVEEDOR]],
                       Terceros!$A:$F,
                       5,
                       FALSE)</f>
        <v/>
      </c>
      <c r="G1312" s="127">
        <v>45351</v>
      </c>
      <c r="H1312" s="123" t="s">
        <v>525</v>
      </c>
      <c r="I1312" s="127">
        <v>45351</v>
      </c>
      <c r="J1312" s="124" t="s">
        <v>504</v>
      </c>
      <c r="K1312" s="124" t="s">
        <v>504</v>
      </c>
      <c r="L1312" s="124"/>
      <c r="M1312" s="125">
        <v>99000</v>
      </c>
      <c r="N1312" s="148">
        <v>0</v>
      </c>
      <c r="O1312" s="148">
        <v>0</v>
      </c>
      <c r="P1312" s="149">
        <v>0</v>
      </c>
      <c r="Q1312" s="148">
        <v>0</v>
      </c>
      <c r="R1312" s="150">
        <v>99000</v>
      </c>
      <c r="S13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2" s="135">
        <f ca="1">+IF(PROVEEDORES[[#This Row],[FECHA DE PAGO]]=0,TODAY()-PROVEEDORES[[#This Row],[FECHA DE FACTURACIÓN]]-PROVEEDORES[[#This Row],[PLAZO Días]],0)</f>
        <v>0</v>
      </c>
      <c r="U1312" s="135">
        <f>+VLOOKUP(PROVEEDORES[[#This Row],[PROVEEDOR]],Terceros!$A:$D,4,FALSE)</f>
        <v>0</v>
      </c>
      <c r="V1312" s="135">
        <f>+YEAR(PROVEEDORES[[#This Row],[FECHA DE FACTURACIÓN]])</f>
        <v>2024</v>
      </c>
      <c r="W1312" s="135">
        <f>+MATCH(PROVEEDORES[[#This Row],[año facturado]],Retenciones!$1:$1,0)</f>
        <v>7</v>
      </c>
      <c r="X1312" s="136">
        <f>+VLOOKUP(PROVEEDORES[[#This Row],[ID RETENCION]],Retenciones!$A$1:$O$25,PROVEEDORES[[#This Row],[indicador de columna]],FALSE)</f>
        <v>0</v>
      </c>
      <c r="Y1312" s="137">
        <f>+VLOOKUP(PROVEEDORES[[#This Row],[ID RETENCION]],Retenciones!$A$1:$O$25,2,FALSE)</f>
        <v>0</v>
      </c>
      <c r="Z1312" s="126" t="b">
        <f>+OR(COUNTIF(PROVEEDORES[[#This Row],[PROVEEDOR]],"*"&amp;'Palabra que no opera y Listas d'!$A$2&amp;"*"))</f>
        <v>0</v>
      </c>
    </row>
    <row r="1313" spans="1:26" ht="27.75" customHeight="1" x14ac:dyDescent="0.25">
      <c r="A1313" s="141" t="str">
        <f>+IF(PROVEEDORES[[#This Row],[FECHA DE PAGO]]=PROVEEDORES[[#This Row],[FECHA DE FACTURACIÓN]],"DE CONTADO","CRÉDITO")</f>
        <v>DE CONTADO</v>
      </c>
      <c r="B1313" s="138" t="b">
        <f>+IF((PROVEEDORES[[#This Row],[FECHA DE PAGO]]-PROVEEDORES[[#This Row],[FECHA DE FACTURACIÓN]])&gt;PROVEEDORES[[#This Row],[PLAZO Días]],"PAGO VENCIDO")</f>
        <v>0</v>
      </c>
      <c r="C1313" s="138">
        <f>+VLOOKUP(PROVEEDORES[[#This Row],[PROVEEDOR]],TERCEROS_INFO[#All],2,FALSE)</f>
        <v>30</v>
      </c>
      <c r="D1313" s="139">
        <f>+SUMIFS(PROVEEDORES[Total],PROVEEDORES[PROVEEDOR],PROVEEDORES[[#This Row],[PROVEEDOR]],PROVEEDORES[FECHA DE PAGO],"")</f>
        <v>0</v>
      </c>
      <c r="E1313" s="140"/>
      <c r="F1313" s="138">
        <f>+VLOOKUP(PROVEEDORES[[#This Row],[PROVEEDOR]],
                       Terceros!$A:$F,
                       5,
                       FALSE)</f>
        <v>0</v>
      </c>
      <c r="G1313" s="127">
        <v>45351</v>
      </c>
      <c r="H1313" s="123" t="s">
        <v>861</v>
      </c>
      <c r="I1313" s="127">
        <v>45351</v>
      </c>
      <c r="J1313" s="124" t="s">
        <v>1668</v>
      </c>
      <c r="K1313" s="124" t="s">
        <v>1530</v>
      </c>
      <c r="L1313" s="124" t="s">
        <v>1395</v>
      </c>
      <c r="M1313" s="125">
        <v>50000</v>
      </c>
      <c r="N1313" s="148">
        <v>0</v>
      </c>
      <c r="O1313" s="148">
        <v>0</v>
      </c>
      <c r="P1313" s="149">
        <v>0</v>
      </c>
      <c r="Q1313" s="148">
        <v>0</v>
      </c>
      <c r="R1313" s="150">
        <v>50000</v>
      </c>
      <c r="S13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3" s="135">
        <f ca="1">+IF(PROVEEDORES[[#This Row],[FECHA DE PAGO]]=0,TODAY()-PROVEEDORES[[#This Row],[FECHA DE FACTURACIÓN]]-PROVEEDORES[[#This Row],[PLAZO Días]],0)</f>
        <v>0</v>
      </c>
      <c r="U1313" s="135">
        <f>+VLOOKUP(PROVEEDORES[[#This Row],[PROVEEDOR]],Terceros!$A:$D,4,FALSE)</f>
        <v>0</v>
      </c>
      <c r="V1313" s="135">
        <f>+YEAR(PROVEEDORES[[#This Row],[FECHA DE FACTURACIÓN]])</f>
        <v>2024</v>
      </c>
      <c r="W1313" s="135">
        <f>+MATCH(PROVEEDORES[[#This Row],[año facturado]],Retenciones!$1:$1,0)</f>
        <v>7</v>
      </c>
      <c r="X1313" s="136">
        <f>+VLOOKUP(PROVEEDORES[[#This Row],[ID RETENCION]],Retenciones!$A$1:$O$25,PROVEEDORES[[#This Row],[indicador de columna]],FALSE)</f>
        <v>0</v>
      </c>
      <c r="Y1313" s="137">
        <f>+VLOOKUP(PROVEEDORES[[#This Row],[ID RETENCION]],Retenciones!$A$1:$O$25,2,FALSE)</f>
        <v>0</v>
      </c>
      <c r="Z1313" s="126" t="b">
        <f>+OR(COUNTIF(PROVEEDORES[[#This Row],[PROVEEDOR]],"*"&amp;'Palabra que no opera y Listas d'!$A$2&amp;"*"))</f>
        <v>0</v>
      </c>
    </row>
    <row r="1314" spans="1:26" ht="27.75" customHeight="1" x14ac:dyDescent="0.25">
      <c r="A1314" s="141" t="str">
        <f>+IF(PROVEEDORES[[#This Row],[FECHA DE PAGO]]=PROVEEDORES[[#This Row],[FECHA DE FACTURACIÓN]],"DE CONTADO","CRÉDITO")</f>
        <v>DE CONTADO</v>
      </c>
      <c r="B1314" s="138" t="b">
        <f>+IF((PROVEEDORES[[#This Row],[FECHA DE PAGO]]-PROVEEDORES[[#This Row],[FECHA DE FACTURACIÓN]])&gt;PROVEEDORES[[#This Row],[PLAZO Días]],"PAGO VENCIDO")</f>
        <v>0</v>
      </c>
      <c r="C1314" s="138">
        <f>+VLOOKUP(PROVEEDORES[[#This Row],[PROVEEDOR]],TERCEROS_INFO[#All],2,FALSE)</f>
        <v>30</v>
      </c>
      <c r="D1314" s="139">
        <f>+SUMIFS(PROVEEDORES[Total],PROVEEDORES[PROVEEDOR],PROVEEDORES[[#This Row],[PROVEEDOR]],PROVEEDORES[FECHA DE PAGO],"")</f>
        <v>0</v>
      </c>
      <c r="E1314" s="140"/>
      <c r="F1314" s="138" t="str">
        <f>+VLOOKUP(PROVEEDORES[[#This Row],[PROVEEDOR]],
                       Terceros!$A:$F,
                       5,
                       FALSE)</f>
        <v/>
      </c>
      <c r="G1314" s="127">
        <v>45351</v>
      </c>
      <c r="H1314" s="123" t="s">
        <v>1824</v>
      </c>
      <c r="I1314" s="127">
        <v>45351</v>
      </c>
      <c r="J1314" s="124"/>
      <c r="K1314" s="124" t="s">
        <v>1530</v>
      </c>
      <c r="L1314" s="124" t="s">
        <v>1395</v>
      </c>
      <c r="M1314" s="125">
        <v>465600</v>
      </c>
      <c r="N1314" s="148">
        <v>0</v>
      </c>
      <c r="O1314" s="148">
        <v>0</v>
      </c>
      <c r="P1314" s="149">
        <v>0</v>
      </c>
      <c r="Q1314" s="148">
        <v>0</v>
      </c>
      <c r="R1314" s="150">
        <v>465600</v>
      </c>
      <c r="S13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4" s="135">
        <f ca="1">+IF(PROVEEDORES[[#This Row],[FECHA DE PAGO]]=0,TODAY()-PROVEEDORES[[#This Row],[FECHA DE FACTURACIÓN]]-PROVEEDORES[[#This Row],[PLAZO Días]],0)</f>
        <v>0</v>
      </c>
      <c r="U1314" s="135">
        <f>+VLOOKUP(PROVEEDORES[[#This Row],[PROVEEDOR]],Terceros!$A:$D,4,FALSE)</f>
        <v>0</v>
      </c>
      <c r="V1314" s="135">
        <f>+YEAR(PROVEEDORES[[#This Row],[FECHA DE FACTURACIÓN]])</f>
        <v>2024</v>
      </c>
      <c r="W1314" s="135">
        <f>+MATCH(PROVEEDORES[[#This Row],[año facturado]],Retenciones!$1:$1,0)</f>
        <v>7</v>
      </c>
      <c r="X1314" s="136">
        <f>+VLOOKUP(PROVEEDORES[[#This Row],[ID RETENCION]],Retenciones!$A$1:$O$25,PROVEEDORES[[#This Row],[indicador de columna]],FALSE)</f>
        <v>0</v>
      </c>
      <c r="Y1314" s="137">
        <f>+VLOOKUP(PROVEEDORES[[#This Row],[ID RETENCION]],Retenciones!$A$1:$O$25,2,FALSE)</f>
        <v>0</v>
      </c>
      <c r="Z1314" s="126" t="b">
        <f>+OR(COUNTIF(PROVEEDORES[[#This Row],[PROVEEDOR]],"*"&amp;'Palabra que no opera y Listas d'!$A$2&amp;"*"))</f>
        <v>0</v>
      </c>
    </row>
    <row r="1315" spans="1:26" ht="27.75" customHeight="1" x14ac:dyDescent="0.25">
      <c r="A1315" s="141" t="str">
        <f>+IF(PROVEEDORES[[#This Row],[FECHA DE PAGO]]=PROVEEDORES[[#This Row],[FECHA DE FACTURACIÓN]],"DE CONTADO","CRÉDITO")</f>
        <v>DE CONTADO</v>
      </c>
      <c r="B1315" s="138" t="b">
        <f>+IF((PROVEEDORES[[#This Row],[FECHA DE PAGO]]-PROVEEDORES[[#This Row],[FECHA DE FACTURACIÓN]])&gt;PROVEEDORES[[#This Row],[PLAZO Días]],"PAGO VENCIDO")</f>
        <v>0</v>
      </c>
      <c r="C1315" s="138">
        <f>+VLOOKUP(PROVEEDORES[[#This Row],[PROVEEDOR]],TERCEROS_INFO[#All],2,FALSE)</f>
        <v>30</v>
      </c>
      <c r="D1315" s="139">
        <f>+SUMIFS(PROVEEDORES[Total],PROVEEDORES[PROVEEDOR],PROVEEDORES[[#This Row],[PROVEEDOR]],PROVEEDORES[FECHA DE PAGO],"")</f>
        <v>0</v>
      </c>
      <c r="E1315" s="140"/>
      <c r="F1315" s="138" t="str">
        <f>+VLOOKUP(PROVEEDORES[[#This Row],[PROVEEDOR]],
                       Terceros!$A:$F,
                       5,
                       FALSE)</f>
        <v/>
      </c>
      <c r="G1315" s="127">
        <v>45351</v>
      </c>
      <c r="H1315" s="123" t="s">
        <v>1824</v>
      </c>
      <c r="I1315" s="127">
        <v>45351</v>
      </c>
      <c r="J1315" s="124"/>
      <c r="K1315" s="124" t="s">
        <v>1530</v>
      </c>
      <c r="L1315" s="124" t="s">
        <v>1395</v>
      </c>
      <c r="M1315" s="125">
        <v>585000</v>
      </c>
      <c r="N1315" s="148">
        <v>0</v>
      </c>
      <c r="O1315" s="148">
        <v>0</v>
      </c>
      <c r="P1315" s="149">
        <v>0</v>
      </c>
      <c r="Q1315" s="148">
        <v>0</v>
      </c>
      <c r="R1315" s="150">
        <v>585000</v>
      </c>
      <c r="S13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5" s="135">
        <f ca="1">+IF(PROVEEDORES[[#This Row],[FECHA DE PAGO]]=0,TODAY()-PROVEEDORES[[#This Row],[FECHA DE FACTURACIÓN]]-PROVEEDORES[[#This Row],[PLAZO Días]],0)</f>
        <v>0</v>
      </c>
      <c r="U1315" s="135">
        <f>+VLOOKUP(PROVEEDORES[[#This Row],[PROVEEDOR]],Terceros!$A:$D,4,FALSE)</f>
        <v>0</v>
      </c>
      <c r="V1315" s="135">
        <f>+YEAR(PROVEEDORES[[#This Row],[FECHA DE FACTURACIÓN]])</f>
        <v>2024</v>
      </c>
      <c r="W1315" s="135">
        <f>+MATCH(PROVEEDORES[[#This Row],[año facturado]],Retenciones!$1:$1,0)</f>
        <v>7</v>
      </c>
      <c r="X1315" s="136">
        <f>+VLOOKUP(PROVEEDORES[[#This Row],[ID RETENCION]],Retenciones!$A$1:$O$25,PROVEEDORES[[#This Row],[indicador de columna]],FALSE)</f>
        <v>0</v>
      </c>
      <c r="Y1315" s="137">
        <f>+VLOOKUP(PROVEEDORES[[#This Row],[ID RETENCION]],Retenciones!$A$1:$O$25,2,FALSE)</f>
        <v>0</v>
      </c>
      <c r="Z1315" s="126" t="b">
        <f>+OR(COUNTIF(PROVEEDORES[[#This Row],[PROVEEDOR]],"*"&amp;'Palabra que no opera y Listas d'!$A$2&amp;"*"))</f>
        <v>0</v>
      </c>
    </row>
    <row r="1316" spans="1:26" ht="27.75" customHeight="1" x14ac:dyDescent="0.25">
      <c r="A1316" s="141" t="str">
        <f>+IF(PROVEEDORES[[#This Row],[FECHA DE PAGO]]=PROVEEDORES[[#This Row],[FECHA DE FACTURACIÓN]],"DE CONTADO","CRÉDITO")</f>
        <v>DE CONTADO</v>
      </c>
      <c r="B1316" s="138" t="b">
        <f>+IF((PROVEEDORES[[#This Row],[FECHA DE PAGO]]-PROVEEDORES[[#This Row],[FECHA DE FACTURACIÓN]])&gt;PROVEEDORES[[#This Row],[PLAZO Días]],"PAGO VENCIDO")</f>
        <v>0</v>
      </c>
      <c r="C1316" s="138">
        <f>+VLOOKUP(PROVEEDORES[[#This Row],[PROVEEDOR]],TERCEROS_INFO[#All],2,FALSE)</f>
        <v>30</v>
      </c>
      <c r="D1316" s="139">
        <f>+SUMIFS(PROVEEDORES[Total],PROVEEDORES[PROVEEDOR],PROVEEDORES[[#This Row],[PROVEEDOR]],PROVEEDORES[FECHA DE PAGO],"")</f>
        <v>0</v>
      </c>
      <c r="E1316" s="140"/>
      <c r="F1316" s="138">
        <f>+VLOOKUP(PROVEEDORES[[#This Row],[PROVEEDOR]],
                       Terceros!$A:$F,
                       5,
                       FALSE)</f>
        <v>0</v>
      </c>
      <c r="G1316" s="127">
        <v>45351</v>
      </c>
      <c r="H1316" s="123" t="s">
        <v>836</v>
      </c>
      <c r="I1316" s="127">
        <v>45351</v>
      </c>
      <c r="J1316" s="124" t="s">
        <v>1585</v>
      </c>
      <c r="K1316" s="124" t="s">
        <v>504</v>
      </c>
      <c r="L1316" s="124" t="s">
        <v>1395</v>
      </c>
      <c r="M1316" s="125">
        <v>554000</v>
      </c>
      <c r="N1316" s="148">
        <v>0</v>
      </c>
      <c r="O1316" s="148">
        <v>0</v>
      </c>
      <c r="P1316" s="149">
        <v>0</v>
      </c>
      <c r="Q1316" s="148">
        <v>0</v>
      </c>
      <c r="R1316" s="150">
        <v>554000</v>
      </c>
      <c r="S13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6" s="135">
        <f ca="1">+IF(PROVEEDORES[[#This Row],[FECHA DE PAGO]]=0,TODAY()-PROVEEDORES[[#This Row],[FECHA DE FACTURACIÓN]]-PROVEEDORES[[#This Row],[PLAZO Días]],0)</f>
        <v>0</v>
      </c>
      <c r="U1316" s="135">
        <f>+VLOOKUP(PROVEEDORES[[#This Row],[PROVEEDOR]],Terceros!$A:$D,4,FALSE)</f>
        <v>0</v>
      </c>
      <c r="V1316" s="135">
        <f>+YEAR(PROVEEDORES[[#This Row],[FECHA DE FACTURACIÓN]])</f>
        <v>2024</v>
      </c>
      <c r="W1316" s="135">
        <f>+MATCH(PROVEEDORES[[#This Row],[año facturado]],Retenciones!$1:$1,0)</f>
        <v>7</v>
      </c>
      <c r="X1316" s="136">
        <f>+VLOOKUP(PROVEEDORES[[#This Row],[ID RETENCION]],Retenciones!$A$1:$O$25,PROVEEDORES[[#This Row],[indicador de columna]],FALSE)</f>
        <v>0</v>
      </c>
      <c r="Y1316" s="137">
        <f>+VLOOKUP(PROVEEDORES[[#This Row],[ID RETENCION]],Retenciones!$A$1:$O$25,2,FALSE)</f>
        <v>0</v>
      </c>
      <c r="Z1316" s="126" t="b">
        <f>+OR(COUNTIF(PROVEEDORES[[#This Row],[PROVEEDOR]],"*"&amp;'Palabra que no opera y Listas d'!$A$2&amp;"*"))</f>
        <v>0</v>
      </c>
    </row>
    <row r="1317" spans="1:26" ht="27.75" customHeight="1" x14ac:dyDescent="0.25">
      <c r="A1317" s="141" t="str">
        <f>+IF(PROVEEDORES[[#This Row],[FECHA DE PAGO]]=PROVEEDORES[[#This Row],[FECHA DE FACTURACIÓN]],"DE CONTADO","CRÉDITO")</f>
        <v>CRÉDITO</v>
      </c>
      <c r="B1317" s="138" t="b">
        <f>+IF((PROVEEDORES[[#This Row],[FECHA DE PAGO]]-PROVEEDORES[[#This Row],[FECHA DE FACTURACIÓN]])&gt;PROVEEDORES[[#This Row],[PLAZO Días]],"PAGO VENCIDO")</f>
        <v>0</v>
      </c>
      <c r="C1317" s="138">
        <f>+VLOOKUP(PROVEEDORES[[#This Row],[PROVEEDOR]],TERCEROS_INFO[#All],2,FALSE)</f>
        <v>30</v>
      </c>
      <c r="D1317" s="139">
        <f>+SUMIFS(PROVEEDORES[Total],PROVEEDORES[PROVEEDOR],PROVEEDORES[[#This Row],[PROVEEDOR]],PROVEEDORES[FECHA DE PAGO],"")</f>
        <v>0</v>
      </c>
      <c r="E1317" s="140"/>
      <c r="F1317" s="138" t="str">
        <f>+VLOOKUP(PROVEEDORES[[#This Row],[PROVEEDOR]],
                       Terceros!$A:$F,
                       5,
                       FALSE)</f>
        <v/>
      </c>
      <c r="G1317" s="127">
        <v>45352</v>
      </c>
      <c r="H1317" s="123" t="s">
        <v>481</v>
      </c>
      <c r="I1317" s="127">
        <v>45351</v>
      </c>
      <c r="J1317" s="124" t="s">
        <v>1665</v>
      </c>
      <c r="K1317" s="124" t="s">
        <v>504</v>
      </c>
      <c r="L1317" s="124" t="s">
        <v>1541</v>
      </c>
      <c r="M1317" s="125">
        <v>5028000</v>
      </c>
      <c r="N1317" s="148">
        <v>0</v>
      </c>
      <c r="O1317" s="148">
        <v>0</v>
      </c>
      <c r="P1317" s="149">
        <v>0</v>
      </c>
      <c r="Q1317" s="148">
        <v>0</v>
      </c>
      <c r="R1317" s="150">
        <v>5028000</v>
      </c>
      <c r="S13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7" s="135">
        <f ca="1">+IF(PROVEEDORES[[#This Row],[FECHA DE PAGO]]=0,TODAY()-PROVEEDORES[[#This Row],[FECHA DE FACTURACIÓN]]-PROVEEDORES[[#This Row],[PLAZO Días]],0)</f>
        <v>0</v>
      </c>
      <c r="U1317" s="135">
        <f>+VLOOKUP(PROVEEDORES[[#This Row],[PROVEEDOR]],Terceros!$A:$D,4,FALSE)</f>
        <v>0</v>
      </c>
      <c r="V1317" s="135">
        <f>+YEAR(PROVEEDORES[[#This Row],[FECHA DE FACTURACIÓN]])</f>
        <v>2024</v>
      </c>
      <c r="W1317" s="135">
        <f>+MATCH(PROVEEDORES[[#This Row],[año facturado]],Retenciones!$1:$1,0)</f>
        <v>7</v>
      </c>
      <c r="X1317" s="136">
        <f>+VLOOKUP(PROVEEDORES[[#This Row],[ID RETENCION]],Retenciones!$A$1:$O$25,PROVEEDORES[[#This Row],[indicador de columna]],FALSE)</f>
        <v>0</v>
      </c>
      <c r="Y1317" s="137">
        <f>+VLOOKUP(PROVEEDORES[[#This Row],[ID RETENCION]],Retenciones!$A$1:$O$25,2,FALSE)</f>
        <v>0</v>
      </c>
      <c r="Z1317" s="126" t="b">
        <f>+OR(COUNTIF(PROVEEDORES[[#This Row],[PROVEEDOR]],"*"&amp;'Palabra que no opera y Listas d'!$A$2&amp;"*"))</f>
        <v>0</v>
      </c>
    </row>
    <row r="1318" spans="1:26" ht="27.75" customHeight="1" x14ac:dyDescent="0.25">
      <c r="A1318" s="141" t="str">
        <f>+IF(PROVEEDORES[[#This Row],[FECHA DE PAGO]]=PROVEEDORES[[#This Row],[FECHA DE FACTURACIÓN]],"DE CONTADO","CRÉDITO")</f>
        <v>DE CONTADO</v>
      </c>
      <c r="B1318" s="138" t="b">
        <f>+IF((PROVEEDORES[[#This Row],[FECHA DE PAGO]]-PROVEEDORES[[#This Row],[FECHA DE FACTURACIÓN]])&gt;PROVEEDORES[[#This Row],[PLAZO Días]],"PAGO VENCIDO")</f>
        <v>0</v>
      </c>
      <c r="C1318" s="138">
        <f>+VLOOKUP(PROVEEDORES[[#This Row],[PROVEEDOR]],TERCEROS_INFO[#All],2,FALSE)</f>
        <v>30</v>
      </c>
      <c r="D1318" s="139">
        <f>+SUMIFS(PROVEEDORES[Total],PROVEEDORES[PROVEEDOR],PROVEEDORES[[#This Row],[PROVEEDOR]],PROVEEDORES[FECHA DE PAGO],"")</f>
        <v>0</v>
      </c>
      <c r="E1318" s="140"/>
      <c r="F1318" s="138" t="str">
        <f>+VLOOKUP(PROVEEDORES[[#This Row],[PROVEEDOR]],
                       Terceros!$A:$F,
                       5,
                       FALSE)</f>
        <v>PSE</v>
      </c>
      <c r="G1318" s="127">
        <v>45352</v>
      </c>
      <c r="H1318" s="123" t="s">
        <v>390</v>
      </c>
      <c r="I1318" s="127">
        <v>45352</v>
      </c>
      <c r="J1318" s="124"/>
      <c r="K1318" s="124" t="s">
        <v>1530</v>
      </c>
      <c r="L1318" s="124" t="s">
        <v>1533</v>
      </c>
      <c r="M1318" s="125">
        <v>633500</v>
      </c>
      <c r="N1318" s="148">
        <v>0</v>
      </c>
      <c r="O1318" s="148">
        <v>0</v>
      </c>
      <c r="P1318" s="149">
        <v>0</v>
      </c>
      <c r="Q1318" s="148">
        <v>0</v>
      </c>
      <c r="R1318" s="150">
        <v>633500</v>
      </c>
      <c r="S13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8" s="135">
        <f ca="1">+IF(PROVEEDORES[[#This Row],[FECHA DE PAGO]]=0,TODAY()-PROVEEDORES[[#This Row],[FECHA DE FACTURACIÓN]]-PROVEEDORES[[#This Row],[PLAZO Días]],0)</f>
        <v>0</v>
      </c>
      <c r="U1318" s="135">
        <f>+VLOOKUP(PROVEEDORES[[#This Row],[PROVEEDOR]],Terceros!$A:$D,4,FALSE)</f>
        <v>0</v>
      </c>
      <c r="V1318" s="135">
        <f>+YEAR(PROVEEDORES[[#This Row],[FECHA DE FACTURACIÓN]])</f>
        <v>2024</v>
      </c>
      <c r="W1318" s="135">
        <f>+MATCH(PROVEEDORES[[#This Row],[año facturado]],Retenciones!$1:$1,0)</f>
        <v>7</v>
      </c>
      <c r="X1318" s="136">
        <f>+VLOOKUP(PROVEEDORES[[#This Row],[ID RETENCION]],Retenciones!$A$1:$O$25,PROVEEDORES[[#This Row],[indicador de columna]],FALSE)</f>
        <v>0</v>
      </c>
      <c r="Y1318" s="137">
        <f>+VLOOKUP(PROVEEDORES[[#This Row],[ID RETENCION]],Retenciones!$A$1:$O$25,2,FALSE)</f>
        <v>0</v>
      </c>
      <c r="Z1318" s="126" t="b">
        <f>+OR(COUNTIF(PROVEEDORES[[#This Row],[PROVEEDOR]],"*"&amp;'Palabra que no opera y Listas d'!$A$2&amp;"*"))</f>
        <v>1</v>
      </c>
    </row>
    <row r="1319" spans="1:26" ht="27.75" customHeight="1" x14ac:dyDescent="0.25">
      <c r="A1319" s="141" t="str">
        <f>+IF(PROVEEDORES[[#This Row],[FECHA DE PAGO]]=PROVEEDORES[[#This Row],[FECHA DE FACTURACIÓN]],"DE CONTADO","CRÉDITO")</f>
        <v>CRÉDITO</v>
      </c>
      <c r="B1319" s="138" t="str">
        <f>+IF((PROVEEDORES[[#This Row],[FECHA DE PAGO]]-PROVEEDORES[[#This Row],[FECHA DE FACTURACIÓN]])&gt;PROVEEDORES[[#This Row],[PLAZO Días]],"PAGO VENCIDO")</f>
        <v>PAGO VENCIDO</v>
      </c>
      <c r="C1319" s="138">
        <f>+VLOOKUP(PROVEEDORES[[#This Row],[PROVEEDOR]],TERCEROS_INFO[#All],2,FALSE)</f>
        <v>0</v>
      </c>
      <c r="D1319" s="139">
        <f>+SUMIFS(PROVEEDORES[Total],PROVEEDORES[PROVEEDOR],PROVEEDORES[[#This Row],[PROVEEDOR]],PROVEEDORES[FECHA DE PAGO],"")</f>
        <v>0</v>
      </c>
      <c r="E1319" s="140"/>
      <c r="F1319" s="138" t="str">
        <f>+VLOOKUP(PROVEEDORES[[#This Row],[PROVEEDOR]],
                       Terceros!$A:$F,
                       5,
                       FALSE)</f>
        <v>liauribe@une.net.co;girlesa.ruiz@servipilas.com;joriescobar64@gmail.com</v>
      </c>
      <c r="G1319" s="127">
        <v>45353</v>
      </c>
      <c r="H1319" s="123" t="s">
        <v>459</v>
      </c>
      <c r="I1319" s="127">
        <v>45342</v>
      </c>
      <c r="J1319" s="124" t="s">
        <v>1613</v>
      </c>
      <c r="K1319" s="124" t="s">
        <v>1530</v>
      </c>
      <c r="L1319" s="124" t="s">
        <v>1395</v>
      </c>
      <c r="M1319" s="125">
        <v>2500000</v>
      </c>
      <c r="N1319" s="148">
        <v>0</v>
      </c>
      <c r="O1319" s="148">
        <v>0</v>
      </c>
      <c r="P1319" s="149">
        <v>0</v>
      </c>
      <c r="Q1319" s="148">
        <v>0</v>
      </c>
      <c r="R1319" s="150">
        <v>2500000</v>
      </c>
      <c r="S13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19" s="135">
        <f ca="1">+IF(PROVEEDORES[[#This Row],[FECHA DE PAGO]]=0,TODAY()-PROVEEDORES[[#This Row],[FECHA DE FACTURACIÓN]]-PROVEEDORES[[#This Row],[PLAZO Días]],0)</f>
        <v>0</v>
      </c>
      <c r="U1319" s="135">
        <f>+VLOOKUP(PROVEEDORES[[#This Row],[PROVEEDOR]],Terceros!$A:$D,4,FALSE)</f>
        <v>0</v>
      </c>
      <c r="V1319" s="135">
        <f>+YEAR(PROVEEDORES[[#This Row],[FECHA DE FACTURACIÓN]])</f>
        <v>2024</v>
      </c>
      <c r="W1319" s="135">
        <f>+MATCH(PROVEEDORES[[#This Row],[año facturado]],Retenciones!$1:$1,0)</f>
        <v>7</v>
      </c>
      <c r="X1319" s="136">
        <f>+VLOOKUP(PROVEEDORES[[#This Row],[ID RETENCION]],Retenciones!$A$1:$O$25,PROVEEDORES[[#This Row],[indicador de columna]],FALSE)</f>
        <v>0</v>
      </c>
      <c r="Y1319" s="137">
        <f>+VLOOKUP(PROVEEDORES[[#This Row],[ID RETENCION]],Retenciones!$A$1:$O$25,2,FALSE)</f>
        <v>0</v>
      </c>
      <c r="Z1319" s="126" t="b">
        <f>+OR(COUNTIF(PROVEEDORES[[#This Row],[PROVEEDOR]],"*"&amp;'Palabra que no opera y Listas d'!$A$2&amp;"*"))</f>
        <v>1</v>
      </c>
    </row>
    <row r="1320" spans="1:26" ht="27.75" customHeight="1" x14ac:dyDescent="0.25">
      <c r="A1320" s="141" t="str">
        <f>+IF(PROVEEDORES[[#This Row],[FECHA DE PAGO]]=PROVEEDORES[[#This Row],[FECHA DE FACTURACIÓN]],"DE CONTADO","CRÉDITO")</f>
        <v>CRÉDITO</v>
      </c>
      <c r="B1320" s="138" t="b">
        <f>+IF((PROVEEDORES[[#This Row],[FECHA DE PAGO]]-PROVEEDORES[[#This Row],[FECHA DE FACTURACIÓN]])&gt;PROVEEDORES[[#This Row],[PLAZO Días]],"PAGO VENCIDO")</f>
        <v>0</v>
      </c>
      <c r="C1320" s="138">
        <f>+VLOOKUP(PROVEEDORES[[#This Row],[PROVEEDOR]],TERCEROS_INFO[#All],2,FALSE)</f>
        <v>90</v>
      </c>
      <c r="D1320" s="139">
        <f>+SUMIFS(PROVEEDORES[Total],PROVEEDORES[PROVEEDOR],PROVEEDORES[[#This Row],[PROVEEDOR]],PROVEEDORES[FECHA DE PAGO],"")</f>
        <v>17710735.315650001</v>
      </c>
      <c r="E1320" s="140"/>
      <c r="F1320" s="13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320" s="127">
        <v>45355</v>
      </c>
      <c r="H1320" s="123" t="s">
        <v>12</v>
      </c>
      <c r="I1320" s="127">
        <v>45265</v>
      </c>
      <c r="J1320" s="124" t="s">
        <v>1324</v>
      </c>
      <c r="K1320" s="124" t="s">
        <v>1530</v>
      </c>
      <c r="L1320" s="124" t="s">
        <v>1535</v>
      </c>
      <c r="M1320" s="125">
        <v>10294117</v>
      </c>
      <c r="N1320" s="148">
        <v>1955882.23</v>
      </c>
      <c r="O1320" s="148">
        <v>0</v>
      </c>
      <c r="P1320" s="149">
        <v>2.5000000000000001E-2</v>
      </c>
      <c r="Q1320" s="148">
        <v>257352.92500000002</v>
      </c>
      <c r="R1320" s="150">
        <v>11992646.305</v>
      </c>
      <c r="S13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0" s="135">
        <f ca="1">+IF(PROVEEDORES[[#This Row],[FECHA DE PAGO]]=0,TODAY()-PROVEEDORES[[#This Row],[FECHA DE FACTURACIÓN]]-PROVEEDORES[[#This Row],[PLAZO Días]],0)</f>
        <v>0</v>
      </c>
      <c r="U1320" s="135" t="str">
        <f>+VLOOKUP(PROVEEDORES[[#This Row],[PROVEEDOR]],Terceros!$A:$D,4,FALSE)</f>
        <v>2,5% con base</v>
      </c>
      <c r="V1320" s="135">
        <f>+YEAR(PROVEEDORES[[#This Row],[FECHA DE FACTURACIÓN]])</f>
        <v>2023</v>
      </c>
      <c r="W1320" s="135">
        <f>+MATCH(PROVEEDORES[[#This Row],[año facturado]],Retenciones!$1:$1,0)</f>
        <v>6</v>
      </c>
      <c r="X1320" s="136">
        <f>+VLOOKUP(PROVEEDORES[[#This Row],[ID RETENCION]],Retenciones!$A$1:$O$25,PROVEEDORES[[#This Row],[indicador de columna]],FALSE)</f>
        <v>1145000</v>
      </c>
      <c r="Y1320" s="137">
        <f>+VLOOKUP(PROVEEDORES[[#This Row],[ID RETENCION]],Retenciones!$A$1:$O$25,2,FALSE)</f>
        <v>2.5000000000000001E-2</v>
      </c>
      <c r="Z1320" s="126" t="b">
        <f>+OR(COUNTIF(PROVEEDORES[[#This Row],[PROVEEDOR]],"*"&amp;'Palabra que no opera y Listas d'!$A$2&amp;"*"))</f>
        <v>0</v>
      </c>
    </row>
    <row r="1321" spans="1:26" ht="27.75" customHeight="1" x14ac:dyDescent="0.25">
      <c r="A1321" s="141" t="str">
        <f>+IF(PROVEEDORES[[#This Row],[FECHA DE PAGO]]=PROVEEDORES[[#This Row],[FECHA DE FACTURACIÓN]],"DE CONTADO","CRÉDITO")</f>
        <v>CRÉDITO</v>
      </c>
      <c r="B1321" s="138" t="b">
        <f>+IF((PROVEEDORES[[#This Row],[FECHA DE PAGO]]-PROVEEDORES[[#This Row],[FECHA DE FACTURACIÓN]])&gt;PROVEEDORES[[#This Row],[PLAZO Días]],"PAGO VENCIDO")</f>
        <v>0</v>
      </c>
      <c r="C1321" s="138">
        <f>+VLOOKUP(PROVEEDORES[[#This Row],[PROVEEDOR]],TERCEROS_INFO[#All],2,FALSE)</f>
        <v>90</v>
      </c>
      <c r="D1321" s="139">
        <f>+SUMIFS(PROVEEDORES[Total],PROVEEDORES[PROVEEDOR],PROVEEDORES[[#This Row],[PROVEEDOR]],PROVEEDORES[FECHA DE PAGO],"")</f>
        <v>17710735.315650001</v>
      </c>
      <c r="E1321" s="140"/>
      <c r="F1321" s="13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321" s="127">
        <v>45355</v>
      </c>
      <c r="H1321" s="123" t="s">
        <v>12</v>
      </c>
      <c r="I1321" s="127">
        <v>45265</v>
      </c>
      <c r="J1321" s="124" t="s">
        <v>1325</v>
      </c>
      <c r="K1321" s="124" t="s">
        <v>1530</v>
      </c>
      <c r="L1321" s="124" t="s">
        <v>1535</v>
      </c>
      <c r="M1321" s="125">
        <v>37615</v>
      </c>
      <c r="N1321" s="148">
        <v>7146.85</v>
      </c>
      <c r="O1321" s="148">
        <v>0</v>
      </c>
      <c r="P1321" s="149">
        <v>0</v>
      </c>
      <c r="Q1321" s="148">
        <v>0</v>
      </c>
      <c r="R1321" s="150">
        <v>44761.85</v>
      </c>
      <c r="S13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1" s="135">
        <f ca="1">+IF(PROVEEDORES[[#This Row],[FECHA DE PAGO]]=0,TODAY()-PROVEEDORES[[#This Row],[FECHA DE FACTURACIÓN]]-PROVEEDORES[[#This Row],[PLAZO Días]],0)</f>
        <v>0</v>
      </c>
      <c r="U1321" s="135" t="str">
        <f>+VLOOKUP(PROVEEDORES[[#This Row],[PROVEEDOR]],Terceros!$A:$D,4,FALSE)</f>
        <v>2,5% con base</v>
      </c>
      <c r="V1321" s="135">
        <f>+YEAR(PROVEEDORES[[#This Row],[FECHA DE FACTURACIÓN]])</f>
        <v>2023</v>
      </c>
      <c r="W1321" s="135">
        <f>+MATCH(PROVEEDORES[[#This Row],[año facturado]],Retenciones!$1:$1,0)</f>
        <v>6</v>
      </c>
      <c r="X1321" s="136">
        <f>+VLOOKUP(PROVEEDORES[[#This Row],[ID RETENCION]],Retenciones!$A$1:$O$25,PROVEEDORES[[#This Row],[indicador de columna]],FALSE)</f>
        <v>1145000</v>
      </c>
      <c r="Y1321" s="137">
        <f>+VLOOKUP(PROVEEDORES[[#This Row],[ID RETENCION]],Retenciones!$A$1:$O$25,2,FALSE)</f>
        <v>2.5000000000000001E-2</v>
      </c>
      <c r="Z1321" s="126" t="b">
        <f>+OR(COUNTIF(PROVEEDORES[[#This Row],[PROVEEDOR]],"*"&amp;'Palabra que no opera y Listas d'!$A$2&amp;"*"))</f>
        <v>0</v>
      </c>
    </row>
    <row r="1322" spans="1:26" ht="27.75" customHeight="1" x14ac:dyDescent="0.25">
      <c r="A1322" s="141" t="str">
        <f>+IF(PROVEEDORES[[#This Row],[FECHA DE PAGO]]=PROVEEDORES[[#This Row],[FECHA DE FACTURACIÓN]],"DE CONTADO","CRÉDITO")</f>
        <v>CRÉDITO</v>
      </c>
      <c r="B1322" s="138" t="str">
        <f>+IF((PROVEEDORES[[#This Row],[FECHA DE PAGO]]-PROVEEDORES[[#This Row],[FECHA DE FACTURACIÓN]])&gt;PROVEEDORES[[#This Row],[PLAZO Días]],"PAGO VENCIDO")</f>
        <v>PAGO VENCIDO</v>
      </c>
      <c r="C1322" s="138">
        <f>+VLOOKUP(PROVEEDORES[[#This Row],[PROVEEDOR]],TERCEROS_INFO[#All],2,FALSE)</f>
        <v>60</v>
      </c>
      <c r="D1322" s="139">
        <f>+SUMIFS(PROVEEDORES[Total],PROVEEDORES[PROVEEDOR],PROVEEDORES[[#This Row],[PROVEEDOR]],PROVEEDORES[FECHA DE PAGO],"")</f>
        <v>50353355.590000004</v>
      </c>
      <c r="E1322" s="140"/>
      <c r="F1322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322" s="127">
        <v>45355</v>
      </c>
      <c r="H1322" s="123" t="s">
        <v>9</v>
      </c>
      <c r="I1322" s="127">
        <v>45281</v>
      </c>
      <c r="J1322" s="124" t="s">
        <v>1351</v>
      </c>
      <c r="K1322" s="124" t="s">
        <v>1530</v>
      </c>
      <c r="L1322" s="124" t="s">
        <v>1533</v>
      </c>
      <c r="M1322" s="125">
        <v>19142938</v>
      </c>
      <c r="N1322" s="148">
        <f>+(PROVEEDORES[[#This Row],[SUBTOTAL]])*VLOOKUP(PROVEEDORES[[#This Row],[PROVEEDOR]],TERCEROS_INFO[#All],3,FALSE)</f>
        <v>3637158.22</v>
      </c>
      <c r="O1322" s="148">
        <f>+'Palabra que no opera y Listas d'!$D$2</f>
        <v>0</v>
      </c>
      <c r="P1322" s="149">
        <f>+IF(PROVEEDORES[[#This Row],[SUBTOTAL]]&lt;PROVEEDORES[[#This Row],[base retencion]],0,PROVEEDORES[[#This Row],[retención aplicada]])</f>
        <v>2.5000000000000001E-2</v>
      </c>
      <c r="Q1322" s="148">
        <f>+PROVEEDORES[[#This Row],[ReteFuente
%]]*(PROVEEDORES[[#This Row],[SUBTOTAL]])</f>
        <v>478573.45</v>
      </c>
      <c r="R1322" s="150">
        <f>+PROVEEDORES[[#This Row],[SUBTOTAL]]+PROVEEDORES[[#This Row],[IVA 19%]]-PROVEEDORES[[#This Row],[Descuento
$]]-PROVEEDORES[[#This Row],[ReteFuente
$]]</f>
        <v>22301522.77</v>
      </c>
      <c r="S13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2" s="135">
        <f ca="1">+IF(PROVEEDORES[[#This Row],[FECHA DE PAGO]]=0,TODAY()-PROVEEDORES[[#This Row],[FECHA DE FACTURACIÓN]]-PROVEEDORES[[#This Row],[PLAZO Días]],0)</f>
        <v>0</v>
      </c>
      <c r="U1322" s="135" t="str">
        <f>+VLOOKUP(PROVEEDORES[[#This Row],[PROVEEDOR]],Terceros!$A:$D,4,FALSE)</f>
        <v>2,5% con base</v>
      </c>
      <c r="V1322" s="135">
        <f>+YEAR(PROVEEDORES[[#This Row],[FECHA DE FACTURACIÓN]])</f>
        <v>2023</v>
      </c>
      <c r="W1322" s="135">
        <f>+MATCH(PROVEEDORES[[#This Row],[año facturado]],Retenciones!$1:$1,0)</f>
        <v>6</v>
      </c>
      <c r="X1322" s="136">
        <f>+VLOOKUP(PROVEEDORES[[#This Row],[ID RETENCION]],Retenciones!$A$1:$O$25,PROVEEDORES[[#This Row],[indicador de columna]],FALSE)</f>
        <v>1145000</v>
      </c>
      <c r="Y1322" s="137">
        <f>+VLOOKUP(PROVEEDORES[[#This Row],[ID RETENCION]],Retenciones!$A$1:$O$25,2,FALSE)</f>
        <v>2.5000000000000001E-2</v>
      </c>
      <c r="Z1322" s="126" t="b">
        <f>+OR(COUNTIF(PROVEEDORES[[#This Row],[PROVEEDOR]],"*"&amp;'Palabra que no opera y Listas d'!$A$2&amp;"*"))</f>
        <v>0</v>
      </c>
    </row>
    <row r="1323" spans="1:26" ht="27.75" customHeight="1" x14ac:dyDescent="0.25">
      <c r="A1323" s="141" t="str">
        <f>+IF(PROVEEDORES[[#This Row],[FECHA DE PAGO]]=PROVEEDORES[[#This Row],[FECHA DE FACTURACIÓN]],"DE CONTADO","CRÉDITO")</f>
        <v>CRÉDITO</v>
      </c>
      <c r="B1323" s="138" t="str">
        <f>+IF((PROVEEDORES[[#This Row],[FECHA DE PAGO]]-PROVEEDORES[[#This Row],[FECHA DE FACTURACIÓN]])&gt;PROVEEDORES[[#This Row],[PLAZO Días]],"PAGO VENCIDO")</f>
        <v>PAGO VENCIDO</v>
      </c>
      <c r="C1323" s="138">
        <f>+VLOOKUP(PROVEEDORES[[#This Row],[PROVEEDOR]],TERCEROS_INFO[#All],2,FALSE)</f>
        <v>60</v>
      </c>
      <c r="D1323" s="139">
        <f>+SUMIFS(PROVEEDORES[Total],PROVEEDORES[PROVEEDOR],PROVEEDORES[[#This Row],[PROVEEDOR]],PROVEEDORES[FECHA DE PAGO],"")</f>
        <v>50353355.590000004</v>
      </c>
      <c r="E1323" s="140"/>
      <c r="F1323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323" s="127">
        <v>45355</v>
      </c>
      <c r="H1323" s="123" t="s">
        <v>9</v>
      </c>
      <c r="I1323" s="127">
        <v>45286</v>
      </c>
      <c r="J1323" s="124" t="s">
        <v>1372</v>
      </c>
      <c r="K1323" s="124" t="s">
        <v>1530</v>
      </c>
      <c r="L1323" s="124" t="s">
        <v>1533</v>
      </c>
      <c r="M1323" s="125">
        <v>487650</v>
      </c>
      <c r="N1323" s="148">
        <f>+(PROVEEDORES[[#This Row],[SUBTOTAL]])*VLOOKUP(PROVEEDORES[[#This Row],[PROVEEDOR]],TERCEROS_INFO[#All],3,FALSE)</f>
        <v>92653.5</v>
      </c>
      <c r="O1323" s="148">
        <f>+'Palabra que no opera y Listas d'!$D$2</f>
        <v>0</v>
      </c>
      <c r="P1323" s="149">
        <f>+IF(PROVEEDORES[[#This Row],[SUBTOTAL]]&lt;PROVEEDORES[[#This Row],[base retencion]],0,PROVEEDORES[[#This Row],[retención aplicada]])</f>
        <v>0</v>
      </c>
      <c r="Q1323" s="148">
        <f>+PROVEEDORES[[#This Row],[ReteFuente
%]]*(PROVEEDORES[[#This Row],[SUBTOTAL]])</f>
        <v>0</v>
      </c>
      <c r="R1323" s="150">
        <f>+PROVEEDORES[[#This Row],[SUBTOTAL]]+PROVEEDORES[[#This Row],[IVA 19%]]-PROVEEDORES[[#This Row],[Descuento
$]]-PROVEEDORES[[#This Row],[ReteFuente
$]]</f>
        <v>580303.5</v>
      </c>
      <c r="S13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3" s="135">
        <f ca="1">+IF(PROVEEDORES[[#This Row],[FECHA DE PAGO]]=0,TODAY()-PROVEEDORES[[#This Row],[FECHA DE FACTURACIÓN]]-PROVEEDORES[[#This Row],[PLAZO Días]],0)</f>
        <v>0</v>
      </c>
      <c r="U1323" s="135" t="str">
        <f>+VLOOKUP(PROVEEDORES[[#This Row],[PROVEEDOR]],Terceros!$A:$D,4,FALSE)</f>
        <v>2,5% con base</v>
      </c>
      <c r="V1323" s="135">
        <f>+YEAR(PROVEEDORES[[#This Row],[FECHA DE FACTURACIÓN]])</f>
        <v>2023</v>
      </c>
      <c r="W1323" s="135">
        <f>+MATCH(PROVEEDORES[[#This Row],[año facturado]],Retenciones!$1:$1,0)</f>
        <v>6</v>
      </c>
      <c r="X1323" s="136">
        <f>+VLOOKUP(PROVEEDORES[[#This Row],[ID RETENCION]],Retenciones!$A$1:$O$25,PROVEEDORES[[#This Row],[indicador de columna]],FALSE)</f>
        <v>1145000</v>
      </c>
      <c r="Y1323" s="137">
        <f>+VLOOKUP(PROVEEDORES[[#This Row],[ID RETENCION]],Retenciones!$A$1:$O$25,2,FALSE)</f>
        <v>2.5000000000000001E-2</v>
      </c>
      <c r="Z1323" s="126" t="b">
        <f>+OR(COUNTIF(PROVEEDORES[[#This Row],[PROVEEDOR]],"*"&amp;'Palabra que no opera y Listas d'!$A$2&amp;"*"))</f>
        <v>0</v>
      </c>
    </row>
    <row r="1324" spans="1:26" ht="27.75" customHeight="1" x14ac:dyDescent="0.25">
      <c r="A1324" s="141" t="str">
        <f>+IF(PROVEEDORES[[#This Row],[FECHA DE PAGO]]=PROVEEDORES[[#This Row],[FECHA DE FACTURACIÓN]],"DE CONTADO","CRÉDITO")</f>
        <v>CRÉDITO</v>
      </c>
      <c r="B1324" s="138" t="str">
        <f>+IF((PROVEEDORES[[#This Row],[FECHA DE PAGO]]-PROVEEDORES[[#This Row],[FECHA DE FACTURACIÓN]])&gt;PROVEEDORES[[#This Row],[PLAZO Días]],"PAGO VENCIDO")</f>
        <v>PAGO VENCIDO</v>
      </c>
      <c r="C1324" s="138">
        <f>+VLOOKUP(PROVEEDORES[[#This Row],[PROVEEDOR]],TERCEROS_INFO[#All],2,FALSE)</f>
        <v>30</v>
      </c>
      <c r="D1324" s="139">
        <f>+SUMIFS(PROVEEDORES[Total],PROVEEDORES[PROVEEDOR],PROVEEDORES[[#This Row],[PROVEEDOR]],PROVEEDORES[FECHA DE PAGO],"")</f>
        <v>0</v>
      </c>
      <c r="E1324" s="140"/>
      <c r="F1324" s="13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324" s="127">
        <v>45355</v>
      </c>
      <c r="H1324" s="123" t="s">
        <v>452</v>
      </c>
      <c r="I1324" s="127">
        <v>45315</v>
      </c>
      <c r="J1324" s="124" t="s">
        <v>1492</v>
      </c>
      <c r="K1324" s="124" t="s">
        <v>1530</v>
      </c>
      <c r="L1324" s="124" t="s">
        <v>1536</v>
      </c>
      <c r="M1324" s="125">
        <v>1879839.5</v>
      </c>
      <c r="N1324" s="148">
        <v>357169.505</v>
      </c>
      <c r="O1324" s="148">
        <v>0</v>
      </c>
      <c r="P1324" s="149">
        <v>2.5000000000000001E-2</v>
      </c>
      <c r="Q1324" s="148">
        <v>46995.987500000003</v>
      </c>
      <c r="R1324" s="150">
        <v>2190013.0175000001</v>
      </c>
      <c r="S13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4" s="135">
        <f ca="1">+IF(PROVEEDORES[[#This Row],[FECHA DE PAGO]]=0,TODAY()-PROVEEDORES[[#This Row],[FECHA DE FACTURACIÓN]]-PROVEEDORES[[#This Row],[PLAZO Días]],0)</f>
        <v>0</v>
      </c>
      <c r="U1324" s="135" t="str">
        <f>+VLOOKUP(PROVEEDORES[[#This Row],[PROVEEDOR]],Terceros!$A:$D,4,FALSE)</f>
        <v>2,5% con base</v>
      </c>
      <c r="V1324" s="135">
        <f>+YEAR(PROVEEDORES[[#This Row],[FECHA DE FACTURACIÓN]])</f>
        <v>2024</v>
      </c>
      <c r="W1324" s="135">
        <f>+MATCH(PROVEEDORES[[#This Row],[año facturado]],Retenciones!$1:$1,0)</f>
        <v>7</v>
      </c>
      <c r="X1324" s="136">
        <f>+VLOOKUP(PROVEEDORES[[#This Row],[ID RETENCION]],Retenciones!$A$1:$O$25,PROVEEDORES[[#This Row],[indicador de columna]],FALSE)</f>
        <v>1271000</v>
      </c>
      <c r="Y1324" s="137">
        <f>+VLOOKUP(PROVEEDORES[[#This Row],[ID RETENCION]],Retenciones!$A$1:$O$25,2,FALSE)</f>
        <v>2.5000000000000001E-2</v>
      </c>
      <c r="Z1324" s="126" t="b">
        <f>+OR(COUNTIF(PROVEEDORES[[#This Row],[PROVEEDOR]],"*"&amp;'Palabra que no opera y Listas d'!$A$2&amp;"*"))</f>
        <v>0</v>
      </c>
    </row>
    <row r="1325" spans="1:26" ht="27.75" customHeight="1" x14ac:dyDescent="0.25">
      <c r="A1325" s="141" t="str">
        <f>+IF(PROVEEDORES[[#This Row],[FECHA DE PAGO]]=PROVEEDORES[[#This Row],[FECHA DE FACTURACIÓN]],"DE CONTADO","CRÉDITO")</f>
        <v>CRÉDITO</v>
      </c>
      <c r="B1325" s="138" t="b">
        <f>+IF((PROVEEDORES[[#This Row],[FECHA DE PAGO]]-PROVEEDORES[[#This Row],[FECHA DE FACTURACIÓN]])&gt;PROVEEDORES[[#This Row],[PLAZO Días]],"PAGO VENCIDO")</f>
        <v>0</v>
      </c>
      <c r="C1325" s="138">
        <f>+VLOOKUP(PROVEEDORES[[#This Row],[PROVEEDOR]],TERCEROS_INFO[#All],2,FALSE)</f>
        <v>30</v>
      </c>
      <c r="D1325" s="139">
        <f>+SUMIFS(PROVEEDORES[Total],PROVEEDORES[PROVEEDOR],PROVEEDORES[[#This Row],[PROVEEDOR]],PROVEEDORES[FECHA DE PAGO],"")</f>
        <v>0</v>
      </c>
      <c r="E1325" s="140"/>
      <c r="F1325" s="13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325" s="127">
        <v>45355</v>
      </c>
      <c r="H1325" s="123" t="s">
        <v>452</v>
      </c>
      <c r="I1325" s="127">
        <v>45331</v>
      </c>
      <c r="J1325" s="124" t="s">
        <v>1551</v>
      </c>
      <c r="K1325" s="124" t="s">
        <v>504</v>
      </c>
      <c r="L1325" s="124" t="s">
        <v>1536</v>
      </c>
      <c r="M1325" s="125">
        <v>627429</v>
      </c>
      <c r="N1325" s="148">
        <v>119211.51</v>
      </c>
      <c r="O1325" s="148">
        <v>0</v>
      </c>
      <c r="P1325" s="149">
        <v>0</v>
      </c>
      <c r="Q1325" s="148">
        <v>0</v>
      </c>
      <c r="R1325" s="150">
        <v>746640.51</v>
      </c>
      <c r="S13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5" s="135">
        <f ca="1">+IF(PROVEEDORES[[#This Row],[FECHA DE PAGO]]=0,TODAY()-PROVEEDORES[[#This Row],[FECHA DE FACTURACIÓN]]-PROVEEDORES[[#This Row],[PLAZO Días]],0)</f>
        <v>0</v>
      </c>
      <c r="U1325" s="135" t="str">
        <f>+VLOOKUP(PROVEEDORES[[#This Row],[PROVEEDOR]],Terceros!$A:$D,4,FALSE)</f>
        <v>2,5% con base</v>
      </c>
      <c r="V1325" s="135">
        <f>+YEAR(PROVEEDORES[[#This Row],[FECHA DE FACTURACIÓN]])</f>
        <v>2024</v>
      </c>
      <c r="W1325" s="135">
        <f>+MATCH(PROVEEDORES[[#This Row],[año facturado]],Retenciones!$1:$1,0)</f>
        <v>7</v>
      </c>
      <c r="X1325" s="136">
        <f>+VLOOKUP(PROVEEDORES[[#This Row],[ID RETENCION]],Retenciones!$A$1:$O$25,PROVEEDORES[[#This Row],[indicador de columna]],FALSE)</f>
        <v>1271000</v>
      </c>
      <c r="Y1325" s="137">
        <f>+VLOOKUP(PROVEEDORES[[#This Row],[ID RETENCION]],Retenciones!$A$1:$O$25,2,FALSE)</f>
        <v>2.5000000000000001E-2</v>
      </c>
      <c r="Z1325" s="126" t="b">
        <f>+OR(COUNTIF(PROVEEDORES[[#This Row],[PROVEEDOR]],"*"&amp;'Palabra que no opera y Listas d'!$A$2&amp;"*"))</f>
        <v>0</v>
      </c>
    </row>
    <row r="1326" spans="1:26" ht="27.75" customHeight="1" x14ac:dyDescent="0.25">
      <c r="A1326" s="141" t="str">
        <f>+IF(PROVEEDORES[[#This Row],[FECHA DE PAGO]]=PROVEEDORES[[#This Row],[FECHA DE FACTURACIÓN]],"DE CONTADO","CRÉDITO")</f>
        <v>CRÉDITO</v>
      </c>
      <c r="B1326" s="138" t="str">
        <f>+IF((PROVEEDORES[[#This Row],[FECHA DE PAGO]]-PROVEEDORES[[#This Row],[FECHA DE FACTURACIÓN]])&gt;PROVEEDORES[[#This Row],[PLAZO Días]],"PAGO VENCIDO")</f>
        <v>PAGO VENCIDO</v>
      </c>
      <c r="C1326" s="138">
        <f>+VLOOKUP(PROVEEDORES[[#This Row],[PROVEEDOR]],TERCEROS_INFO[#All],2,FALSE)</f>
        <v>30</v>
      </c>
      <c r="D1326" s="139">
        <f>+SUMIFS(PROVEEDORES[Total],PROVEEDORES[PROVEEDOR],PROVEEDORES[[#This Row],[PROVEEDOR]],PROVEEDORES[FECHA DE PAGO],"")</f>
        <v>3130000</v>
      </c>
      <c r="E1326" s="140"/>
      <c r="F1326" s="138">
        <f>+VLOOKUP(PROVEEDORES[[#This Row],[PROVEEDOR]],
                       Terceros!$A:$F,
                       5,
                       FALSE)</f>
        <v>0</v>
      </c>
      <c r="G1326" s="127">
        <v>45356</v>
      </c>
      <c r="H1326" s="123" t="s">
        <v>472</v>
      </c>
      <c r="I1326" s="127">
        <v>45302</v>
      </c>
      <c r="J1326" s="124" t="s">
        <v>1446</v>
      </c>
      <c r="K1326" s="124" t="s">
        <v>1530</v>
      </c>
      <c r="L1326" s="124" t="s">
        <v>1395</v>
      </c>
      <c r="M1326" s="125">
        <v>1345500</v>
      </c>
      <c r="N1326" s="148">
        <v>0</v>
      </c>
      <c r="O1326" s="148">
        <v>0</v>
      </c>
      <c r="P1326" s="149">
        <v>0</v>
      </c>
      <c r="Q1326" s="148">
        <v>0</v>
      </c>
      <c r="R1326" s="150">
        <v>1345500</v>
      </c>
      <c r="S13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6" s="135">
        <f ca="1">+IF(PROVEEDORES[[#This Row],[FECHA DE PAGO]]=0,TODAY()-PROVEEDORES[[#This Row],[FECHA DE FACTURACIÓN]]-PROVEEDORES[[#This Row],[PLAZO Días]],0)</f>
        <v>0</v>
      </c>
      <c r="U1326" s="135">
        <f>+VLOOKUP(PROVEEDORES[[#This Row],[PROVEEDOR]],Terceros!$A:$D,4,FALSE)</f>
        <v>0</v>
      </c>
      <c r="V1326" s="135">
        <f>+YEAR(PROVEEDORES[[#This Row],[FECHA DE FACTURACIÓN]])</f>
        <v>2024</v>
      </c>
      <c r="W1326" s="135">
        <f>+MATCH(PROVEEDORES[[#This Row],[año facturado]],Retenciones!$1:$1,0)</f>
        <v>7</v>
      </c>
      <c r="X1326" s="136">
        <f>+VLOOKUP(PROVEEDORES[[#This Row],[ID RETENCION]],Retenciones!$A$1:$O$25,PROVEEDORES[[#This Row],[indicador de columna]],FALSE)</f>
        <v>0</v>
      </c>
      <c r="Y1326" s="137">
        <f>+VLOOKUP(PROVEEDORES[[#This Row],[ID RETENCION]],Retenciones!$A$1:$O$25,2,FALSE)</f>
        <v>0</v>
      </c>
      <c r="Z1326" s="126" t="b">
        <f>+OR(COUNTIF(PROVEEDORES[[#This Row],[PROVEEDOR]],"*"&amp;'Palabra que no opera y Listas d'!$A$2&amp;"*"))</f>
        <v>0</v>
      </c>
    </row>
    <row r="1327" spans="1:26" ht="27.75" customHeight="1" x14ac:dyDescent="0.25">
      <c r="A1327" s="141" t="str">
        <f>+IF(PROVEEDORES[[#This Row],[FECHA DE PAGO]]=PROVEEDORES[[#This Row],[FECHA DE FACTURACIÓN]],"DE CONTADO","CRÉDITO")</f>
        <v>CRÉDITO</v>
      </c>
      <c r="B1327" s="138" t="b">
        <f>+IF((PROVEEDORES[[#This Row],[FECHA DE PAGO]]-PROVEEDORES[[#This Row],[FECHA DE FACTURACIÓN]])&gt;PROVEEDORES[[#This Row],[PLAZO Días]],"PAGO VENCIDO")</f>
        <v>0</v>
      </c>
      <c r="C1327" s="138">
        <f>+VLOOKUP(PROVEEDORES[[#This Row],[PROVEEDOR]],TERCEROS_INFO[#All],2,FALSE)</f>
        <v>90</v>
      </c>
      <c r="D1327" s="139">
        <f>+SUMIFS(PROVEEDORES[Total],PROVEEDORES[PROVEEDOR],PROVEEDORES[[#This Row],[PROVEEDOR]],PROVEEDORES[FECHA DE PAGO],"")</f>
        <v>0</v>
      </c>
      <c r="E1327" s="140"/>
      <c r="F1327" s="13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327" s="127">
        <v>45356</v>
      </c>
      <c r="H1327" s="123" t="s">
        <v>32</v>
      </c>
      <c r="I1327" s="127">
        <v>45303</v>
      </c>
      <c r="J1327" s="124" t="s">
        <v>1433</v>
      </c>
      <c r="K1327" s="124" t="s">
        <v>1530</v>
      </c>
      <c r="L1327" s="124" t="s">
        <v>1533</v>
      </c>
      <c r="M1327" s="125">
        <v>512000</v>
      </c>
      <c r="N1327" s="148">
        <v>97280</v>
      </c>
      <c r="O1327" s="148">
        <v>0</v>
      </c>
      <c r="P1327" s="149">
        <v>0</v>
      </c>
      <c r="Q1327" s="148">
        <v>0</v>
      </c>
      <c r="R1327" s="150">
        <v>609280</v>
      </c>
      <c r="S13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7" s="135">
        <f ca="1">+IF(PROVEEDORES[[#This Row],[FECHA DE PAGO]]=0,TODAY()-PROVEEDORES[[#This Row],[FECHA DE FACTURACIÓN]]-PROVEEDORES[[#This Row],[PLAZO Días]],0)</f>
        <v>0</v>
      </c>
      <c r="U1327" s="135" t="str">
        <f>+VLOOKUP(PROVEEDORES[[#This Row],[PROVEEDOR]],Terceros!$A:$D,4,FALSE)</f>
        <v>2,5% con base</v>
      </c>
      <c r="V1327" s="135">
        <f>+YEAR(PROVEEDORES[[#This Row],[FECHA DE FACTURACIÓN]])</f>
        <v>2024</v>
      </c>
      <c r="W1327" s="135">
        <f>+MATCH(PROVEEDORES[[#This Row],[año facturado]],Retenciones!$1:$1,0)</f>
        <v>7</v>
      </c>
      <c r="X1327" s="136">
        <f>+VLOOKUP(PROVEEDORES[[#This Row],[ID RETENCION]],Retenciones!$A$1:$O$25,PROVEEDORES[[#This Row],[indicador de columna]],FALSE)</f>
        <v>1271000</v>
      </c>
      <c r="Y1327" s="137">
        <f>+VLOOKUP(PROVEEDORES[[#This Row],[ID RETENCION]],Retenciones!$A$1:$O$25,2,FALSE)</f>
        <v>2.5000000000000001E-2</v>
      </c>
      <c r="Z1327" s="126" t="b">
        <f>+OR(COUNTIF(PROVEEDORES[[#This Row],[PROVEEDOR]],"*"&amp;'Palabra que no opera y Listas d'!$A$2&amp;"*"))</f>
        <v>0</v>
      </c>
    </row>
    <row r="1328" spans="1:26" ht="27.75" customHeight="1" x14ac:dyDescent="0.25">
      <c r="A1328" s="141" t="str">
        <f>+IF(PROVEEDORES[[#This Row],[FECHA DE PAGO]]=PROVEEDORES[[#This Row],[FECHA DE FACTURACIÓN]],"DE CONTADO","CRÉDITO")</f>
        <v>CRÉDITO</v>
      </c>
      <c r="B1328" s="138" t="str">
        <f>+IF((PROVEEDORES[[#This Row],[FECHA DE PAGO]]-PROVEEDORES[[#This Row],[FECHA DE FACTURACIÓN]])&gt;PROVEEDORES[[#This Row],[PLAZO Días]],"PAGO VENCIDO")</f>
        <v>PAGO VENCIDO</v>
      </c>
      <c r="C1328" s="138">
        <f>+VLOOKUP(PROVEEDORES[[#This Row],[PROVEEDOR]],TERCEROS_INFO[#All],2,FALSE)</f>
        <v>30</v>
      </c>
      <c r="D1328" s="139">
        <f>+SUMIFS(PROVEEDORES[Total],PROVEEDORES[PROVEEDOR],PROVEEDORES[[#This Row],[PROVEEDOR]],PROVEEDORES[FECHA DE PAGO],"")</f>
        <v>4466504.835</v>
      </c>
      <c r="E1328" s="140"/>
      <c r="F1328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328" s="127">
        <v>45356</v>
      </c>
      <c r="H1328" s="123" t="s">
        <v>18</v>
      </c>
      <c r="I1328" s="127">
        <v>45310</v>
      </c>
      <c r="J1328" s="124" t="s">
        <v>1463</v>
      </c>
      <c r="K1328" s="124" t="s">
        <v>504</v>
      </c>
      <c r="L1328" s="124" t="s">
        <v>1533</v>
      </c>
      <c r="M1328" s="125">
        <v>628303</v>
      </c>
      <c r="N1328" s="148">
        <v>119377.57</v>
      </c>
      <c r="O1328" s="148">
        <v>0</v>
      </c>
      <c r="P1328" s="149">
        <v>0</v>
      </c>
      <c r="Q1328" s="148">
        <v>0</v>
      </c>
      <c r="R1328" s="150">
        <v>747680.57000000007</v>
      </c>
      <c r="S13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8" s="135">
        <f ca="1">+IF(PROVEEDORES[[#This Row],[FECHA DE PAGO]]=0,TODAY()-PROVEEDORES[[#This Row],[FECHA DE FACTURACIÓN]]-PROVEEDORES[[#This Row],[PLAZO Días]],0)</f>
        <v>0</v>
      </c>
      <c r="U1328" s="135" t="str">
        <f>+VLOOKUP(PROVEEDORES[[#This Row],[PROVEEDOR]],Terceros!$A:$D,4,FALSE)</f>
        <v>2,5% con base</v>
      </c>
      <c r="V1328" s="135">
        <f>+YEAR(PROVEEDORES[[#This Row],[FECHA DE FACTURACIÓN]])</f>
        <v>2024</v>
      </c>
      <c r="W1328" s="135">
        <f>+MATCH(PROVEEDORES[[#This Row],[año facturado]],Retenciones!$1:$1,0)</f>
        <v>7</v>
      </c>
      <c r="X1328" s="136">
        <f>+VLOOKUP(PROVEEDORES[[#This Row],[ID RETENCION]],Retenciones!$A$1:$O$25,PROVEEDORES[[#This Row],[indicador de columna]],FALSE)</f>
        <v>1271000</v>
      </c>
      <c r="Y1328" s="137">
        <f>+VLOOKUP(PROVEEDORES[[#This Row],[ID RETENCION]],Retenciones!$A$1:$O$25,2,FALSE)</f>
        <v>2.5000000000000001E-2</v>
      </c>
      <c r="Z1328" s="126" t="b">
        <f>+OR(COUNTIF(PROVEEDORES[[#This Row],[PROVEEDOR]],"*"&amp;'Palabra que no opera y Listas d'!$A$2&amp;"*"))</f>
        <v>0</v>
      </c>
    </row>
    <row r="1329" spans="1:26" ht="27.75" customHeight="1" x14ac:dyDescent="0.25">
      <c r="A1329" s="141" t="str">
        <f>+IF(PROVEEDORES[[#This Row],[FECHA DE PAGO]]=PROVEEDORES[[#This Row],[FECHA DE FACTURACIÓN]],"DE CONTADO","CRÉDITO")</f>
        <v>CRÉDITO</v>
      </c>
      <c r="B1329" s="138" t="str">
        <f>+IF((PROVEEDORES[[#This Row],[FECHA DE PAGO]]-PROVEEDORES[[#This Row],[FECHA DE FACTURACIÓN]])&gt;PROVEEDORES[[#This Row],[PLAZO Días]],"PAGO VENCIDO")</f>
        <v>PAGO VENCIDO</v>
      </c>
      <c r="C1329" s="138">
        <f>+VLOOKUP(PROVEEDORES[[#This Row],[PROVEEDOR]],TERCEROS_INFO[#All],2,FALSE)</f>
        <v>30</v>
      </c>
      <c r="D1329" s="139">
        <f>+SUMIFS(PROVEEDORES[Total],PROVEEDORES[PROVEEDOR],PROVEEDORES[[#This Row],[PROVEEDOR]],PROVEEDORES[FECHA DE PAGO],"")</f>
        <v>3130000</v>
      </c>
      <c r="E1329" s="140"/>
      <c r="F1329" s="138">
        <f>+VLOOKUP(PROVEEDORES[[#This Row],[PROVEEDOR]],
                       Terceros!$A:$F,
                       5,
                       FALSE)</f>
        <v>0</v>
      </c>
      <c r="G1329" s="127">
        <v>45356</v>
      </c>
      <c r="H1329" s="123" t="s">
        <v>472</v>
      </c>
      <c r="I1329" s="127">
        <v>45315</v>
      </c>
      <c r="J1329" s="124" t="s">
        <v>1482</v>
      </c>
      <c r="K1329" s="124" t="s">
        <v>1530</v>
      </c>
      <c r="L1329" s="124" t="s">
        <v>1395</v>
      </c>
      <c r="M1329" s="125">
        <v>1854500</v>
      </c>
      <c r="N1329" s="148">
        <v>0</v>
      </c>
      <c r="O1329" s="148">
        <v>0</v>
      </c>
      <c r="P1329" s="149">
        <v>0</v>
      </c>
      <c r="Q1329" s="148">
        <v>0</v>
      </c>
      <c r="R1329" s="150">
        <v>1854500</v>
      </c>
      <c r="S13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29" s="135">
        <f ca="1">+IF(PROVEEDORES[[#This Row],[FECHA DE PAGO]]=0,TODAY()-PROVEEDORES[[#This Row],[FECHA DE FACTURACIÓN]]-PROVEEDORES[[#This Row],[PLAZO Días]],0)</f>
        <v>0</v>
      </c>
      <c r="U1329" s="135">
        <f>+VLOOKUP(PROVEEDORES[[#This Row],[PROVEEDOR]],Terceros!$A:$D,4,FALSE)</f>
        <v>0</v>
      </c>
      <c r="V1329" s="135">
        <f>+YEAR(PROVEEDORES[[#This Row],[FECHA DE FACTURACIÓN]])</f>
        <v>2024</v>
      </c>
      <c r="W1329" s="135">
        <f>+MATCH(PROVEEDORES[[#This Row],[año facturado]],Retenciones!$1:$1,0)</f>
        <v>7</v>
      </c>
      <c r="X1329" s="136">
        <f>+VLOOKUP(PROVEEDORES[[#This Row],[ID RETENCION]],Retenciones!$A$1:$O$25,PROVEEDORES[[#This Row],[indicador de columna]],FALSE)</f>
        <v>0</v>
      </c>
      <c r="Y1329" s="137">
        <f>+VLOOKUP(PROVEEDORES[[#This Row],[ID RETENCION]],Retenciones!$A$1:$O$25,2,FALSE)</f>
        <v>0</v>
      </c>
      <c r="Z1329" s="126" t="b">
        <f>+OR(COUNTIF(PROVEEDORES[[#This Row],[PROVEEDOR]],"*"&amp;'Palabra que no opera y Listas d'!$A$2&amp;"*"))</f>
        <v>0</v>
      </c>
    </row>
    <row r="1330" spans="1:26" ht="27.75" customHeight="1" x14ac:dyDescent="0.25">
      <c r="A1330" s="141" t="str">
        <f>+IF(PROVEEDORES[[#This Row],[FECHA DE PAGO]]=PROVEEDORES[[#This Row],[FECHA DE FACTURACIÓN]],"DE CONTADO","CRÉDITO")</f>
        <v>CRÉDITO</v>
      </c>
      <c r="B1330" s="138" t="str">
        <f>+IF((PROVEEDORES[[#This Row],[FECHA DE PAGO]]-PROVEEDORES[[#This Row],[FECHA DE FACTURACIÓN]])&gt;PROVEEDORES[[#This Row],[PLAZO Días]],"PAGO VENCIDO")</f>
        <v>PAGO VENCIDO</v>
      </c>
      <c r="C1330" s="138">
        <f>+VLOOKUP(PROVEEDORES[[#This Row],[PROVEEDOR]],TERCEROS_INFO[#All],2,FALSE)</f>
        <v>30</v>
      </c>
      <c r="D1330" s="139">
        <f>+SUMIFS(PROVEEDORES[Total],PROVEEDORES[PROVEEDOR],PROVEEDORES[[#This Row],[PROVEEDOR]],PROVEEDORES[FECHA DE PAGO],"")</f>
        <v>1460000.29</v>
      </c>
      <c r="E1330" s="140"/>
      <c r="F1330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330" s="127">
        <v>45356</v>
      </c>
      <c r="H1330" s="123" t="s">
        <v>131</v>
      </c>
      <c r="I1330" s="127">
        <v>45315</v>
      </c>
      <c r="J1330" s="124" t="s">
        <v>1478</v>
      </c>
      <c r="K1330" s="124" t="s">
        <v>1530</v>
      </c>
      <c r="L1330" s="124" t="s">
        <v>1534</v>
      </c>
      <c r="M1330" s="125">
        <v>3057983</v>
      </c>
      <c r="N1330" s="148">
        <v>581016.77</v>
      </c>
      <c r="O1330" s="148">
        <v>0</v>
      </c>
      <c r="P1330" s="149">
        <v>2.5000000000000001E-2</v>
      </c>
      <c r="Q1330" s="148">
        <v>76449.574999999997</v>
      </c>
      <c r="R1330" s="150">
        <v>3169850</v>
      </c>
      <c r="S13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0" s="135">
        <f ca="1">+IF(PROVEEDORES[[#This Row],[FECHA DE PAGO]]=0,TODAY()-PROVEEDORES[[#This Row],[FECHA DE FACTURACIÓN]]-PROVEEDORES[[#This Row],[PLAZO Días]],0)</f>
        <v>0</v>
      </c>
      <c r="U1330" s="135" t="str">
        <f>+VLOOKUP(PROVEEDORES[[#This Row],[PROVEEDOR]],Terceros!$A:$D,4,FALSE)</f>
        <v>2,5% con base</v>
      </c>
      <c r="V1330" s="135">
        <f>+YEAR(PROVEEDORES[[#This Row],[FECHA DE FACTURACIÓN]])</f>
        <v>2024</v>
      </c>
      <c r="W1330" s="135">
        <f>+MATCH(PROVEEDORES[[#This Row],[año facturado]],Retenciones!$1:$1,0)</f>
        <v>7</v>
      </c>
      <c r="X1330" s="136">
        <f>+VLOOKUP(PROVEEDORES[[#This Row],[ID RETENCION]],Retenciones!$A$1:$O$25,PROVEEDORES[[#This Row],[indicador de columna]],FALSE)</f>
        <v>1271000</v>
      </c>
      <c r="Y1330" s="137">
        <f>+VLOOKUP(PROVEEDORES[[#This Row],[ID RETENCION]],Retenciones!$A$1:$O$25,2,FALSE)</f>
        <v>2.5000000000000001E-2</v>
      </c>
      <c r="Z1330" s="126" t="b">
        <f>+OR(COUNTIF(PROVEEDORES[[#This Row],[PROVEEDOR]],"*"&amp;'Palabra que no opera y Listas d'!$A$2&amp;"*"))</f>
        <v>0</v>
      </c>
    </row>
    <row r="1331" spans="1:26" ht="27.75" customHeight="1" x14ac:dyDescent="0.25">
      <c r="A1331" s="141" t="str">
        <f>+IF(PROVEEDORES[[#This Row],[FECHA DE PAGO]]=PROVEEDORES[[#This Row],[FECHA DE FACTURACIÓN]],"DE CONTADO","CRÉDITO")</f>
        <v>CRÉDITO</v>
      </c>
      <c r="B1331" s="138" t="str">
        <f>+IF((PROVEEDORES[[#This Row],[FECHA DE PAGO]]-PROVEEDORES[[#This Row],[FECHA DE FACTURACIÓN]])&gt;PROVEEDORES[[#This Row],[PLAZO Días]],"PAGO VENCIDO")</f>
        <v>PAGO VENCIDO</v>
      </c>
      <c r="C1331" s="138">
        <f>+VLOOKUP(PROVEEDORES[[#This Row],[PROVEEDOR]],TERCEROS_INFO[#All],2,FALSE)</f>
        <v>30</v>
      </c>
      <c r="D1331" s="139">
        <f>+SUMIFS(PROVEEDORES[Total],PROVEEDORES[PROVEEDOR],PROVEEDORES[[#This Row],[PROVEEDOR]],PROVEEDORES[FECHA DE PAGO],"")</f>
        <v>8456975.129999999</v>
      </c>
      <c r="E1331" s="140"/>
      <c r="F1331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331" s="127">
        <v>45356</v>
      </c>
      <c r="H1331" s="123" t="s">
        <v>1464</v>
      </c>
      <c r="I1331" s="127">
        <v>45317</v>
      </c>
      <c r="J1331" s="124" t="s">
        <v>1488</v>
      </c>
      <c r="K1331" s="124" t="s">
        <v>1530</v>
      </c>
      <c r="L1331" s="124" t="s">
        <v>1533</v>
      </c>
      <c r="M1331" s="125">
        <v>259099</v>
      </c>
      <c r="N1331" s="148">
        <v>49228.81</v>
      </c>
      <c r="O1331" s="148">
        <v>0</v>
      </c>
      <c r="P1331" s="149">
        <v>0</v>
      </c>
      <c r="Q1331" s="148">
        <v>0</v>
      </c>
      <c r="R1331" s="150">
        <v>308327.81</v>
      </c>
      <c r="S13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1" s="135">
        <f ca="1">+IF(PROVEEDORES[[#This Row],[FECHA DE PAGO]]=0,TODAY()-PROVEEDORES[[#This Row],[FECHA DE FACTURACIÓN]]-PROVEEDORES[[#This Row],[PLAZO Días]],0)</f>
        <v>0</v>
      </c>
      <c r="U1331" s="135" t="str">
        <f>+VLOOKUP(PROVEEDORES[[#This Row],[PROVEEDOR]],Terceros!$A:$D,4,FALSE)</f>
        <v>2,5% con base</v>
      </c>
      <c r="V1331" s="135">
        <f>+YEAR(PROVEEDORES[[#This Row],[FECHA DE FACTURACIÓN]])</f>
        <v>2024</v>
      </c>
      <c r="W1331" s="135">
        <f>+MATCH(PROVEEDORES[[#This Row],[año facturado]],Retenciones!$1:$1,0)</f>
        <v>7</v>
      </c>
      <c r="X1331" s="136">
        <f>+VLOOKUP(PROVEEDORES[[#This Row],[ID RETENCION]],Retenciones!$A$1:$O$25,PROVEEDORES[[#This Row],[indicador de columna]],FALSE)</f>
        <v>1271000</v>
      </c>
      <c r="Y1331" s="137">
        <f>+VLOOKUP(PROVEEDORES[[#This Row],[ID RETENCION]],Retenciones!$A$1:$O$25,2,FALSE)</f>
        <v>2.5000000000000001E-2</v>
      </c>
      <c r="Z1331" s="126" t="b">
        <f>+OR(COUNTIF(PROVEEDORES[[#This Row],[PROVEEDOR]],"*"&amp;'Palabra que no opera y Listas d'!$A$2&amp;"*"))</f>
        <v>0</v>
      </c>
    </row>
    <row r="1332" spans="1:26" ht="27.75" customHeight="1" x14ac:dyDescent="0.25">
      <c r="A1332" s="141" t="str">
        <f>+IF(PROVEEDORES[[#This Row],[FECHA DE PAGO]]=PROVEEDORES[[#This Row],[FECHA DE FACTURACIÓN]],"DE CONTADO","CRÉDITO")</f>
        <v>DE CONTADO</v>
      </c>
      <c r="B1332" s="138" t="b">
        <f>+IF((PROVEEDORES[[#This Row],[FECHA DE PAGO]]-PROVEEDORES[[#This Row],[FECHA DE FACTURACIÓN]])&gt;PROVEEDORES[[#This Row],[PLAZO Días]],"PAGO VENCIDO")</f>
        <v>0</v>
      </c>
      <c r="C1332" s="138">
        <f>+VLOOKUP(PROVEEDORES[[#This Row],[PROVEEDOR]],TERCEROS_INFO[#All],2,FALSE)</f>
        <v>30</v>
      </c>
      <c r="D1332" s="139">
        <f>+SUMIFS(PROVEEDORES[Total],PROVEEDORES[PROVEEDOR],PROVEEDORES[[#This Row],[PROVEEDOR]],PROVEEDORES[FECHA DE PAGO],"")</f>
        <v>0</v>
      </c>
      <c r="E1332" s="140"/>
      <c r="F1332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1332" s="127">
        <v>45356</v>
      </c>
      <c r="H1332" s="123" t="s">
        <v>1863</v>
      </c>
      <c r="I1332" s="127">
        <v>45356</v>
      </c>
      <c r="J1332" s="124" t="s">
        <v>1790</v>
      </c>
      <c r="K1332" s="124" t="s">
        <v>1530</v>
      </c>
      <c r="L1332" s="124" t="s">
        <v>1534</v>
      </c>
      <c r="M1332" s="125">
        <v>8767497</v>
      </c>
      <c r="N1332" s="148">
        <v>0</v>
      </c>
      <c r="O1332" s="148">
        <v>0</v>
      </c>
      <c r="P1332" s="149">
        <v>0</v>
      </c>
      <c r="Q1332" s="148">
        <v>0</v>
      </c>
      <c r="R1332" s="150">
        <v>8767497</v>
      </c>
      <c r="S13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2" s="135">
        <f ca="1">+IF(PROVEEDORES[[#This Row],[FECHA DE PAGO]]=0,TODAY()-PROVEEDORES[[#This Row],[FECHA DE FACTURACIÓN]]-PROVEEDORES[[#This Row],[PLAZO Días]],0)</f>
        <v>0</v>
      </c>
      <c r="U1332" s="135">
        <f>+VLOOKUP(PROVEEDORES[[#This Row],[PROVEEDOR]],Terceros!$A:$D,4,FALSE)</f>
        <v>0</v>
      </c>
      <c r="V1332" s="135">
        <f>+YEAR(PROVEEDORES[[#This Row],[FECHA DE FACTURACIÓN]])</f>
        <v>2024</v>
      </c>
      <c r="W1332" s="135">
        <f>+MATCH(PROVEEDORES[[#This Row],[año facturado]],Retenciones!$1:$1,0)</f>
        <v>7</v>
      </c>
      <c r="X1332" s="136">
        <f>+VLOOKUP(PROVEEDORES[[#This Row],[ID RETENCION]],Retenciones!$A$1:$O$25,PROVEEDORES[[#This Row],[indicador de columna]],FALSE)</f>
        <v>0</v>
      </c>
      <c r="Y1332" s="137">
        <f>+VLOOKUP(PROVEEDORES[[#This Row],[ID RETENCION]],Retenciones!$A$1:$O$25,2,FALSE)</f>
        <v>0</v>
      </c>
      <c r="Z1332" s="126" t="b">
        <f>+OR(COUNTIF(PROVEEDORES[[#This Row],[PROVEEDOR]],"*"&amp;'Palabra que no opera y Listas d'!$A$2&amp;"*"))</f>
        <v>0</v>
      </c>
    </row>
    <row r="1333" spans="1:26" ht="27.75" customHeight="1" x14ac:dyDescent="0.25">
      <c r="A1333" s="141" t="str">
        <f>+IF(PROVEEDORES[[#This Row],[FECHA DE PAGO]]=PROVEEDORES[[#This Row],[FECHA DE FACTURACIÓN]],"DE CONTADO","CRÉDITO")</f>
        <v>DE CONTADO</v>
      </c>
      <c r="B1333" s="138" t="b">
        <f>+IF((PROVEEDORES[[#This Row],[FECHA DE PAGO]]-PROVEEDORES[[#This Row],[FECHA DE FACTURACIÓN]])&gt;PROVEEDORES[[#This Row],[PLAZO Días]],"PAGO VENCIDO")</f>
        <v>0</v>
      </c>
      <c r="C1333" s="138">
        <f>+VLOOKUP(PROVEEDORES[[#This Row],[PROVEEDOR]],TERCEROS_INFO[#All],2,FALSE)</f>
        <v>30</v>
      </c>
      <c r="D1333" s="139">
        <f>+SUMIFS(PROVEEDORES[Total],PROVEEDORES[PROVEEDOR],PROVEEDORES[[#This Row],[PROVEEDOR]],PROVEEDORES[FECHA DE PAGO],"")</f>
        <v>0</v>
      </c>
      <c r="E1333" s="140"/>
      <c r="F1333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1333" s="127">
        <v>45356</v>
      </c>
      <c r="H1333" s="123" t="s">
        <v>1863</v>
      </c>
      <c r="I1333" s="127">
        <v>45356</v>
      </c>
      <c r="J1333" s="124" t="s">
        <v>1791</v>
      </c>
      <c r="K1333" s="124" t="s">
        <v>1530</v>
      </c>
      <c r="L1333" s="124" t="s">
        <v>1534</v>
      </c>
      <c r="M1333" s="125">
        <v>178579</v>
      </c>
      <c r="N1333" s="148">
        <v>0</v>
      </c>
      <c r="O1333" s="148">
        <v>0</v>
      </c>
      <c r="P1333" s="149">
        <v>0</v>
      </c>
      <c r="Q1333" s="148">
        <v>0</v>
      </c>
      <c r="R1333" s="150">
        <v>178579</v>
      </c>
      <c r="S13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3" s="135">
        <f ca="1">+IF(PROVEEDORES[[#This Row],[FECHA DE PAGO]]=0,TODAY()-PROVEEDORES[[#This Row],[FECHA DE FACTURACIÓN]]-PROVEEDORES[[#This Row],[PLAZO Días]],0)</f>
        <v>0</v>
      </c>
      <c r="U1333" s="135">
        <f>+VLOOKUP(PROVEEDORES[[#This Row],[PROVEEDOR]],Terceros!$A:$D,4,FALSE)</f>
        <v>0</v>
      </c>
      <c r="V1333" s="135">
        <f>+YEAR(PROVEEDORES[[#This Row],[FECHA DE FACTURACIÓN]])</f>
        <v>2024</v>
      </c>
      <c r="W1333" s="135">
        <f>+MATCH(PROVEEDORES[[#This Row],[año facturado]],Retenciones!$1:$1,0)</f>
        <v>7</v>
      </c>
      <c r="X1333" s="136">
        <f>+VLOOKUP(PROVEEDORES[[#This Row],[ID RETENCION]],Retenciones!$A$1:$O$25,PROVEEDORES[[#This Row],[indicador de columna]],FALSE)</f>
        <v>0</v>
      </c>
      <c r="Y1333" s="137">
        <f>+VLOOKUP(PROVEEDORES[[#This Row],[ID RETENCION]],Retenciones!$A$1:$O$25,2,FALSE)</f>
        <v>0</v>
      </c>
      <c r="Z1333" s="126" t="b">
        <f>+OR(COUNTIF(PROVEEDORES[[#This Row],[PROVEEDOR]],"*"&amp;'Palabra que no opera y Listas d'!$A$2&amp;"*"))</f>
        <v>0</v>
      </c>
    </row>
    <row r="1334" spans="1:26" ht="27.75" customHeight="1" x14ac:dyDescent="0.25">
      <c r="A1334" s="141" t="str">
        <f>+IF(PROVEEDORES[[#This Row],[FECHA DE PAGO]]=PROVEEDORES[[#This Row],[FECHA DE FACTURACIÓN]],"DE CONTADO","CRÉDITO")</f>
        <v>CRÉDITO</v>
      </c>
      <c r="B1334" s="138" t="b">
        <f>+IF((PROVEEDORES[[#This Row],[FECHA DE PAGO]]-PROVEEDORES[[#This Row],[FECHA DE FACTURACIÓN]])&gt;PROVEEDORES[[#This Row],[PLAZO Días]],"PAGO VENCIDO")</f>
        <v>0</v>
      </c>
      <c r="C1334" s="138">
        <f>+VLOOKUP(PROVEEDORES[[#This Row],[PROVEEDOR]],TERCEROS_INFO[#All],2,FALSE)</f>
        <v>60</v>
      </c>
      <c r="D1334" s="139">
        <f>+SUMIFS(PROVEEDORES[Total],PROVEEDORES[PROVEEDOR],PROVEEDORES[[#This Row],[PROVEEDOR]],PROVEEDORES[FECHA DE PAGO],"")</f>
        <v>0</v>
      </c>
      <c r="E1334" s="140"/>
      <c r="F1334" s="138">
        <f>+VLOOKUP(PROVEEDORES[[#This Row],[PROVEEDOR]],
                       Terceros!$A:$F,
                       5,
                       FALSE)</f>
        <v>0</v>
      </c>
      <c r="G1334" s="127">
        <v>45357</v>
      </c>
      <c r="H1334" s="123" t="s">
        <v>1801</v>
      </c>
      <c r="I1334" s="127">
        <v>45308</v>
      </c>
      <c r="J1334" s="124" t="s">
        <v>1696</v>
      </c>
      <c r="K1334" s="124"/>
      <c r="L1334" s="124" t="s">
        <v>1395</v>
      </c>
      <c r="M1334" s="125">
        <v>70252</v>
      </c>
      <c r="N1334" s="148">
        <v>0</v>
      </c>
      <c r="O1334" s="148">
        <v>0</v>
      </c>
      <c r="P1334" s="149">
        <v>0</v>
      </c>
      <c r="Q1334" s="148">
        <v>0</v>
      </c>
      <c r="R1334" s="150">
        <v>70252</v>
      </c>
      <c r="S13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4" s="135">
        <f ca="1">+IF(PROVEEDORES[[#This Row],[FECHA DE PAGO]]=0,TODAY()-PROVEEDORES[[#This Row],[FECHA DE FACTURACIÓN]]-PROVEEDORES[[#This Row],[PLAZO Días]],0)</f>
        <v>0</v>
      </c>
      <c r="U1334" s="135">
        <f>+VLOOKUP(PROVEEDORES[[#This Row],[PROVEEDOR]],Terceros!$A:$D,4,FALSE)</f>
        <v>0</v>
      </c>
      <c r="V1334" s="135">
        <f>+YEAR(PROVEEDORES[[#This Row],[FECHA DE FACTURACIÓN]])</f>
        <v>2024</v>
      </c>
      <c r="W1334" s="135">
        <f>+MATCH(PROVEEDORES[[#This Row],[año facturado]],Retenciones!$1:$1,0)</f>
        <v>7</v>
      </c>
      <c r="X1334" s="136">
        <f>+VLOOKUP(PROVEEDORES[[#This Row],[ID RETENCION]],Retenciones!$A$1:$O$25,PROVEEDORES[[#This Row],[indicador de columna]],FALSE)</f>
        <v>0</v>
      </c>
      <c r="Y1334" s="137">
        <f>+VLOOKUP(PROVEEDORES[[#This Row],[ID RETENCION]],Retenciones!$A$1:$O$25,2,FALSE)</f>
        <v>0</v>
      </c>
      <c r="Z1334" s="126" t="b">
        <f>+OR(COUNTIF(PROVEEDORES[[#This Row],[PROVEEDOR]],"*"&amp;'Palabra que no opera y Listas d'!$A$2&amp;"*"))</f>
        <v>0</v>
      </c>
    </row>
    <row r="1335" spans="1:26" ht="27.75" customHeight="1" x14ac:dyDescent="0.25">
      <c r="A1335" s="141" t="str">
        <f>+IF(PROVEEDORES[[#This Row],[FECHA DE PAGO]]=PROVEEDORES[[#This Row],[FECHA DE FACTURACIÓN]],"DE CONTADO","CRÉDITO")</f>
        <v>CRÉDITO</v>
      </c>
      <c r="B1335" s="138" t="b">
        <f>+IF((PROVEEDORES[[#This Row],[FECHA DE PAGO]]-PROVEEDORES[[#This Row],[FECHA DE FACTURACIÓN]])&gt;PROVEEDORES[[#This Row],[PLAZO Días]],"PAGO VENCIDO")</f>
        <v>0</v>
      </c>
      <c r="C1335" s="138">
        <f>+VLOOKUP(PROVEEDORES[[#This Row],[PROVEEDOR]],TERCEROS_INFO[#All],2,FALSE)</f>
        <v>60</v>
      </c>
      <c r="D1335" s="139">
        <f>+SUMIFS(PROVEEDORES[Total],PROVEEDORES[PROVEEDOR],PROVEEDORES[[#This Row],[PROVEEDOR]],PROVEEDORES[FECHA DE PAGO],"")</f>
        <v>0</v>
      </c>
      <c r="E1335" s="140"/>
      <c r="F1335" s="138">
        <f>+VLOOKUP(PROVEEDORES[[#This Row],[PROVEEDOR]],
                       Terceros!$A:$F,
                       5,
                       FALSE)</f>
        <v>0</v>
      </c>
      <c r="G1335" s="127">
        <v>45357</v>
      </c>
      <c r="H1335" s="123" t="s">
        <v>1801</v>
      </c>
      <c r="I1335" s="127">
        <v>45310</v>
      </c>
      <c r="J1335" s="124" t="s">
        <v>1582</v>
      </c>
      <c r="K1335" s="124"/>
      <c r="L1335" s="124" t="s">
        <v>1395</v>
      </c>
      <c r="M1335" s="125">
        <v>82337</v>
      </c>
      <c r="N1335" s="148">
        <v>0</v>
      </c>
      <c r="O1335" s="148">
        <v>0</v>
      </c>
      <c r="P1335" s="149">
        <v>0</v>
      </c>
      <c r="Q1335" s="148">
        <v>0</v>
      </c>
      <c r="R1335" s="150">
        <v>82337</v>
      </c>
      <c r="S13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5" s="135">
        <f ca="1">+IF(PROVEEDORES[[#This Row],[FECHA DE PAGO]]=0,TODAY()-PROVEEDORES[[#This Row],[FECHA DE FACTURACIÓN]]-PROVEEDORES[[#This Row],[PLAZO Días]],0)</f>
        <v>0</v>
      </c>
      <c r="U1335" s="135">
        <f>+VLOOKUP(PROVEEDORES[[#This Row],[PROVEEDOR]],Terceros!$A:$D,4,FALSE)</f>
        <v>0</v>
      </c>
      <c r="V1335" s="135">
        <f>+YEAR(PROVEEDORES[[#This Row],[FECHA DE FACTURACIÓN]])</f>
        <v>2024</v>
      </c>
      <c r="W1335" s="135">
        <f>+MATCH(PROVEEDORES[[#This Row],[año facturado]],Retenciones!$1:$1,0)</f>
        <v>7</v>
      </c>
      <c r="X1335" s="136">
        <f>+VLOOKUP(PROVEEDORES[[#This Row],[ID RETENCION]],Retenciones!$A$1:$O$25,PROVEEDORES[[#This Row],[indicador de columna]],FALSE)</f>
        <v>0</v>
      </c>
      <c r="Y1335" s="137">
        <f>+VLOOKUP(PROVEEDORES[[#This Row],[ID RETENCION]],Retenciones!$A$1:$O$25,2,FALSE)</f>
        <v>0</v>
      </c>
      <c r="Z1335" s="126" t="b">
        <f>+OR(COUNTIF(PROVEEDORES[[#This Row],[PROVEEDOR]],"*"&amp;'Palabra que no opera y Listas d'!$A$2&amp;"*"))</f>
        <v>0</v>
      </c>
    </row>
    <row r="1336" spans="1:26" ht="27.75" customHeight="1" x14ac:dyDescent="0.25">
      <c r="A1336" s="141" t="str">
        <f>+IF(PROVEEDORES[[#This Row],[FECHA DE PAGO]]=PROVEEDORES[[#This Row],[FECHA DE FACTURACIÓN]],"DE CONTADO","CRÉDITO")</f>
        <v>CRÉDITO</v>
      </c>
      <c r="B1336" s="138" t="b">
        <f>+IF((PROVEEDORES[[#This Row],[FECHA DE PAGO]]-PROVEEDORES[[#This Row],[FECHA DE FACTURACIÓN]])&gt;PROVEEDORES[[#This Row],[PLAZO Días]],"PAGO VENCIDO")</f>
        <v>0</v>
      </c>
      <c r="C1336" s="138">
        <f>+VLOOKUP(PROVEEDORES[[#This Row],[PROVEEDOR]],TERCEROS_INFO[#All],2,FALSE)</f>
        <v>60</v>
      </c>
      <c r="D1336" s="139">
        <f>+SUMIFS(PROVEEDORES[Total],PROVEEDORES[PROVEEDOR],PROVEEDORES[[#This Row],[PROVEEDOR]],PROVEEDORES[FECHA DE PAGO],"")</f>
        <v>0</v>
      </c>
      <c r="E1336" s="140"/>
      <c r="F1336" s="138">
        <f>+VLOOKUP(PROVEEDORES[[#This Row],[PROVEEDOR]],
                       Terceros!$A:$F,
                       5,
                       FALSE)</f>
        <v>0</v>
      </c>
      <c r="G1336" s="127">
        <v>45357</v>
      </c>
      <c r="H1336" s="123" t="s">
        <v>1801</v>
      </c>
      <c r="I1336" s="127">
        <v>45324</v>
      </c>
      <c r="J1336" s="124" t="s">
        <v>1582</v>
      </c>
      <c r="K1336" s="124"/>
      <c r="L1336" s="124" t="s">
        <v>1395</v>
      </c>
      <c r="M1336" s="125">
        <v>313916</v>
      </c>
      <c r="N1336" s="148">
        <v>0</v>
      </c>
      <c r="O1336" s="148">
        <v>0</v>
      </c>
      <c r="P1336" s="149">
        <v>0</v>
      </c>
      <c r="Q1336" s="148">
        <v>0</v>
      </c>
      <c r="R1336" s="150">
        <v>313916</v>
      </c>
      <c r="S13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6" s="135">
        <f ca="1">+IF(PROVEEDORES[[#This Row],[FECHA DE PAGO]]=0,TODAY()-PROVEEDORES[[#This Row],[FECHA DE FACTURACIÓN]]-PROVEEDORES[[#This Row],[PLAZO Días]],0)</f>
        <v>0</v>
      </c>
      <c r="U1336" s="135">
        <f>+VLOOKUP(PROVEEDORES[[#This Row],[PROVEEDOR]],Terceros!$A:$D,4,FALSE)</f>
        <v>0</v>
      </c>
      <c r="V1336" s="135">
        <f>+YEAR(PROVEEDORES[[#This Row],[FECHA DE FACTURACIÓN]])</f>
        <v>2024</v>
      </c>
      <c r="W1336" s="135">
        <f>+MATCH(PROVEEDORES[[#This Row],[año facturado]],Retenciones!$1:$1,0)</f>
        <v>7</v>
      </c>
      <c r="X1336" s="136">
        <f>+VLOOKUP(PROVEEDORES[[#This Row],[ID RETENCION]],Retenciones!$A$1:$O$25,PROVEEDORES[[#This Row],[indicador de columna]],FALSE)</f>
        <v>0</v>
      </c>
      <c r="Y1336" s="137">
        <f>+VLOOKUP(PROVEEDORES[[#This Row],[ID RETENCION]],Retenciones!$A$1:$O$25,2,FALSE)</f>
        <v>0</v>
      </c>
      <c r="Z1336" s="126" t="b">
        <f>+OR(COUNTIF(PROVEEDORES[[#This Row],[PROVEEDOR]],"*"&amp;'Palabra que no opera y Listas d'!$A$2&amp;"*"))</f>
        <v>0</v>
      </c>
    </row>
    <row r="1337" spans="1:26" ht="27.75" customHeight="1" x14ac:dyDescent="0.25">
      <c r="A1337" s="141" t="str">
        <f>+IF(PROVEEDORES[[#This Row],[FECHA DE PAGO]]=PROVEEDORES[[#This Row],[FECHA DE FACTURACIÓN]],"DE CONTADO","CRÉDITO")</f>
        <v>CRÉDITO</v>
      </c>
      <c r="B1337" s="138" t="str">
        <f>+IF((PROVEEDORES[[#This Row],[FECHA DE PAGO]]-PROVEEDORES[[#This Row],[FECHA DE FACTURACIÓN]])&gt;PROVEEDORES[[#This Row],[PLAZO Días]],"PAGO VENCIDO")</f>
        <v>PAGO VENCIDO</v>
      </c>
      <c r="C1337" s="138">
        <f>+VLOOKUP(PROVEEDORES[[#This Row],[PROVEEDOR]],TERCEROS_INFO[#All],2,FALSE)</f>
        <v>30</v>
      </c>
      <c r="D1337" s="139">
        <f>+SUMIFS(PROVEEDORES[Total],PROVEEDORES[PROVEEDOR],PROVEEDORES[[#This Row],[PROVEEDOR]],PROVEEDORES[FECHA DE PAGO],"")</f>
        <v>0</v>
      </c>
      <c r="E1337" s="140"/>
      <c r="F1337" s="138">
        <f>+VLOOKUP(PROVEEDORES[[#This Row],[PROVEEDOR]],
                       Terceros!$A:$F,
                       5,
                       FALSE)</f>
        <v>0</v>
      </c>
      <c r="G1337" s="127">
        <v>45357</v>
      </c>
      <c r="H1337" s="123" t="s">
        <v>1122</v>
      </c>
      <c r="I1337" s="127">
        <v>45324</v>
      </c>
      <c r="J1337" s="124" t="s">
        <v>1503</v>
      </c>
      <c r="K1337" s="124" t="s">
        <v>1530</v>
      </c>
      <c r="L1337" s="124" t="s">
        <v>1395</v>
      </c>
      <c r="M1337" s="125">
        <v>830</v>
      </c>
      <c r="N1337" s="148">
        <v>0</v>
      </c>
      <c r="O1337" s="148">
        <v>0</v>
      </c>
      <c r="P1337" s="149">
        <v>0</v>
      </c>
      <c r="Q1337" s="148">
        <v>0</v>
      </c>
      <c r="R1337" s="150">
        <v>830</v>
      </c>
      <c r="S13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7" s="135">
        <f ca="1">+IF(PROVEEDORES[[#This Row],[FECHA DE PAGO]]=0,TODAY()-PROVEEDORES[[#This Row],[FECHA DE FACTURACIÓN]]-PROVEEDORES[[#This Row],[PLAZO Días]],0)</f>
        <v>0</v>
      </c>
      <c r="U1337" s="135">
        <f>+VLOOKUP(PROVEEDORES[[#This Row],[PROVEEDOR]],Terceros!$A:$D,4,FALSE)</f>
        <v>0</v>
      </c>
      <c r="V1337" s="135">
        <f>+YEAR(PROVEEDORES[[#This Row],[FECHA DE FACTURACIÓN]])</f>
        <v>2024</v>
      </c>
      <c r="W1337" s="135">
        <f>+MATCH(PROVEEDORES[[#This Row],[año facturado]],Retenciones!$1:$1,0)</f>
        <v>7</v>
      </c>
      <c r="X1337" s="136">
        <f>+VLOOKUP(PROVEEDORES[[#This Row],[ID RETENCION]],Retenciones!$A$1:$O$25,PROVEEDORES[[#This Row],[indicador de columna]],FALSE)</f>
        <v>0</v>
      </c>
      <c r="Y1337" s="137">
        <f>+VLOOKUP(PROVEEDORES[[#This Row],[ID RETENCION]],Retenciones!$A$1:$O$25,2,FALSE)</f>
        <v>0</v>
      </c>
      <c r="Z1337" s="126" t="b">
        <f>+OR(COUNTIF(PROVEEDORES[[#This Row],[PROVEEDOR]],"*"&amp;'Palabra que no opera y Listas d'!$A$2&amp;"*"))</f>
        <v>0</v>
      </c>
    </row>
    <row r="1338" spans="1:26" ht="27.75" customHeight="1" x14ac:dyDescent="0.25">
      <c r="A1338" s="141" t="str">
        <f>+IF(PROVEEDORES[[#This Row],[FECHA DE PAGO]]=PROVEEDORES[[#This Row],[FECHA DE FACTURACIÓN]],"DE CONTADO","CRÉDITO")</f>
        <v>CRÉDITO</v>
      </c>
      <c r="B1338" s="138" t="str">
        <f>+IF((PROVEEDORES[[#This Row],[FECHA DE PAGO]]-PROVEEDORES[[#This Row],[FECHA DE FACTURACIÓN]])&gt;PROVEEDORES[[#This Row],[PLAZO Días]],"PAGO VENCIDO")</f>
        <v>PAGO VENCIDO</v>
      </c>
      <c r="C1338" s="138">
        <f>+VLOOKUP(PROVEEDORES[[#This Row],[PROVEEDOR]],TERCEROS_INFO[#All],2,FALSE)</f>
        <v>30</v>
      </c>
      <c r="D1338" s="139">
        <f>+SUMIFS(PROVEEDORES[Total],PROVEEDORES[PROVEEDOR],PROVEEDORES[[#This Row],[PROVEEDOR]],PROVEEDORES[FECHA DE PAGO],"")</f>
        <v>0</v>
      </c>
      <c r="E1338" s="140"/>
      <c r="F1338" s="138">
        <f>+VLOOKUP(PROVEEDORES[[#This Row],[PROVEEDOR]],
                       Terceros!$A:$F,
                       5,
                       FALSE)</f>
        <v>0</v>
      </c>
      <c r="G1338" s="127">
        <v>45357</v>
      </c>
      <c r="H1338" s="123" t="s">
        <v>1122</v>
      </c>
      <c r="I1338" s="127">
        <v>45324</v>
      </c>
      <c r="J1338" s="124" t="s">
        <v>1503</v>
      </c>
      <c r="K1338" s="124" t="s">
        <v>1530</v>
      </c>
      <c r="L1338" s="124" t="s">
        <v>1395</v>
      </c>
      <c r="M1338" s="125">
        <v>70252</v>
      </c>
      <c r="N1338" s="148">
        <v>0</v>
      </c>
      <c r="O1338" s="148">
        <v>0</v>
      </c>
      <c r="P1338" s="149">
        <v>0</v>
      </c>
      <c r="Q1338" s="148">
        <v>0</v>
      </c>
      <c r="R1338" s="150">
        <v>70252</v>
      </c>
      <c r="S13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8" s="135">
        <f ca="1">+IF(PROVEEDORES[[#This Row],[FECHA DE PAGO]]=0,TODAY()-PROVEEDORES[[#This Row],[FECHA DE FACTURACIÓN]]-PROVEEDORES[[#This Row],[PLAZO Días]],0)</f>
        <v>0</v>
      </c>
      <c r="U1338" s="135">
        <f>+VLOOKUP(PROVEEDORES[[#This Row],[PROVEEDOR]],Terceros!$A:$D,4,FALSE)</f>
        <v>0</v>
      </c>
      <c r="V1338" s="135">
        <f>+YEAR(PROVEEDORES[[#This Row],[FECHA DE FACTURACIÓN]])</f>
        <v>2024</v>
      </c>
      <c r="W1338" s="135">
        <f>+MATCH(PROVEEDORES[[#This Row],[año facturado]],Retenciones!$1:$1,0)</f>
        <v>7</v>
      </c>
      <c r="X1338" s="136">
        <f>+VLOOKUP(PROVEEDORES[[#This Row],[ID RETENCION]],Retenciones!$A$1:$O$25,PROVEEDORES[[#This Row],[indicador de columna]],FALSE)</f>
        <v>0</v>
      </c>
      <c r="Y1338" s="137">
        <f>+VLOOKUP(PROVEEDORES[[#This Row],[ID RETENCION]],Retenciones!$A$1:$O$25,2,FALSE)</f>
        <v>0</v>
      </c>
      <c r="Z1338" s="126" t="b">
        <f>+OR(COUNTIF(PROVEEDORES[[#This Row],[PROVEEDOR]],"*"&amp;'Palabra que no opera y Listas d'!$A$2&amp;"*"))</f>
        <v>0</v>
      </c>
    </row>
    <row r="1339" spans="1:26" ht="27.75" customHeight="1" x14ac:dyDescent="0.25">
      <c r="A1339" s="141" t="str">
        <f>+IF(PROVEEDORES[[#This Row],[FECHA DE PAGO]]=PROVEEDORES[[#This Row],[FECHA DE FACTURACIÓN]],"DE CONTADO","CRÉDITO")</f>
        <v>CRÉDITO</v>
      </c>
      <c r="B1339" s="138" t="str">
        <f>+IF((PROVEEDORES[[#This Row],[FECHA DE PAGO]]-PROVEEDORES[[#This Row],[FECHA DE FACTURACIÓN]])&gt;PROVEEDORES[[#This Row],[PLAZO Días]],"PAGO VENCIDO")</f>
        <v>PAGO VENCIDO</v>
      </c>
      <c r="C1339" s="138">
        <f>+VLOOKUP(PROVEEDORES[[#This Row],[PROVEEDOR]],TERCEROS_INFO[#All],2,FALSE)</f>
        <v>30</v>
      </c>
      <c r="D1339" s="139">
        <f>+SUMIFS(PROVEEDORES[Total],PROVEEDORES[PROVEEDOR],PROVEEDORES[[#This Row],[PROVEEDOR]],PROVEEDORES[FECHA DE PAGO],"")</f>
        <v>0</v>
      </c>
      <c r="E1339" s="140"/>
      <c r="F1339" s="138">
        <f>+VLOOKUP(PROVEEDORES[[#This Row],[PROVEEDOR]],
                       Terceros!$A:$F,
                       5,
                       FALSE)</f>
        <v>0</v>
      </c>
      <c r="G1339" s="127">
        <v>45357</v>
      </c>
      <c r="H1339" s="123" t="s">
        <v>1122</v>
      </c>
      <c r="I1339" s="127">
        <v>45324</v>
      </c>
      <c r="J1339" s="124" t="s">
        <v>1503</v>
      </c>
      <c r="K1339" s="124" t="s">
        <v>1530</v>
      </c>
      <c r="L1339" s="124" t="s">
        <v>1395</v>
      </c>
      <c r="M1339" s="125">
        <v>81507</v>
      </c>
      <c r="N1339" s="148">
        <v>0</v>
      </c>
      <c r="O1339" s="148">
        <v>0</v>
      </c>
      <c r="P1339" s="149">
        <v>0</v>
      </c>
      <c r="Q1339" s="148">
        <v>0</v>
      </c>
      <c r="R1339" s="150">
        <v>81507</v>
      </c>
      <c r="S13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39" s="135">
        <f ca="1">+IF(PROVEEDORES[[#This Row],[FECHA DE PAGO]]=0,TODAY()-PROVEEDORES[[#This Row],[FECHA DE FACTURACIÓN]]-PROVEEDORES[[#This Row],[PLAZO Días]],0)</f>
        <v>0</v>
      </c>
      <c r="U1339" s="135">
        <f>+VLOOKUP(PROVEEDORES[[#This Row],[PROVEEDOR]],Terceros!$A:$D,4,FALSE)</f>
        <v>0</v>
      </c>
      <c r="V1339" s="135">
        <f>+YEAR(PROVEEDORES[[#This Row],[FECHA DE FACTURACIÓN]])</f>
        <v>2024</v>
      </c>
      <c r="W1339" s="135">
        <f>+MATCH(PROVEEDORES[[#This Row],[año facturado]],Retenciones!$1:$1,0)</f>
        <v>7</v>
      </c>
      <c r="X1339" s="136">
        <f>+VLOOKUP(PROVEEDORES[[#This Row],[ID RETENCION]],Retenciones!$A$1:$O$25,PROVEEDORES[[#This Row],[indicador de columna]],FALSE)</f>
        <v>0</v>
      </c>
      <c r="Y1339" s="137">
        <f>+VLOOKUP(PROVEEDORES[[#This Row],[ID RETENCION]],Retenciones!$A$1:$O$25,2,FALSE)</f>
        <v>0</v>
      </c>
      <c r="Z1339" s="126" t="b">
        <f>+OR(COUNTIF(PROVEEDORES[[#This Row],[PROVEEDOR]],"*"&amp;'Palabra que no opera y Listas d'!$A$2&amp;"*"))</f>
        <v>0</v>
      </c>
    </row>
    <row r="1340" spans="1:26" ht="27.75" customHeight="1" x14ac:dyDescent="0.25">
      <c r="A1340" s="141" t="str">
        <f>+IF(PROVEEDORES[[#This Row],[FECHA DE PAGO]]=PROVEEDORES[[#This Row],[FECHA DE FACTURACIÓN]],"DE CONTADO","CRÉDITO")</f>
        <v>CRÉDITO</v>
      </c>
      <c r="B1340" s="138" t="str">
        <f>+IF((PROVEEDORES[[#This Row],[FECHA DE PAGO]]-PROVEEDORES[[#This Row],[FECHA DE FACTURACIÓN]])&gt;PROVEEDORES[[#This Row],[PLAZO Días]],"PAGO VENCIDO")</f>
        <v>PAGO VENCIDO</v>
      </c>
      <c r="C1340" s="138">
        <f>+VLOOKUP(PROVEEDORES[[#This Row],[PROVEEDOR]],TERCEROS_INFO[#All],2,FALSE)</f>
        <v>30</v>
      </c>
      <c r="D1340" s="139">
        <f>+SUMIFS(PROVEEDORES[Total],PROVEEDORES[PROVEEDOR],PROVEEDORES[[#This Row],[PROVEEDOR]],PROVEEDORES[FECHA DE PAGO],"")</f>
        <v>0</v>
      </c>
      <c r="E1340" s="140"/>
      <c r="F1340" s="138">
        <f>+VLOOKUP(PROVEEDORES[[#This Row],[PROVEEDOR]],
                       Terceros!$A:$F,
                       5,
                       FALSE)</f>
        <v>0</v>
      </c>
      <c r="G1340" s="127">
        <v>45357</v>
      </c>
      <c r="H1340" s="123" t="s">
        <v>1122</v>
      </c>
      <c r="I1340" s="127">
        <v>45324</v>
      </c>
      <c r="J1340" s="124" t="s">
        <v>1503</v>
      </c>
      <c r="K1340" s="124" t="s">
        <v>1530</v>
      </c>
      <c r="L1340" s="124" t="s">
        <v>1395</v>
      </c>
      <c r="M1340" s="125">
        <v>343916</v>
      </c>
      <c r="N1340" s="148">
        <v>0</v>
      </c>
      <c r="O1340" s="148">
        <v>0</v>
      </c>
      <c r="P1340" s="149">
        <v>0</v>
      </c>
      <c r="Q1340" s="148">
        <v>0</v>
      </c>
      <c r="R1340" s="150">
        <v>343916</v>
      </c>
      <c r="S13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0" s="135">
        <f ca="1">+IF(PROVEEDORES[[#This Row],[FECHA DE PAGO]]=0,TODAY()-PROVEEDORES[[#This Row],[FECHA DE FACTURACIÓN]]-PROVEEDORES[[#This Row],[PLAZO Días]],0)</f>
        <v>0</v>
      </c>
      <c r="U1340" s="135">
        <f>+VLOOKUP(PROVEEDORES[[#This Row],[PROVEEDOR]],Terceros!$A:$D,4,FALSE)</f>
        <v>0</v>
      </c>
      <c r="V1340" s="135">
        <f>+YEAR(PROVEEDORES[[#This Row],[FECHA DE FACTURACIÓN]])</f>
        <v>2024</v>
      </c>
      <c r="W1340" s="135">
        <f>+MATCH(PROVEEDORES[[#This Row],[año facturado]],Retenciones!$1:$1,0)</f>
        <v>7</v>
      </c>
      <c r="X1340" s="136">
        <f>+VLOOKUP(PROVEEDORES[[#This Row],[ID RETENCION]],Retenciones!$A$1:$O$25,PROVEEDORES[[#This Row],[indicador de columna]],FALSE)</f>
        <v>0</v>
      </c>
      <c r="Y1340" s="137">
        <f>+VLOOKUP(PROVEEDORES[[#This Row],[ID RETENCION]],Retenciones!$A$1:$O$25,2,FALSE)</f>
        <v>0</v>
      </c>
      <c r="Z1340" s="126" t="b">
        <f>+OR(COUNTIF(PROVEEDORES[[#This Row],[PROVEEDOR]],"*"&amp;'Palabra que no opera y Listas d'!$A$2&amp;"*"))</f>
        <v>0</v>
      </c>
    </row>
    <row r="1341" spans="1:26" ht="27.75" customHeight="1" x14ac:dyDescent="0.25">
      <c r="A1341" s="141" t="str">
        <f>+IF(PROVEEDORES[[#This Row],[FECHA DE PAGO]]=PROVEEDORES[[#This Row],[FECHA DE FACTURACIÓN]],"DE CONTADO","CRÉDITO")</f>
        <v>DE CONTADO</v>
      </c>
      <c r="B1341" s="138" t="b">
        <f>+IF((PROVEEDORES[[#This Row],[FECHA DE PAGO]]-PROVEEDORES[[#This Row],[FECHA DE FACTURACIÓN]])&gt;PROVEEDORES[[#This Row],[PLAZO Días]],"PAGO VENCIDO")</f>
        <v>0</v>
      </c>
      <c r="C1341" s="138">
        <f>+VLOOKUP(PROVEEDORES[[#This Row],[PROVEEDOR]],TERCEROS_INFO[#All],2,FALSE)</f>
        <v>30</v>
      </c>
      <c r="D1341" s="139">
        <f>+SUMIFS(PROVEEDORES[Total],PROVEEDORES[PROVEEDOR],PROVEEDORES[[#This Row],[PROVEEDOR]],PROVEEDORES[FECHA DE PAGO],"")</f>
        <v>0</v>
      </c>
      <c r="E1341" s="140"/>
      <c r="F1341" s="138" t="str">
        <f>+VLOOKUP(PROVEEDORES[[#This Row],[PROVEEDOR]],
                       Terceros!$A:$F,
                       5,
                       FALSE)</f>
        <v/>
      </c>
      <c r="G1341" s="127">
        <v>45357</v>
      </c>
      <c r="H1341" s="123" t="s">
        <v>1824</v>
      </c>
      <c r="I1341" s="127">
        <v>45357</v>
      </c>
      <c r="J1341" s="124"/>
      <c r="K1341" s="124" t="s">
        <v>1530</v>
      </c>
      <c r="L1341" s="124" t="s">
        <v>1395</v>
      </c>
      <c r="M1341" s="125">
        <v>1259000</v>
      </c>
      <c r="N1341" s="148">
        <v>0</v>
      </c>
      <c r="O1341" s="148">
        <v>0</v>
      </c>
      <c r="P1341" s="149">
        <v>0</v>
      </c>
      <c r="Q1341" s="148">
        <v>0</v>
      </c>
      <c r="R1341" s="150">
        <v>1259000</v>
      </c>
      <c r="S13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1" s="135">
        <f ca="1">+IF(PROVEEDORES[[#This Row],[FECHA DE PAGO]]=0,TODAY()-PROVEEDORES[[#This Row],[FECHA DE FACTURACIÓN]]-PROVEEDORES[[#This Row],[PLAZO Días]],0)</f>
        <v>0</v>
      </c>
      <c r="U1341" s="135">
        <f>+VLOOKUP(PROVEEDORES[[#This Row],[PROVEEDOR]],Terceros!$A:$D,4,FALSE)</f>
        <v>0</v>
      </c>
      <c r="V1341" s="135">
        <f>+YEAR(PROVEEDORES[[#This Row],[FECHA DE FACTURACIÓN]])</f>
        <v>2024</v>
      </c>
      <c r="W1341" s="135">
        <f>+MATCH(PROVEEDORES[[#This Row],[año facturado]],Retenciones!$1:$1,0)</f>
        <v>7</v>
      </c>
      <c r="X1341" s="136">
        <f>+VLOOKUP(PROVEEDORES[[#This Row],[ID RETENCION]],Retenciones!$A$1:$O$25,PROVEEDORES[[#This Row],[indicador de columna]],FALSE)</f>
        <v>0</v>
      </c>
      <c r="Y1341" s="137">
        <f>+VLOOKUP(PROVEEDORES[[#This Row],[ID RETENCION]],Retenciones!$A$1:$O$25,2,FALSE)</f>
        <v>0</v>
      </c>
      <c r="Z1341" s="126" t="b">
        <f>+OR(COUNTIF(PROVEEDORES[[#This Row],[PROVEEDOR]],"*"&amp;'Palabra que no opera y Listas d'!$A$2&amp;"*"))</f>
        <v>0</v>
      </c>
    </row>
    <row r="1342" spans="1:26" ht="27.75" customHeight="1" x14ac:dyDescent="0.25">
      <c r="A1342" s="141" t="str">
        <f>+IF(PROVEEDORES[[#This Row],[FECHA DE PAGO]]=PROVEEDORES[[#This Row],[FECHA DE FACTURACIÓN]],"DE CONTADO","CRÉDITO")</f>
        <v>CRÉDITO</v>
      </c>
      <c r="B1342" s="138" t="b">
        <f>+IF((PROVEEDORES[[#This Row],[FECHA DE PAGO]]-PROVEEDORES[[#This Row],[FECHA DE FACTURACIÓN]])&gt;PROVEEDORES[[#This Row],[PLAZO Días]],"PAGO VENCIDO")</f>
        <v>0</v>
      </c>
      <c r="C1342" s="138">
        <f>+VLOOKUP(PROVEEDORES[[#This Row],[PROVEEDOR]],TERCEROS_INFO[#All],2,FALSE)</f>
        <v>60</v>
      </c>
      <c r="D1342" s="139">
        <f>+SUMIFS(PROVEEDORES[Total],PROVEEDORES[PROVEEDOR],PROVEEDORES[[#This Row],[PROVEEDOR]],PROVEEDORES[FECHA DE PAGO],"")</f>
        <v>0</v>
      </c>
      <c r="E1342" s="140"/>
      <c r="F1342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1342" s="127">
        <v>45358</v>
      </c>
      <c r="H1342" s="123" t="s">
        <v>65</v>
      </c>
      <c r="I1342" s="127">
        <v>45357</v>
      </c>
      <c r="J1342" s="124" t="s">
        <v>1644</v>
      </c>
      <c r="K1342" s="124" t="s">
        <v>1530</v>
      </c>
      <c r="L1342" s="124" t="s">
        <v>1395</v>
      </c>
      <c r="M1342" s="125">
        <v>8000000</v>
      </c>
      <c r="N1342" s="148">
        <v>1520000</v>
      </c>
      <c r="O1342" s="148">
        <v>0</v>
      </c>
      <c r="P1342" s="149">
        <v>2.5000000000000001E-2</v>
      </c>
      <c r="Q1342" s="148">
        <v>200000</v>
      </c>
      <c r="R1342" s="150">
        <v>9320000</v>
      </c>
      <c r="S13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2" s="135">
        <f ca="1">+IF(PROVEEDORES[[#This Row],[FECHA DE PAGO]]=0,TODAY()-PROVEEDORES[[#This Row],[FECHA DE FACTURACIÓN]]-PROVEEDORES[[#This Row],[PLAZO Días]],0)</f>
        <v>0</v>
      </c>
      <c r="U1342" s="135" t="str">
        <f>+VLOOKUP(PROVEEDORES[[#This Row],[PROVEEDOR]],Terceros!$A:$D,4,FALSE)</f>
        <v>2,5% con base</v>
      </c>
      <c r="V1342" s="135">
        <f>+YEAR(PROVEEDORES[[#This Row],[FECHA DE FACTURACIÓN]])</f>
        <v>2024</v>
      </c>
      <c r="W1342" s="135">
        <f>+MATCH(PROVEEDORES[[#This Row],[año facturado]],Retenciones!$1:$1,0)</f>
        <v>7</v>
      </c>
      <c r="X1342" s="136">
        <f>+VLOOKUP(PROVEEDORES[[#This Row],[ID RETENCION]],Retenciones!$A$1:$O$25,PROVEEDORES[[#This Row],[indicador de columna]],FALSE)</f>
        <v>1271000</v>
      </c>
      <c r="Y1342" s="137">
        <f>+VLOOKUP(PROVEEDORES[[#This Row],[ID RETENCION]],Retenciones!$A$1:$O$25,2,FALSE)</f>
        <v>2.5000000000000001E-2</v>
      </c>
      <c r="Z1342" s="126" t="b">
        <f>+OR(COUNTIF(PROVEEDORES[[#This Row],[PROVEEDOR]],"*"&amp;'Palabra que no opera y Listas d'!$A$2&amp;"*"))</f>
        <v>0</v>
      </c>
    </row>
    <row r="1343" spans="1:26" ht="27.75" customHeight="1" x14ac:dyDescent="0.25">
      <c r="A1343" s="141" t="str">
        <f>+IF(PROVEEDORES[[#This Row],[FECHA DE PAGO]]=PROVEEDORES[[#This Row],[FECHA DE FACTURACIÓN]],"DE CONTADO","CRÉDITO")</f>
        <v>DE CONTADO</v>
      </c>
      <c r="B1343" s="138" t="b">
        <f>+IF((PROVEEDORES[[#This Row],[FECHA DE PAGO]]-PROVEEDORES[[#This Row],[FECHA DE FACTURACIÓN]])&gt;PROVEEDORES[[#This Row],[PLAZO Días]],"PAGO VENCIDO")</f>
        <v>0</v>
      </c>
      <c r="C1343" s="138">
        <f>+VLOOKUP(PROVEEDORES[[#This Row],[PROVEEDOR]],TERCEROS_INFO[#All],2,FALSE)</f>
        <v>30</v>
      </c>
      <c r="D1343" s="139">
        <f>+SUMIFS(PROVEEDORES[Total],PROVEEDORES[PROVEEDOR],PROVEEDORES[[#This Row],[PROVEEDOR]],PROVEEDORES[FECHA DE PAGO],"")</f>
        <v>0</v>
      </c>
      <c r="E1343" s="140"/>
      <c r="F1343" s="138" t="str">
        <f>+VLOOKUP(PROVEEDORES[[#This Row],[PROVEEDOR]],
                       Terceros!$A:$F,
                       5,
                       FALSE)</f>
        <v/>
      </c>
      <c r="G1343" s="127">
        <v>45358</v>
      </c>
      <c r="H1343" s="123" t="s">
        <v>1824</v>
      </c>
      <c r="I1343" s="127">
        <v>45358</v>
      </c>
      <c r="J1343" s="124"/>
      <c r="K1343" s="124" t="s">
        <v>1530</v>
      </c>
      <c r="L1343" s="124" t="s">
        <v>1395</v>
      </c>
      <c r="M1343" s="125">
        <v>1334700</v>
      </c>
      <c r="N1343" s="148">
        <v>0</v>
      </c>
      <c r="O1343" s="148">
        <v>0</v>
      </c>
      <c r="P1343" s="149">
        <v>0</v>
      </c>
      <c r="Q1343" s="148">
        <v>0</v>
      </c>
      <c r="R1343" s="150">
        <v>1334700</v>
      </c>
      <c r="S13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3" s="135">
        <f ca="1">+IF(PROVEEDORES[[#This Row],[FECHA DE PAGO]]=0,TODAY()-PROVEEDORES[[#This Row],[FECHA DE FACTURACIÓN]]-PROVEEDORES[[#This Row],[PLAZO Días]],0)</f>
        <v>0</v>
      </c>
      <c r="U1343" s="135">
        <f>+VLOOKUP(PROVEEDORES[[#This Row],[PROVEEDOR]],Terceros!$A:$D,4,FALSE)</f>
        <v>0</v>
      </c>
      <c r="V1343" s="135">
        <f>+YEAR(PROVEEDORES[[#This Row],[FECHA DE FACTURACIÓN]])</f>
        <v>2024</v>
      </c>
      <c r="W1343" s="135">
        <f>+MATCH(PROVEEDORES[[#This Row],[año facturado]],Retenciones!$1:$1,0)</f>
        <v>7</v>
      </c>
      <c r="X1343" s="136">
        <f>+VLOOKUP(PROVEEDORES[[#This Row],[ID RETENCION]],Retenciones!$A$1:$O$25,PROVEEDORES[[#This Row],[indicador de columna]],FALSE)</f>
        <v>0</v>
      </c>
      <c r="Y1343" s="137">
        <f>+VLOOKUP(PROVEEDORES[[#This Row],[ID RETENCION]],Retenciones!$A$1:$O$25,2,FALSE)</f>
        <v>0</v>
      </c>
      <c r="Z1343" s="126" t="b">
        <f>+OR(COUNTIF(PROVEEDORES[[#This Row],[PROVEEDOR]],"*"&amp;'Palabra que no opera y Listas d'!$A$2&amp;"*"))</f>
        <v>0</v>
      </c>
    </row>
    <row r="1344" spans="1:26" ht="27.75" customHeight="1" x14ac:dyDescent="0.25">
      <c r="A1344" s="141" t="str">
        <f>+IF(PROVEEDORES[[#This Row],[FECHA DE PAGO]]=PROVEEDORES[[#This Row],[FECHA DE FACTURACIÓN]],"DE CONTADO","CRÉDITO")</f>
        <v>CRÉDITO</v>
      </c>
      <c r="B1344" s="138" t="b">
        <f>+IF((PROVEEDORES[[#This Row],[FECHA DE PAGO]]-PROVEEDORES[[#This Row],[FECHA DE FACTURACIÓN]])&gt;PROVEEDORES[[#This Row],[PLAZO Días]],"PAGO VENCIDO")</f>
        <v>0</v>
      </c>
      <c r="C1344" s="138">
        <f>+VLOOKUP(PROVEEDORES[[#This Row],[PROVEEDOR]],TERCEROS_INFO[#All],2,FALSE)</f>
        <v>180</v>
      </c>
      <c r="D1344" s="139">
        <f>+SUMIFS(PROVEEDORES[Total],PROVEEDORES[PROVEEDOR],PROVEEDORES[[#This Row],[PROVEEDOR]],PROVEEDORES[FECHA DE PAGO],"")</f>
        <v>0</v>
      </c>
      <c r="E1344" s="140"/>
      <c r="F1344" s="138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1344" s="127">
        <v>45359</v>
      </c>
      <c r="H1344" s="123" t="s">
        <v>370</v>
      </c>
      <c r="I1344" s="127">
        <v>45330</v>
      </c>
      <c r="J1344" s="124" t="s">
        <v>1556</v>
      </c>
      <c r="K1344" s="124" t="s">
        <v>1530</v>
      </c>
      <c r="L1344" s="124" t="s">
        <v>1533</v>
      </c>
      <c r="M1344" s="125">
        <v>234116</v>
      </c>
      <c r="N1344" s="148">
        <v>11705.800000000001</v>
      </c>
      <c r="O1344" s="148">
        <v>0</v>
      </c>
      <c r="P1344" s="149">
        <v>0</v>
      </c>
      <c r="Q1344" s="148">
        <v>0</v>
      </c>
      <c r="R1344" s="150">
        <v>245821.8</v>
      </c>
      <c r="S13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4" s="135">
        <f ca="1">+IF(PROVEEDORES[[#This Row],[FECHA DE PAGO]]=0,TODAY()-PROVEEDORES[[#This Row],[FECHA DE FACTURACIÓN]]-PROVEEDORES[[#This Row],[PLAZO Días]],0)</f>
        <v>0</v>
      </c>
      <c r="U1344" s="135" t="str">
        <f>+VLOOKUP(PROVEEDORES[[#This Row],[PROVEEDOR]],Terceros!$A:$D,4,FALSE)</f>
        <v>2,5% con base</v>
      </c>
      <c r="V1344" s="135">
        <f>+YEAR(PROVEEDORES[[#This Row],[FECHA DE FACTURACIÓN]])</f>
        <v>2024</v>
      </c>
      <c r="W1344" s="135">
        <f>+MATCH(PROVEEDORES[[#This Row],[año facturado]],Retenciones!$1:$1,0)</f>
        <v>7</v>
      </c>
      <c r="X1344" s="136">
        <f>+VLOOKUP(PROVEEDORES[[#This Row],[ID RETENCION]],Retenciones!$A$1:$O$25,PROVEEDORES[[#This Row],[indicador de columna]],FALSE)</f>
        <v>1271000</v>
      </c>
      <c r="Y1344" s="137">
        <f>+VLOOKUP(PROVEEDORES[[#This Row],[ID RETENCION]],Retenciones!$A$1:$O$25,2,FALSE)</f>
        <v>2.5000000000000001E-2</v>
      </c>
      <c r="Z1344" s="126" t="b">
        <f>+OR(COUNTIF(PROVEEDORES[[#This Row],[PROVEEDOR]],"*"&amp;'Palabra que no opera y Listas d'!$A$2&amp;"*"))</f>
        <v>1</v>
      </c>
    </row>
    <row r="1345" spans="1:26" ht="27.75" customHeight="1" x14ac:dyDescent="0.25">
      <c r="A1345" s="141" t="str">
        <f>+IF(PROVEEDORES[[#This Row],[FECHA DE PAGO]]=PROVEEDORES[[#This Row],[FECHA DE FACTURACIÓN]],"DE CONTADO","CRÉDITO")</f>
        <v>CRÉDITO</v>
      </c>
      <c r="B1345" s="138" t="str">
        <f>+IF((PROVEEDORES[[#This Row],[FECHA DE PAGO]]-PROVEEDORES[[#This Row],[FECHA DE FACTURACIÓN]])&gt;PROVEEDORES[[#This Row],[PLAZO Días]],"PAGO VENCIDO")</f>
        <v>PAGO VENCIDO</v>
      </c>
      <c r="C1345" s="138">
        <f>+VLOOKUP(PROVEEDORES[[#This Row],[PROVEEDOR]],TERCEROS_INFO[#All],2,FALSE)</f>
        <v>30</v>
      </c>
      <c r="D1345" s="139">
        <f>+SUMIFS(PROVEEDORES[Total],PROVEEDORES[PROVEEDOR],PROVEEDORES[[#This Row],[PROVEEDOR]],PROVEEDORES[FECHA DE PAGO],"")</f>
        <v>0</v>
      </c>
      <c r="E1345" s="140"/>
      <c r="F1345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45" s="127">
        <v>45362</v>
      </c>
      <c r="H1345" s="123" t="s">
        <v>368</v>
      </c>
      <c r="I1345" s="127">
        <v>45329</v>
      </c>
      <c r="J1345" s="124" t="s">
        <v>1548</v>
      </c>
      <c r="K1345" s="124" t="s">
        <v>1530</v>
      </c>
      <c r="L1345" s="124" t="s">
        <v>1533</v>
      </c>
      <c r="M1345" s="125">
        <v>-66719</v>
      </c>
      <c r="N1345" s="148">
        <v>-12676.61</v>
      </c>
      <c r="O1345" s="148">
        <v>0</v>
      </c>
      <c r="P1345" s="149">
        <v>0</v>
      </c>
      <c r="Q1345" s="148">
        <v>0</v>
      </c>
      <c r="R1345" s="150">
        <v>-79395.61</v>
      </c>
      <c r="S13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5" s="135">
        <f ca="1">+IF(PROVEEDORES[[#This Row],[FECHA DE PAGO]]=0,TODAY()-PROVEEDORES[[#This Row],[FECHA DE FACTURACIÓN]]-PROVEEDORES[[#This Row],[PLAZO Días]],0)</f>
        <v>0</v>
      </c>
      <c r="U1345" s="135">
        <f>+VLOOKUP(PROVEEDORES[[#This Row],[PROVEEDOR]],Terceros!$A:$D,4,FALSE)</f>
        <v>0</v>
      </c>
      <c r="V1345" s="135">
        <f>+YEAR(PROVEEDORES[[#This Row],[FECHA DE FACTURACIÓN]])</f>
        <v>2024</v>
      </c>
      <c r="W1345" s="135">
        <f>+MATCH(PROVEEDORES[[#This Row],[año facturado]],Retenciones!$1:$1,0)</f>
        <v>7</v>
      </c>
      <c r="X1345" s="136">
        <f>+VLOOKUP(PROVEEDORES[[#This Row],[ID RETENCION]],Retenciones!$A$1:$O$25,PROVEEDORES[[#This Row],[indicador de columna]],FALSE)</f>
        <v>0</v>
      </c>
      <c r="Y1345" s="137">
        <f>+VLOOKUP(PROVEEDORES[[#This Row],[ID RETENCION]],Retenciones!$A$1:$O$25,2,FALSE)</f>
        <v>0</v>
      </c>
      <c r="Z1345" s="126" t="b">
        <f>+OR(COUNTIF(PROVEEDORES[[#This Row],[PROVEEDOR]],"*"&amp;'Palabra que no opera y Listas d'!$A$2&amp;"*"))</f>
        <v>1</v>
      </c>
    </row>
    <row r="1346" spans="1:26" ht="27.75" customHeight="1" x14ac:dyDescent="0.25">
      <c r="A1346" s="141" t="str">
        <f>+IF(PROVEEDORES[[#This Row],[FECHA DE PAGO]]=PROVEEDORES[[#This Row],[FECHA DE FACTURACIÓN]],"DE CONTADO","CRÉDITO")</f>
        <v>CRÉDITO</v>
      </c>
      <c r="B1346" s="138" t="b">
        <f>+IF((PROVEEDORES[[#This Row],[FECHA DE PAGO]]-PROVEEDORES[[#This Row],[FECHA DE FACTURACIÓN]])&gt;PROVEEDORES[[#This Row],[PLAZO Días]],"PAGO VENCIDO")</f>
        <v>0</v>
      </c>
      <c r="C1346" s="138">
        <f>+VLOOKUP(PROVEEDORES[[#This Row],[PROVEEDOR]],TERCEROS_INFO[#All],2,FALSE)</f>
        <v>30</v>
      </c>
      <c r="D1346" s="139">
        <f>+SUMIFS(PROVEEDORES[Total],PROVEEDORES[PROVEEDOR],PROVEEDORES[[#This Row],[PROVEEDOR]],PROVEEDORES[FECHA DE PAGO],"")</f>
        <v>0</v>
      </c>
      <c r="E1346" s="140"/>
      <c r="F1346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46" s="127">
        <v>45362</v>
      </c>
      <c r="H1346" s="123" t="s">
        <v>368</v>
      </c>
      <c r="I1346" s="127">
        <v>45352</v>
      </c>
      <c r="J1346" s="124" t="s">
        <v>1631</v>
      </c>
      <c r="K1346" s="124" t="s">
        <v>1530</v>
      </c>
      <c r="L1346" s="124" t="s">
        <v>1534</v>
      </c>
      <c r="M1346" s="125">
        <v>3792544</v>
      </c>
      <c r="N1346" s="148">
        <v>720583.36</v>
      </c>
      <c r="O1346" s="148">
        <v>0</v>
      </c>
      <c r="P1346" s="149">
        <v>0</v>
      </c>
      <c r="Q1346" s="148">
        <v>0</v>
      </c>
      <c r="R1346" s="150">
        <v>4513127.3600000003</v>
      </c>
      <c r="S13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6" s="135">
        <f ca="1">+IF(PROVEEDORES[[#This Row],[FECHA DE PAGO]]=0,TODAY()-PROVEEDORES[[#This Row],[FECHA DE FACTURACIÓN]]-PROVEEDORES[[#This Row],[PLAZO Días]],0)</f>
        <v>0</v>
      </c>
      <c r="U1346" s="135">
        <f>+VLOOKUP(PROVEEDORES[[#This Row],[PROVEEDOR]],Terceros!$A:$D,4,FALSE)</f>
        <v>0</v>
      </c>
      <c r="V1346" s="135">
        <f>+YEAR(PROVEEDORES[[#This Row],[FECHA DE FACTURACIÓN]])</f>
        <v>2024</v>
      </c>
      <c r="W1346" s="135">
        <f>+MATCH(PROVEEDORES[[#This Row],[año facturado]],Retenciones!$1:$1,0)</f>
        <v>7</v>
      </c>
      <c r="X1346" s="136">
        <f>+VLOOKUP(PROVEEDORES[[#This Row],[ID RETENCION]],Retenciones!$A$1:$O$25,PROVEEDORES[[#This Row],[indicador de columna]],FALSE)</f>
        <v>0</v>
      </c>
      <c r="Y1346" s="137">
        <f>+VLOOKUP(PROVEEDORES[[#This Row],[ID RETENCION]],Retenciones!$A$1:$O$25,2,FALSE)</f>
        <v>0</v>
      </c>
      <c r="Z1346" s="126" t="b">
        <f>+OR(COUNTIF(PROVEEDORES[[#This Row],[PROVEEDOR]],"*"&amp;'Palabra que no opera y Listas d'!$A$2&amp;"*"))</f>
        <v>1</v>
      </c>
    </row>
    <row r="1347" spans="1:26" ht="27.75" customHeight="1" x14ac:dyDescent="0.25">
      <c r="A1347" s="141" t="str">
        <f>+IF(PROVEEDORES[[#This Row],[FECHA DE PAGO]]=PROVEEDORES[[#This Row],[FECHA DE FACTURACIÓN]],"DE CONTADO","CRÉDITO")</f>
        <v>CRÉDITO</v>
      </c>
      <c r="B1347" s="138" t="b">
        <f>+IF((PROVEEDORES[[#This Row],[FECHA DE PAGO]]-PROVEEDORES[[#This Row],[FECHA DE FACTURACIÓN]])&gt;PROVEEDORES[[#This Row],[PLAZO Días]],"PAGO VENCIDO")</f>
        <v>0</v>
      </c>
      <c r="C1347" s="138">
        <f>+VLOOKUP(PROVEEDORES[[#This Row],[PROVEEDOR]],TERCEROS_INFO[#All],2,FALSE)</f>
        <v>30</v>
      </c>
      <c r="D1347" s="139">
        <f>+SUMIFS(PROVEEDORES[Total],PROVEEDORES[PROVEEDOR],PROVEEDORES[[#This Row],[PROVEEDOR]],PROVEEDORES[FECHA DE PAGO],"")</f>
        <v>0</v>
      </c>
      <c r="E1347" s="140"/>
      <c r="F1347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347" s="127">
        <v>45362</v>
      </c>
      <c r="H1347" s="123" t="s">
        <v>368</v>
      </c>
      <c r="I1347" s="127">
        <v>45352</v>
      </c>
      <c r="J1347" s="124" t="s">
        <v>1635</v>
      </c>
      <c r="K1347" s="124" t="s">
        <v>1530</v>
      </c>
      <c r="L1347" s="124" t="s">
        <v>1533</v>
      </c>
      <c r="M1347" s="125">
        <v>927604</v>
      </c>
      <c r="N1347" s="148">
        <v>176244.76</v>
      </c>
      <c r="O1347" s="148">
        <v>0</v>
      </c>
      <c r="P1347" s="149">
        <v>0.04</v>
      </c>
      <c r="Q1347" s="148">
        <v>37104.160000000003</v>
      </c>
      <c r="R1347" s="150">
        <v>1066744.6000000001</v>
      </c>
      <c r="S13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7" s="135">
        <f ca="1">+IF(PROVEEDORES[[#This Row],[FECHA DE PAGO]]=0,TODAY()-PROVEEDORES[[#This Row],[FECHA DE FACTURACIÓN]]-PROVEEDORES[[#This Row],[PLAZO Días]],0)</f>
        <v>0</v>
      </c>
      <c r="U1347" s="135">
        <f>+VLOOKUP(PROVEEDORES[[#This Row],[PROVEEDOR]],Terceros!$A:$D,4,FALSE)</f>
        <v>0</v>
      </c>
      <c r="V1347" s="135">
        <f>+YEAR(PROVEEDORES[[#This Row],[FECHA DE FACTURACIÓN]])</f>
        <v>2024</v>
      </c>
      <c r="W1347" s="135">
        <f>+MATCH(PROVEEDORES[[#This Row],[año facturado]],Retenciones!$1:$1,0)</f>
        <v>7</v>
      </c>
      <c r="X1347" s="136">
        <f>+VLOOKUP(PROVEEDORES[[#This Row],[ID RETENCION]],Retenciones!$A$1:$O$25,PROVEEDORES[[#This Row],[indicador de columna]],FALSE)</f>
        <v>0</v>
      </c>
      <c r="Y1347" s="137">
        <f>+VLOOKUP(PROVEEDORES[[#This Row],[ID RETENCION]],Retenciones!$A$1:$O$25,2,FALSE)</f>
        <v>0</v>
      </c>
      <c r="Z1347" s="126" t="b">
        <f>+OR(COUNTIF(PROVEEDORES[[#This Row],[PROVEEDOR]],"*"&amp;'Palabra que no opera y Listas d'!$A$2&amp;"*"))</f>
        <v>1</v>
      </c>
    </row>
    <row r="1348" spans="1:26" ht="27.75" customHeight="1" x14ac:dyDescent="0.25">
      <c r="A1348" s="141" t="str">
        <f>+IF(PROVEEDORES[[#This Row],[FECHA DE PAGO]]=PROVEEDORES[[#This Row],[FECHA DE FACTURACIÓN]],"DE CONTADO","CRÉDITO")</f>
        <v>CRÉDITO</v>
      </c>
      <c r="B1348" s="138" t="b">
        <f>+IF((PROVEEDORES[[#This Row],[FECHA DE PAGO]]-PROVEEDORES[[#This Row],[FECHA DE FACTURACIÓN]])&gt;PROVEEDORES[[#This Row],[PLAZO Días]],"PAGO VENCIDO")</f>
        <v>0</v>
      </c>
      <c r="C1348" s="138">
        <f>+VLOOKUP(PROVEEDORES[[#This Row],[PROVEEDOR]],TERCEROS_INFO[#All],2,FALSE)</f>
        <v>30</v>
      </c>
      <c r="D1348" s="139">
        <f>+SUMIFS(PROVEEDORES[Total],PROVEEDORES[PROVEEDOR],PROVEEDORES[[#This Row],[PROVEEDOR]],PROVEEDORES[FECHA DE PAGO],"")</f>
        <v>0</v>
      </c>
      <c r="E1348" s="140"/>
      <c r="F1348" s="138" t="str">
        <f>+VLOOKUP(PROVEEDORES[[#This Row],[PROVEEDOR]],
                       Terceros!$A:$F,
                       5,
                       FALSE)</f>
        <v>facturacion@losmolinos.com.co</v>
      </c>
      <c r="G1348" s="127">
        <v>45362</v>
      </c>
      <c r="H1348" s="123" t="s">
        <v>376</v>
      </c>
      <c r="I1348" s="127">
        <v>45352</v>
      </c>
      <c r="J1348" s="124" t="s">
        <v>1634</v>
      </c>
      <c r="K1348" s="124" t="s">
        <v>1530</v>
      </c>
      <c r="L1348" s="124" t="s">
        <v>1533</v>
      </c>
      <c r="M1348" s="125">
        <v>357058</v>
      </c>
      <c r="N1348" s="148">
        <v>0</v>
      </c>
      <c r="O1348" s="148">
        <v>10697</v>
      </c>
      <c r="P1348" s="149">
        <v>0</v>
      </c>
      <c r="Q1348" s="148">
        <v>0</v>
      </c>
      <c r="R1348" s="150">
        <v>346361</v>
      </c>
      <c r="S13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8" s="135">
        <f ca="1">+IF(PROVEEDORES[[#This Row],[FECHA DE PAGO]]=0,TODAY()-PROVEEDORES[[#This Row],[FECHA DE FACTURACIÓN]]-PROVEEDORES[[#This Row],[PLAZO Días]],0)</f>
        <v>0</v>
      </c>
      <c r="U1348" s="135">
        <f>+VLOOKUP(PROVEEDORES[[#This Row],[PROVEEDOR]],Terceros!$A:$D,4,FALSE)</f>
        <v>0</v>
      </c>
      <c r="V1348" s="135">
        <f>+YEAR(PROVEEDORES[[#This Row],[FECHA DE FACTURACIÓN]])</f>
        <v>2024</v>
      </c>
      <c r="W1348" s="135">
        <f>+MATCH(PROVEEDORES[[#This Row],[año facturado]],Retenciones!$1:$1,0)</f>
        <v>7</v>
      </c>
      <c r="X1348" s="136">
        <f>+VLOOKUP(PROVEEDORES[[#This Row],[ID RETENCION]],Retenciones!$A$1:$O$25,PROVEEDORES[[#This Row],[indicador de columna]],FALSE)</f>
        <v>0</v>
      </c>
      <c r="Y1348" s="137">
        <f>+VLOOKUP(PROVEEDORES[[#This Row],[ID RETENCION]],Retenciones!$A$1:$O$25,2,FALSE)</f>
        <v>0</v>
      </c>
      <c r="Z1348" s="126" t="b">
        <f>+OR(COUNTIF(PROVEEDORES[[#This Row],[PROVEEDOR]],"*"&amp;'Palabra que no opera y Listas d'!$A$2&amp;"*"))</f>
        <v>1</v>
      </c>
    </row>
    <row r="1349" spans="1:26" ht="27.75" customHeight="1" x14ac:dyDescent="0.25">
      <c r="A1349" s="141" t="str">
        <f>+IF(PROVEEDORES[[#This Row],[FECHA DE PAGO]]=PROVEEDORES[[#This Row],[FECHA DE FACTURACIÓN]],"DE CONTADO","CRÉDITO")</f>
        <v>CRÉDITO</v>
      </c>
      <c r="B1349" s="138" t="b">
        <f>+IF((PROVEEDORES[[#This Row],[FECHA DE PAGO]]-PROVEEDORES[[#This Row],[FECHA DE FACTURACIÓN]])&gt;PROVEEDORES[[#This Row],[PLAZO Días]],"PAGO VENCIDO")</f>
        <v>0</v>
      </c>
      <c r="C1349" s="138">
        <f>+VLOOKUP(PROVEEDORES[[#This Row],[PROVEEDOR]],TERCEROS_INFO[#All],2,FALSE)</f>
        <v>30</v>
      </c>
      <c r="D1349" s="139">
        <f>+SUMIFS(PROVEEDORES[Total],PROVEEDORES[PROVEEDOR],PROVEEDORES[[#This Row],[PROVEEDOR]],PROVEEDORES[FECHA DE PAGO],"")</f>
        <v>0</v>
      </c>
      <c r="E1349" s="140"/>
      <c r="F1349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349" s="127">
        <v>45362</v>
      </c>
      <c r="H1349" s="123" t="s">
        <v>380</v>
      </c>
      <c r="I1349" s="127">
        <v>45352</v>
      </c>
      <c r="J1349" s="124" t="s">
        <v>1627</v>
      </c>
      <c r="K1349" s="124" t="s">
        <v>504</v>
      </c>
      <c r="L1349" s="124" t="s">
        <v>1534</v>
      </c>
      <c r="M1349" s="125">
        <v>3456200</v>
      </c>
      <c r="N1349" s="148">
        <v>0</v>
      </c>
      <c r="O1349" s="148">
        <v>10697</v>
      </c>
      <c r="P1349" s="149">
        <v>3.5000000000000003E-2</v>
      </c>
      <c r="Q1349" s="148">
        <v>120967.00000000001</v>
      </c>
      <c r="R1349" s="150">
        <v>3324536</v>
      </c>
      <c r="S13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49" s="135">
        <f ca="1">+IF(PROVEEDORES[[#This Row],[FECHA DE PAGO]]=0,TODAY()-PROVEEDORES[[#This Row],[FECHA DE FACTURACIÓN]]-PROVEEDORES[[#This Row],[PLAZO Días]],0)</f>
        <v>0</v>
      </c>
      <c r="U1349" s="135" t="str">
        <f>+VLOOKUP(PROVEEDORES[[#This Row],[PROVEEDOR]],Terceros!$A:$D,4,FALSE)</f>
        <v>3,5% sin base</v>
      </c>
      <c r="V1349" s="135">
        <f>+YEAR(PROVEEDORES[[#This Row],[FECHA DE FACTURACIÓN]])</f>
        <v>2024</v>
      </c>
      <c r="W1349" s="135">
        <f>+MATCH(PROVEEDORES[[#This Row],[año facturado]],Retenciones!$1:$1,0)</f>
        <v>7</v>
      </c>
      <c r="X1349" s="136">
        <f>+VLOOKUP(PROVEEDORES[[#This Row],[ID RETENCION]],Retenciones!$A$1:$O$25,PROVEEDORES[[#This Row],[indicador de columna]],FALSE)</f>
        <v>0</v>
      </c>
      <c r="Y1349" s="137">
        <f>+VLOOKUP(PROVEEDORES[[#This Row],[ID RETENCION]],Retenciones!$A$1:$O$25,2,FALSE)</f>
        <v>3.5000000000000003E-2</v>
      </c>
      <c r="Z1349" s="126" t="b">
        <f>+OR(COUNTIF(PROVEEDORES[[#This Row],[PROVEEDOR]],"*"&amp;'Palabra que no opera y Listas d'!$A$2&amp;"*"))</f>
        <v>1</v>
      </c>
    </row>
    <row r="1350" spans="1:26" ht="27.75" customHeight="1" x14ac:dyDescent="0.25">
      <c r="A1350" s="141" t="str">
        <f>+IF(PROVEEDORES[[#This Row],[FECHA DE PAGO]]=PROVEEDORES[[#This Row],[FECHA DE FACTURACIÓN]],"DE CONTADO","CRÉDITO")</f>
        <v>CRÉDITO</v>
      </c>
      <c r="B1350" s="138" t="b">
        <f>+IF((PROVEEDORES[[#This Row],[FECHA DE PAGO]]-PROVEEDORES[[#This Row],[FECHA DE FACTURACIÓN]])&gt;PROVEEDORES[[#This Row],[PLAZO Días]],"PAGO VENCIDO")</f>
        <v>0</v>
      </c>
      <c r="C1350" s="138">
        <f>+VLOOKUP(PROVEEDORES[[#This Row],[PROVEEDOR]],TERCEROS_INFO[#All],2,FALSE)</f>
        <v>30</v>
      </c>
      <c r="D1350" s="139">
        <f>+SUMIFS(PROVEEDORES[Total],PROVEEDORES[PROVEEDOR],PROVEEDORES[[#This Row],[PROVEEDOR]],PROVEEDORES[FECHA DE PAGO],"")</f>
        <v>0</v>
      </c>
      <c r="E1350" s="140"/>
      <c r="F1350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350" s="127">
        <v>45362</v>
      </c>
      <c r="H1350" s="123" t="s">
        <v>382</v>
      </c>
      <c r="I1350" s="127">
        <v>45352</v>
      </c>
      <c r="J1350" s="124" t="s">
        <v>1632</v>
      </c>
      <c r="K1350" s="124" t="s">
        <v>1530</v>
      </c>
      <c r="L1350" s="124" t="s">
        <v>1533</v>
      </c>
      <c r="M1350" s="125">
        <v>1047050</v>
      </c>
      <c r="N1350" s="148">
        <v>0</v>
      </c>
      <c r="O1350" s="148">
        <v>0</v>
      </c>
      <c r="P1350" s="149">
        <v>0</v>
      </c>
      <c r="Q1350" s="148">
        <v>0</v>
      </c>
      <c r="R1350" s="150">
        <v>1047050</v>
      </c>
      <c r="S13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0" s="135">
        <f ca="1">+IF(PROVEEDORES[[#This Row],[FECHA DE PAGO]]=0,TODAY()-PROVEEDORES[[#This Row],[FECHA DE FACTURACIÓN]]-PROVEEDORES[[#This Row],[PLAZO Días]],0)</f>
        <v>0</v>
      </c>
      <c r="U1350" s="135">
        <f>+VLOOKUP(PROVEEDORES[[#This Row],[PROVEEDOR]],Terceros!$A:$D,4,FALSE)</f>
        <v>0</v>
      </c>
      <c r="V1350" s="135">
        <f>+YEAR(PROVEEDORES[[#This Row],[FECHA DE FACTURACIÓN]])</f>
        <v>2024</v>
      </c>
      <c r="W1350" s="135">
        <f>+MATCH(PROVEEDORES[[#This Row],[año facturado]],Retenciones!$1:$1,0)</f>
        <v>7</v>
      </c>
      <c r="X1350" s="136">
        <f>+VLOOKUP(PROVEEDORES[[#This Row],[ID RETENCION]],Retenciones!$A$1:$O$25,PROVEEDORES[[#This Row],[indicador de columna]],FALSE)</f>
        <v>0</v>
      </c>
      <c r="Y1350" s="137">
        <f>+VLOOKUP(PROVEEDORES[[#This Row],[ID RETENCION]],Retenciones!$A$1:$O$25,2,FALSE)</f>
        <v>0</v>
      </c>
      <c r="Z1350" s="126" t="b">
        <f>+OR(COUNTIF(PROVEEDORES[[#This Row],[PROVEEDOR]],"*"&amp;'Palabra que no opera y Listas d'!$A$2&amp;"*"))</f>
        <v>1</v>
      </c>
    </row>
    <row r="1351" spans="1:26" ht="27.75" customHeight="1" x14ac:dyDescent="0.25">
      <c r="A1351" s="141" t="str">
        <f>+IF(PROVEEDORES[[#This Row],[FECHA DE PAGO]]=PROVEEDORES[[#This Row],[FECHA DE FACTURACIÓN]],"DE CONTADO","CRÉDITO")</f>
        <v>CRÉDITO</v>
      </c>
      <c r="B1351" s="138" t="b">
        <f>+IF((PROVEEDORES[[#This Row],[FECHA DE PAGO]]-PROVEEDORES[[#This Row],[FECHA DE FACTURACIÓN]])&gt;PROVEEDORES[[#This Row],[PLAZO Días]],"PAGO VENCIDO")</f>
        <v>0</v>
      </c>
      <c r="C1351" s="138">
        <f>+VLOOKUP(PROVEEDORES[[#This Row],[PROVEEDOR]],TERCEROS_INFO[#All],2,FALSE)</f>
        <v>30</v>
      </c>
      <c r="D1351" s="139">
        <f>+SUMIFS(PROVEEDORES[Total],PROVEEDORES[PROVEEDOR],PROVEEDORES[[#This Row],[PROVEEDOR]],PROVEEDORES[FECHA DE PAGO],"")</f>
        <v>0</v>
      </c>
      <c r="E1351" s="140"/>
      <c r="F1351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351" s="127">
        <v>45362</v>
      </c>
      <c r="H1351" s="123" t="s">
        <v>382</v>
      </c>
      <c r="I1351" s="127">
        <v>45352</v>
      </c>
      <c r="J1351" s="124" t="s">
        <v>1633</v>
      </c>
      <c r="K1351" s="124" t="s">
        <v>1530</v>
      </c>
      <c r="L1351" s="124" t="s">
        <v>1533</v>
      </c>
      <c r="M1351" s="125">
        <v>1024255</v>
      </c>
      <c r="N1351" s="148">
        <v>0</v>
      </c>
      <c r="O1351" s="148">
        <v>0</v>
      </c>
      <c r="P1351" s="149">
        <v>0</v>
      </c>
      <c r="Q1351" s="148">
        <v>0</v>
      </c>
      <c r="R1351" s="150">
        <v>1024255</v>
      </c>
      <c r="S13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1" s="135">
        <f ca="1">+IF(PROVEEDORES[[#This Row],[FECHA DE PAGO]]=0,TODAY()-PROVEEDORES[[#This Row],[FECHA DE FACTURACIÓN]]-PROVEEDORES[[#This Row],[PLAZO Días]],0)</f>
        <v>0</v>
      </c>
      <c r="U1351" s="135">
        <f>+VLOOKUP(PROVEEDORES[[#This Row],[PROVEEDOR]],Terceros!$A:$D,4,FALSE)</f>
        <v>0</v>
      </c>
      <c r="V1351" s="135">
        <f>+YEAR(PROVEEDORES[[#This Row],[FECHA DE FACTURACIÓN]])</f>
        <v>2024</v>
      </c>
      <c r="W1351" s="135">
        <f>+MATCH(PROVEEDORES[[#This Row],[año facturado]],Retenciones!$1:$1,0)</f>
        <v>7</v>
      </c>
      <c r="X1351" s="136">
        <f>+VLOOKUP(PROVEEDORES[[#This Row],[ID RETENCION]],Retenciones!$A$1:$O$25,PROVEEDORES[[#This Row],[indicador de columna]],FALSE)</f>
        <v>0</v>
      </c>
      <c r="Y1351" s="137">
        <f>+VLOOKUP(PROVEEDORES[[#This Row],[ID RETENCION]],Retenciones!$A$1:$O$25,2,FALSE)</f>
        <v>0</v>
      </c>
      <c r="Z1351" s="126" t="b">
        <f>+OR(COUNTIF(PROVEEDORES[[#This Row],[PROVEEDOR]],"*"&amp;'Palabra que no opera y Listas d'!$A$2&amp;"*"))</f>
        <v>1</v>
      </c>
    </row>
    <row r="1352" spans="1:26" ht="27.75" customHeight="1" x14ac:dyDescent="0.25">
      <c r="A1352" s="141" t="str">
        <f>+IF(PROVEEDORES[[#This Row],[FECHA DE PAGO]]=PROVEEDORES[[#This Row],[FECHA DE FACTURACIÓN]],"DE CONTADO","CRÉDITO")</f>
        <v>CRÉDITO</v>
      </c>
      <c r="B1352" s="138" t="b">
        <f>+IF((PROVEEDORES[[#This Row],[FECHA DE PAGO]]-PROVEEDORES[[#This Row],[FECHA DE FACTURACIÓN]])&gt;PROVEEDORES[[#This Row],[PLAZO Días]],"PAGO VENCIDO")</f>
        <v>0</v>
      </c>
      <c r="C1352" s="138">
        <f>+VLOOKUP(PROVEEDORES[[#This Row],[PROVEEDOR]],TERCEROS_INFO[#All],2,FALSE)</f>
        <v>10</v>
      </c>
      <c r="D1352" s="139">
        <f>+SUMIFS(PROVEEDORES[Total],PROVEEDORES[PROVEEDOR],PROVEEDORES[[#This Row],[PROVEEDOR]],PROVEEDORES[FECHA DE PAGO],"")</f>
        <v>-3510</v>
      </c>
      <c r="E1352" s="140"/>
      <c r="F1352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352" s="127">
        <v>45362</v>
      </c>
      <c r="H1352" s="123" t="s">
        <v>1452</v>
      </c>
      <c r="I1352" s="127">
        <v>45352</v>
      </c>
      <c r="J1352" s="124" t="s">
        <v>1637</v>
      </c>
      <c r="K1352" s="124" t="s">
        <v>1530</v>
      </c>
      <c r="L1352" s="124" t="s">
        <v>1533</v>
      </c>
      <c r="M1352" s="125">
        <v>4435417</v>
      </c>
      <c r="N1352" s="148">
        <v>752248</v>
      </c>
      <c r="O1352" s="148">
        <v>0</v>
      </c>
      <c r="P1352" s="149">
        <v>3.5000000000000003E-2</v>
      </c>
      <c r="Q1352" s="148">
        <v>138572</v>
      </c>
      <c r="R1352" s="150">
        <v>5049093</v>
      </c>
      <c r="S13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2" s="135">
        <f ca="1">+IF(PROVEEDORES[[#This Row],[FECHA DE PAGO]]=0,TODAY()-PROVEEDORES[[#This Row],[FECHA DE FACTURACIÓN]]-PROVEEDORES[[#This Row],[PLAZO Días]],0)</f>
        <v>0</v>
      </c>
      <c r="U1352" s="135" t="str">
        <f>+VLOOKUP(PROVEEDORES[[#This Row],[PROVEEDOR]],Terceros!$A:$D,4,FALSE)</f>
        <v>3,5% sin base</v>
      </c>
      <c r="V1352" s="135">
        <f>+YEAR(PROVEEDORES[[#This Row],[FECHA DE FACTURACIÓN]])</f>
        <v>2024</v>
      </c>
      <c r="W1352" s="135">
        <f>+MATCH(PROVEEDORES[[#This Row],[año facturado]],Retenciones!$1:$1,0)</f>
        <v>7</v>
      </c>
      <c r="X1352" s="136">
        <f>+VLOOKUP(PROVEEDORES[[#This Row],[ID RETENCION]],Retenciones!$A$1:$O$25,PROVEEDORES[[#This Row],[indicador de columna]],FALSE)</f>
        <v>0</v>
      </c>
      <c r="Y1352" s="137">
        <f>+VLOOKUP(PROVEEDORES[[#This Row],[ID RETENCION]],Retenciones!$A$1:$O$25,2,FALSE)</f>
        <v>3.5000000000000003E-2</v>
      </c>
      <c r="Z1352" s="126" t="b">
        <f>+OR(COUNTIF(PROVEEDORES[[#This Row],[PROVEEDOR]],"*"&amp;'Palabra que no opera y Listas d'!$A$2&amp;"*"))</f>
        <v>1</v>
      </c>
    </row>
    <row r="1353" spans="1:26" ht="27.75" customHeight="1" x14ac:dyDescent="0.25">
      <c r="A1353" s="141" t="str">
        <f>+IF(PROVEEDORES[[#This Row],[FECHA DE PAGO]]=PROVEEDORES[[#This Row],[FECHA DE FACTURACIÓN]],"DE CONTADO","CRÉDITO")</f>
        <v>CRÉDITO</v>
      </c>
      <c r="B1353" s="138" t="b">
        <f>+IF((PROVEEDORES[[#This Row],[FECHA DE PAGO]]-PROVEEDORES[[#This Row],[FECHA DE FACTURACIÓN]])&gt;PROVEEDORES[[#This Row],[PLAZO Días]],"PAGO VENCIDO")</f>
        <v>0</v>
      </c>
      <c r="C1353" s="138">
        <f>+VLOOKUP(PROVEEDORES[[#This Row],[PROVEEDOR]],TERCEROS_INFO[#All],2,FALSE)</f>
        <v>30</v>
      </c>
      <c r="D1353" s="139">
        <f>+SUMIFS(PROVEEDORES[Total],PROVEEDORES[PROVEEDOR],PROVEEDORES[[#This Row],[PROVEEDOR]],PROVEEDORES[FECHA DE PAGO],"")</f>
        <v>0</v>
      </c>
      <c r="E1353" s="140"/>
      <c r="F1353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353" s="127">
        <v>45362</v>
      </c>
      <c r="H1353" s="123" t="s">
        <v>394</v>
      </c>
      <c r="I1353" s="127">
        <v>45352</v>
      </c>
      <c r="J1353" s="124" t="s">
        <v>1638</v>
      </c>
      <c r="K1353" s="124" t="s">
        <v>1530</v>
      </c>
      <c r="L1353" s="124" t="s">
        <v>1533</v>
      </c>
      <c r="M1353" s="125">
        <v>266218</v>
      </c>
      <c r="N1353" s="148">
        <v>50581.42</v>
      </c>
      <c r="O1353" s="148">
        <v>0</v>
      </c>
      <c r="P1353" s="149">
        <v>3.5000000000000003E-2</v>
      </c>
      <c r="Q1353" s="148">
        <v>9317.630000000001</v>
      </c>
      <c r="R1353" s="150">
        <v>307481.78999999998</v>
      </c>
      <c r="S13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3" s="135">
        <f ca="1">+IF(PROVEEDORES[[#This Row],[FECHA DE PAGO]]=0,TODAY()-PROVEEDORES[[#This Row],[FECHA DE FACTURACIÓN]]-PROVEEDORES[[#This Row],[PLAZO Días]],0)</f>
        <v>0</v>
      </c>
      <c r="U1353" s="135" t="str">
        <f>+VLOOKUP(PROVEEDORES[[#This Row],[PROVEEDOR]],Terceros!$A:$D,4,FALSE)</f>
        <v>3,5% sin base</v>
      </c>
      <c r="V1353" s="135">
        <f>+YEAR(PROVEEDORES[[#This Row],[FECHA DE FACTURACIÓN]])</f>
        <v>2024</v>
      </c>
      <c r="W1353" s="135">
        <f>+MATCH(PROVEEDORES[[#This Row],[año facturado]],Retenciones!$1:$1,0)</f>
        <v>7</v>
      </c>
      <c r="X1353" s="136">
        <f>+VLOOKUP(PROVEEDORES[[#This Row],[ID RETENCION]],Retenciones!$A$1:$O$25,PROVEEDORES[[#This Row],[indicador de columna]],FALSE)</f>
        <v>0</v>
      </c>
      <c r="Y1353" s="137">
        <f>+VLOOKUP(PROVEEDORES[[#This Row],[ID RETENCION]],Retenciones!$A$1:$O$25,2,FALSE)</f>
        <v>3.5000000000000003E-2</v>
      </c>
      <c r="Z1353" s="126" t="b">
        <f>+OR(COUNTIF(PROVEEDORES[[#This Row],[PROVEEDOR]],"*"&amp;'Palabra que no opera y Listas d'!$A$2&amp;"*"))</f>
        <v>1</v>
      </c>
    </row>
    <row r="1354" spans="1:26" ht="27.75" customHeight="1" x14ac:dyDescent="0.25">
      <c r="A1354" s="141" t="str">
        <f>+IF(PROVEEDORES[[#This Row],[FECHA DE PAGO]]=PROVEEDORES[[#This Row],[FECHA DE FACTURACIÓN]],"DE CONTADO","CRÉDITO")</f>
        <v>CRÉDITO</v>
      </c>
      <c r="B1354" s="138" t="b">
        <f>+IF((PROVEEDORES[[#This Row],[FECHA DE PAGO]]-PROVEEDORES[[#This Row],[FECHA DE FACTURACIÓN]])&gt;PROVEEDORES[[#This Row],[PLAZO Días]],"PAGO VENCIDO")</f>
        <v>0</v>
      </c>
      <c r="C1354" s="138">
        <f>+VLOOKUP(PROVEEDORES[[#This Row],[PROVEEDOR]],TERCEROS_INFO[#All],2,FALSE)</f>
        <v>10</v>
      </c>
      <c r="D1354" s="139">
        <f>+SUMIFS(PROVEEDORES[Total],PROVEEDORES[PROVEEDOR],PROVEEDORES[[#This Row],[PROVEEDOR]],PROVEEDORES[FECHA DE PAGO],"")</f>
        <v>0</v>
      </c>
      <c r="E1354" s="140"/>
      <c r="F1354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354" s="127">
        <v>45362</v>
      </c>
      <c r="H1354" s="123" t="s">
        <v>482</v>
      </c>
      <c r="I1354" s="127">
        <v>45352</v>
      </c>
      <c r="J1354" s="124" t="s">
        <v>1628</v>
      </c>
      <c r="K1354" s="124" t="s">
        <v>1530</v>
      </c>
      <c r="L1354" s="124" t="s">
        <v>1534</v>
      </c>
      <c r="M1354" s="125">
        <v>5350576</v>
      </c>
      <c r="N1354" s="148">
        <v>1016609.4400000001</v>
      </c>
      <c r="O1354" s="148">
        <v>0</v>
      </c>
      <c r="P1354" s="149">
        <v>0</v>
      </c>
      <c r="Q1354" s="148">
        <v>0</v>
      </c>
      <c r="R1354" s="150">
        <v>6367185.4400000004</v>
      </c>
      <c r="S13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4" s="135">
        <f ca="1">+IF(PROVEEDORES[[#This Row],[FECHA DE PAGO]]=0,TODAY()-PROVEEDORES[[#This Row],[FECHA DE FACTURACIÓN]]-PROVEEDORES[[#This Row],[PLAZO Días]],0)</f>
        <v>0</v>
      </c>
      <c r="U1354" s="135">
        <f>+VLOOKUP(PROVEEDORES[[#This Row],[PROVEEDOR]],Terceros!$A:$D,4,FALSE)</f>
        <v>0</v>
      </c>
      <c r="V1354" s="135">
        <f>+YEAR(PROVEEDORES[[#This Row],[FECHA DE FACTURACIÓN]])</f>
        <v>2024</v>
      </c>
      <c r="W1354" s="135">
        <f>+MATCH(PROVEEDORES[[#This Row],[año facturado]],Retenciones!$1:$1,0)</f>
        <v>7</v>
      </c>
      <c r="X1354" s="136">
        <f>+VLOOKUP(PROVEEDORES[[#This Row],[ID RETENCION]],Retenciones!$A$1:$O$25,PROVEEDORES[[#This Row],[indicador de columna]],FALSE)</f>
        <v>0</v>
      </c>
      <c r="Y1354" s="137">
        <f>+VLOOKUP(PROVEEDORES[[#This Row],[ID RETENCION]],Retenciones!$A$1:$O$25,2,FALSE)</f>
        <v>0</v>
      </c>
      <c r="Z1354" s="126" t="b">
        <f>+OR(COUNTIF(PROVEEDORES[[#This Row],[PROVEEDOR]],"*"&amp;'Palabra que no opera y Listas d'!$A$2&amp;"*"))</f>
        <v>1</v>
      </c>
    </row>
    <row r="1355" spans="1:26" ht="27.75" customHeight="1" x14ac:dyDescent="0.25">
      <c r="A1355" s="141" t="str">
        <f>+IF(PROVEEDORES[[#This Row],[FECHA DE PAGO]]=PROVEEDORES[[#This Row],[FECHA DE FACTURACIÓN]],"DE CONTADO","CRÉDITO")</f>
        <v>CRÉDITO</v>
      </c>
      <c r="B1355" s="138" t="b">
        <f>+IF((PROVEEDORES[[#This Row],[FECHA DE PAGO]]-PROVEEDORES[[#This Row],[FECHA DE FACTURACIÓN]])&gt;PROVEEDORES[[#This Row],[PLAZO Días]],"PAGO VENCIDO")</f>
        <v>0</v>
      </c>
      <c r="C1355" s="138">
        <f>+VLOOKUP(PROVEEDORES[[#This Row],[PROVEEDOR]],TERCEROS_INFO[#All],2,FALSE)</f>
        <v>30</v>
      </c>
      <c r="D1355" s="139">
        <f>+SUMIFS(PROVEEDORES[Total],PROVEEDORES[PROVEEDOR],PROVEEDORES[[#This Row],[PROVEEDOR]],PROVEEDORES[FECHA DE PAGO],"")</f>
        <v>0</v>
      </c>
      <c r="E1355" s="140"/>
      <c r="F1355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1355" s="127">
        <v>45362</v>
      </c>
      <c r="H1355" s="123" t="s">
        <v>373</v>
      </c>
      <c r="I1355" s="127">
        <v>45356</v>
      </c>
      <c r="J1355" s="124" t="s">
        <v>1636</v>
      </c>
      <c r="K1355" s="124" t="s">
        <v>1530</v>
      </c>
      <c r="L1355" s="124" t="s">
        <v>1533</v>
      </c>
      <c r="M1355" s="125">
        <v>2202761</v>
      </c>
      <c r="N1355" s="148">
        <v>0</v>
      </c>
      <c r="O1355" s="148">
        <v>418942</v>
      </c>
      <c r="P1355" s="149">
        <v>0</v>
      </c>
      <c r="Q1355" s="148">
        <v>0</v>
      </c>
      <c r="R1355" s="150">
        <v>1783819</v>
      </c>
      <c r="S13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5" s="135">
        <f ca="1">+IF(PROVEEDORES[[#This Row],[FECHA DE PAGO]]=0,TODAY()-PROVEEDORES[[#This Row],[FECHA DE FACTURACIÓN]]-PROVEEDORES[[#This Row],[PLAZO Días]],0)</f>
        <v>0</v>
      </c>
      <c r="U1355" s="135">
        <f>+VLOOKUP(PROVEEDORES[[#This Row],[PROVEEDOR]],Terceros!$A:$D,4,FALSE)</f>
        <v>0</v>
      </c>
      <c r="V1355" s="135">
        <f>+YEAR(PROVEEDORES[[#This Row],[FECHA DE FACTURACIÓN]])</f>
        <v>2024</v>
      </c>
      <c r="W1355" s="135">
        <f>+MATCH(PROVEEDORES[[#This Row],[año facturado]],Retenciones!$1:$1,0)</f>
        <v>7</v>
      </c>
      <c r="X1355" s="136">
        <f>+VLOOKUP(PROVEEDORES[[#This Row],[ID RETENCION]],Retenciones!$A$1:$O$25,PROVEEDORES[[#This Row],[indicador de columna]],FALSE)</f>
        <v>0</v>
      </c>
      <c r="Y1355" s="137">
        <f>+VLOOKUP(PROVEEDORES[[#This Row],[ID RETENCION]],Retenciones!$A$1:$O$25,2,FALSE)</f>
        <v>0</v>
      </c>
      <c r="Z1355" s="126" t="b">
        <f>+OR(COUNTIF(PROVEEDORES[[#This Row],[PROVEEDOR]],"*"&amp;'Palabra que no opera y Listas d'!$A$2&amp;"*"))</f>
        <v>1</v>
      </c>
    </row>
    <row r="1356" spans="1:26" ht="27.75" customHeight="1" x14ac:dyDescent="0.25">
      <c r="A1356" s="141" t="str">
        <f>+IF(PROVEEDORES[[#This Row],[FECHA DE PAGO]]=PROVEEDORES[[#This Row],[FECHA DE FACTURACIÓN]],"DE CONTADO","CRÉDITO")</f>
        <v>CRÉDITO</v>
      </c>
      <c r="B1356" s="138" t="b">
        <f>+IF((PROVEEDORES[[#This Row],[FECHA DE PAGO]]-PROVEEDORES[[#This Row],[FECHA DE FACTURACIÓN]])&gt;PROVEEDORES[[#This Row],[PLAZO Días]],"PAGO VENCIDO")</f>
        <v>0</v>
      </c>
      <c r="C1356" s="138">
        <f>+VLOOKUP(PROVEEDORES[[#This Row],[PROVEEDOR]],TERCEROS_INFO[#All],2,FALSE)</f>
        <v>30</v>
      </c>
      <c r="D1356" s="139">
        <f>+SUMIFS(PROVEEDORES[Total],PROVEEDORES[PROVEEDOR],PROVEEDORES[[#This Row],[PROVEEDOR]],PROVEEDORES[FECHA DE PAGO],"")</f>
        <v>0</v>
      </c>
      <c r="E1356" s="140"/>
      <c r="F1356" s="138" t="str">
        <f>+VLOOKUP(PROVEEDORES[[#This Row],[PROVEEDOR]],
                       Terceros!$A:$F,
                       5,
                       FALSE)</f>
        <v/>
      </c>
      <c r="G1356" s="127">
        <v>45363</v>
      </c>
      <c r="H1356" s="123" t="s">
        <v>481</v>
      </c>
      <c r="I1356" s="127">
        <v>45362</v>
      </c>
      <c r="J1356" s="124" t="s">
        <v>1666</v>
      </c>
      <c r="K1356" s="124" t="s">
        <v>504</v>
      </c>
      <c r="L1356" s="124" t="s">
        <v>1541</v>
      </c>
      <c r="M1356" s="125">
        <v>3944000</v>
      </c>
      <c r="N1356" s="148">
        <v>0</v>
      </c>
      <c r="O1356" s="148">
        <v>0</v>
      </c>
      <c r="P1356" s="149">
        <v>0</v>
      </c>
      <c r="Q1356" s="148">
        <v>0</v>
      </c>
      <c r="R1356" s="150">
        <v>3944000</v>
      </c>
      <c r="S13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6" s="135">
        <f ca="1">+IF(PROVEEDORES[[#This Row],[FECHA DE PAGO]]=0,TODAY()-PROVEEDORES[[#This Row],[FECHA DE FACTURACIÓN]]-PROVEEDORES[[#This Row],[PLAZO Días]],0)</f>
        <v>0</v>
      </c>
      <c r="U1356" s="135">
        <f>+VLOOKUP(PROVEEDORES[[#This Row],[PROVEEDOR]],Terceros!$A:$D,4,FALSE)</f>
        <v>0</v>
      </c>
      <c r="V1356" s="135">
        <f>+YEAR(PROVEEDORES[[#This Row],[FECHA DE FACTURACIÓN]])</f>
        <v>2024</v>
      </c>
      <c r="W1356" s="135">
        <f>+MATCH(PROVEEDORES[[#This Row],[año facturado]],Retenciones!$1:$1,0)</f>
        <v>7</v>
      </c>
      <c r="X1356" s="136">
        <f>+VLOOKUP(PROVEEDORES[[#This Row],[ID RETENCION]],Retenciones!$A$1:$O$25,PROVEEDORES[[#This Row],[indicador de columna]],FALSE)</f>
        <v>0</v>
      </c>
      <c r="Y1356" s="137">
        <f>+VLOOKUP(PROVEEDORES[[#This Row],[ID RETENCION]],Retenciones!$A$1:$O$25,2,FALSE)</f>
        <v>0</v>
      </c>
      <c r="Z1356" s="126" t="b">
        <f>+OR(COUNTIF(PROVEEDORES[[#This Row],[PROVEEDOR]],"*"&amp;'Palabra que no opera y Listas d'!$A$2&amp;"*"))</f>
        <v>0</v>
      </c>
    </row>
    <row r="1357" spans="1:26" ht="27.75" customHeight="1" x14ac:dyDescent="0.25">
      <c r="A1357" s="141" t="str">
        <f>+IF(PROVEEDORES[[#This Row],[FECHA DE PAGO]]=PROVEEDORES[[#This Row],[FECHA DE FACTURACIÓN]],"DE CONTADO","CRÉDITO")</f>
        <v>CRÉDITO</v>
      </c>
      <c r="B1357" s="138" t="str">
        <f>+IF((PROVEEDORES[[#This Row],[FECHA DE PAGO]]-PROVEEDORES[[#This Row],[FECHA DE FACTURACIÓN]])&gt;PROVEEDORES[[#This Row],[PLAZO Días]],"PAGO VENCIDO")</f>
        <v>PAGO VENCIDO</v>
      </c>
      <c r="C1357" s="138">
        <f>+VLOOKUP(PROVEEDORES[[#This Row],[PROVEEDOR]],TERCEROS_INFO[#All],2,FALSE)</f>
        <v>30</v>
      </c>
      <c r="D1357" s="139">
        <f>+SUMIFS(PROVEEDORES[Total],PROVEEDORES[PROVEEDOR],PROVEEDORES[[#This Row],[PROVEEDOR]],PROVEEDORES[FECHA DE PAGO],"")</f>
        <v>5581100</v>
      </c>
      <c r="E1357" s="140"/>
      <c r="F1357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357" s="127">
        <v>45364</v>
      </c>
      <c r="H1357" s="123" t="s">
        <v>446</v>
      </c>
      <c r="I1357" s="127">
        <v>45318</v>
      </c>
      <c r="J1357" s="124" t="s">
        <v>1487</v>
      </c>
      <c r="K1357" s="124" t="s">
        <v>504</v>
      </c>
      <c r="L1357" s="124" t="s">
        <v>1534</v>
      </c>
      <c r="M1357" s="125">
        <v>4960000</v>
      </c>
      <c r="N1357" s="148">
        <v>942400</v>
      </c>
      <c r="O1357" s="148">
        <v>0</v>
      </c>
      <c r="P1357" s="149">
        <v>0</v>
      </c>
      <c r="Q1357" s="148">
        <v>0</v>
      </c>
      <c r="R1357" s="150">
        <v>5902400</v>
      </c>
      <c r="S13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7" s="135">
        <f ca="1">+IF(PROVEEDORES[[#This Row],[FECHA DE PAGO]]=0,TODAY()-PROVEEDORES[[#This Row],[FECHA DE FACTURACIÓN]]-PROVEEDORES[[#This Row],[PLAZO Días]],0)</f>
        <v>0</v>
      </c>
      <c r="U1357" s="135">
        <f>+VLOOKUP(PROVEEDORES[[#This Row],[PROVEEDOR]],Terceros!$A:$D,4,FALSE)</f>
        <v>0</v>
      </c>
      <c r="V1357" s="135">
        <f>+YEAR(PROVEEDORES[[#This Row],[FECHA DE FACTURACIÓN]])</f>
        <v>2024</v>
      </c>
      <c r="W1357" s="135">
        <f>+MATCH(PROVEEDORES[[#This Row],[año facturado]],Retenciones!$1:$1,0)</f>
        <v>7</v>
      </c>
      <c r="X1357" s="136">
        <f>+VLOOKUP(PROVEEDORES[[#This Row],[ID RETENCION]],Retenciones!$A$1:$O$25,PROVEEDORES[[#This Row],[indicador de columna]],FALSE)</f>
        <v>0</v>
      </c>
      <c r="Y1357" s="137">
        <f>+VLOOKUP(PROVEEDORES[[#This Row],[ID RETENCION]],Retenciones!$A$1:$O$25,2,FALSE)</f>
        <v>0</v>
      </c>
      <c r="Z1357" s="126" t="b">
        <f>+OR(COUNTIF(PROVEEDORES[[#This Row],[PROVEEDOR]],"*"&amp;'Palabra que no opera y Listas d'!$A$2&amp;"*"))</f>
        <v>0</v>
      </c>
    </row>
    <row r="1358" spans="1:26" ht="27.75" customHeight="1" x14ac:dyDescent="0.25">
      <c r="A1358" s="141" t="str">
        <f>+IF(PROVEEDORES[[#This Row],[FECHA DE PAGO]]=PROVEEDORES[[#This Row],[FECHA DE FACTURACIÓN]],"DE CONTADO","CRÉDITO")</f>
        <v>CRÉDITO</v>
      </c>
      <c r="B1358" s="138" t="str">
        <f>+IF((PROVEEDORES[[#This Row],[FECHA DE PAGO]]-PROVEEDORES[[#This Row],[FECHA DE FACTURACIÓN]])&gt;PROVEEDORES[[#This Row],[PLAZO Días]],"PAGO VENCIDO")</f>
        <v>PAGO VENCIDO</v>
      </c>
      <c r="C1358" s="138">
        <f>+VLOOKUP(PROVEEDORES[[#This Row],[PROVEEDOR]],TERCEROS_INFO[#All],2,FALSE)</f>
        <v>30</v>
      </c>
      <c r="D1358" s="139">
        <f>+SUMIFS(PROVEEDORES[Total],PROVEEDORES[PROVEEDOR],PROVEEDORES[[#This Row],[PROVEEDOR]],PROVEEDORES[FECHA DE PAGO],"")</f>
        <v>4466504.835</v>
      </c>
      <c r="E1358" s="140"/>
      <c r="F1358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358" s="127">
        <v>45364</v>
      </c>
      <c r="H1358" s="123" t="s">
        <v>18</v>
      </c>
      <c r="I1358" s="127">
        <v>45321</v>
      </c>
      <c r="J1358" s="124" t="s">
        <v>1640</v>
      </c>
      <c r="K1358" s="124" t="s">
        <v>504</v>
      </c>
      <c r="L1358" s="124" t="s">
        <v>1533</v>
      </c>
      <c r="M1358" s="125">
        <v>1194685.2</v>
      </c>
      <c r="N1358" s="148">
        <v>226990.18799999999</v>
      </c>
      <c r="O1358" s="148">
        <v>0</v>
      </c>
      <c r="P1358" s="149">
        <v>0</v>
      </c>
      <c r="Q1358" s="148">
        <v>0</v>
      </c>
      <c r="R1358" s="150">
        <v>1421675.388</v>
      </c>
      <c r="S13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8" s="135">
        <f ca="1">+IF(PROVEEDORES[[#This Row],[FECHA DE PAGO]]=0,TODAY()-PROVEEDORES[[#This Row],[FECHA DE FACTURACIÓN]]-PROVEEDORES[[#This Row],[PLAZO Días]],0)</f>
        <v>0</v>
      </c>
      <c r="U1358" s="135" t="str">
        <f>+VLOOKUP(PROVEEDORES[[#This Row],[PROVEEDOR]],Terceros!$A:$D,4,FALSE)</f>
        <v>2,5% con base</v>
      </c>
      <c r="V1358" s="135">
        <f>+YEAR(PROVEEDORES[[#This Row],[FECHA DE FACTURACIÓN]])</f>
        <v>2024</v>
      </c>
      <c r="W1358" s="135">
        <f>+MATCH(PROVEEDORES[[#This Row],[año facturado]],Retenciones!$1:$1,0)</f>
        <v>7</v>
      </c>
      <c r="X1358" s="136">
        <f>+VLOOKUP(PROVEEDORES[[#This Row],[ID RETENCION]],Retenciones!$A$1:$O$25,PROVEEDORES[[#This Row],[indicador de columna]],FALSE)</f>
        <v>1271000</v>
      </c>
      <c r="Y1358" s="137">
        <f>+VLOOKUP(PROVEEDORES[[#This Row],[ID RETENCION]],Retenciones!$A$1:$O$25,2,FALSE)</f>
        <v>2.5000000000000001E-2</v>
      </c>
      <c r="Z1358" s="126" t="b">
        <f>+OR(COUNTIF(PROVEEDORES[[#This Row],[PROVEEDOR]],"*"&amp;'Palabra que no opera y Listas d'!$A$2&amp;"*"))</f>
        <v>0</v>
      </c>
    </row>
    <row r="1359" spans="1:26" ht="27.75" customHeight="1" x14ac:dyDescent="0.25">
      <c r="A1359" s="141" t="str">
        <f>+IF(PROVEEDORES[[#This Row],[FECHA DE PAGO]]=PROVEEDORES[[#This Row],[FECHA DE FACTURACIÓN]],"DE CONTADO","CRÉDITO")</f>
        <v>CRÉDITO</v>
      </c>
      <c r="B1359" s="138" t="str">
        <f>+IF((PROVEEDORES[[#This Row],[FECHA DE PAGO]]-PROVEEDORES[[#This Row],[FECHA DE FACTURACIÓN]])&gt;PROVEEDORES[[#This Row],[PLAZO Días]],"PAGO VENCIDO")</f>
        <v>PAGO VENCIDO</v>
      </c>
      <c r="C1359" s="138">
        <f>+VLOOKUP(PROVEEDORES[[#This Row],[PROVEEDOR]],TERCEROS_INFO[#All],2,FALSE)</f>
        <v>30</v>
      </c>
      <c r="D1359" s="139">
        <f>+SUMIFS(PROVEEDORES[Total],PROVEEDORES[PROVEEDOR],PROVEEDORES[[#This Row],[PROVEEDOR]],PROVEEDORES[FECHA DE PAGO],"")</f>
        <v>5581100</v>
      </c>
      <c r="E1359" s="140"/>
      <c r="F1359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359" s="127">
        <v>45364</v>
      </c>
      <c r="H1359" s="123" t="s">
        <v>446</v>
      </c>
      <c r="I1359" s="127">
        <v>45322</v>
      </c>
      <c r="J1359" s="124" t="s">
        <v>1506</v>
      </c>
      <c r="K1359" s="124" t="s">
        <v>504</v>
      </c>
      <c r="L1359" s="124" t="s">
        <v>1534</v>
      </c>
      <c r="M1359" s="125">
        <v>5400000</v>
      </c>
      <c r="N1359" s="148">
        <v>1026000</v>
      </c>
      <c r="O1359" s="148">
        <v>0</v>
      </c>
      <c r="P1359" s="149">
        <v>0</v>
      </c>
      <c r="Q1359" s="148">
        <v>0</v>
      </c>
      <c r="R1359" s="150">
        <v>6426000</v>
      </c>
      <c r="S13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59" s="135">
        <f ca="1">+IF(PROVEEDORES[[#This Row],[FECHA DE PAGO]]=0,TODAY()-PROVEEDORES[[#This Row],[FECHA DE FACTURACIÓN]]-PROVEEDORES[[#This Row],[PLAZO Días]],0)</f>
        <v>0</v>
      </c>
      <c r="U1359" s="135">
        <f>+VLOOKUP(PROVEEDORES[[#This Row],[PROVEEDOR]],Terceros!$A:$D,4,FALSE)</f>
        <v>0</v>
      </c>
      <c r="V1359" s="135">
        <f>+YEAR(PROVEEDORES[[#This Row],[FECHA DE FACTURACIÓN]])</f>
        <v>2024</v>
      </c>
      <c r="W1359" s="135">
        <f>+MATCH(PROVEEDORES[[#This Row],[año facturado]],Retenciones!$1:$1,0)</f>
        <v>7</v>
      </c>
      <c r="X1359" s="136">
        <f>+VLOOKUP(PROVEEDORES[[#This Row],[ID RETENCION]],Retenciones!$A$1:$O$25,PROVEEDORES[[#This Row],[indicador de columna]],FALSE)</f>
        <v>0</v>
      </c>
      <c r="Y1359" s="137">
        <f>+VLOOKUP(PROVEEDORES[[#This Row],[ID RETENCION]],Retenciones!$A$1:$O$25,2,FALSE)</f>
        <v>0</v>
      </c>
      <c r="Z1359" s="126" t="b">
        <f>+OR(COUNTIF(PROVEEDORES[[#This Row],[PROVEEDOR]],"*"&amp;'Palabra que no opera y Listas d'!$A$2&amp;"*"))</f>
        <v>0</v>
      </c>
    </row>
    <row r="1360" spans="1:26" ht="27.75" customHeight="1" x14ac:dyDescent="0.25">
      <c r="A1360" s="141" t="str">
        <f>+IF(PROVEEDORES[[#This Row],[FECHA DE PAGO]]=PROVEEDORES[[#This Row],[FECHA DE FACTURACIÓN]],"DE CONTADO","CRÉDITO")</f>
        <v>CRÉDITO</v>
      </c>
      <c r="B1360" s="138" t="str">
        <f>+IF((PROVEEDORES[[#This Row],[FECHA DE PAGO]]-PROVEEDORES[[#This Row],[FECHA DE FACTURACIÓN]])&gt;PROVEEDORES[[#This Row],[PLAZO Días]],"PAGO VENCIDO")</f>
        <v>PAGO VENCIDO</v>
      </c>
      <c r="C1360" s="138">
        <f>+VLOOKUP(PROVEEDORES[[#This Row],[PROVEEDOR]],TERCEROS_INFO[#All],2,FALSE)</f>
        <v>30</v>
      </c>
      <c r="D1360" s="139">
        <f>+SUMIFS(PROVEEDORES[Total],PROVEEDORES[PROVEEDOR],PROVEEDORES[[#This Row],[PROVEEDOR]],PROVEEDORES[FECHA DE PAGO],"")</f>
        <v>4466504.835</v>
      </c>
      <c r="E1360" s="140"/>
      <c r="F1360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360" s="127">
        <v>45364</v>
      </c>
      <c r="H1360" s="123" t="s">
        <v>18</v>
      </c>
      <c r="I1360" s="127">
        <v>45330</v>
      </c>
      <c r="J1360" s="124">
        <v>1082730</v>
      </c>
      <c r="K1360" s="124" t="s">
        <v>504</v>
      </c>
      <c r="L1360" s="124" t="s">
        <v>1533</v>
      </c>
      <c r="M1360" s="125">
        <v>3788095</v>
      </c>
      <c r="N1360" s="148">
        <v>719738.05</v>
      </c>
      <c r="O1360" s="148">
        <v>0</v>
      </c>
      <c r="P1360" s="149">
        <v>2.5000000000000001E-2</v>
      </c>
      <c r="Q1360" s="148">
        <v>94702.375</v>
      </c>
      <c r="R1360" s="150">
        <v>4413130.6749999998</v>
      </c>
      <c r="S13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0" s="135">
        <f ca="1">+IF(PROVEEDORES[[#This Row],[FECHA DE PAGO]]=0,TODAY()-PROVEEDORES[[#This Row],[FECHA DE FACTURACIÓN]]-PROVEEDORES[[#This Row],[PLAZO Días]],0)</f>
        <v>0</v>
      </c>
      <c r="U1360" s="135" t="str">
        <f>+VLOOKUP(PROVEEDORES[[#This Row],[PROVEEDOR]],Terceros!$A:$D,4,FALSE)</f>
        <v>2,5% con base</v>
      </c>
      <c r="V1360" s="135">
        <f>+YEAR(PROVEEDORES[[#This Row],[FECHA DE FACTURACIÓN]])</f>
        <v>2024</v>
      </c>
      <c r="W1360" s="135">
        <f>+MATCH(PROVEEDORES[[#This Row],[año facturado]],Retenciones!$1:$1,0)</f>
        <v>7</v>
      </c>
      <c r="X1360" s="136">
        <f>+VLOOKUP(PROVEEDORES[[#This Row],[ID RETENCION]],Retenciones!$A$1:$O$25,PROVEEDORES[[#This Row],[indicador de columna]],FALSE)</f>
        <v>1271000</v>
      </c>
      <c r="Y1360" s="137">
        <f>+VLOOKUP(PROVEEDORES[[#This Row],[ID RETENCION]],Retenciones!$A$1:$O$25,2,FALSE)</f>
        <v>2.5000000000000001E-2</v>
      </c>
      <c r="Z1360" s="126" t="b">
        <f>+OR(COUNTIF(PROVEEDORES[[#This Row],[PROVEEDOR]],"*"&amp;'Palabra que no opera y Listas d'!$A$2&amp;"*"))</f>
        <v>0</v>
      </c>
    </row>
    <row r="1361" spans="1:26" ht="27.75" customHeight="1" x14ac:dyDescent="0.25">
      <c r="A1361" s="141" t="str">
        <f>+IF(PROVEEDORES[[#This Row],[FECHA DE PAGO]]=PROVEEDORES[[#This Row],[FECHA DE FACTURACIÓN]],"DE CONTADO","CRÉDITO")</f>
        <v>CRÉDITO</v>
      </c>
      <c r="B1361" s="138" t="str">
        <f>+IF((PROVEEDORES[[#This Row],[FECHA DE PAGO]]-PROVEEDORES[[#This Row],[FECHA DE FACTURACIÓN]])&gt;PROVEEDORES[[#This Row],[PLAZO Días]],"PAGO VENCIDO")</f>
        <v>PAGO VENCIDO</v>
      </c>
      <c r="C1361" s="138">
        <f>+VLOOKUP(PROVEEDORES[[#This Row],[PROVEEDOR]],TERCEROS_INFO[#All],2,FALSE)</f>
        <v>30</v>
      </c>
      <c r="D1361" s="139">
        <f>+SUMIFS(PROVEEDORES[Total],PROVEEDORES[PROVEEDOR],PROVEEDORES[[#This Row],[PROVEEDOR]],PROVEEDORES[FECHA DE PAGO],"")</f>
        <v>4466504.835</v>
      </c>
      <c r="E1361" s="140"/>
      <c r="F1361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361" s="127">
        <v>45364</v>
      </c>
      <c r="H1361" s="123" t="s">
        <v>18</v>
      </c>
      <c r="I1361" s="127">
        <v>45331</v>
      </c>
      <c r="J1361" s="124">
        <v>1082818</v>
      </c>
      <c r="K1361" s="124" t="s">
        <v>504</v>
      </c>
      <c r="L1361" s="124" t="s">
        <v>1533</v>
      </c>
      <c r="M1361" s="125">
        <v>1564305</v>
      </c>
      <c r="N1361" s="148">
        <v>297217.95</v>
      </c>
      <c r="O1361" s="148">
        <v>0</v>
      </c>
      <c r="P1361" s="149">
        <v>2.5000000000000001E-2</v>
      </c>
      <c r="Q1361" s="148">
        <v>39107.625</v>
      </c>
      <c r="R1361" s="150">
        <v>1822415.325</v>
      </c>
      <c r="S13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1" s="135">
        <f ca="1">+IF(PROVEEDORES[[#This Row],[FECHA DE PAGO]]=0,TODAY()-PROVEEDORES[[#This Row],[FECHA DE FACTURACIÓN]]-PROVEEDORES[[#This Row],[PLAZO Días]],0)</f>
        <v>0</v>
      </c>
      <c r="U1361" s="135" t="str">
        <f>+VLOOKUP(PROVEEDORES[[#This Row],[PROVEEDOR]],Terceros!$A:$D,4,FALSE)</f>
        <v>2,5% con base</v>
      </c>
      <c r="V1361" s="135">
        <f>+YEAR(PROVEEDORES[[#This Row],[FECHA DE FACTURACIÓN]])</f>
        <v>2024</v>
      </c>
      <c r="W1361" s="135">
        <f>+MATCH(PROVEEDORES[[#This Row],[año facturado]],Retenciones!$1:$1,0)</f>
        <v>7</v>
      </c>
      <c r="X1361" s="136">
        <f>+VLOOKUP(PROVEEDORES[[#This Row],[ID RETENCION]],Retenciones!$A$1:$O$25,PROVEEDORES[[#This Row],[indicador de columna]],FALSE)</f>
        <v>1271000</v>
      </c>
      <c r="Y1361" s="137">
        <f>+VLOOKUP(PROVEEDORES[[#This Row],[ID RETENCION]],Retenciones!$A$1:$O$25,2,FALSE)</f>
        <v>2.5000000000000001E-2</v>
      </c>
      <c r="Z1361" s="126" t="b">
        <f>+OR(COUNTIF(PROVEEDORES[[#This Row],[PROVEEDOR]],"*"&amp;'Palabra que no opera y Listas d'!$A$2&amp;"*"))</f>
        <v>0</v>
      </c>
    </row>
    <row r="1362" spans="1:26" ht="27.75" customHeight="1" x14ac:dyDescent="0.25">
      <c r="A1362" s="141" t="str">
        <f>+IF(PROVEEDORES[[#This Row],[FECHA DE PAGO]]=PROVEEDORES[[#This Row],[FECHA DE FACTURACIÓN]],"DE CONTADO","CRÉDITO")</f>
        <v>DE CONTADO</v>
      </c>
      <c r="B1362" s="138" t="b">
        <f>+IF((PROVEEDORES[[#This Row],[FECHA DE PAGO]]-PROVEEDORES[[#This Row],[FECHA DE FACTURACIÓN]])&gt;PROVEEDORES[[#This Row],[PLAZO Días]],"PAGO VENCIDO")</f>
        <v>0</v>
      </c>
      <c r="C1362" s="138">
        <f>+VLOOKUP(PROVEEDORES[[#This Row],[PROVEEDOR]],TERCEROS_INFO[#All],2,FALSE)</f>
        <v>30</v>
      </c>
      <c r="D1362" s="139">
        <f>+SUMIFS(PROVEEDORES[Total],PROVEEDORES[PROVEEDOR],PROVEEDORES[[#This Row],[PROVEEDOR]],PROVEEDORES[FECHA DE PAGO],"")</f>
        <v>0</v>
      </c>
      <c r="E1362" s="140"/>
      <c r="F1362" s="138">
        <f>+VLOOKUP(PROVEEDORES[[#This Row],[PROVEEDOR]],
                       Terceros!$A:$F,
                       5,
                       FALSE)</f>
        <v>0</v>
      </c>
      <c r="G1362" s="127">
        <v>45364</v>
      </c>
      <c r="H1362" s="123" t="s">
        <v>1805</v>
      </c>
      <c r="I1362" s="127">
        <v>45364</v>
      </c>
      <c r="J1362" s="124">
        <v>414</v>
      </c>
      <c r="K1362" s="124" t="s">
        <v>1530</v>
      </c>
      <c r="L1362" s="124" t="s">
        <v>1395</v>
      </c>
      <c r="M1362" s="125">
        <v>665000</v>
      </c>
      <c r="N1362" s="148">
        <v>0</v>
      </c>
      <c r="O1362" s="148">
        <v>0</v>
      </c>
      <c r="P1362" s="149">
        <v>0</v>
      </c>
      <c r="Q1362" s="148">
        <v>0</v>
      </c>
      <c r="R1362" s="150">
        <v>665000</v>
      </c>
      <c r="S13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2" s="135">
        <f ca="1">+IF(PROVEEDORES[[#This Row],[FECHA DE PAGO]]=0,TODAY()-PROVEEDORES[[#This Row],[FECHA DE FACTURACIÓN]]-PROVEEDORES[[#This Row],[PLAZO Días]],0)</f>
        <v>0</v>
      </c>
      <c r="U1362" s="135">
        <f>+VLOOKUP(PROVEEDORES[[#This Row],[PROVEEDOR]],Terceros!$A:$D,4,FALSE)</f>
        <v>0</v>
      </c>
      <c r="V1362" s="135">
        <f>+YEAR(PROVEEDORES[[#This Row],[FECHA DE FACTURACIÓN]])</f>
        <v>2024</v>
      </c>
      <c r="W1362" s="135">
        <f>+MATCH(PROVEEDORES[[#This Row],[año facturado]],Retenciones!$1:$1,0)</f>
        <v>7</v>
      </c>
      <c r="X1362" s="136">
        <f>+VLOOKUP(PROVEEDORES[[#This Row],[ID RETENCION]],Retenciones!$A$1:$O$25,PROVEEDORES[[#This Row],[indicador de columna]],FALSE)</f>
        <v>0</v>
      </c>
      <c r="Y1362" s="137">
        <f>+VLOOKUP(PROVEEDORES[[#This Row],[ID RETENCION]],Retenciones!$A$1:$O$25,2,FALSE)</f>
        <v>0</v>
      </c>
      <c r="Z1362" s="126" t="b">
        <f>+OR(COUNTIF(PROVEEDORES[[#This Row],[PROVEEDOR]],"*"&amp;'Palabra que no opera y Listas d'!$A$2&amp;"*"))</f>
        <v>0</v>
      </c>
    </row>
    <row r="1363" spans="1:26" ht="27.75" customHeight="1" x14ac:dyDescent="0.25">
      <c r="A1363" s="141" t="str">
        <f>+IF(PROVEEDORES[[#This Row],[FECHA DE PAGO]]=PROVEEDORES[[#This Row],[FECHA DE FACTURACIÓN]],"DE CONTADO","CRÉDITO")</f>
        <v>CRÉDITO</v>
      </c>
      <c r="B1363" s="138" t="str">
        <f>+IF((PROVEEDORES[[#This Row],[FECHA DE PAGO]]-PROVEEDORES[[#This Row],[FECHA DE FACTURACIÓN]])&gt;PROVEEDORES[[#This Row],[PLAZO Días]],"PAGO VENCIDO")</f>
        <v>PAGO VENCIDO</v>
      </c>
      <c r="C1363" s="138">
        <f>+VLOOKUP(PROVEEDORES[[#This Row],[PROVEEDOR]],TERCEROS_INFO[#All],2,FALSE)</f>
        <v>30</v>
      </c>
      <c r="D1363" s="139">
        <f>+SUMIFS(PROVEEDORES[Total],PROVEEDORES[PROVEEDOR],PROVEEDORES[[#This Row],[PROVEEDOR]],PROVEEDORES[FECHA DE PAGO],"")</f>
        <v>0</v>
      </c>
      <c r="E1363" s="140"/>
      <c r="F1363" s="138">
        <f>+VLOOKUP(PROVEEDORES[[#This Row],[PROVEEDOR]],
                       Terceros!$A:$F,
                       5,
                       FALSE)</f>
        <v>0</v>
      </c>
      <c r="G1363" s="127">
        <v>45367</v>
      </c>
      <c r="H1363" s="123" t="s">
        <v>475</v>
      </c>
      <c r="I1363" s="127">
        <v>45334</v>
      </c>
      <c r="J1363" s="124">
        <v>12512</v>
      </c>
      <c r="K1363" s="124" t="s">
        <v>1530</v>
      </c>
      <c r="L1363" s="124" t="s">
        <v>1395</v>
      </c>
      <c r="M1363" s="125">
        <v>1654600</v>
      </c>
      <c r="N1363" s="148">
        <v>0</v>
      </c>
      <c r="O1363" s="148">
        <v>165460</v>
      </c>
      <c r="P1363" s="149">
        <v>0</v>
      </c>
      <c r="Q1363" s="148">
        <v>0</v>
      </c>
      <c r="R1363" s="150">
        <v>1489140</v>
      </c>
      <c r="S13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3" s="135">
        <f ca="1">+IF(PROVEEDORES[[#This Row],[FECHA DE PAGO]]=0,TODAY()-PROVEEDORES[[#This Row],[FECHA DE FACTURACIÓN]]-PROVEEDORES[[#This Row],[PLAZO Días]],0)</f>
        <v>0</v>
      </c>
      <c r="U1363" s="135">
        <f>+VLOOKUP(PROVEEDORES[[#This Row],[PROVEEDOR]],Terceros!$A:$D,4,FALSE)</f>
        <v>0</v>
      </c>
      <c r="V1363" s="135">
        <f>+YEAR(PROVEEDORES[[#This Row],[FECHA DE FACTURACIÓN]])</f>
        <v>2024</v>
      </c>
      <c r="W1363" s="135">
        <f>+MATCH(PROVEEDORES[[#This Row],[año facturado]],Retenciones!$1:$1,0)</f>
        <v>7</v>
      </c>
      <c r="X1363" s="136">
        <f>+VLOOKUP(PROVEEDORES[[#This Row],[ID RETENCION]],Retenciones!$A$1:$O$25,PROVEEDORES[[#This Row],[indicador de columna]],FALSE)</f>
        <v>0</v>
      </c>
      <c r="Y1363" s="137">
        <f>+VLOOKUP(PROVEEDORES[[#This Row],[ID RETENCION]],Retenciones!$A$1:$O$25,2,FALSE)</f>
        <v>0</v>
      </c>
      <c r="Z1363" s="126" t="b">
        <f>+OR(COUNTIF(PROVEEDORES[[#This Row],[PROVEEDOR]],"*"&amp;'Palabra que no opera y Listas d'!$A$2&amp;"*"))</f>
        <v>0</v>
      </c>
    </row>
    <row r="1364" spans="1:26" ht="27.75" customHeight="1" x14ac:dyDescent="0.25">
      <c r="A1364" s="141" t="str">
        <f>+IF(PROVEEDORES[[#This Row],[FECHA DE PAGO]]=PROVEEDORES[[#This Row],[FECHA DE FACTURACIÓN]],"DE CONTADO","CRÉDITO")</f>
        <v>CRÉDITO</v>
      </c>
      <c r="B1364" s="138" t="b">
        <f>+IF((PROVEEDORES[[#This Row],[FECHA DE PAGO]]-PROVEEDORES[[#This Row],[FECHA DE FACTURACIÓN]])&gt;PROVEEDORES[[#This Row],[PLAZO Días]],"PAGO VENCIDO")</f>
        <v>0</v>
      </c>
      <c r="C1364" s="138">
        <f>+VLOOKUP(PROVEEDORES[[#This Row],[PROVEEDOR]],TERCEROS_INFO[#All],2,FALSE)</f>
        <v>30</v>
      </c>
      <c r="D1364" s="139">
        <f>+SUMIFS(PROVEEDORES[Total],PROVEEDORES[PROVEEDOR],PROVEEDORES[[#This Row],[PROVEEDOR]],PROVEEDORES[FECHA DE PAGO],"")</f>
        <v>0</v>
      </c>
      <c r="E1364" s="140"/>
      <c r="F1364" s="138">
        <f>+VLOOKUP(PROVEEDORES[[#This Row],[PROVEEDOR]],
                       Terceros!$A:$F,
                       5,
                       FALSE)</f>
        <v>0</v>
      </c>
      <c r="G1364" s="127">
        <v>45367</v>
      </c>
      <c r="H1364" s="123" t="s">
        <v>836</v>
      </c>
      <c r="I1364" s="127">
        <v>45366</v>
      </c>
      <c r="J1364" s="124" t="s">
        <v>1653</v>
      </c>
      <c r="K1364" s="124" t="s">
        <v>504</v>
      </c>
      <c r="L1364" s="124" t="s">
        <v>1395</v>
      </c>
      <c r="M1364" s="125">
        <v>527000</v>
      </c>
      <c r="N1364" s="148">
        <v>0</v>
      </c>
      <c r="O1364" s="148">
        <v>0</v>
      </c>
      <c r="P1364" s="149">
        <v>0</v>
      </c>
      <c r="Q1364" s="148">
        <v>0</v>
      </c>
      <c r="R1364" s="150">
        <v>527000</v>
      </c>
      <c r="S13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4" s="135">
        <f ca="1">+IF(PROVEEDORES[[#This Row],[FECHA DE PAGO]]=0,TODAY()-PROVEEDORES[[#This Row],[FECHA DE FACTURACIÓN]]-PROVEEDORES[[#This Row],[PLAZO Días]],0)</f>
        <v>0</v>
      </c>
      <c r="U1364" s="135">
        <f>+VLOOKUP(PROVEEDORES[[#This Row],[PROVEEDOR]],Terceros!$A:$D,4,FALSE)</f>
        <v>0</v>
      </c>
      <c r="V1364" s="135">
        <f>+YEAR(PROVEEDORES[[#This Row],[FECHA DE FACTURACIÓN]])</f>
        <v>2024</v>
      </c>
      <c r="W1364" s="135">
        <f>+MATCH(PROVEEDORES[[#This Row],[año facturado]],Retenciones!$1:$1,0)</f>
        <v>7</v>
      </c>
      <c r="X1364" s="136">
        <f>+VLOOKUP(PROVEEDORES[[#This Row],[ID RETENCION]],Retenciones!$A$1:$O$25,PROVEEDORES[[#This Row],[indicador de columna]],FALSE)</f>
        <v>0</v>
      </c>
      <c r="Y1364" s="137">
        <f>+VLOOKUP(PROVEEDORES[[#This Row],[ID RETENCION]],Retenciones!$A$1:$O$25,2,FALSE)</f>
        <v>0</v>
      </c>
      <c r="Z1364" s="126" t="b">
        <f>+OR(COUNTIF(PROVEEDORES[[#This Row],[PROVEEDOR]],"*"&amp;'Palabra que no opera y Listas d'!$A$2&amp;"*"))</f>
        <v>0</v>
      </c>
    </row>
    <row r="1365" spans="1:26" ht="27.75" customHeight="1" x14ac:dyDescent="0.25">
      <c r="A1365" s="141" t="str">
        <f>+IF(PROVEEDORES[[#This Row],[FECHA DE PAGO]]=PROVEEDORES[[#This Row],[FECHA DE FACTURACIÓN]],"DE CONTADO","CRÉDITO")</f>
        <v>CRÉDITO</v>
      </c>
      <c r="B1365" s="138" t="str">
        <f>+IF((PROVEEDORES[[#This Row],[FECHA DE PAGO]]-PROVEEDORES[[#This Row],[FECHA DE FACTURACIÓN]])&gt;PROVEEDORES[[#This Row],[PLAZO Días]],"PAGO VENCIDO")</f>
        <v>PAGO VENCIDO</v>
      </c>
      <c r="C1365" s="138">
        <f>+VLOOKUP(PROVEEDORES[[#This Row],[PROVEEDOR]],TERCEROS_INFO[#All],2,FALSE)</f>
        <v>30</v>
      </c>
      <c r="D1365" s="139">
        <f>+SUMIFS(PROVEEDORES[Total],PROVEEDORES[PROVEEDOR],PROVEEDORES[[#This Row],[PROVEEDOR]],PROVEEDORES[FECHA DE PAGO],"")</f>
        <v>0</v>
      </c>
      <c r="E1365" s="140"/>
      <c r="F1365" s="13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365" s="127">
        <v>45369</v>
      </c>
      <c r="H1365" s="123" t="s">
        <v>1580</v>
      </c>
      <c r="I1365" s="127">
        <v>45303</v>
      </c>
      <c r="J1365" s="124" t="s">
        <v>1434</v>
      </c>
      <c r="K1365" s="124" t="s">
        <v>504</v>
      </c>
      <c r="L1365" s="124" t="s">
        <v>1533</v>
      </c>
      <c r="M1365" s="125">
        <v>180000</v>
      </c>
      <c r="N1365" s="148">
        <v>34200</v>
      </c>
      <c r="O1365" s="148">
        <v>0</v>
      </c>
      <c r="P1365" s="149">
        <v>0</v>
      </c>
      <c r="Q1365" s="148">
        <v>0</v>
      </c>
      <c r="R1365" s="150">
        <v>214200</v>
      </c>
      <c r="S13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5" s="135">
        <f ca="1">+IF(PROVEEDORES[[#This Row],[FECHA DE PAGO]]=0,TODAY()-PROVEEDORES[[#This Row],[FECHA DE FACTURACIÓN]]-PROVEEDORES[[#This Row],[PLAZO Días]],0)</f>
        <v>0</v>
      </c>
      <c r="U1365" s="135" t="str">
        <f>+VLOOKUP(PROVEEDORES[[#This Row],[PROVEEDOR]],Terceros!$A:$D,4,FALSE)</f>
        <v>2,5% con base</v>
      </c>
      <c r="V1365" s="135">
        <f>+YEAR(PROVEEDORES[[#This Row],[FECHA DE FACTURACIÓN]])</f>
        <v>2024</v>
      </c>
      <c r="W1365" s="135">
        <f>+MATCH(PROVEEDORES[[#This Row],[año facturado]],Retenciones!$1:$1,0)</f>
        <v>7</v>
      </c>
      <c r="X1365" s="136">
        <f>+VLOOKUP(PROVEEDORES[[#This Row],[ID RETENCION]],Retenciones!$A$1:$O$25,PROVEEDORES[[#This Row],[indicador de columna]],FALSE)</f>
        <v>1271000</v>
      </c>
      <c r="Y1365" s="137">
        <f>+VLOOKUP(PROVEEDORES[[#This Row],[ID RETENCION]],Retenciones!$A$1:$O$25,2,FALSE)</f>
        <v>2.5000000000000001E-2</v>
      </c>
      <c r="Z1365" s="126" t="b">
        <f>+OR(COUNTIF(PROVEEDORES[[#This Row],[PROVEEDOR]],"*"&amp;'Palabra que no opera y Listas d'!$A$2&amp;"*"))</f>
        <v>0</v>
      </c>
    </row>
    <row r="1366" spans="1:26" ht="27.75" customHeight="1" x14ac:dyDescent="0.25">
      <c r="A1366" s="141" t="str">
        <f>+IF(PROVEEDORES[[#This Row],[FECHA DE PAGO]]=PROVEEDORES[[#This Row],[FECHA DE FACTURACIÓN]],"DE CONTADO","CRÉDITO")</f>
        <v>CRÉDITO</v>
      </c>
      <c r="B1366" s="138" t="str">
        <f>+IF((PROVEEDORES[[#This Row],[FECHA DE PAGO]]-PROVEEDORES[[#This Row],[FECHA DE FACTURACIÓN]])&gt;PROVEEDORES[[#This Row],[PLAZO Días]],"PAGO VENCIDO")</f>
        <v>PAGO VENCIDO</v>
      </c>
      <c r="C1366" s="138">
        <f>+VLOOKUP(PROVEEDORES[[#This Row],[PROVEEDOR]],TERCEROS_INFO[#All],2,FALSE)</f>
        <v>30</v>
      </c>
      <c r="D1366" s="139">
        <f>+SUMIFS(PROVEEDORES[Total],PROVEEDORES[PROVEEDOR],PROVEEDORES[[#This Row],[PROVEEDOR]],PROVEEDORES[FECHA DE PAGO],"")</f>
        <v>12628497</v>
      </c>
      <c r="E1366" s="140"/>
      <c r="F1366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366" s="127">
        <v>45369</v>
      </c>
      <c r="H1366" s="123" t="s">
        <v>451</v>
      </c>
      <c r="I1366" s="127">
        <v>45307</v>
      </c>
      <c r="J1366" s="124">
        <v>33399</v>
      </c>
      <c r="K1366" s="124" t="s">
        <v>1530</v>
      </c>
      <c r="L1366" s="124" t="s">
        <v>1533</v>
      </c>
      <c r="M1366" s="125">
        <v>1260000</v>
      </c>
      <c r="N1366" s="148">
        <v>239400</v>
      </c>
      <c r="O1366" s="148">
        <v>0</v>
      </c>
      <c r="P1366" s="149">
        <v>0</v>
      </c>
      <c r="Q1366" s="148">
        <v>0</v>
      </c>
      <c r="R1366" s="150">
        <v>1499400</v>
      </c>
      <c r="S13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6" s="135">
        <f ca="1">+IF(PROVEEDORES[[#This Row],[FECHA DE PAGO]]=0,TODAY()-PROVEEDORES[[#This Row],[FECHA DE FACTURACIÓN]]-PROVEEDORES[[#This Row],[PLAZO Días]],0)</f>
        <v>0</v>
      </c>
      <c r="U1366" s="135" t="str">
        <f>+VLOOKUP(PROVEEDORES[[#This Row],[PROVEEDOR]],Terceros!$A:$D,4,FALSE)</f>
        <v>2,5% con base</v>
      </c>
      <c r="V1366" s="135">
        <f>+YEAR(PROVEEDORES[[#This Row],[FECHA DE FACTURACIÓN]])</f>
        <v>2024</v>
      </c>
      <c r="W1366" s="135">
        <f>+MATCH(PROVEEDORES[[#This Row],[año facturado]],Retenciones!$1:$1,0)</f>
        <v>7</v>
      </c>
      <c r="X1366" s="136">
        <f>+VLOOKUP(PROVEEDORES[[#This Row],[ID RETENCION]],Retenciones!$A$1:$O$25,PROVEEDORES[[#This Row],[indicador de columna]],FALSE)</f>
        <v>1271000</v>
      </c>
      <c r="Y1366" s="137">
        <f>+VLOOKUP(PROVEEDORES[[#This Row],[ID RETENCION]],Retenciones!$A$1:$O$25,2,FALSE)</f>
        <v>2.5000000000000001E-2</v>
      </c>
      <c r="Z1366" s="126" t="b">
        <f>+OR(COUNTIF(PROVEEDORES[[#This Row],[PROVEEDOR]],"*"&amp;'Palabra que no opera y Listas d'!$A$2&amp;"*"))</f>
        <v>0</v>
      </c>
    </row>
    <row r="1367" spans="1:26" ht="27.75" customHeight="1" x14ac:dyDescent="0.25">
      <c r="A1367" s="141" t="str">
        <f>+IF(PROVEEDORES[[#This Row],[FECHA DE PAGO]]=PROVEEDORES[[#This Row],[FECHA DE FACTURACIÓN]],"DE CONTADO","CRÉDITO")</f>
        <v>CRÉDITO</v>
      </c>
      <c r="B1367" s="138" t="str">
        <f>+IF((PROVEEDORES[[#This Row],[FECHA DE PAGO]]-PROVEEDORES[[#This Row],[FECHA DE FACTURACIÓN]])&gt;PROVEEDORES[[#This Row],[PLAZO Días]],"PAGO VENCIDO")</f>
        <v>PAGO VENCIDO</v>
      </c>
      <c r="C1367" s="138">
        <f>+VLOOKUP(PROVEEDORES[[#This Row],[PROVEEDOR]],TERCEROS_INFO[#All],2,FALSE)</f>
        <v>45</v>
      </c>
      <c r="D1367" s="139">
        <f>+SUMIFS(PROVEEDORES[Total],PROVEEDORES[PROVEEDOR],PROVEEDORES[[#This Row],[PROVEEDOR]],PROVEEDORES[FECHA DE PAGO],"")</f>
        <v>2446500</v>
      </c>
      <c r="E1367" s="140"/>
      <c r="F1367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67" s="127">
        <v>45369</v>
      </c>
      <c r="H1367" s="123" t="s">
        <v>10</v>
      </c>
      <c r="I1367" s="127">
        <v>45315</v>
      </c>
      <c r="J1367" s="124" t="s">
        <v>1489</v>
      </c>
      <c r="K1367" s="124" t="s">
        <v>1530</v>
      </c>
      <c r="L1367" s="124" t="s">
        <v>1533</v>
      </c>
      <c r="M1367" s="125">
        <v>330000</v>
      </c>
      <c r="N1367" s="148">
        <v>62700</v>
      </c>
      <c r="O1367" s="148">
        <v>0</v>
      </c>
      <c r="P1367" s="149">
        <v>0</v>
      </c>
      <c r="Q1367" s="148">
        <v>0</v>
      </c>
      <c r="R1367" s="150">
        <v>392700</v>
      </c>
      <c r="S13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7" s="135">
        <f ca="1">+IF(PROVEEDORES[[#This Row],[FECHA DE PAGO]]=0,TODAY()-PROVEEDORES[[#This Row],[FECHA DE FACTURACIÓN]]-PROVEEDORES[[#This Row],[PLAZO Días]],0)</f>
        <v>0</v>
      </c>
      <c r="U1367" s="135" t="str">
        <f>+VLOOKUP(PROVEEDORES[[#This Row],[PROVEEDOR]],Terceros!$A:$D,4,FALSE)</f>
        <v>2,5% con base</v>
      </c>
      <c r="V1367" s="135">
        <f>+YEAR(PROVEEDORES[[#This Row],[FECHA DE FACTURACIÓN]])</f>
        <v>2024</v>
      </c>
      <c r="W1367" s="135">
        <f>+MATCH(PROVEEDORES[[#This Row],[año facturado]],Retenciones!$1:$1,0)</f>
        <v>7</v>
      </c>
      <c r="X1367" s="136">
        <f>+VLOOKUP(PROVEEDORES[[#This Row],[ID RETENCION]],Retenciones!$A$1:$O$25,PROVEEDORES[[#This Row],[indicador de columna]],FALSE)</f>
        <v>1271000</v>
      </c>
      <c r="Y1367" s="137">
        <f>+VLOOKUP(PROVEEDORES[[#This Row],[ID RETENCION]],Retenciones!$A$1:$O$25,2,FALSE)</f>
        <v>2.5000000000000001E-2</v>
      </c>
      <c r="Z1367" s="126" t="b">
        <f>+OR(COUNTIF(PROVEEDORES[[#This Row],[PROVEEDOR]],"*"&amp;'Palabra que no opera y Listas d'!$A$2&amp;"*"))</f>
        <v>0</v>
      </c>
    </row>
    <row r="1368" spans="1:26" ht="27.75" customHeight="1" x14ac:dyDescent="0.25">
      <c r="A1368" s="141" t="str">
        <f>+IF(PROVEEDORES[[#This Row],[FECHA DE PAGO]]=PROVEEDORES[[#This Row],[FECHA DE FACTURACIÓN]],"DE CONTADO","CRÉDITO")</f>
        <v>CRÉDITO</v>
      </c>
      <c r="B1368" s="138" t="str">
        <f>+IF((PROVEEDORES[[#This Row],[FECHA DE PAGO]]-PROVEEDORES[[#This Row],[FECHA DE FACTURACIÓN]])&gt;PROVEEDORES[[#This Row],[PLAZO Días]],"PAGO VENCIDO")</f>
        <v>PAGO VENCIDO</v>
      </c>
      <c r="C1368" s="138">
        <f>+VLOOKUP(PROVEEDORES[[#This Row],[PROVEEDOR]],TERCEROS_INFO[#All],2,FALSE)</f>
        <v>45</v>
      </c>
      <c r="D1368" s="139">
        <f>+SUMIFS(PROVEEDORES[Total],PROVEEDORES[PROVEEDOR],PROVEEDORES[[#This Row],[PROVEEDOR]],PROVEEDORES[FECHA DE PAGO],"")</f>
        <v>22186260.039999999</v>
      </c>
      <c r="E1368" s="140"/>
      <c r="F1368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368" s="127">
        <v>45369</v>
      </c>
      <c r="H1368" s="123" t="s">
        <v>19</v>
      </c>
      <c r="I1368" s="127">
        <v>45316</v>
      </c>
      <c r="J1368" s="124" t="s">
        <v>1484</v>
      </c>
      <c r="K1368" s="124" t="s">
        <v>504</v>
      </c>
      <c r="L1368" s="124" t="s">
        <v>1533</v>
      </c>
      <c r="M1368" s="125">
        <v>2971140</v>
      </c>
      <c r="N1368" s="148">
        <v>564516.6</v>
      </c>
      <c r="O1368" s="148">
        <v>0</v>
      </c>
      <c r="P1368" s="149">
        <v>0</v>
      </c>
      <c r="Q1368" s="148">
        <v>0</v>
      </c>
      <c r="R1368" s="150">
        <v>3535656.6</v>
      </c>
      <c r="S13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8" s="135">
        <f ca="1">+IF(PROVEEDORES[[#This Row],[FECHA DE PAGO]]=0,TODAY()-PROVEEDORES[[#This Row],[FECHA DE FACTURACIÓN]]-PROVEEDORES[[#This Row],[PLAZO Días]],0)</f>
        <v>0</v>
      </c>
      <c r="U1368" s="135">
        <f>+VLOOKUP(PROVEEDORES[[#This Row],[PROVEEDOR]],Terceros!$A:$D,4,FALSE)</f>
        <v>0</v>
      </c>
      <c r="V1368" s="135">
        <f>+YEAR(PROVEEDORES[[#This Row],[FECHA DE FACTURACIÓN]])</f>
        <v>2024</v>
      </c>
      <c r="W1368" s="135">
        <f>+MATCH(PROVEEDORES[[#This Row],[año facturado]],Retenciones!$1:$1,0)</f>
        <v>7</v>
      </c>
      <c r="X1368" s="136">
        <f>+VLOOKUP(PROVEEDORES[[#This Row],[ID RETENCION]],Retenciones!$A$1:$O$25,PROVEEDORES[[#This Row],[indicador de columna]],FALSE)</f>
        <v>0</v>
      </c>
      <c r="Y1368" s="137">
        <f>+VLOOKUP(PROVEEDORES[[#This Row],[ID RETENCION]],Retenciones!$A$1:$O$25,2,FALSE)</f>
        <v>0</v>
      </c>
      <c r="Z1368" s="126" t="b">
        <f>+OR(COUNTIF(PROVEEDORES[[#This Row],[PROVEEDOR]],"*"&amp;'Palabra que no opera y Listas d'!$A$2&amp;"*"))</f>
        <v>0</v>
      </c>
    </row>
    <row r="1369" spans="1:26" ht="27.75" customHeight="1" x14ac:dyDescent="0.25">
      <c r="A1369" s="141" t="str">
        <f>+IF(PROVEEDORES[[#This Row],[FECHA DE PAGO]]=PROVEEDORES[[#This Row],[FECHA DE FACTURACIÓN]],"DE CONTADO","CRÉDITO")</f>
        <v>CRÉDITO</v>
      </c>
      <c r="B1369" s="138" t="str">
        <f>+IF((PROVEEDORES[[#This Row],[FECHA DE PAGO]]-PROVEEDORES[[#This Row],[FECHA DE FACTURACIÓN]])&gt;PROVEEDORES[[#This Row],[PLAZO Días]],"PAGO VENCIDO")</f>
        <v>PAGO VENCIDO</v>
      </c>
      <c r="C1369" s="138">
        <f>+VLOOKUP(PROVEEDORES[[#This Row],[PROVEEDOR]],TERCEROS_INFO[#All],2,FALSE)</f>
        <v>45</v>
      </c>
      <c r="D1369" s="139">
        <f>+SUMIFS(PROVEEDORES[Total],PROVEEDORES[PROVEEDOR],PROVEEDORES[[#This Row],[PROVEEDOR]],PROVEEDORES[FECHA DE PAGO],"")</f>
        <v>2446500</v>
      </c>
      <c r="E1369" s="140"/>
      <c r="F1369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369" s="127">
        <v>45369</v>
      </c>
      <c r="H1369" s="123" t="s">
        <v>10</v>
      </c>
      <c r="I1369" s="127">
        <v>45320</v>
      </c>
      <c r="J1369" s="124" t="s">
        <v>1490</v>
      </c>
      <c r="K1369" s="124" t="s">
        <v>504</v>
      </c>
      <c r="L1369" s="124" t="s">
        <v>1533</v>
      </c>
      <c r="M1369" s="125">
        <v>4620000</v>
      </c>
      <c r="N1369" s="148">
        <v>877800</v>
      </c>
      <c r="O1369" s="148">
        <v>0</v>
      </c>
      <c r="P1369" s="149">
        <v>2.5000000000000001E-2</v>
      </c>
      <c r="Q1369" s="148">
        <v>115500</v>
      </c>
      <c r="R1369" s="150">
        <v>5382300</v>
      </c>
      <c r="S13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69" s="135">
        <f ca="1">+IF(PROVEEDORES[[#This Row],[FECHA DE PAGO]]=0,TODAY()-PROVEEDORES[[#This Row],[FECHA DE FACTURACIÓN]]-PROVEEDORES[[#This Row],[PLAZO Días]],0)</f>
        <v>0</v>
      </c>
      <c r="U1369" s="135" t="str">
        <f>+VLOOKUP(PROVEEDORES[[#This Row],[PROVEEDOR]],Terceros!$A:$D,4,FALSE)</f>
        <v>2,5% con base</v>
      </c>
      <c r="V1369" s="135">
        <f>+YEAR(PROVEEDORES[[#This Row],[FECHA DE FACTURACIÓN]])</f>
        <v>2024</v>
      </c>
      <c r="W1369" s="135">
        <f>+MATCH(PROVEEDORES[[#This Row],[año facturado]],Retenciones!$1:$1,0)</f>
        <v>7</v>
      </c>
      <c r="X1369" s="136">
        <f>+VLOOKUP(PROVEEDORES[[#This Row],[ID RETENCION]],Retenciones!$A$1:$O$25,PROVEEDORES[[#This Row],[indicador de columna]],FALSE)</f>
        <v>1271000</v>
      </c>
      <c r="Y1369" s="137">
        <f>+VLOOKUP(PROVEEDORES[[#This Row],[ID RETENCION]],Retenciones!$A$1:$O$25,2,FALSE)</f>
        <v>2.5000000000000001E-2</v>
      </c>
      <c r="Z1369" s="126" t="b">
        <f>+OR(COUNTIF(PROVEEDORES[[#This Row],[PROVEEDOR]],"*"&amp;'Palabra que no opera y Listas d'!$A$2&amp;"*"))</f>
        <v>0</v>
      </c>
    </row>
    <row r="1370" spans="1:26" ht="27.75" customHeight="1" x14ac:dyDescent="0.25">
      <c r="A1370" s="141" t="str">
        <f>+IF(PROVEEDORES[[#This Row],[FECHA DE PAGO]]=PROVEEDORES[[#This Row],[FECHA DE FACTURACIÓN]],"DE CONTADO","CRÉDITO")</f>
        <v>CRÉDITO</v>
      </c>
      <c r="B1370" s="138" t="str">
        <f>+IF((PROVEEDORES[[#This Row],[FECHA DE PAGO]]-PROVEEDORES[[#This Row],[FECHA DE FACTURACIÓN]])&gt;PROVEEDORES[[#This Row],[PLAZO Días]],"PAGO VENCIDO")</f>
        <v>PAGO VENCIDO</v>
      </c>
      <c r="C1370" s="138">
        <f>+VLOOKUP(PROVEEDORES[[#This Row],[PROVEEDOR]],TERCEROS_INFO[#All],2,FALSE)</f>
        <v>30</v>
      </c>
      <c r="D1370" s="139">
        <f>+SUMIFS(PROVEEDORES[Total],PROVEEDORES[PROVEEDOR],PROVEEDORES[[#This Row],[PROVEEDOR]],PROVEEDORES[FECHA DE PAGO],"")</f>
        <v>2095000</v>
      </c>
      <c r="E1370" s="140"/>
      <c r="F1370" s="13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370" s="127">
        <v>45369</v>
      </c>
      <c r="H1370" s="123" t="s">
        <v>1804</v>
      </c>
      <c r="I1370" s="127">
        <v>45335</v>
      </c>
      <c r="J1370" s="124" t="s">
        <v>1610</v>
      </c>
      <c r="K1370" s="124" t="s">
        <v>1530</v>
      </c>
      <c r="L1370" s="124" t="s">
        <v>1395</v>
      </c>
      <c r="M1370" s="125">
        <v>2040000</v>
      </c>
      <c r="N1370" s="148">
        <v>0</v>
      </c>
      <c r="O1370" s="148">
        <v>0</v>
      </c>
      <c r="P1370" s="149">
        <v>0</v>
      </c>
      <c r="Q1370" s="148">
        <v>0</v>
      </c>
      <c r="R1370" s="150">
        <v>2040000</v>
      </c>
      <c r="S13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0" s="135">
        <f ca="1">+IF(PROVEEDORES[[#This Row],[FECHA DE PAGO]]=0,TODAY()-PROVEEDORES[[#This Row],[FECHA DE FACTURACIÓN]]-PROVEEDORES[[#This Row],[PLAZO Días]],0)</f>
        <v>0</v>
      </c>
      <c r="U1370" s="135">
        <f>+VLOOKUP(PROVEEDORES[[#This Row],[PROVEEDOR]],Terceros!$A:$D,4,FALSE)</f>
        <v>0</v>
      </c>
      <c r="V1370" s="135">
        <f>+YEAR(PROVEEDORES[[#This Row],[FECHA DE FACTURACIÓN]])</f>
        <v>2024</v>
      </c>
      <c r="W1370" s="135">
        <f>+MATCH(PROVEEDORES[[#This Row],[año facturado]],Retenciones!$1:$1,0)</f>
        <v>7</v>
      </c>
      <c r="X1370" s="136">
        <f>+VLOOKUP(PROVEEDORES[[#This Row],[ID RETENCION]],Retenciones!$A$1:$O$25,PROVEEDORES[[#This Row],[indicador de columna]],FALSE)</f>
        <v>0</v>
      </c>
      <c r="Y1370" s="137">
        <f>+VLOOKUP(PROVEEDORES[[#This Row],[ID RETENCION]],Retenciones!$A$1:$O$25,2,FALSE)</f>
        <v>0</v>
      </c>
      <c r="Z1370" s="126" t="b">
        <f>+OR(COUNTIF(PROVEEDORES[[#This Row],[PROVEEDOR]],"*"&amp;'Palabra que no opera y Listas d'!$A$2&amp;"*"))</f>
        <v>0</v>
      </c>
    </row>
    <row r="1371" spans="1:26" ht="27.75" customHeight="1" x14ac:dyDescent="0.25">
      <c r="A1371" s="141" t="str">
        <f>+IF(PROVEEDORES[[#This Row],[FECHA DE PAGO]]=PROVEEDORES[[#This Row],[FECHA DE FACTURACIÓN]],"DE CONTADO","CRÉDITO")</f>
        <v>DE CONTADO</v>
      </c>
      <c r="B1371" s="138" t="b">
        <f>+IF((PROVEEDORES[[#This Row],[FECHA DE PAGO]]-PROVEEDORES[[#This Row],[FECHA DE FACTURACIÓN]])&gt;PROVEEDORES[[#This Row],[PLAZO Días]],"PAGO VENCIDO")</f>
        <v>0</v>
      </c>
      <c r="C1371" s="138">
        <f>+VLOOKUP(PROVEEDORES[[#This Row],[PROVEEDOR]],TERCEROS_INFO[#All],2,FALSE)</f>
        <v>30</v>
      </c>
      <c r="D1371" s="139">
        <f>+SUMIFS(PROVEEDORES[Total],PROVEEDORES[PROVEEDOR],PROVEEDORES[[#This Row],[PROVEEDOR]],PROVEEDORES[FECHA DE PAGO],"")</f>
        <v>0</v>
      </c>
      <c r="E1371" s="140"/>
      <c r="F1371" s="138" t="str">
        <f>+VLOOKUP(PROVEEDORES[[#This Row],[PROVEEDOR]],
                       Terceros!$A:$F,
                       5,
                       FALSE)</f>
        <v/>
      </c>
      <c r="G1371" s="127">
        <v>45369</v>
      </c>
      <c r="H1371" s="123" t="s">
        <v>1803</v>
      </c>
      <c r="I1371" s="127">
        <v>45369</v>
      </c>
      <c r="J1371" s="124" t="s">
        <v>1711</v>
      </c>
      <c r="K1371" s="124" t="s">
        <v>1530</v>
      </c>
      <c r="L1371" s="124" t="s">
        <v>1541</v>
      </c>
      <c r="M1371" s="125">
        <v>2265401</v>
      </c>
      <c r="N1371" s="148">
        <v>0</v>
      </c>
      <c r="O1371" s="148">
        <v>0</v>
      </c>
      <c r="P1371" s="149">
        <v>0</v>
      </c>
      <c r="Q1371" s="148">
        <v>0</v>
      </c>
      <c r="R1371" s="150">
        <v>2265401</v>
      </c>
      <c r="S13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1" s="135">
        <f ca="1">+IF(PROVEEDORES[[#This Row],[FECHA DE PAGO]]=0,TODAY()-PROVEEDORES[[#This Row],[FECHA DE FACTURACIÓN]]-PROVEEDORES[[#This Row],[PLAZO Días]],0)</f>
        <v>0</v>
      </c>
      <c r="U1371" s="135">
        <f>+VLOOKUP(PROVEEDORES[[#This Row],[PROVEEDOR]],Terceros!$A:$D,4,FALSE)</f>
        <v>0</v>
      </c>
      <c r="V1371" s="135">
        <f>+YEAR(PROVEEDORES[[#This Row],[FECHA DE FACTURACIÓN]])</f>
        <v>2024</v>
      </c>
      <c r="W1371" s="135">
        <f>+MATCH(PROVEEDORES[[#This Row],[año facturado]],Retenciones!$1:$1,0)</f>
        <v>7</v>
      </c>
      <c r="X1371" s="136">
        <f>+VLOOKUP(PROVEEDORES[[#This Row],[ID RETENCION]],Retenciones!$A$1:$O$25,PROVEEDORES[[#This Row],[indicador de columna]],FALSE)</f>
        <v>0</v>
      </c>
      <c r="Y1371" s="137">
        <f>+VLOOKUP(PROVEEDORES[[#This Row],[ID RETENCION]],Retenciones!$A$1:$O$25,2,FALSE)</f>
        <v>0</v>
      </c>
      <c r="Z1371" s="126" t="b">
        <f>+OR(COUNTIF(PROVEEDORES[[#This Row],[PROVEEDOR]],"*"&amp;'Palabra que no opera y Listas d'!$A$2&amp;"*"))</f>
        <v>0</v>
      </c>
    </row>
    <row r="1372" spans="1:26" ht="27.75" customHeight="1" x14ac:dyDescent="0.25">
      <c r="A1372" s="141" t="str">
        <f>+IF(PROVEEDORES[[#This Row],[FECHA DE PAGO]]=PROVEEDORES[[#This Row],[FECHA DE FACTURACIÓN]],"DE CONTADO","CRÉDITO")</f>
        <v>CRÉDITO</v>
      </c>
      <c r="B1372" s="138" t="str">
        <f>+IF((PROVEEDORES[[#This Row],[FECHA DE PAGO]]-PROVEEDORES[[#This Row],[FECHA DE FACTURACIÓN]])&gt;PROVEEDORES[[#This Row],[PLAZO Días]],"PAGO VENCIDO")</f>
        <v>PAGO VENCIDO</v>
      </c>
      <c r="C1372" s="138">
        <f>+VLOOKUP(PROVEEDORES[[#This Row],[PROVEEDOR]],TERCEROS_INFO[#All],2,FALSE)</f>
        <v>30</v>
      </c>
      <c r="D1372" s="139">
        <f>+SUMIFS(PROVEEDORES[Total],PROVEEDORES[PROVEEDOR],PROVEEDORES[[#This Row],[PROVEEDOR]],PROVEEDORES[FECHA DE PAGO],"")</f>
        <v>352000</v>
      </c>
      <c r="E1372" s="140"/>
      <c r="F1372" s="138" t="str">
        <f>+VLOOKUP(PROVEEDORES[[#This Row],[PROVEEDOR]],
                       Terceros!$A:$F,
                       5,
                       FALSE)</f>
        <v/>
      </c>
      <c r="G1372" s="127">
        <v>45370</v>
      </c>
      <c r="H1372" s="123" t="s">
        <v>527</v>
      </c>
      <c r="I1372" s="127">
        <v>45278</v>
      </c>
      <c r="J1372" s="124" t="s">
        <v>1500</v>
      </c>
      <c r="K1372" s="124" t="s">
        <v>1530</v>
      </c>
      <c r="L1372" s="124" t="s">
        <v>1395</v>
      </c>
      <c r="M1372" s="125">
        <v>269500</v>
      </c>
      <c r="N1372" s="148">
        <v>0</v>
      </c>
      <c r="O1372" s="148">
        <v>0</v>
      </c>
      <c r="P1372" s="149">
        <v>0</v>
      </c>
      <c r="Q1372" s="148">
        <v>0</v>
      </c>
      <c r="R1372" s="150">
        <v>269500</v>
      </c>
      <c r="S13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2" s="135">
        <f ca="1">+IF(PROVEEDORES[[#This Row],[FECHA DE PAGO]]=0,TODAY()-PROVEEDORES[[#This Row],[FECHA DE FACTURACIÓN]]-PROVEEDORES[[#This Row],[PLAZO Días]],0)</f>
        <v>0</v>
      </c>
      <c r="U1372" s="135">
        <f>+VLOOKUP(PROVEEDORES[[#This Row],[PROVEEDOR]],Terceros!$A:$D,4,FALSE)</f>
        <v>0</v>
      </c>
      <c r="V1372" s="135">
        <f>+YEAR(PROVEEDORES[[#This Row],[FECHA DE FACTURACIÓN]])</f>
        <v>2023</v>
      </c>
      <c r="W1372" s="135">
        <f>+MATCH(PROVEEDORES[[#This Row],[año facturado]],Retenciones!$1:$1,0)</f>
        <v>6</v>
      </c>
      <c r="X1372" s="136">
        <f>+VLOOKUP(PROVEEDORES[[#This Row],[ID RETENCION]],Retenciones!$A$1:$O$25,PROVEEDORES[[#This Row],[indicador de columna]],FALSE)</f>
        <v>0</v>
      </c>
      <c r="Y1372" s="137">
        <f>+VLOOKUP(PROVEEDORES[[#This Row],[ID RETENCION]],Retenciones!$A$1:$O$25,2,FALSE)</f>
        <v>0</v>
      </c>
      <c r="Z1372" s="126" t="b">
        <f>+OR(COUNTIF(PROVEEDORES[[#This Row],[PROVEEDOR]],"*"&amp;'Palabra que no opera y Listas d'!$A$2&amp;"*"))</f>
        <v>0</v>
      </c>
    </row>
    <row r="1373" spans="1:26" ht="27.75" customHeight="1" x14ac:dyDescent="0.25">
      <c r="A1373" s="141" t="str">
        <f>+IF(PROVEEDORES[[#This Row],[FECHA DE PAGO]]=PROVEEDORES[[#This Row],[FECHA DE FACTURACIÓN]],"DE CONTADO","CRÉDITO")</f>
        <v>CRÉDITO</v>
      </c>
      <c r="B1373" s="138" t="str">
        <f>+IF((PROVEEDORES[[#This Row],[FECHA DE PAGO]]-PROVEEDORES[[#This Row],[FECHA DE FACTURACIÓN]])&gt;PROVEEDORES[[#This Row],[PLAZO Días]],"PAGO VENCIDO")</f>
        <v>PAGO VENCIDO</v>
      </c>
      <c r="C1373" s="138">
        <f>+VLOOKUP(PROVEEDORES[[#This Row],[PROVEEDOR]],TERCEROS_INFO[#All],2,FALSE)</f>
        <v>30</v>
      </c>
      <c r="D1373" s="139">
        <f>+SUMIFS(PROVEEDORES[Total],PROVEEDORES[PROVEEDOR],PROVEEDORES[[#This Row],[PROVEEDOR]],PROVEEDORES[FECHA DE PAGO],"")</f>
        <v>4316000</v>
      </c>
      <c r="E1373" s="140"/>
      <c r="F1373" s="138" t="str">
        <f>+VLOOKUP(PROVEEDORES[[#This Row],[PROVEEDOR]],
                       Terceros!$A:$F,
                       5,
                       FALSE)</f>
        <v/>
      </c>
      <c r="G1373" s="127">
        <v>45370</v>
      </c>
      <c r="H1373" s="123" t="s">
        <v>1812</v>
      </c>
      <c r="I1373" s="127">
        <v>45324</v>
      </c>
      <c r="J1373" s="124" t="s">
        <v>1543</v>
      </c>
      <c r="K1373" s="124" t="s">
        <v>1530</v>
      </c>
      <c r="L1373" s="124" t="s">
        <v>1395</v>
      </c>
      <c r="M1373" s="125">
        <v>780000</v>
      </c>
      <c r="N1373" s="148">
        <v>0</v>
      </c>
      <c r="O1373" s="148">
        <v>0</v>
      </c>
      <c r="P1373" s="149">
        <v>0</v>
      </c>
      <c r="Q1373" s="148">
        <v>0</v>
      </c>
      <c r="R1373" s="150">
        <v>780000</v>
      </c>
      <c r="S13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3" s="135">
        <f ca="1">+IF(PROVEEDORES[[#This Row],[FECHA DE PAGO]]=0,TODAY()-PROVEEDORES[[#This Row],[FECHA DE FACTURACIÓN]]-PROVEEDORES[[#This Row],[PLAZO Días]],0)</f>
        <v>0</v>
      </c>
      <c r="U1373" s="135">
        <f>+VLOOKUP(PROVEEDORES[[#This Row],[PROVEEDOR]],Terceros!$A:$D,4,FALSE)</f>
        <v>0</v>
      </c>
      <c r="V1373" s="135">
        <f>+YEAR(PROVEEDORES[[#This Row],[FECHA DE FACTURACIÓN]])</f>
        <v>2024</v>
      </c>
      <c r="W1373" s="135">
        <f>+MATCH(PROVEEDORES[[#This Row],[año facturado]],Retenciones!$1:$1,0)</f>
        <v>7</v>
      </c>
      <c r="X1373" s="136">
        <f>+VLOOKUP(PROVEEDORES[[#This Row],[ID RETENCION]],Retenciones!$A$1:$O$25,PROVEEDORES[[#This Row],[indicador de columna]],FALSE)</f>
        <v>0</v>
      </c>
      <c r="Y1373" s="137">
        <f>+VLOOKUP(PROVEEDORES[[#This Row],[ID RETENCION]],Retenciones!$A$1:$O$25,2,FALSE)</f>
        <v>0</v>
      </c>
      <c r="Z1373" s="126" t="b">
        <f>+OR(COUNTIF(PROVEEDORES[[#This Row],[PROVEEDOR]],"*"&amp;'Palabra que no opera y Listas d'!$A$2&amp;"*"))</f>
        <v>0</v>
      </c>
    </row>
    <row r="1374" spans="1:26" ht="27.75" customHeight="1" x14ac:dyDescent="0.25">
      <c r="A1374" s="141" t="str">
        <f>+IF(PROVEEDORES[[#This Row],[FECHA DE PAGO]]=PROVEEDORES[[#This Row],[FECHA DE FACTURACIÓN]],"DE CONTADO","CRÉDITO")</f>
        <v>CRÉDITO</v>
      </c>
      <c r="B1374" s="138" t="str">
        <f>+IF((PROVEEDORES[[#This Row],[FECHA DE PAGO]]-PROVEEDORES[[#This Row],[FECHA DE FACTURACIÓN]])&gt;PROVEEDORES[[#This Row],[PLAZO Días]],"PAGO VENCIDO")</f>
        <v>PAGO VENCIDO</v>
      </c>
      <c r="C1374" s="138">
        <f>+VLOOKUP(PROVEEDORES[[#This Row],[PROVEEDOR]],TERCEROS_INFO[#All],2,FALSE)</f>
        <v>30</v>
      </c>
      <c r="D1374" s="139">
        <f>+SUMIFS(PROVEEDORES[Total],PROVEEDORES[PROVEEDOR],PROVEEDORES[[#This Row],[PROVEEDOR]],PROVEEDORES[FECHA DE PAGO],"")</f>
        <v>0</v>
      </c>
      <c r="E1374" s="140"/>
      <c r="F1374" s="138" t="str">
        <f>+VLOOKUP(PROVEEDORES[[#This Row],[PROVEEDOR]],
                       Terceros!$A:$F,
                       5,
                       FALSE)</f>
        <v>memoriasoriginales@gmail.com;girlesa.ruiz@servipilas.com;joriescobar64@gmail.com</v>
      </c>
      <c r="G1374" s="127">
        <v>45370</v>
      </c>
      <c r="H1374" s="123" t="s">
        <v>411</v>
      </c>
      <c r="I1374" s="127">
        <v>45334</v>
      </c>
      <c r="J1374" s="124" t="s">
        <v>1572</v>
      </c>
      <c r="K1374" s="124" t="s">
        <v>504</v>
      </c>
      <c r="L1374" s="124" t="s">
        <v>1533</v>
      </c>
      <c r="M1374" s="125">
        <v>1230000</v>
      </c>
      <c r="N1374" s="148">
        <v>233700</v>
      </c>
      <c r="O1374" s="148">
        <v>0</v>
      </c>
      <c r="P1374" s="149">
        <v>0</v>
      </c>
      <c r="Q1374" s="148">
        <v>0</v>
      </c>
      <c r="R1374" s="150">
        <v>1463700</v>
      </c>
      <c r="S13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4" s="135">
        <f ca="1">+IF(PROVEEDORES[[#This Row],[FECHA DE PAGO]]=0,TODAY()-PROVEEDORES[[#This Row],[FECHA DE FACTURACIÓN]]-PROVEEDORES[[#This Row],[PLAZO Días]],0)</f>
        <v>0</v>
      </c>
      <c r="U1374" s="135" t="str">
        <f>+VLOOKUP(PROVEEDORES[[#This Row],[PROVEEDOR]],Terceros!$A:$D,4,FALSE)</f>
        <v>2,5% con base</v>
      </c>
      <c r="V1374" s="135">
        <f>+YEAR(PROVEEDORES[[#This Row],[FECHA DE FACTURACIÓN]])</f>
        <v>2024</v>
      </c>
      <c r="W1374" s="135">
        <f>+MATCH(PROVEEDORES[[#This Row],[año facturado]],Retenciones!$1:$1,0)</f>
        <v>7</v>
      </c>
      <c r="X1374" s="136">
        <f>+VLOOKUP(PROVEEDORES[[#This Row],[ID RETENCION]],Retenciones!$A$1:$O$25,PROVEEDORES[[#This Row],[indicador de columna]],FALSE)</f>
        <v>1271000</v>
      </c>
      <c r="Y1374" s="137">
        <f>+VLOOKUP(PROVEEDORES[[#This Row],[ID RETENCION]],Retenciones!$A$1:$O$25,2,FALSE)</f>
        <v>2.5000000000000001E-2</v>
      </c>
      <c r="Z1374" s="126" t="b">
        <f>+OR(COUNTIF(PROVEEDORES[[#This Row],[PROVEEDOR]],"*"&amp;'Palabra que no opera y Listas d'!$A$2&amp;"*"))</f>
        <v>0</v>
      </c>
    </row>
    <row r="1375" spans="1:26" ht="27.75" customHeight="1" x14ac:dyDescent="0.25">
      <c r="A1375" s="141" t="str">
        <f>+IF(PROVEEDORES[[#This Row],[FECHA DE PAGO]]=PROVEEDORES[[#This Row],[FECHA DE FACTURACIÓN]],"DE CONTADO","CRÉDITO")</f>
        <v>CRÉDITO</v>
      </c>
      <c r="B1375" s="138" t="str">
        <f>+IF((PROVEEDORES[[#This Row],[FECHA DE PAGO]]-PROVEEDORES[[#This Row],[FECHA DE FACTURACIÓN]])&gt;PROVEEDORES[[#This Row],[PLAZO Días]],"PAGO VENCIDO")</f>
        <v>PAGO VENCIDO</v>
      </c>
      <c r="C1375" s="138">
        <f>+VLOOKUP(PROVEEDORES[[#This Row],[PROVEEDOR]],TERCEROS_INFO[#All],2,FALSE)</f>
        <v>30</v>
      </c>
      <c r="D1375" s="139">
        <f>+SUMIFS(PROVEEDORES[Total],PROVEEDORES[PROVEEDOR],PROVEEDORES[[#This Row],[PROVEEDOR]],PROVEEDORES[FECHA DE PAGO],"")</f>
        <v>818443.92</v>
      </c>
      <c r="E1375" s="140"/>
      <c r="F1375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375" s="127">
        <v>45370</v>
      </c>
      <c r="H1375" s="123" t="s">
        <v>20</v>
      </c>
      <c r="I1375" s="127">
        <v>45337</v>
      </c>
      <c r="J1375" s="124" t="s">
        <v>1581</v>
      </c>
      <c r="K1375" s="124" t="s">
        <v>504</v>
      </c>
      <c r="L1375" s="124" t="s">
        <v>1534</v>
      </c>
      <c r="M1375" s="125">
        <v>2520500</v>
      </c>
      <c r="N1375" s="148">
        <v>464528</v>
      </c>
      <c r="O1375" s="148">
        <v>75615</v>
      </c>
      <c r="P1375" s="149">
        <v>2.5000000000000001E-2</v>
      </c>
      <c r="Q1375" s="148">
        <v>61122</v>
      </c>
      <c r="R1375" s="150">
        <v>2848291</v>
      </c>
      <c r="S13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5" s="135">
        <f ca="1">+IF(PROVEEDORES[[#This Row],[FECHA DE PAGO]]=0,TODAY()-PROVEEDORES[[#This Row],[FECHA DE FACTURACIÓN]]-PROVEEDORES[[#This Row],[PLAZO Días]],0)</f>
        <v>0</v>
      </c>
      <c r="U1375" s="135" t="str">
        <f>+VLOOKUP(PROVEEDORES[[#This Row],[PROVEEDOR]],Terceros!$A:$D,4,FALSE)</f>
        <v>2,5% con base</v>
      </c>
      <c r="V1375" s="135">
        <f>+YEAR(PROVEEDORES[[#This Row],[FECHA DE FACTURACIÓN]])</f>
        <v>2024</v>
      </c>
      <c r="W1375" s="135">
        <f>+MATCH(PROVEEDORES[[#This Row],[año facturado]],Retenciones!$1:$1,0)</f>
        <v>7</v>
      </c>
      <c r="X1375" s="136">
        <f>+VLOOKUP(PROVEEDORES[[#This Row],[ID RETENCION]],Retenciones!$A$1:$O$25,PROVEEDORES[[#This Row],[indicador de columna]],FALSE)</f>
        <v>1271000</v>
      </c>
      <c r="Y1375" s="137">
        <f>+VLOOKUP(PROVEEDORES[[#This Row],[ID RETENCION]],Retenciones!$A$1:$O$25,2,FALSE)</f>
        <v>2.5000000000000001E-2</v>
      </c>
      <c r="Z1375" s="126" t="b">
        <f>+OR(COUNTIF(PROVEEDORES[[#This Row],[PROVEEDOR]],"*"&amp;'Palabra que no opera y Listas d'!$A$2&amp;"*"))</f>
        <v>0</v>
      </c>
    </row>
    <row r="1376" spans="1:26" ht="27.75" customHeight="1" x14ac:dyDescent="0.25">
      <c r="A1376" s="141" t="str">
        <f>+IF(PROVEEDORES[[#This Row],[FECHA DE PAGO]]=PROVEEDORES[[#This Row],[FECHA DE FACTURACIÓN]],"DE CONTADO","CRÉDITO")</f>
        <v>CRÉDITO</v>
      </c>
      <c r="B1376" s="138" t="b">
        <f>+IF((PROVEEDORES[[#This Row],[FECHA DE PAGO]]-PROVEEDORES[[#This Row],[FECHA DE FACTURACIÓN]])&gt;PROVEEDORES[[#This Row],[PLAZO Días]],"PAGO VENCIDO")</f>
        <v>0</v>
      </c>
      <c r="C1376" s="138">
        <f>+VLOOKUP(PROVEEDORES[[#This Row],[PROVEEDOR]],TERCEROS_INFO[#All],2,FALSE)</f>
        <v>30</v>
      </c>
      <c r="D1376" s="139">
        <f>+SUMIFS(PROVEEDORES[Total],PROVEEDORES[PROVEEDOR],PROVEEDORES[[#This Row],[PROVEEDOR]],PROVEEDORES[FECHA DE PAGO],"")</f>
        <v>0</v>
      </c>
      <c r="E1376" s="140"/>
      <c r="F1376" s="138" t="str">
        <f>+VLOOKUP(PROVEEDORES[[#This Row],[PROVEEDOR]],
                       Terceros!$A:$F,
                       5,
                       FALSE)</f>
        <v/>
      </c>
      <c r="G1376" s="127">
        <v>45370</v>
      </c>
      <c r="H1376" s="123" t="s">
        <v>481</v>
      </c>
      <c r="I1376" s="127">
        <v>45369</v>
      </c>
      <c r="J1376" s="124" t="s">
        <v>1667</v>
      </c>
      <c r="K1376" s="124" t="s">
        <v>504</v>
      </c>
      <c r="L1376" s="124" t="s">
        <v>1541</v>
      </c>
      <c r="M1376" s="125">
        <v>1726000</v>
      </c>
      <c r="N1376" s="148">
        <v>0</v>
      </c>
      <c r="O1376" s="148">
        <v>0</v>
      </c>
      <c r="P1376" s="149">
        <v>0</v>
      </c>
      <c r="Q1376" s="148">
        <v>0</v>
      </c>
      <c r="R1376" s="150">
        <v>1726000</v>
      </c>
      <c r="S13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6" s="135">
        <f ca="1">+IF(PROVEEDORES[[#This Row],[FECHA DE PAGO]]=0,TODAY()-PROVEEDORES[[#This Row],[FECHA DE FACTURACIÓN]]-PROVEEDORES[[#This Row],[PLAZO Días]],0)</f>
        <v>0</v>
      </c>
      <c r="U1376" s="135">
        <f>+VLOOKUP(PROVEEDORES[[#This Row],[PROVEEDOR]],Terceros!$A:$D,4,FALSE)</f>
        <v>0</v>
      </c>
      <c r="V1376" s="135">
        <f>+YEAR(PROVEEDORES[[#This Row],[FECHA DE FACTURACIÓN]])</f>
        <v>2024</v>
      </c>
      <c r="W1376" s="135">
        <f>+MATCH(PROVEEDORES[[#This Row],[año facturado]],Retenciones!$1:$1,0)</f>
        <v>7</v>
      </c>
      <c r="X1376" s="136">
        <f>+VLOOKUP(PROVEEDORES[[#This Row],[ID RETENCION]],Retenciones!$A$1:$O$25,PROVEEDORES[[#This Row],[indicador de columna]],FALSE)</f>
        <v>0</v>
      </c>
      <c r="Y1376" s="137">
        <f>+VLOOKUP(PROVEEDORES[[#This Row],[ID RETENCION]],Retenciones!$A$1:$O$25,2,FALSE)</f>
        <v>0</v>
      </c>
      <c r="Z1376" s="126" t="b">
        <f>+OR(COUNTIF(PROVEEDORES[[#This Row],[PROVEEDOR]],"*"&amp;'Palabra que no opera y Listas d'!$A$2&amp;"*"))</f>
        <v>0</v>
      </c>
    </row>
    <row r="1377" spans="1:26" ht="27.75" customHeight="1" x14ac:dyDescent="0.25">
      <c r="A1377" s="141" t="str">
        <f>+IF(PROVEEDORES[[#This Row],[FECHA DE PAGO]]=PROVEEDORES[[#This Row],[FECHA DE FACTURACIÓN]],"DE CONTADO","CRÉDITO")</f>
        <v>CRÉDITO</v>
      </c>
      <c r="B1377" s="138" t="str">
        <f>+IF((PROVEEDORES[[#This Row],[FECHA DE PAGO]]-PROVEEDORES[[#This Row],[FECHA DE FACTURACIÓN]])&gt;PROVEEDORES[[#This Row],[PLAZO Días]],"PAGO VENCIDO")</f>
        <v>PAGO VENCIDO</v>
      </c>
      <c r="C1377" s="138">
        <f>+VLOOKUP(PROVEEDORES[[#This Row],[PROVEEDOR]],TERCEROS_INFO[#All],2,FALSE)</f>
        <v>30</v>
      </c>
      <c r="D1377" s="139">
        <f>+SUMIFS(PROVEEDORES[Total],PROVEEDORES[PROVEEDOR],PROVEEDORES[[#This Row],[PROVEEDOR]],PROVEEDORES[FECHA DE PAGO],"")</f>
        <v>0</v>
      </c>
      <c r="E1377" s="140"/>
      <c r="F1377" s="138">
        <f>+VLOOKUP(PROVEEDORES[[#This Row],[PROVEEDOR]],
                       Terceros!$A:$F,
                       5,
                       FALSE)</f>
        <v>0</v>
      </c>
      <c r="G1377" s="127">
        <v>45371</v>
      </c>
      <c r="H1377" s="123" t="s">
        <v>492</v>
      </c>
      <c r="I1377" s="127">
        <v>45317</v>
      </c>
      <c r="J1377" s="124">
        <v>617</v>
      </c>
      <c r="K1377" s="124" t="s">
        <v>1530</v>
      </c>
      <c r="L1377" s="124" t="s">
        <v>1395</v>
      </c>
      <c r="M1377" s="125">
        <v>351000</v>
      </c>
      <c r="N1377" s="148">
        <v>0</v>
      </c>
      <c r="O1377" s="148">
        <v>0</v>
      </c>
      <c r="P1377" s="149">
        <v>0</v>
      </c>
      <c r="Q1377" s="148">
        <v>0</v>
      </c>
      <c r="R1377" s="150">
        <v>351000</v>
      </c>
      <c r="S13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7" s="135">
        <f ca="1">+IF(PROVEEDORES[[#This Row],[FECHA DE PAGO]]=0,TODAY()-PROVEEDORES[[#This Row],[FECHA DE FACTURACIÓN]]-PROVEEDORES[[#This Row],[PLAZO Días]],0)</f>
        <v>0</v>
      </c>
      <c r="U1377" s="135">
        <f>+VLOOKUP(PROVEEDORES[[#This Row],[PROVEEDOR]],Terceros!$A:$D,4,FALSE)</f>
        <v>0</v>
      </c>
      <c r="V1377" s="135">
        <f>+YEAR(PROVEEDORES[[#This Row],[FECHA DE FACTURACIÓN]])</f>
        <v>2024</v>
      </c>
      <c r="W1377" s="135">
        <f>+MATCH(PROVEEDORES[[#This Row],[año facturado]],Retenciones!$1:$1,0)</f>
        <v>7</v>
      </c>
      <c r="X1377" s="136">
        <f>+VLOOKUP(PROVEEDORES[[#This Row],[ID RETENCION]],Retenciones!$A$1:$O$25,PROVEEDORES[[#This Row],[indicador de columna]],FALSE)</f>
        <v>0</v>
      </c>
      <c r="Y1377" s="137">
        <f>+VLOOKUP(PROVEEDORES[[#This Row],[ID RETENCION]],Retenciones!$A$1:$O$25,2,FALSE)</f>
        <v>0</v>
      </c>
      <c r="Z1377" s="126" t="b">
        <f>+OR(COUNTIF(PROVEEDORES[[#This Row],[PROVEEDOR]],"*"&amp;'Palabra que no opera y Listas d'!$A$2&amp;"*"))</f>
        <v>0</v>
      </c>
    </row>
    <row r="1378" spans="1:26" ht="27.75" customHeight="1" x14ac:dyDescent="0.25">
      <c r="A1378" s="141" t="str">
        <f>+IF(PROVEEDORES[[#This Row],[FECHA DE PAGO]]=PROVEEDORES[[#This Row],[FECHA DE FACTURACIÓN]],"DE CONTADO","CRÉDITO")</f>
        <v>CRÉDITO</v>
      </c>
      <c r="B1378" s="138" t="str">
        <f>+IF((PROVEEDORES[[#This Row],[FECHA DE PAGO]]-PROVEEDORES[[#This Row],[FECHA DE FACTURACIÓN]])&gt;PROVEEDORES[[#This Row],[PLAZO Días]],"PAGO VENCIDO")</f>
        <v>PAGO VENCIDO</v>
      </c>
      <c r="C1378" s="138">
        <f>+VLOOKUP(PROVEEDORES[[#This Row],[PROVEEDOR]],TERCEROS_INFO[#All],2,FALSE)</f>
        <v>30</v>
      </c>
      <c r="D1378" s="139">
        <f>+SUMIFS(PROVEEDORES[Total],PROVEEDORES[PROVEEDOR],PROVEEDORES[[#This Row],[PROVEEDOR]],PROVEEDORES[FECHA DE PAGO],"")</f>
        <v>0</v>
      </c>
      <c r="E1378" s="140"/>
      <c r="F1378" s="138" t="str">
        <f>+VLOOKUP(PROVEEDORES[[#This Row],[PROVEEDOR]],
                       Terceros!$A:$F,
                       5,
                       FALSE)</f>
        <v>variedades.sfg@gmail.com;girlesa.ruiz@servipilas.com;joriescobar64@gmail.com</v>
      </c>
      <c r="G1378" s="127">
        <v>45372</v>
      </c>
      <c r="H1378" s="123" t="s">
        <v>1817</v>
      </c>
      <c r="I1378" s="127">
        <v>45317</v>
      </c>
      <c r="J1378" s="124" t="s">
        <v>1504</v>
      </c>
      <c r="K1378" s="124" t="s">
        <v>1530</v>
      </c>
      <c r="L1378" s="124" t="s">
        <v>1395</v>
      </c>
      <c r="M1378" s="125">
        <v>1154000</v>
      </c>
      <c r="N1378" s="148">
        <v>0</v>
      </c>
      <c r="O1378" s="148">
        <v>0</v>
      </c>
      <c r="P1378" s="149">
        <v>0</v>
      </c>
      <c r="Q1378" s="148">
        <v>0</v>
      </c>
      <c r="R1378" s="150">
        <v>1154000</v>
      </c>
      <c r="S13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8" s="135">
        <f ca="1">+IF(PROVEEDORES[[#This Row],[FECHA DE PAGO]]=0,TODAY()-PROVEEDORES[[#This Row],[FECHA DE FACTURACIÓN]]-PROVEEDORES[[#This Row],[PLAZO Días]],0)</f>
        <v>0</v>
      </c>
      <c r="U1378" s="135">
        <f>+VLOOKUP(PROVEEDORES[[#This Row],[PROVEEDOR]],Terceros!$A:$D,4,FALSE)</f>
        <v>0</v>
      </c>
      <c r="V1378" s="135">
        <f>+YEAR(PROVEEDORES[[#This Row],[FECHA DE FACTURACIÓN]])</f>
        <v>2024</v>
      </c>
      <c r="W1378" s="135">
        <f>+MATCH(PROVEEDORES[[#This Row],[año facturado]],Retenciones!$1:$1,0)</f>
        <v>7</v>
      </c>
      <c r="X1378" s="136">
        <f>+VLOOKUP(PROVEEDORES[[#This Row],[ID RETENCION]],Retenciones!$A$1:$O$25,PROVEEDORES[[#This Row],[indicador de columna]],FALSE)</f>
        <v>0</v>
      </c>
      <c r="Y1378" s="137">
        <f>+VLOOKUP(PROVEEDORES[[#This Row],[ID RETENCION]],Retenciones!$A$1:$O$25,2,FALSE)</f>
        <v>0</v>
      </c>
      <c r="Z1378" s="126" t="b">
        <f>+OR(COUNTIF(PROVEEDORES[[#This Row],[PROVEEDOR]],"*"&amp;'Palabra que no opera y Listas d'!$A$2&amp;"*"))</f>
        <v>0</v>
      </c>
    </row>
    <row r="1379" spans="1:26" ht="27.75" customHeight="1" x14ac:dyDescent="0.25">
      <c r="A1379" s="141" t="str">
        <f>+IF(PROVEEDORES[[#This Row],[FECHA DE PAGO]]=PROVEEDORES[[#This Row],[FECHA DE FACTURACIÓN]],"DE CONTADO","CRÉDITO")</f>
        <v>CRÉDITO</v>
      </c>
      <c r="B1379" s="138" t="str">
        <f>+IF((PROVEEDORES[[#This Row],[FECHA DE PAGO]]-PROVEEDORES[[#This Row],[FECHA DE FACTURACIÓN]])&gt;PROVEEDORES[[#This Row],[PLAZO Días]],"PAGO VENCIDO")</f>
        <v>PAGO VENCIDO</v>
      </c>
      <c r="C1379" s="138">
        <f>+VLOOKUP(PROVEEDORES[[#This Row],[PROVEEDOR]],TERCEROS_INFO[#All],2,FALSE)</f>
        <v>30</v>
      </c>
      <c r="D1379" s="139">
        <f>+SUMIFS(PROVEEDORES[Total],PROVEEDORES[PROVEEDOR],PROVEEDORES[[#This Row],[PROVEEDOR]],PROVEEDORES[FECHA DE PAGO],"")</f>
        <v>8456975.129999999</v>
      </c>
      <c r="E1379" s="140"/>
      <c r="F1379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379" s="127">
        <v>45373</v>
      </c>
      <c r="H1379" s="123" t="s">
        <v>1464</v>
      </c>
      <c r="I1379" s="127">
        <v>45328</v>
      </c>
      <c r="J1379" s="124" t="s">
        <v>1545</v>
      </c>
      <c r="K1379" s="124" t="s">
        <v>1530</v>
      </c>
      <c r="L1379" s="124" t="s">
        <v>1533</v>
      </c>
      <c r="M1379" s="125">
        <v>1909800</v>
      </c>
      <c r="N1379" s="148">
        <v>362862</v>
      </c>
      <c r="O1379" s="148">
        <v>0</v>
      </c>
      <c r="P1379" s="149">
        <v>2.5000000000000001E-2</v>
      </c>
      <c r="Q1379" s="148">
        <v>47745</v>
      </c>
      <c r="R1379" s="150">
        <v>2224917</v>
      </c>
      <c r="S13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79" s="135">
        <f ca="1">+IF(PROVEEDORES[[#This Row],[FECHA DE PAGO]]=0,TODAY()-PROVEEDORES[[#This Row],[FECHA DE FACTURACIÓN]]-PROVEEDORES[[#This Row],[PLAZO Días]],0)</f>
        <v>0</v>
      </c>
      <c r="U1379" s="135" t="str">
        <f>+VLOOKUP(PROVEEDORES[[#This Row],[PROVEEDOR]],Terceros!$A:$D,4,FALSE)</f>
        <v>2,5% con base</v>
      </c>
      <c r="V1379" s="135">
        <f>+YEAR(PROVEEDORES[[#This Row],[FECHA DE FACTURACIÓN]])</f>
        <v>2024</v>
      </c>
      <c r="W1379" s="135">
        <f>+MATCH(PROVEEDORES[[#This Row],[año facturado]],Retenciones!$1:$1,0)</f>
        <v>7</v>
      </c>
      <c r="X1379" s="136">
        <f>+VLOOKUP(PROVEEDORES[[#This Row],[ID RETENCION]],Retenciones!$A$1:$O$25,PROVEEDORES[[#This Row],[indicador de columna]],FALSE)</f>
        <v>1271000</v>
      </c>
      <c r="Y1379" s="137">
        <f>+VLOOKUP(PROVEEDORES[[#This Row],[ID RETENCION]],Retenciones!$A$1:$O$25,2,FALSE)</f>
        <v>2.5000000000000001E-2</v>
      </c>
      <c r="Z1379" s="126" t="b">
        <f>+OR(COUNTIF(PROVEEDORES[[#This Row],[PROVEEDOR]],"*"&amp;'Palabra que no opera y Listas d'!$A$2&amp;"*"))</f>
        <v>0</v>
      </c>
    </row>
    <row r="1380" spans="1:26" ht="27.75" customHeight="1" x14ac:dyDescent="0.25">
      <c r="A1380" s="141" t="str">
        <f>+IF(PROVEEDORES[[#This Row],[FECHA DE PAGO]]=PROVEEDORES[[#This Row],[FECHA DE FACTURACIÓN]],"DE CONTADO","CRÉDITO")</f>
        <v>CRÉDITO</v>
      </c>
      <c r="B1380" s="138" t="str">
        <f>+IF((PROVEEDORES[[#This Row],[FECHA DE PAGO]]-PROVEEDORES[[#This Row],[FECHA DE FACTURACIÓN]])&gt;PROVEEDORES[[#This Row],[PLAZO Días]],"PAGO VENCIDO")</f>
        <v>PAGO VENCIDO</v>
      </c>
      <c r="C1380" s="138">
        <f>+VLOOKUP(PROVEEDORES[[#This Row],[PROVEEDOR]],TERCEROS_INFO[#All],2,FALSE)</f>
        <v>30</v>
      </c>
      <c r="D1380" s="139">
        <f>+SUMIFS(PROVEEDORES[Total],PROVEEDORES[PROVEEDOR],PROVEEDORES[[#This Row],[PROVEEDOR]],PROVEEDORES[FECHA DE PAGO],"")</f>
        <v>5813868.5099999998</v>
      </c>
      <c r="E1380" s="140"/>
      <c r="F1380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380" s="127">
        <v>45373</v>
      </c>
      <c r="H1380" s="123" t="s">
        <v>24</v>
      </c>
      <c r="I1380" s="127">
        <v>45334</v>
      </c>
      <c r="J1380" s="124">
        <v>5042295</v>
      </c>
      <c r="K1380" s="124" t="s">
        <v>504</v>
      </c>
      <c r="L1380" s="124" t="s">
        <v>1534</v>
      </c>
      <c r="M1380" s="125">
        <v>4744501</v>
      </c>
      <c r="N1380" s="148">
        <v>901455.19000000006</v>
      </c>
      <c r="O1380" s="148">
        <v>0</v>
      </c>
      <c r="P1380" s="149">
        <v>2.5000000000000001E-2</v>
      </c>
      <c r="Q1380" s="148">
        <v>118612.52500000001</v>
      </c>
      <c r="R1380" s="150">
        <v>5527343.665</v>
      </c>
      <c r="S13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0" s="135">
        <f ca="1">+IF(PROVEEDORES[[#This Row],[FECHA DE PAGO]]=0,TODAY()-PROVEEDORES[[#This Row],[FECHA DE FACTURACIÓN]]-PROVEEDORES[[#This Row],[PLAZO Días]],0)</f>
        <v>0</v>
      </c>
      <c r="U1380" s="135" t="str">
        <f>+VLOOKUP(PROVEEDORES[[#This Row],[PROVEEDOR]],Terceros!$A:$D,4,FALSE)</f>
        <v>2,5% con base</v>
      </c>
      <c r="V1380" s="135">
        <f>+YEAR(PROVEEDORES[[#This Row],[FECHA DE FACTURACIÓN]])</f>
        <v>2024</v>
      </c>
      <c r="W1380" s="135">
        <f>+MATCH(PROVEEDORES[[#This Row],[año facturado]],Retenciones!$1:$1,0)</f>
        <v>7</v>
      </c>
      <c r="X1380" s="136">
        <f>+VLOOKUP(PROVEEDORES[[#This Row],[ID RETENCION]],Retenciones!$A$1:$O$25,PROVEEDORES[[#This Row],[indicador de columna]],FALSE)</f>
        <v>1271000</v>
      </c>
      <c r="Y1380" s="137">
        <f>+VLOOKUP(PROVEEDORES[[#This Row],[ID RETENCION]],Retenciones!$A$1:$O$25,2,FALSE)</f>
        <v>2.5000000000000001E-2</v>
      </c>
      <c r="Z1380" s="126" t="b">
        <f>+OR(COUNTIF(PROVEEDORES[[#This Row],[PROVEEDOR]],"*"&amp;'Palabra que no opera y Listas d'!$A$2&amp;"*"))</f>
        <v>0</v>
      </c>
    </row>
    <row r="1381" spans="1:26" ht="27.75" customHeight="1" x14ac:dyDescent="0.25">
      <c r="A1381" s="141" t="str">
        <f>+IF(PROVEEDORES[[#This Row],[FECHA DE PAGO]]=PROVEEDORES[[#This Row],[FECHA DE FACTURACIÓN]],"DE CONTADO","CRÉDITO")</f>
        <v>CRÉDITO</v>
      </c>
      <c r="B1381" s="138" t="str">
        <f>+IF((PROVEEDORES[[#This Row],[FECHA DE PAGO]]-PROVEEDORES[[#This Row],[FECHA DE FACTURACIÓN]])&gt;PROVEEDORES[[#This Row],[PLAZO Días]],"PAGO VENCIDO")</f>
        <v>PAGO VENCIDO</v>
      </c>
      <c r="C1381" s="138">
        <f>+VLOOKUP(PROVEEDORES[[#This Row],[PROVEEDOR]],TERCEROS_INFO[#All],2,FALSE)</f>
        <v>30</v>
      </c>
      <c r="D1381" s="139">
        <f>+SUMIFS(PROVEEDORES[Total],PROVEEDORES[PROVEEDOR],PROVEEDORES[[#This Row],[PROVEEDOR]],PROVEEDORES[FECHA DE PAGO],"")</f>
        <v>8456975.129999999</v>
      </c>
      <c r="E1381" s="140"/>
      <c r="F1381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381" s="127">
        <v>45373</v>
      </c>
      <c r="H1381" s="123" t="s">
        <v>1464</v>
      </c>
      <c r="I1381" s="127">
        <v>45335</v>
      </c>
      <c r="J1381" s="124" t="s">
        <v>1663</v>
      </c>
      <c r="K1381" s="124" t="s">
        <v>1530</v>
      </c>
      <c r="L1381" s="124" t="s">
        <v>1533</v>
      </c>
      <c r="M1381" s="125">
        <v>87981</v>
      </c>
      <c r="N1381" s="148">
        <v>16716.39</v>
      </c>
      <c r="O1381" s="148">
        <v>0</v>
      </c>
      <c r="P1381" s="149">
        <v>0</v>
      </c>
      <c r="Q1381" s="148">
        <v>0</v>
      </c>
      <c r="R1381" s="150">
        <v>104697.39</v>
      </c>
      <c r="S13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1" s="135">
        <f ca="1">+IF(PROVEEDORES[[#This Row],[FECHA DE PAGO]]=0,TODAY()-PROVEEDORES[[#This Row],[FECHA DE FACTURACIÓN]]-PROVEEDORES[[#This Row],[PLAZO Días]],0)</f>
        <v>0</v>
      </c>
      <c r="U1381" s="135" t="str">
        <f>+VLOOKUP(PROVEEDORES[[#This Row],[PROVEEDOR]],Terceros!$A:$D,4,FALSE)</f>
        <v>2,5% con base</v>
      </c>
      <c r="V1381" s="135">
        <f>+YEAR(PROVEEDORES[[#This Row],[FECHA DE FACTURACIÓN]])</f>
        <v>2024</v>
      </c>
      <c r="W1381" s="135">
        <f>+MATCH(PROVEEDORES[[#This Row],[año facturado]],Retenciones!$1:$1,0)</f>
        <v>7</v>
      </c>
      <c r="X1381" s="136">
        <f>+VLOOKUP(PROVEEDORES[[#This Row],[ID RETENCION]],Retenciones!$A$1:$O$25,PROVEEDORES[[#This Row],[indicador de columna]],FALSE)</f>
        <v>1271000</v>
      </c>
      <c r="Y1381" s="137">
        <f>+VLOOKUP(PROVEEDORES[[#This Row],[ID RETENCION]],Retenciones!$A$1:$O$25,2,FALSE)</f>
        <v>2.5000000000000001E-2</v>
      </c>
      <c r="Z1381" s="126" t="b">
        <f>+OR(COUNTIF(PROVEEDORES[[#This Row],[PROVEEDOR]],"*"&amp;'Palabra que no opera y Listas d'!$A$2&amp;"*"))</f>
        <v>0</v>
      </c>
    </row>
    <row r="1382" spans="1:26" ht="27.75" customHeight="1" x14ac:dyDescent="0.25">
      <c r="A1382" s="141" t="str">
        <f>+IF(PROVEEDORES[[#This Row],[FECHA DE PAGO]]=PROVEEDORES[[#This Row],[FECHA DE FACTURACIÓN]],"DE CONTADO","CRÉDITO")</f>
        <v>CRÉDITO</v>
      </c>
      <c r="B1382" s="138" t="str">
        <f>+IF((PROVEEDORES[[#This Row],[FECHA DE PAGO]]-PROVEEDORES[[#This Row],[FECHA DE FACTURACIÓN]])&gt;PROVEEDORES[[#This Row],[PLAZO Días]],"PAGO VENCIDO")</f>
        <v>PAGO VENCIDO</v>
      </c>
      <c r="C1382" s="138">
        <f>+VLOOKUP(PROVEEDORES[[#This Row],[PROVEEDOR]],TERCEROS_INFO[#All],2,FALSE)</f>
        <v>30</v>
      </c>
      <c r="D1382" s="139">
        <f>+SUMIFS(PROVEEDORES[Total],PROVEEDORES[PROVEEDOR],PROVEEDORES[[#This Row],[PROVEEDOR]],PROVEEDORES[FECHA DE PAGO],"")</f>
        <v>4466504.835</v>
      </c>
      <c r="E1382" s="140"/>
      <c r="F1382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382" s="127">
        <v>45373</v>
      </c>
      <c r="H1382" s="123" t="s">
        <v>18</v>
      </c>
      <c r="I1382" s="127">
        <v>45337</v>
      </c>
      <c r="J1382" s="124">
        <v>1083080</v>
      </c>
      <c r="K1382" s="124" t="s">
        <v>504</v>
      </c>
      <c r="L1382" s="124" t="s">
        <v>1534</v>
      </c>
      <c r="M1382" s="125">
        <v>2010570.24</v>
      </c>
      <c r="N1382" s="148">
        <v>382008.3456</v>
      </c>
      <c r="O1382" s="148">
        <v>0</v>
      </c>
      <c r="P1382" s="149">
        <v>2.5000000000000001E-2</v>
      </c>
      <c r="Q1382" s="148">
        <v>50264.256000000001</v>
      </c>
      <c r="R1382" s="150">
        <v>2342314.3295999998</v>
      </c>
      <c r="S13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2" s="135">
        <f ca="1">+IF(PROVEEDORES[[#This Row],[FECHA DE PAGO]]=0,TODAY()-PROVEEDORES[[#This Row],[FECHA DE FACTURACIÓN]]-PROVEEDORES[[#This Row],[PLAZO Días]],0)</f>
        <v>0</v>
      </c>
      <c r="U1382" s="135" t="str">
        <f>+VLOOKUP(PROVEEDORES[[#This Row],[PROVEEDOR]],Terceros!$A:$D,4,FALSE)</f>
        <v>2,5% con base</v>
      </c>
      <c r="V1382" s="135">
        <f>+YEAR(PROVEEDORES[[#This Row],[FECHA DE FACTURACIÓN]])</f>
        <v>2024</v>
      </c>
      <c r="W1382" s="135">
        <f>+MATCH(PROVEEDORES[[#This Row],[año facturado]],Retenciones!$1:$1,0)</f>
        <v>7</v>
      </c>
      <c r="X1382" s="136">
        <f>+VLOOKUP(PROVEEDORES[[#This Row],[ID RETENCION]],Retenciones!$A$1:$O$25,PROVEEDORES[[#This Row],[indicador de columna]],FALSE)</f>
        <v>1271000</v>
      </c>
      <c r="Y1382" s="137">
        <f>+VLOOKUP(PROVEEDORES[[#This Row],[ID RETENCION]],Retenciones!$A$1:$O$25,2,FALSE)</f>
        <v>2.5000000000000001E-2</v>
      </c>
      <c r="Z1382" s="126" t="b">
        <f>+OR(COUNTIF(PROVEEDORES[[#This Row],[PROVEEDOR]],"*"&amp;'Palabra que no opera y Listas d'!$A$2&amp;"*"))</f>
        <v>0</v>
      </c>
    </row>
    <row r="1383" spans="1:26" ht="27.75" customHeight="1" x14ac:dyDescent="0.25">
      <c r="A1383" s="141" t="str">
        <f>+IF(PROVEEDORES[[#This Row],[FECHA DE PAGO]]=PROVEEDORES[[#This Row],[FECHA DE FACTURACIÓN]],"DE CONTADO","CRÉDITO")</f>
        <v>CRÉDITO</v>
      </c>
      <c r="B1383" s="138" t="str">
        <f>+IF((PROVEEDORES[[#This Row],[FECHA DE PAGO]]-PROVEEDORES[[#This Row],[FECHA DE FACTURACIÓN]])&gt;PROVEEDORES[[#This Row],[PLAZO Días]],"PAGO VENCIDO")</f>
        <v>PAGO VENCIDO</v>
      </c>
      <c r="C1383" s="138">
        <f>+VLOOKUP(PROVEEDORES[[#This Row],[PROVEEDOR]],TERCEROS_INFO[#All],2,FALSE)</f>
        <v>30</v>
      </c>
      <c r="D1383" s="139">
        <f>+SUMIFS(PROVEEDORES[Total],PROVEEDORES[PROVEEDOR],PROVEEDORES[[#This Row],[PROVEEDOR]],PROVEEDORES[FECHA DE PAGO],"")</f>
        <v>5581100</v>
      </c>
      <c r="E1383" s="140"/>
      <c r="F1383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383" s="127">
        <v>45373</v>
      </c>
      <c r="H1383" s="123" t="s">
        <v>446</v>
      </c>
      <c r="I1383" s="127">
        <v>45338</v>
      </c>
      <c r="J1383" s="124" t="s">
        <v>1576</v>
      </c>
      <c r="K1383" s="124" t="s">
        <v>504</v>
      </c>
      <c r="L1383" s="124" t="s">
        <v>1534</v>
      </c>
      <c r="M1383" s="125">
        <v>1118600</v>
      </c>
      <c r="N1383" s="148">
        <v>212534</v>
      </c>
      <c r="O1383" s="148">
        <v>0</v>
      </c>
      <c r="P1383" s="149">
        <v>0</v>
      </c>
      <c r="Q1383" s="148">
        <v>0</v>
      </c>
      <c r="R1383" s="150">
        <v>1331134</v>
      </c>
      <c r="S13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3" s="135">
        <f ca="1">+IF(PROVEEDORES[[#This Row],[FECHA DE PAGO]]=0,TODAY()-PROVEEDORES[[#This Row],[FECHA DE FACTURACIÓN]]-PROVEEDORES[[#This Row],[PLAZO Días]],0)</f>
        <v>0</v>
      </c>
      <c r="U1383" s="135">
        <f>+VLOOKUP(PROVEEDORES[[#This Row],[PROVEEDOR]],Terceros!$A:$D,4,FALSE)</f>
        <v>0</v>
      </c>
      <c r="V1383" s="135">
        <f>+YEAR(PROVEEDORES[[#This Row],[FECHA DE FACTURACIÓN]])</f>
        <v>2024</v>
      </c>
      <c r="W1383" s="135">
        <f>+MATCH(PROVEEDORES[[#This Row],[año facturado]],Retenciones!$1:$1,0)</f>
        <v>7</v>
      </c>
      <c r="X1383" s="136">
        <f>+VLOOKUP(PROVEEDORES[[#This Row],[ID RETENCION]],Retenciones!$A$1:$O$25,PROVEEDORES[[#This Row],[indicador de columna]],FALSE)</f>
        <v>0</v>
      </c>
      <c r="Y1383" s="137">
        <f>+VLOOKUP(PROVEEDORES[[#This Row],[ID RETENCION]],Retenciones!$A$1:$O$25,2,FALSE)</f>
        <v>0</v>
      </c>
      <c r="Z1383" s="126" t="b">
        <f>+OR(COUNTIF(PROVEEDORES[[#This Row],[PROVEEDOR]],"*"&amp;'Palabra que no opera y Listas d'!$A$2&amp;"*"))</f>
        <v>0</v>
      </c>
    </row>
    <row r="1384" spans="1:26" ht="27.75" customHeight="1" x14ac:dyDescent="0.25">
      <c r="A1384" s="141" t="str">
        <f>+IF(PROVEEDORES[[#This Row],[FECHA DE PAGO]]=PROVEEDORES[[#This Row],[FECHA DE FACTURACIÓN]],"DE CONTADO","CRÉDITO")</f>
        <v>CRÉDITO</v>
      </c>
      <c r="B1384" s="138" t="b">
        <f>+IF((PROVEEDORES[[#This Row],[FECHA DE PAGO]]-PROVEEDORES[[#This Row],[FECHA DE FACTURACIÓN]])&gt;PROVEEDORES[[#This Row],[PLAZO Días]],"PAGO VENCIDO")</f>
        <v>0</v>
      </c>
      <c r="C1384" s="138">
        <f>+VLOOKUP(PROVEEDORES[[#This Row],[PROVEEDOR]],TERCEROS_INFO[#All],2,FALSE)</f>
        <v>30</v>
      </c>
      <c r="D1384" s="139">
        <f>+SUMIFS(PROVEEDORES[Total],PROVEEDORES[PROVEEDOR],PROVEEDORES[[#This Row],[PROVEEDOR]],PROVEEDORES[FECHA DE PAGO],"")</f>
        <v>0</v>
      </c>
      <c r="E1384" s="140"/>
      <c r="F1384" s="138">
        <f>+VLOOKUP(PROVEEDORES[[#This Row],[PROVEEDOR]],
                       Terceros!$A:$F,
                       5,
                       FALSE)</f>
        <v>0</v>
      </c>
      <c r="G1384" s="127">
        <v>45373</v>
      </c>
      <c r="H1384" s="123" t="s">
        <v>1626</v>
      </c>
      <c r="I1384" s="127">
        <v>45377</v>
      </c>
      <c r="J1384" s="124" t="s">
        <v>1794</v>
      </c>
      <c r="K1384" s="124" t="s">
        <v>1530</v>
      </c>
      <c r="L1384" s="124" t="s">
        <v>1541</v>
      </c>
      <c r="M1384" s="125">
        <v>13200000</v>
      </c>
      <c r="N1384" s="148">
        <v>0</v>
      </c>
      <c r="O1384" s="148">
        <v>0</v>
      </c>
      <c r="P1384" s="149">
        <v>0</v>
      </c>
      <c r="Q1384" s="148">
        <v>0</v>
      </c>
      <c r="R1384" s="150">
        <v>13200000</v>
      </c>
      <c r="S13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4" s="135">
        <f ca="1">+IF(PROVEEDORES[[#This Row],[FECHA DE PAGO]]=0,TODAY()-PROVEEDORES[[#This Row],[FECHA DE FACTURACIÓN]]-PROVEEDORES[[#This Row],[PLAZO Días]],0)</f>
        <v>0</v>
      </c>
      <c r="U1384" s="135">
        <f>+VLOOKUP(PROVEEDORES[[#This Row],[PROVEEDOR]],Terceros!$A:$D,4,FALSE)</f>
        <v>0</v>
      </c>
      <c r="V1384" s="135">
        <f>+YEAR(PROVEEDORES[[#This Row],[FECHA DE FACTURACIÓN]])</f>
        <v>2024</v>
      </c>
      <c r="W1384" s="135">
        <f>+MATCH(PROVEEDORES[[#This Row],[año facturado]],Retenciones!$1:$1,0)</f>
        <v>7</v>
      </c>
      <c r="X1384" s="136">
        <f>+VLOOKUP(PROVEEDORES[[#This Row],[ID RETENCION]],Retenciones!$A$1:$O$25,PROVEEDORES[[#This Row],[indicador de columna]],FALSE)</f>
        <v>0</v>
      </c>
      <c r="Y1384" s="137">
        <f>+VLOOKUP(PROVEEDORES[[#This Row],[ID RETENCION]],Retenciones!$A$1:$O$25,2,FALSE)</f>
        <v>0</v>
      </c>
      <c r="Z1384" s="126" t="b">
        <f>+OR(COUNTIF(PROVEEDORES[[#This Row],[PROVEEDOR]],"*"&amp;'Palabra que no opera y Listas d'!$A$2&amp;"*"))</f>
        <v>0</v>
      </c>
    </row>
    <row r="1385" spans="1:26" ht="27.75" customHeight="1" x14ac:dyDescent="0.25">
      <c r="A1385" s="141" t="str">
        <f>+IF(PROVEEDORES[[#This Row],[FECHA DE PAGO]]=PROVEEDORES[[#This Row],[FECHA DE FACTURACIÓN]],"DE CONTADO","CRÉDITO")</f>
        <v>CRÉDITO</v>
      </c>
      <c r="B1385" s="138" t="b">
        <f>+IF((PROVEEDORES[[#This Row],[FECHA DE PAGO]]-PROVEEDORES[[#This Row],[FECHA DE FACTURACIÓN]])&gt;PROVEEDORES[[#This Row],[PLAZO Días]],"PAGO VENCIDO")</f>
        <v>0</v>
      </c>
      <c r="C1385" s="138">
        <f>+VLOOKUP(PROVEEDORES[[#This Row],[PROVEEDOR]],TERCEROS_INFO[#All],2,FALSE)</f>
        <v>30</v>
      </c>
      <c r="D1385" s="139">
        <f>+SUMIFS(PROVEEDORES[Total],PROVEEDORES[PROVEEDOR],PROVEEDORES[[#This Row],[PROVEEDOR]],PROVEEDORES[FECHA DE PAGO],"")</f>
        <v>0</v>
      </c>
      <c r="E1385" s="140"/>
      <c r="F1385" s="138">
        <f>+VLOOKUP(PROVEEDORES[[#This Row],[PROVEEDOR]],
                       Terceros!$A:$F,
                       5,
                       FALSE)</f>
        <v>0</v>
      </c>
      <c r="G1385" s="127">
        <v>45373</v>
      </c>
      <c r="H1385" s="123" t="s">
        <v>1626</v>
      </c>
      <c r="I1385" s="127">
        <v>45377</v>
      </c>
      <c r="J1385" s="124" t="s">
        <v>1795</v>
      </c>
      <c r="K1385" s="124" t="s">
        <v>1530</v>
      </c>
      <c r="L1385" s="124" t="s">
        <v>1541</v>
      </c>
      <c r="M1385" s="125">
        <v>4676000</v>
      </c>
      <c r="N1385" s="148">
        <v>0</v>
      </c>
      <c r="O1385" s="148">
        <v>0</v>
      </c>
      <c r="P1385" s="149">
        <v>0</v>
      </c>
      <c r="Q1385" s="148">
        <v>0</v>
      </c>
      <c r="R1385" s="150">
        <v>4676000</v>
      </c>
      <c r="S13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5" s="135">
        <f ca="1">+IF(PROVEEDORES[[#This Row],[FECHA DE PAGO]]=0,TODAY()-PROVEEDORES[[#This Row],[FECHA DE FACTURACIÓN]]-PROVEEDORES[[#This Row],[PLAZO Días]],0)</f>
        <v>0</v>
      </c>
      <c r="U1385" s="135">
        <f>+VLOOKUP(PROVEEDORES[[#This Row],[PROVEEDOR]],Terceros!$A:$D,4,FALSE)</f>
        <v>0</v>
      </c>
      <c r="V1385" s="135">
        <f>+YEAR(PROVEEDORES[[#This Row],[FECHA DE FACTURACIÓN]])</f>
        <v>2024</v>
      </c>
      <c r="W1385" s="135">
        <f>+MATCH(PROVEEDORES[[#This Row],[año facturado]],Retenciones!$1:$1,0)</f>
        <v>7</v>
      </c>
      <c r="X1385" s="136">
        <f>+VLOOKUP(PROVEEDORES[[#This Row],[ID RETENCION]],Retenciones!$A$1:$O$25,PROVEEDORES[[#This Row],[indicador de columna]],FALSE)</f>
        <v>0</v>
      </c>
      <c r="Y1385" s="137">
        <f>+VLOOKUP(PROVEEDORES[[#This Row],[ID RETENCION]],Retenciones!$A$1:$O$25,2,FALSE)</f>
        <v>0</v>
      </c>
      <c r="Z1385" s="126" t="b">
        <f>+OR(COUNTIF(PROVEEDORES[[#This Row],[PROVEEDOR]],"*"&amp;'Palabra que no opera y Listas d'!$A$2&amp;"*"))</f>
        <v>0</v>
      </c>
    </row>
    <row r="1386" spans="1:26" ht="27.75" customHeight="1" x14ac:dyDescent="0.25">
      <c r="A1386" s="141" t="str">
        <f>+IF(PROVEEDORES[[#This Row],[FECHA DE PAGO]]=PROVEEDORES[[#This Row],[FECHA DE FACTURACIÓN]],"DE CONTADO","CRÉDITO")</f>
        <v>CRÉDITO</v>
      </c>
      <c r="B1386" s="138" t="str">
        <f>+IF((PROVEEDORES[[#This Row],[FECHA DE PAGO]]-PROVEEDORES[[#This Row],[FECHA DE FACTURACIÓN]])&gt;PROVEEDORES[[#This Row],[PLAZO Días]],"PAGO VENCIDO")</f>
        <v>PAGO VENCIDO</v>
      </c>
      <c r="C1386" s="138">
        <f>+VLOOKUP(PROVEEDORES[[#This Row],[PROVEEDOR]],TERCEROS_INFO[#All],2,FALSE)</f>
        <v>13</v>
      </c>
      <c r="D1386" s="139">
        <f>+SUMIFS(PROVEEDORES[Total],PROVEEDORES[PROVEEDOR],PROVEEDORES[[#This Row],[PROVEEDOR]],PROVEEDORES[FECHA DE PAGO],"")</f>
        <v>0</v>
      </c>
      <c r="E1386" s="140"/>
      <c r="F1386" s="138">
        <f>+VLOOKUP(PROVEEDORES[[#This Row],[PROVEEDOR]],
                       Terceros!$A:$F,
                       5,
                       FALSE)</f>
        <v>0</v>
      </c>
      <c r="G1386" s="127">
        <v>45377</v>
      </c>
      <c r="H1386" s="123" t="s">
        <v>389</v>
      </c>
      <c r="I1386" s="127">
        <v>45352</v>
      </c>
      <c r="J1386" s="124"/>
      <c r="K1386" s="124" t="s">
        <v>1530</v>
      </c>
      <c r="L1386" s="124" t="s">
        <v>1533</v>
      </c>
      <c r="M1386" s="125">
        <v>851999</v>
      </c>
      <c r="N1386" s="148">
        <v>0</v>
      </c>
      <c r="O1386" s="148">
        <v>0</v>
      </c>
      <c r="P1386" s="149">
        <v>0</v>
      </c>
      <c r="Q1386" s="148">
        <v>0</v>
      </c>
      <c r="R1386" s="150">
        <v>851999</v>
      </c>
      <c r="S13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6" s="135">
        <f ca="1">+IF(PROVEEDORES[[#This Row],[FECHA DE PAGO]]=0,TODAY()-PROVEEDORES[[#This Row],[FECHA DE FACTURACIÓN]]-PROVEEDORES[[#This Row],[PLAZO Días]],0)</f>
        <v>0</v>
      </c>
      <c r="U1386" s="135">
        <f>+VLOOKUP(PROVEEDORES[[#This Row],[PROVEEDOR]],Terceros!$A:$D,4,FALSE)</f>
        <v>0</v>
      </c>
      <c r="V1386" s="135">
        <f>+YEAR(PROVEEDORES[[#This Row],[FECHA DE FACTURACIÓN]])</f>
        <v>2024</v>
      </c>
      <c r="W1386" s="135">
        <f>+MATCH(PROVEEDORES[[#This Row],[año facturado]],Retenciones!$1:$1,0)</f>
        <v>7</v>
      </c>
      <c r="X1386" s="136">
        <f>+VLOOKUP(PROVEEDORES[[#This Row],[ID RETENCION]],Retenciones!$A$1:$O$25,PROVEEDORES[[#This Row],[indicador de columna]],FALSE)</f>
        <v>0</v>
      </c>
      <c r="Y1386" s="137">
        <f>+VLOOKUP(PROVEEDORES[[#This Row],[ID RETENCION]],Retenciones!$A$1:$O$25,2,FALSE)</f>
        <v>0</v>
      </c>
      <c r="Z1386" s="126" t="b">
        <f>+OR(COUNTIF(PROVEEDORES[[#This Row],[PROVEEDOR]],"*"&amp;'Palabra que no opera y Listas d'!$A$2&amp;"*"))</f>
        <v>1</v>
      </c>
    </row>
    <row r="1387" spans="1:26" ht="27.75" customHeight="1" x14ac:dyDescent="0.25">
      <c r="A1387" s="141" t="str">
        <f>+IF(PROVEEDORES[[#This Row],[FECHA DE PAGO]]=PROVEEDORES[[#This Row],[FECHA DE FACTURACIÓN]],"DE CONTADO","CRÉDITO")</f>
        <v>DE CONTADO</v>
      </c>
      <c r="B1387" s="138" t="b">
        <f>+IF((PROVEEDORES[[#This Row],[FECHA DE PAGO]]-PROVEEDORES[[#This Row],[FECHA DE FACTURACIÓN]])&gt;PROVEEDORES[[#This Row],[PLAZO Días]],"PAGO VENCIDO")</f>
        <v>0</v>
      </c>
      <c r="C1387" s="138">
        <f>+VLOOKUP(PROVEEDORES[[#This Row],[PROVEEDOR]],TERCEROS_INFO[#All],2,FALSE)</f>
        <v>30</v>
      </c>
      <c r="D1387" s="139">
        <f>+SUMIFS(PROVEEDORES[Total],PROVEEDORES[PROVEEDOR],PROVEEDORES[[#This Row],[PROVEEDOR]],PROVEEDORES[FECHA DE PAGO],"")</f>
        <v>0</v>
      </c>
      <c r="E1387" s="140"/>
      <c r="F1387" s="13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387" s="127">
        <v>45377</v>
      </c>
      <c r="H1387" s="123" t="s">
        <v>452</v>
      </c>
      <c r="I1387" s="127">
        <v>45377</v>
      </c>
      <c r="J1387" s="124" t="s">
        <v>1682</v>
      </c>
      <c r="K1387" s="124" t="s">
        <v>1530</v>
      </c>
      <c r="L1387" s="124" t="s">
        <v>1395</v>
      </c>
      <c r="M1387" s="125">
        <v>235296</v>
      </c>
      <c r="N1387" s="148">
        <v>44706.239999999998</v>
      </c>
      <c r="O1387" s="148">
        <v>0</v>
      </c>
      <c r="P1387" s="149">
        <v>0</v>
      </c>
      <c r="Q1387" s="148">
        <v>0</v>
      </c>
      <c r="R1387" s="150">
        <v>280002.24</v>
      </c>
      <c r="S13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7" s="135">
        <f ca="1">+IF(PROVEEDORES[[#This Row],[FECHA DE PAGO]]=0,TODAY()-PROVEEDORES[[#This Row],[FECHA DE FACTURACIÓN]]-PROVEEDORES[[#This Row],[PLAZO Días]],0)</f>
        <v>0</v>
      </c>
      <c r="U1387" s="135" t="str">
        <f>+VLOOKUP(PROVEEDORES[[#This Row],[PROVEEDOR]],Terceros!$A:$D,4,FALSE)</f>
        <v>2,5% con base</v>
      </c>
      <c r="V1387" s="135">
        <f>+YEAR(PROVEEDORES[[#This Row],[FECHA DE FACTURACIÓN]])</f>
        <v>2024</v>
      </c>
      <c r="W1387" s="135">
        <f>+MATCH(PROVEEDORES[[#This Row],[año facturado]],Retenciones!$1:$1,0)</f>
        <v>7</v>
      </c>
      <c r="X1387" s="136">
        <f>+VLOOKUP(PROVEEDORES[[#This Row],[ID RETENCION]],Retenciones!$A$1:$O$25,PROVEEDORES[[#This Row],[indicador de columna]],FALSE)</f>
        <v>1271000</v>
      </c>
      <c r="Y1387" s="137">
        <f>+VLOOKUP(PROVEEDORES[[#This Row],[ID RETENCION]],Retenciones!$A$1:$O$25,2,FALSE)</f>
        <v>2.5000000000000001E-2</v>
      </c>
      <c r="Z1387" s="126" t="b">
        <f>+OR(COUNTIF(PROVEEDORES[[#This Row],[PROVEEDOR]],"*"&amp;'Palabra que no opera y Listas d'!$A$2&amp;"*"))</f>
        <v>0</v>
      </c>
    </row>
    <row r="1388" spans="1:26" ht="27.75" customHeight="1" x14ac:dyDescent="0.25">
      <c r="A1388" s="141" t="str">
        <f>+IF(PROVEEDORES[[#This Row],[FECHA DE PAGO]]=PROVEEDORES[[#This Row],[FECHA DE FACTURACIÓN]],"DE CONTADO","CRÉDITO")</f>
        <v>CRÉDITO</v>
      </c>
      <c r="B1388" s="138" t="str">
        <f>+IF((PROVEEDORES[[#This Row],[FECHA DE PAGO]]-PROVEEDORES[[#This Row],[FECHA DE FACTURACIÓN]])&gt;PROVEEDORES[[#This Row],[PLAZO Días]],"PAGO VENCIDO")</f>
        <v>PAGO VENCIDO</v>
      </c>
      <c r="C1388" s="138">
        <f>+VLOOKUP(PROVEEDORES[[#This Row],[PROVEEDOR]],TERCEROS_INFO[#All],2,FALSE)</f>
        <v>30</v>
      </c>
      <c r="D1388" s="139">
        <f>+SUMIFS(PROVEEDORES[Total],PROVEEDORES[PROVEEDOR],PROVEEDORES[[#This Row],[PROVEEDOR]],PROVEEDORES[FECHA DE PAGO],"")</f>
        <v>8456975.129999999</v>
      </c>
      <c r="E1388" s="140"/>
      <c r="F1388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388" s="127">
        <v>45378</v>
      </c>
      <c r="H1388" s="123" t="s">
        <v>1464</v>
      </c>
      <c r="I1388" s="127">
        <v>45345</v>
      </c>
      <c r="J1388" s="124" t="s">
        <v>1589</v>
      </c>
      <c r="K1388" s="124" t="s">
        <v>1530</v>
      </c>
      <c r="L1388" s="124" t="s">
        <v>1533</v>
      </c>
      <c r="M1388" s="125">
        <v>2164643</v>
      </c>
      <c r="N1388" s="148">
        <v>411282.17</v>
      </c>
      <c r="O1388" s="148">
        <v>0</v>
      </c>
      <c r="P1388" s="149">
        <v>2.5000000000000001E-2</v>
      </c>
      <c r="Q1388" s="148">
        <v>54116.075000000004</v>
      </c>
      <c r="R1388" s="150">
        <v>2521809.0949999997</v>
      </c>
      <c r="S13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8" s="135">
        <f ca="1">+IF(PROVEEDORES[[#This Row],[FECHA DE PAGO]]=0,TODAY()-PROVEEDORES[[#This Row],[FECHA DE FACTURACIÓN]]-PROVEEDORES[[#This Row],[PLAZO Días]],0)</f>
        <v>0</v>
      </c>
      <c r="U1388" s="135" t="str">
        <f>+VLOOKUP(PROVEEDORES[[#This Row],[PROVEEDOR]],Terceros!$A:$D,4,FALSE)</f>
        <v>2,5% con base</v>
      </c>
      <c r="V1388" s="135">
        <f>+YEAR(PROVEEDORES[[#This Row],[FECHA DE FACTURACIÓN]])</f>
        <v>2024</v>
      </c>
      <c r="W1388" s="135">
        <f>+MATCH(PROVEEDORES[[#This Row],[año facturado]],Retenciones!$1:$1,0)</f>
        <v>7</v>
      </c>
      <c r="X1388" s="136">
        <f>+VLOOKUP(PROVEEDORES[[#This Row],[ID RETENCION]],Retenciones!$A$1:$O$25,PROVEEDORES[[#This Row],[indicador de columna]],FALSE)</f>
        <v>1271000</v>
      </c>
      <c r="Y1388" s="137">
        <f>+VLOOKUP(PROVEEDORES[[#This Row],[ID RETENCION]],Retenciones!$A$1:$O$25,2,FALSE)</f>
        <v>2.5000000000000001E-2</v>
      </c>
      <c r="Z1388" s="126" t="b">
        <f>+OR(COUNTIF(PROVEEDORES[[#This Row],[PROVEEDOR]],"*"&amp;'Palabra que no opera y Listas d'!$A$2&amp;"*"))</f>
        <v>0</v>
      </c>
    </row>
    <row r="1389" spans="1:26" ht="27.75" customHeight="1" x14ac:dyDescent="0.25">
      <c r="A1389" s="141" t="str">
        <f>+IF(PROVEEDORES[[#This Row],[FECHA DE PAGO]]=PROVEEDORES[[#This Row],[FECHA DE FACTURACIÓN]],"DE CONTADO","CRÉDITO")</f>
        <v>CRÉDITO</v>
      </c>
      <c r="B1389" s="138" t="b">
        <f>+IF((PROVEEDORES[[#This Row],[FECHA DE PAGO]]-PROVEEDORES[[#This Row],[FECHA DE FACTURACIÓN]])&gt;PROVEEDORES[[#This Row],[PLAZO Días]],"PAGO VENCIDO")</f>
        <v>0</v>
      </c>
      <c r="C1389" s="138">
        <f>+VLOOKUP(PROVEEDORES[[#This Row],[PROVEEDOR]],TERCEROS_INFO[#All],2,FALSE)</f>
        <v>30</v>
      </c>
      <c r="D1389" s="139">
        <f>+SUMIFS(PROVEEDORES[Total],PROVEEDORES[PROVEEDOR],PROVEEDORES[[#This Row],[PROVEEDOR]],PROVEEDORES[FECHA DE PAGO],"")</f>
        <v>8456975.129999999</v>
      </c>
      <c r="E1389" s="140"/>
      <c r="F1389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389" s="127">
        <v>45378</v>
      </c>
      <c r="H1389" s="123" t="s">
        <v>1464</v>
      </c>
      <c r="I1389" s="127">
        <v>45348</v>
      </c>
      <c r="J1389" s="124" t="s">
        <v>1590</v>
      </c>
      <c r="K1389" s="124" t="s">
        <v>1530</v>
      </c>
      <c r="L1389" s="124" t="s">
        <v>1533</v>
      </c>
      <c r="M1389" s="125">
        <v>200739</v>
      </c>
      <c r="N1389" s="148">
        <v>38140.410000000003</v>
      </c>
      <c r="O1389" s="148">
        <v>0</v>
      </c>
      <c r="P1389" s="149">
        <v>0</v>
      </c>
      <c r="Q1389" s="148">
        <v>0</v>
      </c>
      <c r="R1389" s="150">
        <v>238879.41</v>
      </c>
      <c r="S13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89" s="135">
        <f ca="1">+IF(PROVEEDORES[[#This Row],[FECHA DE PAGO]]=0,TODAY()-PROVEEDORES[[#This Row],[FECHA DE FACTURACIÓN]]-PROVEEDORES[[#This Row],[PLAZO Días]],0)</f>
        <v>0</v>
      </c>
      <c r="U1389" s="135" t="str">
        <f>+VLOOKUP(PROVEEDORES[[#This Row],[PROVEEDOR]],Terceros!$A:$D,4,FALSE)</f>
        <v>2,5% con base</v>
      </c>
      <c r="V1389" s="135">
        <f>+YEAR(PROVEEDORES[[#This Row],[FECHA DE FACTURACIÓN]])</f>
        <v>2024</v>
      </c>
      <c r="W1389" s="135">
        <f>+MATCH(PROVEEDORES[[#This Row],[año facturado]],Retenciones!$1:$1,0)</f>
        <v>7</v>
      </c>
      <c r="X1389" s="136">
        <f>+VLOOKUP(PROVEEDORES[[#This Row],[ID RETENCION]],Retenciones!$A$1:$O$25,PROVEEDORES[[#This Row],[indicador de columna]],FALSE)</f>
        <v>1271000</v>
      </c>
      <c r="Y1389" s="137">
        <f>+VLOOKUP(PROVEEDORES[[#This Row],[ID RETENCION]],Retenciones!$A$1:$O$25,2,FALSE)</f>
        <v>2.5000000000000001E-2</v>
      </c>
      <c r="Z1389" s="126" t="b">
        <f>+OR(COUNTIF(PROVEEDORES[[#This Row],[PROVEEDOR]],"*"&amp;'Palabra que no opera y Listas d'!$A$2&amp;"*"))</f>
        <v>0</v>
      </c>
    </row>
    <row r="1390" spans="1:26" ht="27.75" customHeight="1" x14ac:dyDescent="0.25">
      <c r="A1390" s="141" t="str">
        <f>+IF(PROVEEDORES[[#This Row],[FECHA DE PAGO]]=PROVEEDORES[[#This Row],[FECHA DE FACTURACIÓN]],"DE CONTADO","CRÉDITO")</f>
        <v>CRÉDITO</v>
      </c>
      <c r="B1390" s="138" t="b">
        <f>+IF((PROVEEDORES[[#This Row],[FECHA DE PAGO]]-PROVEEDORES[[#This Row],[FECHA DE FACTURACIÓN]])&gt;PROVEEDORES[[#This Row],[PLAZO Días]],"PAGO VENCIDO")</f>
        <v>0</v>
      </c>
      <c r="C1390" s="138">
        <f>+VLOOKUP(PROVEEDORES[[#This Row],[PROVEEDOR]],TERCEROS_INFO[#All],2,FALSE)</f>
        <v>30</v>
      </c>
      <c r="D1390" s="139">
        <f>+SUMIFS(PROVEEDORES[Total],PROVEEDORES[PROVEEDOR],PROVEEDORES[[#This Row],[PROVEEDOR]],PROVEEDORES[FECHA DE PAGO],"")</f>
        <v>0</v>
      </c>
      <c r="E1390" s="140"/>
      <c r="F1390" s="138" t="str">
        <f>+VLOOKUP(PROVEEDORES[[#This Row],[PROVEEDOR]],
                       Terceros!$A:$F,
                       5,
                       FALSE)</f>
        <v>judy.torres@movecargo.co;girlesa.ruiz@servipilas.com;joriescobar64@gmail.com</v>
      </c>
      <c r="G1390" s="127">
        <v>45378</v>
      </c>
      <c r="H1390" s="123" t="s">
        <v>1724</v>
      </c>
      <c r="I1390" s="127">
        <v>45366</v>
      </c>
      <c r="J1390" s="124" t="s">
        <v>1686</v>
      </c>
      <c r="K1390" s="124" t="s">
        <v>504</v>
      </c>
      <c r="L1390" s="124" t="s">
        <v>1534</v>
      </c>
      <c r="M1390" s="125">
        <v>7850000</v>
      </c>
      <c r="N1390" s="148">
        <v>1491500</v>
      </c>
      <c r="O1390" s="148">
        <v>0</v>
      </c>
      <c r="P1390" s="149">
        <v>0.01</v>
      </c>
      <c r="Q1390" s="148">
        <v>78500</v>
      </c>
      <c r="R1390" s="150">
        <v>9263000</v>
      </c>
      <c r="S13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0" s="135">
        <f ca="1">+IF(PROVEEDORES[[#This Row],[FECHA DE PAGO]]=0,TODAY()-PROVEEDORES[[#This Row],[FECHA DE FACTURACIÓN]]-PROVEEDORES[[#This Row],[PLAZO Días]],0)</f>
        <v>0</v>
      </c>
      <c r="U1390" s="135" t="str">
        <f>+VLOOKUP(PROVEEDORES[[#This Row],[PROVEEDOR]],Terceros!$A:$D,4,FALSE)</f>
        <v>1% sin base</v>
      </c>
      <c r="V1390" s="135">
        <f>+YEAR(PROVEEDORES[[#This Row],[FECHA DE FACTURACIÓN]])</f>
        <v>2024</v>
      </c>
      <c r="W1390" s="135">
        <f>+MATCH(PROVEEDORES[[#This Row],[año facturado]],Retenciones!$1:$1,0)</f>
        <v>7</v>
      </c>
      <c r="X1390" s="136">
        <f>+VLOOKUP(PROVEEDORES[[#This Row],[ID RETENCION]],Retenciones!$A$1:$O$25,PROVEEDORES[[#This Row],[indicador de columna]],FALSE)</f>
        <v>0</v>
      </c>
      <c r="Y1390" s="137">
        <f>+VLOOKUP(PROVEEDORES[[#This Row],[ID RETENCION]],Retenciones!$A$1:$O$25,2,FALSE)</f>
        <v>0.01</v>
      </c>
      <c r="Z1390" s="126" t="b">
        <f>+OR(COUNTIF(PROVEEDORES[[#This Row],[PROVEEDOR]],"*"&amp;'Palabra que no opera y Listas d'!$A$2&amp;"*"))</f>
        <v>0</v>
      </c>
    </row>
    <row r="1391" spans="1:26" ht="27.75" customHeight="1" x14ac:dyDescent="0.25">
      <c r="A1391" s="141" t="str">
        <f>+IF(PROVEEDORES[[#This Row],[FECHA DE PAGO]]=PROVEEDORES[[#This Row],[FECHA DE FACTURACIÓN]],"DE CONTADO","CRÉDITO")</f>
        <v>DE CONTADO</v>
      </c>
      <c r="B1391" s="138" t="b">
        <f>+IF((PROVEEDORES[[#This Row],[FECHA DE PAGO]]-PROVEEDORES[[#This Row],[FECHA DE FACTURACIÓN]])&gt;PROVEEDORES[[#This Row],[PLAZO Días]],"PAGO VENCIDO")</f>
        <v>0</v>
      </c>
      <c r="C1391" s="138">
        <f>+VLOOKUP(PROVEEDORES[[#This Row],[PROVEEDOR]],TERCEROS_INFO[#All],2,FALSE)</f>
        <v>30</v>
      </c>
      <c r="D1391" s="139">
        <f>+SUMIFS(PROVEEDORES[Total],PROVEEDORES[PROVEEDOR],PROVEEDORES[[#This Row],[PROVEEDOR]],PROVEEDORES[FECHA DE PAGO],"")</f>
        <v>0</v>
      </c>
      <c r="E1391" s="140"/>
      <c r="F1391" s="138" t="str">
        <f>+VLOOKUP(PROVEEDORES[[#This Row],[PROVEEDOR]],
                       Terceros!$A:$F,
                       5,
                       FALSE)</f>
        <v/>
      </c>
      <c r="G1391" s="127">
        <v>45378</v>
      </c>
      <c r="H1391" s="123" t="s">
        <v>1824</v>
      </c>
      <c r="I1391" s="127">
        <v>45378</v>
      </c>
      <c r="J1391" s="124"/>
      <c r="K1391" s="124" t="s">
        <v>1530</v>
      </c>
      <c r="L1391" s="124" t="s">
        <v>1395</v>
      </c>
      <c r="M1391" s="125">
        <v>442000</v>
      </c>
      <c r="N1391" s="148">
        <v>0</v>
      </c>
      <c r="O1391" s="148">
        <v>0</v>
      </c>
      <c r="P1391" s="149">
        <v>0</v>
      </c>
      <c r="Q1391" s="148">
        <v>0</v>
      </c>
      <c r="R1391" s="150">
        <v>442000</v>
      </c>
      <c r="S13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1" s="135">
        <f ca="1">+IF(PROVEEDORES[[#This Row],[FECHA DE PAGO]]=0,TODAY()-PROVEEDORES[[#This Row],[FECHA DE FACTURACIÓN]]-PROVEEDORES[[#This Row],[PLAZO Días]],0)</f>
        <v>0</v>
      </c>
      <c r="U1391" s="135">
        <f>+VLOOKUP(PROVEEDORES[[#This Row],[PROVEEDOR]],Terceros!$A:$D,4,FALSE)</f>
        <v>0</v>
      </c>
      <c r="V1391" s="135">
        <f>+YEAR(PROVEEDORES[[#This Row],[FECHA DE FACTURACIÓN]])</f>
        <v>2024</v>
      </c>
      <c r="W1391" s="135">
        <f>+MATCH(PROVEEDORES[[#This Row],[año facturado]],Retenciones!$1:$1,0)</f>
        <v>7</v>
      </c>
      <c r="X1391" s="136">
        <f>+VLOOKUP(PROVEEDORES[[#This Row],[ID RETENCION]],Retenciones!$A$1:$O$25,PROVEEDORES[[#This Row],[indicador de columna]],FALSE)</f>
        <v>0</v>
      </c>
      <c r="Y1391" s="137">
        <f>+VLOOKUP(PROVEEDORES[[#This Row],[ID RETENCION]],Retenciones!$A$1:$O$25,2,FALSE)</f>
        <v>0</v>
      </c>
      <c r="Z1391" s="126" t="b">
        <f>+OR(COUNTIF(PROVEEDORES[[#This Row],[PROVEEDOR]],"*"&amp;'Palabra que no opera y Listas d'!$A$2&amp;"*"))</f>
        <v>0</v>
      </c>
    </row>
    <row r="1392" spans="1:26" ht="27.75" customHeight="1" x14ac:dyDescent="0.25">
      <c r="A1392" s="141" t="str">
        <f>+IF(PROVEEDORES[[#This Row],[FECHA DE PAGO]]=PROVEEDORES[[#This Row],[FECHA DE FACTURACIÓN]],"DE CONTADO","CRÉDITO")</f>
        <v>DE CONTADO</v>
      </c>
      <c r="B1392" s="138" t="b">
        <f>+IF((PROVEEDORES[[#This Row],[FECHA DE PAGO]]-PROVEEDORES[[#This Row],[FECHA DE FACTURACIÓN]])&gt;PROVEEDORES[[#This Row],[PLAZO Días]],"PAGO VENCIDO")</f>
        <v>0</v>
      </c>
      <c r="C1392" s="138">
        <f>+VLOOKUP(PROVEEDORES[[#This Row],[PROVEEDOR]],TERCEROS_INFO[#All],2,FALSE)</f>
        <v>30</v>
      </c>
      <c r="D1392" s="139">
        <f>+SUMIFS(PROVEEDORES[Total],PROVEEDORES[PROVEEDOR],PROVEEDORES[[#This Row],[PROVEEDOR]],PROVEEDORES[FECHA DE PAGO],"")</f>
        <v>0</v>
      </c>
      <c r="E1392" s="140"/>
      <c r="F1392" s="138" t="str">
        <f>+VLOOKUP(PROVEEDORES[[#This Row],[PROVEEDOR]],
                       Terceros!$A:$F,
                       5,
                       FALSE)</f>
        <v/>
      </c>
      <c r="G1392" s="127">
        <v>45378</v>
      </c>
      <c r="H1392" s="123" t="s">
        <v>1824</v>
      </c>
      <c r="I1392" s="127">
        <v>45378</v>
      </c>
      <c r="J1392" s="124"/>
      <c r="K1392" s="124" t="s">
        <v>1530</v>
      </c>
      <c r="L1392" s="124" t="s">
        <v>1395</v>
      </c>
      <c r="M1392" s="125">
        <v>983554</v>
      </c>
      <c r="N1392" s="148">
        <v>0</v>
      </c>
      <c r="O1392" s="148">
        <v>0</v>
      </c>
      <c r="P1392" s="149">
        <v>0</v>
      </c>
      <c r="Q1392" s="148">
        <v>0</v>
      </c>
      <c r="R1392" s="150">
        <v>983554</v>
      </c>
      <c r="S13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2" s="135">
        <f ca="1">+IF(PROVEEDORES[[#This Row],[FECHA DE PAGO]]=0,TODAY()-PROVEEDORES[[#This Row],[FECHA DE FACTURACIÓN]]-PROVEEDORES[[#This Row],[PLAZO Días]],0)</f>
        <v>0</v>
      </c>
      <c r="U1392" s="135">
        <f>+VLOOKUP(PROVEEDORES[[#This Row],[PROVEEDOR]],Terceros!$A:$D,4,FALSE)</f>
        <v>0</v>
      </c>
      <c r="V1392" s="135">
        <f>+YEAR(PROVEEDORES[[#This Row],[FECHA DE FACTURACIÓN]])</f>
        <v>2024</v>
      </c>
      <c r="W1392" s="135">
        <f>+MATCH(PROVEEDORES[[#This Row],[año facturado]],Retenciones!$1:$1,0)</f>
        <v>7</v>
      </c>
      <c r="X1392" s="136">
        <f>+VLOOKUP(PROVEEDORES[[#This Row],[ID RETENCION]],Retenciones!$A$1:$O$25,PROVEEDORES[[#This Row],[indicador de columna]],FALSE)</f>
        <v>0</v>
      </c>
      <c r="Y1392" s="137">
        <f>+VLOOKUP(PROVEEDORES[[#This Row],[ID RETENCION]],Retenciones!$A$1:$O$25,2,FALSE)</f>
        <v>0</v>
      </c>
      <c r="Z1392" s="126" t="b">
        <f>+OR(COUNTIF(PROVEEDORES[[#This Row],[PROVEEDOR]],"*"&amp;'Palabra que no opera y Listas d'!$A$2&amp;"*"))</f>
        <v>0</v>
      </c>
    </row>
    <row r="1393" spans="1:26" ht="27.75" customHeight="1" x14ac:dyDescent="0.25">
      <c r="A1393" s="141" t="str">
        <f>+IF(PROVEEDORES[[#This Row],[FECHA DE PAGO]]=PROVEEDORES[[#This Row],[FECHA DE FACTURACIÓN]],"DE CONTADO","CRÉDITO")</f>
        <v>DE CONTADO</v>
      </c>
      <c r="B1393" s="138" t="b">
        <f>+IF((PROVEEDORES[[#This Row],[FECHA DE PAGO]]-PROVEEDORES[[#This Row],[FECHA DE FACTURACIÓN]])&gt;PROVEEDORES[[#This Row],[PLAZO Días]],"PAGO VENCIDO")</f>
        <v>0</v>
      </c>
      <c r="C1393" s="138">
        <f>+VLOOKUP(PROVEEDORES[[#This Row],[PROVEEDOR]],TERCEROS_INFO[#All],2,FALSE)</f>
        <v>30</v>
      </c>
      <c r="D1393" s="139">
        <f>+SUMIFS(PROVEEDORES[Total],PROVEEDORES[PROVEEDOR],PROVEEDORES[[#This Row],[PROVEEDOR]],PROVEEDORES[FECHA DE PAGO],"")</f>
        <v>134000</v>
      </c>
      <c r="E1393" s="140"/>
      <c r="F1393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393" s="127">
        <v>45378</v>
      </c>
      <c r="H1393" s="123" t="s">
        <v>1808</v>
      </c>
      <c r="I1393" s="127">
        <v>45378</v>
      </c>
      <c r="J1393" s="124" t="s">
        <v>1740</v>
      </c>
      <c r="K1393" s="124" t="s">
        <v>1530</v>
      </c>
      <c r="L1393" s="124"/>
      <c r="M1393" s="125">
        <v>33000</v>
      </c>
      <c r="N1393" s="148">
        <v>0</v>
      </c>
      <c r="O1393" s="148">
        <v>0</v>
      </c>
      <c r="P1393" s="149">
        <v>0</v>
      </c>
      <c r="Q1393" s="148">
        <v>0</v>
      </c>
      <c r="R1393" s="150">
        <v>33000</v>
      </c>
      <c r="S13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3" s="135">
        <f ca="1">+IF(PROVEEDORES[[#This Row],[FECHA DE PAGO]]=0,TODAY()-PROVEEDORES[[#This Row],[FECHA DE FACTURACIÓN]]-PROVEEDORES[[#This Row],[PLAZO Días]],0)</f>
        <v>0</v>
      </c>
      <c r="U1393" s="135">
        <f>+VLOOKUP(PROVEEDORES[[#This Row],[PROVEEDOR]],Terceros!$A:$D,4,FALSE)</f>
        <v>0</v>
      </c>
      <c r="V1393" s="135">
        <f>+YEAR(PROVEEDORES[[#This Row],[FECHA DE FACTURACIÓN]])</f>
        <v>2024</v>
      </c>
      <c r="W1393" s="135">
        <f>+MATCH(PROVEEDORES[[#This Row],[año facturado]],Retenciones!$1:$1,0)</f>
        <v>7</v>
      </c>
      <c r="X1393" s="136">
        <f>+VLOOKUP(PROVEEDORES[[#This Row],[ID RETENCION]],Retenciones!$A$1:$O$25,PROVEEDORES[[#This Row],[indicador de columna]],FALSE)</f>
        <v>0</v>
      </c>
      <c r="Y1393" s="137">
        <f>+VLOOKUP(PROVEEDORES[[#This Row],[ID RETENCION]],Retenciones!$A$1:$O$25,2,FALSE)</f>
        <v>0</v>
      </c>
      <c r="Z1393" s="126" t="b">
        <f>+OR(COUNTIF(PROVEEDORES[[#This Row],[PROVEEDOR]],"*"&amp;'Palabra que no opera y Listas d'!$A$2&amp;"*"))</f>
        <v>0</v>
      </c>
    </row>
    <row r="1394" spans="1:26" ht="27.75" customHeight="1" x14ac:dyDescent="0.25">
      <c r="A1394" s="141" t="str">
        <f>+IF(PROVEEDORES[[#This Row],[FECHA DE PAGO]]=PROVEEDORES[[#This Row],[FECHA DE FACTURACIÓN]],"DE CONTADO","CRÉDITO")</f>
        <v>CRÉDITO</v>
      </c>
      <c r="B1394" s="138" t="str">
        <f>+IF((PROVEEDORES[[#This Row],[FECHA DE PAGO]]-PROVEEDORES[[#This Row],[FECHA DE FACTURACIÓN]])&gt;PROVEEDORES[[#This Row],[PLAZO Días]],"PAGO VENCIDO")</f>
        <v>PAGO VENCIDO</v>
      </c>
      <c r="C1394" s="138">
        <f>+VLOOKUP(PROVEEDORES[[#This Row],[PROVEEDOR]],TERCEROS_INFO[#All],2,FALSE)</f>
        <v>30</v>
      </c>
      <c r="D1394" s="139">
        <f>+SUMIFS(PROVEEDORES[Total],PROVEEDORES[PROVEEDOR],PROVEEDORES[[#This Row],[PROVEEDOR]],PROVEEDORES[FECHA DE PAGO],"")</f>
        <v>134000</v>
      </c>
      <c r="E1394" s="140"/>
      <c r="F1394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394" s="127">
        <v>45383</v>
      </c>
      <c r="H1394" s="123" t="s">
        <v>1808</v>
      </c>
      <c r="I1394" s="127">
        <v>45330</v>
      </c>
      <c r="J1394" s="124" t="s">
        <v>1606</v>
      </c>
      <c r="K1394" s="124" t="s">
        <v>1530</v>
      </c>
      <c r="L1394" s="124" t="s">
        <v>1536</v>
      </c>
      <c r="M1394" s="125">
        <v>245000</v>
      </c>
      <c r="N1394" s="148">
        <v>0</v>
      </c>
      <c r="O1394" s="148">
        <v>0</v>
      </c>
      <c r="P1394" s="149">
        <v>0</v>
      </c>
      <c r="Q1394" s="148">
        <v>0</v>
      </c>
      <c r="R1394" s="150">
        <v>245000</v>
      </c>
      <c r="S13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4" s="135">
        <f ca="1">+IF(PROVEEDORES[[#This Row],[FECHA DE PAGO]]=0,TODAY()-PROVEEDORES[[#This Row],[FECHA DE FACTURACIÓN]]-PROVEEDORES[[#This Row],[PLAZO Días]],0)</f>
        <v>0</v>
      </c>
      <c r="U1394" s="135">
        <f>+VLOOKUP(PROVEEDORES[[#This Row],[PROVEEDOR]],Terceros!$A:$D,4,FALSE)</f>
        <v>0</v>
      </c>
      <c r="V1394" s="135">
        <f>+YEAR(PROVEEDORES[[#This Row],[FECHA DE FACTURACIÓN]])</f>
        <v>2024</v>
      </c>
      <c r="W1394" s="135">
        <f>+MATCH(PROVEEDORES[[#This Row],[año facturado]],Retenciones!$1:$1,0)</f>
        <v>7</v>
      </c>
      <c r="X1394" s="136">
        <f>+VLOOKUP(PROVEEDORES[[#This Row],[ID RETENCION]],Retenciones!$A$1:$O$25,PROVEEDORES[[#This Row],[indicador de columna]],FALSE)</f>
        <v>0</v>
      </c>
      <c r="Y1394" s="137">
        <f>+VLOOKUP(PROVEEDORES[[#This Row],[ID RETENCION]],Retenciones!$A$1:$O$25,2,FALSE)</f>
        <v>0</v>
      </c>
      <c r="Z1394" s="126" t="b">
        <f>+OR(COUNTIF(PROVEEDORES[[#This Row],[PROVEEDOR]],"*"&amp;'Palabra que no opera y Listas d'!$A$2&amp;"*"))</f>
        <v>0</v>
      </c>
    </row>
    <row r="1395" spans="1:26" ht="27.75" customHeight="1" x14ac:dyDescent="0.25">
      <c r="A1395" s="141" t="str">
        <f>+IF(PROVEEDORES[[#This Row],[FECHA DE PAGO]]=PROVEEDORES[[#This Row],[FECHA DE FACTURACIÓN]],"DE CONTADO","CRÉDITO")</f>
        <v>CRÉDITO</v>
      </c>
      <c r="B1395" s="138" t="str">
        <f>+IF((PROVEEDORES[[#This Row],[FECHA DE PAGO]]-PROVEEDORES[[#This Row],[FECHA DE FACTURACIÓN]])&gt;PROVEEDORES[[#This Row],[PLAZO Días]],"PAGO VENCIDO")</f>
        <v>PAGO VENCIDO</v>
      </c>
      <c r="C1395" s="138">
        <f>+VLOOKUP(PROVEEDORES[[#This Row],[PROVEEDOR]],TERCEROS_INFO[#All],2,FALSE)</f>
        <v>30</v>
      </c>
      <c r="D1395" s="139">
        <f>+SUMIFS(PROVEEDORES[Total],PROVEEDORES[PROVEEDOR],PROVEEDORES[[#This Row],[PROVEEDOR]],PROVEEDORES[FECHA DE PAGO],"")</f>
        <v>4316000</v>
      </c>
      <c r="E1395" s="140"/>
      <c r="F1395" s="138" t="str">
        <f>+VLOOKUP(PROVEEDORES[[#This Row],[PROVEEDOR]],
                       Terceros!$A:$F,
                       5,
                       FALSE)</f>
        <v/>
      </c>
      <c r="G1395" s="127">
        <v>45383</v>
      </c>
      <c r="H1395" s="123" t="s">
        <v>1812</v>
      </c>
      <c r="I1395" s="127">
        <v>45341</v>
      </c>
      <c r="J1395" s="124" t="s">
        <v>1612</v>
      </c>
      <c r="K1395" s="124" t="s">
        <v>1530</v>
      </c>
      <c r="L1395" s="124" t="s">
        <v>1395</v>
      </c>
      <c r="M1395" s="125">
        <v>1249000</v>
      </c>
      <c r="N1395" s="148">
        <v>0</v>
      </c>
      <c r="O1395" s="148">
        <v>0</v>
      </c>
      <c r="P1395" s="149">
        <v>0</v>
      </c>
      <c r="Q1395" s="148">
        <v>0</v>
      </c>
      <c r="R1395" s="150">
        <v>1249000</v>
      </c>
      <c r="S13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5" s="135">
        <f ca="1">+IF(PROVEEDORES[[#This Row],[FECHA DE PAGO]]=0,TODAY()-PROVEEDORES[[#This Row],[FECHA DE FACTURACIÓN]]-PROVEEDORES[[#This Row],[PLAZO Días]],0)</f>
        <v>0</v>
      </c>
      <c r="U1395" s="135">
        <f>+VLOOKUP(PROVEEDORES[[#This Row],[PROVEEDOR]],Terceros!$A:$D,4,FALSE)</f>
        <v>0</v>
      </c>
      <c r="V1395" s="135">
        <f>+YEAR(PROVEEDORES[[#This Row],[FECHA DE FACTURACIÓN]])</f>
        <v>2024</v>
      </c>
      <c r="W1395" s="135">
        <f>+MATCH(PROVEEDORES[[#This Row],[año facturado]],Retenciones!$1:$1,0)</f>
        <v>7</v>
      </c>
      <c r="X1395" s="136">
        <f>+VLOOKUP(PROVEEDORES[[#This Row],[ID RETENCION]],Retenciones!$A$1:$O$25,PROVEEDORES[[#This Row],[indicador de columna]],FALSE)</f>
        <v>0</v>
      </c>
      <c r="Y1395" s="137">
        <f>+VLOOKUP(PROVEEDORES[[#This Row],[ID RETENCION]],Retenciones!$A$1:$O$25,2,FALSE)</f>
        <v>0</v>
      </c>
      <c r="Z1395" s="126" t="b">
        <f>+OR(COUNTIF(PROVEEDORES[[#This Row],[PROVEEDOR]],"*"&amp;'Palabra que no opera y Listas d'!$A$2&amp;"*"))</f>
        <v>0</v>
      </c>
    </row>
    <row r="1396" spans="1:26" ht="27.75" customHeight="1" x14ac:dyDescent="0.25">
      <c r="A1396" s="141" t="str">
        <f>+IF(PROVEEDORES[[#This Row],[FECHA DE PAGO]]=PROVEEDORES[[#This Row],[FECHA DE FACTURACIÓN]],"DE CONTADO","CRÉDITO")</f>
        <v>CRÉDITO</v>
      </c>
      <c r="B1396" s="138" t="str">
        <f>+IF((PROVEEDORES[[#This Row],[FECHA DE PAGO]]-PROVEEDORES[[#This Row],[FECHA DE FACTURACIÓN]])&gt;PROVEEDORES[[#This Row],[PLAZO Días]],"PAGO VENCIDO")</f>
        <v>PAGO VENCIDO</v>
      </c>
      <c r="C1396" s="138">
        <f>+VLOOKUP(PROVEEDORES[[#This Row],[PROVEEDOR]],TERCEROS_INFO[#All],2,FALSE)</f>
        <v>30</v>
      </c>
      <c r="D1396" s="139">
        <f>+SUMIFS(PROVEEDORES[Total],PROVEEDORES[PROVEEDOR],PROVEEDORES[[#This Row],[PROVEEDOR]],PROVEEDORES[FECHA DE PAGO],"")</f>
        <v>0</v>
      </c>
      <c r="E1396" s="140"/>
      <c r="F1396" s="138" t="str">
        <f>+VLOOKUP(PROVEEDORES[[#This Row],[PROVEEDOR]],
                       Terceros!$A:$F,
                       5,
                       FALSE)</f>
        <v/>
      </c>
      <c r="G1396" s="127">
        <v>45383</v>
      </c>
      <c r="H1396" s="123" t="s">
        <v>1829</v>
      </c>
      <c r="I1396" s="127">
        <v>45344</v>
      </c>
      <c r="J1396" s="124" t="s">
        <v>1598</v>
      </c>
      <c r="K1396" s="124" t="s">
        <v>1530</v>
      </c>
      <c r="L1396" s="124" t="s">
        <v>1395</v>
      </c>
      <c r="M1396" s="125">
        <v>8330500</v>
      </c>
      <c r="N1396" s="148">
        <v>0</v>
      </c>
      <c r="O1396" s="148">
        <v>249915</v>
      </c>
      <c r="P1396" s="149">
        <v>0</v>
      </c>
      <c r="Q1396" s="148">
        <v>0</v>
      </c>
      <c r="R1396" s="150">
        <v>8080585</v>
      </c>
      <c r="S13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6" s="135">
        <f ca="1">+IF(PROVEEDORES[[#This Row],[FECHA DE PAGO]]=0,TODAY()-PROVEEDORES[[#This Row],[FECHA DE FACTURACIÓN]]-PROVEEDORES[[#This Row],[PLAZO Días]],0)</f>
        <v>0</v>
      </c>
      <c r="U1396" s="135">
        <f>+VLOOKUP(PROVEEDORES[[#This Row],[PROVEEDOR]],Terceros!$A:$D,4,FALSE)</f>
        <v>0</v>
      </c>
      <c r="V1396" s="135">
        <f>+YEAR(PROVEEDORES[[#This Row],[FECHA DE FACTURACIÓN]])</f>
        <v>2024</v>
      </c>
      <c r="W1396" s="135">
        <f>+MATCH(PROVEEDORES[[#This Row],[año facturado]],Retenciones!$1:$1,0)</f>
        <v>7</v>
      </c>
      <c r="X1396" s="136">
        <f>+VLOOKUP(PROVEEDORES[[#This Row],[ID RETENCION]],Retenciones!$A$1:$O$25,PROVEEDORES[[#This Row],[indicador de columna]],FALSE)</f>
        <v>0</v>
      </c>
      <c r="Y1396" s="137">
        <f>+VLOOKUP(PROVEEDORES[[#This Row],[ID RETENCION]],Retenciones!$A$1:$O$25,2,FALSE)</f>
        <v>0</v>
      </c>
      <c r="Z1396" s="126" t="b">
        <f>+OR(COUNTIF(PROVEEDORES[[#This Row],[PROVEEDOR]],"*"&amp;'Palabra que no opera y Listas d'!$A$2&amp;"*"))</f>
        <v>0</v>
      </c>
    </row>
    <row r="1397" spans="1:26" ht="27.75" customHeight="1" x14ac:dyDescent="0.25">
      <c r="A1397" s="141" t="str">
        <f>+IF(PROVEEDORES[[#This Row],[FECHA DE PAGO]]=PROVEEDORES[[#This Row],[FECHA DE FACTURACIÓN]],"DE CONTADO","CRÉDITO")</f>
        <v>CRÉDITO</v>
      </c>
      <c r="B1397" s="138" t="b">
        <f>+IF((PROVEEDORES[[#This Row],[FECHA DE PAGO]]-PROVEEDORES[[#This Row],[FECHA DE FACTURACIÓN]])&gt;PROVEEDORES[[#This Row],[PLAZO Días]],"PAGO VENCIDO")</f>
        <v>0</v>
      </c>
      <c r="C1397" s="138">
        <f>+VLOOKUP(PROVEEDORES[[#This Row],[PROVEEDOR]],TERCEROS_INFO[#All],2,FALSE)</f>
        <v>60</v>
      </c>
      <c r="D1397" s="139">
        <f>+SUMIFS(PROVEEDORES[Total],PROVEEDORES[PROVEEDOR],PROVEEDORES[[#This Row],[PROVEEDOR]],PROVEEDORES[FECHA DE PAGO],"")</f>
        <v>1730482</v>
      </c>
      <c r="E1397" s="140"/>
      <c r="F1397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97" s="127">
        <v>45383</v>
      </c>
      <c r="H1397" s="123" t="s">
        <v>222</v>
      </c>
      <c r="I1397" s="127">
        <v>45344</v>
      </c>
      <c r="J1397" s="124">
        <v>1924</v>
      </c>
      <c r="K1397" s="124" t="s">
        <v>504</v>
      </c>
      <c r="L1397" s="124" t="s">
        <v>1533</v>
      </c>
      <c r="M1397" s="125">
        <v>168454</v>
      </c>
      <c r="N1397" s="148">
        <v>0</v>
      </c>
      <c r="O1397" s="148">
        <v>0</v>
      </c>
      <c r="P1397" s="149">
        <v>0</v>
      </c>
      <c r="Q1397" s="148">
        <v>0</v>
      </c>
      <c r="R1397" s="150">
        <v>168454</v>
      </c>
      <c r="S13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7" s="135">
        <f ca="1">+IF(PROVEEDORES[[#This Row],[FECHA DE PAGO]]=0,TODAY()-PROVEEDORES[[#This Row],[FECHA DE FACTURACIÓN]]-PROVEEDORES[[#This Row],[PLAZO Días]],0)</f>
        <v>0</v>
      </c>
      <c r="U1397" s="135">
        <f>+VLOOKUP(PROVEEDORES[[#This Row],[PROVEEDOR]],Terceros!$A:$D,4,FALSE)</f>
        <v>0</v>
      </c>
      <c r="V1397" s="135">
        <f>+YEAR(PROVEEDORES[[#This Row],[FECHA DE FACTURACIÓN]])</f>
        <v>2024</v>
      </c>
      <c r="W1397" s="135">
        <f>+MATCH(PROVEEDORES[[#This Row],[año facturado]],Retenciones!$1:$1,0)</f>
        <v>7</v>
      </c>
      <c r="X1397" s="136">
        <f>+VLOOKUP(PROVEEDORES[[#This Row],[ID RETENCION]],Retenciones!$A$1:$O$25,PROVEEDORES[[#This Row],[indicador de columna]],FALSE)</f>
        <v>0</v>
      </c>
      <c r="Y1397" s="137">
        <f>+VLOOKUP(PROVEEDORES[[#This Row],[ID RETENCION]],Retenciones!$A$1:$O$25,2,FALSE)</f>
        <v>0</v>
      </c>
      <c r="Z1397" s="126" t="b">
        <f>+OR(COUNTIF(PROVEEDORES[[#This Row],[PROVEEDOR]],"*"&amp;'Palabra que no opera y Listas d'!$A$2&amp;"*"))</f>
        <v>0</v>
      </c>
    </row>
    <row r="1398" spans="1:26" ht="27.75" customHeight="1" x14ac:dyDescent="0.25">
      <c r="A1398" s="141" t="str">
        <f>+IF(PROVEEDORES[[#This Row],[FECHA DE PAGO]]=PROVEEDORES[[#This Row],[FECHA DE FACTURACIÓN]],"DE CONTADO","CRÉDITO")</f>
        <v>CRÉDITO</v>
      </c>
      <c r="B1398" s="138" t="b">
        <f>+IF((PROVEEDORES[[#This Row],[FECHA DE PAGO]]-PROVEEDORES[[#This Row],[FECHA DE FACTURACIÓN]])&gt;PROVEEDORES[[#This Row],[PLAZO Días]],"PAGO VENCIDO")</f>
        <v>0</v>
      </c>
      <c r="C1398" s="138">
        <f>+VLOOKUP(PROVEEDORES[[#This Row],[PROVEEDOR]],TERCEROS_INFO[#All],2,FALSE)</f>
        <v>60</v>
      </c>
      <c r="D1398" s="139">
        <f>+SUMIFS(PROVEEDORES[Total],PROVEEDORES[PROVEEDOR],PROVEEDORES[[#This Row],[PROVEEDOR]],PROVEEDORES[FECHA DE PAGO],"")</f>
        <v>1730482</v>
      </c>
      <c r="E1398" s="140"/>
      <c r="F1398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98" s="127">
        <v>45383</v>
      </c>
      <c r="H1398" s="123" t="s">
        <v>222</v>
      </c>
      <c r="I1398" s="127">
        <v>45349</v>
      </c>
      <c r="J1398" s="124">
        <v>1929</v>
      </c>
      <c r="K1398" s="124" t="s">
        <v>504</v>
      </c>
      <c r="L1398" s="124" t="s">
        <v>1533</v>
      </c>
      <c r="M1398" s="125">
        <v>459420</v>
      </c>
      <c r="N1398" s="148">
        <v>0</v>
      </c>
      <c r="O1398" s="148">
        <v>0</v>
      </c>
      <c r="P1398" s="149">
        <v>0</v>
      </c>
      <c r="Q1398" s="148">
        <v>0</v>
      </c>
      <c r="R1398" s="150">
        <v>459420</v>
      </c>
      <c r="S13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8" s="135">
        <f ca="1">+IF(PROVEEDORES[[#This Row],[FECHA DE PAGO]]=0,TODAY()-PROVEEDORES[[#This Row],[FECHA DE FACTURACIÓN]]-PROVEEDORES[[#This Row],[PLAZO Días]],0)</f>
        <v>0</v>
      </c>
      <c r="U1398" s="135">
        <f>+VLOOKUP(PROVEEDORES[[#This Row],[PROVEEDOR]],Terceros!$A:$D,4,FALSE)</f>
        <v>0</v>
      </c>
      <c r="V1398" s="135">
        <f>+YEAR(PROVEEDORES[[#This Row],[FECHA DE FACTURACIÓN]])</f>
        <v>2024</v>
      </c>
      <c r="W1398" s="135">
        <f>+MATCH(PROVEEDORES[[#This Row],[año facturado]],Retenciones!$1:$1,0)</f>
        <v>7</v>
      </c>
      <c r="X1398" s="136">
        <f>+VLOOKUP(PROVEEDORES[[#This Row],[ID RETENCION]],Retenciones!$A$1:$O$25,PROVEEDORES[[#This Row],[indicador de columna]],FALSE)</f>
        <v>0</v>
      </c>
      <c r="Y1398" s="137">
        <f>+VLOOKUP(PROVEEDORES[[#This Row],[ID RETENCION]],Retenciones!$A$1:$O$25,2,FALSE)</f>
        <v>0</v>
      </c>
      <c r="Z1398" s="126" t="b">
        <f>+OR(COUNTIF(PROVEEDORES[[#This Row],[PROVEEDOR]],"*"&amp;'Palabra que no opera y Listas d'!$A$2&amp;"*"))</f>
        <v>0</v>
      </c>
    </row>
    <row r="1399" spans="1:26" ht="27.75" customHeight="1" x14ac:dyDescent="0.25">
      <c r="A1399" s="141" t="str">
        <f>+IF(PROVEEDORES[[#This Row],[FECHA DE PAGO]]=PROVEEDORES[[#This Row],[FECHA DE FACTURACIÓN]],"DE CONTADO","CRÉDITO")</f>
        <v>CRÉDITO</v>
      </c>
      <c r="B1399" s="138" t="b">
        <f>+IF((PROVEEDORES[[#This Row],[FECHA DE PAGO]]-PROVEEDORES[[#This Row],[FECHA DE FACTURACIÓN]])&gt;PROVEEDORES[[#This Row],[PLAZO Días]],"PAGO VENCIDO")</f>
        <v>0</v>
      </c>
      <c r="C1399" s="138">
        <f>+VLOOKUP(PROVEEDORES[[#This Row],[PROVEEDOR]],TERCEROS_INFO[#All],2,FALSE)</f>
        <v>60</v>
      </c>
      <c r="D1399" s="139">
        <f>+SUMIFS(PROVEEDORES[Total],PROVEEDORES[PROVEEDOR],PROVEEDORES[[#This Row],[PROVEEDOR]],PROVEEDORES[FECHA DE PAGO],"")</f>
        <v>1730482</v>
      </c>
      <c r="E1399" s="140"/>
      <c r="F1399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399" s="127">
        <v>45383</v>
      </c>
      <c r="H1399" s="123" t="s">
        <v>222</v>
      </c>
      <c r="I1399" s="127">
        <v>45351</v>
      </c>
      <c r="J1399" s="124">
        <v>1939</v>
      </c>
      <c r="K1399" s="124" t="s">
        <v>504</v>
      </c>
      <c r="L1399" s="124" t="s">
        <v>1533</v>
      </c>
      <c r="M1399" s="125">
        <v>490048</v>
      </c>
      <c r="N1399" s="148">
        <v>0</v>
      </c>
      <c r="O1399" s="148">
        <v>0</v>
      </c>
      <c r="P1399" s="149">
        <v>0</v>
      </c>
      <c r="Q1399" s="148">
        <v>0</v>
      </c>
      <c r="R1399" s="150">
        <v>490048</v>
      </c>
      <c r="S13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399" s="135">
        <f ca="1">+IF(PROVEEDORES[[#This Row],[FECHA DE PAGO]]=0,TODAY()-PROVEEDORES[[#This Row],[FECHA DE FACTURACIÓN]]-PROVEEDORES[[#This Row],[PLAZO Días]],0)</f>
        <v>0</v>
      </c>
      <c r="U1399" s="135">
        <f>+VLOOKUP(PROVEEDORES[[#This Row],[PROVEEDOR]],Terceros!$A:$D,4,FALSE)</f>
        <v>0</v>
      </c>
      <c r="V1399" s="135">
        <f>+YEAR(PROVEEDORES[[#This Row],[FECHA DE FACTURACIÓN]])</f>
        <v>2024</v>
      </c>
      <c r="W1399" s="135">
        <f>+MATCH(PROVEEDORES[[#This Row],[año facturado]],Retenciones!$1:$1,0)</f>
        <v>7</v>
      </c>
      <c r="X1399" s="136">
        <f>+VLOOKUP(PROVEEDORES[[#This Row],[ID RETENCION]],Retenciones!$A$1:$O$25,PROVEEDORES[[#This Row],[indicador de columna]],FALSE)</f>
        <v>0</v>
      </c>
      <c r="Y1399" s="137">
        <f>+VLOOKUP(PROVEEDORES[[#This Row],[ID RETENCION]],Retenciones!$A$1:$O$25,2,FALSE)</f>
        <v>0</v>
      </c>
      <c r="Z1399" s="126" t="b">
        <f>+OR(COUNTIF(PROVEEDORES[[#This Row],[PROVEEDOR]],"*"&amp;'Palabra que no opera y Listas d'!$A$2&amp;"*"))</f>
        <v>0</v>
      </c>
    </row>
    <row r="1400" spans="1:26" ht="27.75" customHeight="1" x14ac:dyDescent="0.25">
      <c r="A1400" s="141" t="str">
        <f>+IF(PROVEEDORES[[#This Row],[FECHA DE PAGO]]=PROVEEDORES[[#This Row],[FECHA DE FACTURACIÓN]],"DE CONTADO","CRÉDITO")</f>
        <v>CRÉDITO</v>
      </c>
      <c r="B1400" s="138" t="b">
        <f>+IF((PROVEEDORES[[#This Row],[FECHA DE PAGO]]-PROVEEDORES[[#This Row],[FECHA DE FACTURACIÓN]])&gt;PROVEEDORES[[#This Row],[PLAZO Días]],"PAGO VENCIDO")</f>
        <v>0</v>
      </c>
      <c r="C1400" s="138">
        <f>+VLOOKUP(PROVEEDORES[[#This Row],[PROVEEDOR]],TERCEROS_INFO[#All],2,FALSE)</f>
        <v>60</v>
      </c>
      <c r="D1400" s="139">
        <f>+SUMIFS(PROVEEDORES[Total],PROVEEDORES[PROVEEDOR],PROVEEDORES[[#This Row],[PROVEEDOR]],PROVEEDORES[FECHA DE PAGO],"")</f>
        <v>1730482</v>
      </c>
      <c r="E1400" s="140"/>
      <c r="F1400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00" s="127">
        <v>45383</v>
      </c>
      <c r="H1400" s="123" t="s">
        <v>222</v>
      </c>
      <c r="I1400" s="127">
        <v>45352</v>
      </c>
      <c r="J1400" s="124">
        <v>1941</v>
      </c>
      <c r="K1400" s="124" t="s">
        <v>504</v>
      </c>
      <c r="L1400" s="124" t="s">
        <v>1533</v>
      </c>
      <c r="M1400" s="125">
        <v>658502</v>
      </c>
      <c r="N1400" s="148">
        <v>0</v>
      </c>
      <c r="O1400" s="148">
        <v>0</v>
      </c>
      <c r="P1400" s="149">
        <v>0</v>
      </c>
      <c r="Q1400" s="148">
        <v>0</v>
      </c>
      <c r="R1400" s="150">
        <v>658502</v>
      </c>
      <c r="S14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0" s="135">
        <f ca="1">+IF(PROVEEDORES[[#This Row],[FECHA DE PAGO]]=0,TODAY()-PROVEEDORES[[#This Row],[FECHA DE FACTURACIÓN]]-PROVEEDORES[[#This Row],[PLAZO Días]],0)</f>
        <v>0</v>
      </c>
      <c r="U1400" s="135">
        <f>+VLOOKUP(PROVEEDORES[[#This Row],[PROVEEDOR]],Terceros!$A:$D,4,FALSE)</f>
        <v>0</v>
      </c>
      <c r="V1400" s="135">
        <f>+YEAR(PROVEEDORES[[#This Row],[FECHA DE FACTURACIÓN]])</f>
        <v>2024</v>
      </c>
      <c r="W1400" s="135">
        <f>+MATCH(PROVEEDORES[[#This Row],[año facturado]],Retenciones!$1:$1,0)</f>
        <v>7</v>
      </c>
      <c r="X1400" s="136">
        <f>+VLOOKUP(PROVEEDORES[[#This Row],[ID RETENCION]],Retenciones!$A$1:$O$25,PROVEEDORES[[#This Row],[indicador de columna]],FALSE)</f>
        <v>0</v>
      </c>
      <c r="Y1400" s="137">
        <f>+VLOOKUP(PROVEEDORES[[#This Row],[ID RETENCION]],Retenciones!$A$1:$O$25,2,FALSE)</f>
        <v>0</v>
      </c>
      <c r="Z1400" s="126" t="b">
        <f>+OR(COUNTIF(PROVEEDORES[[#This Row],[PROVEEDOR]],"*"&amp;'Palabra que no opera y Listas d'!$A$2&amp;"*"))</f>
        <v>0</v>
      </c>
    </row>
    <row r="1401" spans="1:26" ht="27.75" customHeight="1" x14ac:dyDescent="0.25">
      <c r="A1401" s="141" t="str">
        <f>+IF(PROVEEDORES[[#This Row],[FECHA DE PAGO]]=PROVEEDORES[[#This Row],[FECHA DE FACTURACIÓN]],"DE CONTADO","CRÉDITO")</f>
        <v>CRÉDITO</v>
      </c>
      <c r="B1401" s="138" t="b">
        <f>+IF((PROVEEDORES[[#This Row],[FECHA DE PAGO]]-PROVEEDORES[[#This Row],[FECHA DE FACTURACIÓN]])&gt;PROVEEDORES[[#This Row],[PLAZO Días]],"PAGO VENCIDO")</f>
        <v>0</v>
      </c>
      <c r="C1401" s="138">
        <f>+VLOOKUP(PROVEEDORES[[#This Row],[PROVEEDOR]],TERCEROS_INFO[#All],2,FALSE)</f>
        <v>60</v>
      </c>
      <c r="D1401" s="139">
        <f>+SUMIFS(PROVEEDORES[Total],PROVEEDORES[PROVEEDOR],PROVEEDORES[[#This Row],[PROVEEDOR]],PROVEEDORES[FECHA DE PAGO],"")</f>
        <v>1730482</v>
      </c>
      <c r="E1401" s="140"/>
      <c r="F1401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01" s="127">
        <v>45383</v>
      </c>
      <c r="H1401" s="123" t="s">
        <v>222</v>
      </c>
      <c r="I1401" s="127">
        <v>45352</v>
      </c>
      <c r="J1401" s="124">
        <v>1951</v>
      </c>
      <c r="K1401" s="124" t="s">
        <v>504</v>
      </c>
      <c r="L1401" s="124" t="s">
        <v>1533</v>
      </c>
      <c r="M1401" s="125">
        <v>245024</v>
      </c>
      <c r="N1401" s="148">
        <v>0</v>
      </c>
      <c r="O1401" s="148">
        <v>0</v>
      </c>
      <c r="P1401" s="149">
        <v>0</v>
      </c>
      <c r="Q1401" s="148">
        <v>0</v>
      </c>
      <c r="R1401" s="150">
        <v>245024</v>
      </c>
      <c r="S14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1" s="135">
        <f ca="1">+IF(PROVEEDORES[[#This Row],[FECHA DE PAGO]]=0,TODAY()-PROVEEDORES[[#This Row],[FECHA DE FACTURACIÓN]]-PROVEEDORES[[#This Row],[PLAZO Días]],0)</f>
        <v>0</v>
      </c>
      <c r="U1401" s="135">
        <f>+VLOOKUP(PROVEEDORES[[#This Row],[PROVEEDOR]],Terceros!$A:$D,4,FALSE)</f>
        <v>0</v>
      </c>
      <c r="V1401" s="135">
        <f>+YEAR(PROVEEDORES[[#This Row],[FECHA DE FACTURACIÓN]])</f>
        <v>2024</v>
      </c>
      <c r="W1401" s="135">
        <f>+MATCH(PROVEEDORES[[#This Row],[año facturado]],Retenciones!$1:$1,0)</f>
        <v>7</v>
      </c>
      <c r="X1401" s="136">
        <f>+VLOOKUP(PROVEEDORES[[#This Row],[ID RETENCION]],Retenciones!$A$1:$O$25,PROVEEDORES[[#This Row],[indicador de columna]],FALSE)</f>
        <v>0</v>
      </c>
      <c r="Y1401" s="137">
        <f>+VLOOKUP(PROVEEDORES[[#This Row],[ID RETENCION]],Retenciones!$A$1:$O$25,2,FALSE)</f>
        <v>0</v>
      </c>
      <c r="Z1401" s="126" t="b">
        <f>+OR(COUNTIF(PROVEEDORES[[#This Row],[PROVEEDOR]],"*"&amp;'Palabra que no opera y Listas d'!$A$2&amp;"*"))</f>
        <v>0</v>
      </c>
    </row>
    <row r="1402" spans="1:26" ht="27.75" customHeight="1" x14ac:dyDescent="0.25">
      <c r="A1402" s="141" t="str">
        <f>+IF(PROVEEDORES[[#This Row],[FECHA DE PAGO]]=PROVEEDORES[[#This Row],[FECHA DE FACTURACIÓN]],"DE CONTADO","CRÉDITO")</f>
        <v>CRÉDITO</v>
      </c>
      <c r="B1402" s="138" t="b">
        <f>+IF((PROVEEDORES[[#This Row],[FECHA DE PAGO]]-PROVEEDORES[[#This Row],[FECHA DE FACTURACIÓN]])&gt;PROVEEDORES[[#This Row],[PLAZO Días]],"PAGO VENCIDO")</f>
        <v>0</v>
      </c>
      <c r="C1402" s="138">
        <f>+VLOOKUP(PROVEEDORES[[#This Row],[PROVEEDOR]],TERCEROS_INFO[#All],2,FALSE)</f>
        <v>60</v>
      </c>
      <c r="D1402" s="139">
        <f>+SUMIFS(PROVEEDORES[Total],PROVEEDORES[PROVEEDOR],PROVEEDORES[[#This Row],[PROVEEDOR]],PROVEEDORES[FECHA DE PAGO],"")</f>
        <v>1730482</v>
      </c>
      <c r="E1402" s="140"/>
      <c r="F1402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02" s="127">
        <v>45383</v>
      </c>
      <c r="H1402" s="123" t="s">
        <v>222</v>
      </c>
      <c r="I1402" s="127">
        <v>45369</v>
      </c>
      <c r="J1402" s="124">
        <v>1961</v>
      </c>
      <c r="K1402" s="124" t="s">
        <v>504</v>
      </c>
      <c r="L1402" s="124" t="s">
        <v>1533</v>
      </c>
      <c r="M1402" s="125">
        <v>2469382.5</v>
      </c>
      <c r="N1402" s="148">
        <v>0</v>
      </c>
      <c r="O1402" s="148">
        <v>0</v>
      </c>
      <c r="P1402" s="149">
        <v>0</v>
      </c>
      <c r="Q1402" s="148">
        <v>0</v>
      </c>
      <c r="R1402" s="150">
        <v>2469382.5</v>
      </c>
      <c r="S14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2" s="135">
        <f ca="1">+IF(PROVEEDORES[[#This Row],[FECHA DE PAGO]]=0,TODAY()-PROVEEDORES[[#This Row],[FECHA DE FACTURACIÓN]]-PROVEEDORES[[#This Row],[PLAZO Días]],0)</f>
        <v>0</v>
      </c>
      <c r="U1402" s="135">
        <f>+VLOOKUP(PROVEEDORES[[#This Row],[PROVEEDOR]],Terceros!$A:$D,4,FALSE)</f>
        <v>0</v>
      </c>
      <c r="V1402" s="135">
        <f>+YEAR(PROVEEDORES[[#This Row],[FECHA DE FACTURACIÓN]])</f>
        <v>2024</v>
      </c>
      <c r="W1402" s="135">
        <f>+MATCH(PROVEEDORES[[#This Row],[año facturado]],Retenciones!$1:$1,0)</f>
        <v>7</v>
      </c>
      <c r="X1402" s="136">
        <f>+VLOOKUP(PROVEEDORES[[#This Row],[ID RETENCION]],Retenciones!$A$1:$O$25,PROVEEDORES[[#This Row],[indicador de columna]],FALSE)</f>
        <v>0</v>
      </c>
      <c r="Y1402" s="137">
        <f>+VLOOKUP(PROVEEDORES[[#This Row],[ID RETENCION]],Retenciones!$A$1:$O$25,2,FALSE)</f>
        <v>0</v>
      </c>
      <c r="Z1402" s="126" t="b">
        <f>+OR(COUNTIF(PROVEEDORES[[#This Row],[PROVEEDOR]],"*"&amp;'Palabra que no opera y Listas d'!$A$2&amp;"*"))</f>
        <v>0</v>
      </c>
    </row>
    <row r="1403" spans="1:26" ht="27.75" customHeight="1" x14ac:dyDescent="0.25">
      <c r="A1403" s="141" t="str">
        <f>+IF(PROVEEDORES[[#This Row],[FECHA DE PAGO]]=PROVEEDORES[[#This Row],[FECHA DE FACTURACIÓN]],"DE CONTADO","CRÉDITO")</f>
        <v>CRÉDITO</v>
      </c>
      <c r="B1403" s="138" t="b">
        <f>+IF((PROVEEDORES[[#This Row],[FECHA DE PAGO]]-PROVEEDORES[[#This Row],[FECHA DE FACTURACIÓN]])&gt;PROVEEDORES[[#This Row],[PLAZO Días]],"PAGO VENCIDO")</f>
        <v>0</v>
      </c>
      <c r="C1403" s="138">
        <f>+VLOOKUP(PROVEEDORES[[#This Row],[PROVEEDOR]],TERCEROS_INFO[#All],2,FALSE)</f>
        <v>60</v>
      </c>
      <c r="D1403" s="139">
        <f>+SUMIFS(PROVEEDORES[Total],PROVEEDORES[PROVEEDOR],PROVEEDORES[[#This Row],[PROVEEDOR]],PROVEEDORES[FECHA DE PAGO],"")</f>
        <v>1730482</v>
      </c>
      <c r="E1403" s="140"/>
      <c r="F1403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03" s="127">
        <v>45383</v>
      </c>
      <c r="H1403" s="123" t="s">
        <v>222</v>
      </c>
      <c r="I1403" s="127">
        <v>45369</v>
      </c>
      <c r="J1403" s="124">
        <v>1962</v>
      </c>
      <c r="K1403" s="124" t="s">
        <v>504</v>
      </c>
      <c r="L1403" s="124" t="s">
        <v>1533</v>
      </c>
      <c r="M1403" s="125">
        <v>306280</v>
      </c>
      <c r="N1403" s="148">
        <v>0</v>
      </c>
      <c r="O1403" s="148">
        <v>0</v>
      </c>
      <c r="P1403" s="149">
        <v>0</v>
      </c>
      <c r="Q1403" s="148">
        <v>0</v>
      </c>
      <c r="R1403" s="150">
        <v>306280</v>
      </c>
      <c r="S14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3" s="135">
        <f ca="1">+IF(PROVEEDORES[[#This Row],[FECHA DE PAGO]]=0,TODAY()-PROVEEDORES[[#This Row],[FECHA DE FACTURACIÓN]]-PROVEEDORES[[#This Row],[PLAZO Días]],0)</f>
        <v>0</v>
      </c>
      <c r="U1403" s="135">
        <f>+VLOOKUP(PROVEEDORES[[#This Row],[PROVEEDOR]],Terceros!$A:$D,4,FALSE)</f>
        <v>0</v>
      </c>
      <c r="V1403" s="135">
        <f>+YEAR(PROVEEDORES[[#This Row],[FECHA DE FACTURACIÓN]])</f>
        <v>2024</v>
      </c>
      <c r="W1403" s="135">
        <f>+MATCH(PROVEEDORES[[#This Row],[año facturado]],Retenciones!$1:$1,0)</f>
        <v>7</v>
      </c>
      <c r="X1403" s="136">
        <f>+VLOOKUP(PROVEEDORES[[#This Row],[ID RETENCION]],Retenciones!$A$1:$O$25,PROVEEDORES[[#This Row],[indicador de columna]],FALSE)</f>
        <v>0</v>
      </c>
      <c r="Y1403" s="137">
        <f>+VLOOKUP(PROVEEDORES[[#This Row],[ID RETENCION]],Retenciones!$A$1:$O$25,2,FALSE)</f>
        <v>0</v>
      </c>
      <c r="Z1403" s="126" t="b">
        <f>+OR(COUNTIF(PROVEEDORES[[#This Row],[PROVEEDOR]],"*"&amp;'Palabra que no opera y Listas d'!$A$2&amp;"*"))</f>
        <v>0</v>
      </c>
    </row>
    <row r="1404" spans="1:26" ht="27.75" customHeight="1" x14ac:dyDescent="0.25">
      <c r="A1404" s="141" t="str">
        <f>+IF(PROVEEDORES[[#This Row],[FECHA DE PAGO]]=PROVEEDORES[[#This Row],[FECHA DE FACTURACIÓN]],"DE CONTADO","CRÉDITO")</f>
        <v>CRÉDITO</v>
      </c>
      <c r="B1404" s="138" t="b">
        <f>+IF((PROVEEDORES[[#This Row],[FECHA DE PAGO]]-PROVEEDORES[[#This Row],[FECHA DE FACTURACIÓN]])&gt;PROVEEDORES[[#This Row],[PLAZO Días]],"PAGO VENCIDO")</f>
        <v>0</v>
      </c>
      <c r="C1404" s="138">
        <f>+VLOOKUP(PROVEEDORES[[#This Row],[PROVEEDOR]],TERCEROS_INFO[#All],2,FALSE)</f>
        <v>60</v>
      </c>
      <c r="D1404" s="139">
        <f>+SUMIFS(PROVEEDORES[Total],PROVEEDORES[PROVEEDOR],PROVEEDORES[[#This Row],[PROVEEDOR]],PROVEEDORES[FECHA DE PAGO],"")</f>
        <v>1730482</v>
      </c>
      <c r="E1404" s="140"/>
      <c r="F1404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04" s="127">
        <v>45383</v>
      </c>
      <c r="H1404" s="123" t="s">
        <v>222</v>
      </c>
      <c r="I1404" s="127">
        <v>45369</v>
      </c>
      <c r="J1404" s="124">
        <v>1963</v>
      </c>
      <c r="K1404" s="124" t="s">
        <v>504</v>
      </c>
      <c r="L1404" s="124" t="s">
        <v>1533</v>
      </c>
      <c r="M1404" s="125">
        <v>306280</v>
      </c>
      <c r="N1404" s="148">
        <v>0</v>
      </c>
      <c r="O1404" s="148">
        <v>0</v>
      </c>
      <c r="P1404" s="149">
        <v>0</v>
      </c>
      <c r="Q1404" s="148">
        <v>0</v>
      </c>
      <c r="R1404" s="150">
        <v>306280</v>
      </c>
      <c r="S14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4" s="135">
        <f ca="1">+IF(PROVEEDORES[[#This Row],[FECHA DE PAGO]]=0,TODAY()-PROVEEDORES[[#This Row],[FECHA DE FACTURACIÓN]]-PROVEEDORES[[#This Row],[PLAZO Días]],0)</f>
        <v>0</v>
      </c>
      <c r="U1404" s="135">
        <f>+VLOOKUP(PROVEEDORES[[#This Row],[PROVEEDOR]],Terceros!$A:$D,4,FALSE)</f>
        <v>0</v>
      </c>
      <c r="V1404" s="135">
        <f>+YEAR(PROVEEDORES[[#This Row],[FECHA DE FACTURACIÓN]])</f>
        <v>2024</v>
      </c>
      <c r="W1404" s="135">
        <f>+MATCH(PROVEEDORES[[#This Row],[año facturado]],Retenciones!$1:$1,0)</f>
        <v>7</v>
      </c>
      <c r="X1404" s="136">
        <f>+VLOOKUP(PROVEEDORES[[#This Row],[ID RETENCION]],Retenciones!$A$1:$O$25,PROVEEDORES[[#This Row],[indicador de columna]],FALSE)</f>
        <v>0</v>
      </c>
      <c r="Y1404" s="137">
        <f>+VLOOKUP(PROVEEDORES[[#This Row],[ID RETENCION]],Retenciones!$A$1:$O$25,2,FALSE)</f>
        <v>0</v>
      </c>
      <c r="Z1404" s="126" t="b">
        <f>+OR(COUNTIF(PROVEEDORES[[#This Row],[PROVEEDOR]],"*"&amp;'Palabra que no opera y Listas d'!$A$2&amp;"*"))</f>
        <v>0</v>
      </c>
    </row>
    <row r="1405" spans="1:26" ht="27.75" customHeight="1" x14ac:dyDescent="0.25">
      <c r="A1405" s="141" t="str">
        <f>+IF(PROVEEDORES[[#This Row],[FECHA DE PAGO]]=PROVEEDORES[[#This Row],[FECHA DE FACTURACIÓN]],"DE CONTADO","CRÉDITO")</f>
        <v>CRÉDITO</v>
      </c>
      <c r="B1405" s="138" t="b">
        <f>+IF((PROVEEDORES[[#This Row],[FECHA DE PAGO]]-PROVEEDORES[[#This Row],[FECHA DE FACTURACIÓN]])&gt;PROVEEDORES[[#This Row],[PLAZO Días]],"PAGO VENCIDO")</f>
        <v>0</v>
      </c>
      <c r="C1405" s="138">
        <f>+VLOOKUP(PROVEEDORES[[#This Row],[PROVEEDOR]],TERCEROS_INFO[#All],2,FALSE)</f>
        <v>60</v>
      </c>
      <c r="D1405" s="139">
        <f>+SUMIFS(PROVEEDORES[Total],PROVEEDORES[PROVEEDOR],PROVEEDORES[[#This Row],[PROVEEDOR]],PROVEEDORES[FECHA DE PAGO],"")</f>
        <v>1730482</v>
      </c>
      <c r="E1405" s="140"/>
      <c r="F1405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05" s="127">
        <v>45383</v>
      </c>
      <c r="H1405" s="123" t="s">
        <v>222</v>
      </c>
      <c r="I1405" s="127">
        <v>45369</v>
      </c>
      <c r="J1405" s="124">
        <v>1964</v>
      </c>
      <c r="K1405" s="124" t="s">
        <v>504</v>
      </c>
      <c r="L1405" s="124" t="s">
        <v>1533</v>
      </c>
      <c r="M1405" s="125">
        <v>412770</v>
      </c>
      <c r="N1405" s="148">
        <v>0</v>
      </c>
      <c r="O1405" s="148">
        <v>0</v>
      </c>
      <c r="P1405" s="149">
        <v>0</v>
      </c>
      <c r="Q1405" s="148">
        <v>0</v>
      </c>
      <c r="R1405" s="150">
        <v>412770</v>
      </c>
      <c r="S14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5" s="135">
        <f ca="1">+IF(PROVEEDORES[[#This Row],[FECHA DE PAGO]]=0,TODAY()-PROVEEDORES[[#This Row],[FECHA DE FACTURACIÓN]]-PROVEEDORES[[#This Row],[PLAZO Días]],0)</f>
        <v>0</v>
      </c>
      <c r="U1405" s="135">
        <f>+VLOOKUP(PROVEEDORES[[#This Row],[PROVEEDOR]],Terceros!$A:$D,4,FALSE)</f>
        <v>0</v>
      </c>
      <c r="V1405" s="135">
        <f>+YEAR(PROVEEDORES[[#This Row],[FECHA DE FACTURACIÓN]])</f>
        <v>2024</v>
      </c>
      <c r="W1405" s="135">
        <f>+MATCH(PROVEEDORES[[#This Row],[año facturado]],Retenciones!$1:$1,0)</f>
        <v>7</v>
      </c>
      <c r="X1405" s="136">
        <f>+VLOOKUP(PROVEEDORES[[#This Row],[ID RETENCION]],Retenciones!$A$1:$O$25,PROVEEDORES[[#This Row],[indicador de columna]],FALSE)</f>
        <v>0</v>
      </c>
      <c r="Y1405" s="137">
        <f>+VLOOKUP(PROVEEDORES[[#This Row],[ID RETENCION]],Retenciones!$A$1:$O$25,2,FALSE)</f>
        <v>0</v>
      </c>
      <c r="Z1405" s="126" t="b">
        <f>+OR(COUNTIF(PROVEEDORES[[#This Row],[PROVEEDOR]],"*"&amp;'Palabra que no opera y Listas d'!$A$2&amp;"*"))</f>
        <v>0</v>
      </c>
    </row>
    <row r="1406" spans="1:26" ht="27.75" customHeight="1" x14ac:dyDescent="0.25">
      <c r="A1406" s="141" t="str">
        <f>+IF(PROVEEDORES[[#This Row],[FECHA DE PAGO]]=PROVEEDORES[[#This Row],[FECHA DE FACTURACIÓN]],"DE CONTADO","CRÉDITO")</f>
        <v>CRÉDITO</v>
      </c>
      <c r="B1406" s="138" t="b">
        <f>+IF((PROVEEDORES[[#This Row],[FECHA DE PAGO]]-PROVEEDORES[[#This Row],[FECHA DE FACTURACIÓN]])&gt;PROVEEDORES[[#This Row],[PLAZO Días]],"PAGO VENCIDO")</f>
        <v>0</v>
      </c>
      <c r="C1406" s="138">
        <f>+VLOOKUP(PROVEEDORES[[#This Row],[PROVEEDOR]],TERCEROS_INFO[#All],2,FALSE)</f>
        <v>30</v>
      </c>
      <c r="D1406" s="139">
        <f>+SUMIFS(PROVEEDORES[Total],PROVEEDORES[PROVEEDOR],PROVEEDORES[[#This Row],[PROVEEDOR]],PROVEEDORES[FECHA DE PAGO],"")</f>
        <v>0</v>
      </c>
      <c r="E1406" s="140"/>
      <c r="F1406" s="138" t="str">
        <f>+VLOOKUP(PROVEEDORES[[#This Row],[PROVEEDOR]],
                       Terceros!$A:$F,
                       5,
                       FALSE)</f>
        <v>Tuspilas.co@gmail.com;girlesa.ruiz@servipilas.com;joriescobar64@gmail.com</v>
      </c>
      <c r="G1406" s="127">
        <v>45383</v>
      </c>
      <c r="H1406" s="123" t="s">
        <v>452</v>
      </c>
      <c r="I1406" s="127">
        <v>45378</v>
      </c>
      <c r="J1406" s="124" t="s">
        <v>1690</v>
      </c>
      <c r="K1406" s="124" t="s">
        <v>1530</v>
      </c>
      <c r="L1406" s="124" t="s">
        <v>1395</v>
      </c>
      <c r="M1406" s="125">
        <v>285716</v>
      </c>
      <c r="N1406" s="148">
        <v>54286.04</v>
      </c>
      <c r="O1406" s="148">
        <v>0</v>
      </c>
      <c r="P1406" s="149">
        <v>0</v>
      </c>
      <c r="Q1406" s="148">
        <v>0</v>
      </c>
      <c r="R1406" s="150">
        <v>340002.04</v>
      </c>
      <c r="S14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6" s="135">
        <f ca="1">+IF(PROVEEDORES[[#This Row],[FECHA DE PAGO]]=0,TODAY()-PROVEEDORES[[#This Row],[FECHA DE FACTURACIÓN]]-PROVEEDORES[[#This Row],[PLAZO Días]],0)</f>
        <v>0</v>
      </c>
      <c r="U1406" s="135" t="str">
        <f>+VLOOKUP(PROVEEDORES[[#This Row],[PROVEEDOR]],Terceros!$A:$D,4,FALSE)</f>
        <v>2,5% con base</v>
      </c>
      <c r="V1406" s="135">
        <f>+YEAR(PROVEEDORES[[#This Row],[FECHA DE FACTURACIÓN]])</f>
        <v>2024</v>
      </c>
      <c r="W1406" s="135">
        <f>+MATCH(PROVEEDORES[[#This Row],[año facturado]],Retenciones!$1:$1,0)</f>
        <v>7</v>
      </c>
      <c r="X1406" s="136">
        <f>+VLOOKUP(PROVEEDORES[[#This Row],[ID RETENCION]],Retenciones!$A$1:$O$25,PROVEEDORES[[#This Row],[indicador de columna]],FALSE)</f>
        <v>1271000</v>
      </c>
      <c r="Y1406" s="137">
        <f>+VLOOKUP(PROVEEDORES[[#This Row],[ID RETENCION]],Retenciones!$A$1:$O$25,2,FALSE)</f>
        <v>2.5000000000000001E-2</v>
      </c>
      <c r="Z1406" s="126" t="b">
        <f>+OR(COUNTIF(PROVEEDORES[[#This Row],[PROVEEDOR]],"*"&amp;'Palabra que no opera y Listas d'!$A$2&amp;"*"))</f>
        <v>0</v>
      </c>
    </row>
    <row r="1407" spans="1:26" ht="27.75" customHeight="1" x14ac:dyDescent="0.25">
      <c r="A1407" s="141" t="str">
        <f>+IF(PROVEEDORES[[#This Row],[FECHA DE PAGO]]=PROVEEDORES[[#This Row],[FECHA DE FACTURACIÓN]],"DE CONTADO","CRÉDITO")</f>
        <v>CRÉDITO</v>
      </c>
      <c r="B1407" s="138" t="b">
        <f>+IF((PROVEEDORES[[#This Row],[FECHA DE PAGO]]-PROVEEDORES[[#This Row],[FECHA DE FACTURACIÓN]])&gt;PROVEEDORES[[#This Row],[PLAZO Días]],"PAGO VENCIDO")</f>
        <v>0</v>
      </c>
      <c r="C1407" s="138">
        <f>+VLOOKUP(PROVEEDORES[[#This Row],[PROVEEDOR]],TERCEROS_INFO[#All],2,FALSE)</f>
        <v>60</v>
      </c>
      <c r="D1407" s="139">
        <f>+SUMIFS(PROVEEDORES[Total],PROVEEDORES[PROVEEDOR],PROVEEDORES[[#This Row],[PROVEEDOR]],PROVEEDORES[FECHA DE PAGO],"")</f>
        <v>1730482</v>
      </c>
      <c r="E1407" s="140"/>
      <c r="F1407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07" s="127">
        <v>45383</v>
      </c>
      <c r="H1407" s="123" t="s">
        <v>222</v>
      </c>
      <c r="I1407" s="127">
        <v>45379</v>
      </c>
      <c r="J1407" s="124">
        <v>1980</v>
      </c>
      <c r="K1407" s="124" t="s">
        <v>504</v>
      </c>
      <c r="L1407" s="124" t="s">
        <v>1533</v>
      </c>
      <c r="M1407" s="125">
        <v>1393574</v>
      </c>
      <c r="N1407" s="148">
        <v>0</v>
      </c>
      <c r="O1407" s="148">
        <v>0</v>
      </c>
      <c r="P1407" s="149">
        <v>0</v>
      </c>
      <c r="Q1407" s="148">
        <v>0</v>
      </c>
      <c r="R1407" s="150">
        <v>1393574</v>
      </c>
      <c r="S14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7" s="135">
        <f ca="1">+IF(PROVEEDORES[[#This Row],[FECHA DE PAGO]]=0,TODAY()-PROVEEDORES[[#This Row],[FECHA DE FACTURACIÓN]]-PROVEEDORES[[#This Row],[PLAZO Días]],0)</f>
        <v>0</v>
      </c>
      <c r="U1407" s="135">
        <f>+VLOOKUP(PROVEEDORES[[#This Row],[PROVEEDOR]],Terceros!$A:$D,4,FALSE)</f>
        <v>0</v>
      </c>
      <c r="V1407" s="135">
        <f>+YEAR(PROVEEDORES[[#This Row],[FECHA DE FACTURACIÓN]])</f>
        <v>2024</v>
      </c>
      <c r="W1407" s="135">
        <f>+MATCH(PROVEEDORES[[#This Row],[año facturado]],Retenciones!$1:$1,0)</f>
        <v>7</v>
      </c>
      <c r="X1407" s="136">
        <f>+VLOOKUP(PROVEEDORES[[#This Row],[ID RETENCION]],Retenciones!$A$1:$O$25,PROVEEDORES[[#This Row],[indicador de columna]],FALSE)</f>
        <v>0</v>
      </c>
      <c r="Y1407" s="137">
        <f>+VLOOKUP(PROVEEDORES[[#This Row],[ID RETENCION]],Retenciones!$A$1:$O$25,2,FALSE)</f>
        <v>0</v>
      </c>
      <c r="Z1407" s="126" t="b">
        <f>+OR(COUNTIF(PROVEEDORES[[#This Row],[PROVEEDOR]],"*"&amp;'Palabra que no opera y Listas d'!$A$2&amp;"*"))</f>
        <v>0</v>
      </c>
    </row>
    <row r="1408" spans="1:26" ht="27.75" customHeight="1" x14ac:dyDescent="0.25">
      <c r="A1408" s="141" t="str">
        <f>+IF(PROVEEDORES[[#This Row],[FECHA DE PAGO]]=PROVEEDORES[[#This Row],[FECHA DE FACTURACIÓN]],"DE CONTADO","CRÉDITO")</f>
        <v>DE CONTADO</v>
      </c>
      <c r="B1408" s="138" t="b">
        <f>+IF((PROVEEDORES[[#This Row],[FECHA DE PAGO]]-PROVEEDORES[[#This Row],[FECHA DE FACTURACIÓN]])&gt;PROVEEDORES[[#This Row],[PLAZO Días]],"PAGO VENCIDO")</f>
        <v>0</v>
      </c>
      <c r="C1408" s="138">
        <f>+VLOOKUP(PROVEEDORES[[#This Row],[PROVEEDOR]],TERCEROS_INFO[#All],2,FALSE)</f>
        <v>30</v>
      </c>
      <c r="D1408" s="139">
        <f>+SUMIFS(PROVEEDORES[Total],PROVEEDORES[PROVEEDOR],PROVEEDORES[[#This Row],[PROVEEDOR]],PROVEEDORES[FECHA DE PAGO],"")</f>
        <v>0</v>
      </c>
      <c r="E1408" s="140"/>
      <c r="F1408" s="138" t="str">
        <f>+VLOOKUP(PROVEEDORES[[#This Row],[PROVEEDOR]],
                       Terceros!$A:$F,
                       5,
                       FALSE)</f>
        <v>PSE</v>
      </c>
      <c r="G1408" s="127">
        <v>45383</v>
      </c>
      <c r="H1408" s="123" t="s">
        <v>390</v>
      </c>
      <c r="I1408" s="127">
        <v>45383</v>
      </c>
      <c r="J1408" s="124"/>
      <c r="K1408" s="124" t="s">
        <v>1530</v>
      </c>
      <c r="L1408" s="124" t="s">
        <v>1533</v>
      </c>
      <c r="M1408" s="125">
        <v>633500</v>
      </c>
      <c r="N1408" s="148">
        <v>0</v>
      </c>
      <c r="O1408" s="148">
        <v>0</v>
      </c>
      <c r="P1408" s="149">
        <v>0</v>
      </c>
      <c r="Q1408" s="148">
        <v>0</v>
      </c>
      <c r="R1408" s="150">
        <v>633500</v>
      </c>
      <c r="S14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8" s="135">
        <f ca="1">+IF(PROVEEDORES[[#This Row],[FECHA DE PAGO]]=0,TODAY()-PROVEEDORES[[#This Row],[FECHA DE FACTURACIÓN]]-PROVEEDORES[[#This Row],[PLAZO Días]],0)</f>
        <v>0</v>
      </c>
      <c r="U1408" s="135">
        <f>+VLOOKUP(PROVEEDORES[[#This Row],[PROVEEDOR]],Terceros!$A:$D,4,FALSE)</f>
        <v>0</v>
      </c>
      <c r="V1408" s="135">
        <f>+YEAR(PROVEEDORES[[#This Row],[FECHA DE FACTURACIÓN]])</f>
        <v>2024</v>
      </c>
      <c r="W1408" s="135">
        <f>+MATCH(PROVEEDORES[[#This Row],[año facturado]],Retenciones!$1:$1,0)</f>
        <v>7</v>
      </c>
      <c r="X1408" s="136">
        <f>+VLOOKUP(PROVEEDORES[[#This Row],[ID RETENCION]],Retenciones!$A$1:$O$25,PROVEEDORES[[#This Row],[indicador de columna]],FALSE)</f>
        <v>0</v>
      </c>
      <c r="Y1408" s="137">
        <f>+VLOOKUP(PROVEEDORES[[#This Row],[ID RETENCION]],Retenciones!$A$1:$O$25,2,FALSE)</f>
        <v>0</v>
      </c>
      <c r="Z1408" s="126" t="b">
        <f>+OR(COUNTIF(PROVEEDORES[[#This Row],[PROVEEDOR]],"*"&amp;'Palabra que no opera y Listas d'!$A$2&amp;"*"))</f>
        <v>1</v>
      </c>
    </row>
    <row r="1409" spans="1:26" ht="27.75" customHeight="1" x14ac:dyDescent="0.25">
      <c r="A1409" s="141" t="str">
        <f>+IF(PROVEEDORES[[#This Row],[FECHA DE PAGO]]=PROVEEDORES[[#This Row],[FECHA DE FACTURACIÓN]],"DE CONTADO","CRÉDITO")</f>
        <v>CRÉDITO</v>
      </c>
      <c r="B1409" s="138" t="b">
        <f>+IF((PROVEEDORES[[#This Row],[FECHA DE PAGO]]-PROVEEDORES[[#This Row],[FECHA DE FACTURACIÓN]])&gt;PROVEEDORES[[#This Row],[PLAZO Días]],"PAGO VENCIDO")</f>
        <v>0</v>
      </c>
      <c r="C1409" s="138">
        <f>+VLOOKUP(PROVEEDORES[[#This Row],[PROVEEDOR]],TERCEROS_INFO[#All],2,FALSE)</f>
        <v>30</v>
      </c>
      <c r="D1409" s="139">
        <f>+SUMIFS(PROVEEDORES[Total],PROVEEDORES[PROVEEDOR],PROVEEDORES[[#This Row],[PROVEEDOR]],PROVEEDORES[FECHA DE PAGO],"")</f>
        <v>0</v>
      </c>
      <c r="E1409" s="140"/>
      <c r="F1409" s="138">
        <f>+VLOOKUP(PROVEEDORES[[#This Row],[PROVEEDOR]],
                       Terceros!$A:$F,
                       5,
                       FALSE)</f>
        <v>0</v>
      </c>
      <c r="G1409" s="127">
        <v>45383</v>
      </c>
      <c r="H1409" s="123" t="s">
        <v>1626</v>
      </c>
      <c r="I1409" s="127">
        <v>45393</v>
      </c>
      <c r="J1409" s="124" t="s">
        <v>1796</v>
      </c>
      <c r="K1409" s="124" t="s">
        <v>1530</v>
      </c>
      <c r="L1409" s="124" t="s">
        <v>1541</v>
      </c>
      <c r="M1409" s="125">
        <v>14244000</v>
      </c>
      <c r="N1409" s="148">
        <v>0</v>
      </c>
      <c r="O1409" s="148">
        <v>0</v>
      </c>
      <c r="P1409" s="149">
        <v>0</v>
      </c>
      <c r="Q1409" s="148">
        <v>0</v>
      </c>
      <c r="R1409" s="150">
        <v>14244000</v>
      </c>
      <c r="S14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09" s="135">
        <f ca="1">+IF(PROVEEDORES[[#This Row],[FECHA DE PAGO]]=0,TODAY()-PROVEEDORES[[#This Row],[FECHA DE FACTURACIÓN]]-PROVEEDORES[[#This Row],[PLAZO Días]],0)</f>
        <v>0</v>
      </c>
      <c r="U1409" s="135">
        <f>+VLOOKUP(PROVEEDORES[[#This Row],[PROVEEDOR]],Terceros!$A:$D,4,FALSE)</f>
        <v>0</v>
      </c>
      <c r="V1409" s="135">
        <f>+YEAR(PROVEEDORES[[#This Row],[FECHA DE FACTURACIÓN]])</f>
        <v>2024</v>
      </c>
      <c r="W1409" s="135">
        <f>+MATCH(PROVEEDORES[[#This Row],[año facturado]],Retenciones!$1:$1,0)</f>
        <v>7</v>
      </c>
      <c r="X1409" s="136">
        <f>+VLOOKUP(PROVEEDORES[[#This Row],[ID RETENCION]],Retenciones!$A$1:$O$25,PROVEEDORES[[#This Row],[indicador de columna]],FALSE)</f>
        <v>0</v>
      </c>
      <c r="Y1409" s="137">
        <f>+VLOOKUP(PROVEEDORES[[#This Row],[ID RETENCION]],Retenciones!$A$1:$O$25,2,FALSE)</f>
        <v>0</v>
      </c>
      <c r="Z1409" s="126" t="b">
        <f>+OR(COUNTIF(PROVEEDORES[[#This Row],[PROVEEDOR]],"*"&amp;'Palabra que no opera y Listas d'!$A$2&amp;"*"))</f>
        <v>0</v>
      </c>
    </row>
    <row r="1410" spans="1:26" ht="27.75" customHeight="1" x14ac:dyDescent="0.25">
      <c r="A1410" s="141" t="str">
        <f>+IF(PROVEEDORES[[#This Row],[FECHA DE PAGO]]=PROVEEDORES[[#This Row],[FECHA DE FACTURACIÓN]],"DE CONTADO","CRÉDITO")</f>
        <v>CRÉDITO</v>
      </c>
      <c r="B1410" s="138" t="str">
        <f>+IF((PROVEEDORES[[#This Row],[FECHA DE PAGO]]-PROVEEDORES[[#This Row],[FECHA DE FACTURACIÓN]])&gt;PROVEEDORES[[#This Row],[PLAZO Días]],"PAGO VENCIDO")</f>
        <v>PAGO VENCIDO</v>
      </c>
      <c r="C1410" s="138">
        <f>+VLOOKUP(PROVEEDORES[[#This Row],[PROVEEDOR]],TERCEROS_INFO[#All],2,FALSE)</f>
        <v>30</v>
      </c>
      <c r="D1410" s="139">
        <f>+SUMIFS(PROVEEDORES[Total],PROVEEDORES[PROVEEDOR],PROVEEDORES[[#This Row],[PROVEEDOR]],PROVEEDORES[FECHA DE PAGO],"")</f>
        <v>0</v>
      </c>
      <c r="E1410" s="140"/>
      <c r="F1410" s="138">
        <f>+VLOOKUP(PROVEEDORES[[#This Row],[PROVEEDOR]],
                       Terceros!$A:$F,
                       5,
                       FALSE)</f>
        <v>0</v>
      </c>
      <c r="G1410" s="127">
        <v>45384</v>
      </c>
      <c r="H1410" s="123" t="s">
        <v>1170</v>
      </c>
      <c r="I1410" s="127">
        <v>45335</v>
      </c>
      <c r="J1410" s="124" t="s">
        <v>1599</v>
      </c>
      <c r="K1410" s="124" t="s">
        <v>1530</v>
      </c>
      <c r="L1410" s="124" t="s">
        <v>1395</v>
      </c>
      <c r="M1410" s="125">
        <v>974000</v>
      </c>
      <c r="N1410" s="148">
        <v>0</v>
      </c>
      <c r="O1410" s="148">
        <v>0</v>
      </c>
      <c r="P1410" s="149">
        <v>0</v>
      </c>
      <c r="Q1410" s="148">
        <v>0</v>
      </c>
      <c r="R1410" s="150">
        <v>974000</v>
      </c>
      <c r="S14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0" s="135">
        <f ca="1">+IF(PROVEEDORES[[#This Row],[FECHA DE PAGO]]=0,TODAY()-PROVEEDORES[[#This Row],[FECHA DE FACTURACIÓN]]-PROVEEDORES[[#This Row],[PLAZO Días]],0)</f>
        <v>0</v>
      </c>
      <c r="U1410" s="135">
        <f>+VLOOKUP(PROVEEDORES[[#This Row],[PROVEEDOR]],Terceros!$A:$D,4,FALSE)</f>
        <v>0</v>
      </c>
      <c r="V1410" s="135">
        <f>+YEAR(PROVEEDORES[[#This Row],[FECHA DE FACTURACIÓN]])</f>
        <v>2024</v>
      </c>
      <c r="W1410" s="135">
        <f>+MATCH(PROVEEDORES[[#This Row],[año facturado]],Retenciones!$1:$1,0)</f>
        <v>7</v>
      </c>
      <c r="X1410" s="136">
        <f>+VLOOKUP(PROVEEDORES[[#This Row],[ID RETENCION]],Retenciones!$A$1:$O$25,PROVEEDORES[[#This Row],[indicador de columna]],FALSE)</f>
        <v>0</v>
      </c>
      <c r="Y1410" s="137">
        <f>+VLOOKUP(PROVEEDORES[[#This Row],[ID RETENCION]],Retenciones!$A$1:$O$25,2,FALSE)</f>
        <v>0</v>
      </c>
      <c r="Z1410" s="126" t="b">
        <f>+OR(COUNTIF(PROVEEDORES[[#This Row],[PROVEEDOR]],"*"&amp;'Palabra que no opera y Listas d'!$A$2&amp;"*"))</f>
        <v>0</v>
      </c>
    </row>
    <row r="1411" spans="1:26" ht="27.75" customHeight="1" x14ac:dyDescent="0.25">
      <c r="A1411" s="141" t="str">
        <f>+IF(PROVEEDORES[[#This Row],[FECHA DE PAGO]]=PROVEEDORES[[#This Row],[FECHA DE FACTURACIÓN]],"DE CONTADO","CRÉDITO")</f>
        <v>CRÉDITO</v>
      </c>
      <c r="B1411" s="138" t="str">
        <f>+IF((PROVEEDORES[[#This Row],[FECHA DE PAGO]]-PROVEEDORES[[#This Row],[FECHA DE FACTURACIÓN]])&gt;PROVEEDORES[[#This Row],[PLAZO Días]],"PAGO VENCIDO")</f>
        <v>PAGO VENCIDO</v>
      </c>
      <c r="C1411" s="138">
        <f>+VLOOKUP(PROVEEDORES[[#This Row],[PROVEEDOR]],TERCEROS_INFO[#All],2,FALSE)</f>
        <v>30</v>
      </c>
      <c r="D1411" s="139">
        <f>+SUMIFS(PROVEEDORES[Total],PROVEEDORES[PROVEEDOR],PROVEEDORES[[#This Row],[PROVEEDOR]],PROVEEDORES[FECHA DE PAGO],"")</f>
        <v>0</v>
      </c>
      <c r="E1411" s="140"/>
      <c r="F1411" s="138">
        <f>+VLOOKUP(PROVEEDORES[[#This Row],[PROVEEDOR]],
                       Terceros!$A:$F,
                       5,
                       FALSE)</f>
        <v>0</v>
      </c>
      <c r="G1411" s="127">
        <v>45384</v>
      </c>
      <c r="H1411" s="123" t="s">
        <v>1170</v>
      </c>
      <c r="I1411" s="127">
        <v>45335</v>
      </c>
      <c r="J1411" s="124" t="s">
        <v>1600</v>
      </c>
      <c r="K1411" s="124" t="s">
        <v>1530</v>
      </c>
      <c r="L1411" s="124" t="s">
        <v>1395</v>
      </c>
      <c r="M1411" s="125">
        <v>861000</v>
      </c>
      <c r="N1411" s="148">
        <v>0</v>
      </c>
      <c r="O1411" s="148">
        <v>0</v>
      </c>
      <c r="P1411" s="149">
        <v>0</v>
      </c>
      <c r="Q1411" s="148">
        <v>0</v>
      </c>
      <c r="R1411" s="150">
        <v>861000</v>
      </c>
      <c r="S14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1" s="135">
        <f ca="1">+IF(PROVEEDORES[[#This Row],[FECHA DE PAGO]]=0,TODAY()-PROVEEDORES[[#This Row],[FECHA DE FACTURACIÓN]]-PROVEEDORES[[#This Row],[PLAZO Días]],0)</f>
        <v>0</v>
      </c>
      <c r="U1411" s="135">
        <f>+VLOOKUP(PROVEEDORES[[#This Row],[PROVEEDOR]],Terceros!$A:$D,4,FALSE)</f>
        <v>0</v>
      </c>
      <c r="V1411" s="135">
        <f>+YEAR(PROVEEDORES[[#This Row],[FECHA DE FACTURACIÓN]])</f>
        <v>2024</v>
      </c>
      <c r="W1411" s="135">
        <f>+MATCH(PROVEEDORES[[#This Row],[año facturado]],Retenciones!$1:$1,0)</f>
        <v>7</v>
      </c>
      <c r="X1411" s="136">
        <f>+VLOOKUP(PROVEEDORES[[#This Row],[ID RETENCION]],Retenciones!$A$1:$O$25,PROVEEDORES[[#This Row],[indicador de columna]],FALSE)</f>
        <v>0</v>
      </c>
      <c r="Y1411" s="137">
        <f>+VLOOKUP(PROVEEDORES[[#This Row],[ID RETENCION]],Retenciones!$A$1:$O$25,2,FALSE)</f>
        <v>0</v>
      </c>
      <c r="Z1411" s="126" t="b">
        <f>+OR(COUNTIF(PROVEEDORES[[#This Row],[PROVEEDOR]],"*"&amp;'Palabra que no opera y Listas d'!$A$2&amp;"*"))</f>
        <v>0</v>
      </c>
    </row>
    <row r="1412" spans="1:26" ht="27.75" customHeight="1" x14ac:dyDescent="0.25">
      <c r="A1412" s="141" t="str">
        <f>+IF(PROVEEDORES[[#This Row],[FECHA DE PAGO]]=PROVEEDORES[[#This Row],[FECHA DE FACTURACIÓN]],"DE CONTADO","CRÉDITO")</f>
        <v>CRÉDITO</v>
      </c>
      <c r="B1412" s="138" t="str">
        <f>+IF((PROVEEDORES[[#This Row],[FECHA DE PAGO]]-PROVEEDORES[[#This Row],[FECHA DE FACTURACIÓN]])&gt;PROVEEDORES[[#This Row],[PLAZO Días]],"PAGO VENCIDO")</f>
        <v>PAGO VENCIDO</v>
      </c>
      <c r="C1412" s="138">
        <f>+VLOOKUP(PROVEEDORES[[#This Row],[PROVEEDOR]],TERCEROS_INFO[#All],2,FALSE)</f>
        <v>30</v>
      </c>
      <c r="D1412" s="139">
        <f>+SUMIFS(PROVEEDORES[Total],PROVEEDORES[PROVEEDOR],PROVEEDORES[[#This Row],[PROVEEDOR]],PROVEEDORES[FECHA DE PAGO],"")</f>
        <v>0</v>
      </c>
      <c r="E1412" s="140"/>
      <c r="F1412" s="138" t="str">
        <f>+VLOOKUP(PROVEEDORES[[#This Row],[PROVEEDOR]],
                       Terceros!$A:$F,
                       5,
                       FALSE)</f>
        <v>restrepoedision@yahoo.es; admon@surtiexpress.com.co;girlesa.ruiz@servipilas.com;joriescobar64@gmail.com</v>
      </c>
      <c r="G1412" s="127">
        <v>45384</v>
      </c>
      <c r="H1412" s="123" t="s">
        <v>1594</v>
      </c>
      <c r="I1412" s="127">
        <v>45344</v>
      </c>
      <c r="J1412" s="124" t="s">
        <v>1595</v>
      </c>
      <c r="K1412" s="124" t="s">
        <v>1530</v>
      </c>
      <c r="L1412" s="124" t="s">
        <v>1533</v>
      </c>
      <c r="M1412" s="125">
        <v>2755141</v>
      </c>
      <c r="N1412" s="148">
        <v>523476.79</v>
      </c>
      <c r="O1412" s="148">
        <v>0</v>
      </c>
      <c r="P1412" s="149">
        <v>2.5000000000000001E-2</v>
      </c>
      <c r="Q1412" s="148">
        <v>68878.525000000009</v>
      </c>
      <c r="R1412" s="150">
        <v>3209739.2650000001</v>
      </c>
      <c r="S14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2" s="135">
        <f ca="1">+IF(PROVEEDORES[[#This Row],[FECHA DE PAGO]]=0,TODAY()-PROVEEDORES[[#This Row],[FECHA DE FACTURACIÓN]]-PROVEEDORES[[#This Row],[PLAZO Días]],0)</f>
        <v>0</v>
      </c>
      <c r="U1412" s="135" t="str">
        <f>+VLOOKUP(PROVEEDORES[[#This Row],[PROVEEDOR]],Terceros!$A:$D,4,FALSE)</f>
        <v>2,5% con base</v>
      </c>
      <c r="V1412" s="135">
        <f>+YEAR(PROVEEDORES[[#This Row],[FECHA DE FACTURACIÓN]])</f>
        <v>2024</v>
      </c>
      <c r="W1412" s="135">
        <f>+MATCH(PROVEEDORES[[#This Row],[año facturado]],Retenciones!$1:$1,0)</f>
        <v>7</v>
      </c>
      <c r="X1412" s="136">
        <f>+VLOOKUP(PROVEEDORES[[#This Row],[ID RETENCION]],Retenciones!$A$1:$O$25,PROVEEDORES[[#This Row],[indicador de columna]],FALSE)</f>
        <v>1271000</v>
      </c>
      <c r="Y1412" s="137">
        <f>+VLOOKUP(PROVEEDORES[[#This Row],[ID RETENCION]],Retenciones!$A$1:$O$25,2,FALSE)</f>
        <v>2.5000000000000001E-2</v>
      </c>
      <c r="Z1412" s="126" t="b">
        <f>+OR(COUNTIF(PROVEEDORES[[#This Row],[PROVEEDOR]],"*"&amp;'Palabra que no opera y Listas d'!$A$2&amp;"*"))</f>
        <v>0</v>
      </c>
    </row>
    <row r="1413" spans="1:26" ht="27.75" customHeight="1" x14ac:dyDescent="0.25">
      <c r="A1413" s="141" t="str">
        <f>+IF(PROVEEDORES[[#This Row],[FECHA DE PAGO]]=PROVEEDORES[[#This Row],[FECHA DE FACTURACIÓN]],"DE CONTADO","CRÉDITO")</f>
        <v>CRÉDITO</v>
      </c>
      <c r="B1413" s="138" t="str">
        <f>+IF((PROVEEDORES[[#This Row],[FECHA DE PAGO]]-PROVEEDORES[[#This Row],[FECHA DE FACTURACIÓN]])&gt;PROVEEDORES[[#This Row],[PLAZO Días]],"PAGO VENCIDO")</f>
        <v>PAGO VENCIDO</v>
      </c>
      <c r="C1413" s="138">
        <f>+VLOOKUP(PROVEEDORES[[#This Row],[PROVEEDOR]],TERCEROS_INFO[#All],2,FALSE)</f>
        <v>30</v>
      </c>
      <c r="D1413" s="139">
        <f>+SUMIFS(PROVEEDORES[Total],PROVEEDORES[PROVEEDOR],PROVEEDORES[[#This Row],[PROVEEDOR]],PROVEEDORES[FECHA DE PAGO],"")</f>
        <v>0</v>
      </c>
      <c r="E1413" s="140"/>
      <c r="F1413" s="138" t="str">
        <f>+VLOOKUP(PROVEEDORES[[#This Row],[PROVEEDOR]],
                       Terceros!$A:$F,
                       5,
                       FALSE)</f>
        <v>restrepoedision@yahoo.es; admon@surtiexpress.com.co;girlesa.ruiz@servipilas.com;joriescobar64@gmail.com</v>
      </c>
      <c r="G1413" s="127">
        <v>45384</v>
      </c>
      <c r="H1413" s="123" t="s">
        <v>1594</v>
      </c>
      <c r="I1413" s="127">
        <v>45344</v>
      </c>
      <c r="J1413" s="124" t="s">
        <v>1783</v>
      </c>
      <c r="K1413" s="124" t="s">
        <v>1530</v>
      </c>
      <c r="L1413" s="124" t="s">
        <v>1533</v>
      </c>
      <c r="M1413" s="125">
        <v>-1808800</v>
      </c>
      <c r="N1413" s="148">
        <v>0</v>
      </c>
      <c r="O1413" s="148">
        <v>0</v>
      </c>
      <c r="P1413" s="149">
        <v>0</v>
      </c>
      <c r="Q1413" s="148">
        <v>0</v>
      </c>
      <c r="R1413" s="150">
        <v>-1808800</v>
      </c>
      <c r="S14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3" s="135">
        <f ca="1">+IF(PROVEEDORES[[#This Row],[FECHA DE PAGO]]=0,TODAY()-PROVEEDORES[[#This Row],[FECHA DE FACTURACIÓN]]-PROVEEDORES[[#This Row],[PLAZO Días]],0)</f>
        <v>0</v>
      </c>
      <c r="U1413" s="135" t="str">
        <f>+VLOOKUP(PROVEEDORES[[#This Row],[PROVEEDOR]],Terceros!$A:$D,4,FALSE)</f>
        <v>2,5% con base</v>
      </c>
      <c r="V1413" s="135">
        <f>+YEAR(PROVEEDORES[[#This Row],[FECHA DE FACTURACIÓN]])</f>
        <v>2024</v>
      </c>
      <c r="W1413" s="135">
        <f>+MATCH(PROVEEDORES[[#This Row],[año facturado]],Retenciones!$1:$1,0)</f>
        <v>7</v>
      </c>
      <c r="X1413" s="136">
        <f>+VLOOKUP(PROVEEDORES[[#This Row],[ID RETENCION]],Retenciones!$A$1:$O$25,PROVEEDORES[[#This Row],[indicador de columna]],FALSE)</f>
        <v>1271000</v>
      </c>
      <c r="Y1413" s="137">
        <f>+VLOOKUP(PROVEEDORES[[#This Row],[ID RETENCION]],Retenciones!$A$1:$O$25,2,FALSE)</f>
        <v>2.5000000000000001E-2</v>
      </c>
      <c r="Z1413" s="126" t="b">
        <f>+OR(COUNTIF(PROVEEDORES[[#This Row],[PROVEEDOR]],"*"&amp;'Palabra que no opera y Listas d'!$A$2&amp;"*"))</f>
        <v>0</v>
      </c>
    </row>
    <row r="1414" spans="1:26" ht="27.75" customHeight="1" x14ac:dyDescent="0.25">
      <c r="A1414" s="141" t="str">
        <f>+IF(PROVEEDORES[[#This Row],[FECHA DE PAGO]]=PROVEEDORES[[#This Row],[FECHA DE FACTURACIÓN]],"DE CONTADO","CRÉDITO")</f>
        <v>CRÉDITO</v>
      </c>
      <c r="B1414" s="138" t="str">
        <f>+IF((PROVEEDORES[[#This Row],[FECHA DE PAGO]]-PROVEEDORES[[#This Row],[FECHA DE FACTURACIÓN]])&gt;PROVEEDORES[[#This Row],[PLAZO Días]],"PAGO VENCIDO")</f>
        <v>PAGO VENCIDO</v>
      </c>
      <c r="C1414" s="138">
        <f>+VLOOKUP(PROVEEDORES[[#This Row],[PROVEEDOR]],TERCEROS_INFO[#All],2,FALSE)</f>
        <v>30</v>
      </c>
      <c r="D1414" s="139">
        <f>+SUMIFS(PROVEEDORES[Total],PROVEEDORES[PROVEEDOR],PROVEEDORES[[#This Row],[PROVEEDOR]],PROVEEDORES[FECHA DE PAGO],"")</f>
        <v>4466504.835</v>
      </c>
      <c r="E1414" s="140"/>
      <c r="F1414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414" s="127">
        <v>45384</v>
      </c>
      <c r="H1414" s="123" t="s">
        <v>18</v>
      </c>
      <c r="I1414" s="127">
        <v>45351</v>
      </c>
      <c r="J1414" s="124">
        <v>1083831</v>
      </c>
      <c r="K1414" s="124" t="s">
        <v>504</v>
      </c>
      <c r="L1414" s="124" t="s">
        <v>1533</v>
      </c>
      <c r="M1414" s="125">
        <v>1015749</v>
      </c>
      <c r="N1414" s="148">
        <v>192992.31</v>
      </c>
      <c r="O1414" s="148">
        <v>0</v>
      </c>
      <c r="P1414" s="149">
        <v>0</v>
      </c>
      <c r="Q1414" s="148">
        <v>0</v>
      </c>
      <c r="R1414" s="150">
        <v>1208741.31</v>
      </c>
      <c r="S14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4" s="135">
        <f ca="1">+IF(PROVEEDORES[[#This Row],[FECHA DE PAGO]]=0,TODAY()-PROVEEDORES[[#This Row],[FECHA DE FACTURACIÓN]]-PROVEEDORES[[#This Row],[PLAZO Días]],0)</f>
        <v>0</v>
      </c>
      <c r="U1414" s="135" t="str">
        <f>+VLOOKUP(PROVEEDORES[[#This Row],[PROVEEDOR]],Terceros!$A:$D,4,FALSE)</f>
        <v>2,5% con base</v>
      </c>
      <c r="V1414" s="135">
        <f>+YEAR(PROVEEDORES[[#This Row],[FECHA DE FACTURACIÓN]])</f>
        <v>2024</v>
      </c>
      <c r="W1414" s="135">
        <f>+MATCH(PROVEEDORES[[#This Row],[año facturado]],Retenciones!$1:$1,0)</f>
        <v>7</v>
      </c>
      <c r="X1414" s="136">
        <f>+VLOOKUP(PROVEEDORES[[#This Row],[ID RETENCION]],Retenciones!$A$1:$O$25,PROVEEDORES[[#This Row],[indicador de columna]],FALSE)</f>
        <v>1271000</v>
      </c>
      <c r="Y1414" s="137">
        <f>+VLOOKUP(PROVEEDORES[[#This Row],[ID RETENCION]],Retenciones!$A$1:$O$25,2,FALSE)</f>
        <v>2.5000000000000001E-2</v>
      </c>
      <c r="Z1414" s="126" t="b">
        <f>+OR(COUNTIF(PROVEEDORES[[#This Row],[PROVEEDOR]],"*"&amp;'Palabra que no opera y Listas d'!$A$2&amp;"*"))</f>
        <v>0</v>
      </c>
    </row>
    <row r="1415" spans="1:26" ht="27.75" customHeight="1" x14ac:dyDescent="0.25">
      <c r="A1415" s="141" t="str">
        <f>+IF(PROVEEDORES[[#This Row],[FECHA DE PAGO]]=PROVEEDORES[[#This Row],[FECHA DE FACTURACIÓN]],"DE CONTADO","CRÉDITO")</f>
        <v>CRÉDITO</v>
      </c>
      <c r="B1415" s="138" t="b">
        <f>+IF((PROVEEDORES[[#This Row],[FECHA DE PAGO]]-PROVEEDORES[[#This Row],[FECHA DE FACTURACIÓN]])&gt;PROVEEDORES[[#This Row],[PLAZO Días]],"PAGO VENCIDO")</f>
        <v>0</v>
      </c>
      <c r="C1415" s="138">
        <f>+VLOOKUP(PROVEEDORES[[#This Row],[PROVEEDOR]],TERCEROS_INFO[#All],2,FALSE)</f>
        <v>30</v>
      </c>
      <c r="D1415" s="139">
        <f>+SUMIFS(PROVEEDORES[Total],PROVEEDORES[PROVEEDOR],PROVEEDORES[[#This Row],[PROVEEDOR]],PROVEEDORES[FECHA DE PAGO],"")</f>
        <v>0</v>
      </c>
      <c r="E1415" s="140"/>
      <c r="F1415" s="138">
        <f>+VLOOKUP(PROVEEDORES[[#This Row],[PROVEEDOR]],
                       Terceros!$A:$F,
                       5,
                       FALSE)</f>
        <v>0</v>
      </c>
      <c r="G1415" s="127">
        <v>45384</v>
      </c>
      <c r="H1415" s="123" t="s">
        <v>836</v>
      </c>
      <c r="I1415" s="127">
        <v>45378</v>
      </c>
      <c r="J1415" s="124" t="s">
        <v>1691</v>
      </c>
      <c r="K1415" s="124" t="s">
        <v>504</v>
      </c>
      <c r="L1415" s="124" t="s">
        <v>1395</v>
      </c>
      <c r="M1415" s="125">
        <v>236000</v>
      </c>
      <c r="N1415" s="148">
        <v>0</v>
      </c>
      <c r="O1415" s="148">
        <v>0</v>
      </c>
      <c r="P1415" s="149">
        <v>0</v>
      </c>
      <c r="Q1415" s="148">
        <v>0</v>
      </c>
      <c r="R1415" s="150">
        <v>236000</v>
      </c>
      <c r="S14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5" s="135">
        <f ca="1">+IF(PROVEEDORES[[#This Row],[FECHA DE PAGO]]=0,TODAY()-PROVEEDORES[[#This Row],[FECHA DE FACTURACIÓN]]-PROVEEDORES[[#This Row],[PLAZO Días]],0)</f>
        <v>0</v>
      </c>
      <c r="U1415" s="135">
        <f>+VLOOKUP(PROVEEDORES[[#This Row],[PROVEEDOR]],Terceros!$A:$D,4,FALSE)</f>
        <v>0</v>
      </c>
      <c r="V1415" s="135">
        <f>+YEAR(PROVEEDORES[[#This Row],[FECHA DE FACTURACIÓN]])</f>
        <v>2024</v>
      </c>
      <c r="W1415" s="135">
        <f>+MATCH(PROVEEDORES[[#This Row],[año facturado]],Retenciones!$1:$1,0)</f>
        <v>7</v>
      </c>
      <c r="X1415" s="136">
        <f>+VLOOKUP(PROVEEDORES[[#This Row],[ID RETENCION]],Retenciones!$A$1:$O$25,PROVEEDORES[[#This Row],[indicador de columna]],FALSE)</f>
        <v>0</v>
      </c>
      <c r="Y1415" s="137">
        <f>+VLOOKUP(PROVEEDORES[[#This Row],[ID RETENCION]],Retenciones!$A$1:$O$25,2,FALSE)</f>
        <v>0</v>
      </c>
      <c r="Z1415" s="126" t="b">
        <f>+OR(COUNTIF(PROVEEDORES[[#This Row],[PROVEEDOR]],"*"&amp;'Palabra que no opera y Listas d'!$A$2&amp;"*"))</f>
        <v>0</v>
      </c>
    </row>
    <row r="1416" spans="1:26" ht="27.75" customHeight="1" x14ac:dyDescent="0.25">
      <c r="A1416" s="141" t="str">
        <f>+IF(PROVEEDORES[[#This Row],[FECHA DE PAGO]]=PROVEEDORES[[#This Row],[FECHA DE FACTURACIÓN]],"DE CONTADO","CRÉDITO")</f>
        <v>DE CONTADO</v>
      </c>
      <c r="B1416" s="138" t="b">
        <f>+IF((PROVEEDORES[[#This Row],[FECHA DE PAGO]]-PROVEEDORES[[#This Row],[FECHA DE FACTURACIÓN]])&gt;PROVEEDORES[[#This Row],[PLAZO Días]],"PAGO VENCIDO")</f>
        <v>0</v>
      </c>
      <c r="C1416" s="138">
        <f>+VLOOKUP(PROVEEDORES[[#This Row],[PROVEEDOR]],TERCEROS_INFO[#All],2,FALSE)</f>
        <v>30</v>
      </c>
      <c r="D1416" s="139">
        <f>+SUMIFS(PROVEEDORES[Total],PROVEEDORES[PROVEEDOR],PROVEEDORES[[#This Row],[PROVEEDOR]],PROVEEDORES[FECHA DE PAGO],"")</f>
        <v>134000</v>
      </c>
      <c r="E1416" s="140"/>
      <c r="F1416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416" s="127">
        <v>45384</v>
      </c>
      <c r="H1416" s="123" t="s">
        <v>1808</v>
      </c>
      <c r="I1416" s="127">
        <v>45384</v>
      </c>
      <c r="J1416" s="124" t="s">
        <v>1743</v>
      </c>
      <c r="K1416" s="124" t="s">
        <v>1530</v>
      </c>
      <c r="L1416" s="124"/>
      <c r="M1416" s="125">
        <v>39000</v>
      </c>
      <c r="N1416" s="148">
        <v>0</v>
      </c>
      <c r="O1416" s="148">
        <v>0</v>
      </c>
      <c r="P1416" s="149">
        <v>0</v>
      </c>
      <c r="Q1416" s="148">
        <v>0</v>
      </c>
      <c r="R1416" s="150">
        <v>39000</v>
      </c>
      <c r="S14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6" s="135">
        <f ca="1">+IF(PROVEEDORES[[#This Row],[FECHA DE PAGO]]=0,TODAY()-PROVEEDORES[[#This Row],[FECHA DE FACTURACIÓN]]-PROVEEDORES[[#This Row],[PLAZO Días]],0)</f>
        <v>0</v>
      </c>
      <c r="U1416" s="135">
        <f>+VLOOKUP(PROVEEDORES[[#This Row],[PROVEEDOR]],Terceros!$A:$D,4,FALSE)</f>
        <v>0</v>
      </c>
      <c r="V1416" s="135">
        <f>+YEAR(PROVEEDORES[[#This Row],[FECHA DE FACTURACIÓN]])</f>
        <v>2024</v>
      </c>
      <c r="W1416" s="135">
        <f>+MATCH(PROVEEDORES[[#This Row],[año facturado]],Retenciones!$1:$1,0)</f>
        <v>7</v>
      </c>
      <c r="X1416" s="136">
        <f>+VLOOKUP(PROVEEDORES[[#This Row],[ID RETENCION]],Retenciones!$A$1:$O$25,PROVEEDORES[[#This Row],[indicador de columna]],FALSE)</f>
        <v>0</v>
      </c>
      <c r="Y1416" s="137">
        <f>+VLOOKUP(PROVEEDORES[[#This Row],[ID RETENCION]],Retenciones!$A$1:$O$25,2,FALSE)</f>
        <v>0</v>
      </c>
      <c r="Z1416" s="126" t="b">
        <f>+OR(COUNTIF(PROVEEDORES[[#This Row],[PROVEEDOR]],"*"&amp;'Palabra que no opera y Listas d'!$A$2&amp;"*"))</f>
        <v>0</v>
      </c>
    </row>
    <row r="1417" spans="1:26" ht="27.75" customHeight="1" x14ac:dyDescent="0.25">
      <c r="A1417" s="141" t="str">
        <f>+IF(PROVEEDORES[[#This Row],[FECHA DE PAGO]]=PROVEEDORES[[#This Row],[FECHA DE FACTURACIÓN]],"DE CONTADO","CRÉDITO")</f>
        <v>CRÉDITO</v>
      </c>
      <c r="B1417" s="138" t="str">
        <f>+IF((PROVEEDORES[[#This Row],[FECHA DE PAGO]]-PROVEEDORES[[#This Row],[FECHA DE FACTURACIÓN]])&gt;PROVEEDORES[[#This Row],[PLAZO Días]],"PAGO VENCIDO")</f>
        <v>PAGO VENCIDO</v>
      </c>
      <c r="C1417" s="138">
        <f>+VLOOKUP(PROVEEDORES[[#This Row],[PROVEEDOR]],TERCEROS_INFO[#All],2,FALSE)</f>
        <v>30</v>
      </c>
      <c r="D1417" s="139">
        <f>+SUMIFS(PROVEEDORES[Total],PROVEEDORES[PROVEEDOR],PROVEEDORES[[#This Row],[PROVEEDOR]],PROVEEDORES[FECHA DE PAGO],"")</f>
        <v>3130000</v>
      </c>
      <c r="E1417" s="140"/>
      <c r="F1417" s="138">
        <f>+VLOOKUP(PROVEEDORES[[#This Row],[PROVEEDOR]],
                       Terceros!$A:$F,
                       5,
                       FALSE)</f>
        <v>0</v>
      </c>
      <c r="G1417" s="127">
        <v>45385</v>
      </c>
      <c r="H1417" s="123" t="s">
        <v>472</v>
      </c>
      <c r="I1417" s="127">
        <v>45335</v>
      </c>
      <c r="J1417" s="124" t="s">
        <v>1692</v>
      </c>
      <c r="K1417" s="124" t="s">
        <v>1530</v>
      </c>
      <c r="L1417" s="124" t="s">
        <v>1395</v>
      </c>
      <c r="M1417" s="125">
        <v>1450000</v>
      </c>
      <c r="N1417" s="148">
        <v>0</v>
      </c>
      <c r="O1417" s="148">
        <v>0</v>
      </c>
      <c r="P1417" s="149">
        <v>0</v>
      </c>
      <c r="Q1417" s="148">
        <v>0</v>
      </c>
      <c r="R1417" s="150">
        <v>1450000</v>
      </c>
      <c r="S14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7" s="135">
        <f ca="1">+IF(PROVEEDORES[[#This Row],[FECHA DE PAGO]]=0,TODAY()-PROVEEDORES[[#This Row],[FECHA DE FACTURACIÓN]]-PROVEEDORES[[#This Row],[PLAZO Días]],0)</f>
        <v>0</v>
      </c>
      <c r="U1417" s="135">
        <f>+VLOOKUP(PROVEEDORES[[#This Row],[PROVEEDOR]],Terceros!$A:$D,4,FALSE)</f>
        <v>0</v>
      </c>
      <c r="V1417" s="135">
        <f>+YEAR(PROVEEDORES[[#This Row],[FECHA DE FACTURACIÓN]])</f>
        <v>2024</v>
      </c>
      <c r="W1417" s="135">
        <f>+MATCH(PROVEEDORES[[#This Row],[año facturado]],Retenciones!$1:$1,0)</f>
        <v>7</v>
      </c>
      <c r="X1417" s="136">
        <f>+VLOOKUP(PROVEEDORES[[#This Row],[ID RETENCION]],Retenciones!$A$1:$O$25,PROVEEDORES[[#This Row],[indicador de columna]],FALSE)</f>
        <v>0</v>
      </c>
      <c r="Y1417" s="137">
        <f>+VLOOKUP(PROVEEDORES[[#This Row],[ID RETENCION]],Retenciones!$A$1:$O$25,2,FALSE)</f>
        <v>0</v>
      </c>
      <c r="Z1417" s="126" t="b">
        <f>+OR(COUNTIF(PROVEEDORES[[#This Row],[PROVEEDOR]],"*"&amp;'Palabra que no opera y Listas d'!$A$2&amp;"*"))</f>
        <v>0</v>
      </c>
    </row>
    <row r="1418" spans="1:26" ht="27.75" customHeight="1" x14ac:dyDescent="0.25">
      <c r="A1418" s="141" t="str">
        <f>+IF(PROVEEDORES[[#This Row],[FECHA DE PAGO]]=PROVEEDORES[[#This Row],[FECHA DE FACTURACIÓN]],"DE CONTADO","CRÉDITO")</f>
        <v>CRÉDITO</v>
      </c>
      <c r="B1418" s="138" t="str">
        <f>+IF((PROVEEDORES[[#This Row],[FECHA DE PAGO]]-PROVEEDORES[[#This Row],[FECHA DE FACTURACIÓN]])&gt;PROVEEDORES[[#This Row],[PLAZO Días]],"PAGO VENCIDO")</f>
        <v>PAGO VENCIDO</v>
      </c>
      <c r="C1418" s="138">
        <f>+VLOOKUP(PROVEEDORES[[#This Row],[PROVEEDOR]],TERCEROS_INFO[#All],2,FALSE)</f>
        <v>30</v>
      </c>
      <c r="D1418" s="139">
        <f>+SUMIFS(PROVEEDORES[Total],PROVEEDORES[PROVEEDOR],PROVEEDORES[[#This Row],[PROVEEDOR]],PROVEEDORES[FECHA DE PAGO],"")</f>
        <v>2080356.81</v>
      </c>
      <c r="E1418" s="140"/>
      <c r="F1418" s="13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418" s="127">
        <v>45385</v>
      </c>
      <c r="H1418" s="123" t="s">
        <v>31</v>
      </c>
      <c r="I1418" s="127">
        <v>45350</v>
      </c>
      <c r="J1418" s="124" t="s">
        <v>1597</v>
      </c>
      <c r="K1418" s="124" t="s">
        <v>1530</v>
      </c>
      <c r="L1418" s="124" t="s">
        <v>1533</v>
      </c>
      <c r="M1418" s="125">
        <v>617647</v>
      </c>
      <c r="N1418" s="148">
        <v>117352.93000000001</v>
      </c>
      <c r="O1418" s="148">
        <v>0</v>
      </c>
      <c r="P1418" s="149">
        <v>0</v>
      </c>
      <c r="Q1418" s="148">
        <v>0</v>
      </c>
      <c r="R1418" s="150">
        <v>734999.93</v>
      </c>
      <c r="S14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8" s="135">
        <f ca="1">+IF(PROVEEDORES[[#This Row],[FECHA DE PAGO]]=0,TODAY()-PROVEEDORES[[#This Row],[FECHA DE FACTURACIÓN]]-PROVEEDORES[[#This Row],[PLAZO Días]],0)</f>
        <v>0</v>
      </c>
      <c r="U1418" s="135" t="str">
        <f>+VLOOKUP(PROVEEDORES[[#This Row],[PROVEEDOR]],Terceros!$A:$D,4,FALSE)</f>
        <v>2,5% con base</v>
      </c>
      <c r="V1418" s="135">
        <f>+YEAR(PROVEEDORES[[#This Row],[FECHA DE FACTURACIÓN]])</f>
        <v>2024</v>
      </c>
      <c r="W1418" s="135">
        <f>+MATCH(PROVEEDORES[[#This Row],[año facturado]],Retenciones!$1:$1,0)</f>
        <v>7</v>
      </c>
      <c r="X1418" s="136">
        <f>+VLOOKUP(PROVEEDORES[[#This Row],[ID RETENCION]],Retenciones!$A$1:$O$25,PROVEEDORES[[#This Row],[indicador de columna]],FALSE)</f>
        <v>1271000</v>
      </c>
      <c r="Y1418" s="137">
        <f>+VLOOKUP(PROVEEDORES[[#This Row],[ID RETENCION]],Retenciones!$A$1:$O$25,2,FALSE)</f>
        <v>2.5000000000000001E-2</v>
      </c>
      <c r="Z1418" s="126" t="b">
        <f>+OR(COUNTIF(PROVEEDORES[[#This Row],[PROVEEDOR]],"*"&amp;'Palabra que no opera y Listas d'!$A$2&amp;"*"))</f>
        <v>0</v>
      </c>
    </row>
    <row r="1419" spans="1:26" ht="27.75" customHeight="1" x14ac:dyDescent="0.25">
      <c r="A1419" s="141" t="str">
        <f>+IF(PROVEEDORES[[#This Row],[FECHA DE PAGO]]=PROVEEDORES[[#This Row],[FECHA DE FACTURACIÓN]],"DE CONTADO","CRÉDITO")</f>
        <v>DE CONTADO</v>
      </c>
      <c r="B1419" s="138" t="b">
        <f>+IF((PROVEEDORES[[#This Row],[FECHA DE PAGO]]-PROVEEDORES[[#This Row],[FECHA DE FACTURACIÓN]])&gt;PROVEEDORES[[#This Row],[PLAZO Días]],"PAGO VENCIDO")</f>
        <v>0</v>
      </c>
      <c r="C1419" s="138">
        <f>+VLOOKUP(PROVEEDORES[[#This Row],[PROVEEDOR]],TERCEROS_INFO[#All],2,FALSE)</f>
        <v>30</v>
      </c>
      <c r="D1419" s="139">
        <f>+SUMIFS(PROVEEDORES[Total],PROVEEDORES[PROVEEDOR],PROVEEDORES[[#This Row],[PROVEEDOR]],PROVEEDORES[FECHA DE PAGO],"")</f>
        <v>134000</v>
      </c>
      <c r="E1419" s="140"/>
      <c r="F1419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419" s="127">
        <v>45385</v>
      </c>
      <c r="H1419" s="123" t="s">
        <v>1808</v>
      </c>
      <c r="I1419" s="127">
        <v>45385</v>
      </c>
      <c r="J1419" s="124" t="s">
        <v>1742</v>
      </c>
      <c r="K1419" s="124" t="s">
        <v>1530</v>
      </c>
      <c r="L1419" s="124"/>
      <c r="M1419" s="125">
        <v>33000</v>
      </c>
      <c r="N1419" s="148">
        <v>0</v>
      </c>
      <c r="O1419" s="148">
        <v>0</v>
      </c>
      <c r="P1419" s="149">
        <v>0</v>
      </c>
      <c r="Q1419" s="148">
        <v>0</v>
      </c>
      <c r="R1419" s="150">
        <v>33000</v>
      </c>
      <c r="S14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19" s="135">
        <f ca="1">+IF(PROVEEDORES[[#This Row],[FECHA DE PAGO]]=0,TODAY()-PROVEEDORES[[#This Row],[FECHA DE FACTURACIÓN]]-PROVEEDORES[[#This Row],[PLAZO Días]],0)</f>
        <v>0</v>
      </c>
      <c r="U1419" s="135">
        <f>+VLOOKUP(PROVEEDORES[[#This Row],[PROVEEDOR]],Terceros!$A:$D,4,FALSE)</f>
        <v>0</v>
      </c>
      <c r="V1419" s="135">
        <f>+YEAR(PROVEEDORES[[#This Row],[FECHA DE FACTURACIÓN]])</f>
        <v>2024</v>
      </c>
      <c r="W1419" s="135">
        <f>+MATCH(PROVEEDORES[[#This Row],[año facturado]],Retenciones!$1:$1,0)</f>
        <v>7</v>
      </c>
      <c r="X1419" s="136">
        <f>+VLOOKUP(PROVEEDORES[[#This Row],[ID RETENCION]],Retenciones!$A$1:$O$25,PROVEEDORES[[#This Row],[indicador de columna]],FALSE)</f>
        <v>0</v>
      </c>
      <c r="Y1419" s="137">
        <f>+VLOOKUP(PROVEEDORES[[#This Row],[ID RETENCION]],Retenciones!$A$1:$O$25,2,FALSE)</f>
        <v>0</v>
      </c>
      <c r="Z1419" s="126" t="b">
        <f>+OR(COUNTIF(PROVEEDORES[[#This Row],[PROVEEDOR]],"*"&amp;'Palabra que no opera y Listas d'!$A$2&amp;"*"))</f>
        <v>0</v>
      </c>
    </row>
    <row r="1420" spans="1:26" ht="27.75" customHeight="1" x14ac:dyDescent="0.25">
      <c r="A1420" s="141" t="str">
        <f>+IF(PROVEEDORES[[#This Row],[FECHA DE PAGO]]=PROVEEDORES[[#This Row],[FECHA DE FACTURACIÓN]],"DE CONTADO","CRÉDITO")</f>
        <v>CRÉDITO</v>
      </c>
      <c r="B1420" s="138" t="b">
        <f>+IF((PROVEEDORES[[#This Row],[FECHA DE PAGO]]-PROVEEDORES[[#This Row],[FECHA DE FACTURACIÓN]])&gt;PROVEEDORES[[#This Row],[PLAZO Días]],"PAGO VENCIDO")</f>
        <v>0</v>
      </c>
      <c r="C1420" s="138">
        <f>+VLOOKUP(PROVEEDORES[[#This Row],[PROVEEDOR]],TERCEROS_INFO[#All],2,FALSE)</f>
        <v>30</v>
      </c>
      <c r="D1420" s="139">
        <f>+SUMIFS(PROVEEDORES[Total],PROVEEDORES[PROVEEDOR],PROVEEDORES[[#This Row],[PROVEEDOR]],PROVEEDORES[FECHA DE PAGO],"")</f>
        <v>0</v>
      </c>
      <c r="E1420" s="140"/>
      <c r="F1420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420" s="127">
        <v>45386</v>
      </c>
      <c r="H1420" s="123" t="s">
        <v>382</v>
      </c>
      <c r="I1420" s="127">
        <v>45383</v>
      </c>
      <c r="J1420" s="124" t="s">
        <v>1695</v>
      </c>
      <c r="K1420" s="124" t="s">
        <v>1530</v>
      </c>
      <c r="L1420" s="124" t="s">
        <v>1536</v>
      </c>
      <c r="M1420" s="125">
        <v>1030415</v>
      </c>
      <c r="N1420" s="148">
        <v>0</v>
      </c>
      <c r="O1420" s="148">
        <v>0</v>
      </c>
      <c r="P1420" s="149">
        <v>0</v>
      </c>
      <c r="Q1420" s="148">
        <v>0</v>
      </c>
      <c r="R1420" s="150">
        <v>1030415</v>
      </c>
      <c r="S14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0" s="135">
        <f ca="1">+IF(PROVEEDORES[[#This Row],[FECHA DE PAGO]]=0,TODAY()-PROVEEDORES[[#This Row],[FECHA DE FACTURACIÓN]]-PROVEEDORES[[#This Row],[PLAZO Días]],0)</f>
        <v>0</v>
      </c>
      <c r="U1420" s="135">
        <f>+VLOOKUP(PROVEEDORES[[#This Row],[PROVEEDOR]],Terceros!$A:$D,4,FALSE)</f>
        <v>0</v>
      </c>
      <c r="V1420" s="135">
        <f>+YEAR(PROVEEDORES[[#This Row],[FECHA DE FACTURACIÓN]])</f>
        <v>2024</v>
      </c>
      <c r="W1420" s="135">
        <f>+MATCH(PROVEEDORES[[#This Row],[año facturado]],Retenciones!$1:$1,0)</f>
        <v>7</v>
      </c>
      <c r="X1420" s="136">
        <f>+VLOOKUP(PROVEEDORES[[#This Row],[ID RETENCION]],Retenciones!$A$1:$O$25,PROVEEDORES[[#This Row],[indicador de columna]],FALSE)</f>
        <v>0</v>
      </c>
      <c r="Y1420" s="137">
        <f>+VLOOKUP(PROVEEDORES[[#This Row],[ID RETENCION]],Retenciones!$A$1:$O$25,2,FALSE)</f>
        <v>0</v>
      </c>
      <c r="Z1420" s="126" t="b">
        <f>+OR(COUNTIF(PROVEEDORES[[#This Row],[PROVEEDOR]],"*"&amp;'Palabra que no opera y Listas d'!$A$2&amp;"*"))</f>
        <v>1</v>
      </c>
    </row>
    <row r="1421" spans="1:26" ht="27.75" customHeight="1" x14ac:dyDescent="0.25">
      <c r="A1421" s="141" t="str">
        <f>+IF(PROVEEDORES[[#This Row],[FECHA DE PAGO]]=PROVEEDORES[[#This Row],[FECHA DE FACTURACIÓN]],"DE CONTADO","CRÉDITO")</f>
        <v>DE CONTADO</v>
      </c>
      <c r="B1421" s="138" t="b">
        <f>+IF((PROVEEDORES[[#This Row],[FECHA DE PAGO]]-PROVEEDORES[[#This Row],[FECHA DE FACTURACIÓN]])&gt;PROVEEDORES[[#This Row],[PLAZO Días]],"PAGO VENCIDO")</f>
        <v>0</v>
      </c>
      <c r="C1421" s="138">
        <f>+VLOOKUP(PROVEEDORES[[#This Row],[PROVEEDOR]],TERCEROS_INFO[#All],2,FALSE)</f>
        <v>30</v>
      </c>
      <c r="D1421" s="139">
        <f>+SUMIFS(PROVEEDORES[Total],PROVEEDORES[PROVEEDOR],PROVEEDORES[[#This Row],[PROVEEDOR]],PROVEEDORES[FECHA DE PAGO],"")</f>
        <v>0</v>
      </c>
      <c r="E1421" s="140"/>
      <c r="F1421" s="138">
        <f>+VLOOKUP(PROVEEDORES[[#This Row],[PROVEEDOR]],
                       Terceros!$A:$F,
                       5,
                       FALSE)</f>
        <v>0</v>
      </c>
      <c r="G1421" s="127">
        <v>45386</v>
      </c>
      <c r="H1421" s="123" t="s">
        <v>861</v>
      </c>
      <c r="I1421" s="127">
        <v>45386</v>
      </c>
      <c r="J1421" s="124" t="s">
        <v>1710</v>
      </c>
      <c r="K1421" s="124" t="s">
        <v>1530</v>
      </c>
      <c r="L1421" s="124" t="s">
        <v>1395</v>
      </c>
      <c r="M1421" s="125">
        <v>440000</v>
      </c>
      <c r="N1421" s="148">
        <v>0</v>
      </c>
      <c r="O1421" s="148">
        <v>0</v>
      </c>
      <c r="P1421" s="149">
        <v>0</v>
      </c>
      <c r="Q1421" s="148">
        <v>0</v>
      </c>
      <c r="R1421" s="150">
        <v>440000</v>
      </c>
      <c r="S14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1" s="135">
        <f ca="1">+IF(PROVEEDORES[[#This Row],[FECHA DE PAGO]]=0,TODAY()-PROVEEDORES[[#This Row],[FECHA DE FACTURACIÓN]]-PROVEEDORES[[#This Row],[PLAZO Días]],0)</f>
        <v>0</v>
      </c>
      <c r="U1421" s="135">
        <f>+VLOOKUP(PROVEEDORES[[#This Row],[PROVEEDOR]],Terceros!$A:$D,4,FALSE)</f>
        <v>0</v>
      </c>
      <c r="V1421" s="135">
        <f>+YEAR(PROVEEDORES[[#This Row],[FECHA DE FACTURACIÓN]])</f>
        <v>2024</v>
      </c>
      <c r="W1421" s="135">
        <f>+MATCH(PROVEEDORES[[#This Row],[año facturado]],Retenciones!$1:$1,0)</f>
        <v>7</v>
      </c>
      <c r="X1421" s="136">
        <f>+VLOOKUP(PROVEEDORES[[#This Row],[ID RETENCION]],Retenciones!$A$1:$O$25,PROVEEDORES[[#This Row],[indicador de columna]],FALSE)</f>
        <v>0</v>
      </c>
      <c r="Y1421" s="137">
        <f>+VLOOKUP(PROVEEDORES[[#This Row],[ID RETENCION]],Retenciones!$A$1:$O$25,2,FALSE)</f>
        <v>0</v>
      </c>
      <c r="Z1421" s="126" t="b">
        <f>+OR(COUNTIF(PROVEEDORES[[#This Row],[PROVEEDOR]],"*"&amp;'Palabra que no opera y Listas d'!$A$2&amp;"*"))</f>
        <v>0</v>
      </c>
    </row>
    <row r="1422" spans="1:26" ht="27.75" customHeight="1" x14ac:dyDescent="0.25">
      <c r="A1422" s="141" t="str">
        <f>+IF(PROVEEDORES[[#This Row],[FECHA DE PAGO]]=PROVEEDORES[[#This Row],[FECHA DE FACTURACIÓN]],"DE CONTADO","CRÉDITO")</f>
        <v>DE CONTADO</v>
      </c>
      <c r="B1422" s="138" t="b">
        <f>+IF((PROVEEDORES[[#This Row],[FECHA DE PAGO]]-PROVEEDORES[[#This Row],[FECHA DE FACTURACIÓN]])&gt;PROVEEDORES[[#This Row],[PLAZO Días]],"PAGO VENCIDO")</f>
        <v>0</v>
      </c>
      <c r="C1422" s="138">
        <f>+VLOOKUP(PROVEEDORES[[#This Row],[PROVEEDOR]],TERCEROS_INFO[#All],2,FALSE)</f>
        <v>0</v>
      </c>
      <c r="D1422" s="139">
        <f>+SUMIFS(PROVEEDORES[Total],PROVEEDORES[PROVEEDOR],PROVEEDORES[[#This Row],[PROVEEDOR]],PROVEEDORES[FECHA DE PAGO],"")</f>
        <v>0</v>
      </c>
      <c r="E1422" s="140"/>
      <c r="F1422" s="138" t="str">
        <f>+VLOOKUP(PROVEEDORES[[#This Row],[PROVEEDOR]],
                       Terceros!$A:$F,
                       5,
                       FALSE)</f>
        <v>recepcion.medellin@girag.com;girlesa.ruiz@servipilas.com;joriescobar64@gmail.com</v>
      </c>
      <c r="G1422" s="127">
        <v>45386</v>
      </c>
      <c r="H1422" s="123" t="s">
        <v>1694</v>
      </c>
      <c r="I1422" s="127">
        <v>45386</v>
      </c>
      <c r="J1422" s="124">
        <v>556</v>
      </c>
      <c r="K1422" s="124" t="s">
        <v>504</v>
      </c>
      <c r="L1422" s="124" t="s">
        <v>1395</v>
      </c>
      <c r="M1422" s="125">
        <v>520335</v>
      </c>
      <c r="N1422" s="148">
        <v>0</v>
      </c>
      <c r="O1422" s="148">
        <v>0</v>
      </c>
      <c r="P1422" s="149">
        <v>0</v>
      </c>
      <c r="Q1422" s="148">
        <v>0</v>
      </c>
      <c r="R1422" s="150">
        <v>520335</v>
      </c>
      <c r="S14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2" s="135">
        <f ca="1">+IF(PROVEEDORES[[#This Row],[FECHA DE PAGO]]=0,TODAY()-PROVEEDORES[[#This Row],[FECHA DE FACTURACIÓN]]-PROVEEDORES[[#This Row],[PLAZO Días]],0)</f>
        <v>0</v>
      </c>
      <c r="U1422" s="135">
        <f>+VLOOKUP(PROVEEDORES[[#This Row],[PROVEEDOR]],Terceros!$A:$D,4,FALSE)</f>
        <v>0</v>
      </c>
      <c r="V1422" s="135">
        <f>+YEAR(PROVEEDORES[[#This Row],[FECHA DE FACTURACIÓN]])</f>
        <v>2024</v>
      </c>
      <c r="W1422" s="135">
        <f>+MATCH(PROVEEDORES[[#This Row],[año facturado]],Retenciones!$1:$1,0)</f>
        <v>7</v>
      </c>
      <c r="X1422" s="136">
        <f>+VLOOKUP(PROVEEDORES[[#This Row],[ID RETENCION]],Retenciones!$A$1:$O$25,PROVEEDORES[[#This Row],[indicador de columna]],FALSE)</f>
        <v>0</v>
      </c>
      <c r="Y1422" s="137">
        <f>+VLOOKUP(PROVEEDORES[[#This Row],[ID RETENCION]],Retenciones!$A$1:$O$25,2,FALSE)</f>
        <v>0</v>
      </c>
      <c r="Z1422" s="126" t="b">
        <f>+OR(COUNTIF(PROVEEDORES[[#This Row],[PROVEEDOR]],"*"&amp;'Palabra que no opera y Listas d'!$A$2&amp;"*"))</f>
        <v>0</v>
      </c>
    </row>
    <row r="1423" spans="1:26" ht="27.75" customHeight="1" x14ac:dyDescent="0.25">
      <c r="A1423" s="141" t="str">
        <f>+IF(PROVEEDORES[[#This Row],[FECHA DE PAGO]]=PROVEEDORES[[#This Row],[FECHA DE FACTURACIÓN]],"DE CONTADO","CRÉDITO")</f>
        <v>CRÉDITO</v>
      </c>
      <c r="B1423" s="138" t="b">
        <f>+IF((PROVEEDORES[[#This Row],[FECHA DE PAGO]]-PROVEEDORES[[#This Row],[FECHA DE FACTURACIÓN]])&gt;PROVEEDORES[[#This Row],[PLAZO Días]],"PAGO VENCIDO")</f>
        <v>0</v>
      </c>
      <c r="C1423" s="138">
        <f>+VLOOKUP(PROVEEDORES[[#This Row],[PROVEEDOR]],TERCEROS_INFO[#All],2,FALSE)</f>
        <v>90</v>
      </c>
      <c r="D1423" s="139">
        <f>+SUMIFS(PROVEEDORES[Total],PROVEEDORES[PROVEEDOR],PROVEEDORES[[#This Row],[PROVEEDOR]],PROVEEDORES[FECHA DE PAGO],"")</f>
        <v>0</v>
      </c>
      <c r="E1423" s="140"/>
      <c r="F1423" s="138">
        <f>+VLOOKUP(PROVEEDORES[[#This Row],[PROVEEDOR]],
                       Terceros!$A:$F,
                       5,
                       FALSE)</f>
        <v>0</v>
      </c>
      <c r="G1423" s="127">
        <v>45387</v>
      </c>
      <c r="H1423" s="123" t="s">
        <v>1552</v>
      </c>
      <c r="I1423" s="127">
        <v>45331</v>
      </c>
      <c r="J1423" s="124" t="s">
        <v>28</v>
      </c>
      <c r="K1423" s="124"/>
      <c r="L1423" s="124" t="s">
        <v>1395</v>
      </c>
      <c r="M1423" s="125">
        <v>51411</v>
      </c>
      <c r="N1423" s="148">
        <v>0</v>
      </c>
      <c r="O1423" s="148">
        <v>0</v>
      </c>
      <c r="P1423" s="149">
        <v>0</v>
      </c>
      <c r="Q1423" s="148">
        <v>0</v>
      </c>
      <c r="R1423" s="150">
        <v>51411</v>
      </c>
      <c r="S14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3" s="135">
        <f ca="1">+IF(PROVEEDORES[[#This Row],[FECHA DE PAGO]]=0,TODAY()-PROVEEDORES[[#This Row],[FECHA DE FACTURACIÓN]]-PROVEEDORES[[#This Row],[PLAZO Días]],0)</f>
        <v>0</v>
      </c>
      <c r="U1423" s="135">
        <f>+VLOOKUP(PROVEEDORES[[#This Row],[PROVEEDOR]],Terceros!$A:$D,4,FALSE)</f>
        <v>0</v>
      </c>
      <c r="V1423" s="135">
        <f>+YEAR(PROVEEDORES[[#This Row],[FECHA DE FACTURACIÓN]])</f>
        <v>2024</v>
      </c>
      <c r="W1423" s="135">
        <f>+MATCH(PROVEEDORES[[#This Row],[año facturado]],Retenciones!$1:$1,0)</f>
        <v>7</v>
      </c>
      <c r="X1423" s="136">
        <f>+VLOOKUP(PROVEEDORES[[#This Row],[ID RETENCION]],Retenciones!$A$1:$O$25,PROVEEDORES[[#This Row],[indicador de columna]],FALSE)</f>
        <v>0</v>
      </c>
      <c r="Y1423" s="137">
        <f>+VLOOKUP(PROVEEDORES[[#This Row],[ID RETENCION]],Retenciones!$A$1:$O$25,2,FALSE)</f>
        <v>0</v>
      </c>
      <c r="Z1423" s="126" t="b">
        <f>+OR(COUNTIF(PROVEEDORES[[#This Row],[PROVEEDOR]],"*"&amp;'Palabra que no opera y Listas d'!$A$2&amp;"*"))</f>
        <v>0</v>
      </c>
    </row>
    <row r="1424" spans="1:26" ht="27.75" customHeight="1" x14ac:dyDescent="0.25">
      <c r="A1424" s="141" t="str">
        <f>+IF(PROVEEDORES[[#This Row],[FECHA DE PAGO]]=PROVEEDORES[[#This Row],[FECHA DE FACTURACIÓN]],"DE CONTADO","CRÉDITO")</f>
        <v>CRÉDITO</v>
      </c>
      <c r="B1424" s="138" t="b">
        <f>+IF((PROVEEDORES[[#This Row],[FECHA DE PAGO]]-PROVEEDORES[[#This Row],[FECHA DE FACTURACIÓN]])&gt;PROVEEDORES[[#This Row],[PLAZO Días]],"PAGO VENCIDO")</f>
        <v>0</v>
      </c>
      <c r="C1424" s="138">
        <f>+VLOOKUP(PROVEEDORES[[#This Row],[PROVEEDOR]],TERCEROS_INFO[#All],2,FALSE)</f>
        <v>30</v>
      </c>
      <c r="D1424" s="139">
        <f>+SUMIFS(PROVEEDORES[Total],PROVEEDORES[PROVEEDOR],PROVEEDORES[[#This Row],[PROVEEDOR]],PROVEEDORES[FECHA DE PAGO],"")</f>
        <v>1776037.21</v>
      </c>
      <c r="E1424" s="140"/>
      <c r="F1424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424" s="127">
        <v>45387</v>
      </c>
      <c r="H1424" s="123" t="s">
        <v>17</v>
      </c>
      <c r="I1424" s="127">
        <v>45357</v>
      </c>
      <c r="J1424" s="124" t="s">
        <v>1649</v>
      </c>
      <c r="K1424" s="124" t="s">
        <v>1530</v>
      </c>
      <c r="L1424" s="124" t="s">
        <v>1533</v>
      </c>
      <c r="M1424" s="125">
        <v>941536.6</v>
      </c>
      <c r="N1424" s="148">
        <v>178891.954</v>
      </c>
      <c r="O1424" s="148">
        <v>0</v>
      </c>
      <c r="P1424" s="149">
        <v>0</v>
      </c>
      <c r="Q1424" s="148">
        <v>0</v>
      </c>
      <c r="R1424" s="150">
        <v>1120428.554</v>
      </c>
      <c r="S14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4" s="135">
        <f ca="1">+IF(PROVEEDORES[[#This Row],[FECHA DE PAGO]]=0,TODAY()-PROVEEDORES[[#This Row],[FECHA DE FACTURACIÓN]]-PROVEEDORES[[#This Row],[PLAZO Días]],0)</f>
        <v>0</v>
      </c>
      <c r="U1424" s="135">
        <f>+VLOOKUP(PROVEEDORES[[#This Row],[PROVEEDOR]],Terceros!$A:$D,4,FALSE)</f>
        <v>0</v>
      </c>
      <c r="V1424" s="135">
        <f>+YEAR(PROVEEDORES[[#This Row],[FECHA DE FACTURACIÓN]])</f>
        <v>2024</v>
      </c>
      <c r="W1424" s="135">
        <f>+MATCH(PROVEEDORES[[#This Row],[año facturado]],Retenciones!$1:$1,0)</f>
        <v>7</v>
      </c>
      <c r="X1424" s="136">
        <f>+VLOOKUP(PROVEEDORES[[#This Row],[ID RETENCION]],Retenciones!$A$1:$O$25,PROVEEDORES[[#This Row],[indicador de columna]],FALSE)</f>
        <v>0</v>
      </c>
      <c r="Y1424" s="137">
        <f>+VLOOKUP(PROVEEDORES[[#This Row],[ID RETENCION]],Retenciones!$A$1:$O$25,2,FALSE)</f>
        <v>0</v>
      </c>
      <c r="Z1424" s="126" t="b">
        <f>+OR(COUNTIF(PROVEEDORES[[#This Row],[PROVEEDOR]],"*"&amp;'Palabra que no opera y Listas d'!$A$2&amp;"*"))</f>
        <v>0</v>
      </c>
    </row>
    <row r="1425" spans="1:26" ht="27.75" customHeight="1" x14ac:dyDescent="0.25">
      <c r="A1425" s="141" t="str">
        <f>+IF(PROVEEDORES[[#This Row],[FECHA DE PAGO]]=PROVEEDORES[[#This Row],[FECHA DE FACTURACIÓN]],"DE CONTADO","CRÉDITO")</f>
        <v>CRÉDITO</v>
      </c>
      <c r="B1425" s="138" t="b">
        <f>+IF((PROVEEDORES[[#This Row],[FECHA DE PAGO]]-PROVEEDORES[[#This Row],[FECHA DE FACTURACIÓN]])&gt;PROVEEDORES[[#This Row],[PLAZO Días]],"PAGO VENCIDO")</f>
        <v>0</v>
      </c>
      <c r="C1425" s="138">
        <f>+VLOOKUP(PROVEEDORES[[#This Row],[PROVEEDOR]],TERCEROS_INFO[#All],2,FALSE)</f>
        <v>30</v>
      </c>
      <c r="D1425" s="139">
        <f>+SUMIFS(PROVEEDORES[Total],PROVEEDORES[PROVEEDOR],PROVEEDORES[[#This Row],[PROVEEDOR]],PROVEEDORES[FECHA DE PAGO],"")</f>
        <v>1776037.21</v>
      </c>
      <c r="E1425" s="140"/>
      <c r="F1425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425" s="127">
        <v>45387</v>
      </c>
      <c r="H1425" s="123" t="s">
        <v>17</v>
      </c>
      <c r="I1425" s="127">
        <v>45359</v>
      </c>
      <c r="J1425" s="124" t="s">
        <v>1655</v>
      </c>
      <c r="K1425" s="124" t="s">
        <v>1530</v>
      </c>
      <c r="L1425" s="124" t="s">
        <v>1533</v>
      </c>
      <c r="M1425" s="125">
        <v>1182109</v>
      </c>
      <c r="N1425" s="148">
        <v>224600.71</v>
      </c>
      <c r="O1425" s="148">
        <v>0</v>
      </c>
      <c r="P1425" s="149">
        <v>0</v>
      </c>
      <c r="Q1425" s="148">
        <v>0</v>
      </c>
      <c r="R1425" s="150">
        <v>1406709.71</v>
      </c>
      <c r="S14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5" s="135">
        <f ca="1">+IF(PROVEEDORES[[#This Row],[FECHA DE PAGO]]=0,TODAY()-PROVEEDORES[[#This Row],[FECHA DE FACTURACIÓN]]-PROVEEDORES[[#This Row],[PLAZO Días]],0)</f>
        <v>0</v>
      </c>
      <c r="U1425" s="135">
        <f>+VLOOKUP(PROVEEDORES[[#This Row],[PROVEEDOR]],Terceros!$A:$D,4,FALSE)</f>
        <v>0</v>
      </c>
      <c r="V1425" s="135">
        <f>+YEAR(PROVEEDORES[[#This Row],[FECHA DE FACTURACIÓN]])</f>
        <v>2024</v>
      </c>
      <c r="W1425" s="135">
        <f>+MATCH(PROVEEDORES[[#This Row],[año facturado]],Retenciones!$1:$1,0)</f>
        <v>7</v>
      </c>
      <c r="X1425" s="136">
        <f>+VLOOKUP(PROVEEDORES[[#This Row],[ID RETENCION]],Retenciones!$A$1:$O$25,PROVEEDORES[[#This Row],[indicador de columna]],FALSE)</f>
        <v>0</v>
      </c>
      <c r="Y1425" s="137">
        <f>+VLOOKUP(PROVEEDORES[[#This Row],[ID RETENCION]],Retenciones!$A$1:$O$25,2,FALSE)</f>
        <v>0</v>
      </c>
      <c r="Z1425" s="126" t="b">
        <f>+OR(COUNTIF(PROVEEDORES[[#This Row],[PROVEEDOR]],"*"&amp;'Palabra que no opera y Listas d'!$A$2&amp;"*"))</f>
        <v>0</v>
      </c>
    </row>
    <row r="1426" spans="1:26" ht="27.75" customHeight="1" x14ac:dyDescent="0.25">
      <c r="A1426" s="141" t="str">
        <f>+IF(PROVEEDORES[[#This Row],[FECHA DE PAGO]]=PROVEEDORES[[#This Row],[FECHA DE FACTURACIÓN]],"DE CONTADO","CRÉDITO")</f>
        <v>DE CONTADO</v>
      </c>
      <c r="B1426" s="138" t="b">
        <f>+IF((PROVEEDORES[[#This Row],[FECHA DE PAGO]]-PROVEEDORES[[#This Row],[FECHA DE FACTURACIÓN]])&gt;PROVEEDORES[[#This Row],[PLAZO Días]],"PAGO VENCIDO")</f>
        <v>0</v>
      </c>
      <c r="C1426" s="138">
        <f>+VLOOKUP(PROVEEDORES[[#This Row],[PROVEEDOR]],TERCEROS_INFO[#All],2,FALSE)</f>
        <v>30</v>
      </c>
      <c r="D1426" s="139">
        <f>+SUMIFS(PROVEEDORES[Total],PROVEEDORES[PROVEEDOR],PROVEEDORES[[#This Row],[PROVEEDOR]],PROVEEDORES[FECHA DE PAGO],"")</f>
        <v>0</v>
      </c>
      <c r="E1426" s="140"/>
      <c r="F1426" s="138" t="str">
        <f>+VLOOKUP(PROVEEDORES[[#This Row],[PROVEEDOR]],
                       Terceros!$A:$F,
                       5,
                       FALSE)</f>
        <v/>
      </c>
      <c r="G1426" s="127">
        <v>45387</v>
      </c>
      <c r="H1426" s="123" t="s">
        <v>1824</v>
      </c>
      <c r="I1426" s="127">
        <v>45387</v>
      </c>
      <c r="J1426" s="124"/>
      <c r="K1426" s="124" t="s">
        <v>1530</v>
      </c>
      <c r="L1426" s="124" t="s">
        <v>1395</v>
      </c>
      <c r="M1426" s="125">
        <v>1115000</v>
      </c>
      <c r="N1426" s="148">
        <v>0</v>
      </c>
      <c r="O1426" s="148">
        <v>0</v>
      </c>
      <c r="P1426" s="149">
        <v>0</v>
      </c>
      <c r="Q1426" s="148">
        <v>0</v>
      </c>
      <c r="R1426" s="150">
        <v>1115000</v>
      </c>
      <c r="S14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6" s="135">
        <f ca="1">+IF(PROVEEDORES[[#This Row],[FECHA DE PAGO]]=0,TODAY()-PROVEEDORES[[#This Row],[FECHA DE FACTURACIÓN]]-PROVEEDORES[[#This Row],[PLAZO Días]],0)</f>
        <v>0</v>
      </c>
      <c r="U1426" s="135">
        <f>+VLOOKUP(PROVEEDORES[[#This Row],[PROVEEDOR]],Terceros!$A:$D,4,FALSE)</f>
        <v>0</v>
      </c>
      <c r="V1426" s="135">
        <f>+YEAR(PROVEEDORES[[#This Row],[FECHA DE FACTURACIÓN]])</f>
        <v>2024</v>
      </c>
      <c r="W1426" s="135">
        <f>+MATCH(PROVEEDORES[[#This Row],[año facturado]],Retenciones!$1:$1,0)</f>
        <v>7</v>
      </c>
      <c r="X1426" s="136">
        <f>+VLOOKUP(PROVEEDORES[[#This Row],[ID RETENCION]],Retenciones!$A$1:$O$25,PROVEEDORES[[#This Row],[indicador de columna]],FALSE)</f>
        <v>0</v>
      </c>
      <c r="Y1426" s="137">
        <f>+VLOOKUP(PROVEEDORES[[#This Row],[ID RETENCION]],Retenciones!$A$1:$O$25,2,FALSE)</f>
        <v>0</v>
      </c>
      <c r="Z1426" s="126" t="b">
        <f>+OR(COUNTIF(PROVEEDORES[[#This Row],[PROVEEDOR]],"*"&amp;'Palabra que no opera y Listas d'!$A$2&amp;"*"))</f>
        <v>0</v>
      </c>
    </row>
    <row r="1427" spans="1:26" ht="27.75" customHeight="1" x14ac:dyDescent="0.25">
      <c r="A1427" s="141" t="str">
        <f>+IF(PROVEEDORES[[#This Row],[FECHA DE PAGO]]=PROVEEDORES[[#This Row],[FECHA DE FACTURACIÓN]],"DE CONTADO","CRÉDITO")</f>
        <v>DE CONTADO</v>
      </c>
      <c r="B1427" s="138" t="b">
        <f>+IF((PROVEEDORES[[#This Row],[FECHA DE PAGO]]-PROVEEDORES[[#This Row],[FECHA DE FACTURACIÓN]])&gt;PROVEEDORES[[#This Row],[PLAZO Días]],"PAGO VENCIDO")</f>
        <v>0</v>
      </c>
      <c r="C1427" s="138">
        <f>+VLOOKUP(PROVEEDORES[[#This Row],[PROVEEDOR]],TERCEROS_INFO[#All],2,FALSE)</f>
        <v>60</v>
      </c>
      <c r="D1427" s="139">
        <f>+SUMIFS(PROVEEDORES[Total],PROVEEDORES[PROVEEDOR],PROVEEDORES[[#This Row],[PROVEEDOR]],PROVEEDORES[FECHA DE PAGO],"")</f>
        <v>1730482</v>
      </c>
      <c r="E1427" s="140"/>
      <c r="F1427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27" s="127">
        <v>45387</v>
      </c>
      <c r="H1427" s="123" t="s">
        <v>222</v>
      </c>
      <c r="I1427" s="127">
        <v>45387</v>
      </c>
      <c r="J1427" s="124">
        <v>1992</v>
      </c>
      <c r="K1427" s="124" t="s">
        <v>504</v>
      </c>
      <c r="L1427" s="124" t="s">
        <v>1534</v>
      </c>
      <c r="M1427" s="125">
        <v>12086264</v>
      </c>
      <c r="N1427" s="148">
        <v>0</v>
      </c>
      <c r="O1427" s="148">
        <v>0</v>
      </c>
      <c r="P1427" s="149">
        <v>0</v>
      </c>
      <c r="Q1427" s="148">
        <v>0</v>
      </c>
      <c r="R1427" s="150">
        <v>12086264</v>
      </c>
      <c r="S14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7" s="135">
        <f ca="1">+IF(PROVEEDORES[[#This Row],[FECHA DE PAGO]]=0,TODAY()-PROVEEDORES[[#This Row],[FECHA DE FACTURACIÓN]]-PROVEEDORES[[#This Row],[PLAZO Días]],0)</f>
        <v>0</v>
      </c>
      <c r="U1427" s="135">
        <f>+VLOOKUP(PROVEEDORES[[#This Row],[PROVEEDOR]],Terceros!$A:$D,4,FALSE)</f>
        <v>0</v>
      </c>
      <c r="V1427" s="135">
        <f>+YEAR(PROVEEDORES[[#This Row],[FECHA DE FACTURACIÓN]])</f>
        <v>2024</v>
      </c>
      <c r="W1427" s="135">
        <f>+MATCH(PROVEEDORES[[#This Row],[año facturado]],Retenciones!$1:$1,0)</f>
        <v>7</v>
      </c>
      <c r="X1427" s="136">
        <f>+VLOOKUP(PROVEEDORES[[#This Row],[ID RETENCION]],Retenciones!$A$1:$O$25,PROVEEDORES[[#This Row],[indicador de columna]],FALSE)</f>
        <v>0</v>
      </c>
      <c r="Y1427" s="137">
        <f>+VLOOKUP(PROVEEDORES[[#This Row],[ID RETENCION]],Retenciones!$A$1:$O$25,2,FALSE)</f>
        <v>0</v>
      </c>
      <c r="Z1427" s="126" t="b">
        <f>+OR(COUNTIF(PROVEEDORES[[#This Row],[PROVEEDOR]],"*"&amp;'Palabra que no opera y Listas d'!$A$2&amp;"*"))</f>
        <v>0</v>
      </c>
    </row>
    <row r="1428" spans="1:26" ht="27.75" customHeight="1" x14ac:dyDescent="0.25">
      <c r="A1428" s="141" t="str">
        <f>+IF(PROVEEDORES[[#This Row],[FECHA DE PAGO]]=PROVEEDORES[[#This Row],[FECHA DE FACTURACIÓN]],"DE CONTADO","CRÉDITO")</f>
        <v>DE CONTADO</v>
      </c>
      <c r="B1428" s="138" t="b">
        <f>+IF((PROVEEDORES[[#This Row],[FECHA DE PAGO]]-PROVEEDORES[[#This Row],[FECHA DE FACTURACIÓN]])&gt;PROVEEDORES[[#This Row],[PLAZO Días]],"PAGO VENCIDO")</f>
        <v>0</v>
      </c>
      <c r="C1428" s="138">
        <f>+VLOOKUP(PROVEEDORES[[#This Row],[PROVEEDOR]],TERCEROS_INFO[#All],2,FALSE)</f>
        <v>60</v>
      </c>
      <c r="D1428" s="139">
        <f>+SUMIFS(PROVEEDORES[Total],PROVEEDORES[PROVEEDOR],PROVEEDORES[[#This Row],[PROVEEDOR]],PROVEEDORES[FECHA DE PAGO],"")</f>
        <v>1730482</v>
      </c>
      <c r="E1428" s="140"/>
      <c r="F1428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28" s="127">
        <v>45388</v>
      </c>
      <c r="H1428" s="123" t="s">
        <v>222</v>
      </c>
      <c r="I1428" s="127">
        <v>45388</v>
      </c>
      <c r="J1428" s="124">
        <v>1985</v>
      </c>
      <c r="K1428" s="124" t="s">
        <v>1530</v>
      </c>
      <c r="L1428" s="124" t="s">
        <v>1395</v>
      </c>
      <c r="M1428" s="125">
        <v>550000</v>
      </c>
      <c r="N1428" s="148">
        <v>0</v>
      </c>
      <c r="O1428" s="148">
        <v>0</v>
      </c>
      <c r="P1428" s="149">
        <v>0</v>
      </c>
      <c r="Q1428" s="148">
        <v>0</v>
      </c>
      <c r="R1428" s="150">
        <v>550000</v>
      </c>
      <c r="S14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8" s="135">
        <f ca="1">+IF(PROVEEDORES[[#This Row],[FECHA DE PAGO]]=0,TODAY()-PROVEEDORES[[#This Row],[FECHA DE FACTURACIÓN]]-PROVEEDORES[[#This Row],[PLAZO Días]],0)</f>
        <v>0</v>
      </c>
      <c r="U1428" s="135">
        <f>+VLOOKUP(PROVEEDORES[[#This Row],[PROVEEDOR]],Terceros!$A:$D,4,FALSE)</f>
        <v>0</v>
      </c>
      <c r="V1428" s="135">
        <f>+YEAR(PROVEEDORES[[#This Row],[FECHA DE FACTURACIÓN]])</f>
        <v>2024</v>
      </c>
      <c r="W1428" s="135">
        <f>+MATCH(PROVEEDORES[[#This Row],[año facturado]],Retenciones!$1:$1,0)</f>
        <v>7</v>
      </c>
      <c r="X1428" s="136">
        <f>+VLOOKUP(PROVEEDORES[[#This Row],[ID RETENCION]],Retenciones!$A$1:$O$25,PROVEEDORES[[#This Row],[indicador de columna]],FALSE)</f>
        <v>0</v>
      </c>
      <c r="Y1428" s="137">
        <f>+VLOOKUP(PROVEEDORES[[#This Row],[ID RETENCION]],Retenciones!$A$1:$O$25,2,FALSE)</f>
        <v>0</v>
      </c>
      <c r="Z1428" s="126" t="b">
        <f>+OR(COUNTIF(PROVEEDORES[[#This Row],[PROVEEDOR]],"*"&amp;'Palabra que no opera y Listas d'!$A$2&amp;"*"))</f>
        <v>0</v>
      </c>
    </row>
    <row r="1429" spans="1:26" ht="27.75" customHeight="1" x14ac:dyDescent="0.25">
      <c r="A1429" s="141" t="str">
        <f>+IF(PROVEEDORES[[#This Row],[FECHA DE PAGO]]=PROVEEDORES[[#This Row],[FECHA DE FACTURACIÓN]],"DE CONTADO","CRÉDITO")</f>
        <v>CRÉDITO</v>
      </c>
      <c r="B1429" s="138" t="str">
        <f>+IF((PROVEEDORES[[#This Row],[FECHA DE PAGO]]-PROVEEDORES[[#This Row],[FECHA DE FACTURACIÓN]])&gt;PROVEEDORES[[#This Row],[PLAZO Días]],"PAGO VENCIDO")</f>
        <v>PAGO VENCIDO</v>
      </c>
      <c r="C1429" s="138">
        <f>+VLOOKUP(PROVEEDORES[[#This Row],[PROVEEDOR]],TERCEROS_INFO[#All],2,FALSE)</f>
        <v>30</v>
      </c>
      <c r="D1429" s="139">
        <f>+SUMIFS(PROVEEDORES[Total],PROVEEDORES[PROVEEDOR],PROVEEDORES[[#This Row],[PROVEEDOR]],PROVEEDORES[FECHA DE PAGO],"")</f>
        <v>1695707.16</v>
      </c>
      <c r="E1429" s="140"/>
      <c r="F1429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429" s="127">
        <v>45390</v>
      </c>
      <c r="H1429" s="123" t="s">
        <v>194</v>
      </c>
      <c r="I1429" s="127">
        <v>45355</v>
      </c>
      <c r="J1429" s="124" t="s">
        <v>1645</v>
      </c>
      <c r="K1429" s="124" t="s">
        <v>1530</v>
      </c>
      <c r="L1429" s="124" t="s">
        <v>1533</v>
      </c>
      <c r="M1429" s="125">
        <v>2093151</v>
      </c>
      <c r="N1429" s="148">
        <v>397698.69</v>
      </c>
      <c r="O1429" s="148">
        <v>0</v>
      </c>
      <c r="P1429" s="149">
        <v>0</v>
      </c>
      <c r="Q1429" s="148">
        <v>0</v>
      </c>
      <c r="R1429" s="150">
        <v>2490849.69</v>
      </c>
      <c r="S14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29" s="135">
        <f ca="1">+IF(PROVEEDORES[[#This Row],[FECHA DE PAGO]]=0,TODAY()-PROVEEDORES[[#This Row],[FECHA DE FACTURACIÓN]]-PROVEEDORES[[#This Row],[PLAZO Días]],0)</f>
        <v>0</v>
      </c>
      <c r="U1429" s="135">
        <f>+VLOOKUP(PROVEEDORES[[#This Row],[PROVEEDOR]],Terceros!$A:$D,4,FALSE)</f>
        <v>0</v>
      </c>
      <c r="V1429" s="135">
        <f>+YEAR(PROVEEDORES[[#This Row],[FECHA DE FACTURACIÓN]])</f>
        <v>2024</v>
      </c>
      <c r="W1429" s="135">
        <f>+MATCH(PROVEEDORES[[#This Row],[año facturado]],Retenciones!$1:$1,0)</f>
        <v>7</v>
      </c>
      <c r="X1429" s="136">
        <f>+VLOOKUP(PROVEEDORES[[#This Row],[ID RETENCION]],Retenciones!$A$1:$O$25,PROVEEDORES[[#This Row],[indicador de columna]],FALSE)</f>
        <v>0</v>
      </c>
      <c r="Y1429" s="137">
        <f>+VLOOKUP(PROVEEDORES[[#This Row],[ID RETENCION]],Retenciones!$A$1:$O$25,2,FALSE)</f>
        <v>0</v>
      </c>
      <c r="Z1429" s="126" t="b">
        <f>+OR(COUNTIF(PROVEEDORES[[#This Row],[PROVEEDOR]],"*"&amp;'Palabra que no opera y Listas d'!$A$2&amp;"*"))</f>
        <v>0</v>
      </c>
    </row>
    <row r="1430" spans="1:26" ht="27.75" customHeight="1" x14ac:dyDescent="0.25">
      <c r="A1430" s="141" t="str">
        <f>+IF(PROVEEDORES[[#This Row],[FECHA DE PAGO]]=PROVEEDORES[[#This Row],[FECHA DE FACTURACIÓN]],"DE CONTADO","CRÉDITO")</f>
        <v>DE CONTADO</v>
      </c>
      <c r="B1430" s="138" t="b">
        <f>+IF((PROVEEDORES[[#This Row],[FECHA DE PAGO]]-PROVEEDORES[[#This Row],[FECHA DE FACTURACIÓN]])&gt;PROVEEDORES[[#This Row],[PLAZO Días]],"PAGO VENCIDO")</f>
        <v>0</v>
      </c>
      <c r="C1430" s="138">
        <f>+VLOOKUP(PROVEEDORES[[#This Row],[PROVEEDOR]],TERCEROS_INFO[#All],2,FALSE)</f>
        <v>30</v>
      </c>
      <c r="D1430" s="139">
        <f>+SUMIFS(PROVEEDORES[Total],PROVEEDORES[PROVEEDOR],PROVEEDORES[[#This Row],[PROVEEDOR]],PROVEEDORES[FECHA DE PAGO],"")</f>
        <v>134000</v>
      </c>
      <c r="E1430" s="140"/>
      <c r="F1430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430" s="127">
        <v>45390</v>
      </c>
      <c r="H1430" s="123" t="s">
        <v>1808</v>
      </c>
      <c r="I1430" s="127">
        <v>45390</v>
      </c>
      <c r="J1430" s="124" t="s">
        <v>1744</v>
      </c>
      <c r="K1430" s="124" t="s">
        <v>1530</v>
      </c>
      <c r="L1430" s="124"/>
      <c r="M1430" s="125">
        <v>33000</v>
      </c>
      <c r="N1430" s="148">
        <v>0</v>
      </c>
      <c r="O1430" s="148">
        <v>0</v>
      </c>
      <c r="P1430" s="149">
        <v>0</v>
      </c>
      <c r="Q1430" s="148">
        <v>0</v>
      </c>
      <c r="R1430" s="150">
        <v>33000</v>
      </c>
      <c r="S14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0" s="135">
        <f ca="1">+IF(PROVEEDORES[[#This Row],[FECHA DE PAGO]]=0,TODAY()-PROVEEDORES[[#This Row],[FECHA DE FACTURACIÓN]]-PROVEEDORES[[#This Row],[PLAZO Días]],0)</f>
        <v>0</v>
      </c>
      <c r="U1430" s="135">
        <f>+VLOOKUP(PROVEEDORES[[#This Row],[PROVEEDOR]],Terceros!$A:$D,4,FALSE)</f>
        <v>0</v>
      </c>
      <c r="V1430" s="135">
        <f>+YEAR(PROVEEDORES[[#This Row],[FECHA DE FACTURACIÓN]])</f>
        <v>2024</v>
      </c>
      <c r="W1430" s="135">
        <f>+MATCH(PROVEEDORES[[#This Row],[año facturado]],Retenciones!$1:$1,0)</f>
        <v>7</v>
      </c>
      <c r="X1430" s="136">
        <f>+VLOOKUP(PROVEEDORES[[#This Row],[ID RETENCION]],Retenciones!$A$1:$O$25,PROVEEDORES[[#This Row],[indicador de columna]],FALSE)</f>
        <v>0</v>
      </c>
      <c r="Y1430" s="137">
        <f>+VLOOKUP(PROVEEDORES[[#This Row],[ID RETENCION]],Retenciones!$A$1:$O$25,2,FALSE)</f>
        <v>0</v>
      </c>
      <c r="Z1430" s="126" t="b">
        <f>+OR(COUNTIF(PROVEEDORES[[#This Row],[PROVEEDOR]],"*"&amp;'Palabra que no opera y Listas d'!$A$2&amp;"*"))</f>
        <v>0</v>
      </c>
    </row>
    <row r="1431" spans="1:26" ht="27.75" customHeight="1" x14ac:dyDescent="0.25">
      <c r="A1431" s="141" t="str">
        <f>+IF(PROVEEDORES[[#This Row],[FECHA DE PAGO]]=PROVEEDORES[[#This Row],[FECHA DE FACTURACIÓN]],"DE CONTADO","CRÉDITO")</f>
        <v>DE CONTADO</v>
      </c>
      <c r="B1431" s="138" t="b">
        <f>+IF((PROVEEDORES[[#This Row],[FECHA DE PAGO]]-PROVEEDORES[[#This Row],[FECHA DE FACTURACIÓN]])&gt;PROVEEDORES[[#This Row],[PLAZO Días]],"PAGO VENCIDO")</f>
        <v>0</v>
      </c>
      <c r="C1431" s="138">
        <f>+VLOOKUP(PROVEEDORES[[#This Row],[PROVEEDOR]],TERCEROS_INFO[#All],2,FALSE)</f>
        <v>30</v>
      </c>
      <c r="D1431" s="139">
        <f>+SUMIFS(PROVEEDORES[Total],PROVEEDORES[PROVEEDOR],PROVEEDORES[[#This Row],[PROVEEDOR]],PROVEEDORES[FECHA DE PAGO],"")</f>
        <v>0</v>
      </c>
      <c r="E1431" s="140"/>
      <c r="F1431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1431" s="127">
        <v>45390</v>
      </c>
      <c r="H1431" s="123" t="s">
        <v>1863</v>
      </c>
      <c r="I1431" s="127">
        <v>45390</v>
      </c>
      <c r="J1431" s="124" t="s">
        <v>1792</v>
      </c>
      <c r="K1431" s="124" t="s">
        <v>1530</v>
      </c>
      <c r="L1431" s="124" t="s">
        <v>1534</v>
      </c>
      <c r="M1431" s="125">
        <v>6488288</v>
      </c>
      <c r="N1431" s="148">
        <v>0</v>
      </c>
      <c r="O1431" s="148">
        <v>0</v>
      </c>
      <c r="P1431" s="149">
        <v>0</v>
      </c>
      <c r="Q1431" s="148">
        <v>0</v>
      </c>
      <c r="R1431" s="150">
        <v>6488288</v>
      </c>
      <c r="S14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1" s="135">
        <f ca="1">+IF(PROVEEDORES[[#This Row],[FECHA DE PAGO]]=0,TODAY()-PROVEEDORES[[#This Row],[FECHA DE FACTURACIÓN]]-PROVEEDORES[[#This Row],[PLAZO Días]],0)</f>
        <v>0</v>
      </c>
      <c r="U1431" s="135">
        <f>+VLOOKUP(PROVEEDORES[[#This Row],[PROVEEDOR]],Terceros!$A:$D,4,FALSE)</f>
        <v>0</v>
      </c>
      <c r="V1431" s="135">
        <f>+YEAR(PROVEEDORES[[#This Row],[FECHA DE FACTURACIÓN]])</f>
        <v>2024</v>
      </c>
      <c r="W1431" s="135">
        <f>+MATCH(PROVEEDORES[[#This Row],[año facturado]],Retenciones!$1:$1,0)</f>
        <v>7</v>
      </c>
      <c r="X1431" s="136">
        <f>+VLOOKUP(PROVEEDORES[[#This Row],[ID RETENCION]],Retenciones!$A$1:$O$25,PROVEEDORES[[#This Row],[indicador de columna]],FALSE)</f>
        <v>0</v>
      </c>
      <c r="Y1431" s="137">
        <f>+VLOOKUP(PROVEEDORES[[#This Row],[ID RETENCION]],Retenciones!$A$1:$O$25,2,FALSE)</f>
        <v>0</v>
      </c>
      <c r="Z1431" s="126" t="b">
        <f>+OR(COUNTIF(PROVEEDORES[[#This Row],[PROVEEDOR]],"*"&amp;'Palabra que no opera y Listas d'!$A$2&amp;"*"))</f>
        <v>0</v>
      </c>
    </row>
    <row r="1432" spans="1:26" ht="27.75" customHeight="1" x14ac:dyDescent="0.25">
      <c r="A1432" s="141" t="str">
        <f>+IF(PROVEEDORES[[#This Row],[FECHA DE PAGO]]=PROVEEDORES[[#This Row],[FECHA DE FACTURACIÓN]],"DE CONTADO","CRÉDITO")</f>
        <v>CRÉDITO</v>
      </c>
      <c r="B1432" s="138" t="str">
        <f>+IF((PROVEEDORES[[#This Row],[FECHA DE PAGO]]-PROVEEDORES[[#This Row],[FECHA DE FACTURACIÓN]])&gt;PROVEEDORES[[#This Row],[PLAZO Días]],"PAGO VENCIDO")</f>
        <v>PAGO VENCIDO</v>
      </c>
      <c r="C1432" s="138">
        <f>+VLOOKUP(PROVEEDORES[[#This Row],[PROVEEDOR]],TERCEROS_INFO[#All],2,FALSE)</f>
        <v>45</v>
      </c>
      <c r="D1432" s="139">
        <f>+SUMIFS(PROVEEDORES[Total],PROVEEDORES[PROVEEDOR],PROVEEDORES[[#This Row],[PROVEEDOR]],PROVEEDORES[FECHA DE PAGO],"")</f>
        <v>22186260.039999999</v>
      </c>
      <c r="E1432" s="140"/>
      <c r="F1432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432" s="127">
        <v>45391</v>
      </c>
      <c r="H1432" s="123" t="s">
        <v>19</v>
      </c>
      <c r="I1432" s="127">
        <v>45336</v>
      </c>
      <c r="J1432" s="124" t="s">
        <v>1574</v>
      </c>
      <c r="K1432" s="124" t="s">
        <v>504</v>
      </c>
      <c r="L1432" s="124" t="s">
        <v>1534</v>
      </c>
      <c r="M1432" s="125">
        <v>5480265</v>
      </c>
      <c r="N1432" s="148">
        <v>1041250.35</v>
      </c>
      <c r="O1432" s="148">
        <v>0</v>
      </c>
      <c r="P1432" s="149">
        <v>0</v>
      </c>
      <c r="Q1432" s="148">
        <v>0</v>
      </c>
      <c r="R1432" s="150">
        <v>6521515.3499999996</v>
      </c>
      <c r="S14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2" s="135">
        <f ca="1">+IF(PROVEEDORES[[#This Row],[FECHA DE PAGO]]=0,TODAY()-PROVEEDORES[[#This Row],[FECHA DE FACTURACIÓN]]-PROVEEDORES[[#This Row],[PLAZO Días]],0)</f>
        <v>0</v>
      </c>
      <c r="U1432" s="135">
        <f>+VLOOKUP(PROVEEDORES[[#This Row],[PROVEEDOR]],Terceros!$A:$D,4,FALSE)</f>
        <v>0</v>
      </c>
      <c r="V1432" s="135">
        <f>+YEAR(PROVEEDORES[[#This Row],[FECHA DE FACTURACIÓN]])</f>
        <v>2024</v>
      </c>
      <c r="W1432" s="135">
        <f>+MATCH(PROVEEDORES[[#This Row],[año facturado]],Retenciones!$1:$1,0)</f>
        <v>7</v>
      </c>
      <c r="X1432" s="136">
        <f>+VLOOKUP(PROVEEDORES[[#This Row],[ID RETENCION]],Retenciones!$A$1:$O$25,PROVEEDORES[[#This Row],[indicador de columna]],FALSE)</f>
        <v>0</v>
      </c>
      <c r="Y1432" s="137">
        <f>+VLOOKUP(PROVEEDORES[[#This Row],[ID RETENCION]],Retenciones!$A$1:$O$25,2,FALSE)</f>
        <v>0</v>
      </c>
      <c r="Z1432" s="126" t="b">
        <f>+OR(COUNTIF(PROVEEDORES[[#This Row],[PROVEEDOR]],"*"&amp;'Palabra que no opera y Listas d'!$A$2&amp;"*"))</f>
        <v>0</v>
      </c>
    </row>
    <row r="1433" spans="1:26" ht="27.75" customHeight="1" x14ac:dyDescent="0.25">
      <c r="A1433" s="141" t="str">
        <f>+IF(PROVEEDORES[[#This Row],[FECHA DE PAGO]]=PROVEEDORES[[#This Row],[FECHA DE FACTURACIÓN]],"DE CONTADO","CRÉDITO")</f>
        <v>CRÉDITO</v>
      </c>
      <c r="B1433" s="138" t="str">
        <f>+IF((PROVEEDORES[[#This Row],[FECHA DE PAGO]]-PROVEEDORES[[#This Row],[FECHA DE FACTURACIÓN]])&gt;PROVEEDORES[[#This Row],[PLAZO Días]],"PAGO VENCIDO")</f>
        <v>PAGO VENCIDO</v>
      </c>
      <c r="C1433" s="138">
        <f>+VLOOKUP(PROVEEDORES[[#This Row],[PROVEEDOR]],TERCEROS_INFO[#All],2,FALSE)</f>
        <v>45</v>
      </c>
      <c r="D1433" s="139">
        <f>+SUMIFS(PROVEEDORES[Total],PROVEEDORES[PROVEEDOR],PROVEEDORES[[#This Row],[PROVEEDOR]],PROVEEDORES[FECHA DE PAGO],"")</f>
        <v>22186260.039999999</v>
      </c>
      <c r="E1433" s="140"/>
      <c r="F1433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433" s="127">
        <v>45391</v>
      </c>
      <c r="H1433" s="123" t="s">
        <v>19</v>
      </c>
      <c r="I1433" s="127">
        <v>45337</v>
      </c>
      <c r="J1433" s="124" t="s">
        <v>1575</v>
      </c>
      <c r="K1433" s="124" t="s">
        <v>504</v>
      </c>
      <c r="L1433" s="124" t="s">
        <v>1534</v>
      </c>
      <c r="M1433" s="125">
        <v>678845</v>
      </c>
      <c r="N1433" s="148">
        <v>128980.55</v>
      </c>
      <c r="O1433" s="148">
        <v>0</v>
      </c>
      <c r="P1433" s="149">
        <v>0</v>
      </c>
      <c r="Q1433" s="148">
        <v>0</v>
      </c>
      <c r="R1433" s="150">
        <v>807825.55</v>
      </c>
      <c r="S14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3" s="135">
        <f ca="1">+IF(PROVEEDORES[[#This Row],[FECHA DE PAGO]]=0,TODAY()-PROVEEDORES[[#This Row],[FECHA DE FACTURACIÓN]]-PROVEEDORES[[#This Row],[PLAZO Días]],0)</f>
        <v>0</v>
      </c>
      <c r="U1433" s="135">
        <f>+VLOOKUP(PROVEEDORES[[#This Row],[PROVEEDOR]],Terceros!$A:$D,4,FALSE)</f>
        <v>0</v>
      </c>
      <c r="V1433" s="135">
        <f>+YEAR(PROVEEDORES[[#This Row],[FECHA DE FACTURACIÓN]])</f>
        <v>2024</v>
      </c>
      <c r="W1433" s="135">
        <f>+MATCH(PROVEEDORES[[#This Row],[año facturado]],Retenciones!$1:$1,0)</f>
        <v>7</v>
      </c>
      <c r="X1433" s="136">
        <f>+VLOOKUP(PROVEEDORES[[#This Row],[ID RETENCION]],Retenciones!$A$1:$O$25,PROVEEDORES[[#This Row],[indicador de columna]],FALSE)</f>
        <v>0</v>
      </c>
      <c r="Y1433" s="137">
        <f>+VLOOKUP(PROVEEDORES[[#This Row],[ID RETENCION]],Retenciones!$A$1:$O$25,2,FALSE)</f>
        <v>0</v>
      </c>
      <c r="Z1433" s="126" t="b">
        <f>+OR(COUNTIF(PROVEEDORES[[#This Row],[PROVEEDOR]],"*"&amp;'Palabra que no opera y Listas d'!$A$2&amp;"*"))</f>
        <v>0</v>
      </c>
    </row>
    <row r="1434" spans="1:26" ht="27.75" customHeight="1" x14ac:dyDescent="0.25">
      <c r="A1434" s="141" t="str">
        <f>+IF(PROVEEDORES[[#This Row],[FECHA DE PAGO]]=PROVEEDORES[[#This Row],[FECHA DE FACTURACIÓN]],"DE CONTADO","CRÉDITO")</f>
        <v>CRÉDITO</v>
      </c>
      <c r="B1434" s="138" t="str">
        <f>+IF((PROVEEDORES[[#This Row],[FECHA DE PAGO]]-PROVEEDORES[[#This Row],[FECHA DE FACTURACIÓN]])&gt;PROVEEDORES[[#This Row],[PLAZO Días]],"PAGO VENCIDO")</f>
        <v>PAGO VENCIDO</v>
      </c>
      <c r="C1434" s="138">
        <f>+VLOOKUP(PROVEEDORES[[#This Row],[PROVEEDOR]],TERCEROS_INFO[#All],2,FALSE)</f>
        <v>45</v>
      </c>
      <c r="D1434" s="139">
        <f>+SUMIFS(PROVEEDORES[Total],PROVEEDORES[PROVEEDOR],PROVEEDORES[[#This Row],[PROVEEDOR]],PROVEEDORES[FECHA DE PAGO],"")</f>
        <v>2446500</v>
      </c>
      <c r="E1434" s="140"/>
      <c r="F1434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434" s="127">
        <v>45391</v>
      </c>
      <c r="H1434" s="123" t="s">
        <v>10</v>
      </c>
      <c r="I1434" s="127">
        <v>45337</v>
      </c>
      <c r="J1434" s="124" t="s">
        <v>1573</v>
      </c>
      <c r="K1434" s="124" t="s">
        <v>504</v>
      </c>
      <c r="L1434" s="124" t="s">
        <v>1534</v>
      </c>
      <c r="M1434" s="125">
        <v>1160000</v>
      </c>
      <c r="N1434" s="148">
        <v>220400</v>
      </c>
      <c r="O1434" s="148">
        <v>0</v>
      </c>
      <c r="P1434" s="149">
        <v>0</v>
      </c>
      <c r="Q1434" s="148">
        <v>0</v>
      </c>
      <c r="R1434" s="150">
        <v>1380400</v>
      </c>
      <c r="S14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4" s="135">
        <f ca="1">+IF(PROVEEDORES[[#This Row],[FECHA DE PAGO]]=0,TODAY()-PROVEEDORES[[#This Row],[FECHA DE FACTURACIÓN]]-PROVEEDORES[[#This Row],[PLAZO Días]],0)</f>
        <v>0</v>
      </c>
      <c r="U1434" s="135" t="str">
        <f>+VLOOKUP(PROVEEDORES[[#This Row],[PROVEEDOR]],Terceros!$A:$D,4,FALSE)</f>
        <v>2,5% con base</v>
      </c>
      <c r="V1434" s="135">
        <f>+YEAR(PROVEEDORES[[#This Row],[FECHA DE FACTURACIÓN]])</f>
        <v>2024</v>
      </c>
      <c r="W1434" s="135">
        <f>+MATCH(PROVEEDORES[[#This Row],[año facturado]],Retenciones!$1:$1,0)</f>
        <v>7</v>
      </c>
      <c r="X1434" s="136">
        <f>+VLOOKUP(PROVEEDORES[[#This Row],[ID RETENCION]],Retenciones!$A$1:$O$25,PROVEEDORES[[#This Row],[indicador de columna]],FALSE)</f>
        <v>1271000</v>
      </c>
      <c r="Y1434" s="137">
        <f>+VLOOKUP(PROVEEDORES[[#This Row],[ID RETENCION]],Retenciones!$A$1:$O$25,2,FALSE)</f>
        <v>2.5000000000000001E-2</v>
      </c>
      <c r="Z1434" s="126" t="b">
        <f>+OR(COUNTIF(PROVEEDORES[[#This Row],[PROVEEDOR]],"*"&amp;'Palabra que no opera y Listas d'!$A$2&amp;"*"))</f>
        <v>0</v>
      </c>
    </row>
    <row r="1435" spans="1:26" ht="27.75" customHeight="1" x14ac:dyDescent="0.25">
      <c r="A1435" s="141" t="str">
        <f>+IF(PROVEEDORES[[#This Row],[FECHA DE PAGO]]=PROVEEDORES[[#This Row],[FECHA DE FACTURACIÓN]],"DE CONTADO","CRÉDITO")</f>
        <v>CRÉDITO</v>
      </c>
      <c r="B1435" s="138" t="str">
        <f>+IF((PROVEEDORES[[#This Row],[FECHA DE PAGO]]-PROVEEDORES[[#This Row],[FECHA DE FACTURACIÓN]])&gt;PROVEEDORES[[#This Row],[PLAZO Días]],"PAGO VENCIDO")</f>
        <v>PAGO VENCIDO</v>
      </c>
      <c r="C1435" s="138">
        <f>+VLOOKUP(PROVEEDORES[[#This Row],[PROVEEDOR]],TERCEROS_INFO[#All],2,FALSE)</f>
        <v>45</v>
      </c>
      <c r="D1435" s="139">
        <f>+SUMIFS(PROVEEDORES[Total],PROVEEDORES[PROVEEDOR],PROVEEDORES[[#This Row],[PROVEEDOR]],PROVEEDORES[FECHA DE PAGO],"")</f>
        <v>2446500</v>
      </c>
      <c r="E1435" s="140"/>
      <c r="F1435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435" s="127">
        <v>45391</v>
      </c>
      <c r="H1435" s="123" t="s">
        <v>10</v>
      </c>
      <c r="I1435" s="127">
        <v>45343</v>
      </c>
      <c r="J1435" s="124" t="s">
        <v>1591</v>
      </c>
      <c r="K1435" s="124" t="s">
        <v>504</v>
      </c>
      <c r="L1435" s="124" t="s">
        <v>1534</v>
      </c>
      <c r="M1435" s="125">
        <v>1272000</v>
      </c>
      <c r="N1435" s="148">
        <v>241680</v>
      </c>
      <c r="O1435" s="148">
        <v>0</v>
      </c>
      <c r="P1435" s="149">
        <v>2.5000000000000001E-2</v>
      </c>
      <c r="Q1435" s="148">
        <v>31800</v>
      </c>
      <c r="R1435" s="150">
        <v>1481880</v>
      </c>
      <c r="S14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5" s="135">
        <f ca="1">+IF(PROVEEDORES[[#This Row],[FECHA DE PAGO]]=0,TODAY()-PROVEEDORES[[#This Row],[FECHA DE FACTURACIÓN]]-PROVEEDORES[[#This Row],[PLAZO Días]],0)</f>
        <v>0</v>
      </c>
      <c r="U1435" s="135" t="str">
        <f>+VLOOKUP(PROVEEDORES[[#This Row],[PROVEEDOR]],Terceros!$A:$D,4,FALSE)</f>
        <v>2,5% con base</v>
      </c>
      <c r="V1435" s="135">
        <f>+YEAR(PROVEEDORES[[#This Row],[FECHA DE FACTURACIÓN]])</f>
        <v>2024</v>
      </c>
      <c r="W1435" s="135">
        <f>+MATCH(PROVEEDORES[[#This Row],[año facturado]],Retenciones!$1:$1,0)</f>
        <v>7</v>
      </c>
      <c r="X1435" s="136">
        <f>+VLOOKUP(PROVEEDORES[[#This Row],[ID RETENCION]],Retenciones!$A$1:$O$25,PROVEEDORES[[#This Row],[indicador de columna]],FALSE)</f>
        <v>1271000</v>
      </c>
      <c r="Y1435" s="137">
        <f>+VLOOKUP(PROVEEDORES[[#This Row],[ID RETENCION]],Retenciones!$A$1:$O$25,2,FALSE)</f>
        <v>2.5000000000000001E-2</v>
      </c>
      <c r="Z1435" s="126" t="b">
        <f>+OR(COUNTIF(PROVEEDORES[[#This Row],[PROVEEDOR]],"*"&amp;'Palabra que no opera y Listas d'!$A$2&amp;"*"))</f>
        <v>0</v>
      </c>
    </row>
    <row r="1436" spans="1:26" ht="27.75" customHeight="1" x14ac:dyDescent="0.25">
      <c r="A1436" s="141" t="str">
        <f>+IF(PROVEEDORES[[#This Row],[FECHA DE PAGO]]=PROVEEDORES[[#This Row],[FECHA DE FACTURACIÓN]],"DE CONTADO","CRÉDITO")</f>
        <v>CRÉDITO</v>
      </c>
      <c r="B1436" s="138" t="str">
        <f>+IF((PROVEEDORES[[#This Row],[FECHA DE PAGO]]-PROVEEDORES[[#This Row],[FECHA DE FACTURACIÓN]])&gt;PROVEEDORES[[#This Row],[PLAZO Días]],"PAGO VENCIDO")</f>
        <v>PAGO VENCIDO</v>
      </c>
      <c r="C1436" s="138">
        <f>+VLOOKUP(PROVEEDORES[[#This Row],[PROVEEDOR]],TERCEROS_INFO[#All],2,FALSE)</f>
        <v>20</v>
      </c>
      <c r="D1436" s="139">
        <f>+SUMIFS(PROVEEDORES[Total],PROVEEDORES[PROVEEDOR],PROVEEDORES[[#This Row],[PROVEEDOR]],PROVEEDORES[FECHA DE PAGO],"")</f>
        <v>0</v>
      </c>
      <c r="E1436" s="140"/>
      <c r="F1436" s="138">
        <f>+VLOOKUP(PROVEEDORES[[#This Row],[PROVEEDOR]],
                       Terceros!$A:$F,
                       5,
                       FALSE)</f>
        <v>0</v>
      </c>
      <c r="G1436" s="127">
        <v>45391</v>
      </c>
      <c r="H1436" s="123" t="s">
        <v>1825</v>
      </c>
      <c r="I1436" s="127">
        <v>45370</v>
      </c>
      <c r="J1436" s="124" t="s">
        <v>890</v>
      </c>
      <c r="K1436" s="124" t="s">
        <v>504</v>
      </c>
      <c r="L1436" s="124" t="s">
        <v>1395</v>
      </c>
      <c r="M1436" s="125">
        <v>10367150</v>
      </c>
      <c r="N1436" s="148">
        <v>0</v>
      </c>
      <c r="O1436" s="148">
        <v>0</v>
      </c>
      <c r="P1436" s="149">
        <v>0</v>
      </c>
      <c r="Q1436" s="148">
        <v>0</v>
      </c>
      <c r="R1436" s="150">
        <v>10367150</v>
      </c>
      <c r="S14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6" s="135">
        <f ca="1">+IF(PROVEEDORES[[#This Row],[FECHA DE PAGO]]=0,TODAY()-PROVEEDORES[[#This Row],[FECHA DE FACTURACIÓN]]-PROVEEDORES[[#This Row],[PLAZO Días]],0)</f>
        <v>0</v>
      </c>
      <c r="U1436" s="135">
        <f>+VLOOKUP(PROVEEDORES[[#This Row],[PROVEEDOR]],Terceros!$A:$D,4,FALSE)</f>
        <v>0</v>
      </c>
      <c r="V1436" s="135">
        <f>+YEAR(PROVEEDORES[[#This Row],[FECHA DE FACTURACIÓN]])</f>
        <v>2024</v>
      </c>
      <c r="W1436" s="135">
        <f>+MATCH(PROVEEDORES[[#This Row],[año facturado]],Retenciones!$1:$1,0)</f>
        <v>7</v>
      </c>
      <c r="X1436" s="136">
        <f>+VLOOKUP(PROVEEDORES[[#This Row],[ID RETENCION]],Retenciones!$A$1:$O$25,PROVEEDORES[[#This Row],[indicador de columna]],FALSE)</f>
        <v>0</v>
      </c>
      <c r="Y1436" s="137">
        <f>+VLOOKUP(PROVEEDORES[[#This Row],[ID RETENCION]],Retenciones!$A$1:$O$25,2,FALSE)</f>
        <v>0</v>
      </c>
      <c r="Z1436" s="126" t="b">
        <f>+OR(COUNTIF(PROVEEDORES[[#This Row],[PROVEEDOR]],"*"&amp;'Palabra que no opera y Listas d'!$A$2&amp;"*"))</f>
        <v>0</v>
      </c>
    </row>
    <row r="1437" spans="1:26" ht="27.75" customHeight="1" x14ac:dyDescent="0.25">
      <c r="A1437" s="141" t="str">
        <f>+IF(PROVEEDORES[[#This Row],[FECHA DE PAGO]]=PROVEEDORES[[#This Row],[FECHA DE FACTURACIÓN]],"DE CONTADO","CRÉDITO")</f>
        <v>CRÉDITO</v>
      </c>
      <c r="B1437" s="138" t="e">
        <f>+IF((PROVEEDORES[[#This Row],[FECHA DE PAGO]]-PROVEEDORES[[#This Row],[FECHA DE FACTURACIÓN]])&gt;PROVEEDORES[[#This Row],[PLAZO Días]],"PAGO VENCIDO")</f>
        <v>#N/A</v>
      </c>
      <c r="C1437" s="138" t="e">
        <f>+VLOOKUP(PROVEEDORES[[#This Row],[PROVEEDOR]],TERCEROS_INFO[#All],2,FALSE)</f>
        <v>#N/A</v>
      </c>
      <c r="D1437" s="139">
        <f>+SUMIFS(PROVEEDORES[Total],PROVEEDORES[PROVEEDOR],PROVEEDORES[[#This Row],[PROVEEDOR]],PROVEEDORES[FECHA DE PAGO],"")</f>
        <v>560900</v>
      </c>
      <c r="E1437" s="140"/>
      <c r="F1437" s="138" t="e">
        <f>+VLOOKUP(PROVEEDORES[[#This Row],[PROVEEDOR]],
                       Terceros!$A:$F,
                       5,
                       FALSE)</f>
        <v>#N/A</v>
      </c>
      <c r="G1437" s="127">
        <v>45391</v>
      </c>
      <c r="H1437" s="123" t="s">
        <v>1887</v>
      </c>
      <c r="I1437" s="127">
        <v>45371</v>
      </c>
      <c r="J1437" s="124" t="s">
        <v>1676</v>
      </c>
      <c r="K1437" s="124" t="s">
        <v>1530</v>
      </c>
      <c r="L1437" s="124" t="s">
        <v>1395</v>
      </c>
      <c r="M1437" s="125">
        <v>178500</v>
      </c>
      <c r="N1437" s="148">
        <v>33915</v>
      </c>
      <c r="O1437" s="148">
        <v>0</v>
      </c>
      <c r="P1437" s="149">
        <v>0</v>
      </c>
      <c r="Q1437" s="148">
        <v>0</v>
      </c>
      <c r="R1437" s="150">
        <v>212415</v>
      </c>
      <c r="S14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7" s="135">
        <f ca="1">+IF(PROVEEDORES[[#This Row],[FECHA DE PAGO]]=0,TODAY()-PROVEEDORES[[#This Row],[FECHA DE FACTURACIÓN]]-PROVEEDORES[[#This Row],[PLAZO Días]],0)</f>
        <v>0</v>
      </c>
      <c r="U1437" s="135" t="e">
        <f>+VLOOKUP(PROVEEDORES[[#This Row],[PROVEEDOR]],Terceros!$A:$D,4,FALSE)</f>
        <v>#N/A</v>
      </c>
      <c r="V1437" s="135">
        <f>+YEAR(PROVEEDORES[[#This Row],[FECHA DE FACTURACIÓN]])</f>
        <v>2024</v>
      </c>
      <c r="W1437" s="135">
        <f>+MATCH(PROVEEDORES[[#This Row],[año facturado]],Retenciones!$1:$1,0)</f>
        <v>7</v>
      </c>
      <c r="X1437" s="136" t="e">
        <f>+VLOOKUP(PROVEEDORES[[#This Row],[ID RETENCION]],Retenciones!$A$1:$O$25,PROVEEDORES[[#This Row],[indicador de columna]],FALSE)</f>
        <v>#N/A</v>
      </c>
      <c r="Y1437" s="137" t="e">
        <f>+VLOOKUP(PROVEEDORES[[#This Row],[ID RETENCION]],Retenciones!$A$1:$O$25,2,FALSE)</f>
        <v>#N/A</v>
      </c>
      <c r="Z1437" s="126" t="b">
        <f>+OR(COUNTIF(PROVEEDORES[[#This Row],[PROVEEDOR]],"*"&amp;'Palabra que no opera y Listas d'!$A$2&amp;"*"))</f>
        <v>0</v>
      </c>
    </row>
    <row r="1438" spans="1:26" ht="27.75" customHeight="1" x14ac:dyDescent="0.25">
      <c r="A1438" s="141" t="str">
        <f>+IF(PROVEEDORES[[#This Row],[FECHA DE PAGO]]=PROVEEDORES[[#This Row],[FECHA DE FACTURACIÓN]],"DE CONTADO","CRÉDITO")</f>
        <v>CRÉDITO</v>
      </c>
      <c r="B1438" s="138" t="b">
        <f>+IF((PROVEEDORES[[#This Row],[FECHA DE PAGO]]-PROVEEDORES[[#This Row],[FECHA DE FACTURACIÓN]])&gt;PROVEEDORES[[#This Row],[PLAZO Días]],"PAGO VENCIDO")</f>
        <v>0</v>
      </c>
      <c r="C1438" s="138">
        <f>+VLOOKUP(PROVEEDORES[[#This Row],[PROVEEDOR]],TERCEROS_INFO[#All],2,FALSE)</f>
        <v>10</v>
      </c>
      <c r="D1438" s="139">
        <f>+SUMIFS(PROVEEDORES[Total],PROVEEDORES[PROVEEDOR],PROVEEDORES[[#This Row],[PROVEEDOR]],PROVEEDORES[FECHA DE PAGO],"")</f>
        <v>-3510</v>
      </c>
      <c r="E1438" s="140"/>
      <c r="F1438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438" s="127">
        <v>45391</v>
      </c>
      <c r="H1438" s="123" t="s">
        <v>1452</v>
      </c>
      <c r="I1438" s="127">
        <v>45383</v>
      </c>
      <c r="J1438" s="124" t="s">
        <v>1698</v>
      </c>
      <c r="K1438" s="124" t="s">
        <v>1530</v>
      </c>
      <c r="L1438" s="124" t="s">
        <v>1535</v>
      </c>
      <c r="M1438" s="125">
        <v>4435417</v>
      </c>
      <c r="N1438" s="148">
        <v>752248</v>
      </c>
      <c r="O1438" s="148">
        <v>0</v>
      </c>
      <c r="P1438" s="149">
        <v>3.5000000000000003E-2</v>
      </c>
      <c r="Q1438" s="148">
        <v>138572</v>
      </c>
      <c r="R1438" s="150">
        <v>5049093</v>
      </c>
      <c r="S14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8" s="135">
        <f ca="1">+IF(PROVEEDORES[[#This Row],[FECHA DE PAGO]]=0,TODAY()-PROVEEDORES[[#This Row],[FECHA DE FACTURACIÓN]]-PROVEEDORES[[#This Row],[PLAZO Días]],0)</f>
        <v>0</v>
      </c>
      <c r="U1438" s="135" t="str">
        <f>+VLOOKUP(PROVEEDORES[[#This Row],[PROVEEDOR]],Terceros!$A:$D,4,FALSE)</f>
        <v>3,5% sin base</v>
      </c>
      <c r="V1438" s="135">
        <f>+YEAR(PROVEEDORES[[#This Row],[FECHA DE FACTURACIÓN]])</f>
        <v>2024</v>
      </c>
      <c r="W1438" s="135">
        <f>+MATCH(PROVEEDORES[[#This Row],[año facturado]],Retenciones!$1:$1,0)</f>
        <v>7</v>
      </c>
      <c r="X1438" s="136">
        <f>+VLOOKUP(PROVEEDORES[[#This Row],[ID RETENCION]],Retenciones!$A$1:$O$25,PROVEEDORES[[#This Row],[indicador de columna]],FALSE)</f>
        <v>0</v>
      </c>
      <c r="Y1438" s="137">
        <f>+VLOOKUP(PROVEEDORES[[#This Row],[ID RETENCION]],Retenciones!$A$1:$O$25,2,FALSE)</f>
        <v>3.5000000000000003E-2</v>
      </c>
      <c r="Z1438" s="126" t="b">
        <f>+OR(COUNTIF(PROVEEDORES[[#This Row],[PROVEEDOR]],"*"&amp;'Palabra que no opera y Listas d'!$A$2&amp;"*"))</f>
        <v>1</v>
      </c>
    </row>
    <row r="1439" spans="1:26" ht="27.75" customHeight="1" x14ac:dyDescent="0.25">
      <c r="A1439" s="141" t="str">
        <f>+IF(PROVEEDORES[[#This Row],[FECHA DE PAGO]]=PROVEEDORES[[#This Row],[FECHA DE FACTURACIÓN]],"DE CONTADO","CRÉDITO")</f>
        <v>CRÉDITO</v>
      </c>
      <c r="B1439" s="138" t="str">
        <f>+IF((PROVEEDORES[[#This Row],[FECHA DE PAGO]]-PROVEEDORES[[#This Row],[FECHA DE FACTURACIÓN]])&gt;PROVEEDORES[[#This Row],[PLAZO Días]],"PAGO VENCIDO")</f>
        <v>PAGO VENCIDO</v>
      </c>
      <c r="C1439" s="138">
        <f>+VLOOKUP(PROVEEDORES[[#This Row],[PROVEEDOR]],TERCEROS_INFO[#All],2,FALSE)</f>
        <v>30</v>
      </c>
      <c r="D1439" s="139">
        <f>+SUMIFS(PROVEEDORES[Total],PROVEEDORES[PROVEEDOR],PROVEEDORES[[#This Row],[PROVEEDOR]],PROVEEDORES[FECHA DE PAGO],"")</f>
        <v>5427539.2800000003</v>
      </c>
      <c r="E1439" s="140"/>
      <c r="F1439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439" s="127">
        <v>45392</v>
      </c>
      <c r="H1439" s="123" t="s">
        <v>11</v>
      </c>
      <c r="I1439" s="127">
        <v>45320</v>
      </c>
      <c r="J1439" s="124" t="s">
        <v>1498</v>
      </c>
      <c r="K1439" s="124" t="s">
        <v>1530</v>
      </c>
      <c r="L1439" s="124" t="s">
        <v>1534</v>
      </c>
      <c r="M1439" s="125">
        <v>2329416</v>
      </c>
      <c r="N1439" s="148">
        <v>442589.04</v>
      </c>
      <c r="O1439" s="148">
        <v>0</v>
      </c>
      <c r="P1439" s="149">
        <v>2.5000000000000001E-2</v>
      </c>
      <c r="Q1439" s="148">
        <v>58235.4</v>
      </c>
      <c r="R1439" s="150">
        <v>2713769.64</v>
      </c>
      <c r="S14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39" s="135">
        <f ca="1">+IF(PROVEEDORES[[#This Row],[FECHA DE PAGO]]=0,TODAY()-PROVEEDORES[[#This Row],[FECHA DE FACTURACIÓN]]-PROVEEDORES[[#This Row],[PLAZO Días]],0)</f>
        <v>0</v>
      </c>
      <c r="U1439" s="135" t="str">
        <f>+VLOOKUP(PROVEEDORES[[#This Row],[PROVEEDOR]],Terceros!$A:$D,4,FALSE)</f>
        <v>2,5% con base</v>
      </c>
      <c r="V1439" s="135">
        <f>+YEAR(PROVEEDORES[[#This Row],[FECHA DE FACTURACIÓN]])</f>
        <v>2024</v>
      </c>
      <c r="W1439" s="135">
        <f>+MATCH(PROVEEDORES[[#This Row],[año facturado]],Retenciones!$1:$1,0)</f>
        <v>7</v>
      </c>
      <c r="X1439" s="136">
        <f>+VLOOKUP(PROVEEDORES[[#This Row],[ID RETENCION]],Retenciones!$A$1:$O$25,PROVEEDORES[[#This Row],[indicador de columna]],FALSE)</f>
        <v>1271000</v>
      </c>
      <c r="Y1439" s="137">
        <f>+VLOOKUP(PROVEEDORES[[#This Row],[ID RETENCION]],Retenciones!$A$1:$O$25,2,FALSE)</f>
        <v>2.5000000000000001E-2</v>
      </c>
      <c r="Z1439" s="126" t="b">
        <f>+OR(COUNTIF(PROVEEDORES[[#This Row],[PROVEEDOR]],"*"&amp;'Palabra que no opera y Listas d'!$A$2&amp;"*"))</f>
        <v>0</v>
      </c>
    </row>
    <row r="1440" spans="1:26" ht="27.75" customHeight="1" x14ac:dyDescent="0.25">
      <c r="A1440" s="141" t="str">
        <f>+IF(PROVEEDORES[[#This Row],[FECHA DE PAGO]]=PROVEEDORES[[#This Row],[FECHA DE FACTURACIÓN]],"DE CONTADO","CRÉDITO")</f>
        <v>CRÉDITO</v>
      </c>
      <c r="B1440" s="138" t="str">
        <f>+IF((PROVEEDORES[[#This Row],[FECHA DE PAGO]]-PROVEEDORES[[#This Row],[FECHA DE FACTURACIÓN]])&gt;PROVEEDORES[[#This Row],[PLAZO Días]],"PAGO VENCIDO")</f>
        <v>PAGO VENCIDO</v>
      </c>
      <c r="C1440" s="138">
        <f>+VLOOKUP(PROVEEDORES[[#This Row],[PROVEEDOR]],TERCEROS_INFO[#All],2,FALSE)</f>
        <v>30</v>
      </c>
      <c r="D1440" s="139">
        <f>+SUMIFS(PROVEEDORES[Total],PROVEEDORES[PROVEEDOR],PROVEEDORES[[#This Row],[PROVEEDOR]],PROVEEDORES[FECHA DE PAGO],"")</f>
        <v>0</v>
      </c>
      <c r="E1440" s="140"/>
      <c r="F1440" s="138" t="str">
        <f>+VLOOKUP(PROVEEDORES[[#This Row],[PROVEEDOR]],
                       Terceros!$A:$F,
                       5,
                       FALSE)</f>
        <v>ventas@ismartsas.com;girlesa.ruiz@servipilas.com;joriescobar64@gmail.com</v>
      </c>
      <c r="G1440" s="127">
        <v>45392</v>
      </c>
      <c r="H1440" s="123" t="s">
        <v>43</v>
      </c>
      <c r="I1440" s="127">
        <v>45330</v>
      </c>
      <c r="J1440" s="124" t="s">
        <v>1555</v>
      </c>
      <c r="K1440" s="124" t="s">
        <v>1530</v>
      </c>
      <c r="L1440" s="124" t="s">
        <v>1534</v>
      </c>
      <c r="M1440" s="125">
        <v>2049000</v>
      </c>
      <c r="N1440" s="148">
        <v>389310</v>
      </c>
      <c r="O1440" s="148">
        <v>0</v>
      </c>
      <c r="P1440" s="149">
        <v>2.5000000000000001E-2</v>
      </c>
      <c r="Q1440" s="148">
        <v>51225</v>
      </c>
      <c r="R1440" s="150">
        <v>2387085</v>
      </c>
      <c r="S144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0" s="135">
        <f ca="1">+IF(PROVEEDORES[[#This Row],[FECHA DE PAGO]]=0,TODAY()-PROVEEDORES[[#This Row],[FECHA DE FACTURACIÓN]]-PROVEEDORES[[#This Row],[PLAZO Días]],0)</f>
        <v>0</v>
      </c>
      <c r="U1440" s="135" t="str">
        <f>+VLOOKUP(PROVEEDORES[[#This Row],[PROVEEDOR]],Terceros!$A:$D,4,FALSE)</f>
        <v>2,5% con base</v>
      </c>
      <c r="V1440" s="135">
        <f>+YEAR(PROVEEDORES[[#This Row],[FECHA DE FACTURACIÓN]])</f>
        <v>2024</v>
      </c>
      <c r="W1440" s="135">
        <f>+MATCH(PROVEEDORES[[#This Row],[año facturado]],Retenciones!$1:$1,0)</f>
        <v>7</v>
      </c>
      <c r="X1440" s="136">
        <f>+VLOOKUP(PROVEEDORES[[#This Row],[ID RETENCION]],Retenciones!$A$1:$O$25,PROVEEDORES[[#This Row],[indicador de columna]],FALSE)</f>
        <v>1271000</v>
      </c>
      <c r="Y1440" s="137">
        <f>+VLOOKUP(PROVEEDORES[[#This Row],[ID RETENCION]],Retenciones!$A$1:$O$25,2,FALSE)</f>
        <v>2.5000000000000001E-2</v>
      </c>
      <c r="Z1440" s="126" t="b">
        <f>+OR(COUNTIF(PROVEEDORES[[#This Row],[PROVEEDOR]],"*"&amp;'Palabra que no opera y Listas d'!$A$2&amp;"*"))</f>
        <v>0</v>
      </c>
    </row>
    <row r="1441" spans="1:26" ht="27.75" customHeight="1" x14ac:dyDescent="0.25">
      <c r="A1441" s="141" t="str">
        <f>+IF(PROVEEDORES[[#This Row],[FECHA DE PAGO]]=PROVEEDORES[[#This Row],[FECHA DE FACTURACIÓN]],"DE CONTADO","CRÉDITO")</f>
        <v>CRÉDITO</v>
      </c>
      <c r="B1441" s="138" t="str">
        <f>+IF((PROVEEDORES[[#This Row],[FECHA DE PAGO]]-PROVEEDORES[[#This Row],[FECHA DE FACTURACIÓN]])&gt;PROVEEDORES[[#This Row],[PLAZO Días]],"PAGO VENCIDO")</f>
        <v>PAGO VENCIDO</v>
      </c>
      <c r="C1441" s="138">
        <f>+VLOOKUP(PROVEEDORES[[#This Row],[PROVEEDOR]],TERCEROS_INFO[#All],2,FALSE)</f>
        <v>30</v>
      </c>
      <c r="D1441" s="139">
        <f>+SUMIFS(PROVEEDORES[Total],PROVEEDORES[PROVEEDOR],PROVEEDORES[[#This Row],[PROVEEDOR]],PROVEEDORES[FECHA DE PAGO],"")</f>
        <v>5427539.2800000003</v>
      </c>
      <c r="E1441" s="140"/>
      <c r="F1441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441" s="127">
        <v>45392</v>
      </c>
      <c r="H1441" s="123" t="s">
        <v>11</v>
      </c>
      <c r="I1441" s="127">
        <v>45342</v>
      </c>
      <c r="J1441" s="124" t="s">
        <v>1596</v>
      </c>
      <c r="K1441" s="124" t="s">
        <v>1530</v>
      </c>
      <c r="L1441" s="124" t="s">
        <v>1534</v>
      </c>
      <c r="M1441" s="125">
        <v>3105888</v>
      </c>
      <c r="N1441" s="148">
        <v>590118.72</v>
      </c>
      <c r="O1441" s="148">
        <v>0</v>
      </c>
      <c r="P1441" s="149">
        <v>2.5000000000000001E-2</v>
      </c>
      <c r="Q1441" s="148">
        <v>77647.199999999997</v>
      </c>
      <c r="R1441" s="150">
        <v>3618359.5199999996</v>
      </c>
      <c r="S14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1" s="135">
        <f ca="1">+IF(PROVEEDORES[[#This Row],[FECHA DE PAGO]]=0,TODAY()-PROVEEDORES[[#This Row],[FECHA DE FACTURACIÓN]]-PROVEEDORES[[#This Row],[PLAZO Días]],0)</f>
        <v>0</v>
      </c>
      <c r="U1441" s="135" t="str">
        <f>+VLOOKUP(PROVEEDORES[[#This Row],[PROVEEDOR]],Terceros!$A:$D,4,FALSE)</f>
        <v>2,5% con base</v>
      </c>
      <c r="V1441" s="135">
        <f>+YEAR(PROVEEDORES[[#This Row],[FECHA DE FACTURACIÓN]])</f>
        <v>2024</v>
      </c>
      <c r="W1441" s="135">
        <f>+MATCH(PROVEEDORES[[#This Row],[año facturado]],Retenciones!$1:$1,0)</f>
        <v>7</v>
      </c>
      <c r="X1441" s="136">
        <f>+VLOOKUP(PROVEEDORES[[#This Row],[ID RETENCION]],Retenciones!$A$1:$O$25,PROVEEDORES[[#This Row],[indicador de columna]],FALSE)</f>
        <v>1271000</v>
      </c>
      <c r="Y1441" s="137">
        <f>+VLOOKUP(PROVEEDORES[[#This Row],[ID RETENCION]],Retenciones!$A$1:$O$25,2,FALSE)</f>
        <v>2.5000000000000001E-2</v>
      </c>
      <c r="Z1441" s="126" t="b">
        <f>+OR(COUNTIF(PROVEEDORES[[#This Row],[PROVEEDOR]],"*"&amp;'Palabra que no opera y Listas d'!$A$2&amp;"*"))</f>
        <v>0</v>
      </c>
    </row>
    <row r="1442" spans="1:26" ht="27.75" customHeight="1" x14ac:dyDescent="0.25">
      <c r="A1442" s="141" t="str">
        <f>+IF(PROVEEDORES[[#This Row],[FECHA DE PAGO]]=PROVEEDORES[[#This Row],[FECHA DE FACTURACIÓN]],"DE CONTADO","CRÉDITO")</f>
        <v>CRÉDITO</v>
      </c>
      <c r="B1442" s="138" t="str">
        <f>+IF((PROVEEDORES[[#This Row],[FECHA DE PAGO]]-PROVEEDORES[[#This Row],[FECHA DE FACTURACIÓN]])&gt;PROVEEDORES[[#This Row],[PLAZO Días]],"PAGO VENCIDO")</f>
        <v>PAGO VENCIDO</v>
      </c>
      <c r="C1442" s="138">
        <f>+VLOOKUP(PROVEEDORES[[#This Row],[PROVEEDOR]],TERCEROS_INFO[#All],2,FALSE)</f>
        <v>30</v>
      </c>
      <c r="D1442" s="139">
        <f>+SUMIFS(PROVEEDORES[Total],PROVEEDORES[PROVEEDOR],PROVEEDORES[[#This Row],[PROVEEDOR]],PROVEEDORES[FECHA DE PAGO],"")</f>
        <v>0</v>
      </c>
      <c r="E1442" s="140"/>
      <c r="F1442" s="138" t="str">
        <f>+VLOOKUP(PROVEEDORES[[#This Row],[PROVEEDOR]],
                       Terceros!$A:$F,
                       5,
                       FALSE)</f>
        <v>Pygimportadora@gmail.com;girlesa.ruiz@servipilas.com;joriescobar64@gmail.com</v>
      </c>
      <c r="G1442" s="127">
        <v>45392</v>
      </c>
      <c r="H1442" s="123" t="s">
        <v>1592</v>
      </c>
      <c r="I1442" s="127">
        <v>45344</v>
      </c>
      <c r="J1442" s="124" t="s">
        <v>1593</v>
      </c>
      <c r="K1442" s="124" t="s">
        <v>1530</v>
      </c>
      <c r="L1442" s="124" t="s">
        <v>1533</v>
      </c>
      <c r="M1442" s="125">
        <v>3246000</v>
      </c>
      <c r="N1442" s="148">
        <v>616740</v>
      </c>
      <c r="O1442" s="148">
        <v>0</v>
      </c>
      <c r="P1442" s="149">
        <v>2.5000000000000001E-2</v>
      </c>
      <c r="Q1442" s="148">
        <v>81150</v>
      </c>
      <c r="R1442" s="150">
        <v>3781590</v>
      </c>
      <c r="S14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2" s="135">
        <f ca="1">+IF(PROVEEDORES[[#This Row],[FECHA DE PAGO]]=0,TODAY()-PROVEEDORES[[#This Row],[FECHA DE FACTURACIÓN]]-PROVEEDORES[[#This Row],[PLAZO Días]],0)</f>
        <v>0</v>
      </c>
      <c r="U1442" s="135" t="str">
        <f>+VLOOKUP(PROVEEDORES[[#This Row],[PROVEEDOR]],Terceros!$A:$D,4,FALSE)</f>
        <v>2,5% con base</v>
      </c>
      <c r="V1442" s="135">
        <f>+YEAR(PROVEEDORES[[#This Row],[FECHA DE FACTURACIÓN]])</f>
        <v>2024</v>
      </c>
      <c r="W1442" s="135">
        <f>+MATCH(PROVEEDORES[[#This Row],[año facturado]],Retenciones!$1:$1,0)</f>
        <v>7</v>
      </c>
      <c r="X1442" s="136">
        <f>+VLOOKUP(PROVEEDORES[[#This Row],[ID RETENCION]],Retenciones!$A$1:$O$25,PROVEEDORES[[#This Row],[indicador de columna]],FALSE)</f>
        <v>1271000</v>
      </c>
      <c r="Y1442" s="137">
        <f>+VLOOKUP(PROVEEDORES[[#This Row],[ID RETENCION]],Retenciones!$A$1:$O$25,2,FALSE)</f>
        <v>2.5000000000000001E-2</v>
      </c>
      <c r="Z1442" s="126" t="b">
        <f>+OR(COUNTIF(PROVEEDORES[[#This Row],[PROVEEDOR]],"*"&amp;'Palabra que no opera y Listas d'!$A$2&amp;"*"))</f>
        <v>0</v>
      </c>
    </row>
    <row r="1443" spans="1:26" ht="27.75" customHeight="1" x14ac:dyDescent="0.25">
      <c r="A1443" s="141" t="str">
        <f>+IF(PROVEEDORES[[#This Row],[FECHA DE PAGO]]=PROVEEDORES[[#This Row],[FECHA DE FACTURACIÓN]],"DE CONTADO","CRÉDITO")</f>
        <v>CRÉDITO</v>
      </c>
      <c r="B1443" s="138" t="b">
        <f>+IF((PROVEEDORES[[#This Row],[FECHA DE PAGO]]-PROVEEDORES[[#This Row],[FECHA DE FACTURACIÓN]])&gt;PROVEEDORES[[#This Row],[PLAZO Días]],"PAGO VENCIDO")</f>
        <v>0</v>
      </c>
      <c r="C1443" s="138">
        <f>+VLOOKUP(PROVEEDORES[[#This Row],[PROVEEDOR]],TERCEROS_INFO[#All],2,FALSE)</f>
        <v>30</v>
      </c>
      <c r="D1443" s="139">
        <f>+SUMIFS(PROVEEDORES[Total],PROVEEDORES[PROVEEDOR],PROVEEDORES[[#This Row],[PROVEEDOR]],PROVEEDORES[FECHA DE PAGO],"")</f>
        <v>0</v>
      </c>
      <c r="E1443" s="140"/>
      <c r="F1443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43" s="127">
        <v>45392</v>
      </c>
      <c r="H1443" s="123" t="s">
        <v>368</v>
      </c>
      <c r="I1443" s="127">
        <v>45383</v>
      </c>
      <c r="J1443" s="124" t="s">
        <v>1705</v>
      </c>
      <c r="K1443" s="124" t="s">
        <v>1530</v>
      </c>
      <c r="L1443" s="124" t="s">
        <v>1535</v>
      </c>
      <c r="M1443" s="125">
        <v>970836</v>
      </c>
      <c r="N1443" s="148">
        <v>184458.84</v>
      </c>
      <c r="O1443" s="148">
        <v>0</v>
      </c>
      <c r="P1443" s="149">
        <v>0</v>
      </c>
      <c r="Q1443" s="148">
        <v>38833</v>
      </c>
      <c r="R1443" s="150">
        <v>1116461.8400000001</v>
      </c>
      <c r="S144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3" s="135">
        <f ca="1">+IF(PROVEEDORES[[#This Row],[FECHA DE PAGO]]=0,TODAY()-PROVEEDORES[[#This Row],[FECHA DE FACTURACIÓN]]-PROVEEDORES[[#This Row],[PLAZO Días]],0)</f>
        <v>0</v>
      </c>
      <c r="U1443" s="135">
        <f>+VLOOKUP(PROVEEDORES[[#This Row],[PROVEEDOR]],Terceros!$A:$D,4,FALSE)</f>
        <v>0</v>
      </c>
      <c r="V1443" s="135">
        <f>+YEAR(PROVEEDORES[[#This Row],[FECHA DE FACTURACIÓN]])</f>
        <v>2024</v>
      </c>
      <c r="W1443" s="135">
        <f>+MATCH(PROVEEDORES[[#This Row],[año facturado]],Retenciones!$1:$1,0)</f>
        <v>7</v>
      </c>
      <c r="X1443" s="136">
        <f>+VLOOKUP(PROVEEDORES[[#This Row],[ID RETENCION]],Retenciones!$A$1:$O$25,PROVEEDORES[[#This Row],[indicador de columna]],FALSE)</f>
        <v>0</v>
      </c>
      <c r="Y1443" s="137">
        <f>+VLOOKUP(PROVEEDORES[[#This Row],[ID RETENCION]],Retenciones!$A$1:$O$25,2,FALSE)</f>
        <v>0</v>
      </c>
      <c r="Z1443" s="126" t="b">
        <f>+OR(COUNTIF(PROVEEDORES[[#This Row],[PROVEEDOR]],"*"&amp;'Palabra que no opera y Listas d'!$A$2&amp;"*"))</f>
        <v>1</v>
      </c>
    </row>
    <row r="1444" spans="1:26" ht="27.75" customHeight="1" x14ac:dyDescent="0.25">
      <c r="A1444" s="141" t="str">
        <f>+IF(PROVEEDORES[[#This Row],[FECHA DE PAGO]]=PROVEEDORES[[#This Row],[FECHA DE FACTURACIÓN]],"DE CONTADO","CRÉDITO")</f>
        <v>CRÉDITO</v>
      </c>
      <c r="B1444" s="138" t="b">
        <f>+IF((PROVEEDORES[[#This Row],[FECHA DE PAGO]]-PROVEEDORES[[#This Row],[FECHA DE FACTURACIÓN]])&gt;PROVEEDORES[[#This Row],[PLAZO Días]],"PAGO VENCIDO")</f>
        <v>0</v>
      </c>
      <c r="C1444" s="138">
        <f>+VLOOKUP(PROVEEDORES[[#This Row],[PROVEEDOR]],TERCEROS_INFO[#All],2,FALSE)</f>
        <v>30</v>
      </c>
      <c r="D1444" s="139">
        <f>+SUMIFS(PROVEEDORES[Total],PROVEEDORES[PROVEEDOR],PROVEEDORES[[#This Row],[PROVEEDOR]],PROVEEDORES[FECHA DE PAGO],"")</f>
        <v>0</v>
      </c>
      <c r="E1444" s="140"/>
      <c r="F1444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444" s="127">
        <v>45392</v>
      </c>
      <c r="H1444" s="123" t="s">
        <v>368</v>
      </c>
      <c r="I1444" s="127">
        <v>45383</v>
      </c>
      <c r="J1444" s="124" t="s">
        <v>1706</v>
      </c>
      <c r="K1444" s="124" t="s">
        <v>1530</v>
      </c>
      <c r="L1444" s="124" t="s">
        <v>1535</v>
      </c>
      <c r="M1444" s="125">
        <v>4220343</v>
      </c>
      <c r="N1444" s="148">
        <v>801865.17</v>
      </c>
      <c r="O1444" s="148">
        <v>0</v>
      </c>
      <c r="P1444" s="149">
        <v>0</v>
      </c>
      <c r="Q1444" s="148">
        <v>0</v>
      </c>
      <c r="R1444" s="150">
        <v>5022208.17</v>
      </c>
      <c r="S14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4" s="135">
        <f ca="1">+IF(PROVEEDORES[[#This Row],[FECHA DE PAGO]]=0,TODAY()-PROVEEDORES[[#This Row],[FECHA DE FACTURACIÓN]]-PROVEEDORES[[#This Row],[PLAZO Días]],0)</f>
        <v>0</v>
      </c>
      <c r="U1444" s="135">
        <f>+VLOOKUP(PROVEEDORES[[#This Row],[PROVEEDOR]],Terceros!$A:$D,4,FALSE)</f>
        <v>0</v>
      </c>
      <c r="V1444" s="135">
        <f>+YEAR(PROVEEDORES[[#This Row],[FECHA DE FACTURACIÓN]])</f>
        <v>2024</v>
      </c>
      <c r="W1444" s="135">
        <f>+MATCH(PROVEEDORES[[#This Row],[año facturado]],Retenciones!$1:$1,0)</f>
        <v>7</v>
      </c>
      <c r="X1444" s="136">
        <f>+VLOOKUP(PROVEEDORES[[#This Row],[ID RETENCION]],Retenciones!$A$1:$O$25,PROVEEDORES[[#This Row],[indicador de columna]],FALSE)</f>
        <v>0</v>
      </c>
      <c r="Y1444" s="137">
        <f>+VLOOKUP(PROVEEDORES[[#This Row],[ID RETENCION]],Retenciones!$A$1:$O$25,2,FALSE)</f>
        <v>0</v>
      </c>
      <c r="Z1444" s="126" t="b">
        <f>+OR(COUNTIF(PROVEEDORES[[#This Row],[PROVEEDOR]],"*"&amp;'Palabra que no opera y Listas d'!$A$2&amp;"*"))</f>
        <v>1</v>
      </c>
    </row>
    <row r="1445" spans="1:26" ht="27.75" customHeight="1" x14ac:dyDescent="0.25">
      <c r="A1445" s="141" t="str">
        <f>+IF(PROVEEDORES[[#This Row],[FECHA DE PAGO]]=PROVEEDORES[[#This Row],[FECHA DE FACTURACIÓN]],"DE CONTADO","CRÉDITO")</f>
        <v>CRÉDITO</v>
      </c>
      <c r="B1445" s="138" t="b">
        <f>+IF((PROVEEDORES[[#This Row],[FECHA DE PAGO]]-PROVEEDORES[[#This Row],[FECHA DE FACTURACIÓN]])&gt;PROVEEDORES[[#This Row],[PLAZO Días]],"PAGO VENCIDO")</f>
        <v>0</v>
      </c>
      <c r="C1445" s="138">
        <f>+VLOOKUP(PROVEEDORES[[#This Row],[PROVEEDOR]],TERCEROS_INFO[#All],2,FALSE)</f>
        <v>30</v>
      </c>
      <c r="D1445" s="139">
        <f>+SUMIFS(PROVEEDORES[Total],PROVEEDORES[PROVEEDOR],PROVEEDORES[[#This Row],[PROVEEDOR]],PROVEEDORES[FECHA DE PAGO],"")</f>
        <v>0</v>
      </c>
      <c r="E1445" s="140"/>
      <c r="F1445" s="138" t="str">
        <f>+VLOOKUP(PROVEEDORES[[#This Row],[PROVEEDOR]],
                       Terceros!$A:$F,
                       5,
                       FALSE)</f>
        <v>facturacion@losmolinos.com.co</v>
      </c>
      <c r="G1445" s="127">
        <v>45392</v>
      </c>
      <c r="H1445" s="123" t="s">
        <v>376</v>
      </c>
      <c r="I1445" s="127">
        <v>45383</v>
      </c>
      <c r="J1445" s="124" t="s">
        <v>1703</v>
      </c>
      <c r="K1445" s="124" t="s">
        <v>1530</v>
      </c>
      <c r="L1445" s="124" t="s">
        <v>1534</v>
      </c>
      <c r="M1445" s="125">
        <v>358115</v>
      </c>
      <c r="N1445" s="148">
        <v>0</v>
      </c>
      <c r="O1445" s="148">
        <v>66304</v>
      </c>
      <c r="P1445" s="149">
        <v>0</v>
      </c>
      <c r="Q1445" s="148">
        <v>0</v>
      </c>
      <c r="R1445" s="150">
        <v>291811</v>
      </c>
      <c r="S144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5" s="135">
        <f ca="1">+IF(PROVEEDORES[[#This Row],[FECHA DE PAGO]]=0,TODAY()-PROVEEDORES[[#This Row],[FECHA DE FACTURACIÓN]]-PROVEEDORES[[#This Row],[PLAZO Días]],0)</f>
        <v>0</v>
      </c>
      <c r="U1445" s="135">
        <f>+VLOOKUP(PROVEEDORES[[#This Row],[PROVEEDOR]],Terceros!$A:$D,4,FALSE)</f>
        <v>0</v>
      </c>
      <c r="V1445" s="135">
        <f>+YEAR(PROVEEDORES[[#This Row],[FECHA DE FACTURACIÓN]])</f>
        <v>2024</v>
      </c>
      <c r="W1445" s="135">
        <f>+MATCH(PROVEEDORES[[#This Row],[año facturado]],Retenciones!$1:$1,0)</f>
        <v>7</v>
      </c>
      <c r="X1445" s="136">
        <f>+VLOOKUP(PROVEEDORES[[#This Row],[ID RETENCION]],Retenciones!$A$1:$O$25,PROVEEDORES[[#This Row],[indicador de columna]],FALSE)</f>
        <v>0</v>
      </c>
      <c r="Y1445" s="137">
        <f>+VLOOKUP(PROVEEDORES[[#This Row],[ID RETENCION]],Retenciones!$A$1:$O$25,2,FALSE)</f>
        <v>0</v>
      </c>
      <c r="Z1445" s="126" t="b">
        <f>+OR(COUNTIF(PROVEEDORES[[#This Row],[PROVEEDOR]],"*"&amp;'Palabra que no opera y Listas d'!$A$2&amp;"*"))</f>
        <v>1</v>
      </c>
    </row>
    <row r="1446" spans="1:26" ht="27.75" customHeight="1" x14ac:dyDescent="0.25">
      <c r="A1446" s="141" t="str">
        <f>+IF(PROVEEDORES[[#This Row],[FECHA DE PAGO]]=PROVEEDORES[[#This Row],[FECHA DE FACTURACIÓN]],"DE CONTADO","CRÉDITO")</f>
        <v>CRÉDITO</v>
      </c>
      <c r="B1446" s="138" t="b">
        <f>+IF((PROVEEDORES[[#This Row],[FECHA DE PAGO]]-PROVEEDORES[[#This Row],[FECHA DE FACTURACIÓN]])&gt;PROVEEDORES[[#This Row],[PLAZO Días]],"PAGO VENCIDO")</f>
        <v>0</v>
      </c>
      <c r="C1446" s="138">
        <f>+VLOOKUP(PROVEEDORES[[#This Row],[PROVEEDOR]],TERCEROS_INFO[#All],2,FALSE)</f>
        <v>30</v>
      </c>
      <c r="D1446" s="139">
        <f>+SUMIFS(PROVEEDORES[Total],PROVEEDORES[PROVEEDOR],PROVEEDORES[[#This Row],[PROVEEDOR]],PROVEEDORES[FECHA DE PAGO],"")</f>
        <v>0</v>
      </c>
      <c r="E1446" s="140"/>
      <c r="F1446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446" s="127">
        <v>45392</v>
      </c>
      <c r="H1446" s="123" t="s">
        <v>382</v>
      </c>
      <c r="I1446" s="127">
        <v>45383</v>
      </c>
      <c r="J1446" s="124" t="s">
        <v>1702</v>
      </c>
      <c r="K1446" s="124" t="s">
        <v>1530</v>
      </c>
      <c r="L1446" s="124" t="s">
        <v>1533</v>
      </c>
      <c r="M1446" s="125">
        <v>1007984</v>
      </c>
      <c r="N1446" s="148">
        <v>0</v>
      </c>
      <c r="O1446" s="148">
        <v>0</v>
      </c>
      <c r="P1446" s="149">
        <v>0</v>
      </c>
      <c r="Q1446" s="148">
        <v>0</v>
      </c>
      <c r="R1446" s="150">
        <v>1007984</v>
      </c>
      <c r="S144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6" s="135">
        <f ca="1">+IF(PROVEEDORES[[#This Row],[FECHA DE PAGO]]=0,TODAY()-PROVEEDORES[[#This Row],[FECHA DE FACTURACIÓN]]-PROVEEDORES[[#This Row],[PLAZO Días]],0)</f>
        <v>0</v>
      </c>
      <c r="U1446" s="135">
        <f>+VLOOKUP(PROVEEDORES[[#This Row],[PROVEEDOR]],Terceros!$A:$D,4,FALSE)</f>
        <v>0</v>
      </c>
      <c r="V1446" s="135">
        <f>+YEAR(PROVEEDORES[[#This Row],[FECHA DE FACTURACIÓN]])</f>
        <v>2024</v>
      </c>
      <c r="W1446" s="135">
        <f>+MATCH(PROVEEDORES[[#This Row],[año facturado]],Retenciones!$1:$1,0)</f>
        <v>7</v>
      </c>
      <c r="X1446" s="136">
        <f>+VLOOKUP(PROVEEDORES[[#This Row],[ID RETENCION]],Retenciones!$A$1:$O$25,PROVEEDORES[[#This Row],[indicador de columna]],FALSE)</f>
        <v>0</v>
      </c>
      <c r="Y1446" s="137">
        <f>+VLOOKUP(PROVEEDORES[[#This Row],[ID RETENCION]],Retenciones!$A$1:$O$25,2,FALSE)</f>
        <v>0</v>
      </c>
      <c r="Z1446" s="126" t="b">
        <f>+OR(COUNTIF(PROVEEDORES[[#This Row],[PROVEEDOR]],"*"&amp;'Palabra que no opera y Listas d'!$A$2&amp;"*"))</f>
        <v>1</v>
      </c>
    </row>
    <row r="1447" spans="1:26" ht="27.75" customHeight="1" x14ac:dyDescent="0.25">
      <c r="A1447" s="141" t="str">
        <f>+IF(PROVEEDORES[[#This Row],[FECHA DE PAGO]]=PROVEEDORES[[#This Row],[FECHA DE FACTURACIÓN]],"DE CONTADO","CRÉDITO")</f>
        <v>CRÉDITO</v>
      </c>
      <c r="B1447" s="138" t="b">
        <f>+IF((PROVEEDORES[[#This Row],[FECHA DE PAGO]]-PROVEEDORES[[#This Row],[FECHA DE FACTURACIÓN]])&gt;PROVEEDORES[[#This Row],[PLAZO Días]],"PAGO VENCIDO")</f>
        <v>0</v>
      </c>
      <c r="C1447" s="138">
        <f>+VLOOKUP(PROVEEDORES[[#This Row],[PROVEEDOR]],TERCEROS_INFO[#All],2,FALSE)</f>
        <v>30</v>
      </c>
      <c r="D1447" s="139">
        <f>+SUMIFS(PROVEEDORES[Total],PROVEEDORES[PROVEEDOR],PROVEEDORES[[#This Row],[PROVEEDOR]],PROVEEDORES[FECHA DE PAGO],"")</f>
        <v>0</v>
      </c>
      <c r="E1447" s="140"/>
      <c r="F1447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447" s="127">
        <v>45392</v>
      </c>
      <c r="H1447" s="123" t="s">
        <v>394</v>
      </c>
      <c r="I1447" s="127">
        <v>45383</v>
      </c>
      <c r="J1447" s="124" t="s">
        <v>1708</v>
      </c>
      <c r="K1447" s="124" t="s">
        <v>1530</v>
      </c>
      <c r="L1447" s="124" t="s">
        <v>1533</v>
      </c>
      <c r="M1447" s="125">
        <v>266218</v>
      </c>
      <c r="N1447" s="148">
        <v>50581.42</v>
      </c>
      <c r="O1447" s="148">
        <v>0</v>
      </c>
      <c r="P1447" s="149">
        <v>3.5000000000000003E-2</v>
      </c>
      <c r="Q1447" s="148">
        <v>9317.630000000001</v>
      </c>
      <c r="R1447" s="150">
        <v>307481.78999999998</v>
      </c>
      <c r="S144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7" s="135">
        <f ca="1">+IF(PROVEEDORES[[#This Row],[FECHA DE PAGO]]=0,TODAY()-PROVEEDORES[[#This Row],[FECHA DE FACTURACIÓN]]-PROVEEDORES[[#This Row],[PLAZO Días]],0)</f>
        <v>0</v>
      </c>
      <c r="U1447" s="135" t="str">
        <f>+VLOOKUP(PROVEEDORES[[#This Row],[PROVEEDOR]],Terceros!$A:$D,4,FALSE)</f>
        <v>3,5% sin base</v>
      </c>
      <c r="V1447" s="135">
        <f>+YEAR(PROVEEDORES[[#This Row],[FECHA DE FACTURACIÓN]])</f>
        <v>2024</v>
      </c>
      <c r="W1447" s="135">
        <f>+MATCH(PROVEEDORES[[#This Row],[año facturado]],Retenciones!$1:$1,0)</f>
        <v>7</v>
      </c>
      <c r="X1447" s="136">
        <f>+VLOOKUP(PROVEEDORES[[#This Row],[ID RETENCION]],Retenciones!$A$1:$O$25,PROVEEDORES[[#This Row],[indicador de columna]],FALSE)</f>
        <v>0</v>
      </c>
      <c r="Y1447" s="137">
        <f>+VLOOKUP(PROVEEDORES[[#This Row],[ID RETENCION]],Retenciones!$A$1:$O$25,2,FALSE)</f>
        <v>3.5000000000000003E-2</v>
      </c>
      <c r="Z1447" s="126" t="b">
        <f>+OR(COUNTIF(PROVEEDORES[[#This Row],[PROVEEDOR]],"*"&amp;'Palabra que no opera y Listas d'!$A$2&amp;"*"))</f>
        <v>1</v>
      </c>
    </row>
    <row r="1448" spans="1:26" ht="27.75" customHeight="1" x14ac:dyDescent="0.25">
      <c r="A1448" s="141" t="str">
        <f>+IF(PROVEEDORES[[#This Row],[FECHA DE PAGO]]=PROVEEDORES[[#This Row],[FECHA DE FACTURACIÓN]],"DE CONTADO","CRÉDITO")</f>
        <v>CRÉDITO</v>
      </c>
      <c r="B1448" s="138" t="b">
        <f>+IF((PROVEEDORES[[#This Row],[FECHA DE PAGO]]-PROVEEDORES[[#This Row],[FECHA DE FACTURACIÓN]])&gt;PROVEEDORES[[#This Row],[PLAZO Días]],"PAGO VENCIDO")</f>
        <v>0</v>
      </c>
      <c r="C1448" s="138">
        <f>+VLOOKUP(PROVEEDORES[[#This Row],[PROVEEDOR]],TERCEROS_INFO[#All],2,FALSE)</f>
        <v>10</v>
      </c>
      <c r="D1448" s="139">
        <f>+SUMIFS(PROVEEDORES[Total],PROVEEDORES[PROVEEDOR],PROVEEDORES[[#This Row],[PROVEEDOR]],PROVEEDORES[FECHA DE PAGO],"")</f>
        <v>0</v>
      </c>
      <c r="E1448" s="140"/>
      <c r="F1448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448" s="127">
        <v>45392</v>
      </c>
      <c r="H1448" s="123" t="s">
        <v>482</v>
      </c>
      <c r="I1448" s="127">
        <v>45383</v>
      </c>
      <c r="J1448" s="124" t="s">
        <v>1704</v>
      </c>
      <c r="K1448" s="124" t="s">
        <v>1530</v>
      </c>
      <c r="L1448" s="124" t="s">
        <v>1534</v>
      </c>
      <c r="M1448" s="125">
        <v>5350576</v>
      </c>
      <c r="N1448" s="148">
        <v>1016609.4400000001</v>
      </c>
      <c r="O1448" s="148">
        <v>0</v>
      </c>
      <c r="P1448" s="149">
        <v>0</v>
      </c>
      <c r="Q1448" s="148">
        <v>0</v>
      </c>
      <c r="R1448" s="150">
        <v>6367185.4400000004</v>
      </c>
      <c r="S14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8" s="135">
        <f ca="1">+IF(PROVEEDORES[[#This Row],[FECHA DE PAGO]]=0,TODAY()-PROVEEDORES[[#This Row],[FECHA DE FACTURACIÓN]]-PROVEEDORES[[#This Row],[PLAZO Días]],0)</f>
        <v>0</v>
      </c>
      <c r="U1448" s="135">
        <f>+VLOOKUP(PROVEEDORES[[#This Row],[PROVEEDOR]],Terceros!$A:$D,4,FALSE)</f>
        <v>0</v>
      </c>
      <c r="V1448" s="135">
        <f>+YEAR(PROVEEDORES[[#This Row],[FECHA DE FACTURACIÓN]])</f>
        <v>2024</v>
      </c>
      <c r="W1448" s="135">
        <f>+MATCH(PROVEEDORES[[#This Row],[año facturado]],Retenciones!$1:$1,0)</f>
        <v>7</v>
      </c>
      <c r="X1448" s="136">
        <f>+VLOOKUP(PROVEEDORES[[#This Row],[ID RETENCION]],Retenciones!$A$1:$O$25,PROVEEDORES[[#This Row],[indicador de columna]],FALSE)</f>
        <v>0</v>
      </c>
      <c r="Y1448" s="137">
        <f>+VLOOKUP(PROVEEDORES[[#This Row],[ID RETENCION]],Retenciones!$A$1:$O$25,2,FALSE)</f>
        <v>0</v>
      </c>
      <c r="Z1448" s="126" t="b">
        <f>+OR(COUNTIF(PROVEEDORES[[#This Row],[PROVEEDOR]],"*"&amp;'Palabra que no opera y Listas d'!$A$2&amp;"*"))</f>
        <v>1</v>
      </c>
    </row>
    <row r="1449" spans="1:26" ht="27.75" customHeight="1" x14ac:dyDescent="0.25">
      <c r="A1449" s="141" t="str">
        <f>+IF(PROVEEDORES[[#This Row],[FECHA DE PAGO]]=PROVEEDORES[[#This Row],[FECHA DE FACTURACIÓN]],"DE CONTADO","CRÉDITO")</f>
        <v>CRÉDITO</v>
      </c>
      <c r="B1449" s="138" t="b">
        <f>+IF((PROVEEDORES[[#This Row],[FECHA DE PAGO]]-PROVEEDORES[[#This Row],[FECHA DE FACTURACIÓN]])&gt;PROVEEDORES[[#This Row],[PLAZO Días]],"PAGO VENCIDO")</f>
        <v>0</v>
      </c>
      <c r="C1449" s="138">
        <f>+VLOOKUP(PROVEEDORES[[#This Row],[PROVEEDOR]],TERCEROS_INFO[#All],2,FALSE)</f>
        <v>30</v>
      </c>
      <c r="D1449" s="139">
        <f>+SUMIFS(PROVEEDORES[Total],PROVEEDORES[PROVEEDOR],PROVEEDORES[[#This Row],[PROVEEDOR]],PROVEEDORES[FECHA DE PAGO],"")</f>
        <v>0</v>
      </c>
      <c r="E1449" s="140"/>
      <c r="F1449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1449" s="127">
        <v>45392</v>
      </c>
      <c r="H1449" s="123" t="s">
        <v>373</v>
      </c>
      <c r="I1449" s="127">
        <v>45390</v>
      </c>
      <c r="J1449" s="124" t="s">
        <v>1707</v>
      </c>
      <c r="K1449" s="124" t="s">
        <v>1530</v>
      </c>
      <c r="L1449" s="124" t="s">
        <v>1533</v>
      </c>
      <c r="M1449" s="125">
        <v>2020761</v>
      </c>
      <c r="N1449" s="148">
        <v>0</v>
      </c>
      <c r="O1449" s="148">
        <v>418942</v>
      </c>
      <c r="P1449" s="149">
        <v>0</v>
      </c>
      <c r="Q1449" s="148">
        <v>0</v>
      </c>
      <c r="R1449" s="150">
        <v>1601819</v>
      </c>
      <c r="S14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49" s="135">
        <f ca="1">+IF(PROVEEDORES[[#This Row],[FECHA DE PAGO]]=0,TODAY()-PROVEEDORES[[#This Row],[FECHA DE FACTURACIÓN]]-PROVEEDORES[[#This Row],[PLAZO Días]],0)</f>
        <v>0</v>
      </c>
      <c r="U1449" s="135">
        <f>+VLOOKUP(PROVEEDORES[[#This Row],[PROVEEDOR]],Terceros!$A:$D,4,FALSE)</f>
        <v>0</v>
      </c>
      <c r="V1449" s="135">
        <f>+YEAR(PROVEEDORES[[#This Row],[FECHA DE FACTURACIÓN]])</f>
        <v>2024</v>
      </c>
      <c r="W1449" s="135">
        <f>+MATCH(PROVEEDORES[[#This Row],[año facturado]],Retenciones!$1:$1,0)</f>
        <v>7</v>
      </c>
      <c r="X1449" s="136">
        <f>+VLOOKUP(PROVEEDORES[[#This Row],[ID RETENCION]],Retenciones!$A$1:$O$25,PROVEEDORES[[#This Row],[indicador de columna]],FALSE)</f>
        <v>0</v>
      </c>
      <c r="Y1449" s="137">
        <f>+VLOOKUP(PROVEEDORES[[#This Row],[ID RETENCION]],Retenciones!$A$1:$O$25,2,FALSE)</f>
        <v>0</v>
      </c>
      <c r="Z1449" s="126" t="b">
        <f>+OR(COUNTIF(PROVEEDORES[[#This Row],[PROVEEDOR]],"*"&amp;'Palabra que no opera y Listas d'!$A$2&amp;"*"))</f>
        <v>1</v>
      </c>
    </row>
    <row r="1450" spans="1:26" ht="27.75" customHeight="1" x14ac:dyDescent="0.25">
      <c r="A1450" s="141" t="str">
        <f>+IF(PROVEEDORES[[#This Row],[FECHA DE PAGO]]=PROVEEDORES[[#This Row],[FECHA DE FACTURACIÓN]],"DE CONTADO","CRÉDITO")</f>
        <v>DE CONTADO</v>
      </c>
      <c r="B1450" s="138" t="b">
        <f>+IF((PROVEEDORES[[#This Row],[FECHA DE PAGO]]-PROVEEDORES[[#This Row],[FECHA DE FACTURACIÓN]])&gt;PROVEEDORES[[#This Row],[PLAZO Días]],"PAGO VENCIDO")</f>
        <v>0</v>
      </c>
      <c r="C1450" s="138">
        <f>+VLOOKUP(PROVEEDORES[[#This Row],[PROVEEDOR]],TERCEROS_INFO[#All],2,FALSE)</f>
        <v>30</v>
      </c>
      <c r="D1450" s="139">
        <f>+SUMIFS(PROVEEDORES[Total],PROVEEDORES[PROVEEDOR],PROVEEDORES[[#This Row],[PROVEEDOR]],PROVEEDORES[FECHA DE PAGO],"")</f>
        <v>0</v>
      </c>
      <c r="E1450" s="140"/>
      <c r="F1450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1450" s="127">
        <v>45392</v>
      </c>
      <c r="H1450" s="123" t="s">
        <v>1862</v>
      </c>
      <c r="I1450" s="127">
        <v>45392</v>
      </c>
      <c r="J1450" s="124" t="s">
        <v>1798</v>
      </c>
      <c r="K1450" s="124" t="s">
        <v>504</v>
      </c>
      <c r="L1450" s="124" t="s">
        <v>1534</v>
      </c>
      <c r="M1450" s="125">
        <v>4916780</v>
      </c>
      <c r="N1450" s="148">
        <v>0</v>
      </c>
      <c r="O1450" s="148">
        <v>0</v>
      </c>
      <c r="P1450" s="149">
        <v>0</v>
      </c>
      <c r="Q1450" s="148">
        <v>0</v>
      </c>
      <c r="R1450" s="150">
        <v>4916780</v>
      </c>
      <c r="S14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0" s="135">
        <f ca="1">+IF(PROVEEDORES[[#This Row],[FECHA DE PAGO]]=0,TODAY()-PROVEEDORES[[#This Row],[FECHA DE FACTURACIÓN]]-PROVEEDORES[[#This Row],[PLAZO Días]],0)</f>
        <v>0</v>
      </c>
      <c r="U1450" s="135">
        <f>+VLOOKUP(PROVEEDORES[[#This Row],[PROVEEDOR]],Terceros!$A:$D,4,FALSE)</f>
        <v>0</v>
      </c>
      <c r="V1450" s="135">
        <f>+YEAR(PROVEEDORES[[#This Row],[FECHA DE FACTURACIÓN]])</f>
        <v>2024</v>
      </c>
      <c r="W1450" s="135">
        <f>+MATCH(PROVEEDORES[[#This Row],[año facturado]],Retenciones!$1:$1,0)</f>
        <v>7</v>
      </c>
      <c r="X1450" s="136">
        <f>+VLOOKUP(PROVEEDORES[[#This Row],[ID RETENCION]],Retenciones!$A$1:$O$25,PROVEEDORES[[#This Row],[indicador de columna]],FALSE)</f>
        <v>0</v>
      </c>
      <c r="Y1450" s="137">
        <f>+VLOOKUP(PROVEEDORES[[#This Row],[ID RETENCION]],Retenciones!$A$1:$O$25,2,FALSE)</f>
        <v>0</v>
      </c>
      <c r="Z1450" s="126" t="b">
        <f>+OR(COUNTIF(PROVEEDORES[[#This Row],[PROVEEDOR]],"*"&amp;'Palabra que no opera y Listas d'!$A$2&amp;"*"))</f>
        <v>0</v>
      </c>
    </row>
    <row r="1451" spans="1:26" ht="27.75" customHeight="1" x14ac:dyDescent="0.25">
      <c r="A1451" s="141" t="str">
        <f>+IF(PROVEEDORES[[#This Row],[FECHA DE PAGO]]=PROVEEDORES[[#This Row],[FECHA DE FACTURACIÓN]],"DE CONTADO","CRÉDITO")</f>
        <v>CRÉDITO</v>
      </c>
      <c r="B1451" s="138" t="str">
        <f>+IF((PROVEEDORES[[#This Row],[FECHA DE PAGO]]-PROVEEDORES[[#This Row],[FECHA DE FACTURACIÓN]])&gt;PROVEEDORES[[#This Row],[PLAZO Días]],"PAGO VENCIDO")</f>
        <v>PAGO VENCIDO</v>
      </c>
      <c r="C1451" s="138">
        <f>+VLOOKUP(PROVEEDORES[[#This Row],[PROVEEDOR]],TERCEROS_INFO[#All],2,FALSE)</f>
        <v>30</v>
      </c>
      <c r="D1451" s="139">
        <f>+SUMIFS(PROVEEDORES[Total],PROVEEDORES[PROVEEDOR],PROVEEDORES[[#This Row],[PROVEEDOR]],PROVEEDORES[FECHA DE PAGO],"")</f>
        <v>0</v>
      </c>
      <c r="E1451" s="140"/>
      <c r="F1451" s="138">
        <f>+VLOOKUP(PROVEEDORES[[#This Row],[PROVEEDOR]],
                       Terceros!$A:$F,
                       5,
                       FALSE)</f>
        <v>0</v>
      </c>
      <c r="G1451" s="127">
        <v>45393</v>
      </c>
      <c r="H1451" s="123" t="s">
        <v>1809</v>
      </c>
      <c r="I1451" s="127">
        <v>45342</v>
      </c>
      <c r="J1451" s="124">
        <v>8115</v>
      </c>
      <c r="K1451" s="124" t="s">
        <v>1530</v>
      </c>
      <c r="L1451" s="124"/>
      <c r="M1451" s="125">
        <v>527000</v>
      </c>
      <c r="N1451" s="148">
        <v>0</v>
      </c>
      <c r="O1451" s="148">
        <v>0</v>
      </c>
      <c r="P1451" s="149">
        <v>0</v>
      </c>
      <c r="Q1451" s="148">
        <v>0</v>
      </c>
      <c r="R1451" s="150">
        <v>527000</v>
      </c>
      <c r="S14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1" s="135">
        <f ca="1">+IF(PROVEEDORES[[#This Row],[FECHA DE PAGO]]=0,TODAY()-PROVEEDORES[[#This Row],[FECHA DE FACTURACIÓN]]-PROVEEDORES[[#This Row],[PLAZO Días]],0)</f>
        <v>0</v>
      </c>
      <c r="U1451" s="135">
        <f>+VLOOKUP(PROVEEDORES[[#This Row],[PROVEEDOR]],Terceros!$A:$D,4,FALSE)</f>
        <v>0</v>
      </c>
      <c r="V1451" s="135">
        <f>+YEAR(PROVEEDORES[[#This Row],[FECHA DE FACTURACIÓN]])</f>
        <v>2024</v>
      </c>
      <c r="W1451" s="135">
        <f>+MATCH(PROVEEDORES[[#This Row],[año facturado]],Retenciones!$1:$1,0)</f>
        <v>7</v>
      </c>
      <c r="X1451" s="136">
        <f>+VLOOKUP(PROVEEDORES[[#This Row],[ID RETENCION]],Retenciones!$A$1:$O$25,PROVEEDORES[[#This Row],[indicador de columna]],FALSE)</f>
        <v>0</v>
      </c>
      <c r="Y1451" s="137">
        <f>+VLOOKUP(PROVEEDORES[[#This Row],[ID RETENCION]],Retenciones!$A$1:$O$25,2,FALSE)</f>
        <v>0</v>
      </c>
      <c r="Z1451" s="126" t="b">
        <f>+OR(COUNTIF(PROVEEDORES[[#This Row],[PROVEEDOR]],"*"&amp;'Palabra que no opera y Listas d'!$A$2&amp;"*"))</f>
        <v>0</v>
      </c>
    </row>
    <row r="1452" spans="1:26" ht="27.75" customHeight="1" x14ac:dyDescent="0.25">
      <c r="A1452" s="141" t="str">
        <f>+IF(PROVEEDORES[[#This Row],[FECHA DE PAGO]]=PROVEEDORES[[#This Row],[FECHA DE FACTURACIÓN]],"DE CONTADO","CRÉDITO")</f>
        <v>CRÉDITO</v>
      </c>
      <c r="B1452" s="138" t="b">
        <f>+IF((PROVEEDORES[[#This Row],[FECHA DE PAGO]]-PROVEEDORES[[#This Row],[FECHA DE FACTURACIÓN]])&gt;PROVEEDORES[[#This Row],[PLAZO Días]],"PAGO VENCIDO")</f>
        <v>0</v>
      </c>
      <c r="C1452" s="138">
        <f>+VLOOKUP(PROVEEDORES[[#This Row],[PROVEEDOR]],TERCEROS_INFO[#All],2,FALSE)</f>
        <v>30</v>
      </c>
      <c r="D1452" s="139">
        <f>+SUMIFS(PROVEEDORES[Total],PROVEEDORES[PROVEEDOR],PROVEEDORES[[#This Row],[PROVEEDOR]],PROVEEDORES[FECHA DE PAGO],"")</f>
        <v>0</v>
      </c>
      <c r="E1452" s="140"/>
      <c r="F1452" s="138">
        <f>+VLOOKUP(PROVEEDORES[[#This Row],[PROVEEDOR]],
                       Terceros!$A:$F,
                       5,
                       FALSE)</f>
        <v>0</v>
      </c>
      <c r="G1452" s="127">
        <v>45393</v>
      </c>
      <c r="H1452" s="123" t="s">
        <v>1809</v>
      </c>
      <c r="I1452" s="127">
        <v>45391</v>
      </c>
      <c r="J1452" s="124">
        <v>7621</v>
      </c>
      <c r="K1452" s="124" t="s">
        <v>1530</v>
      </c>
      <c r="L1452" s="124"/>
      <c r="M1452" s="125">
        <v>75000</v>
      </c>
      <c r="N1452" s="148">
        <v>0</v>
      </c>
      <c r="O1452" s="148">
        <v>0</v>
      </c>
      <c r="P1452" s="149">
        <v>0</v>
      </c>
      <c r="Q1452" s="148">
        <v>0</v>
      </c>
      <c r="R1452" s="150">
        <v>75000</v>
      </c>
      <c r="S14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2" s="135">
        <f ca="1">+IF(PROVEEDORES[[#This Row],[FECHA DE PAGO]]=0,TODAY()-PROVEEDORES[[#This Row],[FECHA DE FACTURACIÓN]]-PROVEEDORES[[#This Row],[PLAZO Días]],0)</f>
        <v>0</v>
      </c>
      <c r="U1452" s="135">
        <f>+VLOOKUP(PROVEEDORES[[#This Row],[PROVEEDOR]],Terceros!$A:$D,4,FALSE)</f>
        <v>0</v>
      </c>
      <c r="V1452" s="135">
        <f>+YEAR(PROVEEDORES[[#This Row],[FECHA DE FACTURACIÓN]])</f>
        <v>2024</v>
      </c>
      <c r="W1452" s="135">
        <f>+MATCH(PROVEEDORES[[#This Row],[año facturado]],Retenciones!$1:$1,0)</f>
        <v>7</v>
      </c>
      <c r="X1452" s="136">
        <f>+VLOOKUP(PROVEEDORES[[#This Row],[ID RETENCION]],Retenciones!$A$1:$O$25,PROVEEDORES[[#This Row],[indicador de columna]],FALSE)</f>
        <v>0</v>
      </c>
      <c r="Y1452" s="137">
        <f>+VLOOKUP(PROVEEDORES[[#This Row],[ID RETENCION]],Retenciones!$A$1:$O$25,2,FALSE)</f>
        <v>0</v>
      </c>
      <c r="Z1452" s="126" t="b">
        <f>+OR(COUNTIF(PROVEEDORES[[#This Row],[PROVEEDOR]],"*"&amp;'Palabra que no opera y Listas d'!$A$2&amp;"*"))</f>
        <v>0</v>
      </c>
    </row>
    <row r="1453" spans="1:26" ht="27.75" customHeight="1" x14ac:dyDescent="0.25">
      <c r="A1453" s="141" t="str">
        <f>+IF(PROVEEDORES[[#This Row],[FECHA DE PAGO]]=PROVEEDORES[[#This Row],[FECHA DE FACTURACIÓN]],"DE CONTADO","CRÉDITO")</f>
        <v>DE CONTADO</v>
      </c>
      <c r="B1453" s="138" t="b">
        <f>+IF((PROVEEDORES[[#This Row],[FECHA DE PAGO]]-PROVEEDORES[[#This Row],[FECHA DE FACTURACIÓN]])&gt;PROVEEDORES[[#This Row],[PLAZO Días]],"PAGO VENCIDO")</f>
        <v>0</v>
      </c>
      <c r="C1453" s="138">
        <f>+VLOOKUP(PROVEEDORES[[#This Row],[PROVEEDOR]],TERCEROS_INFO[#All],2,FALSE)</f>
        <v>0</v>
      </c>
      <c r="D1453" s="139">
        <f>+SUMIFS(PROVEEDORES[Total],PROVEEDORES[PROVEEDOR],PROVEEDORES[[#This Row],[PROVEEDOR]],PROVEEDORES[FECHA DE PAGO],"")</f>
        <v>0</v>
      </c>
      <c r="E1453" s="140"/>
      <c r="F1453" s="138">
        <f>+VLOOKUP(PROVEEDORES[[#This Row],[PROVEEDOR]],
                       Terceros!$A:$F,
                       5,
                       FALSE)</f>
        <v>0</v>
      </c>
      <c r="G1453" s="127">
        <v>45393</v>
      </c>
      <c r="H1453" s="123" t="s">
        <v>1831</v>
      </c>
      <c r="I1453" s="127">
        <v>45393</v>
      </c>
      <c r="J1453" s="124" t="s">
        <v>1754</v>
      </c>
      <c r="K1453" s="124" t="s">
        <v>1530</v>
      </c>
      <c r="L1453" s="124"/>
      <c r="M1453" s="125">
        <v>168000</v>
      </c>
      <c r="N1453" s="148">
        <v>0</v>
      </c>
      <c r="O1453" s="148">
        <v>0</v>
      </c>
      <c r="P1453" s="149">
        <v>0</v>
      </c>
      <c r="Q1453" s="148">
        <v>0</v>
      </c>
      <c r="R1453" s="150">
        <v>168000</v>
      </c>
      <c r="S145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3" s="135">
        <f ca="1">+IF(PROVEEDORES[[#This Row],[FECHA DE PAGO]]=0,TODAY()-PROVEEDORES[[#This Row],[FECHA DE FACTURACIÓN]]-PROVEEDORES[[#This Row],[PLAZO Días]],0)</f>
        <v>0</v>
      </c>
      <c r="U1453" s="135">
        <f>+VLOOKUP(PROVEEDORES[[#This Row],[PROVEEDOR]],Terceros!$A:$D,4,FALSE)</f>
        <v>0</v>
      </c>
      <c r="V1453" s="135">
        <f>+YEAR(PROVEEDORES[[#This Row],[FECHA DE FACTURACIÓN]])</f>
        <v>2024</v>
      </c>
      <c r="W1453" s="135">
        <f>+MATCH(PROVEEDORES[[#This Row],[año facturado]],Retenciones!$1:$1,0)</f>
        <v>7</v>
      </c>
      <c r="X1453" s="136">
        <f>+VLOOKUP(PROVEEDORES[[#This Row],[ID RETENCION]],Retenciones!$A$1:$O$25,PROVEEDORES[[#This Row],[indicador de columna]],FALSE)</f>
        <v>0</v>
      </c>
      <c r="Y1453" s="137">
        <f>+VLOOKUP(PROVEEDORES[[#This Row],[ID RETENCION]],Retenciones!$A$1:$O$25,2,FALSE)</f>
        <v>0</v>
      </c>
      <c r="Z1453" s="126" t="b">
        <f>+OR(COUNTIF(PROVEEDORES[[#This Row],[PROVEEDOR]],"*"&amp;'Palabra que no opera y Listas d'!$A$2&amp;"*"))</f>
        <v>0</v>
      </c>
    </row>
    <row r="1454" spans="1:26" ht="27.75" customHeight="1" x14ac:dyDescent="0.25">
      <c r="A1454" s="141" t="str">
        <f>+IF(PROVEEDORES[[#This Row],[FECHA DE PAGO]]=PROVEEDORES[[#This Row],[FECHA DE FACTURACIÓN]],"DE CONTADO","CRÉDITO")</f>
        <v>DE CONTADO</v>
      </c>
      <c r="B1454" s="138" t="b">
        <f>+IF((PROVEEDORES[[#This Row],[FECHA DE PAGO]]-PROVEEDORES[[#This Row],[FECHA DE FACTURACIÓN]])&gt;PROVEEDORES[[#This Row],[PLAZO Días]],"PAGO VENCIDO")</f>
        <v>0</v>
      </c>
      <c r="C1454" s="138">
        <f>+VLOOKUP(PROVEEDORES[[#This Row],[PROVEEDOR]],TERCEROS_INFO[#All],2,FALSE)</f>
        <v>30</v>
      </c>
      <c r="D1454" s="139">
        <f>+SUMIFS(PROVEEDORES[Total],PROVEEDORES[PROVEEDOR],PROVEEDORES[[#This Row],[PROVEEDOR]],PROVEEDORES[FECHA DE PAGO],"")</f>
        <v>0</v>
      </c>
      <c r="E1454" s="140"/>
      <c r="F1454" s="138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454" s="127">
        <v>45393</v>
      </c>
      <c r="H1454" s="123" t="s">
        <v>1186</v>
      </c>
      <c r="I1454" s="127">
        <v>45393</v>
      </c>
      <c r="J1454" s="124" t="s">
        <v>1709</v>
      </c>
      <c r="K1454" s="124" t="s">
        <v>1530</v>
      </c>
      <c r="L1454" s="124" t="s">
        <v>1533</v>
      </c>
      <c r="M1454" s="125">
        <v>534453</v>
      </c>
      <c r="N1454" s="148">
        <v>101546.07</v>
      </c>
      <c r="O1454" s="148">
        <v>0</v>
      </c>
      <c r="P1454" s="149">
        <v>0</v>
      </c>
      <c r="Q1454" s="148">
        <v>0</v>
      </c>
      <c r="R1454" s="150">
        <v>635999.07000000007</v>
      </c>
      <c r="S145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4" s="135">
        <f ca="1">+IF(PROVEEDORES[[#This Row],[FECHA DE PAGO]]=0,TODAY()-PROVEEDORES[[#This Row],[FECHA DE FACTURACIÓN]]-PROVEEDORES[[#This Row],[PLAZO Días]],0)</f>
        <v>0</v>
      </c>
      <c r="U1454" s="135" t="str">
        <f>+VLOOKUP(PROVEEDORES[[#This Row],[PROVEEDOR]],Terceros!$A:$D,4,FALSE)</f>
        <v>2,5% con base</v>
      </c>
      <c r="V1454" s="135">
        <f>+YEAR(PROVEEDORES[[#This Row],[FECHA DE FACTURACIÓN]])</f>
        <v>2024</v>
      </c>
      <c r="W1454" s="135">
        <f>+MATCH(PROVEEDORES[[#This Row],[año facturado]],Retenciones!$1:$1,0)</f>
        <v>7</v>
      </c>
      <c r="X1454" s="136">
        <f>+VLOOKUP(PROVEEDORES[[#This Row],[ID RETENCION]],Retenciones!$A$1:$O$25,PROVEEDORES[[#This Row],[indicador de columna]],FALSE)</f>
        <v>1271000</v>
      </c>
      <c r="Y1454" s="137">
        <f>+VLOOKUP(PROVEEDORES[[#This Row],[ID RETENCION]],Retenciones!$A$1:$O$25,2,FALSE)</f>
        <v>2.5000000000000001E-2</v>
      </c>
      <c r="Z1454" s="126" t="b">
        <f>+OR(COUNTIF(PROVEEDORES[[#This Row],[PROVEEDOR]],"*"&amp;'Palabra que no opera y Listas d'!$A$2&amp;"*"))</f>
        <v>0</v>
      </c>
    </row>
    <row r="1455" spans="1:26" ht="27.75" customHeight="1" x14ac:dyDescent="0.25">
      <c r="A1455" s="141" t="str">
        <f>+IF(PROVEEDORES[[#This Row],[FECHA DE PAGO]]=PROVEEDORES[[#This Row],[FECHA DE FACTURACIÓN]],"DE CONTADO","CRÉDITO")</f>
        <v>CRÉDITO</v>
      </c>
      <c r="B1455" s="138" t="str">
        <f>+IF((PROVEEDORES[[#This Row],[FECHA DE PAGO]]-PROVEEDORES[[#This Row],[FECHA DE FACTURACIÓN]])&gt;PROVEEDORES[[#This Row],[PLAZO Días]],"PAGO VENCIDO")</f>
        <v>PAGO VENCIDO</v>
      </c>
      <c r="C1455" s="138">
        <f>+VLOOKUP(PROVEEDORES[[#This Row],[PROVEEDOR]],TERCEROS_INFO[#All],2,FALSE)</f>
        <v>30</v>
      </c>
      <c r="D1455" s="139">
        <f>+SUMIFS(PROVEEDORES[Total],PROVEEDORES[PROVEEDOR],PROVEEDORES[[#This Row],[PROVEEDOR]],PROVEEDORES[FECHA DE PAGO],"")</f>
        <v>0</v>
      </c>
      <c r="E1455" s="140"/>
      <c r="F1455" s="138" t="str">
        <f>+VLOOKUP(PROVEEDORES[[#This Row],[PROVEEDOR]],
                       Terceros!$A:$F,
                       5,
                       FALSE)</f>
        <v/>
      </c>
      <c r="G1455" s="127">
        <v>45394</v>
      </c>
      <c r="H1455" s="123" t="s">
        <v>1815</v>
      </c>
      <c r="I1455" s="127">
        <v>45342</v>
      </c>
      <c r="J1455" s="124" t="s">
        <v>1672</v>
      </c>
      <c r="K1455" s="124" t="s">
        <v>504</v>
      </c>
      <c r="L1455" s="124" t="s">
        <v>1395</v>
      </c>
      <c r="M1455" s="125">
        <v>1840000</v>
      </c>
      <c r="N1455" s="148">
        <v>0</v>
      </c>
      <c r="O1455" s="148">
        <v>0</v>
      </c>
      <c r="P1455" s="149">
        <v>0</v>
      </c>
      <c r="Q1455" s="148">
        <v>0</v>
      </c>
      <c r="R1455" s="150">
        <v>1840000</v>
      </c>
      <c r="S145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5" s="135">
        <f ca="1">+IF(PROVEEDORES[[#This Row],[FECHA DE PAGO]]=0,TODAY()-PROVEEDORES[[#This Row],[FECHA DE FACTURACIÓN]]-PROVEEDORES[[#This Row],[PLAZO Días]],0)</f>
        <v>0</v>
      </c>
      <c r="U1455" s="135">
        <f>+VLOOKUP(PROVEEDORES[[#This Row],[PROVEEDOR]],Terceros!$A:$D,4,FALSE)</f>
        <v>0</v>
      </c>
      <c r="V1455" s="135">
        <f>+YEAR(PROVEEDORES[[#This Row],[FECHA DE FACTURACIÓN]])</f>
        <v>2024</v>
      </c>
      <c r="W1455" s="135">
        <f>+MATCH(PROVEEDORES[[#This Row],[año facturado]],Retenciones!$1:$1,0)</f>
        <v>7</v>
      </c>
      <c r="X1455" s="136">
        <f>+VLOOKUP(PROVEEDORES[[#This Row],[ID RETENCION]],Retenciones!$A$1:$O$25,PROVEEDORES[[#This Row],[indicador de columna]],FALSE)</f>
        <v>0</v>
      </c>
      <c r="Y1455" s="137">
        <f>+VLOOKUP(PROVEEDORES[[#This Row],[ID RETENCION]],Retenciones!$A$1:$O$25,2,FALSE)</f>
        <v>0</v>
      </c>
      <c r="Z1455" s="126" t="b">
        <f>+OR(COUNTIF(PROVEEDORES[[#This Row],[PROVEEDOR]],"*"&amp;'Palabra que no opera y Listas d'!$A$2&amp;"*"))</f>
        <v>0</v>
      </c>
    </row>
    <row r="1456" spans="1:26" ht="27.75" customHeight="1" x14ac:dyDescent="0.25">
      <c r="A1456" s="141" t="str">
        <f>+IF(PROVEEDORES[[#This Row],[FECHA DE PAGO]]=PROVEEDORES[[#This Row],[FECHA DE FACTURACIÓN]],"DE CONTADO","CRÉDITO")</f>
        <v>CRÉDITO</v>
      </c>
      <c r="B1456" s="138" t="b">
        <f>+IF((PROVEEDORES[[#This Row],[FECHA DE PAGO]]-PROVEEDORES[[#This Row],[FECHA DE FACTURACIÓN]])&gt;PROVEEDORES[[#This Row],[PLAZO Días]],"PAGO VENCIDO")</f>
        <v>0</v>
      </c>
      <c r="C1456" s="138">
        <f>+VLOOKUP(PROVEEDORES[[#This Row],[PROVEEDOR]],TERCEROS_INFO[#All],2,FALSE)</f>
        <v>30</v>
      </c>
      <c r="D1456" s="139">
        <f>+SUMIFS(PROVEEDORES[Total],PROVEEDORES[PROVEEDOR],PROVEEDORES[[#This Row],[PROVEEDOR]],PROVEEDORES[FECHA DE PAGO],"")</f>
        <v>0</v>
      </c>
      <c r="E1456" s="140"/>
      <c r="F1456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1456" s="127">
        <v>45394</v>
      </c>
      <c r="H1456" s="123" t="s">
        <v>1730</v>
      </c>
      <c r="I1456" s="127">
        <v>45392</v>
      </c>
      <c r="J1456" s="124">
        <v>792</v>
      </c>
      <c r="K1456" s="124" t="s">
        <v>504</v>
      </c>
      <c r="L1456" s="124" t="s">
        <v>1534</v>
      </c>
      <c r="M1456" s="125">
        <v>12575441</v>
      </c>
      <c r="N1456" s="148">
        <v>281200</v>
      </c>
      <c r="O1456" s="148">
        <v>0</v>
      </c>
      <c r="P1456" s="149">
        <v>0</v>
      </c>
      <c r="Q1456" s="148">
        <v>61700</v>
      </c>
      <c r="R1456" s="150">
        <v>708664</v>
      </c>
      <c r="S145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6" s="135">
        <f ca="1">+IF(PROVEEDORES[[#This Row],[FECHA DE PAGO]]=0,TODAY()-PROVEEDORES[[#This Row],[FECHA DE FACTURACIÓN]]-PROVEEDORES[[#This Row],[PLAZO Días]],0)</f>
        <v>0</v>
      </c>
      <c r="U1456" s="135">
        <f>+VLOOKUP(PROVEEDORES[[#This Row],[PROVEEDOR]],Terceros!$A:$D,4,FALSE)</f>
        <v>0</v>
      </c>
      <c r="V1456" s="135">
        <f>+YEAR(PROVEEDORES[[#This Row],[FECHA DE FACTURACIÓN]])</f>
        <v>2024</v>
      </c>
      <c r="W1456" s="135">
        <f>+MATCH(PROVEEDORES[[#This Row],[año facturado]],Retenciones!$1:$1,0)</f>
        <v>7</v>
      </c>
      <c r="X1456" s="136">
        <f>+VLOOKUP(PROVEEDORES[[#This Row],[ID RETENCION]],Retenciones!$A$1:$O$25,PROVEEDORES[[#This Row],[indicador de columna]],FALSE)</f>
        <v>0</v>
      </c>
      <c r="Y1456" s="137">
        <f>+VLOOKUP(PROVEEDORES[[#This Row],[ID RETENCION]],Retenciones!$A$1:$O$25,2,FALSE)</f>
        <v>0</v>
      </c>
      <c r="Z1456" s="126" t="b">
        <f>+OR(COUNTIF(PROVEEDORES[[#This Row],[PROVEEDOR]],"*"&amp;'Palabra que no opera y Listas d'!$A$2&amp;"*"))</f>
        <v>0</v>
      </c>
    </row>
    <row r="1457" spans="1:26" ht="27.75" customHeight="1" x14ac:dyDescent="0.25">
      <c r="A1457" s="141" t="str">
        <f>+IF(PROVEEDORES[[#This Row],[FECHA DE PAGO]]=PROVEEDORES[[#This Row],[FECHA DE FACTURACIÓN]],"DE CONTADO","CRÉDITO")</f>
        <v>CRÉDITO</v>
      </c>
      <c r="B1457" s="138" t="b">
        <f>+IF((PROVEEDORES[[#This Row],[FECHA DE PAGO]]-PROVEEDORES[[#This Row],[FECHA DE FACTURACIÓN]])&gt;PROVEEDORES[[#This Row],[PLAZO Días]],"PAGO VENCIDO")</f>
        <v>0</v>
      </c>
      <c r="C1457" s="138">
        <f>+VLOOKUP(PROVEEDORES[[#This Row],[PROVEEDOR]],TERCEROS_INFO[#All],2,FALSE)</f>
        <v>30</v>
      </c>
      <c r="D1457" s="139">
        <f>+SUMIFS(PROVEEDORES[Total],PROVEEDORES[PROVEEDOR],PROVEEDORES[[#This Row],[PROVEEDOR]],PROVEEDORES[FECHA DE PAGO],"")</f>
        <v>0</v>
      </c>
      <c r="E1457" s="140"/>
      <c r="F1457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1457" s="127">
        <v>45394</v>
      </c>
      <c r="H1457" s="123" t="s">
        <v>1862</v>
      </c>
      <c r="I1457" s="127">
        <v>45393</v>
      </c>
      <c r="J1457" s="124" t="s">
        <v>1797</v>
      </c>
      <c r="K1457" s="124" t="s">
        <v>504</v>
      </c>
      <c r="L1457" s="124" t="s">
        <v>1534</v>
      </c>
      <c r="M1457" s="125">
        <v>5891372</v>
      </c>
      <c r="N1457" s="148">
        <v>252700</v>
      </c>
      <c r="O1457" s="148">
        <v>0</v>
      </c>
      <c r="P1457" s="149">
        <v>0</v>
      </c>
      <c r="Q1457" s="148">
        <v>55000</v>
      </c>
      <c r="R1457" s="150">
        <v>1172292</v>
      </c>
      <c r="S14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7" s="135">
        <f ca="1">+IF(PROVEEDORES[[#This Row],[FECHA DE PAGO]]=0,TODAY()-PROVEEDORES[[#This Row],[FECHA DE FACTURACIÓN]]-PROVEEDORES[[#This Row],[PLAZO Días]],0)</f>
        <v>0</v>
      </c>
      <c r="U1457" s="135">
        <f>+VLOOKUP(PROVEEDORES[[#This Row],[PROVEEDOR]],Terceros!$A:$D,4,FALSE)</f>
        <v>0</v>
      </c>
      <c r="V1457" s="135">
        <f>+YEAR(PROVEEDORES[[#This Row],[FECHA DE FACTURACIÓN]])</f>
        <v>2024</v>
      </c>
      <c r="W1457" s="135">
        <f>+MATCH(PROVEEDORES[[#This Row],[año facturado]],Retenciones!$1:$1,0)</f>
        <v>7</v>
      </c>
      <c r="X1457" s="136">
        <f>+VLOOKUP(PROVEEDORES[[#This Row],[ID RETENCION]],Retenciones!$A$1:$O$25,PROVEEDORES[[#This Row],[indicador de columna]],FALSE)</f>
        <v>0</v>
      </c>
      <c r="Y1457" s="137">
        <f>+VLOOKUP(PROVEEDORES[[#This Row],[ID RETENCION]],Retenciones!$A$1:$O$25,2,FALSE)</f>
        <v>0</v>
      </c>
      <c r="Z1457" s="126" t="b">
        <f>+OR(COUNTIF(PROVEEDORES[[#This Row],[PROVEEDOR]],"*"&amp;'Palabra que no opera y Listas d'!$A$2&amp;"*"))</f>
        <v>0</v>
      </c>
    </row>
    <row r="1458" spans="1:26" ht="27.75" customHeight="1" x14ac:dyDescent="0.25">
      <c r="A1458" s="141" t="str">
        <f>+IF(PROVEEDORES[[#This Row],[FECHA DE PAGO]]=PROVEEDORES[[#This Row],[FECHA DE FACTURACIÓN]],"DE CONTADO","CRÉDITO")</f>
        <v>CRÉDITO</v>
      </c>
      <c r="B1458" s="138" t="b">
        <f>+IF((PROVEEDORES[[#This Row],[FECHA DE PAGO]]-PROVEEDORES[[#This Row],[FECHA DE FACTURACIÓN]])&gt;PROVEEDORES[[#This Row],[PLAZO Días]],"PAGO VENCIDO")</f>
        <v>0</v>
      </c>
      <c r="C1458" s="138">
        <f>+VLOOKUP(PROVEEDORES[[#This Row],[PROVEEDOR]],TERCEROS_INFO[#All],2,FALSE)</f>
        <v>30</v>
      </c>
      <c r="D1458" s="139">
        <f>+SUMIFS(PROVEEDORES[Total],PROVEEDORES[PROVEEDOR],PROVEEDORES[[#This Row],[PROVEEDOR]],PROVEEDORES[FECHA DE PAGO],"")</f>
        <v>0</v>
      </c>
      <c r="E1458" s="140"/>
      <c r="F1458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1458" s="127">
        <v>45394</v>
      </c>
      <c r="H1458" s="123" t="s">
        <v>1863</v>
      </c>
      <c r="I1458" s="127">
        <v>45393</v>
      </c>
      <c r="J1458" s="124" t="s">
        <v>1793</v>
      </c>
      <c r="K1458" s="124" t="s">
        <v>1530</v>
      </c>
      <c r="L1458" s="124" t="s">
        <v>1534</v>
      </c>
      <c r="M1458" s="125">
        <v>6248875</v>
      </c>
      <c r="N1458" s="148">
        <v>271700</v>
      </c>
      <c r="O1458" s="148">
        <v>0</v>
      </c>
      <c r="P1458" s="149">
        <v>0</v>
      </c>
      <c r="Q1458" s="148">
        <v>59000</v>
      </c>
      <c r="R1458" s="150">
        <v>-26713</v>
      </c>
      <c r="S14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8" s="135">
        <f ca="1">+IF(PROVEEDORES[[#This Row],[FECHA DE PAGO]]=0,TODAY()-PROVEEDORES[[#This Row],[FECHA DE FACTURACIÓN]]-PROVEEDORES[[#This Row],[PLAZO Días]],0)</f>
        <v>0</v>
      </c>
      <c r="U1458" s="135">
        <f>+VLOOKUP(PROVEEDORES[[#This Row],[PROVEEDOR]],Terceros!$A:$D,4,FALSE)</f>
        <v>0</v>
      </c>
      <c r="V1458" s="135">
        <f>+YEAR(PROVEEDORES[[#This Row],[FECHA DE FACTURACIÓN]])</f>
        <v>2024</v>
      </c>
      <c r="W1458" s="135">
        <f>+MATCH(PROVEEDORES[[#This Row],[año facturado]],Retenciones!$1:$1,0)</f>
        <v>7</v>
      </c>
      <c r="X1458" s="136">
        <f>+VLOOKUP(PROVEEDORES[[#This Row],[ID RETENCION]],Retenciones!$A$1:$O$25,PROVEEDORES[[#This Row],[indicador de columna]],FALSE)</f>
        <v>0</v>
      </c>
      <c r="Y1458" s="137">
        <f>+VLOOKUP(PROVEEDORES[[#This Row],[ID RETENCION]],Retenciones!$A$1:$O$25,2,FALSE)</f>
        <v>0</v>
      </c>
      <c r="Z1458" s="126" t="b">
        <f>+OR(COUNTIF(PROVEEDORES[[#This Row],[PROVEEDOR]],"*"&amp;'Palabra que no opera y Listas d'!$A$2&amp;"*"))</f>
        <v>0</v>
      </c>
    </row>
    <row r="1459" spans="1:26" ht="27.75" customHeight="1" x14ac:dyDescent="0.25">
      <c r="A1459" s="141" t="str">
        <f>+IF(PROVEEDORES[[#This Row],[FECHA DE PAGO]]=PROVEEDORES[[#This Row],[FECHA DE FACTURACIÓN]],"DE CONTADO","CRÉDITO")</f>
        <v>CRÉDITO</v>
      </c>
      <c r="B1459" s="138" t="b">
        <f>+IF((PROVEEDORES[[#This Row],[FECHA DE PAGO]]-PROVEEDORES[[#This Row],[FECHA DE FACTURACIÓN]])&gt;PROVEEDORES[[#This Row],[PLAZO Días]],"PAGO VENCIDO")</f>
        <v>0</v>
      </c>
      <c r="C1459" s="138">
        <f>+VLOOKUP(PROVEEDORES[[#This Row],[PROVEEDOR]],TERCEROS_INFO[#All],2,FALSE)</f>
        <v>30</v>
      </c>
      <c r="D1459" s="139">
        <f>+SUMIFS(PROVEEDORES[Total],PROVEEDORES[PROVEEDOR],PROVEEDORES[[#This Row],[PROVEEDOR]],PROVEEDORES[FECHA DE PAGO],"")</f>
        <v>0</v>
      </c>
      <c r="E1459" s="140"/>
      <c r="F1459" s="138" t="str">
        <f>+VLOOKUP(PROVEEDORES[[#This Row],[PROVEEDOR]],
                       Terceros!$A:$F,
                       5,
                       FALSE)</f>
        <v/>
      </c>
      <c r="G1459" s="127">
        <v>45395</v>
      </c>
      <c r="H1459" s="123" t="s">
        <v>1803</v>
      </c>
      <c r="I1459" s="127">
        <v>45394</v>
      </c>
      <c r="J1459" s="124" t="s">
        <v>1787</v>
      </c>
      <c r="K1459" s="124" t="s">
        <v>1530</v>
      </c>
      <c r="L1459" s="124" t="s">
        <v>1541</v>
      </c>
      <c r="M1459" s="125">
        <v>1503120</v>
      </c>
      <c r="N1459" s="148">
        <v>0</v>
      </c>
      <c r="O1459" s="148">
        <v>0</v>
      </c>
      <c r="P1459" s="149">
        <v>0</v>
      </c>
      <c r="Q1459" s="148">
        <v>0</v>
      </c>
      <c r="R1459" s="150">
        <v>1503120</v>
      </c>
      <c r="S14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59" s="135">
        <f ca="1">+IF(PROVEEDORES[[#This Row],[FECHA DE PAGO]]=0,TODAY()-PROVEEDORES[[#This Row],[FECHA DE FACTURACIÓN]]-PROVEEDORES[[#This Row],[PLAZO Días]],0)</f>
        <v>0</v>
      </c>
      <c r="U1459" s="135">
        <f>+VLOOKUP(PROVEEDORES[[#This Row],[PROVEEDOR]],Terceros!$A:$D,4,FALSE)</f>
        <v>0</v>
      </c>
      <c r="V1459" s="135">
        <f>+YEAR(PROVEEDORES[[#This Row],[FECHA DE FACTURACIÓN]])</f>
        <v>2024</v>
      </c>
      <c r="W1459" s="135">
        <f>+MATCH(PROVEEDORES[[#This Row],[año facturado]],Retenciones!$1:$1,0)</f>
        <v>7</v>
      </c>
      <c r="X1459" s="136">
        <f>+VLOOKUP(PROVEEDORES[[#This Row],[ID RETENCION]],Retenciones!$A$1:$O$25,PROVEEDORES[[#This Row],[indicador de columna]],FALSE)</f>
        <v>0</v>
      </c>
      <c r="Y1459" s="137">
        <f>+VLOOKUP(PROVEEDORES[[#This Row],[ID RETENCION]],Retenciones!$A$1:$O$25,2,FALSE)</f>
        <v>0</v>
      </c>
      <c r="Z1459" s="126" t="b">
        <f>+OR(COUNTIF(PROVEEDORES[[#This Row],[PROVEEDOR]],"*"&amp;'Palabra que no opera y Listas d'!$A$2&amp;"*"))</f>
        <v>0</v>
      </c>
    </row>
    <row r="1460" spans="1:26" ht="27.75" customHeight="1" x14ac:dyDescent="0.25">
      <c r="A1460" s="141" t="str">
        <f>+IF(PROVEEDORES[[#This Row],[FECHA DE PAGO]]=PROVEEDORES[[#This Row],[FECHA DE FACTURACIÓN]],"DE CONTADO","CRÉDITO")</f>
        <v>CRÉDITO</v>
      </c>
      <c r="B1460" s="138" t="b">
        <f>+IF((PROVEEDORES[[#This Row],[FECHA DE PAGO]]-PROVEEDORES[[#This Row],[FECHA DE FACTURACIÓN]])&gt;PROVEEDORES[[#This Row],[PLAZO Días]],"PAGO VENCIDO")</f>
        <v>0</v>
      </c>
      <c r="C1460" s="138">
        <f>+VLOOKUP(PROVEEDORES[[#This Row],[PROVEEDOR]],TERCEROS_INFO[#All],2,FALSE)</f>
        <v>60</v>
      </c>
      <c r="D1460" s="139">
        <f>+SUMIFS(PROVEEDORES[Total],PROVEEDORES[PROVEEDOR],PROVEEDORES[[#This Row],[PROVEEDOR]],PROVEEDORES[FECHA DE PAGO],"")</f>
        <v>1730482</v>
      </c>
      <c r="E1460" s="140"/>
      <c r="F1460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60" s="127">
        <v>45397</v>
      </c>
      <c r="H1460" s="123" t="s">
        <v>222</v>
      </c>
      <c r="I1460" s="127">
        <v>45386</v>
      </c>
      <c r="J1460" s="124">
        <v>1985</v>
      </c>
      <c r="K1460" s="124" t="s">
        <v>504</v>
      </c>
      <c r="L1460" s="124" t="s">
        <v>1534</v>
      </c>
      <c r="M1460" s="125">
        <v>12609675</v>
      </c>
      <c r="N1460" s="148">
        <v>0</v>
      </c>
      <c r="O1460" s="148">
        <v>0</v>
      </c>
      <c r="P1460" s="149">
        <v>0</v>
      </c>
      <c r="Q1460" s="148">
        <v>0</v>
      </c>
      <c r="R1460" s="150">
        <v>12609675</v>
      </c>
      <c r="S14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0" s="135">
        <f ca="1">+IF(PROVEEDORES[[#This Row],[FECHA DE PAGO]]=0,TODAY()-PROVEEDORES[[#This Row],[FECHA DE FACTURACIÓN]]-PROVEEDORES[[#This Row],[PLAZO Días]],0)</f>
        <v>0</v>
      </c>
      <c r="U1460" s="135">
        <f>+VLOOKUP(PROVEEDORES[[#This Row],[PROVEEDOR]],Terceros!$A:$D,4,FALSE)</f>
        <v>0</v>
      </c>
      <c r="V1460" s="135">
        <f>+YEAR(PROVEEDORES[[#This Row],[FECHA DE FACTURACIÓN]])</f>
        <v>2024</v>
      </c>
      <c r="W1460" s="135">
        <f>+MATCH(PROVEEDORES[[#This Row],[año facturado]],Retenciones!$1:$1,0)</f>
        <v>7</v>
      </c>
      <c r="X1460" s="136">
        <f>+VLOOKUP(PROVEEDORES[[#This Row],[ID RETENCION]],Retenciones!$A$1:$O$25,PROVEEDORES[[#This Row],[indicador de columna]],FALSE)</f>
        <v>0</v>
      </c>
      <c r="Y1460" s="137">
        <f>+VLOOKUP(PROVEEDORES[[#This Row],[ID RETENCION]],Retenciones!$A$1:$O$25,2,FALSE)</f>
        <v>0</v>
      </c>
      <c r="Z1460" s="126" t="b">
        <f>+OR(COUNTIF(PROVEEDORES[[#This Row],[PROVEEDOR]],"*"&amp;'Palabra que no opera y Listas d'!$A$2&amp;"*"))</f>
        <v>0</v>
      </c>
    </row>
    <row r="1461" spans="1:26" ht="27.75" customHeight="1" x14ac:dyDescent="0.25">
      <c r="A1461" s="141" t="str">
        <f>+IF(PROVEEDORES[[#This Row],[FECHA DE PAGO]]=PROVEEDORES[[#This Row],[FECHA DE FACTURACIÓN]],"DE CONTADO","CRÉDITO")</f>
        <v>CRÉDITO</v>
      </c>
      <c r="B1461" s="138" t="b">
        <f>+IF((PROVEEDORES[[#This Row],[FECHA DE PAGO]]-PROVEEDORES[[#This Row],[FECHA DE FACTURACIÓN]])&gt;PROVEEDORES[[#This Row],[PLAZO Días]],"PAGO VENCIDO")</f>
        <v>0</v>
      </c>
      <c r="C1461" s="138">
        <f>+VLOOKUP(PROVEEDORES[[#This Row],[PROVEEDOR]],TERCEROS_INFO[#All],2,FALSE)</f>
        <v>60</v>
      </c>
      <c r="D1461" s="139">
        <f>+SUMIFS(PROVEEDORES[Total],PROVEEDORES[PROVEEDOR],PROVEEDORES[[#This Row],[PROVEEDOR]],PROVEEDORES[FECHA DE PAGO],"")</f>
        <v>1730482</v>
      </c>
      <c r="E1461" s="140"/>
      <c r="F1461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61" s="127">
        <v>45397</v>
      </c>
      <c r="H1461" s="123" t="s">
        <v>222</v>
      </c>
      <c r="I1461" s="127">
        <v>45387</v>
      </c>
      <c r="J1461" s="124">
        <v>1990</v>
      </c>
      <c r="K1461" s="124" t="s">
        <v>504</v>
      </c>
      <c r="L1461" s="124" t="s">
        <v>1534</v>
      </c>
      <c r="M1461" s="125">
        <v>733200</v>
      </c>
      <c r="N1461" s="148">
        <v>0</v>
      </c>
      <c r="O1461" s="148">
        <v>0</v>
      </c>
      <c r="P1461" s="149">
        <v>0</v>
      </c>
      <c r="Q1461" s="148">
        <v>0</v>
      </c>
      <c r="R1461" s="150">
        <v>733200</v>
      </c>
      <c r="S14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1" s="135">
        <f ca="1">+IF(PROVEEDORES[[#This Row],[FECHA DE PAGO]]=0,TODAY()-PROVEEDORES[[#This Row],[FECHA DE FACTURACIÓN]]-PROVEEDORES[[#This Row],[PLAZO Días]],0)</f>
        <v>0</v>
      </c>
      <c r="U1461" s="135">
        <f>+VLOOKUP(PROVEEDORES[[#This Row],[PROVEEDOR]],Terceros!$A:$D,4,FALSE)</f>
        <v>0</v>
      </c>
      <c r="V1461" s="135">
        <f>+YEAR(PROVEEDORES[[#This Row],[FECHA DE FACTURACIÓN]])</f>
        <v>2024</v>
      </c>
      <c r="W1461" s="135">
        <f>+MATCH(PROVEEDORES[[#This Row],[año facturado]],Retenciones!$1:$1,0)</f>
        <v>7</v>
      </c>
      <c r="X1461" s="136">
        <f>+VLOOKUP(PROVEEDORES[[#This Row],[ID RETENCION]],Retenciones!$A$1:$O$25,PROVEEDORES[[#This Row],[indicador de columna]],FALSE)</f>
        <v>0</v>
      </c>
      <c r="Y1461" s="137">
        <f>+VLOOKUP(PROVEEDORES[[#This Row],[ID RETENCION]],Retenciones!$A$1:$O$25,2,FALSE)</f>
        <v>0</v>
      </c>
      <c r="Z1461" s="126" t="b">
        <f>+OR(COUNTIF(PROVEEDORES[[#This Row],[PROVEEDOR]],"*"&amp;'Palabra que no opera y Listas d'!$A$2&amp;"*"))</f>
        <v>0</v>
      </c>
    </row>
    <row r="1462" spans="1:26" ht="27.75" customHeight="1" x14ac:dyDescent="0.25">
      <c r="A1462" s="141" t="str">
        <f>+IF(PROVEEDORES[[#This Row],[FECHA DE PAGO]]=PROVEEDORES[[#This Row],[FECHA DE FACTURACIÓN]],"DE CONTADO","CRÉDITO")</f>
        <v>CRÉDITO</v>
      </c>
      <c r="B1462" s="138" t="b">
        <f>+IF((PROVEEDORES[[#This Row],[FECHA DE PAGO]]-PROVEEDORES[[#This Row],[FECHA DE FACTURACIÓN]])&gt;PROVEEDORES[[#This Row],[PLAZO Días]],"PAGO VENCIDO")</f>
        <v>0</v>
      </c>
      <c r="C1462" s="138">
        <f>+VLOOKUP(PROVEEDORES[[#This Row],[PROVEEDOR]],TERCEROS_INFO[#All],2,FALSE)</f>
        <v>60</v>
      </c>
      <c r="D1462" s="139">
        <f>+SUMIFS(PROVEEDORES[Total],PROVEEDORES[PROVEEDOR],PROVEEDORES[[#This Row],[PROVEEDOR]],PROVEEDORES[FECHA DE PAGO],"")</f>
        <v>1730482</v>
      </c>
      <c r="E1462" s="140"/>
      <c r="F1462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62" s="127">
        <v>45397</v>
      </c>
      <c r="H1462" s="123" t="s">
        <v>222</v>
      </c>
      <c r="I1462" s="127">
        <v>45387</v>
      </c>
      <c r="J1462" s="124">
        <v>1991</v>
      </c>
      <c r="K1462" s="124" t="s">
        <v>504</v>
      </c>
      <c r="L1462" s="124" t="s">
        <v>1534</v>
      </c>
      <c r="M1462" s="125">
        <v>748800</v>
      </c>
      <c r="N1462" s="148">
        <v>0</v>
      </c>
      <c r="O1462" s="148">
        <v>0</v>
      </c>
      <c r="P1462" s="149">
        <v>0</v>
      </c>
      <c r="Q1462" s="148">
        <v>0</v>
      </c>
      <c r="R1462" s="150">
        <v>748800</v>
      </c>
      <c r="S146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2" s="135">
        <f ca="1">+IF(PROVEEDORES[[#This Row],[FECHA DE PAGO]]=0,TODAY()-PROVEEDORES[[#This Row],[FECHA DE FACTURACIÓN]]-PROVEEDORES[[#This Row],[PLAZO Días]],0)</f>
        <v>0</v>
      </c>
      <c r="U1462" s="135">
        <f>+VLOOKUP(PROVEEDORES[[#This Row],[PROVEEDOR]],Terceros!$A:$D,4,FALSE)</f>
        <v>0</v>
      </c>
      <c r="V1462" s="135">
        <f>+YEAR(PROVEEDORES[[#This Row],[FECHA DE FACTURACIÓN]])</f>
        <v>2024</v>
      </c>
      <c r="W1462" s="135">
        <f>+MATCH(PROVEEDORES[[#This Row],[año facturado]],Retenciones!$1:$1,0)</f>
        <v>7</v>
      </c>
      <c r="X1462" s="136">
        <f>+VLOOKUP(PROVEEDORES[[#This Row],[ID RETENCION]],Retenciones!$A$1:$O$25,PROVEEDORES[[#This Row],[indicador de columna]],FALSE)</f>
        <v>0</v>
      </c>
      <c r="Y1462" s="137">
        <f>+VLOOKUP(PROVEEDORES[[#This Row],[ID RETENCION]],Retenciones!$A$1:$O$25,2,FALSE)</f>
        <v>0</v>
      </c>
      <c r="Z1462" s="126" t="b">
        <f>+OR(COUNTIF(PROVEEDORES[[#This Row],[PROVEEDOR]],"*"&amp;'Palabra que no opera y Listas d'!$A$2&amp;"*"))</f>
        <v>0</v>
      </c>
    </row>
    <row r="1463" spans="1:26" ht="27.75" customHeight="1" x14ac:dyDescent="0.25">
      <c r="A1463" s="141" t="str">
        <f>+IF(PROVEEDORES[[#This Row],[FECHA DE PAGO]]=PROVEEDORES[[#This Row],[FECHA DE FACTURACIÓN]],"DE CONTADO","CRÉDITO")</f>
        <v>CRÉDITO</v>
      </c>
      <c r="B1463" s="138" t="b">
        <f>+IF((PROVEEDORES[[#This Row],[FECHA DE PAGO]]-PROVEEDORES[[#This Row],[FECHA DE FACTURACIÓN]])&gt;PROVEEDORES[[#This Row],[PLAZO Días]],"PAGO VENCIDO")</f>
        <v>0</v>
      </c>
      <c r="C1463" s="138">
        <f>+VLOOKUP(PROVEEDORES[[#This Row],[PROVEEDOR]],TERCEROS_INFO[#All],2,FALSE)</f>
        <v>60</v>
      </c>
      <c r="D1463" s="139">
        <f>+SUMIFS(PROVEEDORES[Total],PROVEEDORES[PROVEEDOR],PROVEEDORES[[#This Row],[PROVEEDOR]],PROVEEDORES[FECHA DE PAGO],"")</f>
        <v>1730482</v>
      </c>
      <c r="E1463" s="140"/>
      <c r="F1463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463" s="127">
        <v>45397</v>
      </c>
      <c r="H1463" s="123" t="s">
        <v>222</v>
      </c>
      <c r="I1463" s="127">
        <v>45393</v>
      </c>
      <c r="J1463" s="124">
        <v>1992</v>
      </c>
      <c r="K1463" s="124" t="s">
        <v>504</v>
      </c>
      <c r="L1463" s="124" t="s">
        <v>1534</v>
      </c>
      <c r="M1463" s="125">
        <v>1757925</v>
      </c>
      <c r="N1463" s="148">
        <v>0</v>
      </c>
      <c r="O1463" s="148">
        <v>0</v>
      </c>
      <c r="P1463" s="149">
        <v>0</v>
      </c>
      <c r="Q1463" s="148">
        <v>0</v>
      </c>
      <c r="R1463" s="150">
        <v>1757925</v>
      </c>
      <c r="S146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3" s="135">
        <f ca="1">+IF(PROVEEDORES[[#This Row],[FECHA DE PAGO]]=0,TODAY()-PROVEEDORES[[#This Row],[FECHA DE FACTURACIÓN]]-PROVEEDORES[[#This Row],[PLAZO Días]],0)</f>
        <v>0</v>
      </c>
      <c r="U1463" s="135">
        <f>+VLOOKUP(PROVEEDORES[[#This Row],[PROVEEDOR]],Terceros!$A:$D,4,FALSE)</f>
        <v>0</v>
      </c>
      <c r="V1463" s="135">
        <f>+YEAR(PROVEEDORES[[#This Row],[FECHA DE FACTURACIÓN]])</f>
        <v>2024</v>
      </c>
      <c r="W1463" s="135">
        <f>+MATCH(PROVEEDORES[[#This Row],[año facturado]],Retenciones!$1:$1,0)</f>
        <v>7</v>
      </c>
      <c r="X1463" s="136">
        <f>+VLOOKUP(PROVEEDORES[[#This Row],[ID RETENCION]],Retenciones!$A$1:$O$25,PROVEEDORES[[#This Row],[indicador de columna]],FALSE)</f>
        <v>0</v>
      </c>
      <c r="Y1463" s="137">
        <f>+VLOOKUP(PROVEEDORES[[#This Row],[ID RETENCION]],Retenciones!$A$1:$O$25,2,FALSE)</f>
        <v>0</v>
      </c>
      <c r="Z1463" s="126" t="b">
        <f>+OR(COUNTIF(PROVEEDORES[[#This Row],[PROVEEDOR]],"*"&amp;'Palabra que no opera y Listas d'!$A$2&amp;"*"))</f>
        <v>0</v>
      </c>
    </row>
    <row r="1464" spans="1:26" ht="27.75" customHeight="1" x14ac:dyDescent="0.25">
      <c r="A1464" s="141" t="str">
        <f>+IF(PROVEEDORES[[#This Row],[FECHA DE PAGO]]=PROVEEDORES[[#This Row],[FECHA DE FACTURACIÓN]],"DE CONTADO","CRÉDITO")</f>
        <v>CRÉDITO</v>
      </c>
      <c r="B1464" s="138" t="str">
        <f>+IF((PROVEEDORES[[#This Row],[FECHA DE PAGO]]-PROVEEDORES[[#This Row],[FECHA DE FACTURACIÓN]])&gt;PROVEEDORES[[#This Row],[PLAZO Días]],"PAGO VENCIDO")</f>
        <v>PAGO VENCIDO</v>
      </c>
      <c r="C1464" s="138">
        <f>+VLOOKUP(PROVEEDORES[[#This Row],[PROVEEDOR]],TERCEROS_INFO[#All],2,FALSE)</f>
        <v>60</v>
      </c>
      <c r="D1464" s="139">
        <f>+SUMIFS(PROVEEDORES[Total],PROVEEDORES[PROVEEDOR],PROVEEDORES[[#This Row],[PROVEEDOR]],PROVEEDORES[FECHA DE PAGO],"")</f>
        <v>0</v>
      </c>
      <c r="E1464" s="140"/>
      <c r="F1464" s="138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1464" s="127">
        <v>45398</v>
      </c>
      <c r="H1464" s="123" t="s">
        <v>582</v>
      </c>
      <c r="I1464" s="127">
        <v>45334</v>
      </c>
      <c r="J1464" s="124" t="s">
        <v>1757</v>
      </c>
      <c r="K1464" s="124" t="s">
        <v>1530</v>
      </c>
      <c r="L1464" s="124" t="s">
        <v>1533</v>
      </c>
      <c r="M1464" s="125">
        <v>-1845360</v>
      </c>
      <c r="N1464" s="148">
        <v>0</v>
      </c>
      <c r="O1464" s="148">
        <v>0</v>
      </c>
      <c r="P1464" s="149">
        <v>0</v>
      </c>
      <c r="Q1464" s="148">
        <v>0</v>
      </c>
      <c r="R1464" s="150">
        <v>-1845360</v>
      </c>
      <c r="S146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4" s="135">
        <f ca="1">+IF(PROVEEDORES[[#This Row],[FECHA DE PAGO]]=0,TODAY()-PROVEEDORES[[#This Row],[FECHA DE FACTURACIÓN]]-PROVEEDORES[[#This Row],[PLAZO Días]],0)</f>
        <v>0</v>
      </c>
      <c r="U1464" s="135" t="str">
        <f>+VLOOKUP(PROVEEDORES[[#This Row],[PROVEEDOR]],Terceros!$A:$D,4,FALSE)</f>
        <v>2,5% con base</v>
      </c>
      <c r="V1464" s="135">
        <f>+YEAR(PROVEEDORES[[#This Row],[FECHA DE FACTURACIÓN]])</f>
        <v>2024</v>
      </c>
      <c r="W1464" s="135">
        <f>+MATCH(PROVEEDORES[[#This Row],[año facturado]],Retenciones!$1:$1,0)</f>
        <v>7</v>
      </c>
      <c r="X1464" s="136">
        <f>+VLOOKUP(PROVEEDORES[[#This Row],[ID RETENCION]],Retenciones!$A$1:$O$25,PROVEEDORES[[#This Row],[indicador de columna]],FALSE)</f>
        <v>1271000</v>
      </c>
      <c r="Y1464" s="137">
        <f>+VLOOKUP(PROVEEDORES[[#This Row],[ID RETENCION]],Retenciones!$A$1:$O$25,2,FALSE)</f>
        <v>2.5000000000000001E-2</v>
      </c>
      <c r="Z1464" s="126" t="b">
        <f>+OR(COUNTIF(PROVEEDORES[[#This Row],[PROVEEDOR]],"*"&amp;'Palabra que no opera y Listas d'!$A$2&amp;"*"))</f>
        <v>0</v>
      </c>
    </row>
    <row r="1465" spans="1:26" ht="27.75" customHeight="1" x14ac:dyDescent="0.25">
      <c r="A1465" s="141" t="str">
        <f>+IF(PROVEEDORES[[#This Row],[FECHA DE PAGO]]=PROVEEDORES[[#This Row],[FECHA DE FACTURACIÓN]],"DE CONTADO","CRÉDITO")</f>
        <v>CRÉDITO</v>
      </c>
      <c r="B1465" s="138" t="str">
        <f>+IF((PROVEEDORES[[#This Row],[FECHA DE PAGO]]-PROVEEDORES[[#This Row],[FECHA DE FACTURACIÓN]])&gt;PROVEEDORES[[#This Row],[PLAZO Días]],"PAGO VENCIDO")</f>
        <v>PAGO VENCIDO</v>
      </c>
      <c r="C1465" s="138">
        <f>+VLOOKUP(PROVEEDORES[[#This Row],[PROVEEDOR]],TERCEROS_INFO[#All],2,FALSE)</f>
        <v>30</v>
      </c>
      <c r="D1465" s="139">
        <f>+SUMIFS(PROVEEDORES[Total],PROVEEDORES[PROVEEDOR],PROVEEDORES[[#This Row],[PROVEEDOR]],PROVEEDORES[FECHA DE PAGO],"")</f>
        <v>4466504.835</v>
      </c>
      <c r="E1465" s="140"/>
      <c r="F1465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465" s="127">
        <v>45398</v>
      </c>
      <c r="H1465" s="123" t="s">
        <v>18</v>
      </c>
      <c r="I1465" s="127">
        <v>45352</v>
      </c>
      <c r="J1465" s="124">
        <v>1083930</v>
      </c>
      <c r="K1465" s="124" t="s">
        <v>504</v>
      </c>
      <c r="L1465" s="124" t="s">
        <v>1534</v>
      </c>
      <c r="M1465" s="125">
        <v>3213311.04</v>
      </c>
      <c r="N1465" s="148">
        <v>610529.09759999998</v>
      </c>
      <c r="O1465" s="148">
        <v>0</v>
      </c>
      <c r="P1465" s="149">
        <v>2.5000000000000001E-2</v>
      </c>
      <c r="Q1465" s="148">
        <v>80332.776000000013</v>
      </c>
      <c r="R1465" s="150">
        <v>3743507.3615999999</v>
      </c>
      <c r="S14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5" s="135">
        <f ca="1">+IF(PROVEEDORES[[#This Row],[FECHA DE PAGO]]=0,TODAY()-PROVEEDORES[[#This Row],[FECHA DE FACTURACIÓN]]-PROVEEDORES[[#This Row],[PLAZO Días]],0)</f>
        <v>0</v>
      </c>
      <c r="U1465" s="135" t="str">
        <f>+VLOOKUP(PROVEEDORES[[#This Row],[PROVEEDOR]],Terceros!$A:$D,4,FALSE)</f>
        <v>2,5% con base</v>
      </c>
      <c r="V1465" s="135">
        <f>+YEAR(PROVEEDORES[[#This Row],[FECHA DE FACTURACIÓN]])</f>
        <v>2024</v>
      </c>
      <c r="W1465" s="135">
        <f>+MATCH(PROVEEDORES[[#This Row],[año facturado]],Retenciones!$1:$1,0)</f>
        <v>7</v>
      </c>
      <c r="X1465" s="136">
        <f>+VLOOKUP(PROVEEDORES[[#This Row],[ID RETENCION]],Retenciones!$A$1:$O$25,PROVEEDORES[[#This Row],[indicador de columna]],FALSE)</f>
        <v>1271000</v>
      </c>
      <c r="Y1465" s="137">
        <f>+VLOOKUP(PROVEEDORES[[#This Row],[ID RETENCION]],Retenciones!$A$1:$O$25,2,FALSE)</f>
        <v>2.5000000000000001E-2</v>
      </c>
      <c r="Z1465" s="126" t="b">
        <f>+OR(COUNTIF(PROVEEDORES[[#This Row],[PROVEEDOR]],"*"&amp;'Palabra que no opera y Listas d'!$A$2&amp;"*"))</f>
        <v>0</v>
      </c>
    </row>
    <row r="1466" spans="1:26" ht="27.75" customHeight="1" x14ac:dyDescent="0.25">
      <c r="A1466" s="141" t="str">
        <f>+IF(PROVEEDORES[[#This Row],[FECHA DE PAGO]]=PROVEEDORES[[#This Row],[FECHA DE FACTURACIÓN]],"DE CONTADO","CRÉDITO")</f>
        <v>CRÉDITO</v>
      </c>
      <c r="B1466" s="138" t="str">
        <f>+IF((PROVEEDORES[[#This Row],[FECHA DE PAGO]]-PROVEEDORES[[#This Row],[FECHA DE FACTURACIÓN]])&gt;PROVEEDORES[[#This Row],[PLAZO Días]],"PAGO VENCIDO")</f>
        <v>PAGO VENCIDO</v>
      </c>
      <c r="C1466" s="138">
        <f>+VLOOKUP(PROVEEDORES[[#This Row],[PROVEEDOR]],TERCEROS_INFO[#All],2,FALSE)</f>
        <v>30</v>
      </c>
      <c r="D1466" s="139">
        <f>+SUMIFS(PROVEEDORES[Total],PROVEEDORES[PROVEEDOR],PROVEEDORES[[#This Row],[PROVEEDOR]],PROVEEDORES[FECHA DE PAGO],"")</f>
        <v>4316000</v>
      </c>
      <c r="E1466" s="140"/>
      <c r="F1466" s="138" t="str">
        <f>+VLOOKUP(PROVEEDORES[[#This Row],[PROVEEDOR]],
                       Terceros!$A:$F,
                       5,
                       FALSE)</f>
        <v/>
      </c>
      <c r="G1466" s="127">
        <v>45398</v>
      </c>
      <c r="H1466" s="123" t="s">
        <v>1812</v>
      </c>
      <c r="I1466" s="127">
        <v>45359</v>
      </c>
      <c r="J1466" s="124" t="s">
        <v>1674</v>
      </c>
      <c r="K1466" s="124" t="s">
        <v>1530</v>
      </c>
      <c r="L1466" s="124" t="s">
        <v>1395</v>
      </c>
      <c r="M1466" s="125">
        <v>825000</v>
      </c>
      <c r="N1466" s="148">
        <v>0</v>
      </c>
      <c r="O1466" s="148">
        <v>0</v>
      </c>
      <c r="P1466" s="149">
        <v>0</v>
      </c>
      <c r="Q1466" s="148">
        <v>0</v>
      </c>
      <c r="R1466" s="150">
        <v>825000</v>
      </c>
      <c r="S14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6" s="135">
        <f ca="1">+IF(PROVEEDORES[[#This Row],[FECHA DE PAGO]]=0,TODAY()-PROVEEDORES[[#This Row],[FECHA DE FACTURACIÓN]]-PROVEEDORES[[#This Row],[PLAZO Días]],0)</f>
        <v>0</v>
      </c>
      <c r="U1466" s="135">
        <f>+VLOOKUP(PROVEEDORES[[#This Row],[PROVEEDOR]],Terceros!$A:$D,4,FALSE)</f>
        <v>0</v>
      </c>
      <c r="V1466" s="135">
        <f>+YEAR(PROVEEDORES[[#This Row],[FECHA DE FACTURACIÓN]])</f>
        <v>2024</v>
      </c>
      <c r="W1466" s="135">
        <f>+MATCH(PROVEEDORES[[#This Row],[año facturado]],Retenciones!$1:$1,0)</f>
        <v>7</v>
      </c>
      <c r="X1466" s="136">
        <f>+VLOOKUP(PROVEEDORES[[#This Row],[ID RETENCION]],Retenciones!$A$1:$O$25,PROVEEDORES[[#This Row],[indicador de columna]],FALSE)</f>
        <v>0</v>
      </c>
      <c r="Y1466" s="137">
        <f>+VLOOKUP(PROVEEDORES[[#This Row],[ID RETENCION]],Retenciones!$A$1:$O$25,2,FALSE)</f>
        <v>0</v>
      </c>
      <c r="Z1466" s="126" t="b">
        <f>+OR(COUNTIF(PROVEEDORES[[#This Row],[PROVEEDOR]],"*"&amp;'Palabra que no opera y Listas d'!$A$2&amp;"*"))</f>
        <v>0</v>
      </c>
    </row>
    <row r="1467" spans="1:26" ht="27.75" customHeight="1" x14ac:dyDescent="0.25">
      <c r="A1467" s="141" t="str">
        <f>+IF(PROVEEDORES[[#This Row],[FECHA DE PAGO]]=PROVEEDORES[[#This Row],[FECHA DE FACTURACIÓN]],"DE CONTADO","CRÉDITO")</f>
        <v>CRÉDITO</v>
      </c>
      <c r="B1467" s="138" t="b">
        <f>+IF((PROVEEDORES[[#This Row],[FECHA DE PAGO]]-PROVEEDORES[[#This Row],[FECHA DE FACTURACIÓN]])&gt;PROVEEDORES[[#This Row],[PLAZO Días]],"PAGO VENCIDO")</f>
        <v>0</v>
      </c>
      <c r="C1467" s="138">
        <f>+VLOOKUP(PROVEEDORES[[#This Row],[PROVEEDOR]],TERCEROS_INFO[#All],2,FALSE)</f>
        <v>30</v>
      </c>
      <c r="D1467" s="139">
        <f>+SUMIFS(PROVEEDORES[Total],PROVEEDORES[PROVEEDOR],PROVEEDORES[[#This Row],[PROVEEDOR]],PROVEEDORES[FECHA DE PAGO],"")</f>
        <v>0</v>
      </c>
      <c r="E1467" s="140"/>
      <c r="F1467" s="138">
        <f>+VLOOKUP(PROVEEDORES[[#This Row],[PROVEEDOR]],
                       Terceros!$A:$F,
                       5,
                       FALSE)</f>
        <v>0</v>
      </c>
      <c r="G1467" s="127">
        <v>45398</v>
      </c>
      <c r="H1467" s="123" t="s">
        <v>836</v>
      </c>
      <c r="I1467" s="127">
        <v>45397</v>
      </c>
      <c r="J1467" s="124" t="s">
        <v>1735</v>
      </c>
      <c r="K1467" s="124" t="s">
        <v>504</v>
      </c>
      <c r="L1467" s="124" t="s">
        <v>1395</v>
      </c>
      <c r="M1467" s="125">
        <v>457000</v>
      </c>
      <c r="N1467" s="148">
        <v>0</v>
      </c>
      <c r="O1467" s="148">
        <v>0</v>
      </c>
      <c r="P1467" s="149">
        <v>0</v>
      </c>
      <c r="Q1467" s="148">
        <v>0</v>
      </c>
      <c r="R1467" s="150">
        <v>457000</v>
      </c>
      <c r="S14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7" s="135">
        <f ca="1">+IF(PROVEEDORES[[#This Row],[FECHA DE PAGO]]=0,TODAY()-PROVEEDORES[[#This Row],[FECHA DE FACTURACIÓN]]-PROVEEDORES[[#This Row],[PLAZO Días]],0)</f>
        <v>0</v>
      </c>
      <c r="U1467" s="135">
        <f>+VLOOKUP(PROVEEDORES[[#This Row],[PROVEEDOR]],Terceros!$A:$D,4,FALSE)</f>
        <v>0</v>
      </c>
      <c r="V1467" s="135">
        <f>+YEAR(PROVEEDORES[[#This Row],[FECHA DE FACTURACIÓN]])</f>
        <v>2024</v>
      </c>
      <c r="W1467" s="135">
        <f>+MATCH(PROVEEDORES[[#This Row],[año facturado]],Retenciones!$1:$1,0)</f>
        <v>7</v>
      </c>
      <c r="X1467" s="136">
        <f>+VLOOKUP(PROVEEDORES[[#This Row],[ID RETENCION]],Retenciones!$A$1:$O$25,PROVEEDORES[[#This Row],[indicador de columna]],FALSE)</f>
        <v>0</v>
      </c>
      <c r="Y1467" s="137">
        <f>+VLOOKUP(PROVEEDORES[[#This Row],[ID RETENCION]],Retenciones!$A$1:$O$25,2,FALSE)</f>
        <v>0</v>
      </c>
      <c r="Z1467" s="126" t="b">
        <f>+OR(COUNTIF(PROVEEDORES[[#This Row],[PROVEEDOR]],"*"&amp;'Palabra que no opera y Listas d'!$A$2&amp;"*"))</f>
        <v>0</v>
      </c>
    </row>
    <row r="1468" spans="1:26" ht="27.75" customHeight="1" x14ac:dyDescent="0.25">
      <c r="A1468" s="141" t="str">
        <f>+IF(PROVEEDORES[[#This Row],[FECHA DE PAGO]]=PROVEEDORES[[#This Row],[FECHA DE FACTURACIÓN]],"DE CONTADO","CRÉDITO")</f>
        <v>CRÉDITO</v>
      </c>
      <c r="B1468" s="138" t="str">
        <f>+IF((PROVEEDORES[[#This Row],[FECHA DE PAGO]]-PROVEEDORES[[#This Row],[FECHA DE FACTURACIÓN]])&gt;PROVEEDORES[[#This Row],[PLAZO Días]],"PAGO VENCIDO")</f>
        <v>PAGO VENCIDO</v>
      </c>
      <c r="C1468" s="138">
        <f>+VLOOKUP(PROVEEDORES[[#This Row],[PROVEEDOR]],TERCEROS_INFO[#All],2,FALSE)</f>
        <v>0</v>
      </c>
      <c r="D1468" s="139">
        <f>+SUMIFS(PROVEEDORES[Total],PROVEEDORES[PROVEEDOR],PROVEEDORES[[#This Row],[PROVEEDOR]],PROVEEDORES[FECHA DE PAGO],"")</f>
        <v>0</v>
      </c>
      <c r="E1468" s="140"/>
      <c r="F1468" s="138">
        <f>+VLOOKUP(PROVEEDORES[[#This Row],[PROVEEDOR]],
                       Terceros!$A:$F,
                       5,
                       FALSE)</f>
        <v>0</v>
      </c>
      <c r="G1468" s="127">
        <v>45398</v>
      </c>
      <c r="H1468" s="123" t="s">
        <v>456</v>
      </c>
      <c r="I1468" s="127">
        <v>45397</v>
      </c>
      <c r="J1468" s="124" t="s">
        <v>1293</v>
      </c>
      <c r="K1468" s="124" t="s">
        <v>1530</v>
      </c>
      <c r="L1468" s="124" t="s">
        <v>1395</v>
      </c>
      <c r="M1468" s="125">
        <v>280000</v>
      </c>
      <c r="N1468" s="148">
        <v>0</v>
      </c>
      <c r="O1468" s="148">
        <v>0</v>
      </c>
      <c r="P1468" s="149">
        <v>0</v>
      </c>
      <c r="Q1468" s="148">
        <v>0</v>
      </c>
      <c r="R1468" s="150">
        <v>280000</v>
      </c>
      <c r="S146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8" s="135">
        <f ca="1">+IF(PROVEEDORES[[#This Row],[FECHA DE PAGO]]=0,TODAY()-PROVEEDORES[[#This Row],[FECHA DE FACTURACIÓN]]-PROVEEDORES[[#This Row],[PLAZO Días]],0)</f>
        <v>0</v>
      </c>
      <c r="U1468" s="135">
        <f>+VLOOKUP(PROVEEDORES[[#This Row],[PROVEEDOR]],Terceros!$A:$D,4,FALSE)</f>
        <v>0</v>
      </c>
      <c r="V1468" s="135">
        <f>+YEAR(PROVEEDORES[[#This Row],[FECHA DE FACTURACIÓN]])</f>
        <v>2024</v>
      </c>
      <c r="W1468" s="135">
        <f>+MATCH(PROVEEDORES[[#This Row],[año facturado]],Retenciones!$1:$1,0)</f>
        <v>7</v>
      </c>
      <c r="X1468" s="136">
        <f>+VLOOKUP(PROVEEDORES[[#This Row],[ID RETENCION]],Retenciones!$A$1:$O$25,PROVEEDORES[[#This Row],[indicador de columna]],FALSE)</f>
        <v>0</v>
      </c>
      <c r="Y1468" s="137">
        <f>+VLOOKUP(PROVEEDORES[[#This Row],[ID RETENCION]],Retenciones!$A$1:$O$25,2,FALSE)</f>
        <v>0</v>
      </c>
      <c r="Z1468" s="126" t="b">
        <f>+OR(COUNTIF(PROVEEDORES[[#This Row],[PROVEEDOR]],"*"&amp;'Palabra que no opera y Listas d'!$A$2&amp;"*"))</f>
        <v>1</v>
      </c>
    </row>
    <row r="1469" spans="1:26" ht="27.75" customHeight="1" x14ac:dyDescent="0.25">
      <c r="A1469" s="141" t="str">
        <f>+IF(PROVEEDORES[[#This Row],[FECHA DE PAGO]]=PROVEEDORES[[#This Row],[FECHA DE FACTURACIÓN]],"DE CONTADO","CRÉDITO")</f>
        <v>CRÉDITO</v>
      </c>
      <c r="B1469" s="138" t="b">
        <f>+IF((PROVEEDORES[[#This Row],[FECHA DE PAGO]]-PROVEEDORES[[#This Row],[FECHA DE FACTURACIÓN]])&gt;PROVEEDORES[[#This Row],[PLAZO Días]],"PAGO VENCIDO")</f>
        <v>0</v>
      </c>
      <c r="C1469" s="138">
        <f>+VLOOKUP(PROVEEDORES[[#This Row],[PROVEEDOR]],TERCEROS_INFO[#All],2,FALSE)</f>
        <v>30</v>
      </c>
      <c r="D1469" s="139">
        <f>+SUMIFS(PROVEEDORES[Total],PROVEEDORES[PROVEEDOR],PROVEEDORES[[#This Row],[PROVEEDOR]],PROVEEDORES[FECHA DE PAGO],"")</f>
        <v>0</v>
      </c>
      <c r="E1469" s="140"/>
      <c r="F1469" s="138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469" s="127">
        <v>45398</v>
      </c>
      <c r="H1469" s="123" t="s">
        <v>1186</v>
      </c>
      <c r="I1469" s="127">
        <v>45397</v>
      </c>
      <c r="J1469" s="124" t="s">
        <v>1734</v>
      </c>
      <c r="K1469" s="124" t="s">
        <v>1530</v>
      </c>
      <c r="L1469" s="124" t="s">
        <v>1533</v>
      </c>
      <c r="M1469" s="125">
        <v>350420</v>
      </c>
      <c r="N1469" s="148">
        <v>66579.8</v>
      </c>
      <c r="O1469" s="148">
        <v>0</v>
      </c>
      <c r="P1469" s="149">
        <v>0</v>
      </c>
      <c r="Q1469" s="148">
        <v>0</v>
      </c>
      <c r="R1469" s="150">
        <v>416999.8</v>
      </c>
      <c r="S14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69" s="135">
        <f ca="1">+IF(PROVEEDORES[[#This Row],[FECHA DE PAGO]]=0,TODAY()-PROVEEDORES[[#This Row],[FECHA DE FACTURACIÓN]]-PROVEEDORES[[#This Row],[PLAZO Días]],0)</f>
        <v>0</v>
      </c>
      <c r="U1469" s="135" t="str">
        <f>+VLOOKUP(PROVEEDORES[[#This Row],[PROVEEDOR]],Terceros!$A:$D,4,FALSE)</f>
        <v>2,5% con base</v>
      </c>
      <c r="V1469" s="135">
        <f>+YEAR(PROVEEDORES[[#This Row],[FECHA DE FACTURACIÓN]])</f>
        <v>2024</v>
      </c>
      <c r="W1469" s="135">
        <f>+MATCH(PROVEEDORES[[#This Row],[año facturado]],Retenciones!$1:$1,0)</f>
        <v>7</v>
      </c>
      <c r="X1469" s="136">
        <f>+VLOOKUP(PROVEEDORES[[#This Row],[ID RETENCION]],Retenciones!$A$1:$O$25,PROVEEDORES[[#This Row],[indicador de columna]],FALSE)</f>
        <v>1271000</v>
      </c>
      <c r="Y1469" s="137">
        <f>+VLOOKUP(PROVEEDORES[[#This Row],[ID RETENCION]],Retenciones!$A$1:$O$25,2,FALSE)</f>
        <v>2.5000000000000001E-2</v>
      </c>
      <c r="Z1469" s="126" t="b">
        <f>+OR(COUNTIF(PROVEEDORES[[#This Row],[PROVEEDOR]],"*"&amp;'Palabra que no opera y Listas d'!$A$2&amp;"*"))</f>
        <v>0</v>
      </c>
    </row>
    <row r="1470" spans="1:26" ht="27.75" customHeight="1" x14ac:dyDescent="0.25">
      <c r="A1470" s="141" t="str">
        <f>+IF(PROVEEDORES[[#This Row],[FECHA DE PAGO]]=PROVEEDORES[[#This Row],[FECHA DE FACTURACIÓN]],"DE CONTADO","CRÉDITO")</f>
        <v>CRÉDITO</v>
      </c>
      <c r="B1470" s="138" t="str">
        <f>+IF((PROVEEDORES[[#This Row],[FECHA DE PAGO]]-PROVEEDORES[[#This Row],[FECHA DE FACTURACIÓN]])&gt;PROVEEDORES[[#This Row],[PLAZO Días]],"PAGO VENCIDO")</f>
        <v>PAGO VENCIDO</v>
      </c>
      <c r="C1470" s="138">
        <f>+VLOOKUP(PROVEEDORES[[#This Row],[PROVEEDOR]],TERCEROS_INFO[#All],2,FALSE)</f>
        <v>0</v>
      </c>
      <c r="D1470" s="139">
        <f>+SUMIFS(PROVEEDORES[Total],PROVEEDORES[PROVEEDOR],PROVEEDORES[[#This Row],[PROVEEDOR]],PROVEEDORES[FECHA DE PAGO],"")</f>
        <v>2530000</v>
      </c>
      <c r="E1470" s="140"/>
      <c r="F1470" s="138" t="str">
        <f>+VLOOKUP(PROVEEDORES[[#This Row],[PROVEEDOR]],
                       Terceros!$A:$F,
                       5,
                       FALSE)</f>
        <v>jeimmy.rojas@revo360.com; gerenteaduanera@wtnewvision.com; girlesa.ruiz@servipilas.com;joriescobar64@gmail.com</v>
      </c>
      <c r="G1470" s="127">
        <v>45398</v>
      </c>
      <c r="H1470" s="123" t="s">
        <v>1731</v>
      </c>
      <c r="I1470" s="127">
        <v>45397</v>
      </c>
      <c r="J1470" s="124" t="s">
        <v>1733</v>
      </c>
      <c r="K1470" s="124" t="s">
        <v>1530</v>
      </c>
      <c r="L1470" s="124" t="s">
        <v>1533</v>
      </c>
      <c r="M1470" s="125">
        <v>650000</v>
      </c>
      <c r="N1470" s="148">
        <v>123500</v>
      </c>
      <c r="O1470" s="148">
        <v>0</v>
      </c>
      <c r="P1470" s="149">
        <v>0.04</v>
      </c>
      <c r="Q1470" s="148">
        <v>26000</v>
      </c>
      <c r="R1470" s="150">
        <v>747500</v>
      </c>
      <c r="S14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0" s="135">
        <f ca="1">+IF(PROVEEDORES[[#This Row],[FECHA DE PAGO]]=0,TODAY()-PROVEEDORES[[#This Row],[FECHA DE FACTURACIÓN]]-PROVEEDORES[[#This Row],[PLAZO Días]],0)</f>
        <v>0</v>
      </c>
      <c r="U1470" s="135" t="str">
        <f>+VLOOKUP(PROVEEDORES[[#This Row],[PROVEEDOR]],Terceros!$A:$D,4,FALSE)</f>
        <v>4% con base</v>
      </c>
      <c r="V1470" s="135">
        <f>+YEAR(PROVEEDORES[[#This Row],[FECHA DE FACTURACIÓN]])</f>
        <v>2024</v>
      </c>
      <c r="W1470" s="135">
        <f>+MATCH(PROVEEDORES[[#This Row],[año facturado]],Retenciones!$1:$1,0)</f>
        <v>7</v>
      </c>
      <c r="X1470" s="136">
        <f>+VLOOKUP(PROVEEDORES[[#This Row],[ID RETENCION]],Retenciones!$A$1:$O$25,PROVEEDORES[[#This Row],[indicador de columna]],FALSE)</f>
        <v>188000</v>
      </c>
      <c r="Y1470" s="137">
        <f>+VLOOKUP(PROVEEDORES[[#This Row],[ID RETENCION]],Retenciones!$A$1:$O$25,2,FALSE)</f>
        <v>0.04</v>
      </c>
      <c r="Z1470" s="126" t="b">
        <f>+OR(COUNTIF(PROVEEDORES[[#This Row],[PROVEEDOR]],"*"&amp;'Palabra que no opera y Listas d'!$A$2&amp;"*"))</f>
        <v>0</v>
      </c>
    </row>
    <row r="1471" spans="1:26" ht="27.75" customHeight="1" x14ac:dyDescent="0.25">
      <c r="A1471" s="141" t="str">
        <f>+IF(PROVEEDORES[[#This Row],[FECHA DE PAGO]]=PROVEEDORES[[#This Row],[FECHA DE FACTURACIÓN]],"DE CONTADO","CRÉDITO")</f>
        <v>DE CONTADO</v>
      </c>
      <c r="B1471" s="138" t="b">
        <f>+IF((PROVEEDORES[[#This Row],[FECHA DE PAGO]]-PROVEEDORES[[#This Row],[FECHA DE FACTURACIÓN]])&gt;PROVEEDORES[[#This Row],[PLAZO Días]],"PAGO VENCIDO")</f>
        <v>0</v>
      </c>
      <c r="C1471" s="138">
        <f>+VLOOKUP(PROVEEDORES[[#This Row],[PROVEEDOR]],TERCEROS_INFO[#All],2,FALSE)</f>
        <v>30</v>
      </c>
      <c r="D1471" s="139">
        <f>+SUMIFS(PROVEEDORES[Total],PROVEEDORES[PROVEEDOR],PROVEEDORES[[#This Row],[PROVEEDOR]],PROVEEDORES[FECHA DE PAGO],"")</f>
        <v>0</v>
      </c>
      <c r="E1471" s="140"/>
      <c r="F1471" s="138" t="str">
        <f>+VLOOKUP(PROVEEDORES[[#This Row],[PROVEEDOR]],
                       Terceros!$A:$F,
                       5,
                       FALSE)</f>
        <v/>
      </c>
      <c r="G1471" s="127">
        <v>45398</v>
      </c>
      <c r="H1471" s="123" t="s">
        <v>1824</v>
      </c>
      <c r="I1471" s="127">
        <v>45398</v>
      </c>
      <c r="J1471" s="124" t="s">
        <v>479</v>
      </c>
      <c r="K1471" s="124" t="s">
        <v>1530</v>
      </c>
      <c r="L1471" s="124" t="s">
        <v>1395</v>
      </c>
      <c r="M1471" s="125">
        <v>1233243</v>
      </c>
      <c r="N1471" s="148">
        <v>0</v>
      </c>
      <c r="O1471" s="148">
        <v>0</v>
      </c>
      <c r="P1471" s="149">
        <v>0</v>
      </c>
      <c r="Q1471" s="148">
        <v>0</v>
      </c>
      <c r="R1471" s="150">
        <v>1233243</v>
      </c>
      <c r="S14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1" s="135">
        <f ca="1">+IF(PROVEEDORES[[#This Row],[FECHA DE PAGO]]=0,TODAY()-PROVEEDORES[[#This Row],[FECHA DE FACTURACIÓN]]-PROVEEDORES[[#This Row],[PLAZO Días]],0)</f>
        <v>0</v>
      </c>
      <c r="U1471" s="135">
        <f>+VLOOKUP(PROVEEDORES[[#This Row],[PROVEEDOR]],Terceros!$A:$D,4,FALSE)</f>
        <v>0</v>
      </c>
      <c r="V1471" s="135">
        <f>+YEAR(PROVEEDORES[[#This Row],[FECHA DE FACTURACIÓN]])</f>
        <v>2024</v>
      </c>
      <c r="W1471" s="135">
        <f>+MATCH(PROVEEDORES[[#This Row],[año facturado]],Retenciones!$1:$1,0)</f>
        <v>7</v>
      </c>
      <c r="X1471" s="136">
        <f>+VLOOKUP(PROVEEDORES[[#This Row],[ID RETENCION]],Retenciones!$A$1:$O$25,PROVEEDORES[[#This Row],[indicador de columna]],FALSE)</f>
        <v>0</v>
      </c>
      <c r="Y1471" s="137">
        <f>+VLOOKUP(PROVEEDORES[[#This Row],[ID RETENCION]],Retenciones!$A$1:$O$25,2,FALSE)</f>
        <v>0</v>
      </c>
      <c r="Z1471" s="126" t="b">
        <f>+OR(COUNTIF(PROVEEDORES[[#This Row],[PROVEEDOR]],"*"&amp;'Palabra que no opera y Listas d'!$A$2&amp;"*"))</f>
        <v>0</v>
      </c>
    </row>
    <row r="1472" spans="1:26" ht="27.75" customHeight="1" x14ac:dyDescent="0.25">
      <c r="A1472" s="141" t="str">
        <f>+IF(PROVEEDORES[[#This Row],[FECHA DE PAGO]]=PROVEEDORES[[#This Row],[FECHA DE FACTURACIÓN]],"DE CONTADO","CRÉDITO")</f>
        <v>DE CONTADO</v>
      </c>
      <c r="B1472" s="138" t="b">
        <f>+IF((PROVEEDORES[[#This Row],[FECHA DE PAGO]]-PROVEEDORES[[#This Row],[FECHA DE FACTURACIÓN]])&gt;PROVEEDORES[[#This Row],[PLAZO Días]],"PAGO VENCIDO")</f>
        <v>0</v>
      </c>
      <c r="C1472" s="138">
        <f>+VLOOKUP(PROVEEDORES[[#This Row],[PROVEEDOR]],TERCEROS_INFO[#All],2,FALSE)</f>
        <v>30</v>
      </c>
      <c r="D1472" s="139">
        <f>+SUMIFS(PROVEEDORES[Total],PROVEEDORES[PROVEEDOR],PROVEEDORES[[#This Row],[PROVEEDOR]],PROVEEDORES[FECHA DE PAGO],"")</f>
        <v>8456975.129999999</v>
      </c>
      <c r="E1472" s="140"/>
      <c r="F1472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472" s="127">
        <v>45398</v>
      </c>
      <c r="H1472" s="123" t="s">
        <v>1464</v>
      </c>
      <c r="I1472" s="127">
        <v>45398</v>
      </c>
      <c r="J1472" s="124" t="s">
        <v>1774</v>
      </c>
      <c r="K1472" s="124" t="s">
        <v>1530</v>
      </c>
      <c r="L1472" s="124" t="s">
        <v>1395</v>
      </c>
      <c r="M1472" s="125">
        <v>11460</v>
      </c>
      <c r="N1472" s="148">
        <v>2177.4</v>
      </c>
      <c r="O1472" s="148">
        <v>0</v>
      </c>
      <c r="P1472" s="149">
        <v>0</v>
      </c>
      <c r="Q1472" s="148">
        <v>0</v>
      </c>
      <c r="R1472" s="150">
        <v>13637.4</v>
      </c>
      <c r="S147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2" s="135">
        <f ca="1">+IF(PROVEEDORES[[#This Row],[FECHA DE PAGO]]=0,TODAY()-PROVEEDORES[[#This Row],[FECHA DE FACTURACIÓN]]-PROVEEDORES[[#This Row],[PLAZO Días]],0)</f>
        <v>0</v>
      </c>
      <c r="U1472" s="135" t="str">
        <f>+VLOOKUP(PROVEEDORES[[#This Row],[PROVEEDOR]],Terceros!$A:$D,4,FALSE)</f>
        <v>2,5% con base</v>
      </c>
      <c r="V1472" s="135">
        <f>+YEAR(PROVEEDORES[[#This Row],[FECHA DE FACTURACIÓN]])</f>
        <v>2024</v>
      </c>
      <c r="W1472" s="135">
        <f>+MATCH(PROVEEDORES[[#This Row],[año facturado]],Retenciones!$1:$1,0)</f>
        <v>7</v>
      </c>
      <c r="X1472" s="136">
        <f>+VLOOKUP(PROVEEDORES[[#This Row],[ID RETENCION]],Retenciones!$A$1:$O$25,PROVEEDORES[[#This Row],[indicador de columna]],FALSE)</f>
        <v>1271000</v>
      </c>
      <c r="Y1472" s="137">
        <f>+VLOOKUP(PROVEEDORES[[#This Row],[ID RETENCION]],Retenciones!$A$1:$O$25,2,FALSE)</f>
        <v>2.5000000000000001E-2</v>
      </c>
      <c r="Z1472" s="126" t="b">
        <f>+OR(COUNTIF(PROVEEDORES[[#This Row],[PROVEEDOR]],"*"&amp;'Palabra que no opera y Listas d'!$A$2&amp;"*"))</f>
        <v>0</v>
      </c>
    </row>
    <row r="1473" spans="1:26" ht="27.75" customHeight="1" x14ac:dyDescent="0.25">
      <c r="A1473" s="141" t="str">
        <f>+IF(PROVEEDORES[[#This Row],[FECHA DE PAGO]]=PROVEEDORES[[#This Row],[FECHA DE FACTURACIÓN]],"DE CONTADO","CRÉDITO")</f>
        <v>CRÉDITO</v>
      </c>
      <c r="B1473" s="138" t="str">
        <f>+IF((PROVEEDORES[[#This Row],[FECHA DE PAGO]]-PROVEEDORES[[#This Row],[FECHA DE FACTURACIÓN]])&gt;PROVEEDORES[[#This Row],[PLAZO Días]],"PAGO VENCIDO")</f>
        <v>PAGO VENCIDO</v>
      </c>
      <c r="C1473" s="138">
        <f>+VLOOKUP(PROVEEDORES[[#This Row],[PROVEEDOR]],TERCEROS_INFO[#All],2,FALSE)</f>
        <v>30</v>
      </c>
      <c r="D1473" s="139">
        <f>+SUMIFS(PROVEEDORES[Total],PROVEEDORES[PROVEEDOR],PROVEEDORES[[#This Row],[PROVEEDOR]],PROVEEDORES[FECHA DE PAGO],"")</f>
        <v>818443.92</v>
      </c>
      <c r="E1473" s="140"/>
      <c r="F1473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473" s="127">
        <v>45399</v>
      </c>
      <c r="H1473" s="123" t="s">
        <v>20</v>
      </c>
      <c r="I1473" s="127">
        <v>45356</v>
      </c>
      <c r="J1473" s="124" t="s">
        <v>1651</v>
      </c>
      <c r="K1473" s="124" t="s">
        <v>504</v>
      </c>
      <c r="L1473" s="124" t="s">
        <v>1534</v>
      </c>
      <c r="M1473" s="125">
        <v>920660</v>
      </c>
      <c r="N1473" s="148">
        <v>174925.4</v>
      </c>
      <c r="O1473" s="148">
        <v>0</v>
      </c>
      <c r="P1473" s="149">
        <v>0</v>
      </c>
      <c r="Q1473" s="148">
        <v>0</v>
      </c>
      <c r="R1473" s="150">
        <v>1095585.3999999999</v>
      </c>
      <c r="S147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3" s="135">
        <f ca="1">+IF(PROVEEDORES[[#This Row],[FECHA DE PAGO]]=0,TODAY()-PROVEEDORES[[#This Row],[FECHA DE FACTURACIÓN]]-PROVEEDORES[[#This Row],[PLAZO Días]],0)</f>
        <v>0</v>
      </c>
      <c r="U1473" s="135" t="str">
        <f>+VLOOKUP(PROVEEDORES[[#This Row],[PROVEEDOR]],Terceros!$A:$D,4,FALSE)</f>
        <v>2,5% con base</v>
      </c>
      <c r="V1473" s="135">
        <f>+YEAR(PROVEEDORES[[#This Row],[FECHA DE FACTURACIÓN]])</f>
        <v>2024</v>
      </c>
      <c r="W1473" s="135">
        <f>+MATCH(PROVEEDORES[[#This Row],[año facturado]],Retenciones!$1:$1,0)</f>
        <v>7</v>
      </c>
      <c r="X1473" s="136">
        <f>+VLOOKUP(PROVEEDORES[[#This Row],[ID RETENCION]],Retenciones!$A$1:$O$25,PROVEEDORES[[#This Row],[indicador de columna]],FALSE)</f>
        <v>1271000</v>
      </c>
      <c r="Y1473" s="137">
        <f>+VLOOKUP(PROVEEDORES[[#This Row],[ID RETENCION]],Retenciones!$A$1:$O$25,2,FALSE)</f>
        <v>2.5000000000000001E-2</v>
      </c>
      <c r="Z1473" s="126" t="b">
        <f>+OR(COUNTIF(PROVEEDORES[[#This Row],[PROVEEDOR]],"*"&amp;'Palabra que no opera y Listas d'!$A$2&amp;"*"))</f>
        <v>0</v>
      </c>
    </row>
    <row r="1474" spans="1:26" ht="27.75" customHeight="1" x14ac:dyDescent="0.25">
      <c r="A1474" s="141" t="str">
        <f>+IF(PROVEEDORES[[#This Row],[FECHA DE PAGO]]=PROVEEDORES[[#This Row],[FECHA DE FACTURACIÓN]],"DE CONTADO","CRÉDITO")</f>
        <v>CRÉDITO</v>
      </c>
      <c r="B1474" s="138" t="str">
        <f>+IF((PROVEEDORES[[#This Row],[FECHA DE PAGO]]-PROVEEDORES[[#This Row],[FECHA DE FACTURACIÓN]])&gt;PROVEEDORES[[#This Row],[PLAZO Días]],"PAGO VENCIDO")</f>
        <v>PAGO VENCIDO</v>
      </c>
      <c r="C1474" s="138">
        <f>+VLOOKUP(PROVEEDORES[[#This Row],[PROVEEDOR]],TERCEROS_INFO[#All],2,FALSE)</f>
        <v>30</v>
      </c>
      <c r="D1474" s="139">
        <f>+SUMIFS(PROVEEDORES[Total],PROVEEDORES[PROVEEDOR],PROVEEDORES[[#This Row],[PROVEEDOR]],PROVEEDORES[FECHA DE PAGO],"")</f>
        <v>5813868.5099999998</v>
      </c>
      <c r="E1474" s="140"/>
      <c r="F1474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474" s="127">
        <v>45399</v>
      </c>
      <c r="H1474" s="123" t="s">
        <v>24</v>
      </c>
      <c r="I1474" s="127">
        <v>45363</v>
      </c>
      <c r="J1474" s="124">
        <v>5042361</v>
      </c>
      <c r="K1474" s="124" t="s">
        <v>504</v>
      </c>
      <c r="L1474" s="124" t="s">
        <v>1534</v>
      </c>
      <c r="M1474" s="125">
        <v>1760000</v>
      </c>
      <c r="N1474" s="148">
        <v>334400</v>
      </c>
      <c r="O1474" s="148">
        <v>0</v>
      </c>
      <c r="P1474" s="149">
        <v>2.5000000000000001E-2</v>
      </c>
      <c r="Q1474" s="148">
        <v>44000</v>
      </c>
      <c r="R1474" s="150">
        <v>2050400</v>
      </c>
      <c r="S147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4" s="135">
        <f ca="1">+IF(PROVEEDORES[[#This Row],[FECHA DE PAGO]]=0,TODAY()-PROVEEDORES[[#This Row],[FECHA DE FACTURACIÓN]]-PROVEEDORES[[#This Row],[PLAZO Días]],0)</f>
        <v>0</v>
      </c>
      <c r="U1474" s="135" t="str">
        <f>+VLOOKUP(PROVEEDORES[[#This Row],[PROVEEDOR]],Terceros!$A:$D,4,FALSE)</f>
        <v>2,5% con base</v>
      </c>
      <c r="V1474" s="135">
        <f>+YEAR(PROVEEDORES[[#This Row],[FECHA DE FACTURACIÓN]])</f>
        <v>2024</v>
      </c>
      <c r="W1474" s="135">
        <f>+MATCH(PROVEEDORES[[#This Row],[año facturado]],Retenciones!$1:$1,0)</f>
        <v>7</v>
      </c>
      <c r="X1474" s="136">
        <f>+VLOOKUP(PROVEEDORES[[#This Row],[ID RETENCION]],Retenciones!$A$1:$O$25,PROVEEDORES[[#This Row],[indicador de columna]],FALSE)</f>
        <v>1271000</v>
      </c>
      <c r="Y1474" s="137">
        <f>+VLOOKUP(PROVEEDORES[[#This Row],[ID RETENCION]],Retenciones!$A$1:$O$25,2,FALSE)</f>
        <v>2.5000000000000001E-2</v>
      </c>
      <c r="Z1474" s="126" t="b">
        <f>+OR(COUNTIF(PROVEEDORES[[#This Row],[PROVEEDOR]],"*"&amp;'Palabra que no opera y Listas d'!$A$2&amp;"*"))</f>
        <v>0</v>
      </c>
    </row>
    <row r="1475" spans="1:26" ht="27.75" customHeight="1" x14ac:dyDescent="0.25">
      <c r="A1475" s="141" t="str">
        <f>+IF(PROVEEDORES[[#This Row],[FECHA DE PAGO]]=PROVEEDORES[[#This Row],[FECHA DE FACTURACIÓN]],"DE CONTADO","CRÉDITO")</f>
        <v>CRÉDITO</v>
      </c>
      <c r="B1475" s="138" t="str">
        <f>+IF((PROVEEDORES[[#This Row],[FECHA DE PAGO]]-PROVEEDORES[[#This Row],[FECHA DE FACTURACIÓN]])&gt;PROVEEDORES[[#This Row],[PLAZO Días]],"PAGO VENCIDO")</f>
        <v>PAGO VENCIDO</v>
      </c>
      <c r="C1475" s="138">
        <f>+VLOOKUP(PROVEEDORES[[#This Row],[PROVEEDOR]],TERCEROS_INFO[#All],2,FALSE)</f>
        <v>30</v>
      </c>
      <c r="D1475" s="139">
        <f>+SUMIFS(PROVEEDORES[Total],PROVEEDORES[PROVEEDOR],PROVEEDORES[[#This Row],[PROVEEDOR]],PROVEEDORES[FECHA DE PAGO],"")</f>
        <v>3130000</v>
      </c>
      <c r="E1475" s="140"/>
      <c r="F1475" s="138">
        <f>+VLOOKUP(PROVEEDORES[[#This Row],[PROVEEDOR]],
                       Terceros!$A:$F,
                       5,
                       FALSE)</f>
        <v>0</v>
      </c>
      <c r="G1475" s="127">
        <v>45400</v>
      </c>
      <c r="H1475" s="123" t="s">
        <v>472</v>
      </c>
      <c r="I1475" s="127">
        <v>45358</v>
      </c>
      <c r="J1475" s="124" t="s">
        <v>1673</v>
      </c>
      <c r="K1475" s="124" t="s">
        <v>1530</v>
      </c>
      <c r="L1475" s="124" t="s">
        <v>1395</v>
      </c>
      <c r="M1475" s="125">
        <v>1209000</v>
      </c>
      <c r="N1475" s="148">
        <v>0</v>
      </c>
      <c r="O1475" s="148">
        <v>0</v>
      </c>
      <c r="P1475" s="149">
        <v>0</v>
      </c>
      <c r="Q1475" s="148">
        <v>0</v>
      </c>
      <c r="R1475" s="150">
        <v>1209000</v>
      </c>
      <c r="S14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5" s="135">
        <f ca="1">+IF(PROVEEDORES[[#This Row],[FECHA DE PAGO]]=0,TODAY()-PROVEEDORES[[#This Row],[FECHA DE FACTURACIÓN]]-PROVEEDORES[[#This Row],[PLAZO Días]],0)</f>
        <v>0</v>
      </c>
      <c r="U1475" s="135">
        <f>+VLOOKUP(PROVEEDORES[[#This Row],[PROVEEDOR]],Terceros!$A:$D,4,FALSE)</f>
        <v>0</v>
      </c>
      <c r="V1475" s="135">
        <f>+YEAR(PROVEEDORES[[#This Row],[FECHA DE FACTURACIÓN]])</f>
        <v>2024</v>
      </c>
      <c r="W1475" s="135">
        <f>+MATCH(PROVEEDORES[[#This Row],[año facturado]],Retenciones!$1:$1,0)</f>
        <v>7</v>
      </c>
      <c r="X1475" s="136">
        <f>+VLOOKUP(PROVEEDORES[[#This Row],[ID RETENCION]],Retenciones!$A$1:$O$25,PROVEEDORES[[#This Row],[indicador de columna]],FALSE)</f>
        <v>0</v>
      </c>
      <c r="Y1475" s="137">
        <f>+VLOOKUP(PROVEEDORES[[#This Row],[ID RETENCION]],Retenciones!$A$1:$O$25,2,FALSE)</f>
        <v>0</v>
      </c>
      <c r="Z1475" s="126" t="b">
        <f>+OR(COUNTIF(PROVEEDORES[[#This Row],[PROVEEDOR]],"*"&amp;'Palabra que no opera y Listas d'!$A$2&amp;"*"))</f>
        <v>0</v>
      </c>
    </row>
    <row r="1476" spans="1:26" ht="27.75" customHeight="1" x14ac:dyDescent="0.25">
      <c r="A1476" s="141" t="str">
        <f>+IF(PROVEEDORES[[#This Row],[FECHA DE PAGO]]=PROVEEDORES[[#This Row],[FECHA DE FACTURACIÓN]],"DE CONTADO","CRÉDITO")</f>
        <v>CRÉDITO</v>
      </c>
      <c r="B1476" s="138" t="b">
        <f>+IF((PROVEEDORES[[#This Row],[FECHA DE PAGO]]-PROVEEDORES[[#This Row],[FECHA DE FACTURACIÓN]])&gt;PROVEEDORES[[#This Row],[PLAZO Días]],"PAGO VENCIDO")</f>
        <v>0</v>
      </c>
      <c r="C1476" s="138">
        <f>+VLOOKUP(PROVEEDORES[[#This Row],[PROVEEDOR]],TERCEROS_INFO[#All],2,FALSE)</f>
        <v>30</v>
      </c>
      <c r="D1476" s="139">
        <f>+SUMIFS(PROVEEDORES[Total],PROVEEDORES[PROVEEDOR],PROVEEDORES[[#This Row],[PROVEEDOR]],PROVEEDORES[FECHA DE PAGO],"")</f>
        <v>0</v>
      </c>
      <c r="E1476" s="140"/>
      <c r="F1476" s="138" t="str">
        <f>+VLOOKUP(PROVEEDORES[[#This Row],[PROVEEDOR]],
                       Terceros!$A:$F,
                       5,
                       FALSE)</f>
        <v>judy.torres@movecargo.co;girlesa.ruiz@servipilas.com;joriescobar64@gmail.com</v>
      </c>
      <c r="G1476" s="127">
        <v>45401</v>
      </c>
      <c r="H1476" s="123" t="s">
        <v>1724</v>
      </c>
      <c r="I1476" s="127">
        <v>45398</v>
      </c>
      <c r="J1476" s="124" t="s">
        <v>1767</v>
      </c>
      <c r="K1476" s="124" t="s">
        <v>504</v>
      </c>
      <c r="L1476" s="124" t="s">
        <v>1534</v>
      </c>
      <c r="M1476" s="125">
        <v>5775065</v>
      </c>
      <c r="N1476" s="148">
        <v>210330</v>
      </c>
      <c r="O1476" s="148">
        <v>0</v>
      </c>
      <c r="P1476" s="149">
        <v>0.01</v>
      </c>
      <c r="Q1476" s="148">
        <v>44280</v>
      </c>
      <c r="R1476" s="150">
        <v>-1908885</v>
      </c>
      <c r="S147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6" s="135">
        <f ca="1">+IF(PROVEEDORES[[#This Row],[FECHA DE PAGO]]=0,TODAY()-PROVEEDORES[[#This Row],[FECHA DE FACTURACIÓN]]-PROVEEDORES[[#This Row],[PLAZO Días]],0)</f>
        <v>0</v>
      </c>
      <c r="U1476" s="135" t="str">
        <f>+VLOOKUP(PROVEEDORES[[#This Row],[PROVEEDOR]],Terceros!$A:$D,4,FALSE)</f>
        <v>1% sin base</v>
      </c>
      <c r="V1476" s="135">
        <f>+YEAR(PROVEEDORES[[#This Row],[FECHA DE FACTURACIÓN]])</f>
        <v>2024</v>
      </c>
      <c r="W1476" s="135">
        <f>+MATCH(PROVEEDORES[[#This Row],[año facturado]],Retenciones!$1:$1,0)</f>
        <v>7</v>
      </c>
      <c r="X1476" s="136">
        <f>+VLOOKUP(PROVEEDORES[[#This Row],[ID RETENCION]],Retenciones!$A$1:$O$25,PROVEEDORES[[#This Row],[indicador de columna]],FALSE)</f>
        <v>0</v>
      </c>
      <c r="Y1476" s="137">
        <f>+VLOOKUP(PROVEEDORES[[#This Row],[ID RETENCION]],Retenciones!$A$1:$O$25,2,FALSE)</f>
        <v>0.01</v>
      </c>
      <c r="Z1476" s="126" t="b">
        <f>+OR(COUNTIF(PROVEEDORES[[#This Row],[PROVEEDOR]],"*"&amp;'Palabra que no opera y Listas d'!$A$2&amp;"*"))</f>
        <v>0</v>
      </c>
    </row>
    <row r="1477" spans="1:26" ht="27.75" customHeight="1" x14ac:dyDescent="0.25">
      <c r="A1477" s="141" t="str">
        <f>+IF(PROVEEDORES[[#This Row],[FECHA DE PAGO]]=PROVEEDORES[[#This Row],[FECHA DE FACTURACIÓN]],"DE CONTADO","CRÉDITO")</f>
        <v>CRÉDITO</v>
      </c>
      <c r="B1477" s="138" t="str">
        <f>+IF((PROVEEDORES[[#This Row],[FECHA DE PAGO]]-PROVEEDORES[[#This Row],[FECHA DE FACTURACIÓN]])&gt;PROVEEDORES[[#This Row],[PLAZO Días]],"PAGO VENCIDO")</f>
        <v>PAGO VENCIDO</v>
      </c>
      <c r="C1477" s="138">
        <f>+VLOOKUP(PROVEEDORES[[#This Row],[PROVEEDOR]],TERCEROS_INFO[#All],2,FALSE)</f>
        <v>30</v>
      </c>
      <c r="D1477" s="139">
        <f>+SUMIFS(PROVEEDORES[Total],PROVEEDORES[PROVEEDOR],PROVEEDORES[[#This Row],[PROVEEDOR]],PROVEEDORES[FECHA DE PAGO],"")</f>
        <v>8456975.129999999</v>
      </c>
      <c r="E1477" s="140"/>
      <c r="F1477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477" s="127">
        <v>45404</v>
      </c>
      <c r="H1477" s="123" t="s">
        <v>1464</v>
      </c>
      <c r="I1477" s="127">
        <v>45328</v>
      </c>
      <c r="J1477" s="124" t="s">
        <v>1697</v>
      </c>
      <c r="K1477" s="124" t="s">
        <v>1530</v>
      </c>
      <c r="L1477" s="124" t="s">
        <v>1533</v>
      </c>
      <c r="M1477" s="125">
        <v>-47745</v>
      </c>
      <c r="N1477" s="148">
        <v>0</v>
      </c>
      <c r="O1477" s="148">
        <v>0</v>
      </c>
      <c r="P1477" s="149">
        <v>0</v>
      </c>
      <c r="Q1477" s="148">
        <v>0</v>
      </c>
      <c r="R1477" s="150">
        <v>-47745</v>
      </c>
      <c r="S147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7" s="135">
        <f ca="1">+IF(PROVEEDORES[[#This Row],[FECHA DE PAGO]]=0,TODAY()-PROVEEDORES[[#This Row],[FECHA DE FACTURACIÓN]]-PROVEEDORES[[#This Row],[PLAZO Días]],0)</f>
        <v>0</v>
      </c>
      <c r="U1477" s="135" t="str">
        <f>+VLOOKUP(PROVEEDORES[[#This Row],[PROVEEDOR]],Terceros!$A:$D,4,FALSE)</f>
        <v>2,5% con base</v>
      </c>
      <c r="V1477" s="135">
        <f>+YEAR(PROVEEDORES[[#This Row],[FECHA DE FACTURACIÓN]])</f>
        <v>2024</v>
      </c>
      <c r="W1477" s="135">
        <f>+MATCH(PROVEEDORES[[#This Row],[año facturado]],Retenciones!$1:$1,0)</f>
        <v>7</v>
      </c>
      <c r="X1477" s="136">
        <f>+VLOOKUP(PROVEEDORES[[#This Row],[ID RETENCION]],Retenciones!$A$1:$O$25,PROVEEDORES[[#This Row],[indicador de columna]],FALSE)</f>
        <v>1271000</v>
      </c>
      <c r="Y1477" s="137">
        <f>+VLOOKUP(PROVEEDORES[[#This Row],[ID RETENCION]],Retenciones!$A$1:$O$25,2,FALSE)</f>
        <v>2.5000000000000001E-2</v>
      </c>
      <c r="Z1477" s="126" t="b">
        <f>+OR(COUNTIF(PROVEEDORES[[#This Row],[PROVEEDOR]],"*"&amp;'Palabra que no opera y Listas d'!$A$2&amp;"*"))</f>
        <v>0</v>
      </c>
    </row>
    <row r="1478" spans="1:26" ht="27.75" customHeight="1" x14ac:dyDescent="0.25">
      <c r="A1478" s="141" t="str">
        <f>+IF(PROVEEDORES[[#This Row],[FECHA DE PAGO]]=PROVEEDORES[[#This Row],[FECHA DE FACTURACIÓN]],"DE CONTADO","CRÉDITO")</f>
        <v>CRÉDITO</v>
      </c>
      <c r="B1478" s="138" t="str">
        <f>+IF((PROVEEDORES[[#This Row],[FECHA DE PAGO]]-PROVEEDORES[[#This Row],[FECHA DE FACTURACIÓN]])&gt;PROVEEDORES[[#This Row],[PLAZO Días]],"PAGO VENCIDO")</f>
        <v>PAGO VENCIDO</v>
      </c>
      <c r="C1478" s="138">
        <f>+VLOOKUP(PROVEEDORES[[#This Row],[PROVEEDOR]],TERCEROS_INFO[#All],2,FALSE)</f>
        <v>45</v>
      </c>
      <c r="D1478" s="139">
        <f>+SUMIFS(PROVEEDORES[Total],PROVEEDORES[PROVEEDOR],PROVEEDORES[[#This Row],[PROVEEDOR]],PROVEEDORES[FECHA DE PAGO],"")</f>
        <v>22186260.039999999</v>
      </c>
      <c r="E1478" s="140"/>
      <c r="F1478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478" s="127">
        <v>45404</v>
      </c>
      <c r="H1478" s="123" t="s">
        <v>19</v>
      </c>
      <c r="I1478" s="127">
        <v>45355</v>
      </c>
      <c r="J1478" s="124" t="s">
        <v>1646</v>
      </c>
      <c r="K1478" s="124" t="s">
        <v>504</v>
      </c>
      <c r="L1478" s="124" t="s">
        <v>1534</v>
      </c>
      <c r="M1478" s="125">
        <v>4654825</v>
      </c>
      <c r="N1478" s="148">
        <v>884416.75</v>
      </c>
      <c r="O1478" s="148">
        <v>0</v>
      </c>
      <c r="P1478" s="149">
        <v>0</v>
      </c>
      <c r="Q1478" s="148">
        <v>0</v>
      </c>
      <c r="R1478" s="150">
        <v>5539241.75</v>
      </c>
      <c r="S147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8" s="135">
        <f ca="1">+IF(PROVEEDORES[[#This Row],[FECHA DE PAGO]]=0,TODAY()-PROVEEDORES[[#This Row],[FECHA DE FACTURACIÓN]]-PROVEEDORES[[#This Row],[PLAZO Días]],0)</f>
        <v>0</v>
      </c>
      <c r="U1478" s="135">
        <f>+VLOOKUP(PROVEEDORES[[#This Row],[PROVEEDOR]],Terceros!$A:$D,4,FALSE)</f>
        <v>0</v>
      </c>
      <c r="V1478" s="135">
        <f>+YEAR(PROVEEDORES[[#This Row],[FECHA DE FACTURACIÓN]])</f>
        <v>2024</v>
      </c>
      <c r="W1478" s="135">
        <f>+MATCH(PROVEEDORES[[#This Row],[año facturado]],Retenciones!$1:$1,0)</f>
        <v>7</v>
      </c>
      <c r="X1478" s="136">
        <f>+VLOOKUP(PROVEEDORES[[#This Row],[ID RETENCION]],Retenciones!$A$1:$O$25,PROVEEDORES[[#This Row],[indicador de columna]],FALSE)</f>
        <v>0</v>
      </c>
      <c r="Y1478" s="137">
        <f>+VLOOKUP(PROVEEDORES[[#This Row],[ID RETENCION]],Retenciones!$A$1:$O$25,2,FALSE)</f>
        <v>0</v>
      </c>
      <c r="Z1478" s="126" t="b">
        <f>+OR(COUNTIF(PROVEEDORES[[#This Row],[PROVEEDOR]],"*"&amp;'Palabra que no opera y Listas d'!$A$2&amp;"*"))</f>
        <v>0</v>
      </c>
    </row>
    <row r="1479" spans="1:26" ht="27.75" customHeight="1" x14ac:dyDescent="0.25">
      <c r="A1479" s="141" t="str">
        <f>+IF(PROVEEDORES[[#This Row],[FECHA DE PAGO]]=PROVEEDORES[[#This Row],[FECHA DE FACTURACIÓN]],"DE CONTADO","CRÉDITO")</f>
        <v>CRÉDITO</v>
      </c>
      <c r="B1479" s="138" t="str">
        <f>+IF((PROVEEDORES[[#This Row],[FECHA DE PAGO]]-PROVEEDORES[[#This Row],[FECHA DE FACTURACIÓN]])&gt;PROVEEDORES[[#This Row],[PLAZO Días]],"PAGO VENCIDO")</f>
        <v>PAGO VENCIDO</v>
      </c>
      <c r="C1479" s="138">
        <f>+VLOOKUP(PROVEEDORES[[#This Row],[PROVEEDOR]],TERCEROS_INFO[#All],2,FALSE)</f>
        <v>30</v>
      </c>
      <c r="D1479" s="139">
        <f>+SUMIFS(PROVEEDORES[Total],PROVEEDORES[PROVEEDOR],PROVEEDORES[[#This Row],[PROVEEDOR]],PROVEEDORES[FECHA DE PAGO],"")</f>
        <v>8456975.129999999</v>
      </c>
      <c r="E1479" s="140"/>
      <c r="F1479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479" s="127">
        <v>45404</v>
      </c>
      <c r="H1479" s="123" t="s">
        <v>1464</v>
      </c>
      <c r="I1479" s="127">
        <v>45356</v>
      </c>
      <c r="J1479" s="124" t="s">
        <v>1658</v>
      </c>
      <c r="K1479" s="124" t="s">
        <v>1530</v>
      </c>
      <c r="L1479" s="124" t="s">
        <v>1533</v>
      </c>
      <c r="M1479" s="125">
        <v>302088</v>
      </c>
      <c r="N1479" s="148">
        <v>57396.72</v>
      </c>
      <c r="O1479" s="148">
        <v>0</v>
      </c>
      <c r="P1479" s="149">
        <v>0</v>
      </c>
      <c r="Q1479" s="148">
        <v>0</v>
      </c>
      <c r="R1479" s="150">
        <v>359484.72</v>
      </c>
      <c r="S14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79" s="135">
        <f ca="1">+IF(PROVEEDORES[[#This Row],[FECHA DE PAGO]]=0,TODAY()-PROVEEDORES[[#This Row],[FECHA DE FACTURACIÓN]]-PROVEEDORES[[#This Row],[PLAZO Días]],0)</f>
        <v>0</v>
      </c>
      <c r="U1479" s="135" t="str">
        <f>+VLOOKUP(PROVEEDORES[[#This Row],[PROVEEDOR]],Terceros!$A:$D,4,FALSE)</f>
        <v>2,5% con base</v>
      </c>
      <c r="V1479" s="135">
        <f>+YEAR(PROVEEDORES[[#This Row],[FECHA DE FACTURACIÓN]])</f>
        <v>2024</v>
      </c>
      <c r="W1479" s="135">
        <f>+MATCH(PROVEEDORES[[#This Row],[año facturado]],Retenciones!$1:$1,0)</f>
        <v>7</v>
      </c>
      <c r="X1479" s="136">
        <f>+VLOOKUP(PROVEEDORES[[#This Row],[ID RETENCION]],Retenciones!$A$1:$O$25,PROVEEDORES[[#This Row],[indicador de columna]],FALSE)</f>
        <v>1271000</v>
      </c>
      <c r="Y1479" s="137">
        <f>+VLOOKUP(PROVEEDORES[[#This Row],[ID RETENCION]],Retenciones!$A$1:$O$25,2,FALSE)</f>
        <v>2.5000000000000001E-2</v>
      </c>
      <c r="Z1479" s="126" t="b">
        <f>+OR(COUNTIF(PROVEEDORES[[#This Row],[PROVEEDOR]],"*"&amp;'Palabra que no opera y Listas d'!$A$2&amp;"*"))</f>
        <v>0</v>
      </c>
    </row>
    <row r="1480" spans="1:26" ht="27.75" customHeight="1" x14ac:dyDescent="0.25">
      <c r="A1480" s="141" t="str">
        <f>+IF(PROVEEDORES[[#This Row],[FECHA DE PAGO]]=PROVEEDORES[[#This Row],[FECHA DE FACTURACIÓN]],"DE CONTADO","CRÉDITO")</f>
        <v>CRÉDITO</v>
      </c>
      <c r="B1480" s="138" t="str">
        <f>+IF((PROVEEDORES[[#This Row],[FECHA DE PAGO]]-PROVEEDORES[[#This Row],[FECHA DE FACTURACIÓN]])&gt;PROVEEDORES[[#This Row],[PLAZO Días]],"PAGO VENCIDO")</f>
        <v>PAGO VENCIDO</v>
      </c>
      <c r="C1480" s="138">
        <f>+VLOOKUP(PROVEEDORES[[#This Row],[PROVEEDOR]],TERCEROS_INFO[#All],2,FALSE)</f>
        <v>30</v>
      </c>
      <c r="D1480" s="139">
        <f>+SUMIFS(PROVEEDORES[Total],PROVEEDORES[PROVEEDOR],PROVEEDORES[[#This Row],[PROVEEDOR]],PROVEEDORES[FECHA DE PAGO],"")</f>
        <v>1460000.29</v>
      </c>
      <c r="E1480" s="140"/>
      <c r="F1480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480" s="127">
        <v>45404</v>
      </c>
      <c r="H1480" s="123" t="s">
        <v>131</v>
      </c>
      <c r="I1480" s="127">
        <v>45358</v>
      </c>
      <c r="J1480" s="124" t="s">
        <v>1650</v>
      </c>
      <c r="K1480" s="124" t="s">
        <v>1530</v>
      </c>
      <c r="L1480" s="124" t="s">
        <v>1533</v>
      </c>
      <c r="M1480" s="125">
        <v>189076</v>
      </c>
      <c r="N1480" s="148">
        <v>35924.44</v>
      </c>
      <c r="O1480" s="148">
        <v>0</v>
      </c>
      <c r="P1480" s="149">
        <v>0</v>
      </c>
      <c r="Q1480" s="148">
        <v>0</v>
      </c>
      <c r="R1480" s="150">
        <v>225000.44</v>
      </c>
      <c r="S148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0" s="135">
        <f ca="1">+IF(PROVEEDORES[[#This Row],[FECHA DE PAGO]]=0,TODAY()-PROVEEDORES[[#This Row],[FECHA DE FACTURACIÓN]]-PROVEEDORES[[#This Row],[PLAZO Días]],0)</f>
        <v>0</v>
      </c>
      <c r="U1480" s="135" t="str">
        <f>+VLOOKUP(PROVEEDORES[[#This Row],[PROVEEDOR]],Terceros!$A:$D,4,FALSE)</f>
        <v>2,5% con base</v>
      </c>
      <c r="V1480" s="135">
        <f>+YEAR(PROVEEDORES[[#This Row],[FECHA DE FACTURACIÓN]])</f>
        <v>2024</v>
      </c>
      <c r="W1480" s="135">
        <f>+MATCH(PROVEEDORES[[#This Row],[año facturado]],Retenciones!$1:$1,0)</f>
        <v>7</v>
      </c>
      <c r="X1480" s="136">
        <f>+VLOOKUP(PROVEEDORES[[#This Row],[ID RETENCION]],Retenciones!$A$1:$O$25,PROVEEDORES[[#This Row],[indicador de columna]],FALSE)</f>
        <v>1271000</v>
      </c>
      <c r="Y1480" s="137">
        <f>+VLOOKUP(PROVEEDORES[[#This Row],[ID RETENCION]],Retenciones!$A$1:$O$25,2,FALSE)</f>
        <v>2.5000000000000001E-2</v>
      </c>
      <c r="Z1480" s="126" t="b">
        <f>+OR(COUNTIF(PROVEEDORES[[#This Row],[PROVEEDOR]],"*"&amp;'Palabra que no opera y Listas d'!$A$2&amp;"*"))</f>
        <v>0</v>
      </c>
    </row>
    <row r="1481" spans="1:26" ht="27.75" customHeight="1" x14ac:dyDescent="0.25">
      <c r="A1481" s="141" t="str">
        <f>+IF(PROVEEDORES[[#This Row],[FECHA DE PAGO]]=PROVEEDORES[[#This Row],[FECHA DE FACTURACIÓN]],"DE CONTADO","CRÉDITO")</f>
        <v>CRÉDITO</v>
      </c>
      <c r="B1481" s="138" t="str">
        <f>+IF((PROVEEDORES[[#This Row],[FECHA DE PAGO]]-PROVEEDORES[[#This Row],[FECHA DE FACTURACIÓN]])&gt;PROVEEDORES[[#This Row],[PLAZO Días]],"PAGO VENCIDO")</f>
        <v>PAGO VENCIDO</v>
      </c>
      <c r="C1481" s="138">
        <f>+VLOOKUP(PROVEEDORES[[#This Row],[PROVEEDOR]],TERCEROS_INFO[#All],2,FALSE)</f>
        <v>30</v>
      </c>
      <c r="D1481" s="139">
        <f>+SUMIFS(PROVEEDORES[Total],PROVEEDORES[PROVEEDOR],PROVEEDORES[[#This Row],[PROVEEDOR]],PROVEEDORES[FECHA DE PAGO],"")</f>
        <v>8456975.129999999</v>
      </c>
      <c r="E1481" s="140"/>
      <c r="F1481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481" s="127">
        <v>45404</v>
      </c>
      <c r="H1481" s="123" t="s">
        <v>1464</v>
      </c>
      <c r="I1481" s="127">
        <v>45362</v>
      </c>
      <c r="J1481" s="124" t="s">
        <v>1656</v>
      </c>
      <c r="K1481" s="124" t="s">
        <v>1530</v>
      </c>
      <c r="L1481" s="124" t="s">
        <v>1534</v>
      </c>
      <c r="M1481" s="125">
        <v>3974276</v>
      </c>
      <c r="N1481" s="148">
        <v>755112.44000000006</v>
      </c>
      <c r="O1481" s="148">
        <v>0</v>
      </c>
      <c r="P1481" s="149">
        <v>2.5000000000000001E-2</v>
      </c>
      <c r="Q1481" s="148">
        <v>99356.900000000009</v>
      </c>
      <c r="R1481" s="150">
        <v>4630031.54</v>
      </c>
      <c r="S148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1" s="135">
        <f ca="1">+IF(PROVEEDORES[[#This Row],[FECHA DE PAGO]]=0,TODAY()-PROVEEDORES[[#This Row],[FECHA DE FACTURACIÓN]]-PROVEEDORES[[#This Row],[PLAZO Días]],0)</f>
        <v>0</v>
      </c>
      <c r="U1481" s="135" t="str">
        <f>+VLOOKUP(PROVEEDORES[[#This Row],[PROVEEDOR]],Terceros!$A:$D,4,FALSE)</f>
        <v>2,5% con base</v>
      </c>
      <c r="V1481" s="135">
        <f>+YEAR(PROVEEDORES[[#This Row],[FECHA DE FACTURACIÓN]])</f>
        <v>2024</v>
      </c>
      <c r="W1481" s="135">
        <f>+MATCH(PROVEEDORES[[#This Row],[año facturado]],Retenciones!$1:$1,0)</f>
        <v>7</v>
      </c>
      <c r="X1481" s="136">
        <f>+VLOOKUP(PROVEEDORES[[#This Row],[ID RETENCION]],Retenciones!$A$1:$O$25,PROVEEDORES[[#This Row],[indicador de columna]],FALSE)</f>
        <v>1271000</v>
      </c>
      <c r="Y1481" s="137">
        <f>+VLOOKUP(PROVEEDORES[[#This Row],[ID RETENCION]],Retenciones!$A$1:$O$25,2,FALSE)</f>
        <v>2.5000000000000001E-2</v>
      </c>
      <c r="Z1481" s="126" t="b">
        <f>+OR(COUNTIF(PROVEEDORES[[#This Row],[PROVEEDOR]],"*"&amp;'Palabra que no opera y Listas d'!$A$2&amp;"*"))</f>
        <v>0</v>
      </c>
    </row>
    <row r="1482" spans="1:26" ht="27.75" customHeight="1" x14ac:dyDescent="0.25">
      <c r="A1482" s="141" t="str">
        <f>+IF(PROVEEDORES[[#This Row],[FECHA DE PAGO]]=PROVEEDORES[[#This Row],[FECHA DE FACTURACIÓN]],"DE CONTADO","CRÉDITO")</f>
        <v>CRÉDITO</v>
      </c>
      <c r="B1482" s="138" t="str">
        <f>+IF((PROVEEDORES[[#This Row],[FECHA DE PAGO]]-PROVEEDORES[[#This Row],[FECHA DE FACTURACIÓN]])&gt;PROVEEDORES[[#This Row],[PLAZO Días]],"PAGO VENCIDO")</f>
        <v>PAGO VENCIDO</v>
      </c>
      <c r="C1482" s="138">
        <f>+VLOOKUP(PROVEEDORES[[#This Row],[PROVEEDOR]],TERCEROS_INFO[#All],2,FALSE)</f>
        <v>30</v>
      </c>
      <c r="D1482" s="139">
        <f>+SUMIFS(PROVEEDORES[Total],PROVEEDORES[PROVEEDOR],PROVEEDORES[[#This Row],[PROVEEDOR]],PROVEEDORES[FECHA DE PAGO],"")</f>
        <v>8456975.129999999</v>
      </c>
      <c r="E1482" s="140"/>
      <c r="F1482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482" s="127">
        <v>45404</v>
      </c>
      <c r="H1482" s="123" t="s">
        <v>1464</v>
      </c>
      <c r="I1482" s="127">
        <v>45362</v>
      </c>
      <c r="J1482" s="124" t="s">
        <v>1659</v>
      </c>
      <c r="K1482" s="124" t="s">
        <v>1530</v>
      </c>
      <c r="L1482" s="124" t="s">
        <v>1533</v>
      </c>
      <c r="M1482" s="125">
        <v>84034</v>
      </c>
      <c r="N1482" s="148">
        <v>15966.460000000001</v>
      </c>
      <c r="O1482" s="148">
        <v>0</v>
      </c>
      <c r="P1482" s="149">
        <v>0</v>
      </c>
      <c r="Q1482" s="148">
        <v>0</v>
      </c>
      <c r="R1482" s="150">
        <v>100000.46</v>
      </c>
      <c r="S14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2" s="135">
        <f ca="1">+IF(PROVEEDORES[[#This Row],[FECHA DE PAGO]]=0,TODAY()-PROVEEDORES[[#This Row],[FECHA DE FACTURACIÓN]]-PROVEEDORES[[#This Row],[PLAZO Días]],0)</f>
        <v>0</v>
      </c>
      <c r="U1482" s="135" t="str">
        <f>+VLOOKUP(PROVEEDORES[[#This Row],[PROVEEDOR]],Terceros!$A:$D,4,FALSE)</f>
        <v>2,5% con base</v>
      </c>
      <c r="V1482" s="135">
        <f>+YEAR(PROVEEDORES[[#This Row],[FECHA DE FACTURACIÓN]])</f>
        <v>2024</v>
      </c>
      <c r="W1482" s="135">
        <f>+MATCH(PROVEEDORES[[#This Row],[año facturado]],Retenciones!$1:$1,0)</f>
        <v>7</v>
      </c>
      <c r="X1482" s="136">
        <f>+VLOOKUP(PROVEEDORES[[#This Row],[ID RETENCION]],Retenciones!$A$1:$O$25,PROVEEDORES[[#This Row],[indicador de columna]],FALSE)</f>
        <v>1271000</v>
      </c>
      <c r="Y1482" s="137">
        <f>+VLOOKUP(PROVEEDORES[[#This Row],[ID RETENCION]],Retenciones!$A$1:$O$25,2,FALSE)</f>
        <v>2.5000000000000001E-2</v>
      </c>
      <c r="Z1482" s="126" t="b">
        <f>+OR(COUNTIF(PROVEEDORES[[#This Row],[PROVEEDOR]],"*"&amp;'Palabra que no opera y Listas d'!$A$2&amp;"*"))</f>
        <v>0</v>
      </c>
    </row>
    <row r="1483" spans="1:26" ht="27.75" customHeight="1" x14ac:dyDescent="0.25">
      <c r="A1483" s="141" t="str">
        <f>+IF(PROVEEDORES[[#This Row],[FECHA DE PAGO]]=PROVEEDORES[[#This Row],[FECHA DE FACTURACIÓN]],"DE CONTADO","CRÉDITO")</f>
        <v>CRÉDITO</v>
      </c>
      <c r="B1483" s="138" t="str">
        <f>+IF((PROVEEDORES[[#This Row],[FECHA DE PAGO]]-PROVEEDORES[[#This Row],[FECHA DE FACTURACIÓN]])&gt;PROVEEDORES[[#This Row],[PLAZO Días]],"PAGO VENCIDO")</f>
        <v>PAGO VENCIDO</v>
      </c>
      <c r="C1483" s="138">
        <f>+VLOOKUP(PROVEEDORES[[#This Row],[PROVEEDOR]],TERCEROS_INFO[#All],2,FALSE)</f>
        <v>30</v>
      </c>
      <c r="D1483" s="139">
        <f>+SUMIFS(PROVEEDORES[Total],PROVEEDORES[PROVEEDOR],PROVEEDORES[[#This Row],[PROVEEDOR]],PROVEEDORES[FECHA DE PAGO],"")</f>
        <v>8456975.129999999</v>
      </c>
      <c r="E1483" s="140"/>
      <c r="F1483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483" s="127">
        <v>45404</v>
      </c>
      <c r="H1483" s="123" t="s">
        <v>1464</v>
      </c>
      <c r="I1483" s="127">
        <v>45363</v>
      </c>
      <c r="J1483" s="124" t="s">
        <v>1660</v>
      </c>
      <c r="K1483" s="124" t="s">
        <v>1530</v>
      </c>
      <c r="L1483" s="124" t="s">
        <v>1533</v>
      </c>
      <c r="M1483" s="125">
        <v>118702</v>
      </c>
      <c r="N1483" s="148">
        <v>22553.38</v>
      </c>
      <c r="O1483" s="148">
        <v>0</v>
      </c>
      <c r="P1483" s="149">
        <v>0</v>
      </c>
      <c r="Q1483" s="148">
        <v>0</v>
      </c>
      <c r="R1483" s="150">
        <v>141255.38</v>
      </c>
      <c r="S148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3" s="135">
        <f ca="1">+IF(PROVEEDORES[[#This Row],[FECHA DE PAGO]]=0,TODAY()-PROVEEDORES[[#This Row],[FECHA DE FACTURACIÓN]]-PROVEEDORES[[#This Row],[PLAZO Días]],0)</f>
        <v>0</v>
      </c>
      <c r="U1483" s="135" t="str">
        <f>+VLOOKUP(PROVEEDORES[[#This Row],[PROVEEDOR]],Terceros!$A:$D,4,FALSE)</f>
        <v>2,5% con base</v>
      </c>
      <c r="V1483" s="135">
        <f>+YEAR(PROVEEDORES[[#This Row],[FECHA DE FACTURACIÓN]])</f>
        <v>2024</v>
      </c>
      <c r="W1483" s="135">
        <f>+MATCH(PROVEEDORES[[#This Row],[año facturado]],Retenciones!$1:$1,0)</f>
        <v>7</v>
      </c>
      <c r="X1483" s="136">
        <f>+VLOOKUP(PROVEEDORES[[#This Row],[ID RETENCION]],Retenciones!$A$1:$O$25,PROVEEDORES[[#This Row],[indicador de columna]],FALSE)</f>
        <v>1271000</v>
      </c>
      <c r="Y1483" s="137">
        <f>+VLOOKUP(PROVEEDORES[[#This Row],[ID RETENCION]],Retenciones!$A$1:$O$25,2,FALSE)</f>
        <v>2.5000000000000001E-2</v>
      </c>
      <c r="Z1483" s="126" t="b">
        <f>+OR(COUNTIF(PROVEEDORES[[#This Row],[PROVEEDOR]],"*"&amp;'Palabra que no opera y Listas d'!$A$2&amp;"*"))</f>
        <v>0</v>
      </c>
    </row>
    <row r="1484" spans="1:26" ht="27.75" customHeight="1" x14ac:dyDescent="0.25">
      <c r="A1484" s="141" t="str">
        <f>+IF(PROVEEDORES[[#This Row],[FECHA DE PAGO]]=PROVEEDORES[[#This Row],[FECHA DE FACTURACIÓN]],"DE CONTADO","CRÉDITO")</f>
        <v>CRÉDITO</v>
      </c>
      <c r="B1484" s="138" t="str">
        <f>+IF((PROVEEDORES[[#This Row],[FECHA DE PAGO]]-PROVEEDORES[[#This Row],[FECHA DE FACTURACIÓN]])&gt;PROVEEDORES[[#This Row],[PLAZO Días]],"PAGO VENCIDO")</f>
        <v>PAGO VENCIDO</v>
      </c>
      <c r="C1484" s="138">
        <f>+VLOOKUP(PROVEEDORES[[#This Row],[PROVEEDOR]],TERCEROS_INFO[#All],2,FALSE)</f>
        <v>30</v>
      </c>
      <c r="D1484" s="139">
        <f>+SUMIFS(PROVEEDORES[Total],PROVEEDORES[PROVEEDOR],PROVEEDORES[[#This Row],[PROVEEDOR]],PROVEEDORES[FECHA DE PAGO],"")</f>
        <v>8456975.129999999</v>
      </c>
      <c r="E1484" s="140"/>
      <c r="F1484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484" s="127">
        <v>45404</v>
      </c>
      <c r="H1484" s="123" t="s">
        <v>1464</v>
      </c>
      <c r="I1484" s="127">
        <v>45365</v>
      </c>
      <c r="J1484" s="124" t="s">
        <v>1662</v>
      </c>
      <c r="K1484" s="124" t="s">
        <v>1530</v>
      </c>
      <c r="L1484" s="124" t="s">
        <v>1534</v>
      </c>
      <c r="M1484" s="125">
        <v>60504</v>
      </c>
      <c r="N1484" s="148">
        <v>11495.76</v>
      </c>
      <c r="O1484" s="148">
        <v>0</v>
      </c>
      <c r="P1484" s="149">
        <v>0</v>
      </c>
      <c r="Q1484" s="148">
        <v>0</v>
      </c>
      <c r="R1484" s="150">
        <v>71999.759999999995</v>
      </c>
      <c r="S148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4" s="135">
        <f ca="1">+IF(PROVEEDORES[[#This Row],[FECHA DE PAGO]]=0,TODAY()-PROVEEDORES[[#This Row],[FECHA DE FACTURACIÓN]]-PROVEEDORES[[#This Row],[PLAZO Días]],0)</f>
        <v>0</v>
      </c>
      <c r="U1484" s="135" t="str">
        <f>+VLOOKUP(PROVEEDORES[[#This Row],[PROVEEDOR]],Terceros!$A:$D,4,FALSE)</f>
        <v>2,5% con base</v>
      </c>
      <c r="V1484" s="135">
        <f>+YEAR(PROVEEDORES[[#This Row],[FECHA DE FACTURACIÓN]])</f>
        <v>2024</v>
      </c>
      <c r="W1484" s="135">
        <f>+MATCH(PROVEEDORES[[#This Row],[año facturado]],Retenciones!$1:$1,0)</f>
        <v>7</v>
      </c>
      <c r="X1484" s="136">
        <f>+VLOOKUP(PROVEEDORES[[#This Row],[ID RETENCION]],Retenciones!$A$1:$O$25,PROVEEDORES[[#This Row],[indicador de columna]],FALSE)</f>
        <v>1271000</v>
      </c>
      <c r="Y1484" s="137">
        <f>+VLOOKUP(PROVEEDORES[[#This Row],[ID RETENCION]],Retenciones!$A$1:$O$25,2,FALSE)</f>
        <v>2.5000000000000001E-2</v>
      </c>
      <c r="Z1484" s="126" t="b">
        <f>+OR(COUNTIF(PROVEEDORES[[#This Row],[PROVEEDOR]],"*"&amp;'Palabra que no opera y Listas d'!$A$2&amp;"*"))</f>
        <v>0</v>
      </c>
    </row>
    <row r="1485" spans="1:26" ht="27.75" customHeight="1" x14ac:dyDescent="0.25">
      <c r="A1485" s="141" t="str">
        <f>+IF(PROVEEDORES[[#This Row],[FECHA DE PAGO]]=PROVEEDORES[[#This Row],[FECHA DE FACTURACIÓN]],"DE CONTADO","CRÉDITO")</f>
        <v>CRÉDITO</v>
      </c>
      <c r="B1485" s="138" t="str">
        <f>+IF((PROVEEDORES[[#This Row],[FECHA DE PAGO]]-PROVEEDORES[[#This Row],[FECHA DE FACTURACIÓN]])&gt;PROVEEDORES[[#This Row],[PLAZO Días]],"PAGO VENCIDO")</f>
        <v>PAGO VENCIDO</v>
      </c>
      <c r="C1485" s="138">
        <f>+VLOOKUP(PROVEEDORES[[#This Row],[PROVEEDOR]],TERCEROS_INFO[#All],2,FALSE)</f>
        <v>30</v>
      </c>
      <c r="D1485" s="139">
        <f>+SUMIFS(PROVEEDORES[Total],PROVEEDORES[PROVEEDOR],PROVEEDORES[[#This Row],[PROVEEDOR]],PROVEEDORES[FECHA DE PAGO],"")</f>
        <v>8456975.129999999</v>
      </c>
      <c r="E1485" s="140"/>
      <c r="F1485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485" s="127">
        <v>45404</v>
      </c>
      <c r="H1485" s="123" t="s">
        <v>1464</v>
      </c>
      <c r="I1485" s="127">
        <v>45365</v>
      </c>
      <c r="J1485" s="124" t="s">
        <v>1661</v>
      </c>
      <c r="K1485" s="124" t="s">
        <v>1530</v>
      </c>
      <c r="L1485" s="124" t="s">
        <v>1533</v>
      </c>
      <c r="M1485" s="125">
        <v>135330</v>
      </c>
      <c r="N1485" s="148">
        <v>25712.7</v>
      </c>
      <c r="O1485" s="148">
        <v>0</v>
      </c>
      <c r="P1485" s="149">
        <v>0</v>
      </c>
      <c r="Q1485" s="148">
        <v>0</v>
      </c>
      <c r="R1485" s="150">
        <v>161042.70000000001</v>
      </c>
      <c r="S148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5" s="135">
        <f ca="1">+IF(PROVEEDORES[[#This Row],[FECHA DE PAGO]]=0,TODAY()-PROVEEDORES[[#This Row],[FECHA DE FACTURACIÓN]]-PROVEEDORES[[#This Row],[PLAZO Días]],0)</f>
        <v>0</v>
      </c>
      <c r="U1485" s="135" t="str">
        <f>+VLOOKUP(PROVEEDORES[[#This Row],[PROVEEDOR]],Terceros!$A:$D,4,FALSE)</f>
        <v>2,5% con base</v>
      </c>
      <c r="V1485" s="135">
        <f>+YEAR(PROVEEDORES[[#This Row],[FECHA DE FACTURACIÓN]])</f>
        <v>2024</v>
      </c>
      <c r="W1485" s="135">
        <f>+MATCH(PROVEEDORES[[#This Row],[año facturado]],Retenciones!$1:$1,0)</f>
        <v>7</v>
      </c>
      <c r="X1485" s="136">
        <f>+VLOOKUP(PROVEEDORES[[#This Row],[ID RETENCION]],Retenciones!$A$1:$O$25,PROVEEDORES[[#This Row],[indicador de columna]],FALSE)</f>
        <v>1271000</v>
      </c>
      <c r="Y1485" s="137">
        <f>+VLOOKUP(PROVEEDORES[[#This Row],[ID RETENCION]],Retenciones!$A$1:$O$25,2,FALSE)</f>
        <v>2.5000000000000001E-2</v>
      </c>
      <c r="Z1485" s="126" t="b">
        <f>+OR(COUNTIF(PROVEEDORES[[#This Row],[PROVEEDOR]],"*"&amp;'Palabra que no opera y Listas d'!$A$2&amp;"*"))</f>
        <v>0</v>
      </c>
    </row>
    <row r="1486" spans="1:26" ht="27.75" customHeight="1" x14ac:dyDescent="0.25">
      <c r="A1486" s="141" t="str">
        <f>+IF(PROVEEDORES[[#This Row],[FECHA DE PAGO]]=PROVEEDORES[[#This Row],[FECHA DE FACTURACIÓN]],"DE CONTADO","CRÉDITO")</f>
        <v>CRÉDITO</v>
      </c>
      <c r="B1486" s="138" t="str">
        <f>+IF((PROVEEDORES[[#This Row],[FECHA DE PAGO]]-PROVEEDORES[[#This Row],[FECHA DE FACTURACIÓN]])&gt;PROVEEDORES[[#This Row],[PLAZO Días]],"PAGO VENCIDO")</f>
        <v>PAGO VENCIDO</v>
      </c>
      <c r="C1486" s="138">
        <f>+VLOOKUP(PROVEEDORES[[#This Row],[PROVEEDOR]],TERCEROS_INFO[#All],2,FALSE)</f>
        <v>30</v>
      </c>
      <c r="D1486" s="139">
        <f>+SUMIFS(PROVEEDORES[Total],PROVEEDORES[PROVEEDOR],PROVEEDORES[[#This Row],[PROVEEDOR]],PROVEEDORES[FECHA DE PAGO],"")</f>
        <v>1460000.29</v>
      </c>
      <c r="E1486" s="140"/>
      <c r="F1486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486" s="127">
        <v>45404</v>
      </c>
      <c r="H1486" s="123" t="s">
        <v>131</v>
      </c>
      <c r="I1486" s="127">
        <v>45372</v>
      </c>
      <c r="J1486" s="124" t="s">
        <v>1680</v>
      </c>
      <c r="K1486" s="124" t="s">
        <v>1530</v>
      </c>
      <c r="L1486" s="124" t="s">
        <v>1533</v>
      </c>
      <c r="M1486" s="125">
        <v>2483195</v>
      </c>
      <c r="N1486" s="148">
        <v>471807.05</v>
      </c>
      <c r="O1486" s="148">
        <v>0</v>
      </c>
      <c r="P1486" s="149">
        <v>2.5000000000000001E-2</v>
      </c>
      <c r="Q1486" s="148">
        <v>62079.875</v>
      </c>
      <c r="R1486" s="150">
        <v>2892922.1749999998</v>
      </c>
      <c r="S148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6" s="135">
        <f ca="1">+IF(PROVEEDORES[[#This Row],[FECHA DE PAGO]]=0,TODAY()-PROVEEDORES[[#This Row],[FECHA DE FACTURACIÓN]]-PROVEEDORES[[#This Row],[PLAZO Días]],0)</f>
        <v>0</v>
      </c>
      <c r="U1486" s="135" t="str">
        <f>+VLOOKUP(PROVEEDORES[[#This Row],[PROVEEDOR]],Terceros!$A:$D,4,FALSE)</f>
        <v>2,5% con base</v>
      </c>
      <c r="V1486" s="135">
        <f>+YEAR(PROVEEDORES[[#This Row],[FECHA DE FACTURACIÓN]])</f>
        <v>2024</v>
      </c>
      <c r="W1486" s="135">
        <f>+MATCH(PROVEEDORES[[#This Row],[año facturado]],Retenciones!$1:$1,0)</f>
        <v>7</v>
      </c>
      <c r="X1486" s="136">
        <f>+VLOOKUP(PROVEEDORES[[#This Row],[ID RETENCION]],Retenciones!$A$1:$O$25,PROVEEDORES[[#This Row],[indicador de columna]],FALSE)</f>
        <v>1271000</v>
      </c>
      <c r="Y1486" s="137">
        <f>+VLOOKUP(PROVEEDORES[[#This Row],[ID RETENCION]],Retenciones!$A$1:$O$25,2,FALSE)</f>
        <v>2.5000000000000001E-2</v>
      </c>
      <c r="Z1486" s="126" t="b">
        <f>+OR(COUNTIF(PROVEEDORES[[#This Row],[PROVEEDOR]],"*"&amp;'Palabra que no opera y Listas d'!$A$2&amp;"*"))</f>
        <v>0</v>
      </c>
    </row>
    <row r="1487" spans="1:26" ht="27.75" customHeight="1" x14ac:dyDescent="0.25">
      <c r="A1487" s="141" t="str">
        <f>+IF(PROVEEDORES[[#This Row],[FECHA DE PAGO]]=PROVEEDORES[[#This Row],[FECHA DE FACTURACIÓN]],"DE CONTADO","CRÉDITO")</f>
        <v>CRÉDITO</v>
      </c>
      <c r="B1487" s="138" t="str">
        <f>+IF((PROVEEDORES[[#This Row],[FECHA DE PAGO]]-PROVEEDORES[[#This Row],[FECHA DE FACTURACIÓN]])&gt;PROVEEDORES[[#This Row],[PLAZO Días]],"PAGO VENCIDO")</f>
        <v>PAGO VENCIDO</v>
      </c>
      <c r="C1487" s="138">
        <f>+VLOOKUP(PROVEEDORES[[#This Row],[PROVEEDOR]],TERCEROS_INFO[#All],2,FALSE)</f>
        <v>30</v>
      </c>
      <c r="D1487" s="139">
        <f>+SUMIFS(PROVEEDORES[Total],PROVEEDORES[PROVEEDOR],PROVEEDORES[[#This Row],[PROVEEDOR]],PROVEEDORES[FECHA DE PAGO],"")</f>
        <v>8456975.129999999</v>
      </c>
      <c r="E1487" s="140"/>
      <c r="F1487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487" s="127">
        <v>45404</v>
      </c>
      <c r="H1487" s="123" t="s">
        <v>1464</v>
      </c>
      <c r="I1487" s="127">
        <v>45373</v>
      </c>
      <c r="J1487" s="124" t="s">
        <v>1685</v>
      </c>
      <c r="K1487" s="124" t="s">
        <v>1530</v>
      </c>
      <c r="L1487" s="124" t="s">
        <v>1533</v>
      </c>
      <c r="M1487" s="125">
        <v>187750</v>
      </c>
      <c r="N1487" s="148">
        <v>35672.5</v>
      </c>
      <c r="O1487" s="148">
        <v>0</v>
      </c>
      <c r="P1487" s="149">
        <v>0</v>
      </c>
      <c r="Q1487" s="148">
        <v>0</v>
      </c>
      <c r="R1487" s="150">
        <v>223422.5</v>
      </c>
      <c r="S148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7" s="135">
        <f ca="1">+IF(PROVEEDORES[[#This Row],[FECHA DE PAGO]]=0,TODAY()-PROVEEDORES[[#This Row],[FECHA DE FACTURACIÓN]]-PROVEEDORES[[#This Row],[PLAZO Días]],0)</f>
        <v>0</v>
      </c>
      <c r="U1487" s="135" t="str">
        <f>+VLOOKUP(PROVEEDORES[[#This Row],[PROVEEDOR]],Terceros!$A:$D,4,FALSE)</f>
        <v>2,5% con base</v>
      </c>
      <c r="V1487" s="135">
        <f>+YEAR(PROVEEDORES[[#This Row],[FECHA DE FACTURACIÓN]])</f>
        <v>2024</v>
      </c>
      <c r="W1487" s="135">
        <f>+MATCH(PROVEEDORES[[#This Row],[año facturado]],Retenciones!$1:$1,0)</f>
        <v>7</v>
      </c>
      <c r="X1487" s="136">
        <f>+VLOOKUP(PROVEEDORES[[#This Row],[ID RETENCION]],Retenciones!$A$1:$O$25,PROVEEDORES[[#This Row],[indicador de columna]],FALSE)</f>
        <v>1271000</v>
      </c>
      <c r="Y1487" s="137">
        <f>+VLOOKUP(PROVEEDORES[[#This Row],[ID RETENCION]],Retenciones!$A$1:$O$25,2,FALSE)</f>
        <v>2.5000000000000001E-2</v>
      </c>
      <c r="Z1487" s="126" t="b">
        <f>+OR(COUNTIF(PROVEEDORES[[#This Row],[PROVEEDOR]],"*"&amp;'Palabra que no opera y Listas d'!$A$2&amp;"*"))</f>
        <v>0</v>
      </c>
    </row>
    <row r="1488" spans="1:26" ht="27.75" customHeight="1" x14ac:dyDescent="0.25">
      <c r="A1488" s="141" t="str">
        <f>+IF(PROVEEDORES[[#This Row],[FECHA DE PAGO]]=PROVEEDORES[[#This Row],[FECHA DE FACTURACIÓN]],"DE CONTADO","CRÉDITO")</f>
        <v>CRÉDITO</v>
      </c>
      <c r="B1488" s="138" t="b">
        <f>+IF((PROVEEDORES[[#This Row],[FECHA DE PAGO]]-PROVEEDORES[[#This Row],[FECHA DE FACTURACIÓN]])&gt;PROVEEDORES[[#This Row],[PLAZO Días]],"PAGO VENCIDO")</f>
        <v>0</v>
      </c>
      <c r="C1488" s="138">
        <f>+VLOOKUP(PROVEEDORES[[#This Row],[PROVEEDOR]],TERCEROS_INFO[#All],2,FALSE)</f>
        <v>30</v>
      </c>
      <c r="D1488" s="139">
        <f>+SUMIFS(PROVEEDORES[Total],PROVEEDORES[PROVEEDOR],PROVEEDORES[[#This Row],[PROVEEDOR]],PROVEEDORES[FECHA DE PAGO],"")</f>
        <v>0</v>
      </c>
      <c r="E1488" s="140"/>
      <c r="F1488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488" s="127">
        <v>45404</v>
      </c>
      <c r="H1488" s="123" t="s">
        <v>380</v>
      </c>
      <c r="I1488" s="127">
        <v>45383</v>
      </c>
      <c r="J1488" s="124" t="s">
        <v>1755</v>
      </c>
      <c r="K1488" s="124" t="s">
        <v>504</v>
      </c>
      <c r="L1488" s="124" t="s">
        <v>1534</v>
      </c>
      <c r="M1488" s="125">
        <v>3847000</v>
      </c>
      <c r="N1488" s="148">
        <v>0</v>
      </c>
      <c r="O1488" s="148">
        <v>0</v>
      </c>
      <c r="P1488" s="149">
        <v>3.5000000000000003E-2</v>
      </c>
      <c r="Q1488" s="148">
        <v>134645</v>
      </c>
      <c r="R1488" s="150">
        <v>3712355</v>
      </c>
      <c r="S148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8" s="135">
        <f ca="1">+IF(PROVEEDORES[[#This Row],[FECHA DE PAGO]]=0,TODAY()-PROVEEDORES[[#This Row],[FECHA DE FACTURACIÓN]]-PROVEEDORES[[#This Row],[PLAZO Días]],0)</f>
        <v>0</v>
      </c>
      <c r="U1488" s="135" t="str">
        <f>+VLOOKUP(PROVEEDORES[[#This Row],[PROVEEDOR]],Terceros!$A:$D,4,FALSE)</f>
        <v>3,5% sin base</v>
      </c>
      <c r="V1488" s="135">
        <f>+YEAR(PROVEEDORES[[#This Row],[FECHA DE FACTURACIÓN]])</f>
        <v>2024</v>
      </c>
      <c r="W1488" s="135">
        <f>+MATCH(PROVEEDORES[[#This Row],[año facturado]],Retenciones!$1:$1,0)</f>
        <v>7</v>
      </c>
      <c r="X1488" s="136">
        <f>+VLOOKUP(PROVEEDORES[[#This Row],[ID RETENCION]],Retenciones!$A$1:$O$25,PROVEEDORES[[#This Row],[indicador de columna]],FALSE)</f>
        <v>0</v>
      </c>
      <c r="Y1488" s="137">
        <f>+VLOOKUP(PROVEEDORES[[#This Row],[ID RETENCION]],Retenciones!$A$1:$O$25,2,FALSE)</f>
        <v>3.5000000000000003E-2</v>
      </c>
      <c r="Z1488" s="126" t="b">
        <f>+OR(COUNTIF(PROVEEDORES[[#This Row],[PROVEEDOR]],"*"&amp;'Palabra que no opera y Listas d'!$A$2&amp;"*"))</f>
        <v>1</v>
      </c>
    </row>
    <row r="1489" spans="1:26" ht="27.75" customHeight="1" x14ac:dyDescent="0.25">
      <c r="A1489" s="141" t="str">
        <f>+IF(PROVEEDORES[[#This Row],[FECHA DE PAGO]]=PROVEEDORES[[#This Row],[FECHA DE FACTURACIÓN]],"DE CONTADO","CRÉDITO")</f>
        <v>CRÉDITO</v>
      </c>
      <c r="B1489" s="138" t="b">
        <f>+IF((PROVEEDORES[[#This Row],[FECHA DE PAGO]]-PROVEEDORES[[#This Row],[FECHA DE FACTURACIÓN]])&gt;PROVEEDORES[[#This Row],[PLAZO Días]],"PAGO VENCIDO")</f>
        <v>0</v>
      </c>
      <c r="C1489" s="138">
        <f>+VLOOKUP(PROVEEDORES[[#This Row],[PROVEEDOR]],TERCEROS_INFO[#All],2,FALSE)</f>
        <v>30</v>
      </c>
      <c r="D1489" s="139">
        <f>+SUMIFS(PROVEEDORES[Total],PROVEEDORES[PROVEEDOR],PROVEEDORES[[#This Row],[PROVEEDOR]],PROVEEDORES[FECHA DE PAGO],"")</f>
        <v>1460000.29</v>
      </c>
      <c r="E1489" s="140"/>
      <c r="F1489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489" s="127">
        <v>45404</v>
      </c>
      <c r="H1489" s="123" t="s">
        <v>131</v>
      </c>
      <c r="I1489" s="127">
        <v>45384</v>
      </c>
      <c r="J1489" s="124" t="s">
        <v>1719</v>
      </c>
      <c r="K1489" s="124" t="s">
        <v>1530</v>
      </c>
      <c r="L1489" s="124" t="s">
        <v>1533</v>
      </c>
      <c r="M1489" s="125">
        <v>90756</v>
      </c>
      <c r="N1489" s="148">
        <v>17243.64</v>
      </c>
      <c r="O1489" s="148">
        <v>0</v>
      </c>
      <c r="P1489" s="149">
        <v>0</v>
      </c>
      <c r="Q1489" s="148">
        <v>0</v>
      </c>
      <c r="R1489" s="150">
        <v>107999.64</v>
      </c>
      <c r="S14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89" s="135">
        <f ca="1">+IF(PROVEEDORES[[#This Row],[FECHA DE PAGO]]=0,TODAY()-PROVEEDORES[[#This Row],[FECHA DE FACTURACIÓN]]-PROVEEDORES[[#This Row],[PLAZO Días]],0)</f>
        <v>0</v>
      </c>
      <c r="U1489" s="135" t="str">
        <f>+VLOOKUP(PROVEEDORES[[#This Row],[PROVEEDOR]],Terceros!$A:$D,4,FALSE)</f>
        <v>2,5% con base</v>
      </c>
      <c r="V1489" s="135">
        <f>+YEAR(PROVEEDORES[[#This Row],[FECHA DE FACTURACIÓN]])</f>
        <v>2024</v>
      </c>
      <c r="W1489" s="135">
        <f>+MATCH(PROVEEDORES[[#This Row],[año facturado]],Retenciones!$1:$1,0)</f>
        <v>7</v>
      </c>
      <c r="X1489" s="136">
        <f>+VLOOKUP(PROVEEDORES[[#This Row],[ID RETENCION]],Retenciones!$A$1:$O$25,PROVEEDORES[[#This Row],[indicador de columna]],FALSE)</f>
        <v>1271000</v>
      </c>
      <c r="Y1489" s="137">
        <f>+VLOOKUP(PROVEEDORES[[#This Row],[ID RETENCION]],Retenciones!$A$1:$O$25,2,FALSE)</f>
        <v>2.5000000000000001E-2</v>
      </c>
      <c r="Z1489" s="126" t="b">
        <f>+OR(COUNTIF(PROVEEDORES[[#This Row],[PROVEEDOR]],"*"&amp;'Palabra que no opera y Listas d'!$A$2&amp;"*"))</f>
        <v>0</v>
      </c>
    </row>
    <row r="1490" spans="1:26" ht="27.75" customHeight="1" x14ac:dyDescent="0.25">
      <c r="A1490" s="141" t="str">
        <f>+IF(PROVEEDORES[[#This Row],[FECHA DE PAGO]]=PROVEEDORES[[#This Row],[FECHA DE FACTURACIÓN]],"DE CONTADO","CRÉDITO")</f>
        <v>CRÉDITO</v>
      </c>
      <c r="B1490" s="138" t="str">
        <f>+IF((PROVEEDORES[[#This Row],[FECHA DE PAGO]]-PROVEEDORES[[#This Row],[FECHA DE FACTURACIÓN]])&gt;PROVEEDORES[[#This Row],[PLAZO Días]],"PAGO VENCIDO")</f>
        <v>PAGO VENCIDO</v>
      </c>
      <c r="C1490" s="138">
        <f>+VLOOKUP(PROVEEDORES[[#This Row],[PROVEEDOR]],TERCEROS_INFO[#All],2,FALSE)</f>
        <v>13</v>
      </c>
      <c r="D1490" s="139">
        <f>+SUMIFS(PROVEEDORES[Total],PROVEEDORES[PROVEEDOR],PROVEEDORES[[#This Row],[PROVEEDOR]],PROVEEDORES[FECHA DE PAGO],"")</f>
        <v>0</v>
      </c>
      <c r="E1490" s="140"/>
      <c r="F1490" s="138">
        <f>+VLOOKUP(PROVEEDORES[[#This Row],[PROVEEDOR]],
                       Terceros!$A:$F,
                       5,
                       FALSE)</f>
        <v>0</v>
      </c>
      <c r="G1490" s="127">
        <v>45405</v>
      </c>
      <c r="H1490" s="123" t="s">
        <v>389</v>
      </c>
      <c r="I1490" s="127">
        <v>45383</v>
      </c>
      <c r="J1490" s="124"/>
      <c r="K1490" s="124" t="s">
        <v>1530</v>
      </c>
      <c r="L1490" s="124" t="s">
        <v>1395</v>
      </c>
      <c r="M1490" s="125">
        <v>860215</v>
      </c>
      <c r="N1490" s="148">
        <v>0</v>
      </c>
      <c r="O1490" s="148">
        <v>0</v>
      </c>
      <c r="P1490" s="149">
        <v>0</v>
      </c>
      <c r="Q1490" s="148">
        <v>0</v>
      </c>
      <c r="R1490" s="150">
        <v>860215</v>
      </c>
      <c r="S14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0" s="135">
        <f ca="1">+IF(PROVEEDORES[[#This Row],[FECHA DE PAGO]]=0,TODAY()-PROVEEDORES[[#This Row],[FECHA DE FACTURACIÓN]]-PROVEEDORES[[#This Row],[PLAZO Días]],0)</f>
        <v>0</v>
      </c>
      <c r="U1490" s="135">
        <f>+VLOOKUP(PROVEEDORES[[#This Row],[PROVEEDOR]],Terceros!$A:$D,4,FALSE)</f>
        <v>0</v>
      </c>
      <c r="V1490" s="135">
        <f>+YEAR(PROVEEDORES[[#This Row],[FECHA DE FACTURACIÓN]])</f>
        <v>2024</v>
      </c>
      <c r="W1490" s="135">
        <f>+MATCH(PROVEEDORES[[#This Row],[año facturado]],Retenciones!$1:$1,0)</f>
        <v>7</v>
      </c>
      <c r="X1490" s="136">
        <f>+VLOOKUP(PROVEEDORES[[#This Row],[ID RETENCION]],Retenciones!$A$1:$O$25,PROVEEDORES[[#This Row],[indicador de columna]],FALSE)</f>
        <v>0</v>
      </c>
      <c r="Y1490" s="137">
        <f>+VLOOKUP(PROVEEDORES[[#This Row],[ID RETENCION]],Retenciones!$A$1:$O$25,2,FALSE)</f>
        <v>0</v>
      </c>
      <c r="Z1490" s="126" t="b">
        <f>+OR(COUNTIF(PROVEEDORES[[#This Row],[PROVEEDOR]],"*"&amp;'Palabra que no opera y Listas d'!$A$2&amp;"*"))</f>
        <v>1</v>
      </c>
    </row>
    <row r="1491" spans="1:26" ht="27.75" customHeight="1" x14ac:dyDescent="0.25">
      <c r="A1491" s="141" t="str">
        <f>+IF(PROVEEDORES[[#This Row],[FECHA DE PAGO]]=PROVEEDORES[[#This Row],[FECHA DE FACTURACIÓN]],"DE CONTADO","CRÉDITO")</f>
        <v>CRÉDITO</v>
      </c>
      <c r="B1491" s="138" t="b">
        <f>+IF((PROVEEDORES[[#This Row],[FECHA DE PAGO]]-PROVEEDORES[[#This Row],[FECHA DE FACTURACIÓN]])&gt;PROVEEDORES[[#This Row],[PLAZO Días]],"PAGO VENCIDO")</f>
        <v>0</v>
      </c>
      <c r="C1491" s="138">
        <f>+VLOOKUP(PROVEEDORES[[#This Row],[PROVEEDOR]],TERCEROS_INFO[#All],2,FALSE)</f>
        <v>30</v>
      </c>
      <c r="D1491" s="139">
        <f>+SUMIFS(PROVEEDORES[Total],PROVEEDORES[PROVEEDOR],PROVEEDORES[[#This Row],[PROVEEDOR]],PROVEEDORES[FECHA DE PAGO],"")</f>
        <v>0</v>
      </c>
      <c r="E1491" s="140"/>
      <c r="F1491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1491" s="127">
        <v>45405</v>
      </c>
      <c r="H1491" s="123" t="s">
        <v>373</v>
      </c>
      <c r="I1491" s="127">
        <v>45390</v>
      </c>
      <c r="J1491" s="124" t="s">
        <v>1760</v>
      </c>
      <c r="K1491" s="124" t="s">
        <v>1530</v>
      </c>
      <c r="L1491" s="124" t="s">
        <v>1395</v>
      </c>
      <c r="M1491" s="125">
        <v>289886</v>
      </c>
      <c r="N1491" s="148">
        <v>0</v>
      </c>
      <c r="O1491" s="148">
        <v>0</v>
      </c>
      <c r="P1491" s="149">
        <v>0</v>
      </c>
      <c r="Q1491" s="148">
        <v>0</v>
      </c>
      <c r="R1491" s="150">
        <v>289886</v>
      </c>
      <c r="S14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1" s="135">
        <f ca="1">+IF(PROVEEDORES[[#This Row],[FECHA DE PAGO]]=0,TODAY()-PROVEEDORES[[#This Row],[FECHA DE FACTURACIÓN]]-PROVEEDORES[[#This Row],[PLAZO Días]],0)</f>
        <v>0</v>
      </c>
      <c r="U1491" s="135">
        <f>+VLOOKUP(PROVEEDORES[[#This Row],[PROVEEDOR]],Terceros!$A:$D,4,FALSE)</f>
        <v>0</v>
      </c>
      <c r="V1491" s="135">
        <f>+YEAR(PROVEEDORES[[#This Row],[FECHA DE FACTURACIÓN]])</f>
        <v>2024</v>
      </c>
      <c r="W1491" s="135">
        <f>+MATCH(PROVEEDORES[[#This Row],[año facturado]],Retenciones!$1:$1,0)</f>
        <v>7</v>
      </c>
      <c r="X1491" s="136">
        <f>+VLOOKUP(PROVEEDORES[[#This Row],[ID RETENCION]],Retenciones!$A$1:$O$25,PROVEEDORES[[#This Row],[indicador de columna]],FALSE)</f>
        <v>0</v>
      </c>
      <c r="Y1491" s="137">
        <f>+VLOOKUP(PROVEEDORES[[#This Row],[ID RETENCION]],Retenciones!$A$1:$O$25,2,FALSE)</f>
        <v>0</v>
      </c>
      <c r="Z1491" s="126" t="b">
        <f>+OR(COUNTIF(PROVEEDORES[[#This Row],[PROVEEDOR]],"*"&amp;'Palabra que no opera y Listas d'!$A$2&amp;"*"))</f>
        <v>1</v>
      </c>
    </row>
    <row r="1492" spans="1:26" ht="27.75" customHeight="1" x14ac:dyDescent="0.25">
      <c r="A1492" s="141" t="str">
        <f>+IF(PROVEEDORES[[#This Row],[FECHA DE PAGO]]=PROVEEDORES[[#This Row],[FECHA DE FACTURACIÓN]],"DE CONTADO","CRÉDITO")</f>
        <v>CRÉDITO</v>
      </c>
      <c r="B1492" s="138" t="str">
        <f>+IF((PROVEEDORES[[#This Row],[FECHA DE PAGO]]-PROVEEDORES[[#This Row],[FECHA DE FACTURACIÓN]])&gt;PROVEEDORES[[#This Row],[PLAZO Días]],"PAGO VENCIDO")</f>
        <v>PAGO VENCIDO</v>
      </c>
      <c r="C1492" s="138">
        <f>+VLOOKUP(PROVEEDORES[[#This Row],[PROVEEDOR]],TERCEROS_INFO[#All],2,FALSE)</f>
        <v>30</v>
      </c>
      <c r="D1492" s="139">
        <f>+SUMIFS(PROVEEDORES[Total],PROVEEDORES[PROVEEDOR],PROVEEDORES[[#This Row],[PROVEEDOR]],PROVEEDORES[FECHA DE PAGO],"")</f>
        <v>12628497</v>
      </c>
      <c r="E1492" s="140"/>
      <c r="F1492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492" s="127">
        <v>45406</v>
      </c>
      <c r="H1492" s="123" t="s">
        <v>451</v>
      </c>
      <c r="I1492" s="127">
        <v>45332</v>
      </c>
      <c r="J1492" s="124">
        <v>33719</v>
      </c>
      <c r="K1492" s="124" t="s">
        <v>1530</v>
      </c>
      <c r="L1492" s="124" t="s">
        <v>1534</v>
      </c>
      <c r="M1492" s="125">
        <v>4116710</v>
      </c>
      <c r="N1492" s="148">
        <v>722008</v>
      </c>
      <c r="O1492" s="148">
        <v>316670</v>
      </c>
      <c r="P1492" s="149">
        <v>2.5000000000000001E-2</v>
      </c>
      <c r="Q1492" s="148">
        <v>95001</v>
      </c>
      <c r="R1492" s="150">
        <v>4427047</v>
      </c>
      <c r="S14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2" s="135">
        <f ca="1">+IF(PROVEEDORES[[#This Row],[FECHA DE PAGO]]=0,TODAY()-PROVEEDORES[[#This Row],[FECHA DE FACTURACIÓN]]-PROVEEDORES[[#This Row],[PLAZO Días]],0)</f>
        <v>0</v>
      </c>
      <c r="U1492" s="135" t="str">
        <f>+VLOOKUP(PROVEEDORES[[#This Row],[PROVEEDOR]],Terceros!$A:$D,4,FALSE)</f>
        <v>2,5% con base</v>
      </c>
      <c r="V1492" s="135">
        <f>+YEAR(PROVEEDORES[[#This Row],[FECHA DE FACTURACIÓN]])</f>
        <v>2024</v>
      </c>
      <c r="W1492" s="135">
        <f>+MATCH(PROVEEDORES[[#This Row],[año facturado]],Retenciones!$1:$1,0)</f>
        <v>7</v>
      </c>
      <c r="X1492" s="136">
        <f>+VLOOKUP(PROVEEDORES[[#This Row],[ID RETENCION]],Retenciones!$A$1:$O$25,PROVEEDORES[[#This Row],[indicador de columna]],FALSE)</f>
        <v>1271000</v>
      </c>
      <c r="Y1492" s="137">
        <f>+VLOOKUP(PROVEEDORES[[#This Row],[ID RETENCION]],Retenciones!$A$1:$O$25,2,FALSE)</f>
        <v>2.5000000000000001E-2</v>
      </c>
      <c r="Z1492" s="126" t="b">
        <f>+OR(COUNTIF(PROVEEDORES[[#This Row],[PROVEEDOR]],"*"&amp;'Palabra que no opera y Listas d'!$A$2&amp;"*"))</f>
        <v>0</v>
      </c>
    </row>
    <row r="1493" spans="1:26" ht="27.75" customHeight="1" x14ac:dyDescent="0.25">
      <c r="A1493" s="141" t="str">
        <f>+IF(PROVEEDORES[[#This Row],[FECHA DE PAGO]]=PROVEEDORES[[#This Row],[FECHA DE FACTURACIÓN]],"DE CONTADO","CRÉDITO")</f>
        <v>CRÉDITO</v>
      </c>
      <c r="B1493" s="138" t="str">
        <f>+IF((PROVEEDORES[[#This Row],[FECHA DE PAGO]]-PROVEEDORES[[#This Row],[FECHA DE FACTURACIÓN]])&gt;PROVEEDORES[[#This Row],[PLAZO Días]],"PAGO VENCIDO")</f>
        <v>PAGO VENCIDO</v>
      </c>
      <c r="C1493" s="138">
        <f>+VLOOKUP(PROVEEDORES[[#This Row],[PROVEEDOR]],TERCEROS_INFO[#All],2,FALSE)</f>
        <v>30</v>
      </c>
      <c r="D1493" s="139">
        <f>+SUMIFS(PROVEEDORES[Total],PROVEEDORES[PROVEEDOR],PROVEEDORES[[#This Row],[PROVEEDOR]],PROVEEDORES[FECHA DE PAGO],"")</f>
        <v>12628497</v>
      </c>
      <c r="E1493" s="140"/>
      <c r="F1493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493" s="127">
        <v>45406</v>
      </c>
      <c r="H1493" s="123" t="s">
        <v>451</v>
      </c>
      <c r="I1493" s="127">
        <v>45345</v>
      </c>
      <c r="J1493" s="124">
        <v>33880</v>
      </c>
      <c r="K1493" s="124" t="s">
        <v>1530</v>
      </c>
      <c r="L1493" s="124" t="s">
        <v>1534</v>
      </c>
      <c r="M1493" s="125">
        <v>436000</v>
      </c>
      <c r="N1493" s="148">
        <v>82840</v>
      </c>
      <c r="O1493" s="148">
        <v>0</v>
      </c>
      <c r="P1493" s="149">
        <v>0</v>
      </c>
      <c r="Q1493" s="148">
        <v>0</v>
      </c>
      <c r="R1493" s="150">
        <v>518840</v>
      </c>
      <c r="S14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3" s="135">
        <f ca="1">+IF(PROVEEDORES[[#This Row],[FECHA DE PAGO]]=0,TODAY()-PROVEEDORES[[#This Row],[FECHA DE FACTURACIÓN]]-PROVEEDORES[[#This Row],[PLAZO Días]],0)</f>
        <v>0</v>
      </c>
      <c r="U1493" s="135" t="str">
        <f>+VLOOKUP(PROVEEDORES[[#This Row],[PROVEEDOR]],Terceros!$A:$D,4,FALSE)</f>
        <v>2,5% con base</v>
      </c>
      <c r="V1493" s="135">
        <f>+YEAR(PROVEEDORES[[#This Row],[FECHA DE FACTURACIÓN]])</f>
        <v>2024</v>
      </c>
      <c r="W1493" s="135">
        <f>+MATCH(PROVEEDORES[[#This Row],[año facturado]],Retenciones!$1:$1,0)</f>
        <v>7</v>
      </c>
      <c r="X1493" s="136">
        <f>+VLOOKUP(PROVEEDORES[[#This Row],[ID RETENCION]],Retenciones!$A$1:$O$25,PROVEEDORES[[#This Row],[indicador de columna]],FALSE)</f>
        <v>1271000</v>
      </c>
      <c r="Y1493" s="137">
        <f>+VLOOKUP(PROVEEDORES[[#This Row],[ID RETENCION]],Retenciones!$A$1:$O$25,2,FALSE)</f>
        <v>2.5000000000000001E-2</v>
      </c>
      <c r="Z1493" s="126" t="b">
        <f>+OR(COUNTIF(PROVEEDORES[[#This Row],[PROVEEDOR]],"*"&amp;'Palabra que no opera y Listas d'!$A$2&amp;"*"))</f>
        <v>0</v>
      </c>
    </row>
    <row r="1494" spans="1:26" ht="27.75" customHeight="1" x14ac:dyDescent="0.25">
      <c r="A1494" s="141" t="str">
        <f>+IF(PROVEEDORES[[#This Row],[FECHA DE PAGO]]=PROVEEDORES[[#This Row],[FECHA DE FACTURACIÓN]],"DE CONTADO","CRÉDITO")</f>
        <v>DE CONTADO</v>
      </c>
      <c r="B1494" s="138" t="b">
        <f>+IF((PROVEEDORES[[#This Row],[FECHA DE PAGO]]-PROVEEDORES[[#This Row],[FECHA DE FACTURACIÓN]])&gt;PROVEEDORES[[#This Row],[PLAZO Días]],"PAGO VENCIDO")</f>
        <v>0</v>
      </c>
      <c r="C1494" s="138">
        <f>+VLOOKUP(PROVEEDORES[[#This Row],[PROVEEDOR]],TERCEROS_INFO[#All],2,FALSE)</f>
        <v>0</v>
      </c>
      <c r="D1494" s="139">
        <f>+SUMIFS(PROVEEDORES[Total],PROVEEDORES[PROVEEDOR],PROVEEDORES[[#This Row],[PROVEEDOR]],PROVEEDORES[FECHA DE PAGO],"")</f>
        <v>0</v>
      </c>
      <c r="E1494" s="140"/>
      <c r="F1494" s="138" t="str">
        <f>+VLOOKUP(PROVEEDORES[[#This Row],[PROVEEDOR]],
                       Terceros!$A:$F,
                       5,
                       FALSE)</f>
        <v>mycellulardepotsas@gmail.com; girlesa.ruiz@servipilas.com;joriescobar64@gmail.com</v>
      </c>
      <c r="G1494" s="127">
        <v>45406</v>
      </c>
      <c r="H1494" s="123" t="s">
        <v>1761</v>
      </c>
      <c r="I1494" s="127">
        <v>45406</v>
      </c>
      <c r="J1494" s="124" t="s">
        <v>1763</v>
      </c>
      <c r="K1494" s="124"/>
      <c r="L1494" s="124" t="s">
        <v>1534</v>
      </c>
      <c r="M1494" s="125">
        <v>3100000</v>
      </c>
      <c r="N1494" s="148">
        <v>589000</v>
      </c>
      <c r="O1494" s="148">
        <v>0</v>
      </c>
      <c r="P1494" s="149">
        <v>2.5000000000000001E-2</v>
      </c>
      <c r="Q1494" s="148">
        <v>77500</v>
      </c>
      <c r="R1494" s="150">
        <v>3611500</v>
      </c>
      <c r="S14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4" s="135">
        <f ca="1">+IF(PROVEEDORES[[#This Row],[FECHA DE PAGO]]=0,TODAY()-PROVEEDORES[[#This Row],[FECHA DE FACTURACIÓN]]-PROVEEDORES[[#This Row],[PLAZO Días]],0)</f>
        <v>0</v>
      </c>
      <c r="U1494" s="135" t="str">
        <f>+VLOOKUP(PROVEEDORES[[#This Row],[PROVEEDOR]],Terceros!$A:$D,4,FALSE)</f>
        <v>2,5% con base</v>
      </c>
      <c r="V1494" s="135">
        <f>+YEAR(PROVEEDORES[[#This Row],[FECHA DE FACTURACIÓN]])</f>
        <v>2024</v>
      </c>
      <c r="W1494" s="135">
        <f>+MATCH(PROVEEDORES[[#This Row],[año facturado]],Retenciones!$1:$1,0)</f>
        <v>7</v>
      </c>
      <c r="X1494" s="136">
        <f>+VLOOKUP(PROVEEDORES[[#This Row],[ID RETENCION]],Retenciones!$A$1:$O$25,PROVEEDORES[[#This Row],[indicador de columna]],FALSE)</f>
        <v>1271000</v>
      </c>
      <c r="Y1494" s="137">
        <f>+VLOOKUP(PROVEEDORES[[#This Row],[ID RETENCION]],Retenciones!$A$1:$O$25,2,FALSE)</f>
        <v>2.5000000000000001E-2</v>
      </c>
      <c r="Z1494" s="126" t="b">
        <f>+OR(COUNTIF(PROVEEDORES[[#This Row],[PROVEEDOR]],"*"&amp;'Palabra que no opera y Listas d'!$A$2&amp;"*"))</f>
        <v>0</v>
      </c>
    </row>
    <row r="1495" spans="1:26" ht="27.75" customHeight="1" x14ac:dyDescent="0.25">
      <c r="A1495" s="141" t="str">
        <f>+IF(PROVEEDORES[[#This Row],[FECHA DE PAGO]]=PROVEEDORES[[#This Row],[FECHA DE FACTURACIÓN]],"DE CONTADO","CRÉDITO")</f>
        <v>DE CONTADO</v>
      </c>
      <c r="B1495" s="138" t="b">
        <f>+IF((PROVEEDORES[[#This Row],[FECHA DE PAGO]]-PROVEEDORES[[#This Row],[FECHA DE FACTURACIÓN]])&gt;PROVEEDORES[[#This Row],[PLAZO Días]],"PAGO VENCIDO")</f>
        <v>0</v>
      </c>
      <c r="C1495" s="138">
        <f>+VLOOKUP(PROVEEDORES[[#This Row],[PROVEEDOR]],TERCEROS_INFO[#All],2,FALSE)</f>
        <v>30</v>
      </c>
      <c r="D1495" s="139">
        <f>+SUMIFS(PROVEEDORES[Total],PROVEEDORES[PROVEEDOR],PROVEEDORES[[#This Row],[PROVEEDOR]],PROVEEDORES[FECHA DE PAGO],"")</f>
        <v>0</v>
      </c>
      <c r="E1495" s="140"/>
      <c r="F1495" s="138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495" s="127">
        <v>45406</v>
      </c>
      <c r="H1495" s="123" t="s">
        <v>1186</v>
      </c>
      <c r="I1495" s="127">
        <v>45406</v>
      </c>
      <c r="J1495" s="124" t="s">
        <v>1764</v>
      </c>
      <c r="K1495" s="124" t="s">
        <v>1530</v>
      </c>
      <c r="L1495" s="124" t="s">
        <v>1533</v>
      </c>
      <c r="M1495" s="125">
        <v>700840</v>
      </c>
      <c r="N1495" s="148">
        <v>133159.6</v>
      </c>
      <c r="O1495" s="148">
        <v>0</v>
      </c>
      <c r="P1495" s="149">
        <v>0</v>
      </c>
      <c r="Q1495" s="148">
        <v>0</v>
      </c>
      <c r="R1495" s="150">
        <v>833999.6</v>
      </c>
      <c r="S149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5" s="135">
        <f ca="1">+IF(PROVEEDORES[[#This Row],[FECHA DE PAGO]]=0,TODAY()-PROVEEDORES[[#This Row],[FECHA DE FACTURACIÓN]]-PROVEEDORES[[#This Row],[PLAZO Días]],0)</f>
        <v>0</v>
      </c>
      <c r="U1495" s="135" t="str">
        <f>+VLOOKUP(PROVEEDORES[[#This Row],[PROVEEDOR]],Terceros!$A:$D,4,FALSE)</f>
        <v>2,5% con base</v>
      </c>
      <c r="V1495" s="135">
        <f>+YEAR(PROVEEDORES[[#This Row],[FECHA DE FACTURACIÓN]])</f>
        <v>2024</v>
      </c>
      <c r="W1495" s="135">
        <f>+MATCH(PROVEEDORES[[#This Row],[año facturado]],Retenciones!$1:$1,0)</f>
        <v>7</v>
      </c>
      <c r="X1495" s="136">
        <f>+VLOOKUP(PROVEEDORES[[#This Row],[ID RETENCION]],Retenciones!$A$1:$O$25,PROVEEDORES[[#This Row],[indicador de columna]],FALSE)</f>
        <v>1271000</v>
      </c>
      <c r="Y1495" s="137">
        <f>+VLOOKUP(PROVEEDORES[[#This Row],[ID RETENCION]],Retenciones!$A$1:$O$25,2,FALSE)</f>
        <v>2.5000000000000001E-2</v>
      </c>
      <c r="Z1495" s="126" t="b">
        <f>+OR(COUNTIF(PROVEEDORES[[#This Row],[PROVEEDOR]],"*"&amp;'Palabra que no opera y Listas d'!$A$2&amp;"*"))</f>
        <v>0</v>
      </c>
    </row>
    <row r="1496" spans="1:26" ht="27.75" customHeight="1" x14ac:dyDescent="0.25">
      <c r="A1496" s="141" t="str">
        <f>+IF(PROVEEDORES[[#This Row],[FECHA DE PAGO]]=PROVEEDORES[[#This Row],[FECHA DE FACTURACIÓN]],"DE CONTADO","CRÉDITO")</f>
        <v>CRÉDITO</v>
      </c>
      <c r="B1496" s="138" t="str">
        <f>+IF((PROVEEDORES[[#This Row],[FECHA DE PAGO]]-PROVEEDORES[[#This Row],[FECHA DE FACTURACIÓN]])&gt;PROVEEDORES[[#This Row],[PLAZO Días]],"PAGO VENCIDO")</f>
        <v>PAGO VENCIDO</v>
      </c>
      <c r="C1496" s="138">
        <f>+VLOOKUP(PROVEEDORES[[#This Row],[PROVEEDOR]],TERCEROS_INFO[#All],2,FALSE)</f>
        <v>60</v>
      </c>
      <c r="D1496" s="139">
        <f>+SUMIFS(PROVEEDORES[Total],PROVEEDORES[PROVEEDOR],PROVEEDORES[[#This Row],[PROVEEDOR]],PROVEEDORES[FECHA DE PAGO],"")</f>
        <v>0</v>
      </c>
      <c r="E1496" s="140"/>
      <c r="F1496" s="138" t="str">
        <f>+VLOOKUP(PROVEEDORES[[#This Row],[PROVEEDOR]],
                       Terceros!$A:$F,
                       5,
                       FALSE)</f>
        <v>distribuidoravamossas@gmail.com;girlesa.ruiz@servipilas.com;joriescobar64@gmail.com</v>
      </c>
      <c r="G1496" s="127">
        <v>45407</v>
      </c>
      <c r="H1496" s="123" t="s">
        <v>582</v>
      </c>
      <c r="I1496" s="127">
        <v>45334</v>
      </c>
      <c r="J1496" s="124" t="s">
        <v>1758</v>
      </c>
      <c r="K1496" s="124" t="s">
        <v>1530</v>
      </c>
      <c r="L1496" s="124" t="s">
        <v>1533</v>
      </c>
      <c r="M1496" s="125">
        <v>3592000</v>
      </c>
      <c r="N1496" s="148">
        <v>682480</v>
      </c>
      <c r="O1496" s="148">
        <v>0</v>
      </c>
      <c r="P1496" s="149">
        <v>2.5000000000000001E-2</v>
      </c>
      <c r="Q1496" s="148">
        <v>89800</v>
      </c>
      <c r="R1496" s="150">
        <v>2339320</v>
      </c>
      <c r="S14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6" s="135">
        <f ca="1">+IF(PROVEEDORES[[#This Row],[FECHA DE PAGO]]=0,TODAY()-PROVEEDORES[[#This Row],[FECHA DE FACTURACIÓN]]-PROVEEDORES[[#This Row],[PLAZO Días]],0)</f>
        <v>0</v>
      </c>
      <c r="U1496" s="135" t="str">
        <f>+VLOOKUP(PROVEEDORES[[#This Row],[PROVEEDOR]],Terceros!$A:$D,4,FALSE)</f>
        <v>2,5% con base</v>
      </c>
      <c r="V1496" s="135">
        <f>+YEAR(PROVEEDORES[[#This Row],[FECHA DE FACTURACIÓN]])</f>
        <v>2024</v>
      </c>
      <c r="W1496" s="135">
        <f>+MATCH(PROVEEDORES[[#This Row],[año facturado]],Retenciones!$1:$1,0)</f>
        <v>7</v>
      </c>
      <c r="X1496" s="136">
        <f>+VLOOKUP(PROVEEDORES[[#This Row],[ID RETENCION]],Retenciones!$A$1:$O$25,PROVEEDORES[[#This Row],[indicador de columna]],FALSE)</f>
        <v>1271000</v>
      </c>
      <c r="Y1496" s="137">
        <f>+VLOOKUP(PROVEEDORES[[#This Row],[ID RETENCION]],Retenciones!$A$1:$O$25,2,FALSE)</f>
        <v>2.5000000000000001E-2</v>
      </c>
      <c r="Z1496" s="126" t="b">
        <f>+OR(COUNTIF(PROVEEDORES[[#This Row],[PROVEEDOR]],"*"&amp;'Palabra que no opera y Listas d'!$A$2&amp;"*"))</f>
        <v>0</v>
      </c>
    </row>
    <row r="1497" spans="1:26" ht="27.75" customHeight="1" x14ac:dyDescent="0.25">
      <c r="A1497" s="141" t="str">
        <f>+IF(PROVEEDORES[[#This Row],[FECHA DE PAGO]]=PROVEEDORES[[#This Row],[FECHA DE FACTURACIÓN]],"DE CONTADO","CRÉDITO")</f>
        <v>CRÉDITO</v>
      </c>
      <c r="B1497" s="138" t="str">
        <f>+IF((PROVEEDORES[[#This Row],[FECHA DE PAGO]]-PROVEEDORES[[#This Row],[FECHA DE FACTURACIÓN]])&gt;PROVEEDORES[[#This Row],[PLAZO Días]],"PAGO VENCIDO")</f>
        <v>PAGO VENCIDO</v>
      </c>
      <c r="C1497" s="138">
        <f>+VLOOKUP(PROVEEDORES[[#This Row],[PROVEEDOR]],TERCEROS_INFO[#All],2,FALSE)</f>
        <v>60</v>
      </c>
      <c r="D1497" s="139">
        <f>+SUMIFS(PROVEEDORES[Total],PROVEEDORES[PROVEEDOR],PROVEEDORES[[#This Row],[PROVEEDOR]],PROVEEDORES[FECHA DE PAGO],"")</f>
        <v>19124998.199999999</v>
      </c>
      <c r="E1497" s="140"/>
      <c r="F1497" s="13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497" s="127">
        <v>45411</v>
      </c>
      <c r="H1497" s="123" t="s">
        <v>30</v>
      </c>
      <c r="I1497" s="127">
        <v>45348</v>
      </c>
      <c r="J1497" s="124">
        <v>61138</v>
      </c>
      <c r="K1497" s="124" t="s">
        <v>1530</v>
      </c>
      <c r="L1497" s="124" t="s">
        <v>1534</v>
      </c>
      <c r="M1497" s="125">
        <v>24729069.474999998</v>
      </c>
      <c r="N1497" s="148">
        <v>0</v>
      </c>
      <c r="O1497" s="148">
        <v>0</v>
      </c>
      <c r="P1497" s="149">
        <v>0</v>
      </c>
      <c r="Q1497" s="148">
        <v>0</v>
      </c>
      <c r="R1497" s="150">
        <v>24729069.474999998</v>
      </c>
      <c r="S14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7" s="135">
        <f ca="1">+IF(PROVEEDORES[[#This Row],[FECHA DE PAGO]]=0,TODAY()-PROVEEDORES[[#This Row],[FECHA DE FACTURACIÓN]]-PROVEEDORES[[#This Row],[PLAZO Días]],0)</f>
        <v>0</v>
      </c>
      <c r="U1497" s="135">
        <f>+VLOOKUP(PROVEEDORES[[#This Row],[PROVEEDOR]],Terceros!$A:$D,4,FALSE)</f>
        <v>0</v>
      </c>
      <c r="V1497" s="135">
        <f>+YEAR(PROVEEDORES[[#This Row],[FECHA DE FACTURACIÓN]])</f>
        <v>2024</v>
      </c>
      <c r="W1497" s="135">
        <f>+MATCH(PROVEEDORES[[#This Row],[año facturado]],Retenciones!$1:$1,0)</f>
        <v>7</v>
      </c>
      <c r="X1497" s="136">
        <f>+VLOOKUP(PROVEEDORES[[#This Row],[ID RETENCION]],Retenciones!$A$1:$O$25,PROVEEDORES[[#This Row],[indicador de columna]],FALSE)</f>
        <v>0</v>
      </c>
      <c r="Y1497" s="137">
        <f>+VLOOKUP(PROVEEDORES[[#This Row],[ID RETENCION]],Retenciones!$A$1:$O$25,2,FALSE)</f>
        <v>0</v>
      </c>
      <c r="Z1497" s="126" t="b">
        <f>+OR(COUNTIF(PROVEEDORES[[#This Row],[PROVEEDOR]],"*"&amp;'Palabra que no opera y Listas d'!$A$2&amp;"*"))</f>
        <v>0</v>
      </c>
    </row>
    <row r="1498" spans="1:26" ht="27.75" customHeight="1" x14ac:dyDescent="0.25">
      <c r="A1498" s="141" t="str">
        <f>+IF(PROVEEDORES[[#This Row],[FECHA DE PAGO]]=PROVEEDORES[[#This Row],[FECHA DE FACTURACIÓN]],"DE CONTADO","CRÉDITO")</f>
        <v>CRÉDITO</v>
      </c>
      <c r="B1498" s="138" t="b">
        <f>+IF((PROVEEDORES[[#This Row],[FECHA DE PAGO]]-PROVEEDORES[[#This Row],[FECHA DE FACTURACIÓN]])&gt;PROVEEDORES[[#This Row],[PLAZO Días]],"PAGO VENCIDO")</f>
        <v>0</v>
      </c>
      <c r="C1498" s="138">
        <f>+VLOOKUP(PROVEEDORES[[#This Row],[PROVEEDOR]],TERCEROS_INFO[#All],2,FALSE)</f>
        <v>30</v>
      </c>
      <c r="D1498" s="139">
        <f>+SUMIFS(PROVEEDORES[Total],PROVEEDORES[PROVEEDOR],PROVEEDORES[[#This Row],[PROVEEDOR]],PROVEEDORES[FECHA DE PAGO],"")</f>
        <v>0</v>
      </c>
      <c r="E1498" s="140"/>
      <c r="F1498" s="13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1498" s="127">
        <v>45411</v>
      </c>
      <c r="H1498" s="123" t="s">
        <v>1729</v>
      </c>
      <c r="I1498" s="127">
        <v>45383</v>
      </c>
      <c r="J1498" s="124" t="s">
        <v>1700</v>
      </c>
      <c r="K1498" s="124" t="s">
        <v>504</v>
      </c>
      <c r="L1498" s="124" t="s">
        <v>1533</v>
      </c>
      <c r="M1498" s="125">
        <v>16351813.349999998</v>
      </c>
      <c r="N1498" s="148">
        <v>0</v>
      </c>
      <c r="O1498" s="148">
        <v>0</v>
      </c>
      <c r="P1498" s="149">
        <v>0</v>
      </c>
      <c r="Q1498" s="148">
        <v>0</v>
      </c>
      <c r="R1498" s="150">
        <v>16351813.349999998</v>
      </c>
      <c r="S14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8" s="135">
        <f ca="1">+IF(PROVEEDORES[[#This Row],[FECHA DE PAGO]]=0,TODAY()-PROVEEDORES[[#This Row],[FECHA DE FACTURACIÓN]]-PROVEEDORES[[#This Row],[PLAZO Días]],0)</f>
        <v>0</v>
      </c>
      <c r="U1498" s="135">
        <f>+VLOOKUP(PROVEEDORES[[#This Row],[PROVEEDOR]],Terceros!$A:$D,4,FALSE)</f>
        <v>0</v>
      </c>
      <c r="V1498" s="135">
        <f>+YEAR(PROVEEDORES[[#This Row],[FECHA DE FACTURACIÓN]])</f>
        <v>2024</v>
      </c>
      <c r="W1498" s="135">
        <f>+MATCH(PROVEEDORES[[#This Row],[año facturado]],Retenciones!$1:$1,0)</f>
        <v>7</v>
      </c>
      <c r="X1498" s="136">
        <f>+VLOOKUP(PROVEEDORES[[#This Row],[ID RETENCION]],Retenciones!$A$1:$O$25,PROVEEDORES[[#This Row],[indicador de columna]],FALSE)</f>
        <v>0</v>
      </c>
      <c r="Y1498" s="137">
        <f>+VLOOKUP(PROVEEDORES[[#This Row],[ID RETENCION]],Retenciones!$A$1:$O$25,2,FALSE)</f>
        <v>0</v>
      </c>
      <c r="Z1498" s="126" t="b">
        <f>+OR(COUNTIF(PROVEEDORES[[#This Row],[PROVEEDOR]],"*"&amp;'Palabra que no opera y Listas d'!$A$2&amp;"*"))</f>
        <v>0</v>
      </c>
    </row>
    <row r="1499" spans="1:26" ht="27.75" customHeight="1" x14ac:dyDescent="0.25">
      <c r="A1499" s="141" t="str">
        <f>+IF(PROVEEDORES[[#This Row],[FECHA DE PAGO]]=PROVEEDORES[[#This Row],[FECHA DE FACTURACIÓN]],"DE CONTADO","CRÉDITO")</f>
        <v>CRÉDITO</v>
      </c>
      <c r="B1499" s="138" t="b">
        <f>+IF((PROVEEDORES[[#This Row],[FECHA DE PAGO]]-PROVEEDORES[[#This Row],[FECHA DE FACTURACIÓN]])&gt;PROVEEDORES[[#This Row],[PLAZO Días]],"PAGO VENCIDO")</f>
        <v>0</v>
      </c>
      <c r="C1499" s="138">
        <f>+VLOOKUP(PROVEEDORES[[#This Row],[PROVEEDOR]],TERCEROS_INFO[#All],2,FALSE)</f>
        <v>30</v>
      </c>
      <c r="D1499" s="139">
        <f>+SUMIFS(PROVEEDORES[Total],PROVEEDORES[PROVEEDOR],PROVEEDORES[[#This Row],[PROVEEDOR]],PROVEEDORES[FECHA DE PAGO],"")</f>
        <v>0</v>
      </c>
      <c r="E1499" s="140"/>
      <c r="F1499" s="13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1499" s="127">
        <v>45411</v>
      </c>
      <c r="H1499" s="123" t="s">
        <v>1729</v>
      </c>
      <c r="I1499" s="127">
        <v>45383</v>
      </c>
      <c r="J1499" s="124" t="s">
        <v>1701</v>
      </c>
      <c r="K1499" s="124" t="s">
        <v>504</v>
      </c>
      <c r="L1499" s="124" t="s">
        <v>1533</v>
      </c>
      <c r="M1499" s="125">
        <v>5178268.3650000002</v>
      </c>
      <c r="N1499" s="148">
        <v>0</v>
      </c>
      <c r="O1499" s="148">
        <v>0</v>
      </c>
      <c r="P1499" s="149">
        <v>0</v>
      </c>
      <c r="Q1499" s="148">
        <v>0</v>
      </c>
      <c r="R1499" s="150">
        <v>5178268.3650000002</v>
      </c>
      <c r="S14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499" s="135">
        <f ca="1">+IF(PROVEEDORES[[#This Row],[FECHA DE PAGO]]=0,TODAY()-PROVEEDORES[[#This Row],[FECHA DE FACTURACIÓN]]-PROVEEDORES[[#This Row],[PLAZO Días]],0)</f>
        <v>0</v>
      </c>
      <c r="U1499" s="135">
        <f>+VLOOKUP(PROVEEDORES[[#This Row],[PROVEEDOR]],Terceros!$A:$D,4,FALSE)</f>
        <v>0</v>
      </c>
      <c r="V1499" s="135">
        <f>+YEAR(PROVEEDORES[[#This Row],[FECHA DE FACTURACIÓN]])</f>
        <v>2024</v>
      </c>
      <c r="W1499" s="135">
        <f>+MATCH(PROVEEDORES[[#This Row],[año facturado]],Retenciones!$1:$1,0)</f>
        <v>7</v>
      </c>
      <c r="X1499" s="136">
        <f>+VLOOKUP(PROVEEDORES[[#This Row],[ID RETENCION]],Retenciones!$A$1:$O$25,PROVEEDORES[[#This Row],[indicador de columna]],FALSE)</f>
        <v>0</v>
      </c>
      <c r="Y1499" s="137">
        <f>+VLOOKUP(PROVEEDORES[[#This Row],[ID RETENCION]],Retenciones!$A$1:$O$25,2,FALSE)</f>
        <v>0</v>
      </c>
      <c r="Z1499" s="126" t="b">
        <f>+OR(COUNTIF(PROVEEDORES[[#This Row],[PROVEEDOR]],"*"&amp;'Palabra que no opera y Listas d'!$A$2&amp;"*"))</f>
        <v>0</v>
      </c>
    </row>
    <row r="1500" spans="1:26" ht="27.75" customHeight="1" x14ac:dyDescent="0.25">
      <c r="A1500" s="141" t="str">
        <f>+IF(PROVEEDORES[[#This Row],[FECHA DE PAGO]]=PROVEEDORES[[#This Row],[FECHA DE FACTURACIÓN]],"DE CONTADO","CRÉDITO")</f>
        <v>CRÉDITO</v>
      </c>
      <c r="B1500" s="138" t="b">
        <f>+IF((PROVEEDORES[[#This Row],[FECHA DE PAGO]]-PROVEEDORES[[#This Row],[FECHA DE FACTURACIÓN]])&gt;PROVEEDORES[[#This Row],[PLAZO Días]],"PAGO VENCIDO")</f>
        <v>0</v>
      </c>
      <c r="C1500" s="138">
        <f>+VLOOKUP(PROVEEDORES[[#This Row],[PROVEEDOR]],TERCEROS_INFO[#All],2,FALSE)</f>
        <v>30</v>
      </c>
      <c r="D1500" s="139">
        <f>+SUMIFS(PROVEEDORES[Total],PROVEEDORES[PROVEEDOR],PROVEEDORES[[#This Row],[PROVEEDOR]],PROVEEDORES[FECHA DE PAGO],"")</f>
        <v>0</v>
      </c>
      <c r="E1500" s="140"/>
      <c r="F1500" s="138" t="str">
        <f>+VLOOKUP(PROVEEDORES[[#This Row],[PROVEEDOR]],
                       Terceros!$A:$F,
                       5,
                       FALSE)</f>
        <v>vcortes@power-sonic.com;alexander.baur@power-sonic.com;jirias@power-sonic.com;girlesa.ruiz@servipilas.com;joriescobar64@gmail.com;info@servipilas.com</v>
      </c>
      <c r="G1500" s="127">
        <v>45411</v>
      </c>
      <c r="H1500" s="123" t="s">
        <v>1729</v>
      </c>
      <c r="I1500" s="127">
        <v>45383</v>
      </c>
      <c r="J1500" s="124" t="s">
        <v>1699</v>
      </c>
      <c r="K1500" s="124" t="s">
        <v>504</v>
      </c>
      <c r="L1500" s="124" t="s">
        <v>1533</v>
      </c>
      <c r="M1500" s="125">
        <v>7223468.1000000006</v>
      </c>
      <c r="N1500" s="148">
        <v>0</v>
      </c>
      <c r="O1500" s="148">
        <v>0</v>
      </c>
      <c r="P1500" s="149">
        <v>0</v>
      </c>
      <c r="Q1500" s="148">
        <v>0</v>
      </c>
      <c r="R1500" s="150">
        <v>7223468.1000000006</v>
      </c>
      <c r="S150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0" s="135">
        <f ca="1">+IF(PROVEEDORES[[#This Row],[FECHA DE PAGO]]=0,TODAY()-PROVEEDORES[[#This Row],[FECHA DE FACTURACIÓN]]-PROVEEDORES[[#This Row],[PLAZO Días]],0)</f>
        <v>0</v>
      </c>
      <c r="U1500" s="135">
        <f>+VLOOKUP(PROVEEDORES[[#This Row],[PROVEEDOR]],Terceros!$A:$D,4,FALSE)</f>
        <v>0</v>
      </c>
      <c r="V1500" s="135">
        <f>+YEAR(PROVEEDORES[[#This Row],[FECHA DE FACTURACIÓN]])</f>
        <v>2024</v>
      </c>
      <c r="W1500" s="135">
        <f>+MATCH(PROVEEDORES[[#This Row],[año facturado]],Retenciones!$1:$1,0)</f>
        <v>7</v>
      </c>
      <c r="X1500" s="136">
        <f>+VLOOKUP(PROVEEDORES[[#This Row],[ID RETENCION]],Retenciones!$A$1:$O$25,PROVEEDORES[[#This Row],[indicador de columna]],FALSE)</f>
        <v>0</v>
      </c>
      <c r="Y1500" s="137">
        <f>+VLOOKUP(PROVEEDORES[[#This Row],[ID RETENCION]],Retenciones!$A$1:$O$25,2,FALSE)</f>
        <v>0</v>
      </c>
      <c r="Z1500" s="126" t="b">
        <f>+OR(COUNTIF(PROVEEDORES[[#This Row],[PROVEEDOR]],"*"&amp;'Palabra que no opera y Listas d'!$A$2&amp;"*"))</f>
        <v>0</v>
      </c>
    </row>
    <row r="1501" spans="1:26" ht="27.75" customHeight="1" x14ac:dyDescent="0.25">
      <c r="A1501" s="141" t="str">
        <f>+IF(PROVEEDORES[[#This Row],[FECHA DE PAGO]]=PROVEEDORES[[#This Row],[FECHA DE FACTURACIÓN]],"DE CONTADO","CRÉDITO")</f>
        <v>CRÉDITO</v>
      </c>
      <c r="B1501" s="138" t="b">
        <f>+IF((PROVEEDORES[[#This Row],[FECHA DE PAGO]]-PROVEEDORES[[#This Row],[FECHA DE FACTURACIÓN]])&gt;PROVEEDORES[[#This Row],[PLAZO Días]],"PAGO VENCIDO")</f>
        <v>0</v>
      </c>
      <c r="C1501" s="138">
        <f>+VLOOKUP(PROVEEDORES[[#This Row],[PROVEEDOR]],TERCEROS_INFO[#All],2,FALSE)</f>
        <v>30</v>
      </c>
      <c r="D1501" s="139">
        <f>+SUMIFS(PROVEEDORES[Total],PROVEEDORES[PROVEEDOR],PROVEEDORES[[#This Row],[PROVEEDOR]],PROVEEDORES[FECHA DE PAGO],"")</f>
        <v>0</v>
      </c>
      <c r="E1501" s="140"/>
      <c r="F1501" s="138" t="str">
        <f>+VLOOKUP(PROVEEDORES[[#This Row],[PROVEEDOR]],
                       Terceros!$A:$F,
                       5,
                       FALSE)</f>
        <v/>
      </c>
      <c r="G1501" s="127">
        <v>45412</v>
      </c>
      <c r="H1501" s="123" t="s">
        <v>481</v>
      </c>
      <c r="I1501" s="127">
        <v>45411</v>
      </c>
      <c r="J1501" s="124" t="s">
        <v>1882</v>
      </c>
      <c r="K1501" s="124" t="s">
        <v>504</v>
      </c>
      <c r="L1501" s="124" t="s">
        <v>1541</v>
      </c>
      <c r="M1501" s="125">
        <v>3960000</v>
      </c>
      <c r="N1501" s="148">
        <f>+(PROVEEDORES[[#This Row],[SUBTOTAL]])*VLOOKUP(PROVEEDORES[[#This Row],[PROVEEDOR]],TERCEROS_INFO[#All],3,FALSE)</f>
        <v>0</v>
      </c>
      <c r="O1501" s="148">
        <f>+'Palabra que no opera y Listas d'!$D$2</f>
        <v>0</v>
      </c>
      <c r="P1501" s="149">
        <f>+IF(PROVEEDORES[[#This Row],[SUBTOTAL]]&lt;PROVEEDORES[[#This Row],[base retencion]],0,PROVEEDORES[[#This Row],[retención aplicada]])</f>
        <v>0</v>
      </c>
      <c r="Q1501" s="148">
        <f>+PROVEEDORES[[#This Row],[ReteFuente
%]]*(PROVEEDORES[[#This Row],[SUBTOTAL]])</f>
        <v>0</v>
      </c>
      <c r="R1501" s="150">
        <f>+PROVEEDORES[[#This Row],[SUBTOTAL]]+PROVEEDORES[[#This Row],[IVA 19%]]-PROVEEDORES[[#This Row],[Descuento
$]]-PROVEEDORES[[#This Row],[ReteFuente
$]]</f>
        <v>3960000</v>
      </c>
      <c r="S150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1" s="135">
        <f ca="1">+IF(PROVEEDORES[[#This Row],[FECHA DE PAGO]]=0,TODAY()-PROVEEDORES[[#This Row],[FECHA DE FACTURACIÓN]]-PROVEEDORES[[#This Row],[PLAZO Días]],0)</f>
        <v>0</v>
      </c>
      <c r="U1501" s="135">
        <f>+VLOOKUP(PROVEEDORES[[#This Row],[PROVEEDOR]],Terceros!$A:$D,4,FALSE)</f>
        <v>0</v>
      </c>
      <c r="V1501" s="135">
        <f>+YEAR(PROVEEDORES[[#This Row],[FECHA DE FACTURACIÓN]])</f>
        <v>2024</v>
      </c>
      <c r="W1501" s="135">
        <f>+MATCH(PROVEEDORES[[#This Row],[año facturado]],Retenciones!$1:$1,0)</f>
        <v>7</v>
      </c>
      <c r="X1501" s="136">
        <f>+VLOOKUP(PROVEEDORES[[#This Row],[ID RETENCION]],Retenciones!$A$1:$O$25,PROVEEDORES[[#This Row],[indicador de columna]],FALSE)</f>
        <v>0</v>
      </c>
      <c r="Y1501" s="137">
        <f>+VLOOKUP(PROVEEDORES[[#This Row],[ID RETENCION]],Retenciones!$A$1:$O$25,2,FALSE)</f>
        <v>0</v>
      </c>
      <c r="Z1501" s="126" t="b">
        <f>+OR(COUNTIF(PROVEEDORES[[#This Row],[PROVEEDOR]],"*"&amp;'Palabra que no opera y Listas d'!$A$2&amp;"*"))</f>
        <v>0</v>
      </c>
    </row>
    <row r="1502" spans="1:26" ht="27.75" customHeight="1" x14ac:dyDescent="0.25">
      <c r="A1502" s="141" t="str">
        <f>+IF(PROVEEDORES[[#This Row],[FECHA DE PAGO]]=PROVEEDORES[[#This Row],[FECHA DE FACTURACIÓN]],"DE CONTADO","CRÉDITO")</f>
        <v>DE CONTADO</v>
      </c>
      <c r="B1502" s="138" t="b">
        <f>+IF((PROVEEDORES[[#This Row],[FECHA DE PAGO]]-PROVEEDORES[[#This Row],[FECHA DE FACTURACIÓN]])&gt;PROVEEDORES[[#This Row],[PLAZO Días]],"PAGO VENCIDO")</f>
        <v>0</v>
      </c>
      <c r="C1502" s="138">
        <f>+VLOOKUP(PROVEEDORES[[#This Row],[PROVEEDOR]],TERCEROS_INFO[#All],2,FALSE)</f>
        <v>30</v>
      </c>
      <c r="D1502" s="139">
        <f>+SUMIFS(PROVEEDORES[Total],PROVEEDORES[PROVEEDOR],PROVEEDORES[[#This Row],[PROVEEDOR]],PROVEEDORES[FECHA DE PAGO],"")</f>
        <v>0</v>
      </c>
      <c r="E1502" s="140"/>
      <c r="F1502" s="138" t="str">
        <f>+VLOOKUP(PROVEEDORES[[#This Row],[PROVEEDOR]],
                       Terceros!$A:$F,
                       5,
                       FALSE)</f>
        <v/>
      </c>
      <c r="G1502" s="127">
        <v>45412</v>
      </c>
      <c r="H1502" s="123" t="s">
        <v>525</v>
      </c>
      <c r="I1502" s="127">
        <v>45412</v>
      </c>
      <c r="J1502" s="124" t="s">
        <v>1836</v>
      </c>
      <c r="K1502" s="124" t="s">
        <v>1530</v>
      </c>
      <c r="L1502" s="124"/>
      <c r="M1502" s="125">
        <v>35000</v>
      </c>
      <c r="N1502" s="148">
        <v>0</v>
      </c>
      <c r="O1502" s="148">
        <v>0</v>
      </c>
      <c r="P1502" s="149">
        <v>0</v>
      </c>
      <c r="Q1502" s="148">
        <v>0</v>
      </c>
      <c r="R1502" s="150">
        <v>35000</v>
      </c>
      <c r="S150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2" s="135">
        <f ca="1">+IF(PROVEEDORES[[#This Row],[FECHA DE PAGO]]=0,TODAY()-PROVEEDORES[[#This Row],[FECHA DE FACTURACIÓN]]-PROVEEDORES[[#This Row],[PLAZO Días]],0)</f>
        <v>0</v>
      </c>
      <c r="U1502" s="135">
        <f>+VLOOKUP(PROVEEDORES[[#This Row],[PROVEEDOR]],Terceros!$A:$D,4,FALSE)</f>
        <v>0</v>
      </c>
      <c r="V1502" s="135">
        <f>+YEAR(PROVEEDORES[[#This Row],[FECHA DE FACTURACIÓN]])</f>
        <v>2024</v>
      </c>
      <c r="W1502" s="135">
        <f>+MATCH(PROVEEDORES[[#This Row],[año facturado]],Retenciones!$1:$1,0)</f>
        <v>7</v>
      </c>
      <c r="X1502" s="136">
        <f>+VLOOKUP(PROVEEDORES[[#This Row],[ID RETENCION]],Retenciones!$A$1:$O$25,PROVEEDORES[[#This Row],[indicador de columna]],FALSE)</f>
        <v>0</v>
      </c>
      <c r="Y1502" s="137">
        <f>+VLOOKUP(PROVEEDORES[[#This Row],[ID RETENCION]],Retenciones!$A$1:$O$25,2,FALSE)</f>
        <v>0</v>
      </c>
      <c r="Z1502" s="126" t="b">
        <f>+OR(COUNTIF(PROVEEDORES[[#This Row],[PROVEEDOR]],"*"&amp;'Palabra que no opera y Listas d'!$A$2&amp;"*"))</f>
        <v>0</v>
      </c>
    </row>
    <row r="1503" spans="1:26" ht="27.75" customHeight="1" x14ac:dyDescent="0.25">
      <c r="A1503" s="141" t="str">
        <f>+IF(PROVEEDORES[[#This Row],[FECHA DE PAGO]]=PROVEEDORES[[#This Row],[FECHA DE FACTURACIÓN]],"DE CONTADO","CRÉDITO")</f>
        <v>DE CONTADO</v>
      </c>
      <c r="B1503" s="138" t="b">
        <f>+IF((PROVEEDORES[[#This Row],[FECHA DE PAGO]]-PROVEEDORES[[#This Row],[FECHA DE FACTURACIÓN]])&gt;PROVEEDORES[[#This Row],[PLAZO Días]],"PAGO VENCIDO")</f>
        <v>0</v>
      </c>
      <c r="C1503" s="138">
        <f>+VLOOKUP(PROVEEDORES[[#This Row],[PROVEEDOR]],TERCEROS_INFO[#All],2,FALSE)</f>
        <v>30</v>
      </c>
      <c r="D1503" s="139">
        <f>+SUMIFS(PROVEEDORES[Total],PROVEEDORES[PROVEEDOR],PROVEEDORES[[#This Row],[PROVEEDOR]],PROVEEDORES[FECHA DE PAGO],"")</f>
        <v>0</v>
      </c>
      <c r="E1503" s="140"/>
      <c r="F1503" s="138" t="str">
        <f>+VLOOKUP(PROVEEDORES[[#This Row],[PROVEEDOR]],
                       Terceros!$A:$F,
                       5,
                       FALSE)</f>
        <v/>
      </c>
      <c r="G1503" s="127">
        <v>45412</v>
      </c>
      <c r="H1503" s="123" t="s">
        <v>525</v>
      </c>
      <c r="I1503" s="127">
        <v>45412</v>
      </c>
      <c r="J1503" s="124" t="s">
        <v>1841</v>
      </c>
      <c r="K1503" s="124"/>
      <c r="L1503" s="124"/>
      <c r="M1503" s="125">
        <v>498000</v>
      </c>
      <c r="N1503" s="148">
        <v>0</v>
      </c>
      <c r="O1503" s="148">
        <v>0</v>
      </c>
      <c r="P1503" s="149">
        <v>0</v>
      </c>
      <c r="Q1503" s="148">
        <v>0</v>
      </c>
      <c r="R1503" s="150">
        <v>498000</v>
      </c>
      <c r="S150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3" s="135">
        <f ca="1">+IF(PROVEEDORES[[#This Row],[FECHA DE PAGO]]=0,TODAY()-PROVEEDORES[[#This Row],[FECHA DE FACTURACIÓN]]-PROVEEDORES[[#This Row],[PLAZO Días]],0)</f>
        <v>0</v>
      </c>
      <c r="U1503" s="135">
        <f>+VLOOKUP(PROVEEDORES[[#This Row],[PROVEEDOR]],Terceros!$A:$D,4,FALSE)</f>
        <v>0</v>
      </c>
      <c r="V1503" s="135">
        <f>+YEAR(PROVEEDORES[[#This Row],[FECHA DE FACTURACIÓN]])</f>
        <v>2024</v>
      </c>
      <c r="W1503" s="135">
        <f>+MATCH(PROVEEDORES[[#This Row],[año facturado]],Retenciones!$1:$1,0)</f>
        <v>7</v>
      </c>
      <c r="X1503" s="136">
        <f>+VLOOKUP(PROVEEDORES[[#This Row],[ID RETENCION]],Retenciones!$A$1:$O$25,PROVEEDORES[[#This Row],[indicador de columna]],FALSE)</f>
        <v>0</v>
      </c>
      <c r="Y1503" s="137">
        <f>+VLOOKUP(PROVEEDORES[[#This Row],[ID RETENCION]],Retenciones!$A$1:$O$25,2,FALSE)</f>
        <v>0</v>
      </c>
      <c r="Z1503" s="126" t="b">
        <f>+OR(COUNTIF(PROVEEDORES[[#This Row],[PROVEEDOR]],"*"&amp;'Palabra que no opera y Listas d'!$A$2&amp;"*"))</f>
        <v>0</v>
      </c>
    </row>
    <row r="1504" spans="1:26" ht="27.75" customHeight="1" x14ac:dyDescent="0.25">
      <c r="A1504" s="141" t="str">
        <f>+IF(PROVEEDORES[[#This Row],[FECHA DE PAGO]]=PROVEEDORES[[#This Row],[FECHA DE FACTURACIÓN]],"DE CONTADO","CRÉDITO")</f>
        <v>DE CONTADO</v>
      </c>
      <c r="B1504" s="138" t="b">
        <f>+IF((PROVEEDORES[[#This Row],[FECHA DE PAGO]]-PROVEEDORES[[#This Row],[FECHA DE FACTURACIÓN]])&gt;PROVEEDORES[[#This Row],[PLAZO Días]],"PAGO VENCIDO")</f>
        <v>0</v>
      </c>
      <c r="C1504" s="138">
        <f>+VLOOKUP(PROVEEDORES[[#This Row],[PROVEEDOR]],TERCEROS_INFO[#All],2,FALSE)</f>
        <v>30</v>
      </c>
      <c r="D1504" s="139">
        <f>+SUMIFS(PROVEEDORES[Total],PROVEEDORES[PROVEEDOR],PROVEEDORES[[#This Row],[PROVEEDOR]],PROVEEDORES[FECHA DE PAGO],"")</f>
        <v>0</v>
      </c>
      <c r="E1504" s="140"/>
      <c r="F1504" s="138" t="str">
        <f>+VLOOKUP(PROVEEDORES[[#This Row],[PROVEEDOR]],
                       Terceros!$A:$F,
                       5,
                       FALSE)</f>
        <v/>
      </c>
      <c r="G1504" s="127">
        <v>45412</v>
      </c>
      <c r="H1504" s="123" t="s">
        <v>525</v>
      </c>
      <c r="I1504" s="127">
        <v>45412</v>
      </c>
      <c r="J1504" s="124" t="s">
        <v>1842</v>
      </c>
      <c r="K1504" s="124"/>
      <c r="L1504" s="124"/>
      <c r="M1504" s="125">
        <v>120000</v>
      </c>
      <c r="N1504" s="148">
        <v>0</v>
      </c>
      <c r="O1504" s="148">
        <v>0</v>
      </c>
      <c r="P1504" s="149">
        <v>0</v>
      </c>
      <c r="Q1504" s="148">
        <v>0</v>
      </c>
      <c r="R1504" s="150">
        <v>120000</v>
      </c>
      <c r="S15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4" s="135">
        <f ca="1">+IF(PROVEEDORES[[#This Row],[FECHA DE PAGO]]=0,TODAY()-PROVEEDORES[[#This Row],[FECHA DE FACTURACIÓN]]-PROVEEDORES[[#This Row],[PLAZO Días]],0)</f>
        <v>0</v>
      </c>
      <c r="U1504" s="135">
        <f>+VLOOKUP(PROVEEDORES[[#This Row],[PROVEEDOR]],Terceros!$A:$D,4,FALSE)</f>
        <v>0</v>
      </c>
      <c r="V1504" s="135">
        <f>+YEAR(PROVEEDORES[[#This Row],[FECHA DE FACTURACIÓN]])</f>
        <v>2024</v>
      </c>
      <c r="W1504" s="135">
        <f>+MATCH(PROVEEDORES[[#This Row],[año facturado]],Retenciones!$1:$1,0)</f>
        <v>7</v>
      </c>
      <c r="X1504" s="136">
        <f>+VLOOKUP(PROVEEDORES[[#This Row],[ID RETENCION]],Retenciones!$A$1:$O$25,PROVEEDORES[[#This Row],[indicador de columna]],FALSE)</f>
        <v>0</v>
      </c>
      <c r="Y1504" s="137">
        <f>+VLOOKUP(PROVEEDORES[[#This Row],[ID RETENCION]],Retenciones!$A$1:$O$25,2,FALSE)</f>
        <v>0</v>
      </c>
      <c r="Z1504" s="126" t="b">
        <f>+OR(COUNTIF(PROVEEDORES[[#This Row],[PROVEEDOR]],"*"&amp;'Palabra que no opera y Listas d'!$A$2&amp;"*"))</f>
        <v>0</v>
      </c>
    </row>
    <row r="1505" spans="1:26" ht="27.75" customHeight="1" x14ac:dyDescent="0.25">
      <c r="A1505" s="141" t="str">
        <f>+IF(PROVEEDORES[[#This Row],[FECHA DE PAGO]]=PROVEEDORES[[#This Row],[FECHA DE FACTURACIÓN]],"DE CONTADO","CRÉDITO")</f>
        <v>DE CONTADO</v>
      </c>
      <c r="B1505" s="138" t="b">
        <f>+IF((PROVEEDORES[[#This Row],[FECHA DE PAGO]]-PROVEEDORES[[#This Row],[FECHA DE FACTURACIÓN]])&gt;PROVEEDORES[[#This Row],[PLAZO Días]],"PAGO VENCIDO")</f>
        <v>0</v>
      </c>
      <c r="C1505" s="138">
        <f>+VLOOKUP(PROVEEDORES[[#This Row],[PROVEEDOR]],TERCEROS_INFO[#All],2,FALSE)</f>
        <v>30</v>
      </c>
      <c r="D1505" s="139">
        <f>+SUMIFS(PROVEEDORES[Total],PROVEEDORES[PROVEEDOR],PROVEEDORES[[#This Row],[PROVEEDOR]],PROVEEDORES[FECHA DE PAGO],"")</f>
        <v>0</v>
      </c>
      <c r="E1505" s="140"/>
      <c r="F1505" s="138" t="str">
        <f>+VLOOKUP(PROVEEDORES[[#This Row],[PROVEEDOR]],
                       Terceros!$A:$F,
                       5,
                       FALSE)</f>
        <v/>
      </c>
      <c r="G1505" s="127">
        <v>45412</v>
      </c>
      <c r="H1505" s="123" t="s">
        <v>525</v>
      </c>
      <c r="I1505" s="127">
        <v>45412</v>
      </c>
      <c r="J1505" s="124" t="s">
        <v>1843</v>
      </c>
      <c r="K1505" s="124"/>
      <c r="L1505" s="124"/>
      <c r="M1505" s="125">
        <v>1900400</v>
      </c>
      <c r="N1505" s="148">
        <v>0</v>
      </c>
      <c r="O1505" s="148">
        <v>0</v>
      </c>
      <c r="P1505" s="149">
        <v>0</v>
      </c>
      <c r="Q1505" s="148">
        <v>0</v>
      </c>
      <c r="R1505" s="150">
        <v>1900400</v>
      </c>
      <c r="S15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5" s="135">
        <f ca="1">+IF(PROVEEDORES[[#This Row],[FECHA DE PAGO]]=0,TODAY()-PROVEEDORES[[#This Row],[FECHA DE FACTURACIÓN]]-PROVEEDORES[[#This Row],[PLAZO Días]],0)</f>
        <v>0</v>
      </c>
      <c r="U1505" s="135">
        <f>+VLOOKUP(PROVEEDORES[[#This Row],[PROVEEDOR]],Terceros!$A:$D,4,FALSE)</f>
        <v>0</v>
      </c>
      <c r="V1505" s="135">
        <f>+YEAR(PROVEEDORES[[#This Row],[FECHA DE FACTURACIÓN]])</f>
        <v>2024</v>
      </c>
      <c r="W1505" s="135">
        <f>+MATCH(PROVEEDORES[[#This Row],[año facturado]],Retenciones!$1:$1,0)</f>
        <v>7</v>
      </c>
      <c r="X1505" s="136">
        <f>+VLOOKUP(PROVEEDORES[[#This Row],[ID RETENCION]],Retenciones!$A$1:$O$25,PROVEEDORES[[#This Row],[indicador de columna]],FALSE)</f>
        <v>0</v>
      </c>
      <c r="Y1505" s="137">
        <f>+VLOOKUP(PROVEEDORES[[#This Row],[ID RETENCION]],Retenciones!$A$1:$O$25,2,FALSE)</f>
        <v>0</v>
      </c>
      <c r="Z1505" s="126" t="b">
        <f>+OR(COUNTIF(PROVEEDORES[[#This Row],[PROVEEDOR]],"*"&amp;'Palabra que no opera y Listas d'!$A$2&amp;"*"))</f>
        <v>0</v>
      </c>
    </row>
    <row r="1506" spans="1:26" ht="27.75" customHeight="1" x14ac:dyDescent="0.25">
      <c r="A1506" s="141" t="str">
        <f>+IF(PROVEEDORES[[#This Row],[FECHA DE PAGO]]=PROVEEDORES[[#This Row],[FECHA DE FACTURACIÓN]],"DE CONTADO","CRÉDITO")</f>
        <v>DE CONTADO</v>
      </c>
      <c r="B1506" s="138" t="b">
        <f>+IF((PROVEEDORES[[#This Row],[FECHA DE PAGO]]-PROVEEDORES[[#This Row],[FECHA DE FACTURACIÓN]])&gt;PROVEEDORES[[#This Row],[PLAZO Días]],"PAGO VENCIDO")</f>
        <v>0</v>
      </c>
      <c r="C1506" s="138">
        <f>+VLOOKUP(PROVEEDORES[[#This Row],[PROVEEDOR]],TERCEROS_INFO[#All],2,FALSE)</f>
        <v>30</v>
      </c>
      <c r="D1506" s="139">
        <f>+SUMIFS(PROVEEDORES[Total],PROVEEDORES[PROVEEDOR],PROVEEDORES[[#This Row],[PROVEEDOR]],PROVEEDORES[FECHA DE PAGO],"")</f>
        <v>0</v>
      </c>
      <c r="E1506" s="140"/>
      <c r="F1506" s="138" t="str">
        <f>+VLOOKUP(PROVEEDORES[[#This Row],[PROVEEDOR]],
                       Terceros!$A:$F,
                       5,
                       FALSE)</f>
        <v/>
      </c>
      <c r="G1506" s="127">
        <v>45412</v>
      </c>
      <c r="H1506" s="123" t="s">
        <v>525</v>
      </c>
      <c r="I1506" s="127">
        <v>45412</v>
      </c>
      <c r="J1506" s="124" t="s">
        <v>1844</v>
      </c>
      <c r="K1506" s="124"/>
      <c r="L1506" s="124"/>
      <c r="M1506" s="125">
        <v>883500</v>
      </c>
      <c r="N1506" s="148">
        <v>0</v>
      </c>
      <c r="O1506" s="148">
        <v>0</v>
      </c>
      <c r="P1506" s="149">
        <v>0</v>
      </c>
      <c r="Q1506" s="148">
        <v>0</v>
      </c>
      <c r="R1506" s="150">
        <v>883500</v>
      </c>
      <c r="S15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6" s="135">
        <f ca="1">+IF(PROVEEDORES[[#This Row],[FECHA DE PAGO]]=0,TODAY()-PROVEEDORES[[#This Row],[FECHA DE FACTURACIÓN]]-PROVEEDORES[[#This Row],[PLAZO Días]],0)</f>
        <v>0</v>
      </c>
      <c r="U1506" s="135">
        <f>+VLOOKUP(PROVEEDORES[[#This Row],[PROVEEDOR]],Terceros!$A:$D,4,FALSE)</f>
        <v>0</v>
      </c>
      <c r="V1506" s="135">
        <f>+YEAR(PROVEEDORES[[#This Row],[FECHA DE FACTURACIÓN]])</f>
        <v>2024</v>
      </c>
      <c r="W1506" s="135">
        <f>+MATCH(PROVEEDORES[[#This Row],[año facturado]],Retenciones!$1:$1,0)</f>
        <v>7</v>
      </c>
      <c r="X1506" s="136">
        <f>+VLOOKUP(PROVEEDORES[[#This Row],[ID RETENCION]],Retenciones!$A$1:$O$25,PROVEEDORES[[#This Row],[indicador de columna]],FALSE)</f>
        <v>0</v>
      </c>
      <c r="Y1506" s="137">
        <f>+VLOOKUP(PROVEEDORES[[#This Row],[ID RETENCION]],Retenciones!$A$1:$O$25,2,FALSE)</f>
        <v>0</v>
      </c>
      <c r="Z1506" s="126" t="b">
        <f>+OR(COUNTIF(PROVEEDORES[[#This Row],[PROVEEDOR]],"*"&amp;'Palabra que no opera y Listas d'!$A$2&amp;"*"))</f>
        <v>0</v>
      </c>
    </row>
    <row r="1507" spans="1:26" ht="27.75" customHeight="1" x14ac:dyDescent="0.25">
      <c r="A1507" s="141" t="str">
        <f>+IF(PROVEEDORES[[#This Row],[FECHA DE PAGO]]=PROVEEDORES[[#This Row],[FECHA DE FACTURACIÓN]],"DE CONTADO","CRÉDITO")</f>
        <v>DE CONTADO</v>
      </c>
      <c r="B1507" s="138" t="b">
        <f>+IF((PROVEEDORES[[#This Row],[FECHA DE PAGO]]-PROVEEDORES[[#This Row],[FECHA DE FACTURACIÓN]])&gt;PROVEEDORES[[#This Row],[PLAZO Días]],"PAGO VENCIDO")</f>
        <v>0</v>
      </c>
      <c r="C1507" s="138">
        <f>+VLOOKUP(PROVEEDORES[[#This Row],[PROVEEDOR]],TERCEROS_INFO[#All],2,FALSE)</f>
        <v>30</v>
      </c>
      <c r="D1507" s="139">
        <f>+SUMIFS(PROVEEDORES[Total],PROVEEDORES[PROVEEDOR],PROVEEDORES[[#This Row],[PROVEEDOR]],PROVEEDORES[FECHA DE PAGO],"")</f>
        <v>0</v>
      </c>
      <c r="E1507" s="140"/>
      <c r="F1507" s="138" t="str">
        <f>+VLOOKUP(PROVEEDORES[[#This Row],[PROVEEDOR]],
                       Terceros!$A:$F,
                       5,
                       FALSE)</f>
        <v/>
      </c>
      <c r="G1507" s="127">
        <v>45412</v>
      </c>
      <c r="H1507" s="123" t="s">
        <v>525</v>
      </c>
      <c r="I1507" s="127">
        <v>45412</v>
      </c>
      <c r="J1507" s="124" t="s">
        <v>1845</v>
      </c>
      <c r="K1507" s="124"/>
      <c r="L1507" s="124"/>
      <c r="M1507" s="125">
        <v>268000</v>
      </c>
      <c r="N1507" s="148">
        <v>0</v>
      </c>
      <c r="O1507" s="148">
        <v>0</v>
      </c>
      <c r="P1507" s="149">
        <v>0</v>
      </c>
      <c r="Q1507" s="148">
        <v>0</v>
      </c>
      <c r="R1507" s="150">
        <v>268000</v>
      </c>
      <c r="S150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7" s="135">
        <f ca="1">+IF(PROVEEDORES[[#This Row],[FECHA DE PAGO]]=0,TODAY()-PROVEEDORES[[#This Row],[FECHA DE FACTURACIÓN]]-PROVEEDORES[[#This Row],[PLAZO Días]],0)</f>
        <v>0</v>
      </c>
      <c r="U1507" s="135">
        <f>+VLOOKUP(PROVEEDORES[[#This Row],[PROVEEDOR]],Terceros!$A:$D,4,FALSE)</f>
        <v>0</v>
      </c>
      <c r="V1507" s="135">
        <f>+YEAR(PROVEEDORES[[#This Row],[FECHA DE FACTURACIÓN]])</f>
        <v>2024</v>
      </c>
      <c r="W1507" s="135">
        <f>+MATCH(PROVEEDORES[[#This Row],[año facturado]],Retenciones!$1:$1,0)</f>
        <v>7</v>
      </c>
      <c r="X1507" s="136">
        <f>+VLOOKUP(PROVEEDORES[[#This Row],[ID RETENCION]],Retenciones!$A$1:$O$25,PROVEEDORES[[#This Row],[indicador de columna]],FALSE)</f>
        <v>0</v>
      </c>
      <c r="Y1507" s="137">
        <f>+VLOOKUP(PROVEEDORES[[#This Row],[ID RETENCION]],Retenciones!$A$1:$O$25,2,FALSE)</f>
        <v>0</v>
      </c>
      <c r="Z1507" s="126" t="b">
        <f>+OR(COUNTIF(PROVEEDORES[[#This Row],[PROVEEDOR]],"*"&amp;'Palabra que no opera y Listas d'!$A$2&amp;"*"))</f>
        <v>0</v>
      </c>
    </row>
    <row r="1508" spans="1:26" ht="27.75" customHeight="1" x14ac:dyDescent="0.25">
      <c r="A1508" s="141" t="str">
        <f>+IF(PROVEEDORES[[#This Row],[FECHA DE PAGO]]=PROVEEDORES[[#This Row],[FECHA DE FACTURACIÓN]],"DE CONTADO","CRÉDITO")</f>
        <v>DE CONTADO</v>
      </c>
      <c r="B1508" s="138" t="b">
        <f>+IF((PROVEEDORES[[#This Row],[FECHA DE PAGO]]-PROVEEDORES[[#This Row],[FECHA DE FACTURACIÓN]])&gt;PROVEEDORES[[#This Row],[PLAZO Días]],"PAGO VENCIDO")</f>
        <v>0</v>
      </c>
      <c r="C1508" s="138">
        <f>+VLOOKUP(PROVEEDORES[[#This Row],[PROVEEDOR]],TERCEROS_INFO[#All],2,FALSE)</f>
        <v>30</v>
      </c>
      <c r="D1508" s="139">
        <f>+SUMIFS(PROVEEDORES[Total],PROVEEDORES[PROVEEDOR],PROVEEDORES[[#This Row],[PROVEEDOR]],PROVEEDORES[FECHA DE PAGO],"")</f>
        <v>0</v>
      </c>
      <c r="E1508" s="140"/>
      <c r="F1508" s="138" t="str">
        <f>+VLOOKUP(PROVEEDORES[[#This Row],[PROVEEDOR]],
                       Terceros!$A:$F,
                       5,
                       FALSE)</f>
        <v/>
      </c>
      <c r="G1508" s="127">
        <v>45412</v>
      </c>
      <c r="H1508" s="123" t="s">
        <v>525</v>
      </c>
      <c r="I1508" s="127">
        <v>45412</v>
      </c>
      <c r="J1508" s="124" t="s">
        <v>504</v>
      </c>
      <c r="K1508" s="124"/>
      <c r="L1508" s="124"/>
      <c r="M1508" s="125">
        <v>168000</v>
      </c>
      <c r="N1508" s="148">
        <v>0</v>
      </c>
      <c r="O1508" s="148">
        <v>0</v>
      </c>
      <c r="P1508" s="149">
        <v>0</v>
      </c>
      <c r="Q1508" s="148">
        <v>0</v>
      </c>
      <c r="R1508" s="150">
        <v>168000</v>
      </c>
      <c r="S15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8" s="135">
        <f ca="1">+IF(PROVEEDORES[[#This Row],[FECHA DE PAGO]]=0,TODAY()-PROVEEDORES[[#This Row],[FECHA DE FACTURACIÓN]]-PROVEEDORES[[#This Row],[PLAZO Días]],0)</f>
        <v>0</v>
      </c>
      <c r="U1508" s="135">
        <f>+VLOOKUP(PROVEEDORES[[#This Row],[PROVEEDOR]],Terceros!$A:$D,4,FALSE)</f>
        <v>0</v>
      </c>
      <c r="V1508" s="135">
        <f>+YEAR(PROVEEDORES[[#This Row],[FECHA DE FACTURACIÓN]])</f>
        <v>2024</v>
      </c>
      <c r="W1508" s="135">
        <f>+MATCH(PROVEEDORES[[#This Row],[año facturado]],Retenciones!$1:$1,0)</f>
        <v>7</v>
      </c>
      <c r="X1508" s="136">
        <f>+VLOOKUP(PROVEEDORES[[#This Row],[ID RETENCION]],Retenciones!$A$1:$O$25,PROVEEDORES[[#This Row],[indicador de columna]],FALSE)</f>
        <v>0</v>
      </c>
      <c r="Y1508" s="137">
        <f>+VLOOKUP(PROVEEDORES[[#This Row],[ID RETENCION]],Retenciones!$A$1:$O$25,2,FALSE)</f>
        <v>0</v>
      </c>
      <c r="Z1508" s="126" t="b">
        <f>+OR(COUNTIF(PROVEEDORES[[#This Row],[PROVEEDOR]],"*"&amp;'Palabra que no opera y Listas d'!$A$2&amp;"*"))</f>
        <v>0</v>
      </c>
    </row>
    <row r="1509" spans="1:26" ht="27.75" customHeight="1" x14ac:dyDescent="0.25">
      <c r="A1509" s="141" t="str">
        <f>+IF(PROVEEDORES[[#This Row],[FECHA DE PAGO]]=PROVEEDORES[[#This Row],[FECHA DE FACTURACIÓN]],"DE CONTADO","CRÉDITO")</f>
        <v>CRÉDITO</v>
      </c>
      <c r="B1509" s="138" t="b">
        <f>+IF((PROVEEDORES[[#This Row],[FECHA DE PAGO]]-PROVEEDORES[[#This Row],[FECHA DE FACTURACIÓN]])&gt;PROVEEDORES[[#This Row],[PLAZO Días]],"PAGO VENCIDO")</f>
        <v>0</v>
      </c>
      <c r="C1509" s="138">
        <f>+VLOOKUP(PROVEEDORES[[#This Row],[PROVEEDOR]],TERCEROS_INFO[#All],2,FALSE)</f>
        <v>60</v>
      </c>
      <c r="D1509" s="139">
        <f>+SUMIFS(PROVEEDORES[Total],PROVEEDORES[PROVEEDOR],PROVEEDORES[[#This Row],[PROVEEDOR]],PROVEEDORES[FECHA DE PAGO],"")</f>
        <v>50353355.590000004</v>
      </c>
      <c r="E1509" s="140"/>
      <c r="F1509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509" s="127">
        <v>45414</v>
      </c>
      <c r="H1509" s="123" t="s">
        <v>9</v>
      </c>
      <c r="I1509" s="127">
        <v>45412</v>
      </c>
      <c r="J1509" s="124" t="s">
        <v>1886</v>
      </c>
      <c r="K1509" s="124" t="s">
        <v>1530</v>
      </c>
      <c r="L1509" s="124" t="s">
        <v>1533</v>
      </c>
      <c r="M1509" s="125">
        <v>20982644</v>
      </c>
      <c r="N1509" s="148">
        <v>0</v>
      </c>
      <c r="O1509" s="148">
        <f>+'Palabra que no opera y Listas d'!$D$2</f>
        <v>0</v>
      </c>
      <c r="P1509" s="149">
        <v>0</v>
      </c>
      <c r="Q1509" s="148">
        <f>+PROVEEDORES[[#This Row],[ReteFuente
%]]*(PROVEEDORES[[#This Row],[SUBTOTAL]])</f>
        <v>0</v>
      </c>
      <c r="R1509" s="150">
        <f>+PROVEEDORES[[#This Row],[SUBTOTAL]]+PROVEEDORES[[#This Row],[IVA 19%]]-PROVEEDORES[[#This Row],[Descuento
$]]-PROVEEDORES[[#This Row],[ReteFuente
$]]</f>
        <v>20982644</v>
      </c>
      <c r="S150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09" s="135">
        <f ca="1">+IF(PROVEEDORES[[#This Row],[FECHA DE PAGO]]=0,TODAY()-PROVEEDORES[[#This Row],[FECHA DE FACTURACIÓN]]-PROVEEDORES[[#This Row],[PLAZO Días]],0)</f>
        <v>0</v>
      </c>
      <c r="U1509" s="135" t="str">
        <f>+VLOOKUP(PROVEEDORES[[#This Row],[PROVEEDOR]],Terceros!$A:$D,4,FALSE)</f>
        <v>2,5% con base</v>
      </c>
      <c r="V1509" s="135">
        <f>+YEAR(PROVEEDORES[[#This Row],[FECHA DE FACTURACIÓN]])</f>
        <v>2024</v>
      </c>
      <c r="W1509" s="135">
        <f>+MATCH(PROVEEDORES[[#This Row],[año facturado]],Retenciones!$1:$1,0)</f>
        <v>7</v>
      </c>
      <c r="X1509" s="136">
        <f>+VLOOKUP(PROVEEDORES[[#This Row],[ID RETENCION]],Retenciones!$A$1:$O$25,PROVEEDORES[[#This Row],[indicador de columna]],FALSE)</f>
        <v>1271000</v>
      </c>
      <c r="Y1509" s="137">
        <f>+VLOOKUP(PROVEEDORES[[#This Row],[ID RETENCION]],Retenciones!$A$1:$O$25,2,FALSE)</f>
        <v>2.5000000000000001E-2</v>
      </c>
      <c r="Z1509" s="126" t="b">
        <f>+OR(COUNTIF(PROVEEDORES[[#This Row],[PROVEEDOR]],"*"&amp;'Palabra que no opera y Listas d'!$A$2&amp;"*"))</f>
        <v>0</v>
      </c>
    </row>
    <row r="1510" spans="1:26" ht="27.75" customHeight="1" x14ac:dyDescent="0.25">
      <c r="A1510" s="141" t="str">
        <f>+IF(PROVEEDORES[[#This Row],[FECHA DE PAGO]]=PROVEEDORES[[#This Row],[FECHA DE FACTURACIÓN]],"DE CONTADO","CRÉDITO")</f>
        <v>CRÉDITO</v>
      </c>
      <c r="B1510" s="138" t="b">
        <f>+IF((PROVEEDORES[[#This Row],[FECHA DE PAGO]]-PROVEEDORES[[#This Row],[FECHA DE FACTURACIÓN]])&gt;PROVEEDORES[[#This Row],[PLAZO Días]],"PAGO VENCIDO")</f>
        <v>0</v>
      </c>
      <c r="C1510" s="138">
        <f>+VLOOKUP(PROVEEDORES[[#This Row],[PROVEEDOR]],TERCEROS_INFO[#All],2,FALSE)</f>
        <v>30</v>
      </c>
      <c r="D1510" s="139">
        <f>+SUMIFS(PROVEEDORES[Total],PROVEEDORES[PROVEEDOR],PROVEEDORES[[#This Row],[PROVEEDOR]],PROVEEDORES[FECHA DE PAGO],"")</f>
        <v>0</v>
      </c>
      <c r="E1510" s="140"/>
      <c r="F1510" s="138">
        <f>+VLOOKUP(PROVEEDORES[[#This Row],[PROVEEDOR]],
                       Terceros!$A:$F,
                       5,
                       FALSE)</f>
        <v>0</v>
      </c>
      <c r="G1510" s="127">
        <v>45414</v>
      </c>
      <c r="H1510" s="123" t="s">
        <v>1626</v>
      </c>
      <c r="I1510" s="127">
        <v>45413</v>
      </c>
      <c r="J1510" s="124" t="s">
        <v>1858</v>
      </c>
      <c r="K1510" s="124" t="s">
        <v>504</v>
      </c>
      <c r="L1510" s="124" t="s">
        <v>1541</v>
      </c>
      <c r="M1510" s="125">
        <v>20524903.559999999</v>
      </c>
      <c r="N1510" s="148">
        <f>+(PROVEEDORES[[#This Row],[SUBTOTAL]])*VLOOKUP(PROVEEDORES[[#This Row],[PROVEEDOR]],TERCEROS_INFO[#All],3,FALSE)</f>
        <v>0</v>
      </c>
      <c r="O1510" s="148">
        <f>+'Palabra que no opera y Listas d'!$D$2</f>
        <v>0</v>
      </c>
      <c r="P1510" s="149">
        <f>+IF(PROVEEDORES[[#This Row],[SUBTOTAL]]&lt;PROVEEDORES[[#This Row],[base retencion]],0,PROVEEDORES[[#This Row],[retención aplicada]])</f>
        <v>0</v>
      </c>
      <c r="Q1510" s="148">
        <f>+PROVEEDORES[[#This Row],[ReteFuente
%]]*(PROVEEDORES[[#This Row],[SUBTOTAL]])</f>
        <v>0</v>
      </c>
      <c r="R1510" s="150">
        <f>+PROVEEDORES[[#This Row],[SUBTOTAL]]+PROVEEDORES[[#This Row],[IVA 19%]]-PROVEEDORES[[#This Row],[Descuento
$]]-PROVEEDORES[[#This Row],[ReteFuente
$]]</f>
        <v>20524903.559999999</v>
      </c>
      <c r="S151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0" s="135">
        <f ca="1">+IF(PROVEEDORES[[#This Row],[FECHA DE PAGO]]=0,TODAY()-PROVEEDORES[[#This Row],[FECHA DE FACTURACIÓN]]-PROVEEDORES[[#This Row],[PLAZO Días]],0)</f>
        <v>0</v>
      </c>
      <c r="U1510" s="135">
        <f>+VLOOKUP(PROVEEDORES[[#This Row],[PROVEEDOR]],Terceros!$A:$D,4,FALSE)</f>
        <v>0</v>
      </c>
      <c r="V1510" s="135">
        <f>+YEAR(PROVEEDORES[[#This Row],[FECHA DE FACTURACIÓN]])</f>
        <v>2024</v>
      </c>
      <c r="W1510" s="135">
        <f>+MATCH(PROVEEDORES[[#This Row],[año facturado]],Retenciones!$1:$1,0)</f>
        <v>7</v>
      </c>
      <c r="X1510" s="136">
        <f>+VLOOKUP(PROVEEDORES[[#This Row],[ID RETENCION]],Retenciones!$A$1:$O$25,PROVEEDORES[[#This Row],[indicador de columna]],FALSE)</f>
        <v>0</v>
      </c>
      <c r="Y1510" s="137">
        <f>+VLOOKUP(PROVEEDORES[[#This Row],[ID RETENCION]],Retenciones!$A$1:$O$25,2,FALSE)</f>
        <v>0</v>
      </c>
      <c r="Z1510" s="126" t="b">
        <f>+OR(COUNTIF(PROVEEDORES[[#This Row],[PROVEEDOR]],"*"&amp;'Palabra que no opera y Listas d'!$A$2&amp;"*"))</f>
        <v>0</v>
      </c>
    </row>
    <row r="1511" spans="1:26" ht="27.75" customHeight="1" x14ac:dyDescent="0.25">
      <c r="A1511" s="141" t="str">
        <f>+IF(PROVEEDORES[[#This Row],[FECHA DE PAGO]]=PROVEEDORES[[#This Row],[FECHA DE FACTURACIÓN]],"DE CONTADO","CRÉDITO")</f>
        <v>CRÉDITO</v>
      </c>
      <c r="B1511" s="138" t="b">
        <f>+IF((PROVEEDORES[[#This Row],[FECHA DE PAGO]]-PROVEEDORES[[#This Row],[FECHA DE FACTURACIÓN]])&gt;PROVEEDORES[[#This Row],[PLAZO Días]],"PAGO VENCIDO")</f>
        <v>0</v>
      </c>
      <c r="C1511" s="138">
        <f>+VLOOKUP(PROVEEDORES[[#This Row],[PROVEEDOR]],TERCEROS_INFO[#All],2,FALSE)</f>
        <v>30</v>
      </c>
      <c r="D1511" s="139">
        <f>+SUMIFS(PROVEEDORES[Total],PROVEEDORES[PROVEEDOR],PROVEEDORES[[#This Row],[PROVEEDOR]],PROVEEDORES[FECHA DE PAGO],"")</f>
        <v>0</v>
      </c>
      <c r="E1511" s="140"/>
      <c r="F1511" s="138" t="str">
        <f>+VLOOKUP(PROVEEDORES[[#This Row],[PROVEEDOR]],
                       Terceros!$A:$F,
                       5,
                       FALSE)</f>
        <v>PSE</v>
      </c>
      <c r="G1511" s="127">
        <v>45414</v>
      </c>
      <c r="H1511" s="123" t="s">
        <v>390</v>
      </c>
      <c r="I1511" s="127">
        <v>45413</v>
      </c>
      <c r="J1511" s="124"/>
      <c r="K1511" s="124" t="s">
        <v>1530</v>
      </c>
      <c r="L1511" s="124" t="s">
        <v>1536</v>
      </c>
      <c r="M1511" s="125">
        <v>633500</v>
      </c>
      <c r="N1511" s="148">
        <v>0</v>
      </c>
      <c r="O1511" s="148">
        <v>0</v>
      </c>
      <c r="P1511" s="149">
        <v>0</v>
      </c>
      <c r="Q1511" s="148">
        <v>0</v>
      </c>
      <c r="R1511" s="150">
        <v>633500</v>
      </c>
      <c r="S151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1" s="135">
        <f ca="1">+IF(PROVEEDORES[[#This Row],[FECHA DE PAGO]]=0,TODAY()-PROVEEDORES[[#This Row],[FECHA DE FACTURACIÓN]]-PROVEEDORES[[#This Row],[PLAZO Días]],0)</f>
        <v>0</v>
      </c>
      <c r="U1511" s="135">
        <f>+VLOOKUP(PROVEEDORES[[#This Row],[PROVEEDOR]],Terceros!$A:$D,4,FALSE)</f>
        <v>0</v>
      </c>
      <c r="V1511" s="135">
        <f>+YEAR(PROVEEDORES[[#This Row],[FECHA DE FACTURACIÓN]])</f>
        <v>2024</v>
      </c>
      <c r="W1511" s="135">
        <f>+MATCH(PROVEEDORES[[#This Row],[año facturado]],Retenciones!$1:$1,0)</f>
        <v>7</v>
      </c>
      <c r="X1511" s="136">
        <f>+VLOOKUP(PROVEEDORES[[#This Row],[ID RETENCION]],Retenciones!$A$1:$O$25,PROVEEDORES[[#This Row],[indicador de columna]],FALSE)</f>
        <v>0</v>
      </c>
      <c r="Y1511" s="137">
        <f>+VLOOKUP(PROVEEDORES[[#This Row],[ID RETENCION]],Retenciones!$A$1:$O$25,2,FALSE)</f>
        <v>0</v>
      </c>
      <c r="Z1511" s="126" t="b">
        <f>+OR(COUNTIF(PROVEEDORES[[#This Row],[PROVEEDOR]],"*"&amp;'Palabra que no opera y Listas d'!$A$2&amp;"*"))</f>
        <v>1</v>
      </c>
    </row>
    <row r="1512" spans="1:26" ht="27.75" customHeight="1" x14ac:dyDescent="0.25">
      <c r="A1512" s="141" t="str">
        <f>+IF(PROVEEDORES[[#This Row],[FECHA DE PAGO]]=PROVEEDORES[[#This Row],[FECHA DE FACTURACIÓN]],"DE CONTADO","CRÉDITO")</f>
        <v>DE CONTADO</v>
      </c>
      <c r="B1512" s="138" t="b">
        <f>+IF((PROVEEDORES[[#This Row],[FECHA DE PAGO]]-PROVEEDORES[[#This Row],[FECHA DE FACTURACIÓN]])&gt;PROVEEDORES[[#This Row],[PLAZO Días]],"PAGO VENCIDO")</f>
        <v>0</v>
      </c>
      <c r="C1512" s="138">
        <f>+VLOOKUP(PROVEEDORES[[#This Row],[PROVEEDOR]],TERCEROS_INFO[#All],2,FALSE)</f>
        <v>30</v>
      </c>
      <c r="D1512" s="139">
        <f>+SUMIFS(PROVEEDORES[Total],PROVEEDORES[PROVEEDOR],PROVEEDORES[[#This Row],[PROVEEDOR]],PROVEEDORES[FECHA DE PAGO],"")</f>
        <v>0</v>
      </c>
      <c r="E1512" s="140"/>
      <c r="F1512" s="138" t="str">
        <f>+VLOOKUP(PROVEEDORES[[#This Row],[PROVEEDOR]],
                       Terceros!$A:$F,
                       5,
                       FALSE)</f>
        <v/>
      </c>
      <c r="G1512" s="127">
        <v>45414</v>
      </c>
      <c r="H1512" s="123" t="s">
        <v>1824</v>
      </c>
      <c r="I1512" s="127">
        <v>45414</v>
      </c>
      <c r="J1512" s="124" t="s">
        <v>479</v>
      </c>
      <c r="K1512" s="124" t="s">
        <v>1530</v>
      </c>
      <c r="L1512" s="124" t="s">
        <v>1395</v>
      </c>
      <c r="M1512" s="125">
        <v>1000000</v>
      </c>
      <c r="N1512" s="148">
        <f>+(PROVEEDORES[[#This Row],[SUBTOTAL]])*VLOOKUP(PROVEEDORES[[#This Row],[PROVEEDOR]],TERCEROS_INFO[#All],3,FALSE)</f>
        <v>0</v>
      </c>
      <c r="O1512" s="148">
        <f>+'Palabra que no opera y Listas d'!$D$2</f>
        <v>0</v>
      </c>
      <c r="P1512" s="149">
        <f>+IF(PROVEEDORES[[#This Row],[SUBTOTAL]]&lt;PROVEEDORES[[#This Row],[base retencion]],0,PROVEEDORES[[#This Row],[retención aplicada]])</f>
        <v>0</v>
      </c>
      <c r="Q1512" s="148">
        <f>+PROVEEDORES[[#This Row],[ReteFuente
%]]*(PROVEEDORES[[#This Row],[SUBTOTAL]])</f>
        <v>0</v>
      </c>
      <c r="R1512" s="150">
        <f>+PROVEEDORES[[#This Row],[SUBTOTAL]]+PROVEEDORES[[#This Row],[IVA 19%]]-PROVEEDORES[[#This Row],[Descuento
$]]-PROVEEDORES[[#This Row],[ReteFuente
$]]</f>
        <v>1000000</v>
      </c>
      <c r="S151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2" s="135">
        <f ca="1">+IF(PROVEEDORES[[#This Row],[FECHA DE PAGO]]=0,TODAY()-PROVEEDORES[[#This Row],[FECHA DE FACTURACIÓN]]-PROVEEDORES[[#This Row],[PLAZO Días]],0)</f>
        <v>0</v>
      </c>
      <c r="U1512" s="135">
        <f>+VLOOKUP(PROVEEDORES[[#This Row],[PROVEEDOR]],Terceros!$A:$D,4,FALSE)</f>
        <v>0</v>
      </c>
      <c r="V1512" s="135">
        <f>+YEAR(PROVEEDORES[[#This Row],[FECHA DE FACTURACIÓN]])</f>
        <v>2024</v>
      </c>
      <c r="W1512" s="135">
        <f>+MATCH(PROVEEDORES[[#This Row],[año facturado]],Retenciones!$1:$1,0)</f>
        <v>7</v>
      </c>
      <c r="X1512" s="136">
        <f>+VLOOKUP(PROVEEDORES[[#This Row],[ID RETENCION]],Retenciones!$A$1:$O$25,PROVEEDORES[[#This Row],[indicador de columna]],FALSE)</f>
        <v>0</v>
      </c>
      <c r="Y1512" s="137">
        <f>+VLOOKUP(PROVEEDORES[[#This Row],[ID RETENCION]],Retenciones!$A$1:$O$25,2,FALSE)</f>
        <v>0</v>
      </c>
      <c r="Z1512" s="126" t="b">
        <f>+OR(COUNTIF(PROVEEDORES[[#This Row],[PROVEEDOR]],"*"&amp;'Palabra que no opera y Listas d'!$A$2&amp;"*"))</f>
        <v>0</v>
      </c>
    </row>
    <row r="1513" spans="1:26" ht="27.75" customHeight="1" x14ac:dyDescent="0.25">
      <c r="A1513" s="141" t="str">
        <f>+IF(PROVEEDORES[[#This Row],[FECHA DE PAGO]]=PROVEEDORES[[#This Row],[FECHA DE FACTURACIÓN]],"DE CONTADO","CRÉDITO")</f>
        <v>DE CONTADO</v>
      </c>
      <c r="B1513" s="138" t="b">
        <f>+IF((PROVEEDORES[[#This Row],[FECHA DE PAGO]]-PROVEEDORES[[#This Row],[FECHA DE FACTURACIÓN]])&gt;PROVEEDORES[[#This Row],[PLAZO Días]],"PAGO VENCIDO")</f>
        <v>0</v>
      </c>
      <c r="C1513" s="138">
        <f>+VLOOKUP(PROVEEDORES[[#This Row],[PROVEEDOR]],TERCEROS_INFO[#All],2,FALSE)</f>
        <v>30</v>
      </c>
      <c r="D1513" s="139">
        <f>+SUMIFS(PROVEEDORES[Total],PROVEEDORES[PROVEEDOR],PROVEEDORES[[#This Row],[PROVEEDOR]],PROVEEDORES[FECHA DE PAGO],"")</f>
        <v>0</v>
      </c>
      <c r="E1513" s="140"/>
      <c r="F1513" s="138" t="str">
        <f>+VLOOKUP(PROVEEDORES[[#This Row],[PROVEEDOR]],
                       Terceros!$A:$F,
                       5,
                       FALSE)</f>
        <v/>
      </c>
      <c r="G1513" s="127">
        <v>45416</v>
      </c>
      <c r="H1513" s="123" t="s">
        <v>525</v>
      </c>
      <c r="I1513" s="127">
        <v>45416</v>
      </c>
      <c r="J1513" s="124" t="s">
        <v>1837</v>
      </c>
      <c r="K1513" s="124" t="s">
        <v>1530</v>
      </c>
      <c r="L1513" s="124" t="s">
        <v>1395</v>
      </c>
      <c r="M1513" s="125">
        <v>816000</v>
      </c>
      <c r="N1513" s="148">
        <f>+(PROVEEDORES[[#This Row],[SUBTOTAL]])*VLOOKUP(PROVEEDORES[[#This Row],[PROVEEDOR]],TERCEROS_INFO[#All],3,FALSE)</f>
        <v>0</v>
      </c>
      <c r="O1513" s="148">
        <f>+'Palabra que no opera y Listas d'!$D$2</f>
        <v>0</v>
      </c>
      <c r="P1513" s="149">
        <f>+IF(PROVEEDORES[[#This Row],[SUBTOTAL]]&lt;PROVEEDORES[[#This Row],[base retencion]],0,PROVEEDORES[[#This Row],[retención aplicada]])</f>
        <v>0</v>
      </c>
      <c r="Q1513" s="148">
        <f>+PROVEEDORES[[#This Row],[ReteFuente
%]]*(PROVEEDORES[[#This Row],[SUBTOTAL]])</f>
        <v>0</v>
      </c>
      <c r="R1513" s="150">
        <f>+PROVEEDORES[[#This Row],[SUBTOTAL]]+PROVEEDORES[[#This Row],[IVA 19%]]-PROVEEDORES[[#This Row],[Descuento
$]]-PROVEEDORES[[#This Row],[ReteFuente
$]]</f>
        <v>816000</v>
      </c>
      <c r="S15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3" s="135">
        <f ca="1">+IF(PROVEEDORES[[#This Row],[FECHA DE PAGO]]=0,TODAY()-PROVEEDORES[[#This Row],[FECHA DE FACTURACIÓN]]-PROVEEDORES[[#This Row],[PLAZO Días]],0)</f>
        <v>0</v>
      </c>
      <c r="U1513" s="135">
        <f>+VLOOKUP(PROVEEDORES[[#This Row],[PROVEEDOR]],Terceros!$A:$D,4,FALSE)</f>
        <v>0</v>
      </c>
      <c r="V1513" s="135">
        <f>+YEAR(PROVEEDORES[[#This Row],[FECHA DE FACTURACIÓN]])</f>
        <v>2024</v>
      </c>
      <c r="W1513" s="135">
        <f>+MATCH(PROVEEDORES[[#This Row],[año facturado]],Retenciones!$1:$1,0)</f>
        <v>7</v>
      </c>
      <c r="X1513" s="136">
        <f>+VLOOKUP(PROVEEDORES[[#This Row],[ID RETENCION]],Retenciones!$A$1:$O$25,PROVEEDORES[[#This Row],[indicador de columna]],FALSE)</f>
        <v>0</v>
      </c>
      <c r="Y1513" s="137">
        <f>+VLOOKUP(PROVEEDORES[[#This Row],[ID RETENCION]],Retenciones!$A$1:$O$25,2,FALSE)</f>
        <v>0</v>
      </c>
      <c r="Z1513" s="126" t="b">
        <f>+OR(COUNTIF(PROVEEDORES[[#This Row],[PROVEEDOR]],"*"&amp;'Palabra que no opera y Listas d'!$A$2&amp;"*"))</f>
        <v>0</v>
      </c>
    </row>
    <row r="1514" spans="1:26" ht="27.75" customHeight="1" x14ac:dyDescent="0.25">
      <c r="A1514" s="141" t="str">
        <f>+IF(PROVEEDORES[[#This Row],[FECHA DE PAGO]]=PROVEEDORES[[#This Row],[FECHA DE FACTURACIÓN]],"DE CONTADO","CRÉDITO")</f>
        <v>CRÉDITO</v>
      </c>
      <c r="B1514" s="138" t="str">
        <f>+IF((PROVEEDORES[[#This Row],[FECHA DE PAGO]]-PROVEEDORES[[#This Row],[FECHA DE FACTURACIÓN]])&gt;PROVEEDORES[[#This Row],[PLAZO Días]],"PAGO VENCIDO")</f>
        <v>PAGO VENCIDO</v>
      </c>
      <c r="C1514" s="138">
        <f>+VLOOKUP(PROVEEDORES[[#This Row],[PROVEEDOR]],TERCEROS_INFO[#All],2,FALSE)</f>
        <v>30</v>
      </c>
      <c r="D1514" s="139">
        <f>+SUMIFS(PROVEEDORES[Total],PROVEEDORES[PROVEEDOR],PROVEEDORES[[#This Row],[PROVEEDOR]],PROVEEDORES[FECHA DE PAGO],"")</f>
        <v>0</v>
      </c>
      <c r="E1514" s="140"/>
      <c r="F1514" s="138" t="str">
        <f>+VLOOKUP(PROVEEDORES[[#This Row],[PROVEEDOR]],
                       Terceros!$A:$F,
                       5,
                       FALSE)</f>
        <v>restrepoedision@yahoo.es; admon@surtiexpress.com.co;girlesa.ruiz@servipilas.com;joriescobar64@gmail.com</v>
      </c>
      <c r="G1514" s="127">
        <v>45418</v>
      </c>
      <c r="H1514" s="123" t="s">
        <v>1594</v>
      </c>
      <c r="I1514" s="127">
        <v>45344</v>
      </c>
      <c r="J1514" s="124" t="s">
        <v>1756</v>
      </c>
      <c r="K1514" s="124" t="s">
        <v>504</v>
      </c>
      <c r="L1514" s="124" t="s">
        <v>1534</v>
      </c>
      <c r="M1514" s="125">
        <v>-68878.524999999994</v>
      </c>
      <c r="N1514" s="148">
        <v>0</v>
      </c>
      <c r="O1514" s="148">
        <v>0</v>
      </c>
      <c r="P1514" s="149">
        <v>0</v>
      </c>
      <c r="Q1514" s="148">
        <v>0</v>
      </c>
      <c r="R1514" s="150">
        <v>-68878.524999999994</v>
      </c>
      <c r="S151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4" s="135">
        <f ca="1">+IF(PROVEEDORES[[#This Row],[FECHA DE PAGO]]=0,TODAY()-PROVEEDORES[[#This Row],[FECHA DE FACTURACIÓN]]-PROVEEDORES[[#This Row],[PLAZO Días]],0)</f>
        <v>0</v>
      </c>
      <c r="U1514" s="135" t="str">
        <f>+VLOOKUP(PROVEEDORES[[#This Row],[PROVEEDOR]],Terceros!$A:$D,4,FALSE)</f>
        <v>2,5% con base</v>
      </c>
      <c r="V1514" s="135">
        <f>+YEAR(PROVEEDORES[[#This Row],[FECHA DE FACTURACIÓN]])</f>
        <v>2024</v>
      </c>
      <c r="W1514" s="135">
        <f>+MATCH(PROVEEDORES[[#This Row],[año facturado]],Retenciones!$1:$1,0)</f>
        <v>7</v>
      </c>
      <c r="X1514" s="136">
        <f>+VLOOKUP(PROVEEDORES[[#This Row],[ID RETENCION]],Retenciones!$A$1:$O$25,PROVEEDORES[[#This Row],[indicador de columna]],FALSE)</f>
        <v>1271000</v>
      </c>
      <c r="Y1514" s="137">
        <f>+VLOOKUP(PROVEEDORES[[#This Row],[ID RETENCION]],Retenciones!$A$1:$O$25,2,FALSE)</f>
        <v>2.5000000000000001E-2</v>
      </c>
      <c r="Z1514" s="126" t="b">
        <f>+OR(COUNTIF(PROVEEDORES[[#This Row],[PROVEEDOR]],"*"&amp;'Palabra que no opera y Listas d'!$A$2&amp;"*"))</f>
        <v>0</v>
      </c>
    </row>
    <row r="1515" spans="1:26" ht="27.75" customHeight="1" x14ac:dyDescent="0.25">
      <c r="A1515" s="141" t="str">
        <f>+IF(PROVEEDORES[[#This Row],[FECHA DE PAGO]]=PROVEEDORES[[#This Row],[FECHA DE FACTURACIÓN]],"DE CONTADO","CRÉDITO")</f>
        <v>CRÉDITO</v>
      </c>
      <c r="B1515" s="138" t="str">
        <f>+IF((PROVEEDORES[[#This Row],[FECHA DE PAGO]]-PROVEEDORES[[#This Row],[FECHA DE FACTURACIÓN]])&gt;PROVEEDORES[[#This Row],[PLAZO Días]],"PAGO VENCIDO")</f>
        <v>PAGO VENCIDO</v>
      </c>
      <c r="C1515" s="138">
        <f>+VLOOKUP(PROVEEDORES[[#This Row],[PROVEEDOR]],TERCEROS_INFO[#All],2,FALSE)</f>
        <v>60</v>
      </c>
      <c r="D1515" s="139">
        <f>+SUMIFS(PROVEEDORES[Total],PROVEEDORES[PROVEEDOR],PROVEEDORES[[#This Row],[PROVEEDOR]],PROVEEDORES[FECHA DE PAGO],"")</f>
        <v>0</v>
      </c>
      <c r="E1515" s="140"/>
      <c r="F1515" s="138" t="str">
        <f>+VLOOKUP(PROVEEDORES[[#This Row],[PROVEEDOR]],
                       Terceros!$A:$F,
                       5,
                       FALSE)</f>
        <v>wruiz@tsqsa.com;girlesa.ruiz@servipilas.com;joriescobar64@gmail.com</v>
      </c>
      <c r="G1515" s="127">
        <v>45418</v>
      </c>
      <c r="H1515" s="123" t="s">
        <v>65</v>
      </c>
      <c r="I1515" s="127">
        <v>45357</v>
      </c>
      <c r="J1515" s="124" t="s">
        <v>1834</v>
      </c>
      <c r="K1515" s="124" t="s">
        <v>1530</v>
      </c>
      <c r="L1515" s="124" t="s">
        <v>1535</v>
      </c>
      <c r="M1515" s="125">
        <v>22137360</v>
      </c>
      <c r="N1515" s="148">
        <v>4206098.4000000004</v>
      </c>
      <c r="O1515" s="148">
        <v>0</v>
      </c>
      <c r="P1515" s="149">
        <v>2.5000000000000001E-2</v>
      </c>
      <c r="Q1515" s="148">
        <v>553434</v>
      </c>
      <c r="R1515" s="150">
        <v>17790024.399999999</v>
      </c>
      <c r="S151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5" s="135">
        <f ca="1">+IF(PROVEEDORES[[#This Row],[FECHA DE PAGO]]=0,TODAY()-PROVEEDORES[[#This Row],[FECHA DE FACTURACIÓN]]-PROVEEDORES[[#This Row],[PLAZO Días]],0)</f>
        <v>0</v>
      </c>
      <c r="U1515" s="135" t="str">
        <f>+VLOOKUP(PROVEEDORES[[#This Row],[PROVEEDOR]],Terceros!$A:$D,4,FALSE)</f>
        <v>2,5% con base</v>
      </c>
      <c r="V1515" s="135">
        <f>+YEAR(PROVEEDORES[[#This Row],[FECHA DE FACTURACIÓN]])</f>
        <v>2024</v>
      </c>
      <c r="W1515" s="135">
        <f>+MATCH(PROVEEDORES[[#This Row],[año facturado]],Retenciones!$1:$1,0)</f>
        <v>7</v>
      </c>
      <c r="X1515" s="136">
        <f>+VLOOKUP(PROVEEDORES[[#This Row],[ID RETENCION]],Retenciones!$A$1:$O$25,PROVEEDORES[[#This Row],[indicador de columna]],FALSE)</f>
        <v>1271000</v>
      </c>
      <c r="Y1515" s="137">
        <f>+VLOOKUP(PROVEEDORES[[#This Row],[ID RETENCION]],Retenciones!$A$1:$O$25,2,FALSE)</f>
        <v>2.5000000000000001E-2</v>
      </c>
      <c r="Z1515" s="126" t="b">
        <f>+OR(COUNTIF(PROVEEDORES[[#This Row],[PROVEEDOR]],"*"&amp;'Palabra que no opera y Listas d'!$A$2&amp;"*"))</f>
        <v>0</v>
      </c>
    </row>
    <row r="1516" spans="1:26" ht="27.75" customHeight="1" x14ac:dyDescent="0.25">
      <c r="A1516" s="141" t="str">
        <f>+IF(PROVEEDORES[[#This Row],[FECHA DE PAGO]]=PROVEEDORES[[#This Row],[FECHA DE FACTURACIÓN]],"DE CONTADO","CRÉDITO")</f>
        <v>CRÉDITO</v>
      </c>
      <c r="B1516" s="138" t="str">
        <f>+IF((PROVEEDORES[[#This Row],[FECHA DE PAGO]]-PROVEEDORES[[#This Row],[FECHA DE FACTURACIÓN]])&gt;PROVEEDORES[[#This Row],[PLAZO Días]],"PAGO VENCIDO")</f>
        <v>PAGO VENCIDO</v>
      </c>
      <c r="C1516" s="138">
        <f>+VLOOKUP(PROVEEDORES[[#This Row],[PROVEEDOR]],TERCEROS_INFO[#All],2,FALSE)</f>
        <v>30</v>
      </c>
      <c r="D1516" s="139">
        <f>+SUMIFS(PROVEEDORES[Total],PROVEEDORES[PROVEEDOR],PROVEEDORES[[#This Row],[PROVEEDOR]],PROVEEDORES[FECHA DE PAGO],"")</f>
        <v>0</v>
      </c>
      <c r="E1516" s="140"/>
      <c r="F1516" s="138" t="str">
        <f>+VLOOKUP(PROVEEDORES[[#This Row],[PROVEEDOR]],
                       Terceros!$A:$F,
                       5,
                       FALSE)</f>
        <v>restrepoedision@yahoo.es; admon@surtiexpress.com.co;girlesa.ruiz@servipilas.com;joriescobar64@gmail.com</v>
      </c>
      <c r="G1516" s="127">
        <v>45418</v>
      </c>
      <c r="H1516" s="123" t="s">
        <v>1594</v>
      </c>
      <c r="I1516" s="127">
        <v>45362</v>
      </c>
      <c r="J1516" s="124" t="s">
        <v>1657</v>
      </c>
      <c r="K1516" s="124" t="s">
        <v>504</v>
      </c>
      <c r="L1516" s="124" t="s">
        <v>1534</v>
      </c>
      <c r="M1516" s="125">
        <v>264378</v>
      </c>
      <c r="N1516" s="148">
        <v>50231.82</v>
      </c>
      <c r="O1516" s="148">
        <v>0</v>
      </c>
      <c r="P1516" s="149">
        <v>0</v>
      </c>
      <c r="Q1516" s="148">
        <v>0</v>
      </c>
      <c r="R1516" s="150">
        <v>314609.82</v>
      </c>
      <c r="S15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6" s="135">
        <f ca="1">+IF(PROVEEDORES[[#This Row],[FECHA DE PAGO]]=0,TODAY()-PROVEEDORES[[#This Row],[FECHA DE FACTURACIÓN]]-PROVEEDORES[[#This Row],[PLAZO Días]],0)</f>
        <v>0</v>
      </c>
      <c r="U1516" s="135" t="str">
        <f>+VLOOKUP(PROVEEDORES[[#This Row],[PROVEEDOR]],Terceros!$A:$D,4,FALSE)</f>
        <v>2,5% con base</v>
      </c>
      <c r="V1516" s="135">
        <f>+YEAR(PROVEEDORES[[#This Row],[FECHA DE FACTURACIÓN]])</f>
        <v>2024</v>
      </c>
      <c r="W1516" s="135">
        <f>+MATCH(PROVEEDORES[[#This Row],[año facturado]],Retenciones!$1:$1,0)</f>
        <v>7</v>
      </c>
      <c r="X1516" s="136">
        <f>+VLOOKUP(PROVEEDORES[[#This Row],[ID RETENCION]],Retenciones!$A$1:$O$25,PROVEEDORES[[#This Row],[indicador de columna]],FALSE)</f>
        <v>1271000</v>
      </c>
      <c r="Y1516" s="137">
        <f>+VLOOKUP(PROVEEDORES[[#This Row],[ID RETENCION]],Retenciones!$A$1:$O$25,2,FALSE)</f>
        <v>2.5000000000000001E-2</v>
      </c>
      <c r="Z1516" s="126" t="b">
        <f>+OR(COUNTIF(PROVEEDORES[[#This Row],[PROVEEDOR]],"*"&amp;'Palabra que no opera y Listas d'!$A$2&amp;"*"))</f>
        <v>0</v>
      </c>
    </row>
    <row r="1517" spans="1:26" ht="27.75" customHeight="1" x14ac:dyDescent="0.25">
      <c r="A1517" s="141" t="str">
        <f>+IF(PROVEEDORES[[#This Row],[FECHA DE PAGO]]=PROVEEDORES[[#This Row],[FECHA DE FACTURACIÓN]],"DE CONTADO","CRÉDITO")</f>
        <v>CRÉDITO</v>
      </c>
      <c r="B1517" s="138" t="str">
        <f>+IF((PROVEEDORES[[#This Row],[FECHA DE PAGO]]-PROVEEDORES[[#This Row],[FECHA DE FACTURACIÓN]])&gt;PROVEEDORES[[#This Row],[PLAZO Días]],"PAGO VENCIDO")</f>
        <v>PAGO VENCIDO</v>
      </c>
      <c r="C1517" s="138">
        <f>+VLOOKUP(PROVEEDORES[[#This Row],[PROVEEDOR]],TERCEROS_INFO[#All],2,FALSE)</f>
        <v>30</v>
      </c>
      <c r="D1517" s="139">
        <f>+SUMIFS(PROVEEDORES[Total],PROVEEDORES[PROVEEDOR],PROVEEDORES[[#This Row],[PROVEEDOR]],PROVEEDORES[FECHA DE PAGO],"")</f>
        <v>0</v>
      </c>
      <c r="E1517" s="140"/>
      <c r="F1517" s="138" t="str">
        <f>+VLOOKUP(PROVEEDORES[[#This Row],[PROVEEDOR]],
                       Terceros!$A:$F,
                       5,
                       FALSE)</f>
        <v>restrepoedision@yahoo.es; admon@surtiexpress.com.co;girlesa.ruiz@servipilas.com;joriescobar64@gmail.com</v>
      </c>
      <c r="G1517" s="127">
        <v>45418</v>
      </c>
      <c r="H1517" s="123" t="s">
        <v>1594</v>
      </c>
      <c r="I1517" s="127">
        <v>45369</v>
      </c>
      <c r="J1517" s="124" t="s">
        <v>1675</v>
      </c>
      <c r="K1517" s="124" t="s">
        <v>504</v>
      </c>
      <c r="L1517" s="124" t="s">
        <v>1534</v>
      </c>
      <c r="M1517" s="125">
        <v>1592937</v>
      </c>
      <c r="N1517" s="148">
        <v>302658.03000000003</v>
      </c>
      <c r="O1517" s="148">
        <v>0</v>
      </c>
      <c r="P1517" s="149">
        <v>2.5000000000000001E-2</v>
      </c>
      <c r="Q1517" s="148">
        <v>39823.425000000003</v>
      </c>
      <c r="R1517" s="150">
        <v>1855771.605</v>
      </c>
      <c r="S15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7" s="135">
        <f ca="1">+IF(PROVEEDORES[[#This Row],[FECHA DE PAGO]]=0,TODAY()-PROVEEDORES[[#This Row],[FECHA DE FACTURACIÓN]]-PROVEEDORES[[#This Row],[PLAZO Días]],0)</f>
        <v>0</v>
      </c>
      <c r="U1517" s="135" t="str">
        <f>+VLOOKUP(PROVEEDORES[[#This Row],[PROVEEDOR]],Terceros!$A:$D,4,FALSE)</f>
        <v>2,5% con base</v>
      </c>
      <c r="V1517" s="135">
        <f>+YEAR(PROVEEDORES[[#This Row],[FECHA DE FACTURACIÓN]])</f>
        <v>2024</v>
      </c>
      <c r="W1517" s="135">
        <f>+MATCH(PROVEEDORES[[#This Row],[año facturado]],Retenciones!$1:$1,0)</f>
        <v>7</v>
      </c>
      <c r="X1517" s="136">
        <f>+VLOOKUP(PROVEEDORES[[#This Row],[ID RETENCION]],Retenciones!$A$1:$O$25,PROVEEDORES[[#This Row],[indicador de columna]],FALSE)</f>
        <v>1271000</v>
      </c>
      <c r="Y1517" s="137">
        <f>+VLOOKUP(PROVEEDORES[[#This Row],[ID RETENCION]],Retenciones!$A$1:$O$25,2,FALSE)</f>
        <v>2.5000000000000001E-2</v>
      </c>
      <c r="Z1517" s="126" t="b">
        <f>+OR(COUNTIF(PROVEEDORES[[#This Row],[PROVEEDOR]],"*"&amp;'Palabra que no opera y Listas d'!$A$2&amp;"*"))</f>
        <v>0</v>
      </c>
    </row>
    <row r="1518" spans="1:26" ht="27.75" customHeight="1" x14ac:dyDescent="0.25">
      <c r="A1518" s="141" t="str">
        <f>+IF(PROVEEDORES[[#This Row],[FECHA DE PAGO]]=PROVEEDORES[[#This Row],[FECHA DE FACTURACIÓN]],"DE CONTADO","CRÉDITO")</f>
        <v>CRÉDITO</v>
      </c>
      <c r="B1518" s="138" t="str">
        <f>+IF((PROVEEDORES[[#This Row],[FECHA DE PAGO]]-PROVEEDORES[[#This Row],[FECHA DE FACTURACIÓN]])&gt;PROVEEDORES[[#This Row],[PLAZO Días]],"PAGO VENCIDO")</f>
        <v>PAGO VENCIDO</v>
      </c>
      <c r="C1518" s="138">
        <f>+VLOOKUP(PROVEEDORES[[#This Row],[PROVEEDOR]],TERCEROS_INFO[#All],2,FALSE)</f>
        <v>30</v>
      </c>
      <c r="D1518" s="139">
        <f>+SUMIFS(PROVEEDORES[Total],PROVEEDORES[PROVEEDOR],PROVEEDORES[[#This Row],[PROVEEDOR]],PROVEEDORES[FECHA DE PAGO],"")</f>
        <v>818443.92</v>
      </c>
      <c r="E1518" s="140"/>
      <c r="F1518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18" s="127">
        <v>45418</v>
      </c>
      <c r="H1518" s="123" t="s">
        <v>20</v>
      </c>
      <c r="I1518" s="127">
        <v>45372</v>
      </c>
      <c r="J1518" s="124" t="s">
        <v>1681</v>
      </c>
      <c r="K1518" s="124" t="s">
        <v>1530</v>
      </c>
      <c r="L1518" s="124" t="s">
        <v>1534</v>
      </c>
      <c r="M1518" s="125">
        <v>1406560</v>
      </c>
      <c r="N1518" s="148">
        <v>259229</v>
      </c>
      <c r="O1518" s="148">
        <v>42196</v>
      </c>
      <c r="P1518" s="149">
        <v>2.5000000000000001E-2</v>
      </c>
      <c r="Q1518" s="148">
        <v>34109</v>
      </c>
      <c r="R1518" s="150">
        <v>1589484</v>
      </c>
      <c r="S15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8" s="135">
        <f ca="1">+IF(PROVEEDORES[[#This Row],[FECHA DE PAGO]]=0,TODAY()-PROVEEDORES[[#This Row],[FECHA DE FACTURACIÓN]]-PROVEEDORES[[#This Row],[PLAZO Días]],0)</f>
        <v>0</v>
      </c>
      <c r="U1518" s="135" t="str">
        <f>+VLOOKUP(PROVEEDORES[[#This Row],[PROVEEDOR]],Terceros!$A:$D,4,FALSE)</f>
        <v>2,5% con base</v>
      </c>
      <c r="V1518" s="135">
        <f>+YEAR(PROVEEDORES[[#This Row],[FECHA DE FACTURACIÓN]])</f>
        <v>2024</v>
      </c>
      <c r="W1518" s="135">
        <f>+MATCH(PROVEEDORES[[#This Row],[año facturado]],Retenciones!$1:$1,0)</f>
        <v>7</v>
      </c>
      <c r="X1518" s="136">
        <f>+VLOOKUP(PROVEEDORES[[#This Row],[ID RETENCION]],Retenciones!$A$1:$O$25,PROVEEDORES[[#This Row],[indicador de columna]],FALSE)</f>
        <v>1271000</v>
      </c>
      <c r="Y1518" s="137">
        <f>+VLOOKUP(PROVEEDORES[[#This Row],[ID RETENCION]],Retenciones!$A$1:$O$25,2,FALSE)</f>
        <v>2.5000000000000001E-2</v>
      </c>
      <c r="Z1518" s="126" t="b">
        <f>+OR(COUNTIF(PROVEEDORES[[#This Row],[PROVEEDOR]],"*"&amp;'Palabra que no opera y Listas d'!$A$2&amp;"*"))</f>
        <v>0</v>
      </c>
    </row>
    <row r="1519" spans="1:26" ht="27.75" customHeight="1" x14ac:dyDescent="0.25">
      <c r="A1519" s="141" t="str">
        <f>+IF(PROVEEDORES[[#This Row],[FECHA DE PAGO]]=PROVEEDORES[[#This Row],[FECHA DE FACTURACIÓN]],"DE CONTADO","CRÉDITO")</f>
        <v>DE CONTADO</v>
      </c>
      <c r="B1519" s="138" t="b">
        <f>+IF((PROVEEDORES[[#This Row],[FECHA DE PAGO]]-PROVEEDORES[[#This Row],[FECHA DE FACTURACIÓN]])&gt;PROVEEDORES[[#This Row],[PLAZO Días]],"PAGO VENCIDO")</f>
        <v>0</v>
      </c>
      <c r="C1519" s="138">
        <f>+VLOOKUP(PROVEEDORES[[#This Row],[PROVEEDOR]],TERCEROS_INFO[#All],2,FALSE)</f>
        <v>30</v>
      </c>
      <c r="D1519" s="139">
        <f>+SUMIFS(PROVEEDORES[Total],PROVEEDORES[PROVEEDOR],PROVEEDORES[[#This Row],[PROVEEDOR]],PROVEEDORES[FECHA DE PAGO],"")</f>
        <v>0</v>
      </c>
      <c r="E1519" s="140"/>
      <c r="F1519" s="138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519" s="127">
        <v>45418</v>
      </c>
      <c r="H1519" s="123" t="s">
        <v>1186</v>
      </c>
      <c r="I1519" s="127">
        <v>45418</v>
      </c>
      <c r="J1519" s="124" t="s">
        <v>1833</v>
      </c>
      <c r="K1519" s="124" t="s">
        <v>1530</v>
      </c>
      <c r="L1519" s="124" t="s">
        <v>1533</v>
      </c>
      <c r="M1519" s="125">
        <v>1113445.3</v>
      </c>
      <c r="N1519" s="148">
        <f>+(PROVEEDORES[[#This Row],[SUBTOTAL]])*VLOOKUP(PROVEEDORES[[#This Row],[PROVEEDOR]],TERCEROS_INFO[#All],3,FALSE)</f>
        <v>211554.60700000002</v>
      </c>
      <c r="O1519" s="148">
        <f>+'Palabra que no opera y Listas d'!$D$2</f>
        <v>0</v>
      </c>
      <c r="P1519" s="149">
        <f>+IF(PROVEEDORES[[#This Row],[SUBTOTAL]]&lt;PROVEEDORES[[#This Row],[base retencion]],0,PROVEEDORES[[#This Row],[retención aplicada]])</f>
        <v>0</v>
      </c>
      <c r="Q1519" s="148">
        <f>+PROVEEDORES[[#This Row],[ReteFuente
%]]*(PROVEEDORES[[#This Row],[SUBTOTAL]])</f>
        <v>0</v>
      </c>
      <c r="R1519" s="150">
        <f>+PROVEEDORES[[#This Row],[SUBTOTAL]]+PROVEEDORES[[#This Row],[IVA 19%]]-PROVEEDORES[[#This Row],[Descuento
$]]-PROVEEDORES[[#This Row],[ReteFuente
$]]</f>
        <v>1324999.9070000001</v>
      </c>
      <c r="S151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19" s="135">
        <f ca="1">+IF(PROVEEDORES[[#This Row],[FECHA DE PAGO]]=0,TODAY()-PROVEEDORES[[#This Row],[FECHA DE FACTURACIÓN]]-PROVEEDORES[[#This Row],[PLAZO Días]],0)</f>
        <v>0</v>
      </c>
      <c r="U1519" s="135" t="str">
        <f>+VLOOKUP(PROVEEDORES[[#This Row],[PROVEEDOR]],Terceros!$A:$D,4,FALSE)</f>
        <v>2,5% con base</v>
      </c>
      <c r="V1519" s="135">
        <f>+YEAR(PROVEEDORES[[#This Row],[FECHA DE FACTURACIÓN]])</f>
        <v>2024</v>
      </c>
      <c r="W1519" s="135">
        <f>+MATCH(PROVEEDORES[[#This Row],[año facturado]],Retenciones!$1:$1,0)</f>
        <v>7</v>
      </c>
      <c r="X1519" s="136">
        <f>+VLOOKUP(PROVEEDORES[[#This Row],[ID RETENCION]],Retenciones!$A$1:$O$25,PROVEEDORES[[#This Row],[indicador de columna]],FALSE)</f>
        <v>1271000</v>
      </c>
      <c r="Y1519" s="137">
        <f>+VLOOKUP(PROVEEDORES[[#This Row],[ID RETENCION]],Retenciones!$A$1:$O$25,2,FALSE)</f>
        <v>2.5000000000000001E-2</v>
      </c>
      <c r="Z1519" s="126" t="b">
        <f>+OR(COUNTIF(PROVEEDORES[[#This Row],[PROVEEDOR]],"*"&amp;'Palabra que no opera y Listas d'!$A$2&amp;"*"))</f>
        <v>0</v>
      </c>
    </row>
    <row r="1520" spans="1:26" ht="27.75" customHeight="1" x14ac:dyDescent="0.25">
      <c r="A1520" s="141" t="str">
        <f>+IF(PROVEEDORES[[#This Row],[FECHA DE PAGO]]=PROVEEDORES[[#This Row],[FECHA DE FACTURACIÓN]],"DE CONTADO","CRÉDITO")</f>
        <v>DE CONTADO</v>
      </c>
      <c r="B1520" s="138" t="b">
        <f>+IF((PROVEEDORES[[#This Row],[FECHA DE PAGO]]-PROVEEDORES[[#This Row],[FECHA DE FACTURACIÓN]])&gt;PROVEEDORES[[#This Row],[PLAZO Días]],"PAGO VENCIDO")</f>
        <v>0</v>
      </c>
      <c r="C1520" s="138">
        <f>+VLOOKUP(PROVEEDORES[[#This Row],[PROVEEDOR]],TERCEROS_INFO[#All],2,FALSE)</f>
        <v>30</v>
      </c>
      <c r="D1520" s="139">
        <f>+SUMIFS(PROVEEDORES[Total],PROVEEDORES[PROVEEDOR],PROVEEDORES[[#This Row],[PROVEEDOR]],PROVEEDORES[FECHA DE PAGO],"")</f>
        <v>0</v>
      </c>
      <c r="E1520" s="140"/>
      <c r="F1520" s="138" t="str">
        <f>+VLOOKUP(PROVEEDORES[[#This Row],[PROVEEDOR]],
                       Terceros!$A:$F,
                       5,
                       FALSE)</f>
        <v/>
      </c>
      <c r="G1520" s="127">
        <v>45418</v>
      </c>
      <c r="H1520" s="123" t="s">
        <v>525</v>
      </c>
      <c r="I1520" s="127">
        <v>45418</v>
      </c>
      <c r="J1520" s="124" t="s">
        <v>1885</v>
      </c>
      <c r="K1520" s="124" t="s">
        <v>504</v>
      </c>
      <c r="L1520" s="124" t="s">
        <v>1395</v>
      </c>
      <c r="M1520" s="125">
        <v>35000</v>
      </c>
      <c r="N1520" s="148">
        <f>+(PROVEEDORES[[#This Row],[SUBTOTAL]])*VLOOKUP(PROVEEDORES[[#This Row],[PROVEEDOR]],TERCEROS_INFO[#All],3,FALSE)</f>
        <v>0</v>
      </c>
      <c r="O1520" s="148">
        <f>+'Palabra que no opera y Listas d'!$D$2</f>
        <v>0</v>
      </c>
      <c r="P1520" s="149">
        <f>+IF(PROVEEDORES[[#This Row],[SUBTOTAL]]&lt;PROVEEDORES[[#This Row],[base retencion]],0,PROVEEDORES[[#This Row],[retención aplicada]])</f>
        <v>0</v>
      </c>
      <c r="Q1520" s="148">
        <f>+PROVEEDORES[[#This Row],[ReteFuente
%]]*(PROVEEDORES[[#This Row],[SUBTOTAL]])</f>
        <v>0</v>
      </c>
      <c r="R1520" s="150">
        <f>+PROVEEDORES[[#This Row],[SUBTOTAL]]+PROVEEDORES[[#This Row],[IVA 19%]]-PROVEEDORES[[#This Row],[Descuento
$]]-PROVEEDORES[[#This Row],[ReteFuente
$]]</f>
        <v>35000</v>
      </c>
      <c r="S15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0" s="135">
        <f ca="1">+IF(PROVEEDORES[[#This Row],[FECHA DE PAGO]]=0,TODAY()-PROVEEDORES[[#This Row],[FECHA DE FACTURACIÓN]]-PROVEEDORES[[#This Row],[PLAZO Días]],0)</f>
        <v>0</v>
      </c>
      <c r="U1520" s="135">
        <f>+VLOOKUP(PROVEEDORES[[#This Row],[PROVEEDOR]],Terceros!$A:$D,4,FALSE)</f>
        <v>0</v>
      </c>
      <c r="V1520" s="135">
        <f>+YEAR(PROVEEDORES[[#This Row],[FECHA DE FACTURACIÓN]])</f>
        <v>2024</v>
      </c>
      <c r="W1520" s="135">
        <f>+MATCH(PROVEEDORES[[#This Row],[año facturado]],Retenciones!$1:$1,0)</f>
        <v>7</v>
      </c>
      <c r="X1520" s="136">
        <f>+VLOOKUP(PROVEEDORES[[#This Row],[ID RETENCION]],Retenciones!$A$1:$O$25,PROVEEDORES[[#This Row],[indicador de columna]],FALSE)</f>
        <v>0</v>
      </c>
      <c r="Y1520" s="137">
        <f>+VLOOKUP(PROVEEDORES[[#This Row],[ID RETENCION]],Retenciones!$A$1:$O$25,2,FALSE)</f>
        <v>0</v>
      </c>
      <c r="Z1520" s="126" t="b">
        <f>+OR(COUNTIF(PROVEEDORES[[#This Row],[PROVEEDOR]],"*"&amp;'Palabra que no opera y Listas d'!$A$2&amp;"*"))</f>
        <v>0</v>
      </c>
    </row>
    <row r="1521" spans="1:26" ht="27.75" customHeight="1" x14ac:dyDescent="0.25">
      <c r="A1521" s="141" t="str">
        <f>+IF(PROVEEDORES[[#This Row],[FECHA DE PAGO]]=PROVEEDORES[[#This Row],[FECHA DE FACTURACIÓN]],"DE CONTADO","CRÉDITO")</f>
        <v>CRÉDITO</v>
      </c>
      <c r="B1521" s="138" t="str">
        <f>+IF((PROVEEDORES[[#This Row],[FECHA DE PAGO]]-PROVEEDORES[[#This Row],[FECHA DE FACTURACIÓN]])&gt;PROVEEDORES[[#This Row],[PLAZO Días]],"PAGO VENCIDO")</f>
        <v>PAGO VENCIDO</v>
      </c>
      <c r="C1521" s="138">
        <f>+VLOOKUP(PROVEEDORES[[#This Row],[PROVEEDOR]],TERCEROS_INFO[#All],2,FALSE)</f>
        <v>30</v>
      </c>
      <c r="D1521" s="139">
        <f>+SUMIFS(PROVEEDORES[Total],PROVEEDORES[PROVEEDOR],PROVEEDORES[[#This Row],[PROVEEDOR]],PROVEEDORES[FECHA DE PAGO],"")</f>
        <v>134000</v>
      </c>
      <c r="E1521" s="140"/>
      <c r="F1521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521" s="127">
        <v>45419</v>
      </c>
      <c r="H1521" s="123" t="s">
        <v>1808</v>
      </c>
      <c r="I1521" s="127">
        <v>45358</v>
      </c>
      <c r="J1521" s="124" t="s">
        <v>1847</v>
      </c>
      <c r="K1521" s="124" t="s">
        <v>1530</v>
      </c>
      <c r="L1521" s="124" t="s">
        <v>1395</v>
      </c>
      <c r="M1521" s="125">
        <v>3445900</v>
      </c>
      <c r="N1521" s="148">
        <v>0</v>
      </c>
      <c r="O1521" s="148">
        <v>0</v>
      </c>
      <c r="P1521" s="149">
        <v>0</v>
      </c>
      <c r="Q1521" s="148">
        <v>0</v>
      </c>
      <c r="R1521" s="150">
        <v>3445900</v>
      </c>
      <c r="S152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1" s="135">
        <f ca="1">+IF(PROVEEDORES[[#This Row],[FECHA DE PAGO]]=0,TODAY()-PROVEEDORES[[#This Row],[FECHA DE FACTURACIÓN]]-PROVEEDORES[[#This Row],[PLAZO Días]],0)</f>
        <v>0</v>
      </c>
      <c r="U1521" s="135">
        <f>+VLOOKUP(PROVEEDORES[[#This Row],[PROVEEDOR]],Terceros!$A:$D,4,FALSE)</f>
        <v>0</v>
      </c>
      <c r="V1521" s="135">
        <f>+YEAR(PROVEEDORES[[#This Row],[FECHA DE FACTURACIÓN]])</f>
        <v>2024</v>
      </c>
      <c r="W1521" s="135">
        <f>+MATCH(PROVEEDORES[[#This Row],[año facturado]],Retenciones!$1:$1,0)</f>
        <v>7</v>
      </c>
      <c r="X1521" s="136">
        <f>+VLOOKUP(PROVEEDORES[[#This Row],[ID RETENCION]],Retenciones!$A$1:$O$25,PROVEEDORES[[#This Row],[indicador de columna]],FALSE)</f>
        <v>0</v>
      </c>
      <c r="Y1521" s="137">
        <f>+VLOOKUP(PROVEEDORES[[#This Row],[ID RETENCION]],Retenciones!$A$1:$O$25,2,FALSE)</f>
        <v>0</v>
      </c>
      <c r="Z1521" s="126" t="b">
        <f>+OR(COUNTIF(PROVEEDORES[[#This Row],[PROVEEDOR]],"*"&amp;'Palabra que no opera y Listas d'!$A$2&amp;"*"))</f>
        <v>0</v>
      </c>
    </row>
    <row r="1522" spans="1:26" ht="27.75" customHeight="1" x14ac:dyDescent="0.25">
      <c r="A1522" s="141" t="str">
        <f>+IF(PROVEEDORES[[#This Row],[FECHA DE PAGO]]=PROVEEDORES[[#This Row],[FECHA DE FACTURACIÓN]],"DE CONTADO","CRÉDITO")</f>
        <v>CRÉDITO</v>
      </c>
      <c r="B1522" s="138" t="str">
        <f>+IF((PROVEEDORES[[#This Row],[FECHA DE PAGO]]-PROVEEDORES[[#This Row],[FECHA DE FACTURACIÓN]])&gt;PROVEEDORES[[#This Row],[PLAZO Días]],"PAGO VENCIDO")</f>
        <v>PAGO VENCIDO</v>
      </c>
      <c r="C1522" s="138">
        <f>+VLOOKUP(PROVEEDORES[[#This Row],[PROVEEDOR]],TERCEROS_INFO[#All],2,FALSE)</f>
        <v>30</v>
      </c>
      <c r="D1522" s="139">
        <f>+SUMIFS(PROVEEDORES[Total],PROVEEDORES[PROVEEDOR],PROVEEDORES[[#This Row],[PROVEEDOR]],PROVEEDORES[FECHA DE PAGO],"")</f>
        <v>134000</v>
      </c>
      <c r="E1522" s="140"/>
      <c r="F1522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522" s="127">
        <v>45419</v>
      </c>
      <c r="H1522" s="123" t="s">
        <v>1808</v>
      </c>
      <c r="I1522" s="127">
        <v>45383</v>
      </c>
      <c r="J1522" s="124" t="s">
        <v>1739</v>
      </c>
      <c r="K1522" s="124" t="s">
        <v>1530</v>
      </c>
      <c r="L1522" s="124" t="s">
        <v>1395</v>
      </c>
      <c r="M1522" s="125">
        <v>2823000</v>
      </c>
      <c r="N1522" s="148">
        <v>0</v>
      </c>
      <c r="O1522" s="148">
        <v>423450</v>
      </c>
      <c r="P1522" s="149">
        <v>0</v>
      </c>
      <c r="Q1522" s="148">
        <v>0</v>
      </c>
      <c r="R1522" s="150">
        <v>2399550</v>
      </c>
      <c r="S152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2" s="135">
        <f ca="1">+IF(PROVEEDORES[[#This Row],[FECHA DE PAGO]]=0,TODAY()-PROVEEDORES[[#This Row],[FECHA DE FACTURACIÓN]]-PROVEEDORES[[#This Row],[PLAZO Días]],0)</f>
        <v>0</v>
      </c>
      <c r="U1522" s="135">
        <f>+VLOOKUP(PROVEEDORES[[#This Row],[PROVEEDOR]],Terceros!$A:$D,4,FALSE)</f>
        <v>0</v>
      </c>
      <c r="V1522" s="135">
        <f>+YEAR(PROVEEDORES[[#This Row],[FECHA DE FACTURACIÓN]])</f>
        <v>2024</v>
      </c>
      <c r="W1522" s="135">
        <f>+MATCH(PROVEEDORES[[#This Row],[año facturado]],Retenciones!$1:$1,0)</f>
        <v>7</v>
      </c>
      <c r="X1522" s="136">
        <f>+VLOOKUP(PROVEEDORES[[#This Row],[ID RETENCION]],Retenciones!$A$1:$O$25,PROVEEDORES[[#This Row],[indicador de columna]],FALSE)</f>
        <v>0</v>
      </c>
      <c r="Y1522" s="137">
        <f>+VLOOKUP(PROVEEDORES[[#This Row],[ID RETENCION]],Retenciones!$A$1:$O$25,2,FALSE)</f>
        <v>0</v>
      </c>
      <c r="Z1522" s="126" t="b">
        <f>+OR(COUNTIF(PROVEEDORES[[#This Row],[PROVEEDOR]],"*"&amp;'Palabra que no opera y Listas d'!$A$2&amp;"*"))</f>
        <v>0</v>
      </c>
    </row>
    <row r="1523" spans="1:26" ht="27.75" customHeight="1" x14ac:dyDescent="0.25">
      <c r="A1523" s="141" t="str">
        <f>+IF(PROVEEDORES[[#This Row],[FECHA DE PAGO]]=PROVEEDORES[[#This Row],[FECHA DE FACTURACIÓN]],"DE CONTADO","CRÉDITO")</f>
        <v>CRÉDITO</v>
      </c>
      <c r="B1523" s="138" t="str">
        <f>+IF((PROVEEDORES[[#This Row],[FECHA DE PAGO]]-PROVEEDORES[[#This Row],[FECHA DE FACTURACIÓN]])&gt;PROVEEDORES[[#This Row],[PLAZO Días]],"PAGO VENCIDO")</f>
        <v>PAGO VENCIDO</v>
      </c>
      <c r="C1523" s="138">
        <f>+VLOOKUP(PROVEEDORES[[#This Row],[PROVEEDOR]],TERCEROS_INFO[#All],2,FALSE)</f>
        <v>30</v>
      </c>
      <c r="D1523" s="139">
        <f>+SUMIFS(PROVEEDORES[Total],PROVEEDORES[PROVEEDOR],PROVEEDORES[[#This Row],[PROVEEDOR]],PROVEEDORES[FECHA DE PAGO],"")</f>
        <v>134000</v>
      </c>
      <c r="E1523" s="140"/>
      <c r="F1523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523" s="127">
        <v>45419</v>
      </c>
      <c r="H1523" s="123" t="s">
        <v>1808</v>
      </c>
      <c r="I1523" s="127">
        <v>45383</v>
      </c>
      <c r="J1523" s="124" t="s">
        <v>1848</v>
      </c>
      <c r="K1523" s="124" t="s">
        <v>1530</v>
      </c>
      <c r="L1523" s="124" t="s">
        <v>1395</v>
      </c>
      <c r="M1523" s="125">
        <v>-39310</v>
      </c>
      <c r="N1523" s="148">
        <v>0</v>
      </c>
      <c r="O1523" s="148">
        <v>0</v>
      </c>
      <c r="P1523" s="149">
        <v>0</v>
      </c>
      <c r="Q1523" s="148">
        <v>0</v>
      </c>
      <c r="R1523" s="150">
        <v>-39310</v>
      </c>
      <c r="S152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3" s="135">
        <f ca="1">+IF(PROVEEDORES[[#This Row],[FECHA DE PAGO]]=0,TODAY()-PROVEEDORES[[#This Row],[FECHA DE FACTURACIÓN]]-PROVEEDORES[[#This Row],[PLAZO Días]],0)</f>
        <v>0</v>
      </c>
      <c r="U1523" s="135">
        <f>+VLOOKUP(PROVEEDORES[[#This Row],[PROVEEDOR]],Terceros!$A:$D,4,FALSE)</f>
        <v>0</v>
      </c>
      <c r="V1523" s="135">
        <f>+YEAR(PROVEEDORES[[#This Row],[FECHA DE FACTURACIÓN]])</f>
        <v>2024</v>
      </c>
      <c r="W1523" s="135">
        <f>+MATCH(PROVEEDORES[[#This Row],[año facturado]],Retenciones!$1:$1,0)</f>
        <v>7</v>
      </c>
      <c r="X1523" s="136">
        <f>+VLOOKUP(PROVEEDORES[[#This Row],[ID RETENCION]],Retenciones!$A$1:$O$25,PROVEEDORES[[#This Row],[indicador de columna]],FALSE)</f>
        <v>0</v>
      </c>
      <c r="Y1523" s="137">
        <f>+VLOOKUP(PROVEEDORES[[#This Row],[ID RETENCION]],Retenciones!$A$1:$O$25,2,FALSE)</f>
        <v>0</v>
      </c>
      <c r="Z1523" s="126" t="b">
        <f>+OR(COUNTIF(PROVEEDORES[[#This Row],[PROVEEDOR]],"*"&amp;'Palabra que no opera y Listas d'!$A$2&amp;"*"))</f>
        <v>0</v>
      </c>
    </row>
    <row r="1524" spans="1:26" ht="27.75" customHeight="1" x14ac:dyDescent="0.25">
      <c r="A1524" s="141" t="str">
        <f>+IF(PROVEEDORES[[#This Row],[FECHA DE PAGO]]=PROVEEDORES[[#This Row],[FECHA DE FACTURACIÓN]],"DE CONTADO","CRÉDITO")</f>
        <v>CRÉDITO</v>
      </c>
      <c r="B1524" s="138" t="b">
        <f>+IF((PROVEEDORES[[#This Row],[FECHA DE PAGO]]-PROVEEDORES[[#This Row],[FECHA DE FACTURACIÓN]])&gt;PROVEEDORES[[#This Row],[PLAZO Días]],"PAGO VENCIDO")</f>
        <v>0</v>
      </c>
      <c r="C1524" s="138">
        <f>+VLOOKUP(PROVEEDORES[[#This Row],[PROVEEDOR]],TERCEROS_INFO[#All],2,FALSE)</f>
        <v>30</v>
      </c>
      <c r="D1524" s="139">
        <f>+SUMIFS(PROVEEDORES[Total],PROVEEDORES[PROVEEDOR],PROVEEDORES[[#This Row],[PROVEEDOR]],PROVEEDORES[FECHA DE PAGO],"")</f>
        <v>134000</v>
      </c>
      <c r="E1524" s="140"/>
      <c r="F1524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524" s="127">
        <v>45419</v>
      </c>
      <c r="H1524" s="123" t="s">
        <v>1808</v>
      </c>
      <c r="I1524" s="127">
        <v>45392</v>
      </c>
      <c r="J1524" s="124" t="s">
        <v>1745</v>
      </c>
      <c r="K1524" s="124" t="s">
        <v>1530</v>
      </c>
      <c r="L1524" s="124" t="s">
        <v>1395</v>
      </c>
      <c r="M1524" s="125">
        <v>84000</v>
      </c>
      <c r="N1524" s="148">
        <v>0</v>
      </c>
      <c r="O1524" s="148">
        <v>0</v>
      </c>
      <c r="P1524" s="149">
        <v>0</v>
      </c>
      <c r="Q1524" s="148">
        <v>0</v>
      </c>
      <c r="R1524" s="150">
        <v>84000</v>
      </c>
      <c r="S15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4" s="135">
        <f ca="1">+IF(PROVEEDORES[[#This Row],[FECHA DE PAGO]]=0,TODAY()-PROVEEDORES[[#This Row],[FECHA DE FACTURACIÓN]]-PROVEEDORES[[#This Row],[PLAZO Días]],0)</f>
        <v>0</v>
      </c>
      <c r="U1524" s="135">
        <f>+VLOOKUP(PROVEEDORES[[#This Row],[PROVEEDOR]],Terceros!$A:$D,4,FALSE)</f>
        <v>0</v>
      </c>
      <c r="V1524" s="135">
        <f>+YEAR(PROVEEDORES[[#This Row],[FECHA DE FACTURACIÓN]])</f>
        <v>2024</v>
      </c>
      <c r="W1524" s="135">
        <f>+MATCH(PROVEEDORES[[#This Row],[año facturado]],Retenciones!$1:$1,0)</f>
        <v>7</v>
      </c>
      <c r="X1524" s="136">
        <f>+VLOOKUP(PROVEEDORES[[#This Row],[ID RETENCION]],Retenciones!$A$1:$O$25,PROVEEDORES[[#This Row],[indicador de columna]],FALSE)</f>
        <v>0</v>
      </c>
      <c r="Y1524" s="137">
        <f>+VLOOKUP(PROVEEDORES[[#This Row],[ID RETENCION]],Retenciones!$A$1:$O$25,2,FALSE)</f>
        <v>0</v>
      </c>
      <c r="Z1524" s="126" t="b">
        <f>+OR(COUNTIF(PROVEEDORES[[#This Row],[PROVEEDOR]],"*"&amp;'Palabra que no opera y Listas d'!$A$2&amp;"*"))</f>
        <v>0</v>
      </c>
    </row>
    <row r="1525" spans="1:26" ht="27.75" customHeight="1" x14ac:dyDescent="0.25">
      <c r="A1525" s="141" t="str">
        <f>+IF(PROVEEDORES[[#This Row],[FECHA DE PAGO]]=PROVEEDORES[[#This Row],[FECHA DE FACTURACIÓN]],"DE CONTADO","CRÉDITO")</f>
        <v>CRÉDITO</v>
      </c>
      <c r="B1525" s="138" t="b">
        <f>+IF((PROVEEDORES[[#This Row],[FECHA DE PAGO]]-PROVEEDORES[[#This Row],[FECHA DE FACTURACIÓN]])&gt;PROVEEDORES[[#This Row],[PLAZO Días]],"PAGO VENCIDO")</f>
        <v>0</v>
      </c>
      <c r="C1525" s="138">
        <f>+VLOOKUP(PROVEEDORES[[#This Row],[PROVEEDOR]],TERCEROS_INFO[#All],2,FALSE)</f>
        <v>180</v>
      </c>
      <c r="D1525" s="139">
        <f>+SUMIFS(PROVEEDORES[Total],PROVEEDORES[PROVEEDOR],PROVEEDORES[[#This Row],[PROVEEDOR]],PROVEEDORES[FECHA DE PAGO],"")</f>
        <v>0</v>
      </c>
      <c r="E1525" s="140"/>
      <c r="F1525" s="138" t="str">
        <f>+VLOOKUP(PROVEEDORES[[#This Row],[PROVEEDOR]],
                       Terceros!$A:$F,
                       5,
                       FALSE)</f>
        <v>ventasonline@disantioquia.com.co;girlesa.ruiz@servipilas.com;joriescobar64@gmail.com</v>
      </c>
      <c r="G1525" s="127">
        <v>45420</v>
      </c>
      <c r="H1525" s="123" t="s">
        <v>370</v>
      </c>
      <c r="I1525" s="127">
        <v>45386</v>
      </c>
      <c r="J1525" s="124" t="s">
        <v>1715</v>
      </c>
      <c r="K1525" s="124" t="s">
        <v>1530</v>
      </c>
      <c r="L1525" s="124" t="s">
        <v>1533</v>
      </c>
      <c r="M1525" s="125">
        <v>337127</v>
      </c>
      <c r="N1525" s="148">
        <v>16856.350000000002</v>
      </c>
      <c r="O1525" s="148">
        <v>0</v>
      </c>
      <c r="P1525" s="149">
        <v>0</v>
      </c>
      <c r="Q1525" s="148">
        <v>0</v>
      </c>
      <c r="R1525" s="150">
        <v>353983.35</v>
      </c>
      <c r="S15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5" s="135">
        <f ca="1">+IF(PROVEEDORES[[#This Row],[FECHA DE PAGO]]=0,TODAY()-PROVEEDORES[[#This Row],[FECHA DE FACTURACIÓN]]-PROVEEDORES[[#This Row],[PLAZO Días]],0)</f>
        <v>0</v>
      </c>
      <c r="U1525" s="135" t="str">
        <f>+VLOOKUP(PROVEEDORES[[#This Row],[PROVEEDOR]],Terceros!$A:$D,4,FALSE)</f>
        <v>2,5% con base</v>
      </c>
      <c r="V1525" s="135">
        <f>+YEAR(PROVEEDORES[[#This Row],[FECHA DE FACTURACIÓN]])</f>
        <v>2024</v>
      </c>
      <c r="W1525" s="135">
        <f>+MATCH(PROVEEDORES[[#This Row],[año facturado]],Retenciones!$1:$1,0)</f>
        <v>7</v>
      </c>
      <c r="X1525" s="136">
        <f>+VLOOKUP(PROVEEDORES[[#This Row],[ID RETENCION]],Retenciones!$A$1:$O$25,PROVEEDORES[[#This Row],[indicador de columna]],FALSE)</f>
        <v>1271000</v>
      </c>
      <c r="Y1525" s="137">
        <f>+VLOOKUP(PROVEEDORES[[#This Row],[ID RETENCION]],Retenciones!$A$1:$O$25,2,FALSE)</f>
        <v>2.5000000000000001E-2</v>
      </c>
      <c r="Z1525" s="126" t="b">
        <f>+OR(COUNTIF(PROVEEDORES[[#This Row],[PROVEEDOR]],"*"&amp;'Palabra que no opera y Listas d'!$A$2&amp;"*"))</f>
        <v>1</v>
      </c>
    </row>
    <row r="1526" spans="1:26" ht="27.75" customHeight="1" x14ac:dyDescent="0.25">
      <c r="A1526" s="141" t="str">
        <f>+IF(PROVEEDORES[[#This Row],[FECHA DE PAGO]]=PROVEEDORES[[#This Row],[FECHA DE FACTURACIÓN]],"DE CONTADO","CRÉDITO")</f>
        <v>CRÉDITO</v>
      </c>
      <c r="B1526" s="138" t="b">
        <f>+IF((PROVEEDORES[[#This Row],[FECHA DE PAGO]]-PROVEEDORES[[#This Row],[FECHA DE FACTURACIÓN]])&gt;PROVEEDORES[[#This Row],[PLAZO Días]],"PAGO VENCIDO")</f>
        <v>0</v>
      </c>
      <c r="C1526" s="138">
        <f>+VLOOKUP(PROVEEDORES[[#This Row],[PROVEEDOR]],TERCEROS_INFO[#All],2,FALSE)</f>
        <v>30</v>
      </c>
      <c r="D1526" s="139">
        <f>+SUMIFS(PROVEEDORES[Total],PROVEEDORES[PROVEEDOR],PROVEEDORES[[#This Row],[PROVEEDOR]],PROVEEDORES[FECHA DE PAGO],"")</f>
        <v>0</v>
      </c>
      <c r="E1526" s="140"/>
      <c r="F1526" s="138" t="str">
        <f>+VLOOKUP(PROVEEDORES[[#This Row],[PROVEEDOR]],
                       Terceros!$A:$F,
                       5,
                       FALSE)</f>
        <v/>
      </c>
      <c r="G1526" s="127">
        <v>45420</v>
      </c>
      <c r="H1526" s="123" t="s">
        <v>1861</v>
      </c>
      <c r="I1526" s="127">
        <v>45417</v>
      </c>
      <c r="J1526" s="124">
        <v>1369</v>
      </c>
      <c r="K1526" s="124" t="s">
        <v>1530</v>
      </c>
      <c r="L1526" s="124" t="s">
        <v>1395</v>
      </c>
      <c r="M1526" s="125">
        <v>1062309</v>
      </c>
      <c r="N1526" s="148">
        <f>+(PROVEEDORES[[#This Row],[SUBTOTAL]])*VLOOKUP(PROVEEDORES[[#This Row],[PROVEEDOR]],TERCEROS_INFO[#All],3,FALSE)</f>
        <v>201838.71</v>
      </c>
      <c r="O1526" s="148">
        <f>+'Palabra que no opera y Listas d'!$D$2</f>
        <v>0</v>
      </c>
      <c r="P1526" s="149">
        <f>+IF(PROVEEDORES[[#This Row],[SUBTOTAL]]&lt;PROVEEDORES[[#This Row],[base retencion]],0,PROVEEDORES[[#This Row],[retención aplicada]])</f>
        <v>0</v>
      </c>
      <c r="Q1526" s="148">
        <f>+PROVEEDORES[[#This Row],[ReteFuente
%]]*(PROVEEDORES[[#This Row],[SUBTOTAL]])</f>
        <v>0</v>
      </c>
      <c r="R1526" s="150">
        <f>+PROVEEDORES[[#This Row],[SUBTOTAL]]+PROVEEDORES[[#This Row],[IVA 19%]]-PROVEEDORES[[#This Row],[Descuento
$]]-PROVEEDORES[[#This Row],[ReteFuente
$]]</f>
        <v>1264147.71</v>
      </c>
      <c r="S15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6" s="135">
        <f ca="1">+IF(PROVEEDORES[[#This Row],[FECHA DE PAGO]]=0,TODAY()-PROVEEDORES[[#This Row],[FECHA DE FACTURACIÓN]]-PROVEEDORES[[#This Row],[PLAZO Días]],0)</f>
        <v>0</v>
      </c>
      <c r="U1526" s="135" t="str">
        <f>+VLOOKUP(PROVEEDORES[[#This Row],[PROVEEDOR]],Terceros!$A:$D,4,FALSE)</f>
        <v>2,5% con base</v>
      </c>
      <c r="V1526" s="135">
        <f>+YEAR(PROVEEDORES[[#This Row],[FECHA DE FACTURACIÓN]])</f>
        <v>2024</v>
      </c>
      <c r="W1526" s="135">
        <f>+MATCH(PROVEEDORES[[#This Row],[año facturado]],Retenciones!$1:$1,0)</f>
        <v>7</v>
      </c>
      <c r="X1526" s="136">
        <f>+VLOOKUP(PROVEEDORES[[#This Row],[ID RETENCION]],Retenciones!$A$1:$O$25,PROVEEDORES[[#This Row],[indicador de columna]],FALSE)</f>
        <v>1271000</v>
      </c>
      <c r="Y1526" s="137">
        <f>+VLOOKUP(PROVEEDORES[[#This Row],[ID RETENCION]],Retenciones!$A$1:$O$25,2,FALSE)</f>
        <v>2.5000000000000001E-2</v>
      </c>
      <c r="Z1526" s="126" t="b">
        <f>+OR(COUNTIF(PROVEEDORES[[#This Row],[PROVEEDOR]],"*"&amp;'Palabra que no opera y Listas d'!$A$2&amp;"*"))</f>
        <v>1</v>
      </c>
    </row>
    <row r="1527" spans="1:26" ht="27.75" customHeight="1" x14ac:dyDescent="0.25">
      <c r="A1527" s="141" t="str">
        <f>+IF(PROVEEDORES[[#This Row],[FECHA DE PAGO]]=PROVEEDORES[[#This Row],[FECHA DE FACTURACIÓN]],"DE CONTADO","CRÉDITO")</f>
        <v>CRÉDITO</v>
      </c>
      <c r="B1527" s="138" t="b">
        <f>+IF((PROVEEDORES[[#This Row],[FECHA DE PAGO]]-PROVEEDORES[[#This Row],[FECHA DE FACTURACIÓN]])&gt;PROVEEDORES[[#This Row],[PLAZO Días]],"PAGO VENCIDO")</f>
        <v>0</v>
      </c>
      <c r="C1527" s="138">
        <f>+VLOOKUP(PROVEEDORES[[#This Row],[PROVEEDOR]],TERCEROS_INFO[#All],2,FALSE)</f>
        <v>30</v>
      </c>
      <c r="D1527" s="139">
        <f>+SUMIFS(PROVEEDORES[Total],PROVEEDORES[PROVEEDOR],PROVEEDORES[[#This Row],[PROVEEDOR]],PROVEEDORES[FECHA DE PAGO],"")</f>
        <v>0</v>
      </c>
      <c r="E1527" s="140"/>
      <c r="F1527" s="138">
        <f>+VLOOKUP(PROVEEDORES[[#This Row],[PROVEEDOR]],
                       Terceros!$A:$F,
                       5,
                       FALSE)</f>
        <v>0</v>
      </c>
      <c r="G1527" s="127">
        <v>45421</v>
      </c>
      <c r="H1527" s="123" t="s">
        <v>1871</v>
      </c>
      <c r="I1527" s="127">
        <v>45420</v>
      </c>
      <c r="J1527" s="124" t="s">
        <v>1866</v>
      </c>
      <c r="K1527" s="124" t="s">
        <v>504</v>
      </c>
      <c r="L1527" s="124" t="s">
        <v>1534</v>
      </c>
      <c r="M1527" s="125">
        <v>4131000</v>
      </c>
      <c r="N1527" s="148">
        <f>+(PROVEEDORES[[#This Row],[SUBTOTAL]])*VLOOKUP(PROVEEDORES[[#This Row],[PROVEEDOR]],TERCEROS_INFO[#All],3,FALSE)</f>
        <v>0</v>
      </c>
      <c r="O1527" s="148">
        <f>+'Palabra que no opera y Listas d'!$D$2</f>
        <v>0</v>
      </c>
      <c r="P1527" s="149">
        <f>+IF(PROVEEDORES[[#This Row],[SUBTOTAL]]&lt;PROVEEDORES[[#This Row],[base retencion]],0,PROVEEDORES[[#This Row],[retención aplicada]])</f>
        <v>0</v>
      </c>
      <c r="Q1527" s="148">
        <f>+PROVEEDORES[[#This Row],[ReteFuente
%]]*(PROVEEDORES[[#This Row],[SUBTOTAL]])</f>
        <v>0</v>
      </c>
      <c r="R1527" s="150">
        <f>+PROVEEDORES[[#This Row],[SUBTOTAL]]+PROVEEDORES[[#This Row],[IVA 19%]]-PROVEEDORES[[#This Row],[Descuento
$]]-PROVEEDORES[[#This Row],[ReteFuente
$]]</f>
        <v>4131000</v>
      </c>
      <c r="S15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7" s="135">
        <f ca="1">+IF(PROVEEDORES[[#This Row],[FECHA DE PAGO]]=0,TODAY()-PROVEEDORES[[#This Row],[FECHA DE FACTURACIÓN]]-PROVEEDORES[[#This Row],[PLAZO Días]],0)</f>
        <v>0</v>
      </c>
      <c r="U1527" s="135">
        <f>+VLOOKUP(PROVEEDORES[[#This Row],[PROVEEDOR]],Terceros!$A:$D,4,FALSE)</f>
        <v>0</v>
      </c>
      <c r="V1527" s="135">
        <f>+YEAR(PROVEEDORES[[#This Row],[FECHA DE FACTURACIÓN]])</f>
        <v>2024</v>
      </c>
      <c r="W1527" s="135">
        <f>+MATCH(PROVEEDORES[[#This Row],[año facturado]],Retenciones!$1:$1,0)</f>
        <v>7</v>
      </c>
      <c r="X1527" s="136">
        <f>+VLOOKUP(PROVEEDORES[[#This Row],[ID RETENCION]],Retenciones!$A$1:$O$25,PROVEEDORES[[#This Row],[indicador de columna]],FALSE)</f>
        <v>0</v>
      </c>
      <c r="Y1527" s="137">
        <f>+VLOOKUP(PROVEEDORES[[#This Row],[ID RETENCION]],Retenciones!$A$1:$O$25,2,FALSE)</f>
        <v>0</v>
      </c>
      <c r="Z1527" s="126" t="b">
        <f>+OR(COUNTIF(PROVEEDORES[[#This Row],[PROVEEDOR]],"*"&amp;'Palabra que no opera y Listas d'!$A$2&amp;"*"))</f>
        <v>0</v>
      </c>
    </row>
    <row r="1528" spans="1:26" ht="27.75" customHeight="1" x14ac:dyDescent="0.25">
      <c r="A1528" s="141" t="str">
        <f>+IF(PROVEEDORES[[#This Row],[FECHA DE PAGO]]=PROVEEDORES[[#This Row],[FECHA DE FACTURACIÓN]],"DE CONTADO","CRÉDITO")</f>
        <v>CRÉDITO</v>
      </c>
      <c r="B1528" s="138" t="b">
        <f>+IF((PROVEEDORES[[#This Row],[FECHA DE PAGO]]-PROVEEDORES[[#This Row],[FECHA DE FACTURACIÓN]])&gt;PROVEEDORES[[#This Row],[PLAZO Días]],"PAGO VENCIDO")</f>
        <v>0</v>
      </c>
      <c r="C1528" s="138">
        <f>+VLOOKUP(PROVEEDORES[[#This Row],[PROVEEDOR]],TERCEROS_INFO[#All],2,FALSE)</f>
        <v>30</v>
      </c>
      <c r="D1528" s="139">
        <f>+SUMIFS(PROVEEDORES[Total],PROVEEDORES[PROVEEDOR],PROVEEDORES[[#This Row],[PROVEEDOR]],PROVEEDORES[FECHA DE PAGO],"")</f>
        <v>0</v>
      </c>
      <c r="E1528" s="140"/>
      <c r="F1528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1528" s="127">
        <v>45421</v>
      </c>
      <c r="H1528" s="123" t="s">
        <v>1862</v>
      </c>
      <c r="I1528" s="127">
        <v>45420</v>
      </c>
      <c r="J1528" s="124" t="s">
        <v>1925</v>
      </c>
      <c r="K1528" s="124" t="s">
        <v>504</v>
      </c>
      <c r="L1528" s="124" t="s">
        <v>1534</v>
      </c>
      <c r="M1528" s="125">
        <v>2395201</v>
      </c>
      <c r="N1528" s="148">
        <f>+(PROVEEDORES[[#This Row],[SUBTOTAL]])*VLOOKUP(PROVEEDORES[[#This Row],[PROVEEDOR]],TERCEROS_INFO[#All],3,FALSE)</f>
        <v>0</v>
      </c>
      <c r="O1528" s="148">
        <f>+'Palabra que no opera y Listas d'!$D$2</f>
        <v>0</v>
      </c>
      <c r="P1528" s="149">
        <f>+IF(PROVEEDORES[[#This Row],[SUBTOTAL]]&lt;PROVEEDORES[[#This Row],[base retencion]],0,PROVEEDORES[[#This Row],[retención aplicada]])</f>
        <v>0</v>
      </c>
      <c r="Q1528" s="148">
        <f>+PROVEEDORES[[#This Row],[ReteFuente
%]]*(PROVEEDORES[[#This Row],[SUBTOTAL]])</f>
        <v>0</v>
      </c>
      <c r="R1528" s="150">
        <f>+PROVEEDORES[[#This Row],[SUBTOTAL]]+PROVEEDORES[[#This Row],[IVA 19%]]-PROVEEDORES[[#This Row],[Descuento
$]]-PROVEEDORES[[#This Row],[ReteFuente
$]]</f>
        <v>2395201</v>
      </c>
      <c r="S15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8" s="135">
        <f ca="1">+IF(PROVEEDORES[[#This Row],[FECHA DE PAGO]]=0,TODAY()-PROVEEDORES[[#This Row],[FECHA DE FACTURACIÓN]]-PROVEEDORES[[#This Row],[PLAZO Días]],0)</f>
        <v>0</v>
      </c>
      <c r="U1528" s="135">
        <f>+VLOOKUP(PROVEEDORES[[#This Row],[PROVEEDOR]],Terceros!$A:$D,4,FALSE)</f>
        <v>0</v>
      </c>
      <c r="V1528" s="135">
        <f>+YEAR(PROVEEDORES[[#This Row],[FECHA DE FACTURACIÓN]])</f>
        <v>2024</v>
      </c>
      <c r="W1528" s="135">
        <f>+MATCH(PROVEEDORES[[#This Row],[año facturado]],Retenciones!$1:$1,0)</f>
        <v>7</v>
      </c>
      <c r="X1528" s="136">
        <f>+VLOOKUP(PROVEEDORES[[#This Row],[ID RETENCION]],Retenciones!$A$1:$O$25,PROVEEDORES[[#This Row],[indicador de columna]],FALSE)</f>
        <v>0</v>
      </c>
      <c r="Y1528" s="137">
        <f>+VLOOKUP(PROVEEDORES[[#This Row],[ID RETENCION]],Retenciones!$A$1:$O$25,2,FALSE)</f>
        <v>0</v>
      </c>
      <c r="Z1528" s="126" t="b">
        <f>+OR(COUNTIF(PROVEEDORES[[#This Row],[PROVEEDOR]],"*"&amp;'Palabra que no opera y Listas d'!$A$2&amp;"*"))</f>
        <v>0</v>
      </c>
    </row>
    <row r="1529" spans="1:26" ht="27.75" customHeight="1" x14ac:dyDescent="0.25">
      <c r="A1529" s="141" t="str">
        <f>+IF(PROVEEDORES[[#This Row],[FECHA DE PAGO]]=PROVEEDORES[[#This Row],[FECHA DE FACTURACIÓN]],"DE CONTADO","CRÉDITO")</f>
        <v>DE CONTADO</v>
      </c>
      <c r="B1529" s="138" t="b">
        <f>+IF((PROVEEDORES[[#This Row],[FECHA DE PAGO]]-PROVEEDORES[[#This Row],[FECHA DE FACTURACIÓN]])&gt;PROVEEDORES[[#This Row],[PLAZO Días]],"PAGO VENCIDO")</f>
        <v>0</v>
      </c>
      <c r="C1529" s="138">
        <f>+VLOOKUP(PROVEEDORES[[#This Row],[PROVEEDOR]],TERCEROS_INFO[#All],2,FALSE)</f>
        <v>30</v>
      </c>
      <c r="D1529" s="139">
        <f>+SUMIFS(PROVEEDORES[Total],PROVEEDORES[PROVEEDOR],PROVEEDORES[[#This Row],[PROVEEDOR]],PROVEEDORES[FECHA DE PAGO],"")</f>
        <v>0</v>
      </c>
      <c r="E1529" s="140"/>
      <c r="F1529" s="138" t="str">
        <f>+VLOOKUP(PROVEEDORES[[#This Row],[PROVEEDOR]],
                       Terceros!$A:$F,
                       5,
                       FALSE)</f>
        <v/>
      </c>
      <c r="G1529" s="127">
        <v>45421</v>
      </c>
      <c r="H1529" s="123" t="s">
        <v>1824</v>
      </c>
      <c r="I1529" s="127">
        <v>45421</v>
      </c>
      <c r="J1529" s="124" t="s">
        <v>1842</v>
      </c>
      <c r="K1529" s="124" t="s">
        <v>1530</v>
      </c>
      <c r="L1529" s="124" t="s">
        <v>1395</v>
      </c>
      <c r="M1529" s="125">
        <v>1000000</v>
      </c>
      <c r="N1529" s="148">
        <f>+(PROVEEDORES[[#This Row],[SUBTOTAL]])*VLOOKUP(PROVEEDORES[[#This Row],[PROVEEDOR]],TERCEROS_INFO[#All],3,FALSE)</f>
        <v>0</v>
      </c>
      <c r="O1529" s="148">
        <f>+'Palabra que no opera y Listas d'!$D$2</f>
        <v>0</v>
      </c>
      <c r="P1529" s="149">
        <f>+IF(PROVEEDORES[[#This Row],[SUBTOTAL]]&lt;PROVEEDORES[[#This Row],[base retencion]],0,PROVEEDORES[[#This Row],[retención aplicada]])</f>
        <v>0</v>
      </c>
      <c r="Q1529" s="148">
        <f>+PROVEEDORES[[#This Row],[ReteFuente
%]]*(PROVEEDORES[[#This Row],[SUBTOTAL]])</f>
        <v>0</v>
      </c>
      <c r="R1529" s="150">
        <f>+PROVEEDORES[[#This Row],[SUBTOTAL]]+PROVEEDORES[[#This Row],[IVA 19%]]-PROVEEDORES[[#This Row],[Descuento
$]]-PROVEEDORES[[#This Row],[ReteFuente
$]]</f>
        <v>1000000</v>
      </c>
      <c r="S152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29" s="135">
        <f ca="1">+IF(PROVEEDORES[[#This Row],[FECHA DE PAGO]]=0,TODAY()-PROVEEDORES[[#This Row],[FECHA DE FACTURACIÓN]]-PROVEEDORES[[#This Row],[PLAZO Días]],0)</f>
        <v>0</v>
      </c>
      <c r="U1529" s="135">
        <f>+VLOOKUP(PROVEEDORES[[#This Row],[PROVEEDOR]],Terceros!$A:$D,4,FALSE)</f>
        <v>0</v>
      </c>
      <c r="V1529" s="135">
        <f>+YEAR(PROVEEDORES[[#This Row],[FECHA DE FACTURACIÓN]])</f>
        <v>2024</v>
      </c>
      <c r="W1529" s="135">
        <f>+MATCH(PROVEEDORES[[#This Row],[año facturado]],Retenciones!$1:$1,0)</f>
        <v>7</v>
      </c>
      <c r="X1529" s="136">
        <f>+VLOOKUP(PROVEEDORES[[#This Row],[ID RETENCION]],Retenciones!$A$1:$O$25,PROVEEDORES[[#This Row],[indicador de columna]],FALSE)</f>
        <v>0</v>
      </c>
      <c r="Y1529" s="137">
        <f>+VLOOKUP(PROVEEDORES[[#This Row],[ID RETENCION]],Retenciones!$A$1:$O$25,2,FALSE)</f>
        <v>0</v>
      </c>
      <c r="Z1529" s="126" t="b">
        <f>+OR(COUNTIF(PROVEEDORES[[#This Row],[PROVEEDOR]],"*"&amp;'Palabra que no opera y Listas d'!$A$2&amp;"*"))</f>
        <v>0</v>
      </c>
    </row>
    <row r="1530" spans="1:26" ht="27.75" customHeight="1" x14ac:dyDescent="0.25">
      <c r="A1530" s="141" t="str">
        <f>+IF(PROVEEDORES[[#This Row],[FECHA DE PAGO]]=PROVEEDORES[[#This Row],[FECHA DE FACTURACIÓN]],"DE CONTADO","CRÉDITO")</f>
        <v>CRÉDITO</v>
      </c>
      <c r="B1530" s="138" t="str">
        <f>+IF((PROVEEDORES[[#This Row],[FECHA DE PAGO]]-PROVEEDORES[[#This Row],[FECHA DE FACTURACIÓN]])&gt;PROVEEDORES[[#This Row],[PLAZO Días]],"PAGO VENCIDO")</f>
        <v>PAGO VENCIDO</v>
      </c>
      <c r="C1530" s="138">
        <f>+VLOOKUP(PROVEEDORES[[#This Row],[PROVEEDOR]],TERCEROS_INFO[#All],2,FALSE)</f>
        <v>30</v>
      </c>
      <c r="D1530" s="139">
        <f>+SUMIFS(PROVEEDORES[Total],PROVEEDORES[PROVEEDOR],PROVEEDORES[[#This Row],[PROVEEDOR]],PROVEEDORES[FECHA DE PAGO],"")</f>
        <v>5427539.2800000003</v>
      </c>
      <c r="E1530" s="140"/>
      <c r="F1530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530" s="127">
        <v>45422</v>
      </c>
      <c r="H1530" s="123" t="s">
        <v>11</v>
      </c>
      <c r="I1530" s="127">
        <v>45369</v>
      </c>
      <c r="J1530" s="124" t="s">
        <v>1683</v>
      </c>
      <c r="K1530" s="124" t="s">
        <v>1530</v>
      </c>
      <c r="L1530" s="124" t="s">
        <v>1533</v>
      </c>
      <c r="M1530" s="125">
        <v>3408409</v>
      </c>
      <c r="N1530" s="148">
        <v>647597.71</v>
      </c>
      <c r="O1530" s="148">
        <v>0</v>
      </c>
      <c r="P1530" s="149">
        <v>2.5000000000000001E-2</v>
      </c>
      <c r="Q1530" s="148">
        <v>85210.225000000006</v>
      </c>
      <c r="R1530" s="150">
        <v>3970796.4849999999</v>
      </c>
      <c r="S15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0" s="135">
        <f ca="1">+IF(PROVEEDORES[[#This Row],[FECHA DE PAGO]]=0,TODAY()-PROVEEDORES[[#This Row],[FECHA DE FACTURACIÓN]]-PROVEEDORES[[#This Row],[PLAZO Días]],0)</f>
        <v>0</v>
      </c>
      <c r="U1530" s="135" t="str">
        <f>+VLOOKUP(PROVEEDORES[[#This Row],[PROVEEDOR]],Terceros!$A:$D,4,FALSE)</f>
        <v>2,5% con base</v>
      </c>
      <c r="V1530" s="135">
        <f>+YEAR(PROVEEDORES[[#This Row],[FECHA DE FACTURACIÓN]])</f>
        <v>2024</v>
      </c>
      <c r="W1530" s="135">
        <f>+MATCH(PROVEEDORES[[#This Row],[año facturado]],Retenciones!$1:$1,0)</f>
        <v>7</v>
      </c>
      <c r="X1530" s="136">
        <f>+VLOOKUP(PROVEEDORES[[#This Row],[ID RETENCION]],Retenciones!$A$1:$O$25,PROVEEDORES[[#This Row],[indicador de columna]],FALSE)</f>
        <v>1271000</v>
      </c>
      <c r="Y1530" s="137">
        <f>+VLOOKUP(PROVEEDORES[[#This Row],[ID RETENCION]],Retenciones!$A$1:$O$25,2,FALSE)</f>
        <v>2.5000000000000001E-2</v>
      </c>
      <c r="Z1530" s="126" t="b">
        <f>+OR(COUNTIF(PROVEEDORES[[#This Row],[PROVEEDOR]],"*"&amp;'Palabra que no opera y Listas d'!$A$2&amp;"*"))</f>
        <v>0</v>
      </c>
    </row>
    <row r="1531" spans="1:26" ht="27.75" customHeight="1" x14ac:dyDescent="0.25">
      <c r="A1531" s="141" t="str">
        <f>+IF(PROVEEDORES[[#This Row],[FECHA DE PAGO]]=PROVEEDORES[[#This Row],[FECHA DE FACTURACIÓN]],"DE CONTADO","CRÉDITO")</f>
        <v>CRÉDITO</v>
      </c>
      <c r="B1531" s="138" t="str">
        <f>+IF((PROVEEDORES[[#This Row],[FECHA DE PAGO]]-PROVEEDORES[[#This Row],[FECHA DE FACTURACIÓN]])&gt;PROVEEDORES[[#This Row],[PLAZO Días]],"PAGO VENCIDO")</f>
        <v>PAGO VENCIDO</v>
      </c>
      <c r="C1531" s="138">
        <f>+VLOOKUP(PROVEEDORES[[#This Row],[PROVEEDOR]],TERCEROS_INFO[#All],2,FALSE)</f>
        <v>10</v>
      </c>
      <c r="D1531" s="139">
        <f>+SUMIFS(PROVEEDORES[Total],PROVEEDORES[PROVEEDOR],PROVEEDORES[[#This Row],[PROVEEDOR]],PROVEEDORES[FECHA DE PAGO],"")</f>
        <v>-3510</v>
      </c>
      <c r="E1531" s="140"/>
      <c r="F1531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531" s="127">
        <v>45422</v>
      </c>
      <c r="H1531" s="123" t="s">
        <v>1452</v>
      </c>
      <c r="I1531" s="127">
        <v>45400</v>
      </c>
      <c r="J1531" s="124" t="s">
        <v>1907</v>
      </c>
      <c r="K1531" s="124" t="s">
        <v>1530</v>
      </c>
      <c r="L1531" s="124" t="s">
        <v>1533</v>
      </c>
      <c r="M1531" s="125">
        <v>-12893</v>
      </c>
      <c r="N1531" s="148">
        <v>0</v>
      </c>
      <c r="O1531" s="148">
        <v>0</v>
      </c>
      <c r="P1531" s="149">
        <v>0</v>
      </c>
      <c r="Q1531" s="148">
        <v>0</v>
      </c>
      <c r="R1531" s="150">
        <v>-12893</v>
      </c>
      <c r="S15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1" s="135">
        <f ca="1">+IF(PROVEEDORES[[#This Row],[FECHA DE PAGO]]=0,TODAY()-PROVEEDORES[[#This Row],[FECHA DE FACTURACIÓN]]-PROVEEDORES[[#This Row],[PLAZO Días]],0)</f>
        <v>0</v>
      </c>
      <c r="U1531" s="135" t="str">
        <f>+VLOOKUP(PROVEEDORES[[#This Row],[PROVEEDOR]],Terceros!$A:$D,4,FALSE)</f>
        <v>3,5% sin base</v>
      </c>
      <c r="V1531" s="135">
        <f>+YEAR(PROVEEDORES[[#This Row],[FECHA DE FACTURACIÓN]])</f>
        <v>2024</v>
      </c>
      <c r="W1531" s="135">
        <f>+MATCH(PROVEEDORES[[#This Row],[año facturado]],Retenciones!$1:$1,0)</f>
        <v>7</v>
      </c>
      <c r="X1531" s="136">
        <f>+VLOOKUP(PROVEEDORES[[#This Row],[ID RETENCION]],Retenciones!$A$1:$O$25,PROVEEDORES[[#This Row],[indicador de columna]],FALSE)</f>
        <v>0</v>
      </c>
      <c r="Y1531" s="137">
        <f>+VLOOKUP(PROVEEDORES[[#This Row],[ID RETENCION]],Retenciones!$A$1:$O$25,2,FALSE)</f>
        <v>3.5000000000000003E-2</v>
      </c>
      <c r="Z1531" s="126" t="b">
        <f>+OR(COUNTIF(PROVEEDORES[[#This Row],[PROVEEDOR]],"*"&amp;'Palabra que no opera y Listas d'!$A$2&amp;"*"))</f>
        <v>1</v>
      </c>
    </row>
    <row r="1532" spans="1:26" ht="27.75" customHeight="1" x14ac:dyDescent="0.25">
      <c r="A1532" s="141" t="str">
        <f>+IF(PROVEEDORES[[#This Row],[FECHA DE PAGO]]=PROVEEDORES[[#This Row],[FECHA DE FACTURACIÓN]],"DE CONTADO","CRÉDITO")</f>
        <v>CRÉDITO</v>
      </c>
      <c r="B1532" s="138" t="b">
        <f>+IF((PROVEEDORES[[#This Row],[FECHA DE PAGO]]-PROVEEDORES[[#This Row],[FECHA DE FACTURACIÓN]])&gt;PROVEEDORES[[#This Row],[PLAZO Días]],"PAGO VENCIDO")</f>
        <v>0</v>
      </c>
      <c r="C1532" s="138">
        <f>+VLOOKUP(PROVEEDORES[[#This Row],[PROVEEDOR]],TERCEROS_INFO[#All],2,FALSE)</f>
        <v>20</v>
      </c>
      <c r="D1532" s="139">
        <f>+SUMIFS(PROVEEDORES[Total],PROVEEDORES[PROVEEDOR],PROVEEDORES[[#This Row],[PROVEEDOR]],PROVEEDORES[FECHA DE PAGO],"")</f>
        <v>0</v>
      </c>
      <c r="E1532" s="140"/>
      <c r="F1532" s="138">
        <f>+VLOOKUP(PROVEEDORES[[#This Row],[PROVEEDOR]],
                       Terceros!$A:$F,
                       5,
                       FALSE)</f>
        <v>0</v>
      </c>
      <c r="G1532" s="127">
        <v>45422</v>
      </c>
      <c r="H1532" s="123" t="s">
        <v>1825</v>
      </c>
      <c r="I1532" s="127">
        <v>45407</v>
      </c>
      <c r="J1532" s="124" t="s">
        <v>890</v>
      </c>
      <c r="K1532" s="124" t="s">
        <v>504</v>
      </c>
      <c r="L1532" s="124" t="s">
        <v>1395</v>
      </c>
      <c r="M1532" s="125">
        <v>455608</v>
      </c>
      <c r="N1532" s="148">
        <v>0</v>
      </c>
      <c r="O1532" s="148">
        <v>0</v>
      </c>
      <c r="P1532" s="149">
        <v>0</v>
      </c>
      <c r="Q1532" s="148">
        <v>0</v>
      </c>
      <c r="R1532" s="150">
        <v>455608</v>
      </c>
      <c r="S15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2" s="135">
        <f ca="1">+IF(PROVEEDORES[[#This Row],[FECHA DE PAGO]]=0,TODAY()-PROVEEDORES[[#This Row],[FECHA DE FACTURACIÓN]]-PROVEEDORES[[#This Row],[PLAZO Días]],0)</f>
        <v>0</v>
      </c>
      <c r="U1532" s="135">
        <f>+VLOOKUP(PROVEEDORES[[#This Row],[PROVEEDOR]],Terceros!$A:$D,4,FALSE)</f>
        <v>0</v>
      </c>
      <c r="V1532" s="135">
        <f>+YEAR(PROVEEDORES[[#This Row],[FECHA DE FACTURACIÓN]])</f>
        <v>2024</v>
      </c>
      <c r="W1532" s="135">
        <f>+MATCH(PROVEEDORES[[#This Row],[año facturado]],Retenciones!$1:$1,0)</f>
        <v>7</v>
      </c>
      <c r="X1532" s="136">
        <f>+VLOOKUP(PROVEEDORES[[#This Row],[ID RETENCION]],Retenciones!$A$1:$O$25,PROVEEDORES[[#This Row],[indicador de columna]],FALSE)</f>
        <v>0</v>
      </c>
      <c r="Y1532" s="137">
        <f>+VLOOKUP(PROVEEDORES[[#This Row],[ID RETENCION]],Retenciones!$A$1:$O$25,2,FALSE)</f>
        <v>0</v>
      </c>
      <c r="Z1532" s="126" t="b">
        <f>+OR(COUNTIF(PROVEEDORES[[#This Row],[PROVEEDOR]],"*"&amp;'Palabra que no opera y Listas d'!$A$2&amp;"*"))</f>
        <v>0</v>
      </c>
    </row>
    <row r="1533" spans="1:26" ht="27.75" customHeight="1" x14ac:dyDescent="0.25">
      <c r="A1533" s="141" t="str">
        <f>+IF(PROVEEDORES[[#This Row],[FECHA DE PAGO]]=PROVEEDORES[[#This Row],[FECHA DE FACTURACIÓN]],"DE CONTADO","CRÉDITO")</f>
        <v>CRÉDITO</v>
      </c>
      <c r="B1533" s="138" t="b">
        <f>+IF((PROVEEDORES[[#This Row],[FECHA DE PAGO]]-PROVEEDORES[[#This Row],[FECHA DE FACTURACIÓN]])&gt;PROVEEDORES[[#This Row],[PLAZO Días]],"PAGO VENCIDO")</f>
        <v>0</v>
      </c>
      <c r="C1533" s="138">
        <f>+VLOOKUP(PROVEEDORES[[#This Row],[PROVEEDOR]],TERCEROS_INFO[#All],2,FALSE)</f>
        <v>30</v>
      </c>
      <c r="D1533" s="139">
        <f>+SUMIFS(PROVEEDORES[Total],PROVEEDORES[PROVEEDOR],PROVEEDORES[[#This Row],[PROVEEDOR]],PROVEEDORES[FECHA DE PAGO],"")</f>
        <v>0</v>
      </c>
      <c r="E1533" s="140"/>
      <c r="F1533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33" s="127">
        <v>45422</v>
      </c>
      <c r="H1533" s="123" t="s">
        <v>368</v>
      </c>
      <c r="I1533" s="127">
        <v>45407</v>
      </c>
      <c r="J1533" s="124" t="s">
        <v>1768</v>
      </c>
      <c r="K1533" s="124" t="s">
        <v>1530</v>
      </c>
      <c r="L1533" s="124" t="s">
        <v>1535</v>
      </c>
      <c r="M1533" s="125">
        <v>181631</v>
      </c>
      <c r="N1533" s="148">
        <v>0</v>
      </c>
      <c r="O1533" s="148">
        <v>0</v>
      </c>
      <c r="P1533" s="149">
        <v>0</v>
      </c>
      <c r="Q1533" s="148">
        <v>0</v>
      </c>
      <c r="R1533" s="150">
        <v>181631</v>
      </c>
      <c r="S15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3" s="135">
        <f ca="1">+IF(PROVEEDORES[[#This Row],[FECHA DE PAGO]]=0,TODAY()-PROVEEDORES[[#This Row],[FECHA DE FACTURACIÓN]]-PROVEEDORES[[#This Row],[PLAZO Días]],0)</f>
        <v>0</v>
      </c>
      <c r="U1533" s="135">
        <f>+VLOOKUP(PROVEEDORES[[#This Row],[PROVEEDOR]],Terceros!$A:$D,4,FALSE)</f>
        <v>0</v>
      </c>
      <c r="V1533" s="135">
        <f>+YEAR(PROVEEDORES[[#This Row],[FECHA DE FACTURACIÓN]])</f>
        <v>2024</v>
      </c>
      <c r="W1533" s="135">
        <f>+MATCH(PROVEEDORES[[#This Row],[año facturado]],Retenciones!$1:$1,0)</f>
        <v>7</v>
      </c>
      <c r="X1533" s="136">
        <f>+VLOOKUP(PROVEEDORES[[#This Row],[ID RETENCION]],Retenciones!$A$1:$O$25,PROVEEDORES[[#This Row],[indicador de columna]],FALSE)</f>
        <v>0</v>
      </c>
      <c r="Y1533" s="137">
        <f>+VLOOKUP(PROVEEDORES[[#This Row],[ID RETENCION]],Retenciones!$A$1:$O$25,2,FALSE)</f>
        <v>0</v>
      </c>
      <c r="Z1533" s="126" t="b">
        <f>+OR(COUNTIF(PROVEEDORES[[#This Row],[PROVEEDOR]],"*"&amp;'Palabra que no opera y Listas d'!$A$2&amp;"*"))</f>
        <v>1</v>
      </c>
    </row>
    <row r="1534" spans="1:26" ht="27.75" customHeight="1" x14ac:dyDescent="0.25">
      <c r="A1534" s="141" t="str">
        <f>+IF(PROVEEDORES[[#This Row],[FECHA DE PAGO]]=PROVEEDORES[[#This Row],[FECHA DE FACTURACIÓN]],"DE CONTADO","CRÉDITO")</f>
        <v>CRÉDITO</v>
      </c>
      <c r="B1534" s="138" t="b">
        <f>+IF((PROVEEDORES[[#This Row],[FECHA DE PAGO]]-PROVEEDORES[[#This Row],[FECHA DE FACTURACIÓN]])&gt;PROVEEDORES[[#This Row],[PLAZO Días]],"PAGO VENCIDO")</f>
        <v>0</v>
      </c>
      <c r="C1534" s="138">
        <f>+VLOOKUP(PROVEEDORES[[#This Row],[PROVEEDOR]],TERCEROS_INFO[#All],2,FALSE)</f>
        <v>30</v>
      </c>
      <c r="D1534" s="139">
        <f>+SUMIFS(PROVEEDORES[Total],PROVEEDORES[PROVEEDOR],PROVEEDORES[[#This Row],[PROVEEDOR]],PROVEEDORES[FECHA DE PAGO],"")</f>
        <v>0</v>
      </c>
      <c r="E1534" s="140"/>
      <c r="F1534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34" s="127">
        <v>45422</v>
      </c>
      <c r="H1534" s="123" t="s">
        <v>368</v>
      </c>
      <c r="I1534" s="127">
        <v>45413</v>
      </c>
      <c r="J1534" s="124" t="s">
        <v>1875</v>
      </c>
      <c r="K1534" s="124" t="s">
        <v>1530</v>
      </c>
      <c r="L1534" s="124" t="s">
        <v>1535</v>
      </c>
      <c r="M1534" s="125">
        <v>970836</v>
      </c>
      <c r="N1534" s="148">
        <f>+(PROVEEDORES[[#This Row],[SUBTOTAL]])*VLOOKUP(PROVEEDORES[[#This Row],[PROVEEDOR]],TERCEROS_INFO[#All],3,FALSE)</f>
        <v>184458.84</v>
      </c>
      <c r="O1534" s="148">
        <f>+'Palabra que no opera y Listas d'!$D$2</f>
        <v>0</v>
      </c>
      <c r="P1534" s="149">
        <f>+IF(PROVEEDORES[[#This Row],[SUBTOTAL]]&lt;PROVEEDORES[[#This Row],[base retencion]],0,PROVEEDORES[[#This Row],[retención aplicada]])</f>
        <v>0</v>
      </c>
      <c r="Q1534" s="148">
        <v>38833</v>
      </c>
      <c r="R1534" s="150">
        <f>+PROVEEDORES[[#This Row],[SUBTOTAL]]+PROVEEDORES[[#This Row],[IVA 19%]]-PROVEEDORES[[#This Row],[Descuento
$]]-PROVEEDORES[[#This Row],[ReteFuente
$]]</f>
        <v>1116461.8400000001</v>
      </c>
      <c r="S153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4" s="135">
        <f ca="1">+IF(PROVEEDORES[[#This Row],[FECHA DE PAGO]]=0,TODAY()-PROVEEDORES[[#This Row],[FECHA DE FACTURACIÓN]]-PROVEEDORES[[#This Row],[PLAZO Días]],0)</f>
        <v>0</v>
      </c>
      <c r="U1534" s="135">
        <f>+VLOOKUP(PROVEEDORES[[#This Row],[PROVEEDOR]],Terceros!$A:$D,4,FALSE)</f>
        <v>0</v>
      </c>
      <c r="V1534" s="135">
        <f>+YEAR(PROVEEDORES[[#This Row],[FECHA DE FACTURACIÓN]])</f>
        <v>2024</v>
      </c>
      <c r="W1534" s="135">
        <f>+MATCH(PROVEEDORES[[#This Row],[año facturado]],Retenciones!$1:$1,0)</f>
        <v>7</v>
      </c>
      <c r="X1534" s="136">
        <f>+VLOOKUP(PROVEEDORES[[#This Row],[ID RETENCION]],Retenciones!$A$1:$O$25,PROVEEDORES[[#This Row],[indicador de columna]],FALSE)</f>
        <v>0</v>
      </c>
      <c r="Y1534" s="137">
        <f>+VLOOKUP(PROVEEDORES[[#This Row],[ID RETENCION]],Retenciones!$A$1:$O$25,2,FALSE)</f>
        <v>0</v>
      </c>
      <c r="Z1534" s="126" t="b">
        <f>+OR(COUNTIF(PROVEEDORES[[#This Row],[PROVEEDOR]],"*"&amp;'Palabra que no opera y Listas d'!$A$2&amp;"*"))</f>
        <v>1</v>
      </c>
    </row>
    <row r="1535" spans="1:26" ht="27.75" customHeight="1" x14ac:dyDescent="0.25">
      <c r="A1535" s="141" t="str">
        <f>+IF(PROVEEDORES[[#This Row],[FECHA DE PAGO]]=PROVEEDORES[[#This Row],[FECHA DE FACTURACIÓN]],"DE CONTADO","CRÉDITO")</f>
        <v>CRÉDITO</v>
      </c>
      <c r="B1535" s="138" t="b">
        <f>+IF((PROVEEDORES[[#This Row],[FECHA DE PAGO]]-PROVEEDORES[[#This Row],[FECHA DE FACTURACIÓN]])&gt;PROVEEDORES[[#This Row],[PLAZO Días]],"PAGO VENCIDO")</f>
        <v>0</v>
      </c>
      <c r="C1535" s="138">
        <f>+VLOOKUP(PROVEEDORES[[#This Row],[PROVEEDOR]],TERCEROS_INFO[#All],2,FALSE)</f>
        <v>30</v>
      </c>
      <c r="D1535" s="139">
        <f>+SUMIFS(PROVEEDORES[Total],PROVEEDORES[PROVEEDOR],PROVEEDORES[[#This Row],[PROVEEDOR]],PROVEEDORES[FECHA DE PAGO],"")</f>
        <v>0</v>
      </c>
      <c r="E1535" s="140"/>
      <c r="F1535" s="138" t="str">
        <f>+VLOOKUP(PROVEEDORES[[#This Row],[PROVEEDOR]],
                       Terceros!$A:$F,
                       5,
                       FALSE)</f>
        <v>cartera@conbienes.com;girlesa.ruiz@servipilas.com;joriescobar64@gmail.com</v>
      </c>
      <c r="G1535" s="127">
        <v>45422</v>
      </c>
      <c r="H1535" s="123" t="s">
        <v>368</v>
      </c>
      <c r="I1535" s="127">
        <v>45413</v>
      </c>
      <c r="J1535" s="124" t="s">
        <v>1876</v>
      </c>
      <c r="K1535" s="124" t="s">
        <v>1530</v>
      </c>
      <c r="L1535" s="124" t="s">
        <v>1535</v>
      </c>
      <c r="M1535" s="125">
        <v>4220343</v>
      </c>
      <c r="N1535" s="148">
        <f>+(PROVEEDORES[[#This Row],[SUBTOTAL]])*VLOOKUP(PROVEEDORES[[#This Row],[PROVEEDOR]],TERCEROS_INFO[#All],3,FALSE)</f>
        <v>801865.17</v>
      </c>
      <c r="O1535" s="148">
        <f>+'Palabra que no opera y Listas d'!$D$2</f>
        <v>0</v>
      </c>
      <c r="P1535" s="149">
        <f>+IF(PROVEEDORES[[#This Row],[SUBTOTAL]]&lt;PROVEEDORES[[#This Row],[base retencion]],0,PROVEEDORES[[#This Row],[retención aplicada]])</f>
        <v>0</v>
      </c>
      <c r="Q1535" s="148">
        <f>+PROVEEDORES[[#This Row],[ReteFuente
%]]*(PROVEEDORES[[#This Row],[SUBTOTAL]])</f>
        <v>0</v>
      </c>
      <c r="R1535" s="150">
        <f>+PROVEEDORES[[#This Row],[SUBTOTAL]]+PROVEEDORES[[#This Row],[IVA 19%]]-PROVEEDORES[[#This Row],[Descuento
$]]-PROVEEDORES[[#This Row],[ReteFuente
$]]</f>
        <v>5022208.17</v>
      </c>
      <c r="S153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5" s="135">
        <f ca="1">+IF(PROVEEDORES[[#This Row],[FECHA DE PAGO]]=0,TODAY()-PROVEEDORES[[#This Row],[FECHA DE FACTURACIÓN]]-PROVEEDORES[[#This Row],[PLAZO Días]],0)</f>
        <v>0</v>
      </c>
      <c r="U1535" s="135">
        <f>+VLOOKUP(PROVEEDORES[[#This Row],[PROVEEDOR]],Terceros!$A:$D,4,FALSE)</f>
        <v>0</v>
      </c>
      <c r="V1535" s="135">
        <f>+YEAR(PROVEEDORES[[#This Row],[FECHA DE FACTURACIÓN]])</f>
        <v>2024</v>
      </c>
      <c r="W1535" s="135">
        <f>+MATCH(PROVEEDORES[[#This Row],[año facturado]],Retenciones!$1:$1,0)</f>
        <v>7</v>
      </c>
      <c r="X1535" s="136">
        <f>+VLOOKUP(PROVEEDORES[[#This Row],[ID RETENCION]],Retenciones!$A$1:$O$25,PROVEEDORES[[#This Row],[indicador de columna]],FALSE)</f>
        <v>0</v>
      </c>
      <c r="Y1535" s="137">
        <f>+VLOOKUP(PROVEEDORES[[#This Row],[ID RETENCION]],Retenciones!$A$1:$O$25,2,FALSE)</f>
        <v>0</v>
      </c>
      <c r="Z1535" s="126" t="b">
        <f>+OR(COUNTIF(PROVEEDORES[[#This Row],[PROVEEDOR]],"*"&amp;'Palabra que no opera y Listas d'!$A$2&amp;"*"))</f>
        <v>1</v>
      </c>
    </row>
    <row r="1536" spans="1:26" ht="27.75" customHeight="1" x14ac:dyDescent="0.25">
      <c r="A1536" s="141" t="str">
        <f>+IF(PROVEEDORES[[#This Row],[FECHA DE PAGO]]=PROVEEDORES[[#This Row],[FECHA DE FACTURACIÓN]],"DE CONTADO","CRÉDITO")</f>
        <v>CRÉDITO</v>
      </c>
      <c r="B1536" s="138" t="b">
        <f>+IF((PROVEEDORES[[#This Row],[FECHA DE PAGO]]-PROVEEDORES[[#This Row],[FECHA DE FACTURACIÓN]])&gt;PROVEEDORES[[#This Row],[PLAZO Días]],"PAGO VENCIDO")</f>
        <v>0</v>
      </c>
      <c r="C1536" s="138">
        <f>+VLOOKUP(PROVEEDORES[[#This Row],[PROVEEDOR]],TERCEROS_INFO[#All],2,FALSE)</f>
        <v>10</v>
      </c>
      <c r="D1536" s="139">
        <f>+SUMIFS(PROVEEDORES[Total],PROVEEDORES[PROVEEDOR],PROVEEDORES[[#This Row],[PROVEEDOR]],PROVEEDORES[FECHA DE PAGO],"")</f>
        <v>-3510</v>
      </c>
      <c r="E1536" s="140"/>
      <c r="F1536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536" s="127">
        <v>45422</v>
      </c>
      <c r="H1536" s="123" t="s">
        <v>1452</v>
      </c>
      <c r="I1536" s="127">
        <v>45413</v>
      </c>
      <c r="J1536" s="124" t="s">
        <v>1877</v>
      </c>
      <c r="K1536" s="124" t="s">
        <v>1530</v>
      </c>
      <c r="L1536" s="124" t="s">
        <v>1533</v>
      </c>
      <c r="M1536" s="125">
        <v>4435417</v>
      </c>
      <c r="N1536" s="148">
        <v>752248</v>
      </c>
      <c r="O1536" s="148">
        <f>+'Palabra que no opera y Listas d'!$D$2</f>
        <v>0</v>
      </c>
      <c r="P1536" s="149">
        <f>+IF(PROVEEDORES[[#This Row],[SUBTOTAL]]&lt;PROVEEDORES[[#This Row],[base retencion]],0,PROVEEDORES[[#This Row],[retención aplicada]])</f>
        <v>3.5000000000000003E-2</v>
      </c>
      <c r="Q1536" s="148">
        <v>138572</v>
      </c>
      <c r="R1536" s="150">
        <f>+PROVEEDORES[[#This Row],[SUBTOTAL]]+PROVEEDORES[[#This Row],[IVA 19%]]-PROVEEDORES[[#This Row],[Descuento
$]]-PROVEEDORES[[#This Row],[ReteFuente
$]]</f>
        <v>5049093</v>
      </c>
      <c r="S15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6" s="135">
        <f ca="1">+IF(PROVEEDORES[[#This Row],[FECHA DE PAGO]]=0,TODAY()-PROVEEDORES[[#This Row],[FECHA DE FACTURACIÓN]]-PROVEEDORES[[#This Row],[PLAZO Días]],0)</f>
        <v>0</v>
      </c>
      <c r="U1536" s="135" t="str">
        <f>+VLOOKUP(PROVEEDORES[[#This Row],[PROVEEDOR]],Terceros!$A:$D,4,FALSE)</f>
        <v>3,5% sin base</v>
      </c>
      <c r="V1536" s="135">
        <f>+YEAR(PROVEEDORES[[#This Row],[FECHA DE FACTURACIÓN]])</f>
        <v>2024</v>
      </c>
      <c r="W1536" s="135">
        <f>+MATCH(PROVEEDORES[[#This Row],[año facturado]],Retenciones!$1:$1,0)</f>
        <v>7</v>
      </c>
      <c r="X1536" s="136">
        <f>+VLOOKUP(PROVEEDORES[[#This Row],[ID RETENCION]],Retenciones!$A$1:$O$25,PROVEEDORES[[#This Row],[indicador de columna]],FALSE)</f>
        <v>0</v>
      </c>
      <c r="Y1536" s="137">
        <f>+VLOOKUP(PROVEEDORES[[#This Row],[ID RETENCION]],Retenciones!$A$1:$O$25,2,FALSE)</f>
        <v>3.5000000000000003E-2</v>
      </c>
      <c r="Z1536" s="126" t="b">
        <f>+OR(COUNTIF(PROVEEDORES[[#This Row],[PROVEEDOR]],"*"&amp;'Palabra que no opera y Listas d'!$A$2&amp;"*"))</f>
        <v>1</v>
      </c>
    </row>
    <row r="1537" spans="1:26" ht="27.75" customHeight="1" x14ac:dyDescent="0.25">
      <c r="A1537" s="141" t="str">
        <f>+IF(PROVEEDORES[[#This Row],[FECHA DE PAGO]]=PROVEEDORES[[#This Row],[FECHA DE FACTURACIÓN]],"DE CONTADO","CRÉDITO")</f>
        <v>CRÉDITO</v>
      </c>
      <c r="B1537" s="138" t="b">
        <f>+IF((PROVEEDORES[[#This Row],[FECHA DE PAGO]]-PROVEEDORES[[#This Row],[FECHA DE FACTURACIÓN]])&gt;PROVEEDORES[[#This Row],[PLAZO Días]],"PAGO VENCIDO")</f>
        <v>0</v>
      </c>
      <c r="C1537" s="138">
        <f>+VLOOKUP(PROVEEDORES[[#This Row],[PROVEEDOR]],TERCEROS_INFO[#All],2,FALSE)</f>
        <v>10</v>
      </c>
      <c r="D1537" s="139">
        <f>+SUMIFS(PROVEEDORES[Total],PROVEEDORES[PROVEEDOR],PROVEEDORES[[#This Row],[PROVEEDOR]],PROVEEDORES[FECHA DE PAGO],"")</f>
        <v>0</v>
      </c>
      <c r="E1537" s="140"/>
      <c r="F1537" s="138" t="str">
        <f>+VLOOKUP(PROVEEDORES[[#This Row],[PROVEEDOR]],
                       Terceros!$A:$F,
                       5,
                       FALSE)</f>
        <v>arrendamientos@vyp.com.co;girlesa.ruiz@servipilas.com;joriescobar64@gmail.com</v>
      </c>
      <c r="G1537" s="127">
        <v>45423</v>
      </c>
      <c r="H1537" s="123" t="s">
        <v>482</v>
      </c>
      <c r="I1537" s="127">
        <v>45413</v>
      </c>
      <c r="J1537" s="124" t="s">
        <v>1874</v>
      </c>
      <c r="K1537" s="124" t="s">
        <v>1530</v>
      </c>
      <c r="L1537" s="124" t="s">
        <v>1533</v>
      </c>
      <c r="M1537" s="125">
        <v>5847109</v>
      </c>
      <c r="N1537" s="148">
        <f>+(PROVEEDORES[[#This Row],[SUBTOTAL]])*VLOOKUP(PROVEEDORES[[#This Row],[PROVEEDOR]],TERCEROS_INFO[#All],3,FALSE)</f>
        <v>1110950.71</v>
      </c>
      <c r="O1537" s="148">
        <f>+'Palabra que no opera y Listas d'!$D$2</f>
        <v>0</v>
      </c>
      <c r="P1537" s="149">
        <f>+IF(PROVEEDORES[[#This Row],[SUBTOTAL]]&lt;PROVEEDORES[[#This Row],[base retencion]],0,PROVEEDORES[[#This Row],[retención aplicada]])</f>
        <v>0</v>
      </c>
      <c r="Q1537" s="148">
        <f>+PROVEEDORES[[#This Row],[ReteFuente
%]]*(PROVEEDORES[[#This Row],[SUBTOTAL]])</f>
        <v>0</v>
      </c>
      <c r="R1537" s="150">
        <f>+PROVEEDORES[[#This Row],[SUBTOTAL]]+PROVEEDORES[[#This Row],[IVA 19%]]-PROVEEDORES[[#This Row],[Descuento
$]]-PROVEEDORES[[#This Row],[ReteFuente
$]]</f>
        <v>6958059.71</v>
      </c>
      <c r="S15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7" s="135">
        <f ca="1">+IF(PROVEEDORES[[#This Row],[FECHA DE PAGO]]=0,TODAY()-PROVEEDORES[[#This Row],[FECHA DE FACTURACIÓN]]-PROVEEDORES[[#This Row],[PLAZO Días]],0)</f>
        <v>0</v>
      </c>
      <c r="U1537" s="135">
        <f>+VLOOKUP(PROVEEDORES[[#This Row],[PROVEEDOR]],Terceros!$A:$D,4,FALSE)</f>
        <v>0</v>
      </c>
      <c r="V1537" s="135">
        <f>+YEAR(PROVEEDORES[[#This Row],[FECHA DE FACTURACIÓN]])</f>
        <v>2024</v>
      </c>
      <c r="W1537" s="135">
        <f>+MATCH(PROVEEDORES[[#This Row],[año facturado]],Retenciones!$1:$1,0)</f>
        <v>7</v>
      </c>
      <c r="X1537" s="136">
        <f>+VLOOKUP(PROVEEDORES[[#This Row],[ID RETENCION]],Retenciones!$A$1:$O$25,PROVEEDORES[[#This Row],[indicador de columna]],FALSE)</f>
        <v>0</v>
      </c>
      <c r="Y1537" s="137">
        <f>+VLOOKUP(PROVEEDORES[[#This Row],[ID RETENCION]],Retenciones!$A$1:$O$25,2,FALSE)</f>
        <v>0</v>
      </c>
      <c r="Z1537" s="126" t="b">
        <f>+OR(COUNTIF(PROVEEDORES[[#This Row],[PROVEEDOR]],"*"&amp;'Palabra que no opera y Listas d'!$A$2&amp;"*"))</f>
        <v>1</v>
      </c>
    </row>
    <row r="1538" spans="1:26" ht="27.75" customHeight="1" x14ac:dyDescent="0.25">
      <c r="A1538" s="141" t="str">
        <f>+IF(PROVEEDORES[[#This Row],[FECHA DE PAGO]]=PROVEEDORES[[#This Row],[FECHA DE FACTURACIÓN]],"DE CONTADO","CRÉDITO")</f>
        <v>CRÉDITO</v>
      </c>
      <c r="B1538" s="138" t="str">
        <f>+IF((PROVEEDORES[[#This Row],[FECHA DE PAGO]]-PROVEEDORES[[#This Row],[FECHA DE FACTURACIÓN]])&gt;PROVEEDORES[[#This Row],[PLAZO Días]],"PAGO VENCIDO")</f>
        <v>PAGO VENCIDO</v>
      </c>
      <c r="C1538" s="138">
        <f>+VLOOKUP(PROVEEDORES[[#This Row],[PROVEEDOR]],TERCEROS_INFO[#All],2,FALSE)</f>
        <v>30</v>
      </c>
      <c r="D1538" s="139">
        <f>+SUMIFS(PROVEEDORES[Total],PROVEEDORES[PROVEEDOR],PROVEEDORES[[#This Row],[PROVEEDOR]],PROVEEDORES[FECHA DE PAGO],"")</f>
        <v>0</v>
      </c>
      <c r="E1538" s="140"/>
      <c r="F1538" s="138" t="str">
        <f>+VLOOKUP(PROVEEDORES[[#This Row],[PROVEEDOR]],
                       Terceros!$A:$F,
                       5,
                       FALSE)</f>
        <v>memoriasoriginales@gmail.com;girlesa.ruiz@servipilas.com;joriescobar64@gmail.com</v>
      </c>
      <c r="G1538" s="203">
        <v>45443</v>
      </c>
      <c r="H1538" s="204" t="s">
        <v>411</v>
      </c>
      <c r="I1538" s="203">
        <v>45407</v>
      </c>
      <c r="J1538" s="205" t="s">
        <v>1780</v>
      </c>
      <c r="K1538" s="205" t="s">
        <v>1530</v>
      </c>
      <c r="L1538" s="205" t="s">
        <v>1534</v>
      </c>
      <c r="M1538" s="206">
        <v>1540000</v>
      </c>
      <c r="N1538" s="207">
        <v>292600</v>
      </c>
      <c r="O1538" s="207">
        <v>0</v>
      </c>
      <c r="P1538" s="208">
        <v>2.5000000000000001E-2</v>
      </c>
      <c r="Q1538" s="207">
        <v>38500</v>
      </c>
      <c r="R1538" s="206">
        <v>1794100</v>
      </c>
      <c r="S153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8" s="135">
        <f ca="1">+IF(PROVEEDORES[[#This Row],[FECHA DE PAGO]]=0,TODAY()-PROVEEDORES[[#This Row],[FECHA DE FACTURACIÓN]]-PROVEEDORES[[#This Row],[PLAZO Días]],0)</f>
        <v>0</v>
      </c>
      <c r="U1538" s="135" t="str">
        <f>+VLOOKUP(PROVEEDORES[[#This Row],[PROVEEDOR]],Terceros!$A:$D,4,FALSE)</f>
        <v>2,5% con base</v>
      </c>
      <c r="V1538" s="135">
        <f>+YEAR(PROVEEDORES[[#This Row],[FECHA DE FACTURACIÓN]])</f>
        <v>2024</v>
      </c>
      <c r="W1538" s="135">
        <f>+MATCH(PROVEEDORES[[#This Row],[año facturado]],Retenciones!$1:$1,0)</f>
        <v>7</v>
      </c>
      <c r="X1538" s="136">
        <f>+VLOOKUP(PROVEEDORES[[#This Row],[ID RETENCION]],Retenciones!$A$1:$O$25,PROVEEDORES[[#This Row],[indicador de columna]],FALSE)</f>
        <v>1271000</v>
      </c>
      <c r="Y1538" s="137">
        <f>+VLOOKUP(PROVEEDORES[[#This Row],[ID RETENCION]],Retenciones!$A$1:$O$25,2,FALSE)</f>
        <v>2.5000000000000001E-2</v>
      </c>
      <c r="Z1538" s="126" t="b">
        <f>+OR(COUNTIF(PROVEEDORES[[#This Row],[PROVEEDOR]],"*"&amp;'Palabra que no opera y Listas d'!$A$2&amp;"*"))</f>
        <v>0</v>
      </c>
    </row>
    <row r="1539" spans="1:26" ht="27.75" customHeight="1" x14ac:dyDescent="0.25">
      <c r="A1539" s="141" t="str">
        <f>+IF(PROVEEDORES[[#This Row],[FECHA DE PAGO]]=PROVEEDORES[[#This Row],[FECHA DE FACTURACIÓN]],"DE CONTADO","CRÉDITO")</f>
        <v>CRÉDITO</v>
      </c>
      <c r="B1539" s="138" t="str">
        <f>+IF((PROVEEDORES[[#This Row],[FECHA DE PAGO]]-PROVEEDORES[[#This Row],[FECHA DE FACTURACIÓN]])&gt;PROVEEDORES[[#This Row],[PLAZO Días]],"PAGO VENCIDO")</f>
        <v>PAGO VENCIDO</v>
      </c>
      <c r="C1539" s="138">
        <f>+VLOOKUP(PROVEEDORES[[#This Row],[PROVEEDOR]],TERCEROS_INFO[#All],2,FALSE)</f>
        <v>30</v>
      </c>
      <c r="D1539" s="139">
        <f>+SUMIFS(PROVEEDORES[Total],PROVEEDORES[PROVEEDOR],PROVEEDORES[[#This Row],[PROVEEDOR]],PROVEEDORES[FECHA DE PAGO],"")</f>
        <v>0</v>
      </c>
      <c r="E1539" s="140"/>
      <c r="F1539" s="138" t="str">
        <f>+VLOOKUP(PROVEEDORES[[#This Row],[PROVEEDOR]],
                       Terceros!$A:$F,
                       5,
                       FALSE)</f>
        <v/>
      </c>
      <c r="G1539" s="127">
        <v>45439</v>
      </c>
      <c r="H1539" s="123" t="s">
        <v>1829</v>
      </c>
      <c r="I1539" s="127">
        <v>45345</v>
      </c>
      <c r="J1539" s="124" t="s">
        <v>1897</v>
      </c>
      <c r="K1539" s="124" t="s">
        <v>1530</v>
      </c>
      <c r="L1539" s="124" t="s">
        <v>1395</v>
      </c>
      <c r="M1539" s="125">
        <v>8291500</v>
      </c>
      <c r="N1539" s="148">
        <f>+(PROVEEDORES[[#This Row],[SUBTOTAL]])*VLOOKUP(PROVEEDORES[[#This Row],[PROVEEDOR]],TERCEROS_INFO[#All],3,FALSE)</f>
        <v>0</v>
      </c>
      <c r="O1539" s="148">
        <f>+'Palabra que no opera y Listas d'!$D$2</f>
        <v>0</v>
      </c>
      <c r="P1539" s="149">
        <f>+IF(PROVEEDORES[[#This Row],[SUBTOTAL]]&lt;PROVEEDORES[[#This Row],[base retencion]],0,PROVEEDORES[[#This Row],[retención aplicada]])</f>
        <v>0</v>
      </c>
      <c r="Q1539" s="148">
        <f>+PROVEEDORES[[#This Row],[ReteFuente
%]]*(PROVEEDORES[[#This Row],[SUBTOTAL]])</f>
        <v>0</v>
      </c>
      <c r="R1539" s="150">
        <f>+PROVEEDORES[[#This Row],[SUBTOTAL]]+PROVEEDORES[[#This Row],[IVA 19%]]-PROVEEDORES[[#This Row],[Descuento
$]]-PROVEEDORES[[#This Row],[ReteFuente
$]]</f>
        <v>8291500</v>
      </c>
      <c r="S153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39" s="135">
        <f ca="1">+IF(PROVEEDORES[[#This Row],[FECHA DE PAGO]]=0,TODAY()-PROVEEDORES[[#This Row],[FECHA DE FACTURACIÓN]]-PROVEEDORES[[#This Row],[PLAZO Días]],0)</f>
        <v>0</v>
      </c>
      <c r="U1539" s="135">
        <f>+VLOOKUP(PROVEEDORES[[#This Row],[PROVEEDOR]],Terceros!$A:$D,4,FALSE)</f>
        <v>0</v>
      </c>
      <c r="V1539" s="135">
        <f>+YEAR(PROVEEDORES[[#This Row],[FECHA DE FACTURACIÓN]])</f>
        <v>2024</v>
      </c>
      <c r="W1539" s="135">
        <f>+MATCH(PROVEEDORES[[#This Row],[año facturado]],Retenciones!$1:$1,0)</f>
        <v>7</v>
      </c>
      <c r="X1539" s="136">
        <f>+VLOOKUP(PROVEEDORES[[#This Row],[ID RETENCION]],Retenciones!$A$1:$O$25,PROVEEDORES[[#This Row],[indicador de columna]],FALSE)</f>
        <v>0</v>
      </c>
      <c r="Y1539" s="137">
        <f>+VLOOKUP(PROVEEDORES[[#This Row],[ID RETENCION]],Retenciones!$A$1:$O$25,2,FALSE)</f>
        <v>0</v>
      </c>
      <c r="Z1539" s="126" t="b">
        <f>+OR(COUNTIF(PROVEEDORES[[#This Row],[PROVEEDOR]],"*"&amp;'Palabra que no opera y Listas d'!$A$2&amp;"*"))</f>
        <v>0</v>
      </c>
    </row>
    <row r="1540" spans="1:26" ht="27.75" customHeight="1" x14ac:dyDescent="0.25">
      <c r="A1540" s="141" t="str">
        <f>+IF(PROVEEDORES[[#This Row],[FECHA DE PAGO]]=PROVEEDORES[[#This Row],[FECHA DE FACTURACIÓN]],"DE CONTADO","CRÉDITO")</f>
        <v>CRÉDITO</v>
      </c>
      <c r="B1540" s="138" t="e">
        <f>+IF((PROVEEDORES[[#This Row],[FECHA DE PAGO]]-PROVEEDORES[[#This Row],[FECHA DE FACTURACIÓN]])&gt;PROVEEDORES[[#This Row],[PLAZO Días]],"PAGO VENCIDO")</f>
        <v>#N/A</v>
      </c>
      <c r="C1540" s="138" t="e">
        <f>+VLOOKUP(PROVEEDORES[[#This Row],[PROVEEDOR]],TERCEROS_INFO[#All],2,FALSE)</f>
        <v>#N/A</v>
      </c>
      <c r="D1540" s="139">
        <f>+SUMIFS(PROVEEDORES[Total],PROVEEDORES[PROVEEDOR],PROVEEDORES[[#This Row],[PROVEEDOR]],PROVEEDORES[FECHA DE PAGO],"")</f>
        <v>560900</v>
      </c>
      <c r="E1540" s="140"/>
      <c r="F1540" s="138" t="e">
        <f>+VLOOKUP(PROVEEDORES[[#This Row],[PROVEEDOR]],
                       Terceros!$A:$F,
                       5,
                       FALSE)</f>
        <v>#N/A</v>
      </c>
      <c r="G1540" s="127"/>
      <c r="H1540" s="123" t="s">
        <v>1887</v>
      </c>
      <c r="I1540" s="127">
        <v>45399</v>
      </c>
      <c r="J1540" s="124" t="s">
        <v>1786</v>
      </c>
      <c r="K1540" s="124" t="s">
        <v>1530</v>
      </c>
      <c r="L1540" s="124"/>
      <c r="M1540" s="125">
        <v>560900</v>
      </c>
      <c r="N1540" s="148">
        <v>0</v>
      </c>
      <c r="O1540" s="148">
        <v>0</v>
      </c>
      <c r="P1540" s="149">
        <v>0</v>
      </c>
      <c r="Q1540" s="148">
        <v>0</v>
      </c>
      <c r="R1540" s="150">
        <v>560900</v>
      </c>
      <c r="S1540" s="135" t="e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#N/A</v>
      </c>
      <c r="T1540" s="135" t="e">
        <f ca="1">+IF(PROVEEDORES[[#This Row],[FECHA DE PAGO]]=0,TODAY()-PROVEEDORES[[#This Row],[FECHA DE FACTURACIÓN]]-PROVEEDORES[[#This Row],[PLAZO Días]],0)</f>
        <v>#N/A</v>
      </c>
      <c r="U1540" s="135" t="e">
        <f>+VLOOKUP(PROVEEDORES[[#This Row],[PROVEEDOR]],Terceros!$A:$D,4,FALSE)</f>
        <v>#N/A</v>
      </c>
      <c r="V1540" s="135">
        <f>+YEAR(PROVEEDORES[[#This Row],[FECHA DE FACTURACIÓN]])</f>
        <v>2024</v>
      </c>
      <c r="W1540" s="135">
        <f>+MATCH(PROVEEDORES[[#This Row],[año facturado]],Retenciones!$1:$1,0)</f>
        <v>7</v>
      </c>
      <c r="X1540" s="136" t="e">
        <f>+VLOOKUP(PROVEEDORES[[#This Row],[ID RETENCION]],Retenciones!$A$1:$O$25,PROVEEDORES[[#This Row],[indicador de columna]],FALSE)</f>
        <v>#N/A</v>
      </c>
      <c r="Y1540" s="137" t="e">
        <f>+VLOOKUP(PROVEEDORES[[#This Row],[ID RETENCION]],Retenciones!$A$1:$O$25,2,FALSE)</f>
        <v>#N/A</v>
      </c>
      <c r="Z1540" s="126" t="b">
        <f>+OR(COUNTIF(PROVEEDORES[[#This Row],[PROVEEDOR]],"*"&amp;'Palabra que no opera y Listas d'!$A$2&amp;"*"))</f>
        <v>0</v>
      </c>
    </row>
    <row r="1541" spans="1:26" ht="27.75" customHeight="1" x14ac:dyDescent="0.25">
      <c r="A1541" s="141" t="str">
        <f>+IF(PROVEEDORES[[#This Row],[FECHA DE PAGO]]=PROVEEDORES[[#This Row],[FECHA DE FACTURACIÓN]],"DE CONTADO","CRÉDITO")</f>
        <v>CRÉDITO</v>
      </c>
      <c r="B1541" s="138" t="b">
        <f>+IF((PROVEEDORES[[#This Row],[FECHA DE PAGO]]-PROVEEDORES[[#This Row],[FECHA DE FACTURACIÓN]])&gt;PROVEEDORES[[#This Row],[PLAZO Días]],"PAGO VENCIDO")</f>
        <v>0</v>
      </c>
      <c r="C1541" s="138">
        <f>+VLOOKUP(PROVEEDORES[[#This Row],[PROVEEDOR]],TERCEROS_INFO[#All],2,FALSE)</f>
        <v>30</v>
      </c>
      <c r="D1541" s="139">
        <f>+SUMIFS(PROVEEDORES[Total],PROVEEDORES[PROVEEDOR],PROVEEDORES[[#This Row],[PROVEEDOR]],PROVEEDORES[FECHA DE PAGO],"")</f>
        <v>1350000</v>
      </c>
      <c r="E1541" s="140"/>
      <c r="F1541" s="138" t="str">
        <f>+VLOOKUP(PROVEEDORES[[#This Row],[PROVEEDOR]],
                       Terceros!$A:$F,
                       5,
                       FALSE)</f>
        <v/>
      </c>
      <c r="G1541" s="127">
        <v>45414</v>
      </c>
      <c r="H1541" s="123" t="s">
        <v>1807</v>
      </c>
      <c r="I1541" s="127">
        <v>45395</v>
      </c>
      <c r="J1541" s="124" t="s">
        <v>1748</v>
      </c>
      <c r="K1541" s="124" t="s">
        <v>1530</v>
      </c>
      <c r="L1541" s="124" t="s">
        <v>1395</v>
      </c>
      <c r="M1541" s="125">
        <v>550000</v>
      </c>
      <c r="N1541" s="148">
        <v>0</v>
      </c>
      <c r="O1541" s="148">
        <v>0</v>
      </c>
      <c r="P1541" s="149">
        <v>0</v>
      </c>
      <c r="Q1541" s="148">
        <v>0</v>
      </c>
      <c r="R1541" s="150">
        <v>550000</v>
      </c>
      <c r="S154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1" s="135">
        <f ca="1">+IF(PROVEEDORES[[#This Row],[FECHA DE PAGO]]=0,TODAY()-PROVEEDORES[[#This Row],[FECHA DE FACTURACIÓN]]-PROVEEDORES[[#This Row],[PLAZO Días]],0)</f>
        <v>0</v>
      </c>
      <c r="U1541" s="135">
        <f>+VLOOKUP(PROVEEDORES[[#This Row],[PROVEEDOR]],Terceros!$A:$D,4,FALSE)</f>
        <v>0</v>
      </c>
      <c r="V1541" s="135">
        <f>+YEAR(PROVEEDORES[[#This Row],[FECHA DE FACTURACIÓN]])</f>
        <v>2024</v>
      </c>
      <c r="W1541" s="135">
        <f>+MATCH(PROVEEDORES[[#This Row],[año facturado]],Retenciones!$1:$1,0)</f>
        <v>7</v>
      </c>
      <c r="X1541" s="136">
        <f>+VLOOKUP(PROVEEDORES[[#This Row],[ID RETENCION]],Retenciones!$A$1:$O$25,PROVEEDORES[[#This Row],[indicador de columna]],FALSE)</f>
        <v>0</v>
      </c>
      <c r="Y1541" s="137">
        <f>+VLOOKUP(PROVEEDORES[[#This Row],[ID RETENCION]],Retenciones!$A$1:$O$25,2,FALSE)</f>
        <v>0</v>
      </c>
      <c r="Z1541" s="126" t="b">
        <f>+OR(COUNTIF(PROVEEDORES[[#This Row],[PROVEEDOR]],"*"&amp;'Palabra que no opera y Listas d'!$A$2&amp;"*"))</f>
        <v>0</v>
      </c>
    </row>
    <row r="1542" spans="1:26" ht="27.75" customHeight="1" x14ac:dyDescent="0.25">
      <c r="A1542" s="141" t="str">
        <f>+IF(PROVEEDORES[[#This Row],[FECHA DE PAGO]]=PROVEEDORES[[#This Row],[FECHA DE FACTURACIÓN]],"DE CONTADO","CRÉDITO")</f>
        <v>CRÉDITO</v>
      </c>
      <c r="B1542" s="138" t="b">
        <f>+IF((PROVEEDORES[[#This Row],[FECHA DE PAGO]]-PROVEEDORES[[#This Row],[FECHA DE FACTURACIÓN]])&gt;PROVEEDORES[[#This Row],[PLAZO Días]],"PAGO VENCIDO")</f>
        <v>0</v>
      </c>
      <c r="C1542" s="138">
        <f>+VLOOKUP(PROVEEDORES[[#This Row],[PROVEEDOR]],TERCEROS_INFO[#All],2,FALSE)</f>
        <v>30</v>
      </c>
      <c r="D1542" s="139">
        <f>+SUMIFS(PROVEEDORES[Total],PROVEEDORES[PROVEEDOR],PROVEEDORES[[#This Row],[PROVEEDOR]],PROVEEDORES[FECHA DE PAGO],"")</f>
        <v>0</v>
      </c>
      <c r="E1542" s="140"/>
      <c r="F1542" s="138">
        <f>+VLOOKUP(PROVEEDORES[[#This Row],[PROVEEDOR]],
                       Terceros!$A:$F,
                       5,
                       FALSE)</f>
        <v>0</v>
      </c>
      <c r="G1542" s="127">
        <v>45434</v>
      </c>
      <c r="H1542" s="123" t="s">
        <v>1832</v>
      </c>
      <c r="I1542" s="127">
        <v>45407</v>
      </c>
      <c r="J1542" s="124" t="s">
        <v>1770</v>
      </c>
      <c r="K1542" s="124" t="s">
        <v>1530</v>
      </c>
      <c r="L1542" s="124" t="s">
        <v>1395</v>
      </c>
      <c r="M1542" s="125">
        <v>1775000</v>
      </c>
      <c r="N1542" s="148">
        <v>0</v>
      </c>
      <c r="O1542" s="148">
        <v>0</v>
      </c>
      <c r="P1542" s="149">
        <v>0</v>
      </c>
      <c r="Q1542" s="148">
        <v>0</v>
      </c>
      <c r="R1542" s="150">
        <v>1775000</v>
      </c>
      <c r="S154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2" s="135">
        <f ca="1">+IF(PROVEEDORES[[#This Row],[FECHA DE PAGO]]=0,TODAY()-PROVEEDORES[[#This Row],[FECHA DE FACTURACIÓN]]-PROVEEDORES[[#This Row],[PLAZO Días]],0)</f>
        <v>0</v>
      </c>
      <c r="U1542" s="135">
        <f>+VLOOKUP(PROVEEDORES[[#This Row],[PROVEEDOR]],Terceros!$A:$D,4,FALSE)</f>
        <v>0</v>
      </c>
      <c r="V1542" s="135">
        <f>+YEAR(PROVEEDORES[[#This Row],[FECHA DE FACTURACIÓN]])</f>
        <v>2024</v>
      </c>
      <c r="W1542" s="135">
        <f>+MATCH(PROVEEDORES[[#This Row],[año facturado]],Retenciones!$1:$1,0)</f>
        <v>7</v>
      </c>
      <c r="X1542" s="136">
        <f>+VLOOKUP(PROVEEDORES[[#This Row],[ID RETENCION]],Retenciones!$A$1:$O$25,PROVEEDORES[[#This Row],[indicador de columna]],FALSE)</f>
        <v>0</v>
      </c>
      <c r="Y1542" s="137">
        <f>+VLOOKUP(PROVEEDORES[[#This Row],[ID RETENCION]],Retenciones!$A$1:$O$25,2,FALSE)</f>
        <v>0</v>
      </c>
      <c r="Z1542" s="126" t="b">
        <f>+OR(COUNTIF(PROVEEDORES[[#This Row],[PROVEEDOR]],"*"&amp;'Palabra que no opera y Listas d'!$A$2&amp;"*"))</f>
        <v>0</v>
      </c>
    </row>
    <row r="1543" spans="1:26" ht="27.75" customHeight="1" x14ac:dyDescent="0.25">
      <c r="A1543" s="141" t="str">
        <f>+IF(PROVEEDORES[[#This Row],[FECHA DE PAGO]]=PROVEEDORES[[#This Row],[FECHA DE FACTURACIÓN]],"DE CONTADO","CRÉDITO")</f>
        <v>CRÉDITO</v>
      </c>
      <c r="B1543" s="138" t="b">
        <f>+IF((PROVEEDORES[[#This Row],[FECHA DE PAGO]]-PROVEEDORES[[#This Row],[FECHA DE FACTURACIÓN]])&gt;PROVEEDORES[[#This Row],[PLAZO Días]],"PAGO VENCIDO")</f>
        <v>0</v>
      </c>
      <c r="C1543" s="138">
        <f>+VLOOKUP(PROVEEDORES[[#This Row],[PROVEEDOR]],TERCEROS_INFO[#All],2,FALSE)</f>
        <v>30</v>
      </c>
      <c r="D1543" s="139">
        <f>+SUMIFS(PROVEEDORES[Total],PROVEEDORES[PROVEEDOR],PROVEEDORES[[#This Row],[PROVEEDOR]],PROVEEDORES[FECHA DE PAGO],"")</f>
        <v>31461</v>
      </c>
      <c r="E1543" s="140"/>
      <c r="F1543" s="138" t="str">
        <f>+VLOOKUP(PROVEEDORES[[#This Row],[PROVEEDOR]],
                       Terceros!$A:$F,
                       5,
                       FALSE)</f>
        <v>soluenergiacentro@une.net.co;girlesa.ruiz@servipilas.com;joriescobar64@gmail.com</v>
      </c>
      <c r="G1543" s="127"/>
      <c r="H1543" s="123" t="s">
        <v>1830</v>
      </c>
      <c r="I1543" s="127">
        <v>45395</v>
      </c>
      <c r="J1543" s="124" t="s">
        <v>1749</v>
      </c>
      <c r="K1543" s="124" t="s">
        <v>504</v>
      </c>
      <c r="L1543" s="124"/>
      <c r="M1543" s="125">
        <v>31461</v>
      </c>
      <c r="N1543" s="148">
        <v>0</v>
      </c>
      <c r="O1543" s="148">
        <v>0</v>
      </c>
      <c r="P1543" s="149">
        <v>0</v>
      </c>
      <c r="Q1543" s="148">
        <v>0</v>
      </c>
      <c r="R1543" s="150">
        <v>31461</v>
      </c>
      <c r="S1543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3" s="135">
        <f ca="1">+IF(PROVEEDORES[[#This Row],[FECHA DE PAGO]]=0,TODAY()-PROVEEDORES[[#This Row],[FECHA DE FACTURACIÓN]]-PROVEEDORES[[#This Row],[PLAZO Días]],0)</f>
        <v>22</v>
      </c>
      <c r="U1543" s="135">
        <f>+VLOOKUP(PROVEEDORES[[#This Row],[PROVEEDOR]],Terceros!$A:$D,4,FALSE)</f>
        <v>0</v>
      </c>
      <c r="V1543" s="135">
        <f>+YEAR(PROVEEDORES[[#This Row],[FECHA DE FACTURACIÓN]])</f>
        <v>2024</v>
      </c>
      <c r="W1543" s="135">
        <f>+MATCH(PROVEEDORES[[#This Row],[año facturado]],Retenciones!$1:$1,0)</f>
        <v>7</v>
      </c>
      <c r="X1543" s="136">
        <f>+VLOOKUP(PROVEEDORES[[#This Row],[ID RETENCION]],Retenciones!$A$1:$O$25,PROVEEDORES[[#This Row],[indicador de columna]],FALSE)</f>
        <v>0</v>
      </c>
      <c r="Y1543" s="137">
        <f>+VLOOKUP(PROVEEDORES[[#This Row],[ID RETENCION]],Retenciones!$A$1:$O$25,2,FALSE)</f>
        <v>0</v>
      </c>
      <c r="Z1543" s="126" t="b">
        <f>+OR(COUNTIF(PROVEEDORES[[#This Row],[PROVEEDOR]],"*"&amp;'Palabra que no opera y Listas d'!$A$2&amp;"*"))</f>
        <v>0</v>
      </c>
    </row>
    <row r="1544" spans="1:26" ht="27.75" customHeight="1" x14ac:dyDescent="0.25">
      <c r="A1544" s="141" t="str">
        <f>+IF(PROVEEDORES[[#This Row],[FECHA DE PAGO]]=PROVEEDORES[[#This Row],[FECHA DE FACTURACIÓN]],"DE CONTADO","CRÉDITO")</f>
        <v>CRÉDITO</v>
      </c>
      <c r="B1544" s="138" t="b">
        <f>+IF((PROVEEDORES[[#This Row],[FECHA DE PAGO]]-PROVEEDORES[[#This Row],[FECHA DE FACTURACIÓN]])&gt;PROVEEDORES[[#This Row],[PLAZO Días]],"PAGO VENCIDO")</f>
        <v>0</v>
      </c>
      <c r="C1544" s="138">
        <f>+VLOOKUP(PROVEEDORES[[#This Row],[PROVEEDOR]],TERCEROS_INFO[#All],2,FALSE)</f>
        <v>30</v>
      </c>
      <c r="D1544" s="139">
        <f>+SUMIFS(PROVEEDORES[Total],PROVEEDORES[PROVEEDOR],PROVEEDORES[[#This Row],[PROVEEDOR]],PROVEEDORES[FECHA DE PAGO],"")</f>
        <v>2095000</v>
      </c>
      <c r="E1544" s="140"/>
      <c r="F1544" s="138" t="str">
        <f>+VLOOKUP(PROVEEDORES[[#This Row],[PROVEEDOR]],
                       Terceros!$A:$F,
                       5,
                       FALSE)</f>
        <v>globalpowerc2018@gmail.com;girlesa.ruiz@servipilas.com;joriescobar64@gmail.com</v>
      </c>
      <c r="G1544" s="127"/>
      <c r="H1544" s="123" t="s">
        <v>1804</v>
      </c>
      <c r="I1544" s="127">
        <v>45405</v>
      </c>
      <c r="J1544" s="124" t="s">
        <v>1784</v>
      </c>
      <c r="K1544" s="124" t="s">
        <v>1530</v>
      </c>
      <c r="L1544" s="124"/>
      <c r="M1544" s="125">
        <v>2095000</v>
      </c>
      <c r="N1544" s="148">
        <v>0</v>
      </c>
      <c r="O1544" s="148">
        <v>0</v>
      </c>
      <c r="P1544" s="149">
        <v>0</v>
      </c>
      <c r="Q1544" s="148">
        <v>0</v>
      </c>
      <c r="R1544" s="150">
        <v>2095000</v>
      </c>
      <c r="S1544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4" s="135">
        <f ca="1">+IF(PROVEEDORES[[#This Row],[FECHA DE PAGO]]=0,TODAY()-PROVEEDORES[[#This Row],[FECHA DE FACTURACIÓN]]-PROVEEDORES[[#This Row],[PLAZO Días]],0)</f>
        <v>12</v>
      </c>
      <c r="U1544" s="135">
        <f>+VLOOKUP(PROVEEDORES[[#This Row],[PROVEEDOR]],Terceros!$A:$D,4,FALSE)</f>
        <v>0</v>
      </c>
      <c r="V1544" s="135">
        <f>+YEAR(PROVEEDORES[[#This Row],[FECHA DE FACTURACIÓN]])</f>
        <v>2024</v>
      </c>
      <c r="W1544" s="135">
        <f>+MATCH(PROVEEDORES[[#This Row],[año facturado]],Retenciones!$1:$1,0)</f>
        <v>7</v>
      </c>
      <c r="X1544" s="136">
        <f>+VLOOKUP(PROVEEDORES[[#This Row],[ID RETENCION]],Retenciones!$A$1:$O$25,PROVEEDORES[[#This Row],[indicador de columna]],FALSE)</f>
        <v>0</v>
      </c>
      <c r="Y1544" s="137">
        <f>+VLOOKUP(PROVEEDORES[[#This Row],[ID RETENCION]],Retenciones!$A$1:$O$25,2,FALSE)</f>
        <v>0</v>
      </c>
      <c r="Z1544" s="126" t="b">
        <f>+OR(COUNTIF(PROVEEDORES[[#This Row],[PROVEEDOR]],"*"&amp;'Palabra que no opera y Listas d'!$A$2&amp;"*"))</f>
        <v>0</v>
      </c>
    </row>
    <row r="1545" spans="1:26" ht="27.75" customHeight="1" x14ac:dyDescent="0.25">
      <c r="A1545" s="141" t="str">
        <f>+IF(PROVEEDORES[[#This Row],[FECHA DE PAGO]]=PROVEEDORES[[#This Row],[FECHA DE FACTURACIÓN]],"DE CONTADO","CRÉDITO")</f>
        <v>CRÉDITO</v>
      </c>
      <c r="B1545" s="138" t="b">
        <f>+IF((PROVEEDORES[[#This Row],[FECHA DE PAGO]]-PROVEEDORES[[#This Row],[FECHA DE FACTURACIÓN]])&gt;PROVEEDORES[[#This Row],[PLAZO Días]],"PAGO VENCIDO")</f>
        <v>0</v>
      </c>
      <c r="C1545" s="138">
        <f>+VLOOKUP(PROVEEDORES[[#This Row],[PROVEEDOR]],TERCEROS_INFO[#All],2,FALSE)</f>
        <v>30</v>
      </c>
      <c r="D1545" s="139">
        <f>+SUMIFS(PROVEEDORES[Total],PROVEEDORES[PROVEEDOR],PROVEEDORES[[#This Row],[PROVEEDOR]],PROVEEDORES[FECHA DE PAGO],"")</f>
        <v>3130000</v>
      </c>
      <c r="E1545" s="140"/>
      <c r="F1545" s="138">
        <f>+VLOOKUP(PROVEEDORES[[#This Row],[PROVEEDOR]],
                       Terceros!$A:$F,
                       5,
                       FALSE)</f>
        <v>0</v>
      </c>
      <c r="G1545" s="127"/>
      <c r="H1545" s="123" t="s">
        <v>472</v>
      </c>
      <c r="I1545" s="127">
        <v>45386</v>
      </c>
      <c r="J1545" s="124" t="s">
        <v>1712</v>
      </c>
      <c r="K1545" s="124" t="s">
        <v>1530</v>
      </c>
      <c r="L1545" s="124"/>
      <c r="M1545" s="125">
        <v>2360000</v>
      </c>
      <c r="N1545" s="148">
        <v>0</v>
      </c>
      <c r="O1545" s="148">
        <v>0</v>
      </c>
      <c r="P1545" s="149">
        <v>0</v>
      </c>
      <c r="Q1545" s="148">
        <v>0</v>
      </c>
      <c r="R1545" s="150">
        <v>2360000</v>
      </c>
      <c r="S1545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5" s="135">
        <f ca="1">+IF(PROVEEDORES[[#This Row],[FECHA DE PAGO]]=0,TODAY()-PROVEEDORES[[#This Row],[FECHA DE FACTURACIÓN]]-PROVEEDORES[[#This Row],[PLAZO Días]],0)</f>
        <v>31</v>
      </c>
      <c r="U1545" s="135">
        <f>+VLOOKUP(PROVEEDORES[[#This Row],[PROVEEDOR]],Terceros!$A:$D,4,FALSE)</f>
        <v>0</v>
      </c>
      <c r="V1545" s="135">
        <f>+YEAR(PROVEEDORES[[#This Row],[FECHA DE FACTURACIÓN]])</f>
        <v>2024</v>
      </c>
      <c r="W1545" s="135">
        <f>+MATCH(PROVEEDORES[[#This Row],[año facturado]],Retenciones!$1:$1,0)</f>
        <v>7</v>
      </c>
      <c r="X1545" s="136">
        <f>+VLOOKUP(PROVEEDORES[[#This Row],[ID RETENCION]],Retenciones!$A$1:$O$25,PROVEEDORES[[#This Row],[indicador de columna]],FALSE)</f>
        <v>0</v>
      </c>
      <c r="Y1545" s="137">
        <f>+VLOOKUP(PROVEEDORES[[#This Row],[ID RETENCION]],Retenciones!$A$1:$O$25,2,FALSE)</f>
        <v>0</v>
      </c>
      <c r="Z1545" s="126" t="b">
        <f>+OR(COUNTIF(PROVEEDORES[[#This Row],[PROVEEDOR]],"*"&amp;'Palabra que no opera y Listas d'!$A$2&amp;"*"))</f>
        <v>0</v>
      </c>
    </row>
    <row r="1546" spans="1:26" ht="27.75" customHeight="1" x14ac:dyDescent="0.25">
      <c r="A1546" s="141" t="str">
        <f>+IF(PROVEEDORES[[#This Row],[FECHA DE PAGO]]=PROVEEDORES[[#This Row],[FECHA DE FACTURACIÓN]],"DE CONTADO","CRÉDITO")</f>
        <v>CRÉDITO</v>
      </c>
      <c r="B1546" s="138" t="b">
        <f>+IF((PROVEEDORES[[#This Row],[FECHA DE PAGO]]-PROVEEDORES[[#This Row],[FECHA DE FACTURACIÓN]])&gt;PROVEEDORES[[#This Row],[PLAZO Días]],"PAGO VENCIDO")</f>
        <v>0</v>
      </c>
      <c r="C1546" s="138">
        <f>+VLOOKUP(PROVEEDORES[[#This Row],[PROVEEDOR]],TERCEROS_INFO[#All],2,FALSE)</f>
        <v>30</v>
      </c>
      <c r="D1546" s="139">
        <f>+SUMIFS(PROVEEDORES[Total],PROVEEDORES[PROVEEDOR],PROVEEDORES[[#This Row],[PROVEEDOR]],PROVEEDORES[FECHA DE PAGO],"")</f>
        <v>3130000</v>
      </c>
      <c r="E1546" s="140"/>
      <c r="F1546" s="138">
        <f>+VLOOKUP(PROVEEDORES[[#This Row],[PROVEEDOR]],
                       Terceros!$A:$F,
                       5,
                       FALSE)</f>
        <v>0</v>
      </c>
      <c r="G1546" s="127"/>
      <c r="H1546" s="123" t="s">
        <v>472</v>
      </c>
      <c r="I1546" s="127">
        <v>45402</v>
      </c>
      <c r="J1546" s="124" t="s">
        <v>1785</v>
      </c>
      <c r="K1546" s="124" t="s">
        <v>1530</v>
      </c>
      <c r="L1546" s="124"/>
      <c r="M1546" s="125">
        <v>770000</v>
      </c>
      <c r="N1546" s="148">
        <v>0</v>
      </c>
      <c r="O1546" s="148">
        <v>0</v>
      </c>
      <c r="P1546" s="149">
        <v>0</v>
      </c>
      <c r="Q1546" s="148">
        <v>0</v>
      </c>
      <c r="R1546" s="150">
        <v>770000</v>
      </c>
      <c r="S1546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6" s="135">
        <f ca="1">+IF(PROVEEDORES[[#This Row],[FECHA DE PAGO]]=0,TODAY()-PROVEEDORES[[#This Row],[FECHA DE FACTURACIÓN]]-PROVEEDORES[[#This Row],[PLAZO Días]],0)</f>
        <v>15</v>
      </c>
      <c r="U1546" s="135">
        <f>+VLOOKUP(PROVEEDORES[[#This Row],[PROVEEDOR]],Terceros!$A:$D,4,FALSE)</f>
        <v>0</v>
      </c>
      <c r="V1546" s="135">
        <f>+YEAR(PROVEEDORES[[#This Row],[FECHA DE FACTURACIÓN]])</f>
        <v>2024</v>
      </c>
      <c r="W1546" s="135">
        <f>+MATCH(PROVEEDORES[[#This Row],[año facturado]],Retenciones!$1:$1,0)</f>
        <v>7</v>
      </c>
      <c r="X1546" s="136">
        <f>+VLOOKUP(PROVEEDORES[[#This Row],[ID RETENCION]],Retenciones!$A$1:$O$25,PROVEEDORES[[#This Row],[indicador de columna]],FALSE)</f>
        <v>0</v>
      </c>
      <c r="Y1546" s="137">
        <f>+VLOOKUP(PROVEEDORES[[#This Row],[ID RETENCION]],Retenciones!$A$1:$O$25,2,FALSE)</f>
        <v>0</v>
      </c>
      <c r="Z1546" s="126" t="b">
        <f>+OR(COUNTIF(PROVEEDORES[[#This Row],[PROVEEDOR]],"*"&amp;'Palabra que no opera y Listas d'!$A$2&amp;"*"))</f>
        <v>0</v>
      </c>
    </row>
    <row r="1547" spans="1:26" ht="27.75" customHeight="1" x14ac:dyDescent="0.25">
      <c r="A1547" s="141" t="str">
        <f>+IF(PROVEEDORES[[#This Row],[FECHA DE PAGO]]=PROVEEDORES[[#This Row],[FECHA DE FACTURACIÓN]],"DE CONTADO","CRÉDITO")</f>
        <v>CRÉDITO</v>
      </c>
      <c r="B1547" s="138" t="b">
        <f>+IF((PROVEEDORES[[#This Row],[FECHA DE PAGO]]-PROVEEDORES[[#This Row],[FECHA DE FACTURACIÓN]])&gt;PROVEEDORES[[#This Row],[PLAZO Días]],"PAGO VENCIDO")</f>
        <v>0</v>
      </c>
      <c r="C1547" s="138">
        <f>+VLOOKUP(PROVEEDORES[[#This Row],[PROVEEDOR]],TERCEROS_INFO[#All],2,FALSE)</f>
        <v>30</v>
      </c>
      <c r="D1547" s="139">
        <f>+SUMIFS(PROVEEDORES[Total],PROVEEDORES[PROVEEDOR],PROVEEDORES[[#This Row],[PROVEEDOR]],PROVEEDORES[FECHA DE PAGO],"")</f>
        <v>4316000</v>
      </c>
      <c r="E1547" s="140"/>
      <c r="F1547" s="138" t="str">
        <f>+VLOOKUP(PROVEEDORES[[#This Row],[PROVEEDOR]],
                       Terceros!$A:$F,
                       5,
                       FALSE)</f>
        <v/>
      </c>
      <c r="G1547" s="127"/>
      <c r="H1547" s="123" t="s">
        <v>1812</v>
      </c>
      <c r="I1547" s="127">
        <v>45415</v>
      </c>
      <c r="J1547" s="124" t="s">
        <v>1891</v>
      </c>
      <c r="K1547" s="124" t="s">
        <v>1530</v>
      </c>
      <c r="L1547" s="124"/>
      <c r="M1547" s="125">
        <v>1068000</v>
      </c>
      <c r="N1547" s="148">
        <f>+(PROVEEDORES[[#This Row],[SUBTOTAL]])*VLOOKUP(PROVEEDORES[[#This Row],[PROVEEDOR]],TERCEROS_INFO[#All],3,FALSE)</f>
        <v>0</v>
      </c>
      <c r="O1547" s="148">
        <f>+'Palabra que no opera y Listas d'!$D$2</f>
        <v>0</v>
      </c>
      <c r="P1547" s="149">
        <f>+IF(PROVEEDORES[[#This Row],[SUBTOTAL]]&lt;PROVEEDORES[[#This Row],[base retencion]],0,PROVEEDORES[[#This Row],[retención aplicada]])</f>
        <v>0</v>
      </c>
      <c r="Q1547" s="148">
        <f>+PROVEEDORES[[#This Row],[ReteFuente
%]]*(PROVEEDORES[[#This Row],[SUBTOTAL]])</f>
        <v>0</v>
      </c>
      <c r="R1547" s="150">
        <f>+PROVEEDORES[[#This Row],[SUBTOTAL]]+PROVEEDORES[[#This Row],[IVA 19%]]-PROVEEDORES[[#This Row],[Descuento
$]]-PROVEEDORES[[#This Row],[ReteFuente
$]]</f>
        <v>1068000</v>
      </c>
      <c r="S1547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47" s="135">
        <f ca="1">+IF(PROVEEDORES[[#This Row],[FECHA DE PAGO]]=0,TODAY()-PROVEEDORES[[#This Row],[FECHA DE FACTURACIÓN]]-PROVEEDORES[[#This Row],[PLAZO Días]],0)</f>
        <v>2</v>
      </c>
      <c r="U1547" s="135">
        <f>+VLOOKUP(PROVEEDORES[[#This Row],[PROVEEDOR]],Terceros!$A:$D,4,FALSE)</f>
        <v>0</v>
      </c>
      <c r="V1547" s="135">
        <f>+YEAR(PROVEEDORES[[#This Row],[FECHA DE FACTURACIÓN]])</f>
        <v>2024</v>
      </c>
      <c r="W1547" s="135">
        <f>+MATCH(PROVEEDORES[[#This Row],[año facturado]],Retenciones!$1:$1,0)</f>
        <v>7</v>
      </c>
      <c r="X1547" s="136">
        <f>+VLOOKUP(PROVEEDORES[[#This Row],[ID RETENCION]],Retenciones!$A$1:$O$25,PROVEEDORES[[#This Row],[indicador de columna]],FALSE)</f>
        <v>0</v>
      </c>
      <c r="Y1547" s="137">
        <f>+VLOOKUP(PROVEEDORES[[#This Row],[ID RETENCION]],Retenciones!$A$1:$O$25,2,FALSE)</f>
        <v>0</v>
      </c>
      <c r="Z1547" s="126" t="b">
        <f>+OR(COUNTIF(PROVEEDORES[[#This Row],[PROVEEDOR]],"*"&amp;'Palabra que no opera y Listas d'!$A$2&amp;"*"))</f>
        <v>0</v>
      </c>
    </row>
    <row r="1548" spans="1:26" ht="27.75" customHeight="1" x14ac:dyDescent="0.25">
      <c r="A1548" s="141" t="str">
        <f>+IF(PROVEEDORES[[#This Row],[FECHA DE PAGO]]=PROVEEDORES[[#This Row],[FECHA DE FACTURACIÓN]],"DE CONTADO","CRÉDITO")</f>
        <v>CRÉDITO</v>
      </c>
      <c r="B1548" s="138" t="b">
        <f>+IF((PROVEEDORES[[#This Row],[FECHA DE PAGO]]-PROVEEDORES[[#This Row],[FECHA DE FACTURACIÓN]])&gt;PROVEEDORES[[#This Row],[PLAZO Días]],"PAGO VENCIDO")</f>
        <v>0</v>
      </c>
      <c r="C1548" s="138">
        <f>+VLOOKUP(PROVEEDORES[[#This Row],[PROVEEDOR]],TERCEROS_INFO[#All],2,FALSE)</f>
        <v>45</v>
      </c>
      <c r="D1548" s="139">
        <f>+SUMIFS(PROVEEDORES[Total],PROVEEDORES[PROVEEDOR],PROVEEDORES[[#This Row],[PROVEEDOR]],PROVEEDORES[FECHA DE PAGO],"")</f>
        <v>0</v>
      </c>
      <c r="E1548" s="140"/>
      <c r="F1548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548" s="127">
        <v>45435</v>
      </c>
      <c r="H1548" s="123" t="s">
        <v>1859</v>
      </c>
      <c r="I1548" s="127">
        <v>45420</v>
      </c>
      <c r="J1548" s="124" t="s">
        <v>1860</v>
      </c>
      <c r="K1548" s="124" t="s">
        <v>504</v>
      </c>
      <c r="L1548" s="124" t="s">
        <v>1534</v>
      </c>
      <c r="M1548" s="125">
        <v>2483172.6</v>
      </c>
      <c r="N1548" s="148">
        <f>+(PROVEEDORES[[#This Row],[SUBTOTAL]])*VLOOKUP(PROVEEDORES[[#This Row],[PROVEEDOR]],TERCEROS_INFO[#All],3,FALSE)</f>
        <v>0</v>
      </c>
      <c r="O1548" s="148">
        <f>+'Palabra que no opera y Listas d'!$D$2</f>
        <v>0</v>
      </c>
      <c r="P1548" s="149">
        <f>+IF(PROVEEDORES[[#This Row],[SUBTOTAL]]&lt;PROVEEDORES[[#This Row],[base retencion]],0,PROVEEDORES[[#This Row],[retención aplicada]])</f>
        <v>0</v>
      </c>
      <c r="Q1548" s="148">
        <f>+PROVEEDORES[[#This Row],[ReteFuente
%]]*(PROVEEDORES[[#This Row],[SUBTOTAL]])</f>
        <v>0</v>
      </c>
      <c r="R1548" s="150">
        <f>+PROVEEDORES[[#This Row],[SUBTOTAL]]+PROVEEDORES[[#This Row],[IVA 19%]]-PROVEEDORES[[#This Row],[Descuento
$]]-PROVEEDORES[[#This Row],[ReteFuente
$]]</f>
        <v>2483172.6</v>
      </c>
      <c r="S154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8" s="135">
        <f ca="1">+IF(PROVEEDORES[[#This Row],[FECHA DE PAGO]]=0,TODAY()-PROVEEDORES[[#This Row],[FECHA DE FACTURACIÓN]]-PROVEEDORES[[#This Row],[PLAZO Días]],0)</f>
        <v>0</v>
      </c>
      <c r="U1548" s="135">
        <f>+VLOOKUP(PROVEEDORES[[#This Row],[PROVEEDOR]],Terceros!$A:$D,4,FALSE)</f>
        <v>0</v>
      </c>
      <c r="V1548" s="135">
        <f>+YEAR(PROVEEDORES[[#This Row],[FECHA DE FACTURACIÓN]])</f>
        <v>2024</v>
      </c>
      <c r="W1548" s="135">
        <f>+MATCH(PROVEEDORES[[#This Row],[año facturado]],Retenciones!$1:$1,0)</f>
        <v>7</v>
      </c>
      <c r="X1548" s="136">
        <f>+VLOOKUP(PROVEEDORES[[#This Row],[ID RETENCION]],Retenciones!$A$1:$O$25,PROVEEDORES[[#This Row],[indicador de columna]],FALSE)</f>
        <v>0</v>
      </c>
      <c r="Y1548" s="137">
        <f>+VLOOKUP(PROVEEDORES[[#This Row],[ID RETENCION]],Retenciones!$A$1:$O$25,2,FALSE)</f>
        <v>0</v>
      </c>
      <c r="Z1548" s="126" t="b">
        <f>+OR(COUNTIF(PROVEEDORES[[#This Row],[PROVEEDOR]],"*"&amp;'Palabra que no opera y Listas d'!$A$2&amp;"*"))</f>
        <v>0</v>
      </c>
    </row>
    <row r="1549" spans="1:26" ht="27.75" customHeight="1" x14ac:dyDescent="0.25">
      <c r="A1549" s="141" t="str">
        <f>+IF(PROVEEDORES[[#This Row],[FECHA DE PAGO]]=PROVEEDORES[[#This Row],[FECHA DE FACTURACIÓN]],"DE CONTADO","CRÉDITO")</f>
        <v>CRÉDITO</v>
      </c>
      <c r="B1549" s="138" t="b">
        <f>+IF((PROVEEDORES[[#This Row],[FECHA DE PAGO]]-PROVEEDORES[[#This Row],[FECHA DE FACTURACIÓN]])&gt;PROVEEDORES[[#This Row],[PLAZO Días]],"PAGO VENCIDO")</f>
        <v>0</v>
      </c>
      <c r="C1549" s="138">
        <f>+VLOOKUP(PROVEEDORES[[#This Row],[PROVEEDOR]],TERCEROS_INFO[#All],2,FALSE)</f>
        <v>60</v>
      </c>
      <c r="D1549" s="139">
        <f>+SUMIFS(PROVEEDORES[Total],PROVEEDORES[PROVEEDOR],PROVEEDORES[[#This Row],[PROVEEDOR]],PROVEEDORES[FECHA DE PAGO],"")</f>
        <v>1730482</v>
      </c>
      <c r="E1549" s="140"/>
      <c r="F1549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549" s="127">
        <v>45435</v>
      </c>
      <c r="H1549" s="123" t="s">
        <v>222</v>
      </c>
      <c r="I1549" s="127">
        <v>45399</v>
      </c>
      <c r="J1549" s="124" t="s">
        <v>1888</v>
      </c>
      <c r="K1549" s="124" t="s">
        <v>504</v>
      </c>
      <c r="L1549" s="124" t="s">
        <v>1534</v>
      </c>
      <c r="M1549" s="125">
        <v>508184.16000000003</v>
      </c>
      <c r="N1549" s="148">
        <v>0</v>
      </c>
      <c r="O1549" s="148">
        <v>0</v>
      </c>
      <c r="P1549" s="149">
        <v>0</v>
      </c>
      <c r="Q1549" s="148">
        <v>0</v>
      </c>
      <c r="R1549" s="150">
        <f>+PROVEEDORES[[#This Row],[SUBTOTAL]]+PROVEEDORES[[#This Row],[IVA 19%]]-PROVEEDORES[[#This Row],[Descuento
$]]-PROVEEDORES[[#This Row],[ReteFuente
$]]</f>
        <v>508184.16000000003</v>
      </c>
      <c r="S154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49" s="135">
        <f ca="1">+IF(PROVEEDORES[[#This Row],[FECHA DE PAGO]]=0,TODAY()-PROVEEDORES[[#This Row],[FECHA DE FACTURACIÓN]]-PROVEEDORES[[#This Row],[PLAZO Días]],0)</f>
        <v>0</v>
      </c>
      <c r="U1549" s="135">
        <f>+VLOOKUP(PROVEEDORES[[#This Row],[PROVEEDOR]],Terceros!$A:$D,4,FALSE)</f>
        <v>0</v>
      </c>
      <c r="V1549" s="135">
        <f>+YEAR(PROVEEDORES[[#This Row],[FECHA DE FACTURACIÓN]])</f>
        <v>2024</v>
      </c>
      <c r="W1549" s="135">
        <f>+MATCH(PROVEEDORES[[#This Row],[año facturado]],Retenciones!$1:$1,0)</f>
        <v>7</v>
      </c>
      <c r="X1549" s="136">
        <f>+VLOOKUP(PROVEEDORES[[#This Row],[ID RETENCION]],Retenciones!$A$1:$O$25,PROVEEDORES[[#This Row],[indicador de columna]],FALSE)</f>
        <v>0</v>
      </c>
      <c r="Y1549" s="137">
        <f>+VLOOKUP(PROVEEDORES[[#This Row],[ID RETENCION]],Retenciones!$A$1:$O$25,2,FALSE)</f>
        <v>0</v>
      </c>
      <c r="Z1549" s="126" t="b">
        <f>+OR(COUNTIF(PROVEEDORES[[#This Row],[PROVEEDOR]],"*"&amp;'Palabra que no opera y Listas d'!$A$2&amp;"*"))</f>
        <v>0</v>
      </c>
    </row>
    <row r="1550" spans="1:26" ht="27.75" customHeight="1" x14ac:dyDescent="0.25">
      <c r="A1550" s="141" t="str">
        <f>+IF(PROVEEDORES[[#This Row],[FECHA DE PAGO]]=PROVEEDORES[[#This Row],[FECHA DE FACTURACIÓN]],"DE CONTADO","CRÉDITO")</f>
        <v>CRÉDITO</v>
      </c>
      <c r="B1550" s="138" t="b">
        <f>+IF((PROVEEDORES[[#This Row],[FECHA DE PAGO]]-PROVEEDORES[[#This Row],[FECHA DE FACTURACIÓN]])&gt;PROVEEDORES[[#This Row],[PLAZO Días]],"PAGO VENCIDO")</f>
        <v>0</v>
      </c>
      <c r="C1550" s="138">
        <f>+VLOOKUP(PROVEEDORES[[#This Row],[PROVEEDOR]],TERCEROS_INFO[#All],2,FALSE)</f>
        <v>60</v>
      </c>
      <c r="D1550" s="139">
        <f>+SUMIFS(PROVEEDORES[Total],PROVEEDORES[PROVEEDOR],PROVEEDORES[[#This Row],[PROVEEDOR]],PROVEEDORES[FECHA DE PAGO],"")</f>
        <v>1730482</v>
      </c>
      <c r="E1550" s="140"/>
      <c r="F1550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550" s="127">
        <v>45435</v>
      </c>
      <c r="H1550" s="123" t="s">
        <v>222</v>
      </c>
      <c r="I1550" s="127">
        <v>45399</v>
      </c>
      <c r="J1550" s="124" t="s">
        <v>1889</v>
      </c>
      <c r="K1550" s="124" t="s">
        <v>504</v>
      </c>
      <c r="L1550" s="124" t="s">
        <v>1534</v>
      </c>
      <c r="M1550" s="125">
        <v>827724.20000000007</v>
      </c>
      <c r="N1550" s="148">
        <v>0</v>
      </c>
      <c r="O1550" s="148">
        <v>0</v>
      </c>
      <c r="P1550" s="149">
        <v>0</v>
      </c>
      <c r="Q1550" s="148">
        <v>0</v>
      </c>
      <c r="R1550" s="150">
        <f>+PROVEEDORES[[#This Row],[SUBTOTAL]]+PROVEEDORES[[#This Row],[IVA 19%]]-PROVEEDORES[[#This Row],[Descuento
$]]-PROVEEDORES[[#This Row],[ReteFuente
$]]</f>
        <v>827724.20000000007</v>
      </c>
      <c r="S155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0" s="135">
        <f ca="1">+IF(PROVEEDORES[[#This Row],[FECHA DE PAGO]]=0,TODAY()-PROVEEDORES[[#This Row],[FECHA DE FACTURACIÓN]]-PROVEEDORES[[#This Row],[PLAZO Días]],0)</f>
        <v>0</v>
      </c>
      <c r="U1550" s="135">
        <f>+VLOOKUP(PROVEEDORES[[#This Row],[PROVEEDOR]],Terceros!$A:$D,4,FALSE)</f>
        <v>0</v>
      </c>
      <c r="V1550" s="135">
        <f>+YEAR(PROVEEDORES[[#This Row],[FECHA DE FACTURACIÓN]])</f>
        <v>2024</v>
      </c>
      <c r="W1550" s="135">
        <f>+MATCH(PROVEEDORES[[#This Row],[año facturado]],Retenciones!$1:$1,0)</f>
        <v>7</v>
      </c>
      <c r="X1550" s="136">
        <f>+VLOOKUP(PROVEEDORES[[#This Row],[ID RETENCION]],Retenciones!$A$1:$O$25,PROVEEDORES[[#This Row],[indicador de columna]],FALSE)</f>
        <v>0</v>
      </c>
      <c r="Y1550" s="137">
        <f>+VLOOKUP(PROVEEDORES[[#This Row],[ID RETENCION]],Retenciones!$A$1:$O$25,2,FALSE)</f>
        <v>0</v>
      </c>
      <c r="Z1550" s="126" t="b">
        <f>+OR(COUNTIF(PROVEEDORES[[#This Row],[PROVEEDOR]],"*"&amp;'Palabra que no opera y Listas d'!$A$2&amp;"*"))</f>
        <v>0</v>
      </c>
    </row>
    <row r="1551" spans="1:26" ht="27.75" customHeight="1" x14ac:dyDescent="0.25">
      <c r="A1551" s="141" t="str">
        <f>+IF(PROVEEDORES[[#This Row],[FECHA DE PAGO]]=PROVEEDORES[[#This Row],[FECHA DE FACTURACIÓN]],"DE CONTADO","CRÉDITO")</f>
        <v>CRÉDITO</v>
      </c>
      <c r="B1551" s="138" t="b">
        <f>+IF((PROVEEDORES[[#This Row],[FECHA DE PAGO]]-PROVEEDORES[[#This Row],[FECHA DE FACTURACIÓN]])&gt;PROVEEDORES[[#This Row],[PLAZO Días]],"PAGO VENCIDO")</f>
        <v>0</v>
      </c>
      <c r="C1551" s="138">
        <f>+VLOOKUP(PROVEEDORES[[#This Row],[PROVEEDOR]],TERCEROS_INFO[#All],2,FALSE)</f>
        <v>60</v>
      </c>
      <c r="D1551" s="139">
        <f>+SUMIFS(PROVEEDORES[Total],PROVEEDORES[PROVEEDOR],PROVEEDORES[[#This Row],[PROVEEDOR]],PROVEEDORES[FECHA DE PAGO],"")</f>
        <v>1730482</v>
      </c>
      <c r="E1551" s="140"/>
      <c r="F1551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551" s="127">
        <v>45435</v>
      </c>
      <c r="H1551" s="123" t="s">
        <v>222</v>
      </c>
      <c r="I1551" s="127">
        <v>45407</v>
      </c>
      <c r="J1551" s="124" t="s">
        <v>1890</v>
      </c>
      <c r="K1551" s="124" t="s">
        <v>504</v>
      </c>
      <c r="L1551" s="124" t="s">
        <v>1534</v>
      </c>
      <c r="M1551" s="125">
        <v>492784.64000000001</v>
      </c>
      <c r="N1551" s="148">
        <v>0</v>
      </c>
      <c r="O1551" s="148">
        <v>0</v>
      </c>
      <c r="P1551" s="149">
        <v>0</v>
      </c>
      <c r="Q1551" s="148">
        <v>0</v>
      </c>
      <c r="R1551" s="150">
        <f>+PROVEEDORES[[#This Row],[SUBTOTAL]]+PROVEEDORES[[#This Row],[IVA 19%]]-PROVEEDORES[[#This Row],[Descuento
$]]-PROVEEDORES[[#This Row],[ReteFuente
$]]</f>
        <v>492784.64000000001</v>
      </c>
      <c r="S15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1" s="135">
        <f ca="1">+IF(PROVEEDORES[[#This Row],[FECHA DE PAGO]]=0,TODAY()-PROVEEDORES[[#This Row],[FECHA DE FACTURACIÓN]]-PROVEEDORES[[#This Row],[PLAZO Días]],0)</f>
        <v>0</v>
      </c>
      <c r="U1551" s="135">
        <f>+VLOOKUP(PROVEEDORES[[#This Row],[PROVEEDOR]],Terceros!$A:$D,4,FALSE)</f>
        <v>0</v>
      </c>
      <c r="V1551" s="135">
        <f>+YEAR(PROVEEDORES[[#This Row],[FECHA DE FACTURACIÓN]])</f>
        <v>2024</v>
      </c>
      <c r="W1551" s="135">
        <f>+MATCH(PROVEEDORES[[#This Row],[año facturado]],Retenciones!$1:$1,0)</f>
        <v>7</v>
      </c>
      <c r="X1551" s="136">
        <f>+VLOOKUP(PROVEEDORES[[#This Row],[ID RETENCION]],Retenciones!$A$1:$O$25,PROVEEDORES[[#This Row],[indicador de columna]],FALSE)</f>
        <v>0</v>
      </c>
      <c r="Y1551" s="137">
        <f>+VLOOKUP(PROVEEDORES[[#This Row],[ID RETENCION]],Retenciones!$A$1:$O$25,2,FALSE)</f>
        <v>0</v>
      </c>
      <c r="Z1551" s="126" t="b">
        <f>+OR(COUNTIF(PROVEEDORES[[#This Row],[PROVEEDOR]],"*"&amp;'Palabra que no opera y Listas d'!$A$2&amp;"*"))</f>
        <v>0</v>
      </c>
    </row>
    <row r="1552" spans="1:26" ht="27.75" customHeight="1" x14ac:dyDescent="0.25">
      <c r="A1552" s="141" t="str">
        <f>+IF(PROVEEDORES[[#This Row],[FECHA DE PAGO]]=PROVEEDORES[[#This Row],[FECHA DE FACTURACIÓN]],"DE CONTADO","CRÉDITO")</f>
        <v>CRÉDITO</v>
      </c>
      <c r="B1552" s="138" t="b">
        <f>+IF((PROVEEDORES[[#This Row],[FECHA DE PAGO]]-PROVEEDORES[[#This Row],[FECHA DE FACTURACIÓN]])&gt;PROVEEDORES[[#This Row],[PLAZO Días]],"PAGO VENCIDO")</f>
        <v>0</v>
      </c>
      <c r="C1552" s="138">
        <f>+VLOOKUP(PROVEEDORES[[#This Row],[PROVEEDOR]],TERCEROS_INFO[#All],2,FALSE)</f>
        <v>60</v>
      </c>
      <c r="D1552" s="139">
        <f>+SUMIFS(PROVEEDORES[Total],PROVEEDORES[PROVEEDOR],PROVEEDORES[[#This Row],[PROVEEDOR]],PROVEEDORES[FECHA DE PAGO],"")</f>
        <v>1730482</v>
      </c>
      <c r="E1552" s="140"/>
      <c r="F1552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552" s="127">
        <v>45435</v>
      </c>
      <c r="H1552" s="123" t="s">
        <v>222</v>
      </c>
      <c r="I1552" s="127">
        <v>45414</v>
      </c>
      <c r="J1552" s="124">
        <v>2020</v>
      </c>
      <c r="K1552" s="124" t="s">
        <v>504</v>
      </c>
      <c r="L1552" s="124" t="s">
        <v>1534</v>
      </c>
      <c r="M1552" s="125">
        <v>400387.52</v>
      </c>
      <c r="N1552" s="148">
        <f>+(PROVEEDORES[[#This Row],[SUBTOTAL]])*VLOOKUP(PROVEEDORES[[#This Row],[PROVEEDOR]],TERCEROS_INFO[#All],3,FALSE)</f>
        <v>0</v>
      </c>
      <c r="O1552" s="148">
        <f>+'Palabra que no opera y Listas d'!$D$2</f>
        <v>0</v>
      </c>
      <c r="P1552" s="149">
        <f>+IF(PROVEEDORES[[#This Row],[SUBTOTAL]]&lt;PROVEEDORES[[#This Row],[base retencion]],0,PROVEEDORES[[#This Row],[retención aplicada]])</f>
        <v>0</v>
      </c>
      <c r="Q1552" s="148">
        <f>+PROVEEDORES[[#This Row],[ReteFuente
%]]*(PROVEEDORES[[#This Row],[SUBTOTAL]])</f>
        <v>0</v>
      </c>
      <c r="R1552" s="150">
        <f>+PROVEEDORES[[#This Row],[SUBTOTAL]]+PROVEEDORES[[#This Row],[IVA 19%]]-PROVEEDORES[[#This Row],[Descuento
$]]-PROVEEDORES[[#This Row],[ReteFuente
$]]</f>
        <v>400387.52</v>
      </c>
      <c r="S155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2" s="135">
        <f ca="1">+IF(PROVEEDORES[[#This Row],[FECHA DE PAGO]]=0,TODAY()-PROVEEDORES[[#This Row],[FECHA DE FACTURACIÓN]]-PROVEEDORES[[#This Row],[PLAZO Días]],0)</f>
        <v>0</v>
      </c>
      <c r="U1552" s="135">
        <f>+VLOOKUP(PROVEEDORES[[#This Row],[PROVEEDOR]],Terceros!$A:$D,4,FALSE)</f>
        <v>0</v>
      </c>
      <c r="V1552" s="135">
        <f>+YEAR(PROVEEDORES[[#This Row],[FECHA DE FACTURACIÓN]])</f>
        <v>2024</v>
      </c>
      <c r="W1552" s="135">
        <f>+MATCH(PROVEEDORES[[#This Row],[año facturado]],Retenciones!$1:$1,0)</f>
        <v>7</v>
      </c>
      <c r="X1552" s="136">
        <f>+VLOOKUP(PROVEEDORES[[#This Row],[ID RETENCION]],Retenciones!$A$1:$O$25,PROVEEDORES[[#This Row],[indicador de columna]],FALSE)</f>
        <v>0</v>
      </c>
      <c r="Y1552" s="137">
        <f>+VLOOKUP(PROVEEDORES[[#This Row],[ID RETENCION]],Retenciones!$A$1:$O$25,2,FALSE)</f>
        <v>0</v>
      </c>
      <c r="Z1552" s="126" t="b">
        <f>+OR(COUNTIF(PROVEEDORES[[#This Row],[PROVEEDOR]],"*"&amp;'Palabra que no opera y Listas d'!$A$2&amp;"*"))</f>
        <v>0</v>
      </c>
    </row>
    <row r="1553" spans="1:26" ht="27.75" customHeight="1" x14ac:dyDescent="0.25">
      <c r="A1553" s="141" t="str">
        <f>+IF(PROVEEDORES[[#This Row],[FECHA DE PAGO]]=PROVEEDORES[[#This Row],[FECHA DE FACTURACIÓN]],"DE CONTADO","CRÉDITO")</f>
        <v>CRÉDITO</v>
      </c>
      <c r="B1553" s="138" t="b">
        <f>+IF((PROVEEDORES[[#This Row],[FECHA DE PAGO]]-PROVEEDORES[[#This Row],[FECHA DE FACTURACIÓN]])&gt;PROVEEDORES[[#This Row],[PLAZO Días]],"PAGO VENCIDO")</f>
        <v>0</v>
      </c>
      <c r="C1553" s="138">
        <f>+VLOOKUP(PROVEEDORES[[#This Row],[PROVEEDOR]],TERCEROS_INFO[#All],2,FALSE)</f>
        <v>30</v>
      </c>
      <c r="D1553" s="139">
        <f>+SUMIFS(PROVEEDORES[Total],PROVEEDORES[PROVEEDOR],PROVEEDORES[[#This Row],[PROVEEDOR]],PROVEEDORES[FECHA DE PAGO],"")</f>
        <v>352000</v>
      </c>
      <c r="E1553" s="140"/>
      <c r="F1553" s="138" t="str">
        <f>+VLOOKUP(PROVEEDORES[[#This Row],[PROVEEDOR]],
                       Terceros!$A:$F,
                       5,
                       FALSE)</f>
        <v/>
      </c>
      <c r="G1553" s="127"/>
      <c r="H1553" s="123" t="s">
        <v>527</v>
      </c>
      <c r="I1553" s="127">
        <v>45374</v>
      </c>
      <c r="J1553" s="124">
        <v>82</v>
      </c>
      <c r="K1553" s="124" t="s">
        <v>1530</v>
      </c>
      <c r="L1553" s="124"/>
      <c r="M1553" s="125">
        <v>40000</v>
      </c>
      <c r="N1553" s="148">
        <v>0</v>
      </c>
      <c r="O1553" s="148">
        <v>0</v>
      </c>
      <c r="P1553" s="149">
        <v>0</v>
      </c>
      <c r="Q1553" s="148">
        <v>0</v>
      </c>
      <c r="R1553" s="150">
        <v>40000</v>
      </c>
      <c r="S1553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53" s="135">
        <f ca="1">+IF(PROVEEDORES[[#This Row],[FECHA DE PAGO]]=0,TODAY()-PROVEEDORES[[#This Row],[FECHA DE FACTURACIÓN]]-PROVEEDORES[[#This Row],[PLAZO Días]],0)</f>
        <v>43</v>
      </c>
      <c r="U1553" s="135">
        <f>+VLOOKUP(PROVEEDORES[[#This Row],[PROVEEDOR]],Terceros!$A:$D,4,FALSE)</f>
        <v>0</v>
      </c>
      <c r="V1553" s="135">
        <f>+YEAR(PROVEEDORES[[#This Row],[FECHA DE FACTURACIÓN]])</f>
        <v>2024</v>
      </c>
      <c r="W1553" s="135">
        <f>+MATCH(PROVEEDORES[[#This Row],[año facturado]],Retenciones!$1:$1,0)</f>
        <v>7</v>
      </c>
      <c r="X1553" s="136">
        <f>+VLOOKUP(PROVEEDORES[[#This Row],[ID RETENCION]],Retenciones!$A$1:$O$25,PROVEEDORES[[#This Row],[indicador de columna]],FALSE)</f>
        <v>0</v>
      </c>
      <c r="Y1553" s="137">
        <f>+VLOOKUP(PROVEEDORES[[#This Row],[ID RETENCION]],Retenciones!$A$1:$O$25,2,FALSE)</f>
        <v>0</v>
      </c>
      <c r="Z1553" s="126" t="b">
        <f>+OR(COUNTIF(PROVEEDORES[[#This Row],[PROVEEDOR]],"*"&amp;'Palabra que no opera y Listas d'!$A$2&amp;"*"))</f>
        <v>0</v>
      </c>
    </row>
    <row r="1554" spans="1:26" ht="27.75" customHeight="1" x14ac:dyDescent="0.25">
      <c r="A1554" s="141" t="str">
        <f>+IF(PROVEEDORES[[#This Row],[FECHA DE PAGO]]=PROVEEDORES[[#This Row],[FECHA DE FACTURACIÓN]],"DE CONTADO","CRÉDITO")</f>
        <v>CRÉDITO</v>
      </c>
      <c r="B1554" s="138" t="b">
        <f>+IF((PROVEEDORES[[#This Row],[FECHA DE PAGO]]-PROVEEDORES[[#This Row],[FECHA DE FACTURACIÓN]])&gt;PROVEEDORES[[#This Row],[PLAZO Días]],"PAGO VENCIDO")</f>
        <v>0</v>
      </c>
      <c r="C1554" s="138">
        <f>+VLOOKUP(PROVEEDORES[[#This Row],[PROVEEDOR]],TERCEROS_INFO[#All],2,FALSE)</f>
        <v>30</v>
      </c>
      <c r="D1554" s="139">
        <f>+SUMIFS(PROVEEDORES[Total],PROVEEDORES[PROVEEDOR],PROVEEDORES[[#This Row],[PROVEEDOR]],PROVEEDORES[FECHA DE PAGO],"")</f>
        <v>352000</v>
      </c>
      <c r="E1554" s="140"/>
      <c r="F1554" s="138" t="str">
        <f>+VLOOKUP(PROVEEDORES[[#This Row],[PROVEEDOR]],
                       Terceros!$A:$F,
                       5,
                       FALSE)</f>
        <v/>
      </c>
      <c r="G1554" s="127"/>
      <c r="H1554" s="123" t="s">
        <v>527</v>
      </c>
      <c r="I1554" s="127">
        <v>45378</v>
      </c>
      <c r="J1554" s="124">
        <v>83</v>
      </c>
      <c r="K1554" s="124" t="s">
        <v>1530</v>
      </c>
      <c r="L1554" s="124"/>
      <c r="M1554" s="125">
        <v>184000</v>
      </c>
      <c r="N1554" s="148">
        <v>0</v>
      </c>
      <c r="O1554" s="148">
        <v>0</v>
      </c>
      <c r="P1554" s="149">
        <v>0</v>
      </c>
      <c r="Q1554" s="148">
        <v>0</v>
      </c>
      <c r="R1554" s="150">
        <v>184000</v>
      </c>
      <c r="S1554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54" s="135">
        <f ca="1">+IF(PROVEEDORES[[#This Row],[FECHA DE PAGO]]=0,TODAY()-PROVEEDORES[[#This Row],[FECHA DE FACTURACIÓN]]-PROVEEDORES[[#This Row],[PLAZO Días]],0)</f>
        <v>39</v>
      </c>
      <c r="U1554" s="135">
        <f>+VLOOKUP(PROVEEDORES[[#This Row],[PROVEEDOR]],Terceros!$A:$D,4,FALSE)</f>
        <v>0</v>
      </c>
      <c r="V1554" s="135">
        <f>+YEAR(PROVEEDORES[[#This Row],[FECHA DE FACTURACIÓN]])</f>
        <v>2024</v>
      </c>
      <c r="W1554" s="135">
        <f>+MATCH(PROVEEDORES[[#This Row],[año facturado]],Retenciones!$1:$1,0)</f>
        <v>7</v>
      </c>
      <c r="X1554" s="136">
        <f>+VLOOKUP(PROVEEDORES[[#This Row],[ID RETENCION]],Retenciones!$A$1:$O$25,PROVEEDORES[[#This Row],[indicador de columna]],FALSE)</f>
        <v>0</v>
      </c>
      <c r="Y1554" s="137">
        <f>+VLOOKUP(PROVEEDORES[[#This Row],[ID RETENCION]],Retenciones!$A$1:$O$25,2,FALSE)</f>
        <v>0</v>
      </c>
      <c r="Z1554" s="126" t="b">
        <f>+OR(COUNTIF(PROVEEDORES[[#This Row],[PROVEEDOR]],"*"&amp;'Palabra que no opera y Listas d'!$A$2&amp;"*"))</f>
        <v>0</v>
      </c>
    </row>
    <row r="1555" spans="1:26" ht="27.75" customHeight="1" x14ac:dyDescent="0.25">
      <c r="A1555" s="141" t="str">
        <f>+IF(PROVEEDORES[[#This Row],[FECHA DE PAGO]]=PROVEEDORES[[#This Row],[FECHA DE FACTURACIÓN]],"DE CONTADO","CRÉDITO")</f>
        <v>CRÉDITO</v>
      </c>
      <c r="B1555" s="138" t="b">
        <f>+IF((PROVEEDORES[[#This Row],[FECHA DE PAGO]]-PROVEEDORES[[#This Row],[FECHA DE FACTURACIÓN]])&gt;PROVEEDORES[[#This Row],[PLAZO Días]],"PAGO VENCIDO")</f>
        <v>0</v>
      </c>
      <c r="C1555" s="138">
        <f>+VLOOKUP(PROVEEDORES[[#This Row],[PROVEEDOR]],TERCEROS_INFO[#All],2,FALSE)</f>
        <v>30</v>
      </c>
      <c r="D1555" s="139">
        <f>+SUMIFS(PROVEEDORES[Total],PROVEEDORES[PROVEEDOR],PROVEEDORES[[#This Row],[PROVEEDOR]],PROVEEDORES[FECHA DE PAGO],"")</f>
        <v>352000</v>
      </c>
      <c r="E1555" s="140"/>
      <c r="F1555" s="138" t="str">
        <f>+VLOOKUP(PROVEEDORES[[#This Row],[PROVEEDOR]],
                       Terceros!$A:$F,
                       5,
                       FALSE)</f>
        <v/>
      </c>
      <c r="G1555" s="127"/>
      <c r="H1555" s="123" t="s">
        <v>527</v>
      </c>
      <c r="I1555" s="127">
        <v>45402</v>
      </c>
      <c r="J1555" s="124">
        <v>85</v>
      </c>
      <c r="K1555" s="124" t="s">
        <v>1530</v>
      </c>
      <c r="L1555" s="124"/>
      <c r="M1555" s="125">
        <v>72000</v>
      </c>
      <c r="N1555" s="148">
        <f>+(PROVEEDORES[[#This Row],[SUBTOTAL]])*VLOOKUP(PROVEEDORES[[#This Row],[PROVEEDOR]],TERCEROS_INFO[#All],3,FALSE)</f>
        <v>0</v>
      </c>
      <c r="O1555" s="148">
        <f>+'Palabra que no opera y Listas d'!$D$2</f>
        <v>0</v>
      </c>
      <c r="P1555" s="149">
        <f>+IF(PROVEEDORES[[#This Row],[SUBTOTAL]]&lt;PROVEEDORES[[#This Row],[base retencion]],0,PROVEEDORES[[#This Row],[retención aplicada]])</f>
        <v>0</v>
      </c>
      <c r="Q1555" s="148">
        <f>+PROVEEDORES[[#This Row],[ReteFuente
%]]*(PROVEEDORES[[#This Row],[SUBTOTAL]])</f>
        <v>0</v>
      </c>
      <c r="R1555" s="150">
        <f>+PROVEEDORES[[#This Row],[SUBTOTAL]]+PROVEEDORES[[#This Row],[IVA 19%]]-PROVEEDORES[[#This Row],[Descuento
$]]-PROVEEDORES[[#This Row],[ReteFuente
$]]</f>
        <v>72000</v>
      </c>
      <c r="S1555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55" s="135">
        <f ca="1">+IF(PROVEEDORES[[#This Row],[FECHA DE PAGO]]=0,TODAY()-PROVEEDORES[[#This Row],[FECHA DE FACTURACIÓN]]-PROVEEDORES[[#This Row],[PLAZO Días]],0)</f>
        <v>15</v>
      </c>
      <c r="U1555" s="135">
        <f>+VLOOKUP(PROVEEDORES[[#This Row],[PROVEEDOR]],Terceros!$A:$D,4,FALSE)</f>
        <v>0</v>
      </c>
      <c r="V1555" s="135">
        <f>+YEAR(PROVEEDORES[[#This Row],[FECHA DE FACTURACIÓN]])</f>
        <v>2024</v>
      </c>
      <c r="W1555" s="135">
        <f>+MATCH(PROVEEDORES[[#This Row],[año facturado]],Retenciones!$1:$1,0)</f>
        <v>7</v>
      </c>
      <c r="X1555" s="136">
        <f>+VLOOKUP(PROVEEDORES[[#This Row],[ID RETENCION]],Retenciones!$A$1:$O$25,PROVEEDORES[[#This Row],[indicador de columna]],FALSE)</f>
        <v>0</v>
      </c>
      <c r="Y1555" s="137">
        <f>+VLOOKUP(PROVEEDORES[[#This Row],[ID RETENCION]],Retenciones!$A$1:$O$25,2,FALSE)</f>
        <v>0</v>
      </c>
      <c r="Z1555" s="126" t="b">
        <f>+OR(COUNTIF(PROVEEDORES[[#This Row],[PROVEEDOR]],"*"&amp;'Palabra que no opera y Listas d'!$A$2&amp;"*"))</f>
        <v>0</v>
      </c>
    </row>
    <row r="1556" spans="1:26" ht="27.75" customHeight="1" x14ac:dyDescent="0.25">
      <c r="A1556" s="141" t="str">
        <f>+IF(PROVEEDORES[[#This Row],[FECHA DE PAGO]]=PROVEEDORES[[#This Row],[FECHA DE FACTURACIÓN]],"DE CONTADO","CRÉDITO")</f>
        <v>CRÉDITO</v>
      </c>
      <c r="B1556" s="138" t="b">
        <f>+IF((PROVEEDORES[[#This Row],[FECHA DE PAGO]]-PROVEEDORES[[#This Row],[FECHA DE FACTURACIÓN]])&gt;PROVEEDORES[[#This Row],[PLAZO Días]],"PAGO VENCIDO")</f>
        <v>0</v>
      </c>
      <c r="C1556" s="138">
        <f>+VLOOKUP(PROVEEDORES[[#This Row],[PROVEEDOR]],TERCEROS_INFO[#All],2,FALSE)</f>
        <v>30</v>
      </c>
      <c r="D1556" s="139">
        <f>+SUMIFS(PROVEEDORES[Total],PROVEEDORES[PROVEEDOR],PROVEEDORES[[#This Row],[PROVEEDOR]],PROVEEDORES[FECHA DE PAGO],"")</f>
        <v>352000</v>
      </c>
      <c r="E1556" s="140"/>
      <c r="F1556" s="138" t="str">
        <f>+VLOOKUP(PROVEEDORES[[#This Row],[PROVEEDOR]],
                       Terceros!$A:$F,
                       5,
                       FALSE)</f>
        <v/>
      </c>
      <c r="G1556" s="127"/>
      <c r="H1556" s="123" t="s">
        <v>527</v>
      </c>
      <c r="I1556" s="127">
        <v>45404</v>
      </c>
      <c r="J1556" s="124">
        <v>86</v>
      </c>
      <c r="K1556" s="124" t="s">
        <v>1530</v>
      </c>
      <c r="L1556" s="124"/>
      <c r="M1556" s="125">
        <v>56000</v>
      </c>
      <c r="N1556" s="148">
        <f>+(PROVEEDORES[[#This Row],[SUBTOTAL]])*VLOOKUP(PROVEEDORES[[#This Row],[PROVEEDOR]],TERCEROS_INFO[#All],3,FALSE)</f>
        <v>0</v>
      </c>
      <c r="O1556" s="148">
        <f>+'Palabra que no opera y Listas d'!$D$2</f>
        <v>0</v>
      </c>
      <c r="P1556" s="149">
        <f>+IF(PROVEEDORES[[#This Row],[SUBTOTAL]]&lt;PROVEEDORES[[#This Row],[base retencion]],0,PROVEEDORES[[#This Row],[retención aplicada]])</f>
        <v>0</v>
      </c>
      <c r="Q1556" s="148">
        <f>+PROVEEDORES[[#This Row],[ReteFuente
%]]*(PROVEEDORES[[#This Row],[SUBTOTAL]])</f>
        <v>0</v>
      </c>
      <c r="R1556" s="150">
        <f>+PROVEEDORES[[#This Row],[SUBTOTAL]]+PROVEEDORES[[#This Row],[IVA 19%]]-PROVEEDORES[[#This Row],[Descuento
$]]-PROVEEDORES[[#This Row],[ReteFuente
$]]</f>
        <v>56000</v>
      </c>
      <c r="S1556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56" s="135">
        <f ca="1">+IF(PROVEEDORES[[#This Row],[FECHA DE PAGO]]=0,TODAY()-PROVEEDORES[[#This Row],[FECHA DE FACTURACIÓN]]-PROVEEDORES[[#This Row],[PLAZO Días]],0)</f>
        <v>13</v>
      </c>
      <c r="U1556" s="135">
        <f>+VLOOKUP(PROVEEDORES[[#This Row],[PROVEEDOR]],Terceros!$A:$D,4,FALSE)</f>
        <v>0</v>
      </c>
      <c r="V1556" s="135">
        <f>+YEAR(PROVEEDORES[[#This Row],[FECHA DE FACTURACIÓN]])</f>
        <v>2024</v>
      </c>
      <c r="W1556" s="135">
        <f>+MATCH(PROVEEDORES[[#This Row],[año facturado]],Retenciones!$1:$1,0)</f>
        <v>7</v>
      </c>
      <c r="X1556" s="136">
        <f>+VLOOKUP(PROVEEDORES[[#This Row],[ID RETENCION]],Retenciones!$A$1:$O$25,PROVEEDORES[[#This Row],[indicador de columna]],FALSE)</f>
        <v>0</v>
      </c>
      <c r="Y1556" s="137">
        <f>+VLOOKUP(PROVEEDORES[[#This Row],[ID RETENCION]],Retenciones!$A$1:$O$25,2,FALSE)</f>
        <v>0</v>
      </c>
      <c r="Z1556" s="126" t="b">
        <f>+OR(COUNTIF(PROVEEDORES[[#This Row],[PROVEEDOR]],"*"&amp;'Palabra que no opera y Listas d'!$A$2&amp;"*"))</f>
        <v>0</v>
      </c>
    </row>
    <row r="1557" spans="1:26" ht="27.75" customHeight="1" x14ac:dyDescent="0.25">
      <c r="A1557" s="141" t="str">
        <f>+IF(PROVEEDORES[[#This Row],[FECHA DE PAGO]]=PROVEEDORES[[#This Row],[FECHA DE FACTURACIÓN]],"DE CONTADO","CRÉDITO")</f>
        <v>CRÉDITO</v>
      </c>
      <c r="B1557" s="138" t="str">
        <f>+IF((PROVEEDORES[[#This Row],[FECHA DE PAGO]]-PROVEEDORES[[#This Row],[FECHA DE FACTURACIÓN]])&gt;PROVEEDORES[[#This Row],[PLAZO Días]],"PAGO VENCIDO")</f>
        <v>PAGO VENCIDO</v>
      </c>
      <c r="C1557" s="138">
        <f>+VLOOKUP(PROVEEDORES[[#This Row],[PROVEEDOR]],TERCEROS_INFO[#All],2,FALSE)</f>
        <v>60</v>
      </c>
      <c r="D1557" s="139">
        <f>+SUMIFS(PROVEEDORES[Total],PROVEEDORES[PROVEEDOR],PROVEEDORES[[#This Row],[PROVEEDOR]],PROVEEDORES[FECHA DE PAGO],"")</f>
        <v>0</v>
      </c>
      <c r="E1557" s="140"/>
      <c r="F1557" s="13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57" s="127">
        <v>45432</v>
      </c>
      <c r="H1557" s="123" t="s">
        <v>221</v>
      </c>
      <c r="I1557" s="127">
        <v>45370</v>
      </c>
      <c r="J1557" s="124" t="s">
        <v>1677</v>
      </c>
      <c r="K1557" s="124" t="s">
        <v>1530</v>
      </c>
      <c r="L1557" s="124" t="s">
        <v>1533</v>
      </c>
      <c r="M1557" s="125">
        <v>916638</v>
      </c>
      <c r="N1557" s="148">
        <v>174161.22</v>
      </c>
      <c r="O1557" s="148">
        <v>0</v>
      </c>
      <c r="P1557" s="149">
        <v>0</v>
      </c>
      <c r="Q1557" s="148">
        <v>0</v>
      </c>
      <c r="R1557" s="150">
        <v>1090799.22</v>
      </c>
      <c r="S155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7" s="135">
        <f ca="1">+IF(PROVEEDORES[[#This Row],[FECHA DE PAGO]]=0,TODAY()-PROVEEDORES[[#This Row],[FECHA DE FACTURACIÓN]]-PROVEEDORES[[#This Row],[PLAZO Días]],0)</f>
        <v>0</v>
      </c>
      <c r="U1557" s="135" t="str">
        <f>+VLOOKUP(PROVEEDORES[[#This Row],[PROVEEDOR]],Terceros!$A:$D,4,FALSE)</f>
        <v>2,5% con base</v>
      </c>
      <c r="V1557" s="135">
        <f>+YEAR(PROVEEDORES[[#This Row],[FECHA DE FACTURACIÓN]])</f>
        <v>2024</v>
      </c>
      <c r="W1557" s="135">
        <f>+MATCH(PROVEEDORES[[#This Row],[año facturado]],Retenciones!$1:$1,0)</f>
        <v>7</v>
      </c>
      <c r="X1557" s="136">
        <f>+VLOOKUP(PROVEEDORES[[#This Row],[ID RETENCION]],Retenciones!$A$1:$O$25,PROVEEDORES[[#This Row],[indicador de columna]],FALSE)</f>
        <v>1271000</v>
      </c>
      <c r="Y1557" s="137">
        <f>+VLOOKUP(PROVEEDORES[[#This Row],[ID RETENCION]],Retenciones!$A$1:$O$25,2,FALSE)</f>
        <v>2.5000000000000001E-2</v>
      </c>
      <c r="Z1557" s="126" t="b">
        <f>+OR(COUNTIF(PROVEEDORES[[#This Row],[PROVEEDOR]],"*"&amp;'Palabra que no opera y Listas d'!$A$2&amp;"*"))</f>
        <v>0</v>
      </c>
    </row>
    <row r="1558" spans="1:26" ht="27.75" customHeight="1" x14ac:dyDescent="0.25">
      <c r="A1558" s="141" t="str">
        <f>+IF(PROVEEDORES[[#This Row],[FECHA DE PAGO]]=PROVEEDORES[[#This Row],[FECHA DE FACTURACIÓN]],"DE CONTADO","CRÉDITO")</f>
        <v>CRÉDITO</v>
      </c>
      <c r="B1558" s="138" t="b">
        <f>+IF((PROVEEDORES[[#This Row],[FECHA DE PAGO]]-PROVEEDORES[[#This Row],[FECHA DE FACTURACIÓN]])&gt;PROVEEDORES[[#This Row],[PLAZO Días]],"PAGO VENCIDO")</f>
        <v>0</v>
      </c>
      <c r="C1558" s="138">
        <f>+VLOOKUP(PROVEEDORES[[#This Row],[PROVEEDOR]],TERCEROS_INFO[#All],2,FALSE)</f>
        <v>60</v>
      </c>
      <c r="D1558" s="139">
        <f>+SUMIFS(PROVEEDORES[Total],PROVEEDORES[PROVEEDOR],PROVEEDORES[[#This Row],[PROVEEDOR]],PROVEEDORES[FECHA DE PAGO],"")</f>
        <v>0</v>
      </c>
      <c r="E1558" s="140"/>
      <c r="F1558" s="138" t="str">
        <f>+VLOOKUP(PROVEEDORES[[#This Row],[PROVEEDOR]],
                       Terceros!$A:$F,
                       5,
                       FALSE)</f>
        <v>ventasmegamundo@yahoo.es;girlesa.ruiz@servipilas.com;joriescobar64@gmail.com</v>
      </c>
      <c r="G1558" s="127">
        <v>45432</v>
      </c>
      <c r="H1558" s="123" t="s">
        <v>221</v>
      </c>
      <c r="I1558" s="127">
        <v>45373</v>
      </c>
      <c r="J1558" s="124" t="s">
        <v>1678</v>
      </c>
      <c r="K1558" s="124" t="s">
        <v>1530</v>
      </c>
      <c r="L1558" s="124" t="s">
        <v>1533</v>
      </c>
      <c r="M1558" s="125">
        <v>-90756</v>
      </c>
      <c r="N1558" s="148">
        <v>0</v>
      </c>
      <c r="O1558" s="148">
        <v>0</v>
      </c>
      <c r="P1558" s="149">
        <v>0</v>
      </c>
      <c r="Q1558" s="148">
        <v>0</v>
      </c>
      <c r="R1558" s="150">
        <v>-90756</v>
      </c>
      <c r="S15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58" s="135">
        <f ca="1">+IF(PROVEEDORES[[#This Row],[FECHA DE PAGO]]=0,TODAY()-PROVEEDORES[[#This Row],[FECHA DE FACTURACIÓN]]-PROVEEDORES[[#This Row],[PLAZO Días]],0)</f>
        <v>0</v>
      </c>
      <c r="U1558" s="135" t="str">
        <f>+VLOOKUP(PROVEEDORES[[#This Row],[PROVEEDOR]],Terceros!$A:$D,4,FALSE)</f>
        <v>2,5% con base</v>
      </c>
      <c r="V1558" s="135">
        <f>+YEAR(PROVEEDORES[[#This Row],[FECHA DE FACTURACIÓN]])</f>
        <v>2024</v>
      </c>
      <c r="W1558" s="135">
        <f>+MATCH(PROVEEDORES[[#This Row],[año facturado]],Retenciones!$1:$1,0)</f>
        <v>7</v>
      </c>
      <c r="X1558" s="136">
        <f>+VLOOKUP(PROVEEDORES[[#This Row],[ID RETENCION]],Retenciones!$A$1:$O$25,PROVEEDORES[[#This Row],[indicador de columna]],FALSE)</f>
        <v>1271000</v>
      </c>
      <c r="Y1558" s="137">
        <f>+VLOOKUP(PROVEEDORES[[#This Row],[ID RETENCION]],Retenciones!$A$1:$O$25,2,FALSE)</f>
        <v>2.5000000000000001E-2</v>
      </c>
      <c r="Z1558" s="126" t="b">
        <f>+OR(COUNTIF(PROVEEDORES[[#This Row],[PROVEEDOR]],"*"&amp;'Palabra que no opera y Listas d'!$A$2&amp;"*"))</f>
        <v>0</v>
      </c>
    </row>
    <row r="1559" spans="1:26" ht="27.75" customHeight="1" x14ac:dyDescent="0.25">
      <c r="A1559" s="141" t="str">
        <f>+IF(PROVEEDORES[[#This Row],[FECHA DE PAGO]]=PROVEEDORES[[#This Row],[FECHA DE FACTURACIÓN]],"DE CONTADO","CRÉDITO")</f>
        <v>CRÉDITO</v>
      </c>
      <c r="B1559" s="138" t="b">
        <f>+IF((PROVEEDORES[[#This Row],[FECHA DE PAGO]]-PROVEEDORES[[#This Row],[FECHA DE FACTURACIÓN]])&gt;PROVEEDORES[[#This Row],[PLAZO Días]],"PAGO VENCIDO")</f>
        <v>0</v>
      </c>
      <c r="C1559" s="138">
        <f>+VLOOKUP(PROVEEDORES[[#This Row],[PROVEEDOR]],TERCEROS_INFO[#All],2,FALSE)</f>
        <v>30</v>
      </c>
      <c r="D1559" s="139">
        <f>+SUMIFS(PROVEEDORES[Total],PROVEEDORES[PROVEEDOR],PROVEEDORES[[#This Row],[PROVEEDOR]],PROVEEDORES[FECHA DE PAGO],"")</f>
        <v>818443.92</v>
      </c>
      <c r="E1559" s="140"/>
      <c r="F1559" s="138" t="str">
        <f>+VLOOKUP(PROVEEDORES[[#This Row],[PROVEEDOR]],
                       Terceros!$A:$F,
                       5,
                       FALSE)</f>
        <v>contabilidad@amgimportadora.com;mcastellanos@amgimportadora.com;girlesa.ruiz@servipilas.com;joriescobar64@gmail.com</v>
      </c>
      <c r="G1559" s="127"/>
      <c r="H1559" s="123" t="s">
        <v>20</v>
      </c>
      <c r="I1559" s="127">
        <v>45427</v>
      </c>
      <c r="J1559" s="124" t="s">
        <v>1899</v>
      </c>
      <c r="K1559" s="124" t="s">
        <v>1530</v>
      </c>
      <c r="L1559" s="124"/>
      <c r="M1559" s="125">
        <v>687768</v>
      </c>
      <c r="N1559" s="148">
        <f>+(PROVEEDORES[[#This Row],[SUBTOTAL]])*VLOOKUP(PROVEEDORES[[#This Row],[PROVEEDOR]],TERCEROS_INFO[#All],3,FALSE)</f>
        <v>130675.92</v>
      </c>
      <c r="O1559" s="148"/>
      <c r="P1559" s="149">
        <f>+IF(PROVEEDORES[[#This Row],[SUBTOTAL]]&lt;PROVEEDORES[[#This Row],[base retencion]],0,PROVEEDORES[[#This Row],[retención aplicada]])</f>
        <v>0</v>
      </c>
      <c r="Q1559" s="148">
        <f>+PROVEEDORES[[#This Row],[ReteFuente
%]]*(PROVEEDORES[[#This Row],[SUBTOTAL]])</f>
        <v>0</v>
      </c>
      <c r="R1559" s="150">
        <f>+PROVEEDORES[[#This Row],[SUBTOTAL]]+PROVEEDORES[[#This Row],[IVA 19%]]-PROVEEDORES[[#This Row],[Descuento
$]]-PROVEEDORES[[#This Row],[ReteFuente
$]]</f>
        <v>818443.92</v>
      </c>
      <c r="S1559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559" s="135">
        <f ca="1">+IF(PROVEEDORES[[#This Row],[FECHA DE PAGO]]=0,TODAY()-PROVEEDORES[[#This Row],[FECHA DE FACTURACIÓN]]-PROVEEDORES[[#This Row],[PLAZO Días]],0)</f>
        <v>-10</v>
      </c>
      <c r="U1559" s="135" t="str">
        <f>+VLOOKUP(PROVEEDORES[[#This Row],[PROVEEDOR]],Terceros!$A:$D,4,FALSE)</f>
        <v>2,5% con base</v>
      </c>
      <c r="V1559" s="135">
        <f>+YEAR(PROVEEDORES[[#This Row],[FECHA DE FACTURACIÓN]])</f>
        <v>2024</v>
      </c>
      <c r="W1559" s="135">
        <f>+MATCH(PROVEEDORES[[#This Row],[año facturado]],Retenciones!$1:$1,0)</f>
        <v>7</v>
      </c>
      <c r="X1559" s="136">
        <f>+VLOOKUP(PROVEEDORES[[#This Row],[ID RETENCION]],Retenciones!$A$1:$O$25,PROVEEDORES[[#This Row],[indicador de columna]],FALSE)</f>
        <v>1271000</v>
      </c>
      <c r="Y1559" s="137">
        <f>+VLOOKUP(PROVEEDORES[[#This Row],[ID RETENCION]],Retenciones!$A$1:$O$25,2,FALSE)</f>
        <v>2.5000000000000001E-2</v>
      </c>
      <c r="Z1559" s="126" t="b">
        <f>+OR(COUNTIF(PROVEEDORES[[#This Row],[PROVEEDOR]],"*"&amp;'Palabra que no opera y Listas d'!$A$2&amp;"*"))</f>
        <v>0</v>
      </c>
    </row>
    <row r="1560" spans="1:26" ht="27.75" customHeight="1" x14ac:dyDescent="0.25">
      <c r="A1560" s="141" t="str">
        <f>+IF(PROVEEDORES[[#This Row],[FECHA DE PAGO]]=PROVEEDORES[[#This Row],[FECHA DE FACTURACIÓN]],"DE CONTADO","CRÉDITO")</f>
        <v>CRÉDITO</v>
      </c>
      <c r="B1560" s="138" t="b">
        <f>+IF((PROVEEDORES[[#This Row],[FECHA DE PAGO]]-PROVEEDORES[[#This Row],[FECHA DE FACTURACIÓN]])&gt;PROVEEDORES[[#This Row],[PLAZO Días]],"PAGO VENCIDO")</f>
        <v>0</v>
      </c>
      <c r="C1560" s="138">
        <f>+VLOOKUP(PROVEEDORES[[#This Row],[PROVEEDOR]],TERCEROS_INFO[#All],2,FALSE)</f>
        <v>60</v>
      </c>
      <c r="D1560" s="139">
        <f>+SUMIFS(PROVEEDORES[Total],PROVEEDORES[PROVEEDOR],PROVEEDORES[[#This Row],[PROVEEDOR]],PROVEEDORES[FECHA DE PAGO],"")</f>
        <v>1730482</v>
      </c>
      <c r="E1560" s="140"/>
      <c r="F1560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560" s="127">
        <v>45435</v>
      </c>
      <c r="H1560" s="123" t="s">
        <v>222</v>
      </c>
      <c r="I1560" s="127">
        <v>45414</v>
      </c>
      <c r="J1560" s="124">
        <v>2024</v>
      </c>
      <c r="K1560" s="124" t="s">
        <v>504</v>
      </c>
      <c r="L1560" s="124" t="s">
        <v>1534</v>
      </c>
      <c r="M1560" s="125">
        <v>92397.119999999995</v>
      </c>
      <c r="N1560" s="148">
        <f>+(PROVEEDORES[[#This Row],[SUBTOTAL]])*VLOOKUP(PROVEEDORES[[#This Row],[PROVEEDOR]],TERCEROS_INFO[#All],3,FALSE)</f>
        <v>0</v>
      </c>
      <c r="O1560" s="148">
        <f>+'Palabra que no opera y Listas d'!$D$2</f>
        <v>0</v>
      </c>
      <c r="P1560" s="149">
        <f>+IF(PROVEEDORES[[#This Row],[SUBTOTAL]]&lt;PROVEEDORES[[#This Row],[base retencion]],0,PROVEEDORES[[#This Row],[retención aplicada]])</f>
        <v>0</v>
      </c>
      <c r="Q1560" s="148">
        <f>+PROVEEDORES[[#This Row],[ReteFuente
%]]*(PROVEEDORES[[#This Row],[SUBTOTAL]])</f>
        <v>0</v>
      </c>
      <c r="R1560" s="150">
        <f>+PROVEEDORES[[#This Row],[SUBTOTAL]]+PROVEEDORES[[#This Row],[IVA 19%]]-PROVEEDORES[[#This Row],[Descuento
$]]-PROVEEDORES[[#This Row],[ReteFuente
$]]</f>
        <v>92397.119999999995</v>
      </c>
      <c r="S15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0" s="135">
        <f ca="1">+IF(PROVEEDORES[[#This Row],[FECHA DE PAGO]]=0,TODAY()-PROVEEDORES[[#This Row],[FECHA DE FACTURACIÓN]]-PROVEEDORES[[#This Row],[PLAZO Días]],0)</f>
        <v>0</v>
      </c>
      <c r="U1560" s="135">
        <f>+VLOOKUP(PROVEEDORES[[#This Row],[PROVEEDOR]],Terceros!$A:$D,4,FALSE)</f>
        <v>0</v>
      </c>
      <c r="V1560" s="135">
        <f>+YEAR(PROVEEDORES[[#This Row],[FECHA DE FACTURACIÓN]])</f>
        <v>2024</v>
      </c>
      <c r="W1560" s="135">
        <f>+MATCH(PROVEEDORES[[#This Row],[año facturado]],Retenciones!$1:$1,0)</f>
        <v>7</v>
      </c>
      <c r="X1560" s="136">
        <f>+VLOOKUP(PROVEEDORES[[#This Row],[ID RETENCION]],Retenciones!$A$1:$O$25,PROVEEDORES[[#This Row],[indicador de columna]],FALSE)</f>
        <v>0</v>
      </c>
      <c r="Y1560" s="137">
        <f>+VLOOKUP(PROVEEDORES[[#This Row],[ID RETENCION]],Retenciones!$A$1:$O$25,2,FALSE)</f>
        <v>0</v>
      </c>
      <c r="Z1560" s="126" t="b">
        <f>+OR(COUNTIF(PROVEEDORES[[#This Row],[PROVEEDOR]],"*"&amp;'Palabra que no opera y Listas d'!$A$2&amp;"*"))</f>
        <v>0</v>
      </c>
    </row>
    <row r="1561" spans="1:26" ht="27.75" customHeight="1" x14ac:dyDescent="0.25">
      <c r="A1561" s="141" t="str">
        <f>+IF(PROVEEDORES[[#This Row],[FECHA DE PAGO]]=PROVEEDORES[[#This Row],[FECHA DE FACTURACIÓN]],"DE CONTADO","CRÉDITO")</f>
        <v>CRÉDITO</v>
      </c>
      <c r="B1561" s="138" t="b">
        <f>+IF((PROVEEDORES[[#This Row],[FECHA DE PAGO]]-PROVEEDORES[[#This Row],[FECHA DE FACTURACIÓN]])&gt;PROVEEDORES[[#This Row],[PLAZO Días]],"PAGO VENCIDO")</f>
        <v>0</v>
      </c>
      <c r="C1561" s="138">
        <f>+VLOOKUP(PROVEEDORES[[#This Row],[PROVEEDOR]],TERCEROS_INFO[#All],2,FALSE)</f>
        <v>30</v>
      </c>
      <c r="D1561" s="139">
        <f>+SUMIFS(PROVEEDORES[Total],PROVEEDORES[PROVEEDOR],PROVEEDORES[[#This Row],[PROVEEDOR]],PROVEEDORES[FECHA DE PAGO],"")</f>
        <v>5013121.9850000003</v>
      </c>
      <c r="E1561" s="140"/>
      <c r="F1561" s="138" t="str">
        <f>+VLOOKUP(PROVEEDORES[[#This Row],[PROVEEDOR]],
                       Terceros!$A:$F,
                       5,
                       FALSE)</f>
        <v>financiero@CASA COLOMBOSUIZA DMARIO colombia.com;cartera@CASA COLOMBOSUIZA DMARIO colombia.com.co;girlesa.ruiz@servipilas.com;joriescobar64@gmail.com</v>
      </c>
      <c r="G1561" s="127"/>
      <c r="H1561" s="123" t="s">
        <v>1883</v>
      </c>
      <c r="I1561" s="127">
        <v>45413</v>
      </c>
      <c r="J1561" s="124" t="s">
        <v>1838</v>
      </c>
      <c r="K1561" s="124" t="s">
        <v>1530</v>
      </c>
      <c r="L1561" s="124"/>
      <c r="M1561" s="125">
        <v>4303109</v>
      </c>
      <c r="N1561" s="148">
        <v>817590.71</v>
      </c>
      <c r="O1561" s="148">
        <v>0</v>
      </c>
      <c r="P1561" s="149">
        <v>2.5000000000000001E-2</v>
      </c>
      <c r="Q1561" s="148">
        <v>107577.72500000001</v>
      </c>
      <c r="R1561" s="150">
        <v>5013121.9850000003</v>
      </c>
      <c r="S1561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1" s="135">
        <f ca="1">+IF(PROVEEDORES[[#This Row],[FECHA DE PAGO]]=0,TODAY()-PROVEEDORES[[#This Row],[FECHA DE FACTURACIÓN]]-PROVEEDORES[[#This Row],[PLAZO Días]],0)</f>
        <v>4</v>
      </c>
      <c r="U1561" s="135" t="str">
        <f>+VLOOKUP(PROVEEDORES[[#This Row],[PROVEEDOR]],Terceros!$A:$D,4,FALSE)</f>
        <v>2,5% con base</v>
      </c>
      <c r="V1561" s="135">
        <f>+YEAR(PROVEEDORES[[#This Row],[FECHA DE FACTURACIÓN]])</f>
        <v>2024</v>
      </c>
      <c r="W1561" s="135">
        <f>+MATCH(PROVEEDORES[[#This Row],[año facturado]],Retenciones!$1:$1,0)</f>
        <v>7</v>
      </c>
      <c r="X1561" s="136">
        <f>+VLOOKUP(PROVEEDORES[[#This Row],[ID RETENCION]],Retenciones!$A$1:$O$25,PROVEEDORES[[#This Row],[indicador de columna]],FALSE)</f>
        <v>1271000</v>
      </c>
      <c r="Y1561" s="137">
        <f>+VLOOKUP(PROVEEDORES[[#This Row],[ID RETENCION]],Retenciones!$A$1:$O$25,2,FALSE)</f>
        <v>2.5000000000000001E-2</v>
      </c>
      <c r="Z1561" s="126" t="b">
        <f>+OR(COUNTIF(PROVEEDORES[[#This Row],[PROVEEDOR]],"*"&amp;'Palabra que no opera y Listas d'!$A$2&amp;"*"))</f>
        <v>0</v>
      </c>
    </row>
    <row r="1562" spans="1:26" ht="27.75" customHeight="1" x14ac:dyDescent="0.25">
      <c r="A1562" s="141" t="str">
        <f>+IF(PROVEEDORES[[#This Row],[FECHA DE PAGO]]=PROVEEDORES[[#This Row],[FECHA DE FACTURACIÓN]],"DE CONTADO","CRÉDITO")</f>
        <v>CRÉDITO</v>
      </c>
      <c r="B1562" s="138" t="b">
        <f>+IF((PROVEEDORES[[#This Row],[FECHA DE PAGO]]-PROVEEDORES[[#This Row],[FECHA DE FACTURACIÓN]])&gt;PROVEEDORES[[#This Row],[PLAZO Días]],"PAGO VENCIDO")</f>
        <v>0</v>
      </c>
      <c r="C1562" s="138">
        <f>+VLOOKUP(PROVEEDORES[[#This Row],[PROVEEDOR]],TERCEROS_INFO[#All],2,FALSE)</f>
        <v>30</v>
      </c>
      <c r="D1562" s="139">
        <f>+SUMIFS(PROVEEDORES[Total],PROVEEDORES[PROVEEDOR],PROVEEDORES[[#This Row],[PROVEEDOR]],PROVEEDORES[FECHA DE PAGO],"")</f>
        <v>3152439.05</v>
      </c>
      <c r="E1562" s="140"/>
      <c r="F1562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562" s="127"/>
      <c r="H1562" s="123" t="s">
        <v>220</v>
      </c>
      <c r="I1562" s="127">
        <v>45394</v>
      </c>
      <c r="J1562" s="124" t="s">
        <v>1751</v>
      </c>
      <c r="K1562" s="124" t="s">
        <v>504</v>
      </c>
      <c r="L1562" s="124"/>
      <c r="M1562" s="125">
        <v>2380260</v>
      </c>
      <c r="N1562" s="148">
        <v>182856</v>
      </c>
      <c r="O1562" s="148">
        <v>1417860</v>
      </c>
      <c r="P1562" s="149">
        <v>0</v>
      </c>
      <c r="Q1562" s="148">
        <v>0</v>
      </c>
      <c r="R1562" s="150">
        <v>1145256</v>
      </c>
      <c r="S1562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2" s="135">
        <f ca="1">+IF(PROVEEDORES[[#This Row],[FECHA DE PAGO]]=0,TODAY()-PROVEEDORES[[#This Row],[FECHA DE FACTURACIÓN]]-PROVEEDORES[[#This Row],[PLAZO Días]],0)</f>
        <v>23</v>
      </c>
      <c r="U1562" s="135">
        <f>+VLOOKUP(PROVEEDORES[[#This Row],[PROVEEDOR]],Terceros!$A:$D,4,FALSE)</f>
        <v>0</v>
      </c>
      <c r="V1562" s="135">
        <f>+YEAR(PROVEEDORES[[#This Row],[FECHA DE FACTURACIÓN]])</f>
        <v>2024</v>
      </c>
      <c r="W1562" s="135">
        <f>+MATCH(PROVEEDORES[[#This Row],[año facturado]],Retenciones!$1:$1,0)</f>
        <v>7</v>
      </c>
      <c r="X1562" s="136">
        <f>+VLOOKUP(PROVEEDORES[[#This Row],[ID RETENCION]],Retenciones!$A$1:$O$25,PROVEEDORES[[#This Row],[indicador de columna]],FALSE)</f>
        <v>0</v>
      </c>
      <c r="Y1562" s="137">
        <f>+VLOOKUP(PROVEEDORES[[#This Row],[ID RETENCION]],Retenciones!$A$1:$O$25,2,FALSE)</f>
        <v>0</v>
      </c>
      <c r="Z1562" s="126" t="b">
        <f>+OR(COUNTIF(PROVEEDORES[[#This Row],[PROVEEDOR]],"*"&amp;'Palabra que no opera y Listas d'!$A$2&amp;"*"))</f>
        <v>0</v>
      </c>
    </row>
    <row r="1563" spans="1:26" ht="27.75" customHeight="1" x14ac:dyDescent="0.25">
      <c r="A1563" s="141" t="str">
        <f>+IF(PROVEEDORES[[#This Row],[FECHA DE PAGO]]=PROVEEDORES[[#This Row],[FECHA DE FACTURACIÓN]],"DE CONTADO","CRÉDITO")</f>
        <v>CRÉDITO</v>
      </c>
      <c r="B1563" s="138" t="b">
        <f>+IF((PROVEEDORES[[#This Row],[FECHA DE PAGO]]-PROVEEDORES[[#This Row],[FECHA DE FACTURACIÓN]])&gt;PROVEEDORES[[#This Row],[PLAZO Días]],"PAGO VENCIDO")</f>
        <v>0</v>
      </c>
      <c r="C1563" s="138">
        <f>+VLOOKUP(PROVEEDORES[[#This Row],[PROVEEDOR]],TERCEROS_INFO[#All],2,FALSE)</f>
        <v>30</v>
      </c>
      <c r="D1563" s="139">
        <f>+SUMIFS(PROVEEDORES[Total],PROVEEDORES[PROVEEDOR],PROVEEDORES[[#This Row],[PROVEEDOR]],PROVEEDORES[FECHA DE PAGO],"")</f>
        <v>3152439.05</v>
      </c>
      <c r="E1563" s="140"/>
      <c r="F1563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563" s="127"/>
      <c r="H1563" s="123" t="s">
        <v>220</v>
      </c>
      <c r="I1563" s="127">
        <v>45401</v>
      </c>
      <c r="J1563" s="124" t="s">
        <v>1773</v>
      </c>
      <c r="K1563" s="124" t="s">
        <v>504</v>
      </c>
      <c r="L1563" s="124"/>
      <c r="M1563" s="125">
        <v>702795</v>
      </c>
      <c r="N1563" s="148">
        <v>133531.04999999999</v>
      </c>
      <c r="O1563" s="148">
        <v>0</v>
      </c>
      <c r="P1563" s="149">
        <v>0</v>
      </c>
      <c r="Q1563" s="148">
        <v>0</v>
      </c>
      <c r="R1563" s="150">
        <v>836326.05</v>
      </c>
      <c r="S1563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3" s="135">
        <f ca="1">+IF(PROVEEDORES[[#This Row],[FECHA DE PAGO]]=0,TODAY()-PROVEEDORES[[#This Row],[FECHA DE FACTURACIÓN]]-PROVEEDORES[[#This Row],[PLAZO Días]],0)</f>
        <v>16</v>
      </c>
      <c r="U1563" s="135">
        <f>+VLOOKUP(PROVEEDORES[[#This Row],[PROVEEDOR]],Terceros!$A:$D,4,FALSE)</f>
        <v>0</v>
      </c>
      <c r="V1563" s="135">
        <f>+YEAR(PROVEEDORES[[#This Row],[FECHA DE FACTURACIÓN]])</f>
        <v>2024</v>
      </c>
      <c r="W1563" s="135">
        <f>+MATCH(PROVEEDORES[[#This Row],[año facturado]],Retenciones!$1:$1,0)</f>
        <v>7</v>
      </c>
      <c r="X1563" s="136">
        <f>+VLOOKUP(PROVEEDORES[[#This Row],[ID RETENCION]],Retenciones!$A$1:$O$25,PROVEEDORES[[#This Row],[indicador de columna]],FALSE)</f>
        <v>0</v>
      </c>
      <c r="Y1563" s="137">
        <f>+VLOOKUP(PROVEEDORES[[#This Row],[ID RETENCION]],Retenciones!$A$1:$O$25,2,FALSE)</f>
        <v>0</v>
      </c>
      <c r="Z1563" s="126" t="b">
        <f>+OR(COUNTIF(PROVEEDORES[[#This Row],[PROVEEDOR]],"*"&amp;'Palabra que no opera y Listas d'!$A$2&amp;"*"))</f>
        <v>0</v>
      </c>
    </row>
    <row r="1564" spans="1:26" ht="27.75" customHeight="1" x14ac:dyDescent="0.25">
      <c r="A1564" s="141" t="str">
        <f>+IF(PROVEEDORES[[#This Row],[FECHA DE PAGO]]=PROVEEDORES[[#This Row],[FECHA DE FACTURACIÓN]],"DE CONTADO","CRÉDITO")</f>
        <v>CRÉDITO</v>
      </c>
      <c r="B1564" s="138" t="b">
        <f>+IF((PROVEEDORES[[#This Row],[FECHA DE PAGO]]-PROVEEDORES[[#This Row],[FECHA DE FACTURACIÓN]])&gt;PROVEEDORES[[#This Row],[PLAZO Días]],"PAGO VENCIDO")</f>
        <v>0</v>
      </c>
      <c r="C1564" s="138">
        <f>+VLOOKUP(PROVEEDORES[[#This Row],[PROVEEDOR]],TERCEROS_INFO[#All],2,FALSE)</f>
        <v>30</v>
      </c>
      <c r="D1564" s="139">
        <f>+SUMIFS(PROVEEDORES[Total],PROVEEDORES[PROVEEDOR],PROVEEDORES[[#This Row],[PROVEEDOR]],PROVEEDORES[FECHA DE PAGO],"")</f>
        <v>3152439.05</v>
      </c>
      <c r="E1564" s="140"/>
      <c r="F1564" s="138" t="str">
        <f>+VLOOKUP(PROVEEDORES[[#This Row],[PROVEEDOR]],
                       Terceros!$A:$F,
                       5,
                       FALSE)</f>
        <v xml:space="preserve"> bateriasindustrialesbogota2@coexito.com.co;girlesa.ruiz@servipilas.com;joriescobar64@gmail.com</v>
      </c>
      <c r="G1564" s="127"/>
      <c r="H1564" s="123" t="s">
        <v>220</v>
      </c>
      <c r="I1564" s="127">
        <v>45404</v>
      </c>
      <c r="J1564" s="124" t="s">
        <v>1775</v>
      </c>
      <c r="K1564" s="124" t="s">
        <v>504</v>
      </c>
      <c r="L1564" s="124"/>
      <c r="M1564" s="125">
        <v>1909082</v>
      </c>
      <c r="N1564" s="148">
        <v>186944</v>
      </c>
      <c r="O1564" s="148">
        <v>925169</v>
      </c>
      <c r="P1564" s="149">
        <v>0</v>
      </c>
      <c r="Q1564" s="148">
        <v>0</v>
      </c>
      <c r="R1564" s="150">
        <v>1170857</v>
      </c>
      <c r="S1564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4" s="135">
        <f ca="1">+IF(PROVEEDORES[[#This Row],[FECHA DE PAGO]]=0,TODAY()-PROVEEDORES[[#This Row],[FECHA DE FACTURACIÓN]]-PROVEEDORES[[#This Row],[PLAZO Días]],0)</f>
        <v>13</v>
      </c>
      <c r="U1564" s="135">
        <f>+VLOOKUP(PROVEEDORES[[#This Row],[PROVEEDOR]],Terceros!$A:$D,4,FALSE)</f>
        <v>0</v>
      </c>
      <c r="V1564" s="135">
        <f>+YEAR(PROVEEDORES[[#This Row],[FECHA DE FACTURACIÓN]])</f>
        <v>2024</v>
      </c>
      <c r="W1564" s="135">
        <f>+MATCH(PROVEEDORES[[#This Row],[año facturado]],Retenciones!$1:$1,0)</f>
        <v>7</v>
      </c>
      <c r="X1564" s="136">
        <f>+VLOOKUP(PROVEEDORES[[#This Row],[ID RETENCION]],Retenciones!$A$1:$O$25,PROVEEDORES[[#This Row],[indicador de columna]],FALSE)</f>
        <v>0</v>
      </c>
      <c r="Y1564" s="137">
        <f>+VLOOKUP(PROVEEDORES[[#This Row],[ID RETENCION]],Retenciones!$A$1:$O$25,2,FALSE)</f>
        <v>0</v>
      </c>
      <c r="Z1564" s="126" t="b">
        <f>+OR(COUNTIF(PROVEEDORES[[#This Row],[PROVEEDOR]],"*"&amp;'Palabra que no opera y Listas d'!$A$2&amp;"*"))</f>
        <v>0</v>
      </c>
    </row>
    <row r="1565" spans="1:26" ht="27.75" customHeight="1" x14ac:dyDescent="0.25">
      <c r="A1565" s="141" t="str">
        <f>+IF(PROVEEDORES[[#This Row],[FECHA DE PAGO]]=PROVEEDORES[[#This Row],[FECHA DE FACTURACIÓN]],"DE CONTADO","CRÉDITO")</f>
        <v>CRÉDITO</v>
      </c>
      <c r="B1565" s="138" t="str">
        <f>+IF((PROVEEDORES[[#This Row],[FECHA DE PAGO]]-PROVEEDORES[[#This Row],[FECHA DE FACTURACIÓN]])&gt;PROVEEDORES[[#This Row],[PLAZO Días]],"PAGO VENCIDO")</f>
        <v>PAGO VENCIDO</v>
      </c>
      <c r="C1565" s="138">
        <f>+VLOOKUP(PROVEEDORES[[#This Row],[PROVEEDOR]],TERCEROS_INFO[#All],2,FALSE)</f>
        <v>30</v>
      </c>
      <c r="D1565" s="139">
        <f>+SUMIFS(PROVEEDORES[Total],PROVEEDORES[PROVEEDOR],PROVEEDORES[[#This Row],[PROVEEDOR]],PROVEEDORES[FECHA DE PAGO],"")</f>
        <v>8456975.129999999</v>
      </c>
      <c r="E1565" s="140"/>
      <c r="F1565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565" s="127">
        <v>45443</v>
      </c>
      <c r="H1565" s="123" t="s">
        <v>1464</v>
      </c>
      <c r="I1565" s="127">
        <v>45384</v>
      </c>
      <c r="J1565" s="124" t="s">
        <v>1722</v>
      </c>
      <c r="K1565" s="124" t="s">
        <v>1530</v>
      </c>
      <c r="L1565" s="124" t="s">
        <v>1534</v>
      </c>
      <c r="M1565" s="125">
        <v>2963732</v>
      </c>
      <c r="N1565" s="148">
        <v>563109.07999999996</v>
      </c>
      <c r="O1565" s="148">
        <v>0</v>
      </c>
      <c r="P1565" s="149">
        <v>2.5000000000000001E-2</v>
      </c>
      <c r="Q1565" s="148">
        <v>74093.3</v>
      </c>
      <c r="R1565" s="150">
        <v>3452747.7800000003</v>
      </c>
      <c r="S156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5" s="135">
        <f ca="1">+IF(PROVEEDORES[[#This Row],[FECHA DE PAGO]]=0,TODAY()-PROVEEDORES[[#This Row],[FECHA DE FACTURACIÓN]]-PROVEEDORES[[#This Row],[PLAZO Días]],0)</f>
        <v>0</v>
      </c>
      <c r="U1565" s="135" t="str">
        <f>+VLOOKUP(PROVEEDORES[[#This Row],[PROVEEDOR]],Terceros!$A:$D,4,FALSE)</f>
        <v>2,5% con base</v>
      </c>
      <c r="V1565" s="135">
        <f>+YEAR(PROVEEDORES[[#This Row],[FECHA DE FACTURACIÓN]])</f>
        <v>2024</v>
      </c>
      <c r="W1565" s="135">
        <f>+MATCH(PROVEEDORES[[#This Row],[año facturado]],Retenciones!$1:$1,0)</f>
        <v>7</v>
      </c>
      <c r="X1565" s="136">
        <f>+VLOOKUP(PROVEEDORES[[#This Row],[ID RETENCION]],Retenciones!$A$1:$O$25,PROVEEDORES[[#This Row],[indicador de columna]],FALSE)</f>
        <v>1271000</v>
      </c>
      <c r="Y1565" s="137">
        <f>+VLOOKUP(PROVEEDORES[[#This Row],[ID RETENCION]],Retenciones!$A$1:$O$25,2,FALSE)</f>
        <v>2.5000000000000001E-2</v>
      </c>
      <c r="Z1565" s="126" t="b">
        <f>+OR(COUNTIF(PROVEEDORES[[#This Row],[PROVEEDOR]],"*"&amp;'Palabra que no opera y Listas d'!$A$2&amp;"*"))</f>
        <v>0</v>
      </c>
    </row>
    <row r="1566" spans="1:26" ht="27.75" customHeight="1" x14ac:dyDescent="0.25">
      <c r="A1566" s="141" t="str">
        <f>+IF(PROVEEDORES[[#This Row],[FECHA DE PAGO]]=PROVEEDORES[[#This Row],[FECHA DE FACTURACIÓN]],"DE CONTADO","CRÉDITO")</f>
        <v>CRÉDITO</v>
      </c>
      <c r="B1566" s="138" t="str">
        <f>+IF((PROVEEDORES[[#This Row],[FECHA DE PAGO]]-PROVEEDORES[[#This Row],[FECHA DE FACTURACIÓN]])&gt;PROVEEDORES[[#This Row],[PLAZO Días]],"PAGO VENCIDO")</f>
        <v>PAGO VENCIDO</v>
      </c>
      <c r="C1566" s="138">
        <f>+VLOOKUP(PROVEEDORES[[#This Row],[PROVEEDOR]],TERCEROS_INFO[#All],2,FALSE)</f>
        <v>30</v>
      </c>
      <c r="D1566" s="139">
        <f>+SUMIFS(PROVEEDORES[Total],PROVEEDORES[PROVEEDOR],PROVEEDORES[[#This Row],[PROVEEDOR]],PROVEEDORES[FECHA DE PAGO],"")</f>
        <v>8456975.129999999</v>
      </c>
      <c r="E1566" s="140"/>
      <c r="F1566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566" s="127">
        <v>45443</v>
      </c>
      <c r="H1566" s="123" t="s">
        <v>1464</v>
      </c>
      <c r="I1566" s="127">
        <v>45392</v>
      </c>
      <c r="J1566" s="124" t="s">
        <v>1714</v>
      </c>
      <c r="K1566" s="124" t="s">
        <v>1530</v>
      </c>
      <c r="L1566" s="124" t="s">
        <v>1534</v>
      </c>
      <c r="M1566" s="125">
        <v>162004</v>
      </c>
      <c r="N1566" s="148">
        <v>30780.760000000002</v>
      </c>
      <c r="O1566" s="148">
        <v>0</v>
      </c>
      <c r="P1566" s="149">
        <v>0</v>
      </c>
      <c r="Q1566" s="148">
        <v>0</v>
      </c>
      <c r="R1566" s="150">
        <v>192784.76</v>
      </c>
      <c r="S156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6" s="135">
        <f ca="1">+IF(PROVEEDORES[[#This Row],[FECHA DE PAGO]]=0,TODAY()-PROVEEDORES[[#This Row],[FECHA DE FACTURACIÓN]]-PROVEEDORES[[#This Row],[PLAZO Días]],0)</f>
        <v>0</v>
      </c>
      <c r="U1566" s="135" t="str">
        <f>+VLOOKUP(PROVEEDORES[[#This Row],[PROVEEDOR]],Terceros!$A:$D,4,FALSE)</f>
        <v>2,5% con base</v>
      </c>
      <c r="V1566" s="135">
        <f>+YEAR(PROVEEDORES[[#This Row],[FECHA DE FACTURACIÓN]])</f>
        <v>2024</v>
      </c>
      <c r="W1566" s="135">
        <f>+MATCH(PROVEEDORES[[#This Row],[año facturado]],Retenciones!$1:$1,0)</f>
        <v>7</v>
      </c>
      <c r="X1566" s="136">
        <f>+VLOOKUP(PROVEEDORES[[#This Row],[ID RETENCION]],Retenciones!$A$1:$O$25,PROVEEDORES[[#This Row],[indicador de columna]],FALSE)</f>
        <v>1271000</v>
      </c>
      <c r="Y1566" s="137">
        <f>+VLOOKUP(PROVEEDORES[[#This Row],[ID RETENCION]],Retenciones!$A$1:$O$25,2,FALSE)</f>
        <v>2.5000000000000001E-2</v>
      </c>
      <c r="Z1566" s="126" t="b">
        <f>+OR(COUNTIF(PROVEEDORES[[#This Row],[PROVEEDOR]],"*"&amp;'Palabra que no opera y Listas d'!$A$2&amp;"*"))</f>
        <v>0</v>
      </c>
    </row>
    <row r="1567" spans="1:26" ht="27.75" customHeight="1" x14ac:dyDescent="0.25">
      <c r="A1567" s="141" t="str">
        <f>+IF(PROVEEDORES[[#This Row],[FECHA DE PAGO]]=PROVEEDORES[[#This Row],[FECHA DE FACTURACIÓN]],"DE CONTADO","CRÉDITO")</f>
        <v>CRÉDITO</v>
      </c>
      <c r="B1567" s="138" t="str">
        <f>+IF((PROVEEDORES[[#This Row],[FECHA DE PAGO]]-PROVEEDORES[[#This Row],[FECHA DE FACTURACIÓN]])&gt;PROVEEDORES[[#This Row],[PLAZO Días]],"PAGO VENCIDO")</f>
        <v>PAGO VENCIDO</v>
      </c>
      <c r="C1567" s="138">
        <f>+VLOOKUP(PROVEEDORES[[#This Row],[PROVEEDOR]],TERCEROS_INFO[#All],2,FALSE)</f>
        <v>30</v>
      </c>
      <c r="D1567" s="139">
        <f>+SUMIFS(PROVEEDORES[Total],PROVEEDORES[PROVEEDOR],PROVEEDORES[[#This Row],[PROVEEDOR]],PROVEEDORES[FECHA DE PAGO],"")</f>
        <v>8456975.129999999</v>
      </c>
      <c r="E1567" s="140"/>
      <c r="F1567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567" s="127">
        <v>45443</v>
      </c>
      <c r="H1567" s="123" t="s">
        <v>1464</v>
      </c>
      <c r="I1567" s="127">
        <v>45392</v>
      </c>
      <c r="J1567" s="124" t="s">
        <v>1713</v>
      </c>
      <c r="K1567" s="124" t="s">
        <v>1530</v>
      </c>
      <c r="L1567" s="124" t="s">
        <v>1534</v>
      </c>
      <c r="M1567" s="125">
        <v>43304</v>
      </c>
      <c r="N1567" s="148">
        <v>8227.76</v>
      </c>
      <c r="O1567" s="148">
        <v>0</v>
      </c>
      <c r="P1567" s="149">
        <v>0</v>
      </c>
      <c r="Q1567" s="148">
        <v>0</v>
      </c>
      <c r="R1567" s="150">
        <v>51531.76</v>
      </c>
      <c r="S156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7" s="135">
        <f ca="1">+IF(PROVEEDORES[[#This Row],[FECHA DE PAGO]]=0,TODAY()-PROVEEDORES[[#This Row],[FECHA DE FACTURACIÓN]]-PROVEEDORES[[#This Row],[PLAZO Días]],0)</f>
        <v>0</v>
      </c>
      <c r="U1567" s="135" t="str">
        <f>+VLOOKUP(PROVEEDORES[[#This Row],[PROVEEDOR]],Terceros!$A:$D,4,FALSE)</f>
        <v>2,5% con base</v>
      </c>
      <c r="V1567" s="135">
        <f>+YEAR(PROVEEDORES[[#This Row],[FECHA DE FACTURACIÓN]])</f>
        <v>2024</v>
      </c>
      <c r="W1567" s="135">
        <f>+MATCH(PROVEEDORES[[#This Row],[año facturado]],Retenciones!$1:$1,0)</f>
        <v>7</v>
      </c>
      <c r="X1567" s="136">
        <f>+VLOOKUP(PROVEEDORES[[#This Row],[ID RETENCION]],Retenciones!$A$1:$O$25,PROVEEDORES[[#This Row],[indicador de columna]],FALSE)</f>
        <v>1271000</v>
      </c>
      <c r="Y1567" s="137">
        <f>+VLOOKUP(PROVEEDORES[[#This Row],[ID RETENCION]],Retenciones!$A$1:$O$25,2,FALSE)</f>
        <v>2.5000000000000001E-2</v>
      </c>
      <c r="Z1567" s="126" t="b">
        <f>+OR(COUNTIF(PROVEEDORES[[#This Row],[PROVEEDOR]],"*"&amp;'Palabra que no opera y Listas d'!$A$2&amp;"*"))</f>
        <v>0</v>
      </c>
    </row>
    <row r="1568" spans="1:26" ht="27.75" customHeight="1" x14ac:dyDescent="0.25">
      <c r="A1568" s="141" t="str">
        <f>+IF(PROVEEDORES[[#This Row],[FECHA DE PAGO]]=PROVEEDORES[[#This Row],[FECHA DE FACTURACIÓN]],"DE CONTADO","CRÉDITO")</f>
        <v>CRÉDITO</v>
      </c>
      <c r="B1568" s="138" t="b">
        <f>+IF((PROVEEDORES[[#This Row],[FECHA DE PAGO]]-PROVEEDORES[[#This Row],[FECHA DE FACTURACIÓN]])&gt;PROVEEDORES[[#This Row],[PLAZO Días]],"PAGO VENCIDO")</f>
        <v>0</v>
      </c>
      <c r="C1568" s="138">
        <f>+VLOOKUP(PROVEEDORES[[#This Row],[PROVEEDOR]],TERCEROS_INFO[#All],2,FALSE)</f>
        <v>30</v>
      </c>
      <c r="D1568" s="139">
        <f>+SUMIFS(PROVEEDORES[Total],PROVEEDORES[PROVEEDOR],PROVEEDORES[[#This Row],[PROVEEDOR]],PROVEEDORES[FECHA DE PAGO],"")</f>
        <v>8456975.129999999</v>
      </c>
      <c r="E1568" s="140"/>
      <c r="F1568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568" s="127"/>
      <c r="H1568" s="123" t="s">
        <v>1464</v>
      </c>
      <c r="I1568" s="127">
        <v>45407</v>
      </c>
      <c r="J1568" s="124" t="s">
        <v>1777</v>
      </c>
      <c r="K1568" s="124" t="s">
        <v>1530</v>
      </c>
      <c r="L1568" s="124"/>
      <c r="M1568" s="125">
        <v>3077052</v>
      </c>
      <c r="N1568" s="148">
        <v>584639.88</v>
      </c>
      <c r="O1568" s="148">
        <v>0</v>
      </c>
      <c r="P1568" s="149">
        <v>2.5000000000000001E-2</v>
      </c>
      <c r="Q1568" s="148">
        <v>76926.3</v>
      </c>
      <c r="R1568" s="150">
        <v>3584765.58</v>
      </c>
      <c r="S1568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68" s="135">
        <f ca="1">+IF(PROVEEDORES[[#This Row],[FECHA DE PAGO]]=0,TODAY()-PROVEEDORES[[#This Row],[FECHA DE FACTURACIÓN]]-PROVEEDORES[[#This Row],[PLAZO Días]],0)</f>
        <v>10</v>
      </c>
      <c r="U1568" s="135" t="str">
        <f>+VLOOKUP(PROVEEDORES[[#This Row],[PROVEEDOR]],Terceros!$A:$D,4,FALSE)</f>
        <v>2,5% con base</v>
      </c>
      <c r="V1568" s="135">
        <f>+YEAR(PROVEEDORES[[#This Row],[FECHA DE FACTURACIÓN]])</f>
        <v>2024</v>
      </c>
      <c r="W1568" s="135">
        <f>+MATCH(PROVEEDORES[[#This Row],[año facturado]],Retenciones!$1:$1,0)</f>
        <v>7</v>
      </c>
      <c r="X1568" s="136">
        <f>+VLOOKUP(PROVEEDORES[[#This Row],[ID RETENCION]],Retenciones!$A$1:$O$25,PROVEEDORES[[#This Row],[indicador de columna]],FALSE)</f>
        <v>1271000</v>
      </c>
      <c r="Y1568" s="137">
        <f>+VLOOKUP(PROVEEDORES[[#This Row],[ID RETENCION]],Retenciones!$A$1:$O$25,2,FALSE)</f>
        <v>2.5000000000000001E-2</v>
      </c>
      <c r="Z1568" s="126" t="b">
        <f>+OR(COUNTIF(PROVEEDORES[[#This Row],[PROVEEDOR]],"*"&amp;'Palabra que no opera y Listas d'!$A$2&amp;"*"))</f>
        <v>0</v>
      </c>
    </row>
    <row r="1569" spans="1:26" ht="27.75" customHeight="1" x14ac:dyDescent="0.25">
      <c r="A1569" s="141" t="str">
        <f>+IF(PROVEEDORES[[#This Row],[FECHA DE PAGO]]=PROVEEDORES[[#This Row],[FECHA DE FACTURACIÓN]],"DE CONTADO","CRÉDITO")</f>
        <v>CRÉDITO</v>
      </c>
      <c r="B1569" s="138" t="str">
        <f>+IF((PROVEEDORES[[#This Row],[FECHA DE PAGO]]-PROVEEDORES[[#This Row],[FECHA DE FACTURACIÓN]])&gt;PROVEEDORES[[#This Row],[PLAZO Días]],"PAGO VENCIDO")</f>
        <v>PAGO VENCIDO</v>
      </c>
      <c r="C1569" s="138">
        <f>+VLOOKUP(PROVEEDORES[[#This Row],[PROVEEDOR]],TERCEROS_INFO[#All],2,FALSE)</f>
        <v>30</v>
      </c>
      <c r="D1569" s="139">
        <f>+SUMIFS(PROVEEDORES[Total],PROVEEDORES[PROVEEDOR],PROVEEDORES[[#This Row],[PROVEEDOR]],PROVEEDORES[FECHA DE PAGO],"")</f>
        <v>4466504.835</v>
      </c>
      <c r="E1569" s="140"/>
      <c r="F1569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569" s="127">
        <v>45426</v>
      </c>
      <c r="H1569" s="123" t="s">
        <v>18</v>
      </c>
      <c r="I1569" s="127">
        <v>45372</v>
      </c>
      <c r="J1569" s="124">
        <v>1084875</v>
      </c>
      <c r="K1569" s="124" t="s">
        <v>504</v>
      </c>
      <c r="L1569" s="124" t="s">
        <v>1534</v>
      </c>
      <c r="M1569" s="125">
        <v>3212390</v>
      </c>
      <c r="N1569" s="148">
        <v>610354.1</v>
      </c>
      <c r="O1569" s="148">
        <v>0</v>
      </c>
      <c r="P1569" s="149">
        <v>2.5000000000000001E-2</v>
      </c>
      <c r="Q1569" s="148">
        <v>80309.75</v>
      </c>
      <c r="R1569" s="150">
        <v>3742434.35</v>
      </c>
      <c r="S156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69" s="135">
        <f ca="1">+IF(PROVEEDORES[[#This Row],[FECHA DE PAGO]]=0,TODAY()-PROVEEDORES[[#This Row],[FECHA DE FACTURACIÓN]]-PROVEEDORES[[#This Row],[PLAZO Días]],0)</f>
        <v>0</v>
      </c>
      <c r="U1569" s="135" t="str">
        <f>+VLOOKUP(PROVEEDORES[[#This Row],[PROVEEDOR]],Terceros!$A:$D,4,FALSE)</f>
        <v>2,5% con base</v>
      </c>
      <c r="V1569" s="135">
        <f>+YEAR(PROVEEDORES[[#This Row],[FECHA DE FACTURACIÓN]])</f>
        <v>2024</v>
      </c>
      <c r="W1569" s="135">
        <f>+MATCH(PROVEEDORES[[#This Row],[año facturado]],Retenciones!$1:$1,0)</f>
        <v>7</v>
      </c>
      <c r="X1569" s="136">
        <f>+VLOOKUP(PROVEEDORES[[#This Row],[ID RETENCION]],Retenciones!$A$1:$O$25,PROVEEDORES[[#This Row],[indicador de columna]],FALSE)</f>
        <v>1271000</v>
      </c>
      <c r="Y1569" s="137">
        <f>+VLOOKUP(PROVEEDORES[[#This Row],[ID RETENCION]],Retenciones!$A$1:$O$25,2,FALSE)</f>
        <v>2.5000000000000001E-2</v>
      </c>
      <c r="Z1569" s="126" t="b">
        <f>+OR(COUNTIF(PROVEEDORES[[#This Row],[PROVEEDOR]],"*"&amp;'Palabra que no opera y Listas d'!$A$2&amp;"*"))</f>
        <v>0</v>
      </c>
    </row>
    <row r="1570" spans="1:26" ht="27.75" customHeight="1" x14ac:dyDescent="0.25">
      <c r="A1570" s="141" t="str">
        <f>+IF(PROVEEDORES[[#This Row],[FECHA DE PAGO]]=PROVEEDORES[[#This Row],[FECHA DE FACTURACIÓN]],"DE CONTADO","CRÉDITO")</f>
        <v>CRÉDITO</v>
      </c>
      <c r="B1570" s="138" t="str">
        <f>+IF((PROVEEDORES[[#This Row],[FECHA DE PAGO]]-PROVEEDORES[[#This Row],[FECHA DE FACTURACIÓN]])&gt;PROVEEDORES[[#This Row],[PLAZO Días]],"PAGO VENCIDO")</f>
        <v>PAGO VENCIDO</v>
      </c>
      <c r="C1570" s="138">
        <f>+VLOOKUP(PROVEEDORES[[#This Row],[PROVEEDOR]],TERCEROS_INFO[#All],2,FALSE)</f>
        <v>30</v>
      </c>
      <c r="D1570" s="139">
        <f>+SUMIFS(PROVEEDORES[Total],PROVEEDORES[PROVEEDOR],PROVEEDORES[[#This Row],[PROVEEDOR]],PROVEEDORES[FECHA DE PAGO],"")</f>
        <v>4466504.835</v>
      </c>
      <c r="E1570" s="140"/>
      <c r="F1570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570" s="127">
        <v>45426</v>
      </c>
      <c r="H1570" s="123" t="s">
        <v>18</v>
      </c>
      <c r="I1570" s="127">
        <v>45378</v>
      </c>
      <c r="J1570" s="124">
        <v>1085112</v>
      </c>
      <c r="K1570" s="124" t="s">
        <v>504</v>
      </c>
      <c r="L1570" s="124" t="s">
        <v>1534</v>
      </c>
      <c r="M1570" s="125">
        <v>18569160</v>
      </c>
      <c r="N1570" s="148">
        <v>3528140.4</v>
      </c>
      <c r="O1570" s="148">
        <v>0</v>
      </c>
      <c r="P1570" s="149">
        <v>2.5000000000000001E-2</v>
      </c>
      <c r="Q1570" s="148">
        <v>464229</v>
      </c>
      <c r="R1570" s="150">
        <v>21633071.399999999</v>
      </c>
      <c r="S157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0" s="135">
        <f ca="1">+IF(PROVEEDORES[[#This Row],[FECHA DE PAGO]]=0,TODAY()-PROVEEDORES[[#This Row],[FECHA DE FACTURACIÓN]]-PROVEEDORES[[#This Row],[PLAZO Días]],0)</f>
        <v>0</v>
      </c>
      <c r="U1570" s="135" t="str">
        <f>+VLOOKUP(PROVEEDORES[[#This Row],[PROVEEDOR]],Terceros!$A:$D,4,FALSE)</f>
        <v>2,5% con base</v>
      </c>
      <c r="V1570" s="135">
        <f>+YEAR(PROVEEDORES[[#This Row],[FECHA DE FACTURACIÓN]])</f>
        <v>2024</v>
      </c>
      <c r="W1570" s="135">
        <f>+MATCH(PROVEEDORES[[#This Row],[año facturado]],Retenciones!$1:$1,0)</f>
        <v>7</v>
      </c>
      <c r="X1570" s="136">
        <f>+VLOOKUP(PROVEEDORES[[#This Row],[ID RETENCION]],Retenciones!$A$1:$O$25,PROVEEDORES[[#This Row],[indicador de columna]],FALSE)</f>
        <v>1271000</v>
      </c>
      <c r="Y1570" s="137">
        <f>+VLOOKUP(PROVEEDORES[[#This Row],[ID RETENCION]],Retenciones!$A$1:$O$25,2,FALSE)</f>
        <v>2.5000000000000001E-2</v>
      </c>
      <c r="Z1570" s="126" t="b">
        <f>+OR(COUNTIF(PROVEEDORES[[#This Row],[PROVEEDOR]],"*"&amp;'Palabra que no opera y Listas d'!$A$2&amp;"*"))</f>
        <v>0</v>
      </c>
    </row>
    <row r="1571" spans="1:26" ht="27.75" customHeight="1" x14ac:dyDescent="0.25">
      <c r="A1571" s="141" t="str">
        <f>+IF(PROVEEDORES[[#This Row],[FECHA DE PAGO]]=PROVEEDORES[[#This Row],[FECHA DE FACTURACIÓN]],"DE CONTADO","CRÉDITO")</f>
        <v>CRÉDITO</v>
      </c>
      <c r="B1571" s="138" t="str">
        <f>+IF((PROVEEDORES[[#This Row],[FECHA DE PAGO]]-PROVEEDORES[[#This Row],[FECHA DE FACTURACIÓN]])&gt;PROVEEDORES[[#This Row],[PLAZO Días]],"PAGO VENCIDO")</f>
        <v>PAGO VENCIDO</v>
      </c>
      <c r="C1571" s="138">
        <f>+VLOOKUP(PROVEEDORES[[#This Row],[PROVEEDOR]],TERCEROS_INFO[#All],2,FALSE)</f>
        <v>30</v>
      </c>
      <c r="D1571" s="139">
        <f>+SUMIFS(PROVEEDORES[Total],PROVEEDORES[PROVEEDOR],PROVEEDORES[[#This Row],[PROVEEDOR]],PROVEEDORES[FECHA DE PAGO],"")</f>
        <v>4466504.835</v>
      </c>
      <c r="E1571" s="140"/>
      <c r="F1571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571" s="127">
        <v>45426</v>
      </c>
      <c r="H1571" s="123" t="s">
        <v>18</v>
      </c>
      <c r="I1571" s="127">
        <v>45383</v>
      </c>
      <c r="J1571" s="124" t="s">
        <v>1721</v>
      </c>
      <c r="K1571" s="124" t="s">
        <v>504</v>
      </c>
      <c r="L1571" s="124" t="s">
        <v>1534</v>
      </c>
      <c r="M1571" s="125">
        <v>1005285</v>
      </c>
      <c r="N1571" s="148">
        <v>191004.15</v>
      </c>
      <c r="O1571" s="148">
        <v>0</v>
      </c>
      <c r="P1571" s="149">
        <v>0</v>
      </c>
      <c r="Q1571" s="148">
        <v>0</v>
      </c>
      <c r="R1571" s="150">
        <v>1196289.1499999999</v>
      </c>
      <c r="S157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1" s="135">
        <f ca="1">+IF(PROVEEDORES[[#This Row],[FECHA DE PAGO]]=0,TODAY()-PROVEEDORES[[#This Row],[FECHA DE FACTURACIÓN]]-PROVEEDORES[[#This Row],[PLAZO Días]],0)</f>
        <v>0</v>
      </c>
      <c r="U1571" s="135" t="str">
        <f>+VLOOKUP(PROVEEDORES[[#This Row],[PROVEEDOR]],Terceros!$A:$D,4,FALSE)</f>
        <v>2,5% con base</v>
      </c>
      <c r="V1571" s="135">
        <f>+YEAR(PROVEEDORES[[#This Row],[FECHA DE FACTURACIÓN]])</f>
        <v>2024</v>
      </c>
      <c r="W1571" s="135">
        <f>+MATCH(PROVEEDORES[[#This Row],[año facturado]],Retenciones!$1:$1,0)</f>
        <v>7</v>
      </c>
      <c r="X1571" s="136">
        <f>+VLOOKUP(PROVEEDORES[[#This Row],[ID RETENCION]],Retenciones!$A$1:$O$25,PROVEEDORES[[#This Row],[indicador de columna]],FALSE)</f>
        <v>1271000</v>
      </c>
      <c r="Y1571" s="137">
        <f>+VLOOKUP(PROVEEDORES[[#This Row],[ID RETENCION]],Retenciones!$A$1:$O$25,2,FALSE)</f>
        <v>2.5000000000000001E-2</v>
      </c>
      <c r="Z1571" s="126" t="b">
        <f>+OR(COUNTIF(PROVEEDORES[[#This Row],[PROVEEDOR]],"*"&amp;'Palabra que no opera y Listas d'!$A$2&amp;"*"))</f>
        <v>0</v>
      </c>
    </row>
    <row r="1572" spans="1:26" ht="27.75" customHeight="1" x14ac:dyDescent="0.25">
      <c r="A1572" s="141" t="str">
        <f>+IF(PROVEEDORES[[#This Row],[FECHA DE PAGO]]=PROVEEDORES[[#This Row],[FECHA DE FACTURACIÓN]],"DE CONTADO","CRÉDITO")</f>
        <v>CRÉDITO</v>
      </c>
      <c r="B1572" s="138" t="b">
        <f>+IF((PROVEEDORES[[#This Row],[FECHA DE PAGO]]-PROVEEDORES[[#This Row],[FECHA DE FACTURACIÓN]])&gt;PROVEEDORES[[#This Row],[PLAZO Días]],"PAGO VENCIDO")</f>
        <v>0</v>
      </c>
      <c r="C1572" s="138">
        <f>+VLOOKUP(PROVEEDORES[[#This Row],[PROVEEDOR]],TERCEROS_INFO[#All],2,FALSE)</f>
        <v>30</v>
      </c>
      <c r="D1572" s="139">
        <f>+SUMIFS(PROVEEDORES[Total],PROVEEDORES[PROVEEDOR],PROVEEDORES[[#This Row],[PROVEEDOR]],PROVEEDORES[FECHA DE PAGO],"")</f>
        <v>8456975.129999999</v>
      </c>
      <c r="E1572" s="140"/>
      <c r="F1572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572" s="127"/>
      <c r="H1572" s="123" t="s">
        <v>1464</v>
      </c>
      <c r="I1572" s="127">
        <v>45427</v>
      </c>
      <c r="J1572" s="124" t="s">
        <v>1900</v>
      </c>
      <c r="K1572" s="124" t="s">
        <v>1530</v>
      </c>
      <c r="L1572" s="124"/>
      <c r="M1572" s="125">
        <v>91295</v>
      </c>
      <c r="N1572" s="148">
        <f>+(PROVEEDORES[[#This Row],[SUBTOTAL]])*VLOOKUP(PROVEEDORES[[#This Row],[PROVEEDOR]],TERCEROS_INFO[#All],3,FALSE)</f>
        <v>17346.05</v>
      </c>
      <c r="O1572" s="148">
        <f>+'Palabra que no opera y Listas d'!$D$2</f>
        <v>0</v>
      </c>
      <c r="P1572" s="149">
        <f>+IF(PROVEEDORES[[#This Row],[SUBTOTAL]]&lt;PROVEEDORES[[#This Row],[base retencion]],0,PROVEEDORES[[#This Row],[retención aplicada]])</f>
        <v>0</v>
      </c>
      <c r="Q1572" s="148">
        <f>+PROVEEDORES[[#This Row],[ReteFuente
%]]*(PROVEEDORES[[#This Row],[SUBTOTAL]])</f>
        <v>0</v>
      </c>
      <c r="R1572" s="150">
        <f>+PROVEEDORES[[#This Row],[SUBTOTAL]]+PROVEEDORES[[#This Row],[IVA 19%]]-PROVEEDORES[[#This Row],[Descuento
$]]-PROVEEDORES[[#This Row],[ReteFuente
$]]</f>
        <v>108641.05</v>
      </c>
      <c r="S1572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572" s="135">
        <f ca="1">+IF(PROVEEDORES[[#This Row],[FECHA DE PAGO]]=0,TODAY()-PROVEEDORES[[#This Row],[FECHA DE FACTURACIÓN]]-PROVEEDORES[[#This Row],[PLAZO Días]],0)</f>
        <v>-10</v>
      </c>
      <c r="U1572" s="135" t="str">
        <f>+VLOOKUP(PROVEEDORES[[#This Row],[PROVEEDOR]],Terceros!$A:$D,4,FALSE)</f>
        <v>2,5% con base</v>
      </c>
      <c r="V1572" s="135">
        <f>+YEAR(PROVEEDORES[[#This Row],[FECHA DE FACTURACIÓN]])</f>
        <v>2024</v>
      </c>
      <c r="W1572" s="135">
        <f>+MATCH(PROVEEDORES[[#This Row],[año facturado]],Retenciones!$1:$1,0)</f>
        <v>7</v>
      </c>
      <c r="X1572" s="136">
        <f>+VLOOKUP(PROVEEDORES[[#This Row],[ID RETENCION]],Retenciones!$A$1:$O$25,PROVEEDORES[[#This Row],[indicador de columna]],FALSE)</f>
        <v>1271000</v>
      </c>
      <c r="Y1572" s="137">
        <f>+VLOOKUP(PROVEEDORES[[#This Row],[ID RETENCION]],Retenciones!$A$1:$O$25,2,FALSE)</f>
        <v>2.5000000000000001E-2</v>
      </c>
      <c r="Z1572" s="126" t="b">
        <f>+OR(COUNTIF(PROVEEDORES[[#This Row],[PROVEEDOR]],"*"&amp;'Palabra que no opera y Listas d'!$A$2&amp;"*"))</f>
        <v>0</v>
      </c>
    </row>
    <row r="1573" spans="1:26" ht="27.75" customHeight="1" x14ac:dyDescent="0.25">
      <c r="A1573" s="141" t="str">
        <f>+IF(PROVEEDORES[[#This Row],[FECHA DE PAGO]]=PROVEEDORES[[#This Row],[FECHA DE FACTURACIÓN]],"DE CONTADO","CRÉDITO")</f>
        <v>CRÉDITO</v>
      </c>
      <c r="B1573" s="138" t="b">
        <f>+IF((PROVEEDORES[[#This Row],[FECHA DE PAGO]]-PROVEEDORES[[#This Row],[FECHA DE FACTURACIÓN]])&gt;PROVEEDORES[[#This Row],[PLAZO Días]],"PAGO VENCIDO")</f>
        <v>0</v>
      </c>
      <c r="C1573" s="138">
        <f>+VLOOKUP(PROVEEDORES[[#This Row],[PROVEEDOR]],TERCEROS_INFO[#All],2,FALSE)</f>
        <v>30</v>
      </c>
      <c r="D1573" s="139">
        <f>+SUMIFS(PROVEEDORES[Total],PROVEEDORES[PROVEEDOR],PROVEEDORES[[#This Row],[PROVEEDOR]],PROVEEDORES[FECHA DE PAGO],"")</f>
        <v>8456975.129999999</v>
      </c>
      <c r="E1573" s="140"/>
      <c r="F1573" s="138" t="str">
        <f>+VLOOKUP(PROVEEDORES[[#This Row],[PROVEEDOR]],
                       Terceros!$A:$F,
                       5,
                       FALSE)</f>
        <v>tecnopartes@ctof.co;girlesa.ruiz@servipilas.com;joriescobar64@gmail.com</v>
      </c>
      <c r="G1573" s="127"/>
      <c r="H1573" s="123" t="s">
        <v>1464</v>
      </c>
      <c r="I1573" s="127">
        <v>45421</v>
      </c>
      <c r="J1573" s="124" t="s">
        <v>1901</v>
      </c>
      <c r="K1573" s="124" t="s">
        <v>1530</v>
      </c>
      <c r="L1573" s="124"/>
      <c r="M1573" s="125">
        <v>4088900</v>
      </c>
      <c r="N1573" s="148">
        <f>+(PROVEEDORES[[#This Row],[SUBTOTAL]])*VLOOKUP(PROVEEDORES[[#This Row],[PROVEEDOR]],TERCEROS_INFO[#All],3,FALSE)</f>
        <v>776891</v>
      </c>
      <c r="O1573" s="148">
        <f>+'Palabra que no opera y Listas d'!$D$2</f>
        <v>0</v>
      </c>
      <c r="P1573" s="149">
        <f>+IF(PROVEEDORES[[#This Row],[SUBTOTAL]]&lt;PROVEEDORES[[#This Row],[base retencion]],0,PROVEEDORES[[#This Row],[retención aplicada]])</f>
        <v>2.5000000000000001E-2</v>
      </c>
      <c r="Q1573" s="148">
        <f>+PROVEEDORES[[#This Row],[ReteFuente
%]]*(PROVEEDORES[[#This Row],[SUBTOTAL]])</f>
        <v>102222.5</v>
      </c>
      <c r="R1573" s="150">
        <f>+PROVEEDORES[[#This Row],[SUBTOTAL]]+PROVEEDORES[[#This Row],[IVA 19%]]-PROVEEDORES[[#This Row],[Descuento
$]]-PROVEEDORES[[#This Row],[ReteFuente
$]]</f>
        <v>4763568.5</v>
      </c>
      <c r="S1573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573" s="135">
        <f ca="1">+IF(PROVEEDORES[[#This Row],[FECHA DE PAGO]]=0,TODAY()-PROVEEDORES[[#This Row],[FECHA DE FACTURACIÓN]]-PROVEEDORES[[#This Row],[PLAZO Días]],0)</f>
        <v>-4</v>
      </c>
      <c r="U1573" s="135" t="str">
        <f>+VLOOKUP(PROVEEDORES[[#This Row],[PROVEEDOR]],Terceros!$A:$D,4,FALSE)</f>
        <v>2,5% con base</v>
      </c>
      <c r="V1573" s="135">
        <f>+YEAR(PROVEEDORES[[#This Row],[FECHA DE FACTURACIÓN]])</f>
        <v>2024</v>
      </c>
      <c r="W1573" s="135">
        <f>+MATCH(PROVEEDORES[[#This Row],[año facturado]],Retenciones!$1:$1,0)</f>
        <v>7</v>
      </c>
      <c r="X1573" s="136">
        <f>+VLOOKUP(PROVEEDORES[[#This Row],[ID RETENCION]],Retenciones!$A$1:$O$25,PROVEEDORES[[#This Row],[indicador de columna]],FALSE)</f>
        <v>1271000</v>
      </c>
      <c r="Y1573" s="137">
        <f>+VLOOKUP(PROVEEDORES[[#This Row],[ID RETENCION]],Retenciones!$A$1:$O$25,2,FALSE)</f>
        <v>2.5000000000000001E-2</v>
      </c>
      <c r="Z1573" s="126" t="b">
        <f>+OR(COUNTIF(PROVEEDORES[[#This Row],[PROVEEDOR]],"*"&amp;'Palabra que no opera y Listas d'!$A$2&amp;"*"))</f>
        <v>0</v>
      </c>
    </row>
    <row r="1574" spans="1:26" ht="27.75" customHeight="1" x14ac:dyDescent="0.25">
      <c r="A1574" s="141" t="str">
        <f>+IF(PROVEEDORES[[#This Row],[FECHA DE PAGO]]=PROVEEDORES[[#This Row],[FECHA DE FACTURACIÓN]],"DE CONTADO","CRÉDITO")</f>
        <v>CRÉDITO</v>
      </c>
      <c r="B1574" s="138" t="b">
        <f>+IF((PROVEEDORES[[#This Row],[FECHA DE PAGO]]-PROVEEDORES[[#This Row],[FECHA DE FACTURACIÓN]])&gt;PROVEEDORES[[#This Row],[PLAZO Días]],"PAGO VENCIDO")</f>
        <v>0</v>
      </c>
      <c r="C1574" s="138">
        <f>+VLOOKUP(PROVEEDORES[[#This Row],[PROVEEDOR]],TERCEROS_INFO[#All],2,FALSE)</f>
        <v>30</v>
      </c>
      <c r="D1574" s="139">
        <f>+SUMIFS(PROVEEDORES[Total],PROVEEDORES[PROVEEDOR],PROVEEDORES[[#This Row],[PROVEEDOR]],PROVEEDORES[FECHA DE PAGO],"")</f>
        <v>4198834.75</v>
      </c>
      <c r="E1574" s="140"/>
      <c r="F1574" s="138" t="str">
        <f>+VLOOKUP(PROVEEDORES[[#This Row],[PROVEEDOR]],
                       Terceros!$A:$F,
                       5,
                       FALSE)</f>
        <v>lygonzalez@gmail.com;girlesa.ruiz@servipilas.com;joriescobar64@gmail.com</v>
      </c>
      <c r="G1574" s="127"/>
      <c r="H1574" s="123" t="s">
        <v>422</v>
      </c>
      <c r="I1574" s="127">
        <v>45378</v>
      </c>
      <c r="J1574" s="124" t="s">
        <v>1689</v>
      </c>
      <c r="K1574" s="124" t="s">
        <v>1530</v>
      </c>
      <c r="L1574" s="124"/>
      <c r="M1574" s="125">
        <v>3604150</v>
      </c>
      <c r="N1574" s="148">
        <v>684788.5</v>
      </c>
      <c r="O1574" s="148">
        <v>0</v>
      </c>
      <c r="P1574" s="149">
        <v>2.5000000000000001E-2</v>
      </c>
      <c r="Q1574" s="148">
        <v>90103.75</v>
      </c>
      <c r="R1574" s="150">
        <v>4198834.75</v>
      </c>
      <c r="S1574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74" s="135">
        <f ca="1">+IF(PROVEEDORES[[#This Row],[FECHA DE PAGO]]=0,TODAY()-PROVEEDORES[[#This Row],[FECHA DE FACTURACIÓN]]-PROVEEDORES[[#This Row],[PLAZO Días]],0)</f>
        <v>39</v>
      </c>
      <c r="U1574" s="135" t="str">
        <f>+VLOOKUP(PROVEEDORES[[#This Row],[PROVEEDOR]],Terceros!$A:$D,4,FALSE)</f>
        <v>2,5% con base</v>
      </c>
      <c r="V1574" s="135">
        <f>+YEAR(PROVEEDORES[[#This Row],[FECHA DE FACTURACIÓN]])</f>
        <v>2024</v>
      </c>
      <c r="W1574" s="135">
        <f>+MATCH(PROVEEDORES[[#This Row],[año facturado]],Retenciones!$1:$1,0)</f>
        <v>7</v>
      </c>
      <c r="X1574" s="136">
        <f>+VLOOKUP(PROVEEDORES[[#This Row],[ID RETENCION]],Retenciones!$A$1:$O$25,PROVEEDORES[[#This Row],[indicador de columna]],FALSE)</f>
        <v>1271000</v>
      </c>
      <c r="Y1574" s="137">
        <f>+VLOOKUP(PROVEEDORES[[#This Row],[ID RETENCION]],Retenciones!$A$1:$O$25,2,FALSE)</f>
        <v>2.5000000000000001E-2</v>
      </c>
      <c r="Z1574" s="126" t="b">
        <f>+OR(COUNTIF(PROVEEDORES[[#This Row],[PROVEEDOR]],"*"&amp;'Palabra que no opera y Listas d'!$A$2&amp;"*"))</f>
        <v>0</v>
      </c>
    </row>
    <row r="1575" spans="1:26" ht="27.75" customHeight="1" x14ac:dyDescent="0.25">
      <c r="A1575" s="141" t="str">
        <f>+IF(PROVEEDORES[[#This Row],[FECHA DE PAGO]]=PROVEEDORES[[#This Row],[FECHA DE FACTURACIÓN]],"DE CONTADO","CRÉDITO")</f>
        <v>CRÉDITO</v>
      </c>
      <c r="B1575" s="138" t="str">
        <f>+IF((PROVEEDORES[[#This Row],[FECHA DE PAGO]]-PROVEEDORES[[#This Row],[FECHA DE FACTURACIÓN]])&gt;PROVEEDORES[[#This Row],[PLAZO Días]],"PAGO VENCIDO")</f>
        <v>PAGO VENCIDO</v>
      </c>
      <c r="C1575" s="138">
        <f>+VLOOKUP(PROVEEDORES[[#This Row],[PROVEEDOR]],TERCEROS_INFO[#All],2,FALSE)</f>
        <v>30</v>
      </c>
      <c r="D1575" s="139">
        <f>+SUMIFS(PROVEEDORES[Total],PROVEEDORES[PROVEEDOR],PROVEEDORES[[#This Row],[PROVEEDOR]],PROVEEDORES[FECHA DE PAGO],"")</f>
        <v>5581100</v>
      </c>
      <c r="E1575" s="140"/>
      <c r="F1575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75" s="127">
        <v>45432</v>
      </c>
      <c r="H1575" s="123" t="s">
        <v>446</v>
      </c>
      <c r="I1575" s="127">
        <v>45391</v>
      </c>
      <c r="J1575" s="124" t="s">
        <v>1718</v>
      </c>
      <c r="K1575" s="124" t="s">
        <v>504</v>
      </c>
      <c r="L1575" s="124" t="s">
        <v>1534</v>
      </c>
      <c r="M1575" s="125">
        <v>4891000</v>
      </c>
      <c r="N1575" s="148">
        <v>929290</v>
      </c>
      <c r="O1575" s="148">
        <v>0</v>
      </c>
      <c r="P1575" s="149">
        <v>0</v>
      </c>
      <c r="Q1575" s="148">
        <v>0</v>
      </c>
      <c r="R1575" s="150">
        <v>5820290</v>
      </c>
      <c r="S157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5" s="135">
        <f ca="1">+IF(PROVEEDORES[[#This Row],[FECHA DE PAGO]]=0,TODAY()-PROVEEDORES[[#This Row],[FECHA DE FACTURACIÓN]]-PROVEEDORES[[#This Row],[PLAZO Días]],0)</f>
        <v>0</v>
      </c>
      <c r="U1575" s="135">
        <f>+VLOOKUP(PROVEEDORES[[#This Row],[PROVEEDOR]],Terceros!$A:$D,4,FALSE)</f>
        <v>0</v>
      </c>
      <c r="V1575" s="135">
        <f>+YEAR(PROVEEDORES[[#This Row],[FECHA DE FACTURACIÓN]])</f>
        <v>2024</v>
      </c>
      <c r="W1575" s="135">
        <f>+MATCH(PROVEEDORES[[#This Row],[año facturado]],Retenciones!$1:$1,0)</f>
        <v>7</v>
      </c>
      <c r="X1575" s="136">
        <f>+VLOOKUP(PROVEEDORES[[#This Row],[ID RETENCION]],Retenciones!$A$1:$O$25,PROVEEDORES[[#This Row],[indicador de columna]],FALSE)</f>
        <v>0</v>
      </c>
      <c r="Y1575" s="137">
        <f>+VLOOKUP(PROVEEDORES[[#This Row],[ID RETENCION]],Retenciones!$A$1:$O$25,2,FALSE)</f>
        <v>0</v>
      </c>
      <c r="Z1575" s="126" t="b">
        <f>+OR(COUNTIF(PROVEEDORES[[#This Row],[PROVEEDOR]],"*"&amp;'Palabra que no opera y Listas d'!$A$2&amp;"*"))</f>
        <v>0</v>
      </c>
    </row>
    <row r="1576" spans="1:26" ht="27.75" customHeight="1" x14ac:dyDescent="0.25">
      <c r="A1576" s="141" t="str">
        <f>+IF(PROVEEDORES[[#This Row],[FECHA DE PAGO]]=PROVEEDORES[[#This Row],[FECHA DE FACTURACIÓN]],"DE CONTADO","CRÉDITO")</f>
        <v>CRÉDITO</v>
      </c>
      <c r="B1576" s="138" t="b">
        <f>+IF((PROVEEDORES[[#This Row],[FECHA DE PAGO]]-PROVEEDORES[[#This Row],[FECHA DE FACTURACIÓN]])&gt;PROVEEDORES[[#This Row],[PLAZO Días]],"PAGO VENCIDO")</f>
        <v>0</v>
      </c>
      <c r="C1576" s="138">
        <f>+VLOOKUP(PROVEEDORES[[#This Row],[PROVEEDOR]],TERCEROS_INFO[#All],2,FALSE)</f>
        <v>30</v>
      </c>
      <c r="D1576" s="139">
        <f>+SUMIFS(PROVEEDORES[Total],PROVEEDORES[PROVEEDOR],PROVEEDORES[[#This Row],[PROVEEDOR]],PROVEEDORES[FECHA DE PAGO],"")</f>
        <v>5813868.5099999998</v>
      </c>
      <c r="E1576" s="140"/>
      <c r="F1576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576" s="127"/>
      <c r="H1576" s="123" t="s">
        <v>24</v>
      </c>
      <c r="I1576" s="127">
        <v>45393</v>
      </c>
      <c r="J1576" s="124" t="s">
        <v>1738</v>
      </c>
      <c r="K1576" s="124" t="s">
        <v>1530</v>
      </c>
      <c r="L1576" s="124"/>
      <c r="M1576" s="125">
        <v>706739</v>
      </c>
      <c r="N1576" s="148">
        <v>134280.41</v>
      </c>
      <c r="O1576" s="148">
        <v>0</v>
      </c>
      <c r="P1576" s="149">
        <v>0</v>
      </c>
      <c r="Q1576" s="148">
        <v>0</v>
      </c>
      <c r="R1576" s="150">
        <v>841019.41</v>
      </c>
      <c r="S1576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76" s="135">
        <f ca="1">+IF(PROVEEDORES[[#This Row],[FECHA DE PAGO]]=0,TODAY()-PROVEEDORES[[#This Row],[FECHA DE FACTURACIÓN]]-PROVEEDORES[[#This Row],[PLAZO Días]],0)</f>
        <v>24</v>
      </c>
      <c r="U1576" s="135" t="str">
        <f>+VLOOKUP(PROVEEDORES[[#This Row],[PROVEEDOR]],Terceros!$A:$D,4,FALSE)</f>
        <v>2,5% con base</v>
      </c>
      <c r="V1576" s="135">
        <f>+YEAR(PROVEEDORES[[#This Row],[FECHA DE FACTURACIÓN]])</f>
        <v>2024</v>
      </c>
      <c r="W1576" s="135">
        <f>+MATCH(PROVEEDORES[[#This Row],[año facturado]],Retenciones!$1:$1,0)</f>
        <v>7</v>
      </c>
      <c r="X1576" s="136">
        <f>+VLOOKUP(PROVEEDORES[[#This Row],[ID RETENCION]],Retenciones!$A$1:$O$25,PROVEEDORES[[#This Row],[indicador de columna]],FALSE)</f>
        <v>1271000</v>
      </c>
      <c r="Y1576" s="137">
        <f>+VLOOKUP(PROVEEDORES[[#This Row],[ID RETENCION]],Retenciones!$A$1:$O$25,2,FALSE)</f>
        <v>2.5000000000000001E-2</v>
      </c>
      <c r="Z1576" s="126" t="b">
        <f>+OR(COUNTIF(PROVEEDORES[[#This Row],[PROVEEDOR]],"*"&amp;'Palabra que no opera y Listas d'!$A$2&amp;"*"))</f>
        <v>0</v>
      </c>
    </row>
    <row r="1577" spans="1:26" ht="27.75" customHeight="1" x14ac:dyDescent="0.25">
      <c r="A1577" s="141" t="str">
        <f>+IF(PROVEEDORES[[#This Row],[FECHA DE PAGO]]=PROVEEDORES[[#This Row],[FECHA DE FACTURACIÓN]],"DE CONTADO","CRÉDITO")</f>
        <v>CRÉDITO</v>
      </c>
      <c r="B1577" s="138" t="b">
        <f>+IF((PROVEEDORES[[#This Row],[FECHA DE PAGO]]-PROVEEDORES[[#This Row],[FECHA DE FACTURACIÓN]])&gt;PROVEEDORES[[#This Row],[PLAZO Días]],"PAGO VENCIDO")</f>
        <v>0</v>
      </c>
      <c r="C1577" s="138">
        <f>+VLOOKUP(PROVEEDORES[[#This Row],[PROVEEDOR]],TERCEROS_INFO[#All],2,FALSE)</f>
        <v>30</v>
      </c>
      <c r="D1577" s="139">
        <f>+SUMIFS(PROVEEDORES[Total],PROVEEDORES[PROVEEDOR],PROVEEDORES[[#This Row],[PROVEEDOR]],PROVEEDORES[FECHA DE PAGO],"")</f>
        <v>5813868.5099999998</v>
      </c>
      <c r="E1577" s="140"/>
      <c r="F1577" s="138" t="str">
        <f>+VLOOKUP(PROVEEDORES[[#This Row],[PROVEEDOR]],
                       Terceros!$A:$F,
                       5,
                       FALSE)</f>
        <v>mdedcnvi@bateriasduncan.com.co;girlesa.ruiz@servipilas.com;joriescobar64@gmail.com</v>
      </c>
      <c r="G1577" s="127"/>
      <c r="H1577" s="123" t="s">
        <v>24</v>
      </c>
      <c r="I1577" s="127">
        <v>45399</v>
      </c>
      <c r="J1577" s="124" t="s">
        <v>1747</v>
      </c>
      <c r="K1577" s="124" t="s">
        <v>504</v>
      </c>
      <c r="L1577" s="124"/>
      <c r="M1577" s="125">
        <v>4268540</v>
      </c>
      <c r="N1577" s="148">
        <v>811022.6</v>
      </c>
      <c r="O1577" s="148">
        <v>0</v>
      </c>
      <c r="P1577" s="149">
        <v>2.5000000000000001E-2</v>
      </c>
      <c r="Q1577" s="148">
        <v>106713.5</v>
      </c>
      <c r="R1577" s="150">
        <v>4972849.0999999996</v>
      </c>
      <c r="S1577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77" s="135">
        <f ca="1">+IF(PROVEEDORES[[#This Row],[FECHA DE PAGO]]=0,TODAY()-PROVEEDORES[[#This Row],[FECHA DE FACTURACIÓN]]-PROVEEDORES[[#This Row],[PLAZO Días]],0)</f>
        <v>18</v>
      </c>
      <c r="U1577" s="135" t="str">
        <f>+VLOOKUP(PROVEEDORES[[#This Row],[PROVEEDOR]],Terceros!$A:$D,4,FALSE)</f>
        <v>2,5% con base</v>
      </c>
      <c r="V1577" s="135">
        <f>+YEAR(PROVEEDORES[[#This Row],[FECHA DE FACTURACIÓN]])</f>
        <v>2024</v>
      </c>
      <c r="W1577" s="135">
        <f>+MATCH(PROVEEDORES[[#This Row],[año facturado]],Retenciones!$1:$1,0)</f>
        <v>7</v>
      </c>
      <c r="X1577" s="136">
        <f>+VLOOKUP(PROVEEDORES[[#This Row],[ID RETENCION]],Retenciones!$A$1:$O$25,PROVEEDORES[[#This Row],[indicador de columna]],FALSE)</f>
        <v>1271000</v>
      </c>
      <c r="Y1577" s="137">
        <f>+VLOOKUP(PROVEEDORES[[#This Row],[ID RETENCION]],Retenciones!$A$1:$O$25,2,FALSE)</f>
        <v>2.5000000000000001E-2</v>
      </c>
      <c r="Z1577" s="126" t="b">
        <f>+OR(COUNTIF(PROVEEDORES[[#This Row],[PROVEEDOR]],"*"&amp;'Palabra que no opera y Listas d'!$A$2&amp;"*"))</f>
        <v>0</v>
      </c>
    </row>
    <row r="1578" spans="1:26" ht="27.75" customHeight="1" x14ac:dyDescent="0.25">
      <c r="A1578" s="141" t="str">
        <f>+IF(PROVEEDORES[[#This Row],[FECHA DE PAGO]]=PROVEEDORES[[#This Row],[FECHA DE FACTURACIÓN]],"DE CONTADO","CRÉDITO")</f>
        <v>CRÉDITO</v>
      </c>
      <c r="B1578" s="138" t="b">
        <f>+IF((PROVEEDORES[[#This Row],[FECHA DE PAGO]]-PROVEEDORES[[#This Row],[FECHA DE FACTURACIÓN]])&gt;PROVEEDORES[[#This Row],[PLAZO Días]],"PAGO VENCIDO")</f>
        <v>0</v>
      </c>
      <c r="C1578" s="138">
        <f>+VLOOKUP(PROVEEDORES[[#This Row],[PROVEEDOR]],TERCEROS_INFO[#All],2,FALSE)</f>
        <v>90</v>
      </c>
      <c r="D1578" s="139">
        <f>+SUMIFS(PROVEEDORES[Total],PROVEEDORES[PROVEEDOR],PROVEEDORES[[#This Row],[PROVEEDOR]],PROVEEDORES[FECHA DE PAGO],"")</f>
        <v>17710735.315650001</v>
      </c>
      <c r="E1578" s="140"/>
      <c r="F1578" s="13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578" s="127"/>
      <c r="H1578" s="123" t="s">
        <v>12</v>
      </c>
      <c r="I1578" s="127">
        <v>45356</v>
      </c>
      <c r="J1578" s="124" t="s">
        <v>1648</v>
      </c>
      <c r="K1578" s="124" t="s">
        <v>1530</v>
      </c>
      <c r="L1578" s="124"/>
      <c r="M1578" s="125">
        <v>3701680.66</v>
      </c>
      <c r="N1578" s="148">
        <v>703319.32540000009</v>
      </c>
      <c r="O1578" s="148">
        <v>0</v>
      </c>
      <c r="P1578" s="149">
        <v>2.5000000000000001E-2</v>
      </c>
      <c r="Q1578" s="148">
        <v>92542.016500000012</v>
      </c>
      <c r="R1578" s="150">
        <v>4312457.9689000007</v>
      </c>
      <c r="S1578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78" s="135">
        <f ca="1">+IF(PROVEEDORES[[#This Row],[FECHA DE PAGO]]=0,TODAY()-PROVEEDORES[[#This Row],[FECHA DE FACTURACIÓN]]-PROVEEDORES[[#This Row],[PLAZO Días]],0)</f>
        <v>1</v>
      </c>
      <c r="U1578" s="135" t="str">
        <f>+VLOOKUP(PROVEEDORES[[#This Row],[PROVEEDOR]],Terceros!$A:$D,4,FALSE)</f>
        <v>2,5% con base</v>
      </c>
      <c r="V1578" s="135">
        <f>+YEAR(PROVEEDORES[[#This Row],[FECHA DE FACTURACIÓN]])</f>
        <v>2024</v>
      </c>
      <c r="W1578" s="135">
        <f>+MATCH(PROVEEDORES[[#This Row],[año facturado]],Retenciones!$1:$1,0)</f>
        <v>7</v>
      </c>
      <c r="X1578" s="136">
        <f>+VLOOKUP(PROVEEDORES[[#This Row],[ID RETENCION]],Retenciones!$A$1:$O$25,PROVEEDORES[[#This Row],[indicador de columna]],FALSE)</f>
        <v>1271000</v>
      </c>
      <c r="Y1578" s="137">
        <f>+VLOOKUP(PROVEEDORES[[#This Row],[ID RETENCION]],Retenciones!$A$1:$O$25,2,FALSE)</f>
        <v>2.5000000000000001E-2</v>
      </c>
      <c r="Z1578" s="126" t="b">
        <f>+OR(COUNTIF(PROVEEDORES[[#This Row],[PROVEEDOR]],"*"&amp;'Palabra que no opera y Listas d'!$A$2&amp;"*"))</f>
        <v>0</v>
      </c>
    </row>
    <row r="1579" spans="1:26" ht="27.75" customHeight="1" x14ac:dyDescent="0.25">
      <c r="A1579" s="141" t="str">
        <f>+IF(PROVEEDORES[[#This Row],[FECHA DE PAGO]]=PROVEEDORES[[#This Row],[FECHA DE FACTURACIÓN]],"DE CONTADO","CRÉDITO")</f>
        <v>CRÉDITO</v>
      </c>
      <c r="B1579" s="138" t="b">
        <f>+IF((PROVEEDORES[[#This Row],[FECHA DE PAGO]]-PROVEEDORES[[#This Row],[FECHA DE FACTURACIÓN]])&gt;PROVEEDORES[[#This Row],[PLAZO Días]],"PAGO VENCIDO")</f>
        <v>0</v>
      </c>
      <c r="C1579" s="138">
        <f>+VLOOKUP(PROVEEDORES[[#This Row],[PROVEEDOR]],TERCEROS_INFO[#All],2,FALSE)</f>
        <v>90</v>
      </c>
      <c r="D1579" s="139">
        <f>+SUMIFS(PROVEEDORES[Total],PROVEEDORES[PROVEEDOR],PROVEEDORES[[#This Row],[PROVEEDOR]],PROVEEDORES[FECHA DE PAGO],"")</f>
        <v>0</v>
      </c>
      <c r="E1579" s="140"/>
      <c r="F1579" s="138" t="str">
        <f>+VLOOKUP(PROVEEDORES[[#This Row],[PROVEEDOR]],
                       Terceros!$A:$F,
                       5,
                       FALSE)</f>
        <v>admin@kinocompanysas.com.co;girlesa.ruiz@servipilas.com;joriescobar64@gmail.com</v>
      </c>
      <c r="G1579" s="127">
        <v>45426</v>
      </c>
      <c r="H1579" s="123" t="s">
        <v>32</v>
      </c>
      <c r="I1579" s="127">
        <v>45341</v>
      </c>
      <c r="J1579" s="124" t="s">
        <v>1588</v>
      </c>
      <c r="K1579" s="124" t="s">
        <v>1530</v>
      </c>
      <c r="L1579" s="124" t="s">
        <v>1533</v>
      </c>
      <c r="M1579" s="125">
        <v>10371000</v>
      </c>
      <c r="N1579" s="148">
        <v>1970490</v>
      </c>
      <c r="O1579" s="148">
        <v>0</v>
      </c>
      <c r="P1579" s="149">
        <v>2.5000000000000001E-2</v>
      </c>
      <c r="Q1579" s="148">
        <v>259275</v>
      </c>
      <c r="R1579" s="150">
        <v>12082215</v>
      </c>
      <c r="S157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79" s="135">
        <f ca="1">+IF(PROVEEDORES[[#This Row],[FECHA DE PAGO]]=0,TODAY()-PROVEEDORES[[#This Row],[FECHA DE FACTURACIÓN]]-PROVEEDORES[[#This Row],[PLAZO Días]],0)</f>
        <v>0</v>
      </c>
      <c r="U1579" s="135" t="str">
        <f>+VLOOKUP(PROVEEDORES[[#This Row],[PROVEEDOR]],Terceros!$A:$D,4,FALSE)</f>
        <v>2,5% con base</v>
      </c>
      <c r="V1579" s="135">
        <f>+YEAR(PROVEEDORES[[#This Row],[FECHA DE FACTURACIÓN]])</f>
        <v>2024</v>
      </c>
      <c r="W1579" s="135">
        <f>+MATCH(PROVEEDORES[[#This Row],[año facturado]],Retenciones!$1:$1,0)</f>
        <v>7</v>
      </c>
      <c r="X1579" s="136">
        <f>+VLOOKUP(PROVEEDORES[[#This Row],[ID RETENCION]],Retenciones!$A$1:$O$25,PROVEEDORES[[#This Row],[indicador de columna]],FALSE)</f>
        <v>1271000</v>
      </c>
      <c r="Y1579" s="137">
        <f>+VLOOKUP(PROVEEDORES[[#This Row],[ID RETENCION]],Retenciones!$A$1:$O$25,2,FALSE)</f>
        <v>2.5000000000000001E-2</v>
      </c>
      <c r="Z1579" s="126" t="b">
        <f>+OR(COUNTIF(PROVEEDORES[[#This Row],[PROVEEDOR]],"*"&amp;'Palabra que no opera y Listas d'!$A$2&amp;"*"))</f>
        <v>0</v>
      </c>
    </row>
    <row r="1580" spans="1:26" ht="27.75" customHeight="1" x14ac:dyDescent="0.25">
      <c r="A1580" s="141" t="str">
        <f>+IF(PROVEEDORES[[#This Row],[FECHA DE PAGO]]=PROVEEDORES[[#This Row],[FECHA DE FACTURACIÓN]],"DE CONTADO","CRÉDITO")</f>
        <v>CRÉDITO</v>
      </c>
      <c r="B1580" s="138" t="b">
        <f>+IF((PROVEEDORES[[#This Row],[FECHA DE PAGO]]-PROVEEDORES[[#This Row],[FECHA DE FACTURACIÓN]])&gt;PROVEEDORES[[#This Row],[PLAZO Días]],"PAGO VENCIDO")</f>
        <v>0</v>
      </c>
      <c r="C1580" s="138">
        <f>+VLOOKUP(PROVEEDORES[[#This Row],[PROVEEDOR]],TERCEROS_INFO[#All],2,FALSE)</f>
        <v>90</v>
      </c>
      <c r="D1580" s="139">
        <f>+SUMIFS(PROVEEDORES[Total],PROVEEDORES[PROVEEDOR],PROVEEDORES[[#This Row],[PROVEEDOR]],PROVEEDORES[FECHA DE PAGO],"")</f>
        <v>17710735.315650001</v>
      </c>
      <c r="E1580" s="140"/>
      <c r="F1580" s="13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580" s="127"/>
      <c r="H1580" s="123" t="s">
        <v>12</v>
      </c>
      <c r="I1580" s="127">
        <v>45356</v>
      </c>
      <c r="J1580" s="124" t="s">
        <v>1647</v>
      </c>
      <c r="K1580" s="124" t="s">
        <v>1530</v>
      </c>
      <c r="L1580" s="124"/>
      <c r="M1580" s="125">
        <v>11268907.59</v>
      </c>
      <c r="N1580" s="148">
        <v>2141092.4421000001</v>
      </c>
      <c r="O1580" s="148">
        <v>0</v>
      </c>
      <c r="P1580" s="149">
        <v>2.5000000000000001E-2</v>
      </c>
      <c r="Q1580" s="148">
        <v>281722.68975000002</v>
      </c>
      <c r="R1580" s="150">
        <v>13128277.342349999</v>
      </c>
      <c r="S1580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0" s="135">
        <f ca="1">+IF(PROVEEDORES[[#This Row],[FECHA DE PAGO]]=0,TODAY()-PROVEEDORES[[#This Row],[FECHA DE FACTURACIÓN]]-PROVEEDORES[[#This Row],[PLAZO Días]],0)</f>
        <v>1</v>
      </c>
      <c r="U1580" s="135" t="str">
        <f>+VLOOKUP(PROVEEDORES[[#This Row],[PROVEEDOR]],Terceros!$A:$D,4,FALSE)</f>
        <v>2,5% con base</v>
      </c>
      <c r="V1580" s="135">
        <f>+YEAR(PROVEEDORES[[#This Row],[FECHA DE FACTURACIÓN]])</f>
        <v>2024</v>
      </c>
      <c r="W1580" s="135">
        <f>+MATCH(PROVEEDORES[[#This Row],[año facturado]],Retenciones!$1:$1,0)</f>
        <v>7</v>
      </c>
      <c r="X1580" s="136">
        <f>+VLOOKUP(PROVEEDORES[[#This Row],[ID RETENCION]],Retenciones!$A$1:$O$25,PROVEEDORES[[#This Row],[indicador de columna]],FALSE)</f>
        <v>1271000</v>
      </c>
      <c r="Y1580" s="137">
        <f>+VLOOKUP(PROVEEDORES[[#This Row],[ID RETENCION]],Retenciones!$A$1:$O$25,2,FALSE)</f>
        <v>2.5000000000000001E-2</v>
      </c>
      <c r="Z1580" s="126" t="b">
        <f>+OR(COUNTIF(PROVEEDORES[[#This Row],[PROVEEDOR]],"*"&amp;'Palabra que no opera y Listas d'!$A$2&amp;"*"))</f>
        <v>0</v>
      </c>
    </row>
    <row r="1581" spans="1:26" ht="27.75" customHeight="1" x14ac:dyDescent="0.25">
      <c r="A1581" s="141" t="str">
        <f>+IF(PROVEEDORES[[#This Row],[FECHA DE PAGO]]=PROVEEDORES[[#This Row],[FECHA DE FACTURACIÓN]],"DE CONTADO","CRÉDITO")</f>
        <v>CRÉDITO</v>
      </c>
      <c r="B1581" s="138" t="b">
        <f>+IF((PROVEEDORES[[#This Row],[FECHA DE PAGO]]-PROVEEDORES[[#This Row],[FECHA DE FACTURACIÓN]])&gt;PROVEEDORES[[#This Row],[PLAZO Días]],"PAGO VENCIDO")</f>
        <v>0</v>
      </c>
      <c r="C1581" s="138">
        <f>+VLOOKUP(PROVEEDORES[[#This Row],[PROVEEDOR]],TERCEROS_INFO[#All],2,FALSE)</f>
        <v>90</v>
      </c>
      <c r="D1581" s="139">
        <f>+SUMIFS(PROVEEDORES[Total],PROVEEDORES[PROVEEDOR],PROVEEDORES[[#This Row],[PROVEEDOR]],PROVEEDORES[FECHA DE PAGO],"")</f>
        <v>17710735.315650001</v>
      </c>
      <c r="E1581" s="140"/>
      <c r="F1581" s="138" t="str">
        <f>+VLOOKUP(PROVEEDORES[[#This Row],[PROVEEDOR]],
                       Terceros!$A:$F,
                       5,
                       FALSE)</f>
        <v>javiergomez_72@hotmail.com ;girlesa.ruiz@servipilas.com;joriescobar64@gmail.com</v>
      </c>
      <c r="G1581" s="127"/>
      <c r="H1581" s="123" t="s">
        <v>12</v>
      </c>
      <c r="I1581" s="127">
        <v>45356</v>
      </c>
      <c r="J1581" s="124" t="s">
        <v>1652</v>
      </c>
      <c r="K1581" s="124" t="s">
        <v>1530</v>
      </c>
      <c r="L1581" s="124"/>
      <c r="M1581" s="125">
        <v>226890.76</v>
      </c>
      <c r="N1581" s="148">
        <v>43109.244400000003</v>
      </c>
      <c r="O1581" s="148">
        <v>0</v>
      </c>
      <c r="P1581" s="149">
        <v>0</v>
      </c>
      <c r="Q1581" s="148">
        <v>0</v>
      </c>
      <c r="R1581" s="150">
        <v>270000.00440000003</v>
      </c>
      <c r="S1581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1" s="135">
        <f ca="1">+IF(PROVEEDORES[[#This Row],[FECHA DE PAGO]]=0,TODAY()-PROVEEDORES[[#This Row],[FECHA DE FACTURACIÓN]]-PROVEEDORES[[#This Row],[PLAZO Días]],0)</f>
        <v>1</v>
      </c>
      <c r="U1581" s="135" t="str">
        <f>+VLOOKUP(PROVEEDORES[[#This Row],[PROVEEDOR]],Terceros!$A:$D,4,FALSE)</f>
        <v>2,5% con base</v>
      </c>
      <c r="V1581" s="135">
        <f>+YEAR(PROVEEDORES[[#This Row],[FECHA DE FACTURACIÓN]])</f>
        <v>2024</v>
      </c>
      <c r="W1581" s="135">
        <f>+MATCH(PROVEEDORES[[#This Row],[año facturado]],Retenciones!$1:$1,0)</f>
        <v>7</v>
      </c>
      <c r="X1581" s="136">
        <f>+VLOOKUP(PROVEEDORES[[#This Row],[ID RETENCION]],Retenciones!$A$1:$O$25,PROVEEDORES[[#This Row],[indicador de columna]],FALSE)</f>
        <v>1271000</v>
      </c>
      <c r="Y1581" s="137">
        <f>+VLOOKUP(PROVEEDORES[[#This Row],[ID RETENCION]],Retenciones!$A$1:$O$25,2,FALSE)</f>
        <v>2.5000000000000001E-2</v>
      </c>
      <c r="Z1581" s="126" t="b">
        <f>+OR(COUNTIF(PROVEEDORES[[#This Row],[PROVEEDOR]],"*"&amp;'Palabra que no opera y Listas d'!$A$2&amp;"*"))</f>
        <v>0</v>
      </c>
    </row>
    <row r="1582" spans="1:26" ht="27.75" customHeight="1" x14ac:dyDescent="0.25">
      <c r="A1582" s="141" t="str">
        <f>+IF(PROVEEDORES[[#This Row],[FECHA DE PAGO]]=PROVEEDORES[[#This Row],[FECHA DE FACTURACIÓN]],"DE CONTADO","CRÉDITO")</f>
        <v>CRÉDITO</v>
      </c>
      <c r="B1582" s="138" t="str">
        <f>+IF((PROVEEDORES[[#This Row],[FECHA DE PAGO]]-PROVEEDORES[[#This Row],[FECHA DE FACTURACIÓN]])&gt;PROVEEDORES[[#This Row],[PLAZO Días]],"PAGO VENCIDO")</f>
        <v>PAGO VENCIDO</v>
      </c>
      <c r="C1582" s="138">
        <f>+VLOOKUP(PROVEEDORES[[#This Row],[PROVEEDOR]],TERCEROS_INFO[#All],2,FALSE)</f>
        <v>30</v>
      </c>
      <c r="D1582" s="139">
        <f>+SUMIFS(PROVEEDORES[Total],PROVEEDORES[PROVEEDOR],PROVEEDORES[[#This Row],[PROVEEDOR]],PROVEEDORES[FECHA DE PAGO],"")</f>
        <v>4466504.835</v>
      </c>
      <c r="E1582" s="140"/>
      <c r="F1582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582" s="127">
        <v>45439</v>
      </c>
      <c r="H1582" s="123" t="s">
        <v>18</v>
      </c>
      <c r="I1582" s="127">
        <v>45399</v>
      </c>
      <c r="J1582" s="124" t="s">
        <v>1746</v>
      </c>
      <c r="K1582" s="124" t="s">
        <v>504</v>
      </c>
      <c r="L1582" s="124" t="s">
        <v>1534</v>
      </c>
      <c r="M1582" s="125">
        <v>1683642</v>
      </c>
      <c r="N1582" s="148">
        <v>319891.98</v>
      </c>
      <c r="O1582" s="148">
        <v>0</v>
      </c>
      <c r="P1582" s="149">
        <v>2.5000000000000001E-2</v>
      </c>
      <c r="Q1582" s="148">
        <v>42091.05</v>
      </c>
      <c r="R1582" s="150">
        <v>1961442.93</v>
      </c>
      <c r="S158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2" s="135">
        <f ca="1">+IF(PROVEEDORES[[#This Row],[FECHA DE PAGO]]=0,TODAY()-PROVEEDORES[[#This Row],[FECHA DE FACTURACIÓN]]-PROVEEDORES[[#This Row],[PLAZO Días]],0)</f>
        <v>0</v>
      </c>
      <c r="U1582" s="135" t="str">
        <f>+VLOOKUP(PROVEEDORES[[#This Row],[PROVEEDOR]],Terceros!$A:$D,4,FALSE)</f>
        <v>2,5% con base</v>
      </c>
      <c r="V1582" s="135">
        <f>+YEAR(PROVEEDORES[[#This Row],[FECHA DE FACTURACIÓN]])</f>
        <v>2024</v>
      </c>
      <c r="W1582" s="135">
        <f>+MATCH(PROVEEDORES[[#This Row],[año facturado]],Retenciones!$1:$1,0)</f>
        <v>7</v>
      </c>
      <c r="X1582" s="136">
        <f>+VLOOKUP(PROVEEDORES[[#This Row],[ID RETENCION]],Retenciones!$A$1:$O$25,PROVEEDORES[[#This Row],[indicador de columna]],FALSE)</f>
        <v>1271000</v>
      </c>
      <c r="Y1582" s="137">
        <f>+VLOOKUP(PROVEEDORES[[#This Row],[ID RETENCION]],Retenciones!$A$1:$O$25,2,FALSE)</f>
        <v>2.5000000000000001E-2</v>
      </c>
      <c r="Z1582" s="126" t="b">
        <f>+OR(COUNTIF(PROVEEDORES[[#This Row],[PROVEEDOR]],"*"&amp;'Palabra que no opera y Listas d'!$A$2&amp;"*"))</f>
        <v>0</v>
      </c>
    </row>
    <row r="1583" spans="1:26" ht="27.75" customHeight="1" x14ac:dyDescent="0.25">
      <c r="A1583" s="141" t="str">
        <f>+IF(PROVEEDORES[[#This Row],[FECHA DE PAGO]]=PROVEEDORES[[#This Row],[FECHA DE FACTURACIÓN]],"DE CONTADO","CRÉDITO")</f>
        <v>CRÉDITO</v>
      </c>
      <c r="B1583" s="138" t="b">
        <f>+IF((PROVEEDORES[[#This Row],[FECHA DE PAGO]]-PROVEEDORES[[#This Row],[FECHA DE FACTURACIÓN]])&gt;PROVEEDORES[[#This Row],[PLAZO Días]],"PAGO VENCIDO")</f>
        <v>0</v>
      </c>
      <c r="C1583" s="138">
        <f>+VLOOKUP(PROVEEDORES[[#This Row],[PROVEEDOR]],TERCEROS_INFO[#All],2,FALSE)</f>
        <v>30</v>
      </c>
      <c r="D1583" s="139">
        <f>+SUMIFS(PROVEEDORES[Total],PROVEEDORES[PROVEEDOR],PROVEEDORES[[#This Row],[PROVEEDOR]],PROVEEDORES[FECHA DE PAGO],"")</f>
        <v>4466504.835</v>
      </c>
      <c r="E1583" s="140"/>
      <c r="F1583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583" s="127"/>
      <c r="H1583" s="123" t="s">
        <v>18</v>
      </c>
      <c r="I1583" s="127">
        <v>45408</v>
      </c>
      <c r="J1583" s="124" t="s">
        <v>1781</v>
      </c>
      <c r="K1583" s="124" t="s">
        <v>504</v>
      </c>
      <c r="L1583" s="124"/>
      <c r="M1583" s="125">
        <v>1206027</v>
      </c>
      <c r="N1583" s="148">
        <v>229145.13</v>
      </c>
      <c r="O1583" s="148">
        <v>0</v>
      </c>
      <c r="P1583" s="149">
        <v>0</v>
      </c>
      <c r="Q1583" s="148">
        <v>0</v>
      </c>
      <c r="R1583" s="150">
        <v>1435172.13</v>
      </c>
      <c r="S1583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3" s="135">
        <f ca="1">+IF(PROVEEDORES[[#This Row],[FECHA DE PAGO]]=0,TODAY()-PROVEEDORES[[#This Row],[FECHA DE FACTURACIÓN]]-PROVEEDORES[[#This Row],[PLAZO Días]],0)</f>
        <v>9</v>
      </c>
      <c r="U1583" s="135" t="str">
        <f>+VLOOKUP(PROVEEDORES[[#This Row],[PROVEEDOR]],Terceros!$A:$D,4,FALSE)</f>
        <v>2,5% con base</v>
      </c>
      <c r="V1583" s="135">
        <f>+YEAR(PROVEEDORES[[#This Row],[FECHA DE FACTURACIÓN]])</f>
        <v>2024</v>
      </c>
      <c r="W1583" s="135">
        <f>+MATCH(PROVEEDORES[[#This Row],[año facturado]],Retenciones!$1:$1,0)</f>
        <v>7</v>
      </c>
      <c r="X1583" s="136">
        <f>+VLOOKUP(PROVEEDORES[[#This Row],[ID RETENCION]],Retenciones!$A$1:$O$25,PROVEEDORES[[#This Row],[indicador de columna]],FALSE)</f>
        <v>1271000</v>
      </c>
      <c r="Y1583" s="137">
        <f>+VLOOKUP(PROVEEDORES[[#This Row],[ID RETENCION]],Retenciones!$A$1:$O$25,2,FALSE)</f>
        <v>2.5000000000000001E-2</v>
      </c>
      <c r="Z1583" s="126" t="b">
        <f>+OR(COUNTIF(PROVEEDORES[[#This Row],[PROVEEDOR]],"*"&amp;'Palabra que no opera y Listas d'!$A$2&amp;"*"))</f>
        <v>0</v>
      </c>
    </row>
    <row r="1584" spans="1:26" ht="27.75" customHeight="1" x14ac:dyDescent="0.25">
      <c r="A1584" s="141" t="str">
        <f>+IF(PROVEEDORES[[#This Row],[FECHA DE PAGO]]=PROVEEDORES[[#This Row],[FECHA DE FACTURACIÓN]],"DE CONTADO","CRÉDITO")</f>
        <v>CRÉDITO</v>
      </c>
      <c r="B1584" s="138" t="b">
        <f>+IF((PROVEEDORES[[#This Row],[FECHA DE PAGO]]-PROVEEDORES[[#This Row],[FECHA DE FACTURACIÓN]])&gt;PROVEEDORES[[#This Row],[PLAZO Días]],"PAGO VENCIDO")</f>
        <v>0</v>
      </c>
      <c r="C1584" s="138">
        <f>+VLOOKUP(PROVEEDORES[[#This Row],[PROVEEDOR]],TERCEROS_INFO[#All],2,FALSE)</f>
        <v>30</v>
      </c>
      <c r="D1584" s="139">
        <f>+SUMIFS(PROVEEDORES[Total],PROVEEDORES[PROVEEDOR],PROVEEDORES[[#This Row],[PROVEEDOR]],PROVEEDORES[FECHA DE PAGO],"")</f>
        <v>4466504.835</v>
      </c>
      <c r="E1584" s="140"/>
      <c r="F1584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584" s="127"/>
      <c r="H1584" s="123" t="s">
        <v>18</v>
      </c>
      <c r="I1584" s="127">
        <v>45412</v>
      </c>
      <c r="J1584" s="124" t="s">
        <v>1788</v>
      </c>
      <c r="K1584" s="124" t="s">
        <v>504</v>
      </c>
      <c r="L1584" s="124"/>
      <c r="M1584" s="125">
        <v>1606195</v>
      </c>
      <c r="N1584" s="148">
        <v>305177.05</v>
      </c>
      <c r="O1584" s="148">
        <v>0</v>
      </c>
      <c r="P1584" s="149">
        <v>2.5000000000000001E-2</v>
      </c>
      <c r="Q1584" s="148">
        <v>40154.875</v>
      </c>
      <c r="R1584" s="150">
        <v>1871217.175</v>
      </c>
      <c r="S1584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4" s="135">
        <f ca="1">+IF(PROVEEDORES[[#This Row],[FECHA DE PAGO]]=0,TODAY()-PROVEEDORES[[#This Row],[FECHA DE FACTURACIÓN]]-PROVEEDORES[[#This Row],[PLAZO Días]],0)</f>
        <v>5</v>
      </c>
      <c r="U1584" s="135" t="str">
        <f>+VLOOKUP(PROVEEDORES[[#This Row],[PROVEEDOR]],Terceros!$A:$D,4,FALSE)</f>
        <v>2,5% con base</v>
      </c>
      <c r="V1584" s="135">
        <f>+YEAR(PROVEEDORES[[#This Row],[FECHA DE FACTURACIÓN]])</f>
        <v>2024</v>
      </c>
      <c r="W1584" s="135">
        <f>+MATCH(PROVEEDORES[[#This Row],[año facturado]],Retenciones!$1:$1,0)</f>
        <v>7</v>
      </c>
      <c r="X1584" s="136">
        <f>+VLOOKUP(PROVEEDORES[[#This Row],[ID RETENCION]],Retenciones!$A$1:$O$25,PROVEEDORES[[#This Row],[indicador de columna]],FALSE)</f>
        <v>1271000</v>
      </c>
      <c r="Y1584" s="137">
        <f>+VLOOKUP(PROVEEDORES[[#This Row],[ID RETENCION]],Retenciones!$A$1:$O$25,2,FALSE)</f>
        <v>2.5000000000000001E-2</v>
      </c>
      <c r="Z1584" s="126" t="b">
        <f>+OR(COUNTIF(PROVEEDORES[[#This Row],[PROVEEDOR]],"*"&amp;'Palabra que no opera y Listas d'!$A$2&amp;"*"))</f>
        <v>0</v>
      </c>
    </row>
    <row r="1585" spans="1:26" ht="27.75" customHeight="1" x14ac:dyDescent="0.25">
      <c r="A1585" s="141" t="str">
        <f>+IF(PROVEEDORES[[#This Row],[FECHA DE PAGO]]=PROVEEDORES[[#This Row],[FECHA DE FACTURACIÓN]],"DE CONTADO","CRÉDITO")</f>
        <v>CRÉDITO</v>
      </c>
      <c r="B1585" s="138" t="b">
        <f>+IF((PROVEEDORES[[#This Row],[FECHA DE PAGO]]-PROVEEDORES[[#This Row],[FECHA DE FACTURACIÓN]])&gt;PROVEEDORES[[#This Row],[PLAZO Días]],"PAGO VENCIDO")</f>
        <v>0</v>
      </c>
      <c r="C1585" s="138">
        <f>+VLOOKUP(PROVEEDORES[[#This Row],[PROVEEDOR]],TERCEROS_INFO[#All],2,FALSE)</f>
        <v>30</v>
      </c>
      <c r="D1585" s="139">
        <f>+SUMIFS(PROVEEDORES[Total],PROVEEDORES[PROVEEDOR],PROVEEDORES[[#This Row],[PROVEEDOR]],PROVEEDORES[FECHA DE PAGO],"")</f>
        <v>5581100</v>
      </c>
      <c r="E1585" s="140"/>
      <c r="F1585" s="138" t="str">
        <f>+VLOOKUP(PROVEEDORES[[#This Row],[PROVEEDOR]],
                       Terceros!$A:$F,
                       5,
                       FALSE)</f>
        <v>cartera@ienewline.com;andres.arroyave@ienewline.com;girlesa.ruiz@servipilas.com;joriescobar64@gmail.com</v>
      </c>
      <c r="G1585" s="127"/>
      <c r="H1585" s="123" t="s">
        <v>446</v>
      </c>
      <c r="I1585" s="127">
        <v>45421</v>
      </c>
      <c r="J1585" s="124" t="s">
        <v>1892</v>
      </c>
      <c r="K1585" s="124" t="s">
        <v>504</v>
      </c>
      <c r="L1585" s="124"/>
      <c r="M1585" s="125">
        <v>4690000</v>
      </c>
      <c r="N1585" s="148">
        <f>+(PROVEEDORES[[#This Row],[SUBTOTAL]])*VLOOKUP(PROVEEDORES[[#This Row],[PROVEEDOR]],TERCEROS_INFO[#All],3,FALSE)</f>
        <v>891100</v>
      </c>
      <c r="O1585" s="148">
        <f>+'Palabra que no opera y Listas d'!$D$2</f>
        <v>0</v>
      </c>
      <c r="P1585" s="149">
        <f>+IF(PROVEEDORES[[#This Row],[SUBTOTAL]]&lt;PROVEEDORES[[#This Row],[base retencion]],0,PROVEEDORES[[#This Row],[retención aplicada]])</f>
        <v>0</v>
      </c>
      <c r="Q1585" s="148">
        <f>+PROVEEDORES[[#This Row],[ReteFuente
%]]*(PROVEEDORES[[#This Row],[SUBTOTAL]])</f>
        <v>0</v>
      </c>
      <c r="R1585" s="150">
        <f>+PROVEEDORES[[#This Row],[SUBTOTAL]]+PROVEEDORES[[#This Row],[IVA 19%]]-PROVEEDORES[[#This Row],[Descuento
$]]-PROVEEDORES[[#This Row],[ReteFuente
$]]</f>
        <v>5581100</v>
      </c>
      <c r="S1585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585" s="135">
        <f ca="1">+IF(PROVEEDORES[[#This Row],[FECHA DE PAGO]]=0,TODAY()-PROVEEDORES[[#This Row],[FECHA DE FACTURACIÓN]]-PROVEEDORES[[#This Row],[PLAZO Días]],0)</f>
        <v>-4</v>
      </c>
      <c r="U1585" s="135">
        <f>+VLOOKUP(PROVEEDORES[[#This Row],[PROVEEDOR]],Terceros!$A:$D,4,FALSE)</f>
        <v>0</v>
      </c>
      <c r="V1585" s="135">
        <f>+YEAR(PROVEEDORES[[#This Row],[FECHA DE FACTURACIÓN]])</f>
        <v>2024</v>
      </c>
      <c r="W1585" s="135">
        <f>+MATCH(PROVEEDORES[[#This Row],[año facturado]],Retenciones!$1:$1,0)</f>
        <v>7</v>
      </c>
      <c r="X1585" s="136">
        <f>+VLOOKUP(PROVEEDORES[[#This Row],[ID RETENCION]],Retenciones!$A$1:$O$25,PROVEEDORES[[#This Row],[indicador de columna]],FALSE)</f>
        <v>0</v>
      </c>
      <c r="Y1585" s="137">
        <f>+VLOOKUP(PROVEEDORES[[#This Row],[ID RETENCION]],Retenciones!$A$1:$O$25,2,FALSE)</f>
        <v>0</v>
      </c>
      <c r="Z1585" s="126" t="b">
        <f>+OR(COUNTIF(PROVEEDORES[[#This Row],[PROVEEDOR]],"*"&amp;'Palabra que no opera y Listas d'!$A$2&amp;"*"))</f>
        <v>0</v>
      </c>
    </row>
    <row r="1586" spans="1:26" ht="27.75" customHeight="1" x14ac:dyDescent="0.25">
      <c r="A1586" s="141" t="str">
        <f>+IF(PROVEEDORES[[#This Row],[FECHA DE PAGO]]=PROVEEDORES[[#This Row],[FECHA DE FACTURACIÓN]],"DE CONTADO","CRÉDITO")</f>
        <v>CRÉDITO</v>
      </c>
      <c r="B1586" s="138" t="b">
        <f>+IF((PROVEEDORES[[#This Row],[FECHA DE PAGO]]-PROVEEDORES[[#This Row],[FECHA DE FACTURACIÓN]])&gt;PROVEEDORES[[#This Row],[PLAZO Días]],"PAGO VENCIDO")</f>
        <v>0</v>
      </c>
      <c r="C1586" s="138">
        <f>+VLOOKUP(PROVEEDORES[[#This Row],[PROVEEDOR]],TERCEROS_INFO[#All],2,FALSE)</f>
        <v>30</v>
      </c>
      <c r="D1586" s="139">
        <f>+SUMIFS(PROVEEDORES[Total],PROVEEDORES[PROVEEDOR],PROVEEDORES[[#This Row],[PROVEEDOR]],PROVEEDORES[FECHA DE PAGO],"")</f>
        <v>2028306.6264000002</v>
      </c>
      <c r="E1586" s="140"/>
      <c r="F1586" s="138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1586" s="127"/>
      <c r="H1586" s="123" t="s">
        <v>218</v>
      </c>
      <c r="I1586" s="127">
        <v>45315</v>
      </c>
      <c r="J1586" s="124" t="s">
        <v>1782</v>
      </c>
      <c r="K1586" s="124" t="s">
        <v>1530</v>
      </c>
      <c r="L1586" s="124"/>
      <c r="M1586" s="125">
        <v>-84873.94</v>
      </c>
      <c r="N1586" s="148">
        <v>-16126.0486</v>
      </c>
      <c r="O1586" s="148">
        <v>0</v>
      </c>
      <c r="P1586" s="149">
        <v>0</v>
      </c>
      <c r="Q1586" s="148">
        <v>0</v>
      </c>
      <c r="R1586" s="150">
        <v>-100999.9886</v>
      </c>
      <c r="S1586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6" s="135">
        <f ca="1">+IF(PROVEEDORES[[#This Row],[FECHA DE PAGO]]=0,TODAY()-PROVEEDORES[[#This Row],[FECHA DE FACTURACIÓN]]-PROVEEDORES[[#This Row],[PLAZO Días]],0)</f>
        <v>102</v>
      </c>
      <c r="U1586" s="135" t="str">
        <f>+VLOOKUP(PROVEEDORES[[#This Row],[PROVEEDOR]],Terceros!$A:$D,4,FALSE)</f>
        <v>2,5% con base</v>
      </c>
      <c r="V1586" s="135">
        <f>+YEAR(PROVEEDORES[[#This Row],[FECHA DE FACTURACIÓN]])</f>
        <v>2024</v>
      </c>
      <c r="W1586" s="135">
        <f>+MATCH(PROVEEDORES[[#This Row],[año facturado]],Retenciones!$1:$1,0)</f>
        <v>7</v>
      </c>
      <c r="X1586" s="136">
        <f>+VLOOKUP(PROVEEDORES[[#This Row],[ID RETENCION]],Retenciones!$A$1:$O$25,PROVEEDORES[[#This Row],[indicador de columna]],FALSE)</f>
        <v>1271000</v>
      </c>
      <c r="Y1586" s="137">
        <f>+VLOOKUP(PROVEEDORES[[#This Row],[ID RETENCION]],Retenciones!$A$1:$O$25,2,FALSE)</f>
        <v>2.5000000000000001E-2</v>
      </c>
      <c r="Z1586" s="126" t="b">
        <f>+OR(COUNTIF(PROVEEDORES[[#This Row],[PROVEEDOR]],"*"&amp;'Palabra que no opera y Listas d'!$A$2&amp;"*"))</f>
        <v>0</v>
      </c>
    </row>
    <row r="1587" spans="1:26" ht="27.75" customHeight="1" x14ac:dyDescent="0.25">
      <c r="A1587" s="141" t="str">
        <f>+IF(PROVEEDORES[[#This Row],[FECHA DE PAGO]]=PROVEEDORES[[#This Row],[FECHA DE FACTURACIÓN]],"DE CONTADO","CRÉDITO")</f>
        <v>CRÉDITO</v>
      </c>
      <c r="B1587" s="138" t="b">
        <f>+IF((PROVEEDORES[[#This Row],[FECHA DE PAGO]]-PROVEEDORES[[#This Row],[FECHA DE FACTURACIÓN]])&gt;PROVEEDORES[[#This Row],[PLAZO Días]],"PAGO VENCIDO")</f>
        <v>0</v>
      </c>
      <c r="C1587" s="138">
        <f>+VLOOKUP(PROVEEDORES[[#This Row],[PROVEEDOR]],TERCEROS_INFO[#All],2,FALSE)</f>
        <v>30</v>
      </c>
      <c r="D1587" s="139">
        <f>+SUMIFS(PROVEEDORES[Total],PROVEEDORES[PROVEEDOR],PROVEEDORES[[#This Row],[PROVEEDOR]],PROVEEDORES[FECHA DE PAGO],"")</f>
        <v>2028306.6264000002</v>
      </c>
      <c r="E1587" s="140"/>
      <c r="F1587" s="138" t="str">
        <f>+VLOOKUP(PROVEEDORES[[#This Row],[PROVEEDOR]],
                       Terceros!$A:$F,
                       5,
                       FALSE)</f>
        <v>yvelasquez@nanicastation.com.co;facturas@nanicastation.com.co;girlesa.ruiz@servipilas.com;joriescobar64@gmail.com</v>
      </c>
      <c r="G1587" s="127"/>
      <c r="H1587" s="123" t="s">
        <v>218</v>
      </c>
      <c r="I1587" s="127">
        <v>45401</v>
      </c>
      <c r="J1587" s="124" t="s">
        <v>1771</v>
      </c>
      <c r="K1587" s="124" t="s">
        <v>1530</v>
      </c>
      <c r="L1587" s="124"/>
      <c r="M1587" s="125">
        <v>1827731</v>
      </c>
      <c r="N1587" s="148">
        <v>347268.89</v>
      </c>
      <c r="O1587" s="148">
        <v>0</v>
      </c>
      <c r="P1587" s="149">
        <v>2.5000000000000001E-2</v>
      </c>
      <c r="Q1587" s="148">
        <v>45693.275000000001</v>
      </c>
      <c r="R1587" s="150">
        <v>2129306.6150000002</v>
      </c>
      <c r="S1587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7" s="135">
        <f ca="1">+IF(PROVEEDORES[[#This Row],[FECHA DE PAGO]]=0,TODAY()-PROVEEDORES[[#This Row],[FECHA DE FACTURACIÓN]]-PROVEEDORES[[#This Row],[PLAZO Días]],0)</f>
        <v>16</v>
      </c>
      <c r="U1587" s="135" t="str">
        <f>+VLOOKUP(PROVEEDORES[[#This Row],[PROVEEDOR]],Terceros!$A:$D,4,FALSE)</f>
        <v>2,5% con base</v>
      </c>
      <c r="V1587" s="135">
        <f>+YEAR(PROVEEDORES[[#This Row],[FECHA DE FACTURACIÓN]])</f>
        <v>2024</v>
      </c>
      <c r="W1587" s="135">
        <f>+MATCH(PROVEEDORES[[#This Row],[año facturado]],Retenciones!$1:$1,0)</f>
        <v>7</v>
      </c>
      <c r="X1587" s="136">
        <f>+VLOOKUP(PROVEEDORES[[#This Row],[ID RETENCION]],Retenciones!$A$1:$O$25,PROVEEDORES[[#This Row],[indicador de columna]],FALSE)</f>
        <v>1271000</v>
      </c>
      <c r="Y1587" s="137">
        <f>+VLOOKUP(PROVEEDORES[[#This Row],[ID RETENCION]],Retenciones!$A$1:$O$25,2,FALSE)</f>
        <v>2.5000000000000001E-2</v>
      </c>
      <c r="Z1587" s="126" t="b">
        <f>+OR(COUNTIF(PROVEEDORES[[#This Row],[PROVEEDOR]],"*"&amp;'Palabra que no opera y Listas d'!$A$2&amp;"*"))</f>
        <v>0</v>
      </c>
    </row>
    <row r="1588" spans="1:26" ht="27.75" customHeight="1" x14ac:dyDescent="0.25">
      <c r="A1588" s="141" t="str">
        <f>+IF(PROVEEDORES[[#This Row],[FECHA DE PAGO]]=PROVEEDORES[[#This Row],[FECHA DE FACTURACIÓN]],"DE CONTADO","CRÉDITO")</f>
        <v>CRÉDITO</v>
      </c>
      <c r="B1588" s="138" t="b">
        <f>+IF((PROVEEDORES[[#This Row],[FECHA DE PAGO]]-PROVEEDORES[[#This Row],[FECHA DE FACTURACIÓN]])&gt;PROVEEDORES[[#This Row],[PLAZO Días]],"PAGO VENCIDO")</f>
        <v>0</v>
      </c>
      <c r="C1588" s="138">
        <f>+VLOOKUP(PROVEEDORES[[#This Row],[PROVEEDOR]],TERCEROS_INFO[#All],2,FALSE)</f>
        <v>60</v>
      </c>
      <c r="D1588" s="139">
        <f>+SUMIFS(PROVEEDORES[Total],PROVEEDORES[PROVEEDOR],PROVEEDORES[[#This Row],[PROVEEDOR]],PROVEEDORES[FECHA DE PAGO],"")</f>
        <v>19124998.199999999</v>
      </c>
      <c r="E1588" s="140"/>
      <c r="F1588" s="138" t="str">
        <f>+VLOOKUP(PROVEEDORES[[#This Row],[PROVEEDOR]],
                       Terceros!$A:$F,
                       5,
                       FALSE)</f>
        <v>mcastillo@kenextrading.com;agarcia@kenextrading.com;girlesa.ruiz@servipilas.com;joriescobar64@gmail.com</v>
      </c>
      <c r="G1588" s="127"/>
      <c r="H1588" s="123" t="s">
        <v>30</v>
      </c>
      <c r="I1588" s="127">
        <v>45379</v>
      </c>
      <c r="J1588" s="124">
        <v>82119</v>
      </c>
      <c r="K1588" s="124" t="s">
        <v>1530</v>
      </c>
      <c r="L1588" s="124"/>
      <c r="M1588" s="125">
        <v>19124998.199999999</v>
      </c>
      <c r="N1588" s="148">
        <v>0</v>
      </c>
      <c r="O1588" s="148">
        <v>0</v>
      </c>
      <c r="P1588" s="149">
        <v>0</v>
      </c>
      <c r="Q1588" s="148">
        <v>0</v>
      </c>
      <c r="R1588" s="150">
        <v>19124998.199999999</v>
      </c>
      <c r="S1588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88" s="135">
        <f ca="1">+IF(PROVEEDORES[[#This Row],[FECHA DE PAGO]]=0,TODAY()-PROVEEDORES[[#This Row],[FECHA DE FACTURACIÓN]]-PROVEEDORES[[#This Row],[PLAZO Días]],0)</f>
        <v>8</v>
      </c>
      <c r="U1588" s="135">
        <f>+VLOOKUP(PROVEEDORES[[#This Row],[PROVEEDOR]],Terceros!$A:$D,4,FALSE)</f>
        <v>0</v>
      </c>
      <c r="V1588" s="135">
        <f>+YEAR(PROVEEDORES[[#This Row],[FECHA DE FACTURACIÓN]])</f>
        <v>2024</v>
      </c>
      <c r="W1588" s="135">
        <f>+MATCH(PROVEEDORES[[#This Row],[año facturado]],Retenciones!$1:$1,0)</f>
        <v>7</v>
      </c>
      <c r="X1588" s="136">
        <f>+VLOOKUP(PROVEEDORES[[#This Row],[ID RETENCION]],Retenciones!$A$1:$O$25,PROVEEDORES[[#This Row],[indicador de columna]],FALSE)</f>
        <v>0</v>
      </c>
      <c r="Y1588" s="137">
        <f>+VLOOKUP(PROVEEDORES[[#This Row],[ID RETENCION]],Retenciones!$A$1:$O$25,2,FALSE)</f>
        <v>0</v>
      </c>
      <c r="Z1588" s="126" t="b">
        <f>+OR(COUNTIF(PROVEEDORES[[#This Row],[PROVEEDOR]],"*"&amp;'Palabra que no opera y Listas d'!$A$2&amp;"*"))</f>
        <v>0</v>
      </c>
    </row>
    <row r="1589" spans="1:26" ht="27.75" customHeight="1" x14ac:dyDescent="0.25">
      <c r="A1589" s="141" t="str">
        <f>+IF(PROVEEDORES[[#This Row],[FECHA DE PAGO]]=PROVEEDORES[[#This Row],[FECHA DE FACTURACIÓN]],"DE CONTADO","CRÉDITO")</f>
        <v>CRÉDITO</v>
      </c>
      <c r="B1589" s="138" t="str">
        <f>+IF((PROVEEDORES[[#This Row],[FECHA DE PAGO]]-PROVEEDORES[[#This Row],[FECHA DE FACTURACIÓN]])&gt;PROVEEDORES[[#This Row],[PLAZO Días]],"PAGO VENCIDO")</f>
        <v>PAGO VENCIDO</v>
      </c>
      <c r="C1589" s="138">
        <f>+VLOOKUP(PROVEEDORES[[#This Row],[PROVEEDOR]],TERCEROS_INFO[#All],2,FALSE)</f>
        <v>45</v>
      </c>
      <c r="D1589" s="139">
        <f>+SUMIFS(PROVEEDORES[Total],PROVEEDORES[PROVEEDOR],PROVEEDORES[[#This Row],[PROVEEDOR]],PROVEEDORES[FECHA DE PAGO],"")</f>
        <v>22186260.039999999</v>
      </c>
      <c r="E1589" s="140"/>
      <c r="F1589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589" s="127">
        <v>45432</v>
      </c>
      <c r="H1589" s="123" t="s">
        <v>19</v>
      </c>
      <c r="I1589" s="127">
        <v>45369</v>
      </c>
      <c r="J1589" s="124" t="s">
        <v>1684</v>
      </c>
      <c r="K1589" s="124" t="s">
        <v>504</v>
      </c>
      <c r="L1589" s="124" t="s">
        <v>1534</v>
      </c>
      <c r="M1589" s="125">
        <v>813510</v>
      </c>
      <c r="N1589" s="148">
        <v>154566.9</v>
      </c>
      <c r="O1589" s="148">
        <v>0</v>
      </c>
      <c r="P1589" s="149">
        <v>0</v>
      </c>
      <c r="Q1589" s="148">
        <v>0</v>
      </c>
      <c r="R1589" s="150">
        <v>968076.9</v>
      </c>
      <c r="S158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89" s="135">
        <f ca="1">+IF(PROVEEDORES[[#This Row],[FECHA DE PAGO]]=0,TODAY()-PROVEEDORES[[#This Row],[FECHA DE FACTURACIÓN]]-PROVEEDORES[[#This Row],[PLAZO Días]],0)</f>
        <v>0</v>
      </c>
      <c r="U1589" s="135">
        <f>+VLOOKUP(PROVEEDORES[[#This Row],[PROVEEDOR]],Terceros!$A:$D,4,FALSE)</f>
        <v>0</v>
      </c>
      <c r="V1589" s="135">
        <f>+YEAR(PROVEEDORES[[#This Row],[FECHA DE FACTURACIÓN]])</f>
        <v>2024</v>
      </c>
      <c r="W1589" s="135">
        <f>+MATCH(PROVEEDORES[[#This Row],[año facturado]],Retenciones!$1:$1,0)</f>
        <v>7</v>
      </c>
      <c r="X1589" s="136">
        <f>+VLOOKUP(PROVEEDORES[[#This Row],[ID RETENCION]],Retenciones!$A$1:$O$25,PROVEEDORES[[#This Row],[indicador de columna]],FALSE)</f>
        <v>0</v>
      </c>
      <c r="Y1589" s="137">
        <f>+VLOOKUP(PROVEEDORES[[#This Row],[ID RETENCION]],Retenciones!$A$1:$O$25,2,FALSE)</f>
        <v>0</v>
      </c>
      <c r="Z1589" s="126" t="b">
        <f>+OR(COUNTIF(PROVEEDORES[[#This Row],[PROVEEDOR]],"*"&amp;'Palabra que no opera y Listas d'!$A$2&amp;"*"))</f>
        <v>0</v>
      </c>
    </row>
    <row r="1590" spans="1:26" ht="27.75" customHeight="1" x14ac:dyDescent="0.25">
      <c r="A1590" s="141" t="str">
        <f>+IF(PROVEEDORES[[#This Row],[FECHA DE PAGO]]=PROVEEDORES[[#This Row],[FECHA DE FACTURACIÓN]],"DE CONTADO","CRÉDITO")</f>
        <v>CRÉDITO</v>
      </c>
      <c r="B1590" s="138" t="str">
        <f>+IF((PROVEEDORES[[#This Row],[FECHA DE PAGO]]-PROVEEDORES[[#This Row],[FECHA DE FACTURACIÓN]])&gt;PROVEEDORES[[#This Row],[PLAZO Días]],"PAGO VENCIDO")</f>
        <v>PAGO VENCIDO</v>
      </c>
      <c r="C1590" s="138">
        <f>+VLOOKUP(PROVEEDORES[[#This Row],[PROVEEDOR]],TERCEROS_INFO[#All],2,FALSE)</f>
        <v>45</v>
      </c>
      <c r="D1590" s="139">
        <f>+SUMIFS(PROVEEDORES[Total],PROVEEDORES[PROVEEDOR],PROVEEDORES[[#This Row],[PROVEEDOR]],PROVEEDORES[FECHA DE PAGO],"")</f>
        <v>22186260.039999999</v>
      </c>
      <c r="E1590" s="140"/>
      <c r="F1590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590" s="127">
        <v>45432</v>
      </c>
      <c r="H1590" s="123" t="s">
        <v>19</v>
      </c>
      <c r="I1590" s="127">
        <v>45378</v>
      </c>
      <c r="J1590" s="124" t="s">
        <v>1688</v>
      </c>
      <c r="K1590" s="124" t="s">
        <v>504</v>
      </c>
      <c r="L1590" s="124" t="s">
        <v>1534</v>
      </c>
      <c r="M1590" s="125">
        <v>3479680</v>
      </c>
      <c r="N1590" s="148">
        <v>661139.19999999995</v>
      </c>
      <c r="O1590" s="148">
        <v>0</v>
      </c>
      <c r="P1590" s="149">
        <v>0</v>
      </c>
      <c r="Q1590" s="148">
        <v>0</v>
      </c>
      <c r="R1590" s="150">
        <v>4140819.2</v>
      </c>
      <c r="S159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0" s="135">
        <f ca="1">+IF(PROVEEDORES[[#This Row],[FECHA DE PAGO]]=0,TODAY()-PROVEEDORES[[#This Row],[FECHA DE FACTURACIÓN]]-PROVEEDORES[[#This Row],[PLAZO Días]],0)</f>
        <v>0</v>
      </c>
      <c r="U1590" s="135">
        <f>+VLOOKUP(PROVEEDORES[[#This Row],[PROVEEDOR]],Terceros!$A:$D,4,FALSE)</f>
        <v>0</v>
      </c>
      <c r="V1590" s="135">
        <f>+YEAR(PROVEEDORES[[#This Row],[FECHA DE FACTURACIÓN]])</f>
        <v>2024</v>
      </c>
      <c r="W1590" s="135">
        <f>+MATCH(PROVEEDORES[[#This Row],[año facturado]],Retenciones!$1:$1,0)</f>
        <v>7</v>
      </c>
      <c r="X1590" s="136">
        <f>+VLOOKUP(PROVEEDORES[[#This Row],[ID RETENCION]],Retenciones!$A$1:$O$25,PROVEEDORES[[#This Row],[indicador de columna]],FALSE)</f>
        <v>0</v>
      </c>
      <c r="Y1590" s="137">
        <f>+VLOOKUP(PROVEEDORES[[#This Row],[ID RETENCION]],Retenciones!$A$1:$O$25,2,FALSE)</f>
        <v>0</v>
      </c>
      <c r="Z1590" s="126" t="b">
        <f>+OR(COUNTIF(PROVEEDORES[[#This Row],[PROVEEDOR]],"*"&amp;'Palabra que no opera y Listas d'!$A$2&amp;"*"))</f>
        <v>0</v>
      </c>
    </row>
    <row r="1591" spans="1:26" ht="27.75" customHeight="1" x14ac:dyDescent="0.25">
      <c r="A1591" s="141" t="str">
        <f>+IF(PROVEEDORES[[#This Row],[FECHA DE PAGO]]=PROVEEDORES[[#This Row],[FECHA DE FACTURACIÓN]],"DE CONTADO","CRÉDITO")</f>
        <v>CRÉDITO</v>
      </c>
      <c r="B1591" s="138" t="str">
        <f>+IF((PROVEEDORES[[#This Row],[FECHA DE PAGO]]-PROVEEDORES[[#This Row],[FECHA DE FACTURACIÓN]])&gt;PROVEEDORES[[#This Row],[PLAZO Días]],"PAGO VENCIDO")</f>
        <v>PAGO VENCIDO</v>
      </c>
      <c r="C1591" s="138">
        <f>+VLOOKUP(PROVEEDORES[[#This Row],[PROVEEDOR]],TERCEROS_INFO[#All],2,FALSE)</f>
        <v>45</v>
      </c>
      <c r="D1591" s="139">
        <f>+SUMIFS(PROVEEDORES[Total],PROVEEDORES[PROVEEDOR],PROVEEDORES[[#This Row],[PROVEEDOR]],PROVEEDORES[FECHA DE PAGO],"")</f>
        <v>22186260.039999999</v>
      </c>
      <c r="E1591" s="140"/>
      <c r="F1591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591" s="127">
        <v>45432</v>
      </c>
      <c r="H1591" s="123" t="s">
        <v>19</v>
      </c>
      <c r="I1591" s="127">
        <v>45384</v>
      </c>
      <c r="J1591" s="124" t="s">
        <v>1717</v>
      </c>
      <c r="K1591" s="124" t="s">
        <v>504</v>
      </c>
      <c r="L1591" s="124" t="s">
        <v>1534</v>
      </c>
      <c r="M1591" s="125">
        <v>1505580</v>
      </c>
      <c r="N1591" s="148">
        <v>286060.2</v>
      </c>
      <c r="O1591" s="148">
        <v>0</v>
      </c>
      <c r="P1591" s="149">
        <v>0</v>
      </c>
      <c r="Q1591" s="148">
        <v>0</v>
      </c>
      <c r="R1591" s="150">
        <v>1791640.2</v>
      </c>
      <c r="S159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1" s="135">
        <f ca="1">+IF(PROVEEDORES[[#This Row],[FECHA DE PAGO]]=0,TODAY()-PROVEEDORES[[#This Row],[FECHA DE FACTURACIÓN]]-PROVEEDORES[[#This Row],[PLAZO Días]],0)</f>
        <v>0</v>
      </c>
      <c r="U1591" s="135">
        <f>+VLOOKUP(PROVEEDORES[[#This Row],[PROVEEDOR]],Terceros!$A:$D,4,FALSE)</f>
        <v>0</v>
      </c>
      <c r="V1591" s="135">
        <f>+YEAR(PROVEEDORES[[#This Row],[FECHA DE FACTURACIÓN]])</f>
        <v>2024</v>
      </c>
      <c r="W1591" s="135">
        <f>+MATCH(PROVEEDORES[[#This Row],[año facturado]],Retenciones!$1:$1,0)</f>
        <v>7</v>
      </c>
      <c r="X1591" s="136">
        <f>+VLOOKUP(PROVEEDORES[[#This Row],[ID RETENCION]],Retenciones!$A$1:$O$25,PROVEEDORES[[#This Row],[indicador de columna]],FALSE)</f>
        <v>0</v>
      </c>
      <c r="Y1591" s="137">
        <f>+VLOOKUP(PROVEEDORES[[#This Row],[ID RETENCION]],Retenciones!$A$1:$O$25,2,FALSE)</f>
        <v>0</v>
      </c>
      <c r="Z1591" s="126" t="b">
        <f>+OR(COUNTIF(PROVEEDORES[[#This Row],[PROVEEDOR]],"*"&amp;'Palabra que no opera y Listas d'!$A$2&amp;"*"))</f>
        <v>0</v>
      </c>
    </row>
    <row r="1592" spans="1:26" ht="27.75" customHeight="1" x14ac:dyDescent="0.25">
      <c r="A1592" s="141" t="str">
        <f>+IF(PROVEEDORES[[#This Row],[FECHA DE PAGO]]=PROVEEDORES[[#This Row],[FECHA DE FACTURACIÓN]],"DE CONTADO","CRÉDITO")</f>
        <v>CRÉDITO</v>
      </c>
      <c r="B1592" s="138" t="str">
        <f>+IF((PROVEEDORES[[#This Row],[FECHA DE PAGO]]-PROVEEDORES[[#This Row],[FECHA DE FACTURACIÓN]])&gt;PROVEEDORES[[#This Row],[PLAZO Días]],"PAGO VENCIDO")</f>
        <v>PAGO VENCIDO</v>
      </c>
      <c r="C1592" s="138">
        <f>+VLOOKUP(PROVEEDORES[[#This Row],[PROVEEDOR]],TERCEROS_INFO[#All],2,FALSE)</f>
        <v>45</v>
      </c>
      <c r="D1592" s="139">
        <f>+SUMIFS(PROVEEDORES[Total],PROVEEDORES[PROVEEDOR],PROVEEDORES[[#This Row],[PROVEEDOR]],PROVEEDORES[FECHA DE PAGO],"")</f>
        <v>22186260.039999999</v>
      </c>
      <c r="E1592" s="140"/>
      <c r="F1592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592" s="127">
        <v>45432</v>
      </c>
      <c r="H1592" s="123" t="s">
        <v>19</v>
      </c>
      <c r="I1592" s="127">
        <v>45385</v>
      </c>
      <c r="J1592" s="124" t="s">
        <v>1716</v>
      </c>
      <c r="K1592" s="124" t="s">
        <v>504</v>
      </c>
      <c r="L1592" s="124" t="s">
        <v>1534</v>
      </c>
      <c r="M1592" s="125">
        <v>2190060</v>
      </c>
      <c r="N1592" s="148">
        <v>416111.4</v>
      </c>
      <c r="O1592" s="148">
        <v>0</v>
      </c>
      <c r="P1592" s="149">
        <v>0</v>
      </c>
      <c r="Q1592" s="148">
        <v>0</v>
      </c>
      <c r="R1592" s="150">
        <v>2606171.4</v>
      </c>
      <c r="S159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2" s="135">
        <f ca="1">+IF(PROVEEDORES[[#This Row],[FECHA DE PAGO]]=0,TODAY()-PROVEEDORES[[#This Row],[FECHA DE FACTURACIÓN]]-PROVEEDORES[[#This Row],[PLAZO Días]],0)</f>
        <v>0</v>
      </c>
      <c r="U1592" s="135">
        <f>+VLOOKUP(PROVEEDORES[[#This Row],[PROVEEDOR]],Terceros!$A:$D,4,FALSE)</f>
        <v>0</v>
      </c>
      <c r="V1592" s="135">
        <f>+YEAR(PROVEEDORES[[#This Row],[FECHA DE FACTURACIÓN]])</f>
        <v>2024</v>
      </c>
      <c r="W1592" s="135">
        <f>+MATCH(PROVEEDORES[[#This Row],[año facturado]],Retenciones!$1:$1,0)</f>
        <v>7</v>
      </c>
      <c r="X1592" s="136">
        <f>+VLOOKUP(PROVEEDORES[[#This Row],[ID RETENCION]],Retenciones!$A$1:$O$25,PROVEEDORES[[#This Row],[indicador de columna]],FALSE)</f>
        <v>0</v>
      </c>
      <c r="Y1592" s="137">
        <f>+VLOOKUP(PROVEEDORES[[#This Row],[ID RETENCION]],Retenciones!$A$1:$O$25,2,FALSE)</f>
        <v>0</v>
      </c>
      <c r="Z1592" s="126" t="b">
        <f>+OR(COUNTIF(PROVEEDORES[[#This Row],[PROVEEDOR]],"*"&amp;'Palabra que no opera y Listas d'!$A$2&amp;"*"))</f>
        <v>0</v>
      </c>
    </row>
    <row r="1593" spans="1:26" ht="27.75" customHeight="1" x14ac:dyDescent="0.25">
      <c r="A1593" s="141" t="str">
        <f>+IF(PROVEEDORES[[#This Row],[FECHA DE PAGO]]=PROVEEDORES[[#This Row],[FECHA DE FACTURACIÓN]],"DE CONTADO","CRÉDITO")</f>
        <v>CRÉDITO</v>
      </c>
      <c r="B1593" s="138" t="str">
        <f>+IF((PROVEEDORES[[#This Row],[FECHA DE PAGO]]-PROVEEDORES[[#This Row],[FECHA DE FACTURACIÓN]])&gt;PROVEEDORES[[#This Row],[PLAZO Días]],"PAGO VENCIDO")</f>
        <v>PAGO VENCIDO</v>
      </c>
      <c r="C1593" s="138">
        <f>+VLOOKUP(PROVEEDORES[[#This Row],[PROVEEDOR]],TERCEROS_INFO[#All],2,FALSE)</f>
        <v>45</v>
      </c>
      <c r="D1593" s="139">
        <f>+SUMIFS(PROVEEDORES[Total],PROVEEDORES[PROVEEDOR],PROVEEDORES[[#This Row],[PROVEEDOR]],PROVEEDORES[FECHA DE PAGO],"")</f>
        <v>22186260.039999999</v>
      </c>
      <c r="E1593" s="140"/>
      <c r="F1593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593" s="127">
        <v>45432</v>
      </c>
      <c r="H1593" s="123" t="s">
        <v>19</v>
      </c>
      <c r="I1593" s="127">
        <v>45385</v>
      </c>
      <c r="J1593" s="124" t="s">
        <v>1723</v>
      </c>
      <c r="K1593" s="124" t="s">
        <v>504</v>
      </c>
      <c r="L1593" s="124" t="s">
        <v>1534</v>
      </c>
      <c r="M1593" s="125">
        <v>2351244</v>
      </c>
      <c r="N1593" s="148">
        <v>446736.36</v>
      </c>
      <c r="O1593" s="148">
        <v>0</v>
      </c>
      <c r="P1593" s="149">
        <v>0</v>
      </c>
      <c r="Q1593" s="148">
        <v>0</v>
      </c>
      <c r="R1593" s="150">
        <v>2797980.36</v>
      </c>
      <c r="S159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3" s="135">
        <f ca="1">+IF(PROVEEDORES[[#This Row],[FECHA DE PAGO]]=0,TODAY()-PROVEEDORES[[#This Row],[FECHA DE FACTURACIÓN]]-PROVEEDORES[[#This Row],[PLAZO Días]],0)</f>
        <v>0</v>
      </c>
      <c r="U1593" s="135">
        <f>+VLOOKUP(PROVEEDORES[[#This Row],[PROVEEDOR]],Terceros!$A:$D,4,FALSE)</f>
        <v>0</v>
      </c>
      <c r="V1593" s="135">
        <f>+YEAR(PROVEEDORES[[#This Row],[FECHA DE FACTURACIÓN]])</f>
        <v>2024</v>
      </c>
      <c r="W1593" s="135">
        <f>+MATCH(PROVEEDORES[[#This Row],[año facturado]],Retenciones!$1:$1,0)</f>
        <v>7</v>
      </c>
      <c r="X1593" s="136">
        <f>+VLOOKUP(PROVEEDORES[[#This Row],[ID RETENCION]],Retenciones!$A$1:$O$25,PROVEEDORES[[#This Row],[indicador de columna]],FALSE)</f>
        <v>0</v>
      </c>
      <c r="Y1593" s="137">
        <f>+VLOOKUP(PROVEEDORES[[#This Row],[ID RETENCION]],Retenciones!$A$1:$O$25,2,FALSE)</f>
        <v>0</v>
      </c>
      <c r="Z1593" s="126" t="b">
        <f>+OR(COUNTIF(PROVEEDORES[[#This Row],[PROVEEDOR]],"*"&amp;'Palabra que no opera y Listas d'!$A$2&amp;"*"))</f>
        <v>0</v>
      </c>
    </row>
    <row r="1594" spans="1:26" ht="27.75" customHeight="1" x14ac:dyDescent="0.25">
      <c r="A1594" s="141" t="str">
        <f>+IF(PROVEEDORES[[#This Row],[FECHA DE PAGO]]=PROVEEDORES[[#This Row],[FECHA DE FACTURACIÓN]],"DE CONTADO","CRÉDITO")</f>
        <v>CRÉDITO</v>
      </c>
      <c r="B1594" s="138" t="b">
        <f>+IF((PROVEEDORES[[#This Row],[FECHA DE PAGO]]-PROVEEDORES[[#This Row],[FECHA DE FACTURACIÓN]])&gt;PROVEEDORES[[#This Row],[PLAZO Días]],"PAGO VENCIDO")</f>
        <v>0</v>
      </c>
      <c r="C1594" s="138">
        <f>+VLOOKUP(PROVEEDORES[[#This Row],[PROVEEDOR]],TERCEROS_INFO[#All],2,FALSE)</f>
        <v>30</v>
      </c>
      <c r="D1594" s="139">
        <f>+SUMIFS(PROVEEDORES[Total],PROVEEDORES[PROVEEDOR],PROVEEDORES[[#This Row],[PROVEEDOR]],PROVEEDORES[FECHA DE PAGO],"")</f>
        <v>0</v>
      </c>
      <c r="E1594" s="140"/>
      <c r="F1594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1594" s="127">
        <v>45442</v>
      </c>
      <c r="H1594" s="123" t="s">
        <v>1862</v>
      </c>
      <c r="I1594" s="127">
        <v>45440</v>
      </c>
      <c r="J1594" s="124" t="s">
        <v>1924</v>
      </c>
      <c r="K1594" s="124" t="s">
        <v>504</v>
      </c>
      <c r="L1594" s="124" t="s">
        <v>1541</v>
      </c>
      <c r="M1594" s="125">
        <v>126589</v>
      </c>
      <c r="N1594" s="148">
        <f>+(PROVEEDORES[[#This Row],[SUBTOTAL]])*VLOOKUP(PROVEEDORES[[#This Row],[PROVEEDOR]],TERCEROS_INFO[#All],3,FALSE)</f>
        <v>0</v>
      </c>
      <c r="O1594" s="148">
        <f>+'Palabra que no opera y Listas d'!$D$2</f>
        <v>0</v>
      </c>
      <c r="P1594" s="149">
        <f>+IF(PROVEEDORES[[#This Row],[SUBTOTAL]]&lt;PROVEEDORES[[#This Row],[base retencion]],0,PROVEEDORES[[#This Row],[retención aplicada]])</f>
        <v>0</v>
      </c>
      <c r="Q1594" s="148">
        <f>+PROVEEDORES[[#This Row],[ReteFuente
%]]*(PROVEEDORES[[#This Row],[SUBTOTAL]])</f>
        <v>0</v>
      </c>
      <c r="R1594" s="150">
        <f>+PROVEEDORES[[#This Row],[SUBTOTAL]]+PROVEEDORES[[#This Row],[IVA 19%]]-PROVEEDORES[[#This Row],[Descuento
$]]-PROVEEDORES[[#This Row],[ReteFuente
$]]</f>
        <v>126589</v>
      </c>
      <c r="S159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4" s="135">
        <f ca="1">+IF(PROVEEDORES[[#This Row],[FECHA DE PAGO]]=0,TODAY()-PROVEEDORES[[#This Row],[FECHA DE FACTURACIÓN]]-PROVEEDORES[[#This Row],[PLAZO Días]],0)</f>
        <v>0</v>
      </c>
      <c r="U1594" s="135">
        <f>+VLOOKUP(PROVEEDORES[[#This Row],[PROVEEDOR]],Terceros!$A:$D,4,FALSE)</f>
        <v>0</v>
      </c>
      <c r="V1594" s="135">
        <f>+YEAR(PROVEEDORES[[#This Row],[FECHA DE FACTURACIÓN]])</f>
        <v>2024</v>
      </c>
      <c r="W1594" s="135">
        <f>+MATCH(PROVEEDORES[[#This Row],[año facturado]],Retenciones!$1:$1,0)</f>
        <v>7</v>
      </c>
      <c r="X1594" s="136">
        <f>+VLOOKUP(PROVEEDORES[[#This Row],[ID RETENCION]],Retenciones!$A$1:$O$25,PROVEEDORES[[#This Row],[indicador de columna]],FALSE)</f>
        <v>0</v>
      </c>
      <c r="Y1594" s="137">
        <f>+VLOOKUP(PROVEEDORES[[#This Row],[ID RETENCION]],Retenciones!$A$1:$O$25,2,FALSE)</f>
        <v>0</v>
      </c>
      <c r="Z1594" s="126" t="b">
        <f>+OR(COUNTIF(PROVEEDORES[[#This Row],[PROVEEDOR]],"*"&amp;'Palabra que no opera y Listas d'!$A$2&amp;"*"))</f>
        <v>0</v>
      </c>
    </row>
    <row r="1595" spans="1:26" ht="27.75" customHeight="1" x14ac:dyDescent="0.25">
      <c r="A1595" s="141" t="str">
        <f>+IF(PROVEEDORES[[#This Row],[FECHA DE PAGO]]=PROVEEDORES[[#This Row],[FECHA DE FACTURACIÓN]],"DE CONTADO","CRÉDITO")</f>
        <v>CRÉDITO</v>
      </c>
      <c r="B1595" s="138" t="b">
        <f>+IF((PROVEEDORES[[#This Row],[FECHA DE PAGO]]-PROVEEDORES[[#This Row],[FECHA DE FACTURACIÓN]])&gt;PROVEEDORES[[#This Row],[PLAZO Días]],"PAGO VENCIDO")</f>
        <v>0</v>
      </c>
      <c r="C1595" s="138">
        <f>+VLOOKUP(PROVEEDORES[[#This Row],[PROVEEDOR]],TERCEROS_INFO[#All],2,FALSE)</f>
        <v>30</v>
      </c>
      <c r="D1595" s="139">
        <f>+SUMIFS(PROVEEDORES[Total],PROVEEDORES[PROVEEDOR],PROVEEDORES[[#This Row],[PROVEEDOR]],PROVEEDORES[FECHA DE PAGO],"")</f>
        <v>11973060.324999999</v>
      </c>
      <c r="E1595" s="140"/>
      <c r="F1595" s="138" t="str">
        <f>+VLOOKUP(PROVEEDORES[[#This Row],[PROVEEDOR]],
                       Terceros!$A:$F,
                       5,
                       FALSE)</f>
        <v>criszapata1234@gmail.com;girlesa.ruiz@servipilas.com;joriescobar64@gmail.com</v>
      </c>
      <c r="G1595" s="127"/>
      <c r="H1595" s="123" t="s">
        <v>64</v>
      </c>
      <c r="I1595" s="127">
        <v>45378</v>
      </c>
      <c r="J1595" s="124" t="s">
        <v>1687</v>
      </c>
      <c r="K1595" s="124" t="s">
        <v>1530</v>
      </c>
      <c r="L1595" s="124"/>
      <c r="M1595" s="125">
        <v>10277305</v>
      </c>
      <c r="N1595" s="148">
        <v>1952687.95</v>
      </c>
      <c r="O1595" s="148">
        <v>0</v>
      </c>
      <c r="P1595" s="149">
        <v>2.5000000000000001E-2</v>
      </c>
      <c r="Q1595" s="148">
        <v>256932.625</v>
      </c>
      <c r="R1595" s="150">
        <v>11973060.324999999</v>
      </c>
      <c r="S1595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595" s="135">
        <f ca="1">+IF(PROVEEDORES[[#This Row],[FECHA DE PAGO]]=0,TODAY()-PROVEEDORES[[#This Row],[FECHA DE FACTURACIÓN]]-PROVEEDORES[[#This Row],[PLAZO Días]],0)</f>
        <v>39</v>
      </c>
      <c r="U1595" s="135" t="str">
        <f>+VLOOKUP(PROVEEDORES[[#This Row],[PROVEEDOR]],Terceros!$A:$D,4,FALSE)</f>
        <v>2,5% con base</v>
      </c>
      <c r="V1595" s="135">
        <f>+YEAR(PROVEEDORES[[#This Row],[FECHA DE FACTURACIÓN]])</f>
        <v>2024</v>
      </c>
      <c r="W1595" s="135">
        <f>+MATCH(PROVEEDORES[[#This Row],[año facturado]],Retenciones!$1:$1,0)</f>
        <v>7</v>
      </c>
      <c r="X1595" s="136">
        <f>+VLOOKUP(PROVEEDORES[[#This Row],[ID RETENCION]],Retenciones!$A$1:$O$25,PROVEEDORES[[#This Row],[indicador de columna]],FALSE)</f>
        <v>1271000</v>
      </c>
      <c r="Y1595" s="137">
        <f>+VLOOKUP(PROVEEDORES[[#This Row],[ID RETENCION]],Retenciones!$A$1:$O$25,2,FALSE)</f>
        <v>2.5000000000000001E-2</v>
      </c>
      <c r="Z1595" s="126" t="b">
        <f>+OR(COUNTIF(PROVEEDORES[[#This Row],[PROVEEDOR]],"*"&amp;'Palabra que no opera y Listas d'!$A$2&amp;"*"))</f>
        <v>0</v>
      </c>
    </row>
    <row r="1596" spans="1:26" ht="27.75" customHeight="1" x14ac:dyDescent="0.25">
      <c r="A1596" s="141" t="str">
        <f>+IF(PROVEEDORES[[#This Row],[FECHA DE PAGO]]=PROVEEDORES[[#This Row],[FECHA DE FACTURACIÓN]],"DE CONTADO","CRÉDITO")</f>
        <v>CRÉDITO</v>
      </c>
      <c r="B1596" s="138" t="str">
        <f>+IF((PROVEEDORES[[#This Row],[FECHA DE PAGO]]-PROVEEDORES[[#This Row],[FECHA DE FACTURACIÓN]])&gt;PROVEEDORES[[#This Row],[PLAZO Días]],"PAGO VENCIDO")</f>
        <v>PAGO VENCIDO</v>
      </c>
      <c r="C1596" s="138">
        <f>+VLOOKUP(PROVEEDORES[[#This Row],[PROVEEDOR]],TERCEROS_INFO[#All],2,FALSE)</f>
        <v>30</v>
      </c>
      <c r="D1596" s="139">
        <f>+SUMIFS(PROVEEDORES[Total],PROVEEDORES[PROVEEDOR],PROVEEDORES[[#This Row],[PROVEEDOR]],PROVEEDORES[FECHA DE PAGO],"")</f>
        <v>1776037.21</v>
      </c>
      <c r="E1596" s="140"/>
      <c r="F1596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96" s="127">
        <v>45439</v>
      </c>
      <c r="H1596" s="123" t="s">
        <v>17</v>
      </c>
      <c r="I1596" s="127">
        <v>45407</v>
      </c>
      <c r="J1596" s="124" t="s">
        <v>1779</v>
      </c>
      <c r="K1596" s="124" t="s">
        <v>1530</v>
      </c>
      <c r="L1596" s="124" t="s">
        <v>1533</v>
      </c>
      <c r="M1596" s="125">
        <v>406000</v>
      </c>
      <c r="N1596" s="148">
        <v>77140</v>
      </c>
      <c r="O1596" s="148">
        <v>0</v>
      </c>
      <c r="P1596" s="149">
        <v>0</v>
      </c>
      <c r="Q1596" s="148">
        <v>0</v>
      </c>
      <c r="R1596" s="150">
        <f>+PROVEEDORES[[#This Row],[SUBTOTAL]]+PROVEEDORES[[#This Row],[IVA 19%]]-PROVEEDORES[[#This Row],[Descuento
$]]-PROVEEDORES[[#This Row],[ReteFuente
$]]</f>
        <v>483140</v>
      </c>
      <c r="S159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6" s="135">
        <f ca="1">+IF(PROVEEDORES[[#This Row],[FECHA DE PAGO]]=0,TODAY()-PROVEEDORES[[#This Row],[FECHA DE FACTURACIÓN]]-PROVEEDORES[[#This Row],[PLAZO Días]],0)</f>
        <v>0</v>
      </c>
      <c r="U1596" s="135">
        <f>+VLOOKUP(PROVEEDORES[[#This Row],[PROVEEDOR]],Terceros!$A:$D,4,FALSE)</f>
        <v>0</v>
      </c>
      <c r="V1596" s="135">
        <f>+YEAR(PROVEEDORES[[#This Row],[FECHA DE FACTURACIÓN]])</f>
        <v>2024</v>
      </c>
      <c r="W1596" s="135">
        <f>+MATCH(PROVEEDORES[[#This Row],[año facturado]],Retenciones!$1:$1,0)</f>
        <v>7</v>
      </c>
      <c r="X1596" s="136">
        <f>+VLOOKUP(PROVEEDORES[[#This Row],[ID RETENCION]],Retenciones!$A$1:$O$25,PROVEEDORES[[#This Row],[indicador de columna]],FALSE)</f>
        <v>0</v>
      </c>
      <c r="Y1596" s="137">
        <f>+VLOOKUP(PROVEEDORES[[#This Row],[ID RETENCION]],Retenciones!$A$1:$O$25,2,FALSE)</f>
        <v>0</v>
      </c>
      <c r="Z1596" s="126" t="b">
        <f>+OR(COUNTIF(PROVEEDORES[[#This Row],[PROVEEDOR]],"*"&amp;'Palabra que no opera y Listas d'!$A$2&amp;"*"))</f>
        <v>0</v>
      </c>
    </row>
    <row r="1597" spans="1:26" ht="27.75" customHeight="1" x14ac:dyDescent="0.25">
      <c r="A1597" s="141" t="str">
        <f>+IF(PROVEEDORES[[#This Row],[FECHA DE PAGO]]=PROVEEDORES[[#This Row],[FECHA DE FACTURACIÓN]],"DE CONTADO","CRÉDITO")</f>
        <v>CRÉDITO</v>
      </c>
      <c r="B1597" s="138" t="str">
        <f>+IF((PROVEEDORES[[#This Row],[FECHA DE PAGO]]-PROVEEDORES[[#This Row],[FECHA DE FACTURACIÓN]])&gt;PROVEEDORES[[#This Row],[PLAZO Días]],"PAGO VENCIDO")</f>
        <v>PAGO VENCIDO</v>
      </c>
      <c r="C1597" s="138">
        <f>+VLOOKUP(PROVEEDORES[[#This Row],[PROVEEDOR]],TERCEROS_INFO[#All],2,FALSE)</f>
        <v>30</v>
      </c>
      <c r="D1597" s="139">
        <f>+SUMIFS(PROVEEDORES[Total],PROVEEDORES[PROVEEDOR],PROVEEDORES[[#This Row],[PROVEEDOR]],PROVEEDORES[FECHA DE PAGO],"")</f>
        <v>1776037.21</v>
      </c>
      <c r="E1597" s="140"/>
      <c r="F1597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97" s="127">
        <v>45439</v>
      </c>
      <c r="H1597" s="123" t="s">
        <v>17</v>
      </c>
      <c r="I1597" s="127">
        <v>45407</v>
      </c>
      <c r="J1597" s="124" t="s">
        <v>1799</v>
      </c>
      <c r="K1597" s="124" t="s">
        <v>1530</v>
      </c>
      <c r="L1597" s="124" t="s">
        <v>1533</v>
      </c>
      <c r="M1597" s="125">
        <v>1453340</v>
      </c>
      <c r="N1597" s="148">
        <v>0</v>
      </c>
      <c r="O1597" s="148">
        <v>0</v>
      </c>
      <c r="P1597" s="149">
        <v>0</v>
      </c>
      <c r="Q1597" s="148">
        <v>0</v>
      </c>
      <c r="R1597" s="150">
        <f>+PROVEEDORES[[#This Row],[SUBTOTAL]]+PROVEEDORES[[#This Row],[IVA 19%]]-PROVEEDORES[[#This Row],[Descuento
$]]-PROVEEDORES[[#This Row],[ReteFuente
$]]</f>
        <v>1453340</v>
      </c>
      <c r="S159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7" s="135">
        <f ca="1">+IF(PROVEEDORES[[#This Row],[FECHA DE PAGO]]=0,TODAY()-PROVEEDORES[[#This Row],[FECHA DE FACTURACIÓN]]-PROVEEDORES[[#This Row],[PLAZO Días]],0)</f>
        <v>0</v>
      </c>
      <c r="U1597" s="135">
        <f>+VLOOKUP(PROVEEDORES[[#This Row],[PROVEEDOR]],Terceros!$A:$D,4,FALSE)</f>
        <v>0</v>
      </c>
      <c r="V1597" s="135">
        <f>+YEAR(PROVEEDORES[[#This Row],[FECHA DE FACTURACIÓN]])</f>
        <v>2024</v>
      </c>
      <c r="W1597" s="135">
        <f>+MATCH(PROVEEDORES[[#This Row],[año facturado]],Retenciones!$1:$1,0)</f>
        <v>7</v>
      </c>
      <c r="X1597" s="136">
        <f>+VLOOKUP(PROVEEDORES[[#This Row],[ID RETENCION]],Retenciones!$A$1:$O$25,PROVEEDORES[[#This Row],[indicador de columna]],FALSE)</f>
        <v>0</v>
      </c>
      <c r="Y1597" s="137">
        <f>+VLOOKUP(PROVEEDORES[[#This Row],[ID RETENCION]],Retenciones!$A$1:$O$25,2,FALSE)</f>
        <v>0</v>
      </c>
      <c r="Z1597" s="126" t="b">
        <f>+OR(COUNTIF(PROVEEDORES[[#This Row],[PROVEEDOR]],"*"&amp;'Palabra que no opera y Listas d'!$A$2&amp;"*"))</f>
        <v>0</v>
      </c>
    </row>
    <row r="1598" spans="1:26" ht="27.75" customHeight="1" x14ac:dyDescent="0.25">
      <c r="A1598" s="141" t="str">
        <f>+IF(PROVEEDORES[[#This Row],[FECHA DE PAGO]]=PROVEEDORES[[#This Row],[FECHA DE FACTURACIÓN]],"DE CONTADO","CRÉDITO")</f>
        <v>CRÉDITO</v>
      </c>
      <c r="B1598" s="138" t="b">
        <f>+IF((PROVEEDORES[[#This Row],[FECHA DE PAGO]]-PROVEEDORES[[#This Row],[FECHA DE FACTURACIÓN]])&gt;PROVEEDORES[[#This Row],[PLAZO Días]],"PAGO VENCIDO")</f>
        <v>0</v>
      </c>
      <c r="C1598" s="138">
        <f>+VLOOKUP(PROVEEDORES[[#This Row],[PROVEEDOR]],TERCEROS_INFO[#All],2,FALSE)</f>
        <v>30</v>
      </c>
      <c r="D1598" s="139">
        <f>+SUMIFS(PROVEEDORES[Total],PROVEEDORES[PROVEEDOR],PROVEEDORES[[#This Row],[PROVEEDOR]],PROVEEDORES[FECHA DE PAGO],"")</f>
        <v>1776037.21</v>
      </c>
      <c r="E1598" s="140"/>
      <c r="F1598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98" s="127">
        <v>45439</v>
      </c>
      <c r="H1598" s="123" t="s">
        <v>17</v>
      </c>
      <c r="I1598" s="127">
        <v>45414</v>
      </c>
      <c r="J1598" s="124" t="s">
        <v>1839</v>
      </c>
      <c r="K1598" s="124" t="s">
        <v>1530</v>
      </c>
      <c r="L1598" s="124" t="s">
        <v>1533</v>
      </c>
      <c r="M1598" s="125">
        <v>231275</v>
      </c>
      <c r="N1598" s="148">
        <f>+(PROVEEDORES[[#This Row],[SUBTOTAL]])*VLOOKUP(PROVEEDORES[[#This Row],[PROVEEDOR]],TERCEROS_INFO[#All],3,FALSE)</f>
        <v>43942.25</v>
      </c>
      <c r="O1598" s="148">
        <f>+'Palabra que no opera y Listas d'!$D$2</f>
        <v>0</v>
      </c>
      <c r="P1598" s="149">
        <f>+IF(PROVEEDORES[[#This Row],[SUBTOTAL]]&lt;PROVEEDORES[[#This Row],[base retencion]],0,PROVEEDORES[[#This Row],[retención aplicada]])</f>
        <v>0</v>
      </c>
      <c r="Q1598" s="148">
        <f>+PROVEEDORES[[#This Row],[ReteFuente
%]]*(PROVEEDORES[[#This Row],[SUBTOTAL]])</f>
        <v>0</v>
      </c>
      <c r="R1598" s="150">
        <f>+PROVEEDORES[[#This Row],[SUBTOTAL]]+PROVEEDORES[[#This Row],[IVA 19%]]-PROVEEDORES[[#This Row],[Descuento
$]]-PROVEEDORES[[#This Row],[ReteFuente
$]]</f>
        <v>275217.25</v>
      </c>
      <c r="S159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8" s="135">
        <f ca="1">+IF(PROVEEDORES[[#This Row],[FECHA DE PAGO]]=0,TODAY()-PROVEEDORES[[#This Row],[FECHA DE FACTURACIÓN]]-PROVEEDORES[[#This Row],[PLAZO Días]],0)</f>
        <v>0</v>
      </c>
      <c r="U1598" s="135">
        <f>+VLOOKUP(PROVEEDORES[[#This Row],[PROVEEDOR]],Terceros!$A:$D,4,FALSE)</f>
        <v>0</v>
      </c>
      <c r="V1598" s="135">
        <f>+YEAR(PROVEEDORES[[#This Row],[FECHA DE FACTURACIÓN]])</f>
        <v>2024</v>
      </c>
      <c r="W1598" s="135">
        <f>+MATCH(PROVEEDORES[[#This Row],[año facturado]],Retenciones!$1:$1,0)</f>
        <v>7</v>
      </c>
      <c r="X1598" s="136">
        <f>+VLOOKUP(PROVEEDORES[[#This Row],[ID RETENCION]],Retenciones!$A$1:$O$25,PROVEEDORES[[#This Row],[indicador de columna]],FALSE)</f>
        <v>0</v>
      </c>
      <c r="Y1598" s="137">
        <f>+VLOOKUP(PROVEEDORES[[#This Row],[ID RETENCION]],Retenciones!$A$1:$O$25,2,FALSE)</f>
        <v>0</v>
      </c>
      <c r="Z1598" s="126" t="b">
        <f>+OR(COUNTIF(PROVEEDORES[[#This Row],[PROVEEDOR]],"*"&amp;'Palabra que no opera y Listas d'!$A$2&amp;"*"))</f>
        <v>0</v>
      </c>
    </row>
    <row r="1599" spans="1:26" ht="27.75" customHeight="1" x14ac:dyDescent="0.25">
      <c r="A1599" s="141" t="str">
        <f>+IF(PROVEEDORES[[#This Row],[FECHA DE PAGO]]=PROVEEDORES[[#This Row],[FECHA DE FACTURACIÓN]],"DE CONTADO","CRÉDITO")</f>
        <v>CRÉDITO</v>
      </c>
      <c r="B1599" s="138" t="b">
        <f>+IF((PROVEEDORES[[#This Row],[FECHA DE PAGO]]-PROVEEDORES[[#This Row],[FECHA DE FACTURACIÓN]])&gt;PROVEEDORES[[#This Row],[PLAZO Días]],"PAGO VENCIDO")</f>
        <v>0</v>
      </c>
      <c r="C1599" s="138">
        <f>+VLOOKUP(PROVEEDORES[[#This Row],[PROVEEDOR]],TERCEROS_INFO[#All],2,FALSE)</f>
        <v>30</v>
      </c>
      <c r="D1599" s="139">
        <f>+SUMIFS(PROVEEDORES[Total],PROVEEDORES[PROVEEDOR],PROVEEDORES[[#This Row],[PROVEEDOR]],PROVEEDORES[FECHA DE PAGO],"")</f>
        <v>1776037.21</v>
      </c>
      <c r="E1599" s="140"/>
      <c r="F1599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599" s="127">
        <v>45439</v>
      </c>
      <c r="H1599" s="123" t="s">
        <v>17</v>
      </c>
      <c r="I1599" s="127">
        <v>45414</v>
      </c>
      <c r="J1599" s="124" t="s">
        <v>1840</v>
      </c>
      <c r="K1599" s="124" t="s">
        <v>1530</v>
      </c>
      <c r="L1599" s="124" t="s">
        <v>1533</v>
      </c>
      <c r="M1599" s="125">
        <v>231275</v>
      </c>
      <c r="N1599" s="148">
        <f>+(PROVEEDORES[[#This Row],[SUBTOTAL]])*VLOOKUP(PROVEEDORES[[#This Row],[PROVEEDOR]],TERCEROS_INFO[#All],3,FALSE)</f>
        <v>43942.25</v>
      </c>
      <c r="O1599" s="148">
        <f>+'Palabra que no opera y Listas d'!$D$2</f>
        <v>0</v>
      </c>
      <c r="P1599" s="149">
        <f>+IF(PROVEEDORES[[#This Row],[SUBTOTAL]]&lt;PROVEEDORES[[#This Row],[base retencion]],0,PROVEEDORES[[#This Row],[retención aplicada]])</f>
        <v>0</v>
      </c>
      <c r="Q1599" s="148">
        <f>+PROVEEDORES[[#This Row],[ReteFuente
%]]*(PROVEEDORES[[#This Row],[SUBTOTAL]])</f>
        <v>0</v>
      </c>
      <c r="R1599" s="150">
        <f>+PROVEEDORES[[#This Row],[SUBTOTAL]]+PROVEEDORES[[#This Row],[IVA 19%]]-PROVEEDORES[[#This Row],[Descuento
$]]-PROVEEDORES[[#This Row],[ReteFuente
$]]</f>
        <v>275217.25</v>
      </c>
      <c r="S159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599" s="135">
        <f ca="1">+IF(PROVEEDORES[[#This Row],[FECHA DE PAGO]]=0,TODAY()-PROVEEDORES[[#This Row],[FECHA DE FACTURACIÓN]]-PROVEEDORES[[#This Row],[PLAZO Días]],0)</f>
        <v>0</v>
      </c>
      <c r="U1599" s="135">
        <f>+VLOOKUP(PROVEEDORES[[#This Row],[PROVEEDOR]],Terceros!$A:$D,4,FALSE)</f>
        <v>0</v>
      </c>
      <c r="V1599" s="135">
        <f>+YEAR(PROVEEDORES[[#This Row],[FECHA DE FACTURACIÓN]])</f>
        <v>2024</v>
      </c>
      <c r="W1599" s="135">
        <f>+MATCH(PROVEEDORES[[#This Row],[año facturado]],Retenciones!$1:$1,0)</f>
        <v>7</v>
      </c>
      <c r="X1599" s="136">
        <f>+VLOOKUP(PROVEEDORES[[#This Row],[ID RETENCION]],Retenciones!$A$1:$O$25,PROVEEDORES[[#This Row],[indicador de columna]],FALSE)</f>
        <v>0</v>
      </c>
      <c r="Y1599" s="137">
        <f>+VLOOKUP(PROVEEDORES[[#This Row],[ID RETENCION]],Retenciones!$A$1:$O$25,2,FALSE)</f>
        <v>0</v>
      </c>
      <c r="Z1599" s="126" t="b">
        <f>+OR(COUNTIF(PROVEEDORES[[#This Row],[PROVEEDOR]],"*"&amp;'Palabra que no opera y Listas d'!$A$2&amp;"*"))</f>
        <v>0</v>
      </c>
    </row>
    <row r="1600" spans="1:26" ht="27.75" customHeight="1" x14ac:dyDescent="0.25">
      <c r="A1600" s="141" t="str">
        <f>+IF(PROVEEDORES[[#This Row],[FECHA DE PAGO]]=PROVEEDORES[[#This Row],[FECHA DE FACTURACIÓN]],"DE CONTADO","CRÉDITO")</f>
        <v>CRÉDITO</v>
      </c>
      <c r="B1600" s="138" t="b">
        <f>+IF((PROVEEDORES[[#This Row],[FECHA DE PAGO]]-PROVEEDORES[[#This Row],[FECHA DE FACTURACIÓN]])&gt;PROVEEDORES[[#This Row],[PLAZO Días]],"PAGO VENCIDO")</f>
        <v>0</v>
      </c>
      <c r="C1600" s="138">
        <f>+VLOOKUP(PROVEEDORES[[#This Row],[PROVEEDOR]],TERCEROS_INFO[#All],2,FALSE)</f>
        <v>30</v>
      </c>
      <c r="D1600" s="139">
        <f>+SUMIFS(PROVEEDORES[Total],PROVEEDORES[PROVEEDOR],PROVEEDORES[[#This Row],[PROVEEDOR]],PROVEEDORES[FECHA DE PAGO],"")</f>
        <v>12628497</v>
      </c>
      <c r="E1600" s="140"/>
      <c r="F1600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00" s="127"/>
      <c r="H1600" s="123" t="s">
        <v>451</v>
      </c>
      <c r="I1600" s="127">
        <v>45358</v>
      </c>
      <c r="J1600" s="124">
        <v>34018</v>
      </c>
      <c r="K1600" s="124" t="s">
        <v>1530</v>
      </c>
      <c r="L1600" s="124"/>
      <c r="M1600" s="125">
        <v>545000</v>
      </c>
      <c r="N1600" s="148">
        <v>103550</v>
      </c>
      <c r="O1600" s="148">
        <v>0</v>
      </c>
      <c r="P1600" s="149">
        <v>0</v>
      </c>
      <c r="Q1600" s="148">
        <v>0</v>
      </c>
      <c r="R1600" s="150">
        <v>648550</v>
      </c>
      <c r="S1600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00" s="135">
        <f ca="1">+IF(PROVEEDORES[[#This Row],[FECHA DE PAGO]]=0,TODAY()-PROVEEDORES[[#This Row],[FECHA DE FACTURACIÓN]]-PROVEEDORES[[#This Row],[PLAZO Días]],0)</f>
        <v>59</v>
      </c>
      <c r="U1600" s="135" t="str">
        <f>+VLOOKUP(PROVEEDORES[[#This Row],[PROVEEDOR]],Terceros!$A:$D,4,FALSE)</f>
        <v>2,5% con base</v>
      </c>
      <c r="V1600" s="135">
        <f>+YEAR(PROVEEDORES[[#This Row],[FECHA DE FACTURACIÓN]])</f>
        <v>2024</v>
      </c>
      <c r="W1600" s="135">
        <f>+MATCH(PROVEEDORES[[#This Row],[año facturado]],Retenciones!$1:$1,0)</f>
        <v>7</v>
      </c>
      <c r="X1600" s="136">
        <f>+VLOOKUP(PROVEEDORES[[#This Row],[ID RETENCION]],Retenciones!$A$1:$O$25,PROVEEDORES[[#This Row],[indicador de columna]],FALSE)</f>
        <v>1271000</v>
      </c>
      <c r="Y1600" s="137">
        <f>+VLOOKUP(PROVEEDORES[[#This Row],[ID RETENCION]],Retenciones!$A$1:$O$25,2,FALSE)</f>
        <v>2.5000000000000001E-2</v>
      </c>
      <c r="Z1600" s="126" t="b">
        <f>+OR(COUNTIF(PROVEEDORES[[#This Row],[PROVEEDOR]],"*"&amp;'Palabra que no opera y Listas d'!$A$2&amp;"*"))</f>
        <v>0</v>
      </c>
    </row>
    <row r="1601" spans="1:26" ht="27.75" customHeight="1" x14ac:dyDescent="0.25">
      <c r="A1601" s="141" t="str">
        <f>+IF(PROVEEDORES[[#This Row],[FECHA DE PAGO]]=PROVEEDORES[[#This Row],[FECHA DE FACTURACIÓN]],"DE CONTADO","CRÉDITO")</f>
        <v>CRÉDITO</v>
      </c>
      <c r="B1601" s="138" t="b">
        <f>+IF((PROVEEDORES[[#This Row],[FECHA DE PAGO]]-PROVEEDORES[[#This Row],[FECHA DE FACTURACIÓN]])&gt;PROVEEDORES[[#This Row],[PLAZO Días]],"PAGO VENCIDO")</f>
        <v>0</v>
      </c>
      <c r="C1601" s="138">
        <f>+VLOOKUP(PROVEEDORES[[#This Row],[PROVEEDOR]],TERCEROS_INFO[#All],2,FALSE)</f>
        <v>30</v>
      </c>
      <c r="D1601" s="139">
        <f>+SUMIFS(PROVEEDORES[Total],PROVEEDORES[PROVEEDOR],PROVEEDORES[[#This Row],[PROVEEDOR]],PROVEEDORES[FECHA DE PAGO],"")</f>
        <v>12628497</v>
      </c>
      <c r="E1601" s="140"/>
      <c r="F1601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01" s="127"/>
      <c r="H1601" s="123" t="s">
        <v>451</v>
      </c>
      <c r="I1601" s="127">
        <v>45383</v>
      </c>
      <c r="J1601" s="124">
        <v>34477</v>
      </c>
      <c r="K1601" s="124" t="s">
        <v>1530</v>
      </c>
      <c r="L1601" s="124"/>
      <c r="M1601" s="125">
        <v>2560000</v>
      </c>
      <c r="N1601" s="148">
        <v>486400</v>
      </c>
      <c r="O1601" s="148">
        <v>0</v>
      </c>
      <c r="P1601" s="149">
        <v>2.5000000000000001E-2</v>
      </c>
      <c r="Q1601" s="148">
        <v>64000</v>
      </c>
      <c r="R1601" s="150">
        <v>2982400</v>
      </c>
      <c r="S1601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01" s="135">
        <f ca="1">+IF(PROVEEDORES[[#This Row],[FECHA DE PAGO]]=0,TODAY()-PROVEEDORES[[#This Row],[FECHA DE FACTURACIÓN]]-PROVEEDORES[[#This Row],[PLAZO Días]],0)</f>
        <v>34</v>
      </c>
      <c r="U1601" s="135" t="str">
        <f>+VLOOKUP(PROVEEDORES[[#This Row],[PROVEEDOR]],Terceros!$A:$D,4,FALSE)</f>
        <v>2,5% con base</v>
      </c>
      <c r="V1601" s="135">
        <f>+YEAR(PROVEEDORES[[#This Row],[FECHA DE FACTURACIÓN]])</f>
        <v>2024</v>
      </c>
      <c r="W1601" s="135">
        <f>+MATCH(PROVEEDORES[[#This Row],[año facturado]],Retenciones!$1:$1,0)</f>
        <v>7</v>
      </c>
      <c r="X1601" s="136">
        <f>+VLOOKUP(PROVEEDORES[[#This Row],[ID RETENCION]],Retenciones!$A$1:$O$25,PROVEEDORES[[#This Row],[indicador de columna]],FALSE)</f>
        <v>1271000</v>
      </c>
      <c r="Y1601" s="137">
        <f>+VLOOKUP(PROVEEDORES[[#This Row],[ID RETENCION]],Retenciones!$A$1:$O$25,2,FALSE)</f>
        <v>2.5000000000000001E-2</v>
      </c>
      <c r="Z1601" s="126" t="b">
        <f>+OR(COUNTIF(PROVEEDORES[[#This Row],[PROVEEDOR]],"*"&amp;'Palabra que no opera y Listas d'!$A$2&amp;"*"))</f>
        <v>0</v>
      </c>
    </row>
    <row r="1602" spans="1:26" ht="27.75" customHeight="1" x14ac:dyDescent="0.25">
      <c r="A1602" s="141" t="str">
        <f>+IF(PROVEEDORES[[#This Row],[FECHA DE PAGO]]=PROVEEDORES[[#This Row],[FECHA DE FACTURACIÓN]],"DE CONTADO","CRÉDITO")</f>
        <v>CRÉDITO</v>
      </c>
      <c r="B1602" s="138" t="b">
        <f>+IF((PROVEEDORES[[#This Row],[FECHA DE PAGO]]-PROVEEDORES[[#This Row],[FECHA DE FACTURACIÓN]])&gt;PROVEEDORES[[#This Row],[PLAZO Días]],"PAGO VENCIDO")</f>
        <v>0</v>
      </c>
      <c r="C1602" s="138">
        <f>+VLOOKUP(PROVEEDORES[[#This Row],[PROVEEDOR]],TERCEROS_INFO[#All],2,FALSE)</f>
        <v>30</v>
      </c>
      <c r="D1602" s="139">
        <f>+SUMIFS(PROVEEDORES[Total],PROVEEDORES[PROVEEDOR],PROVEEDORES[[#This Row],[PROVEEDOR]],PROVEEDORES[FECHA DE PAGO],"")</f>
        <v>12628497</v>
      </c>
      <c r="E1602" s="140"/>
      <c r="F1602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02" s="127"/>
      <c r="H1602" s="123" t="s">
        <v>451</v>
      </c>
      <c r="I1602" s="127">
        <v>45384</v>
      </c>
      <c r="J1602" s="124">
        <v>34237</v>
      </c>
      <c r="K1602" s="124" t="s">
        <v>1530</v>
      </c>
      <c r="L1602" s="124"/>
      <c r="M1602" s="125">
        <v>1080000</v>
      </c>
      <c r="N1602" s="148">
        <v>205200</v>
      </c>
      <c r="O1602" s="148">
        <v>0</v>
      </c>
      <c r="P1602" s="149">
        <v>0</v>
      </c>
      <c r="Q1602" s="148">
        <v>0</v>
      </c>
      <c r="R1602" s="150">
        <v>1285200</v>
      </c>
      <c r="S1602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02" s="135">
        <f ca="1">+IF(PROVEEDORES[[#This Row],[FECHA DE PAGO]]=0,TODAY()-PROVEEDORES[[#This Row],[FECHA DE FACTURACIÓN]]-PROVEEDORES[[#This Row],[PLAZO Días]],0)</f>
        <v>33</v>
      </c>
      <c r="U1602" s="135" t="str">
        <f>+VLOOKUP(PROVEEDORES[[#This Row],[PROVEEDOR]],Terceros!$A:$D,4,FALSE)</f>
        <v>2,5% con base</v>
      </c>
      <c r="V1602" s="135">
        <f>+YEAR(PROVEEDORES[[#This Row],[FECHA DE FACTURACIÓN]])</f>
        <v>2024</v>
      </c>
      <c r="W1602" s="135">
        <f>+MATCH(PROVEEDORES[[#This Row],[año facturado]],Retenciones!$1:$1,0)</f>
        <v>7</v>
      </c>
      <c r="X1602" s="136">
        <f>+VLOOKUP(PROVEEDORES[[#This Row],[ID RETENCION]],Retenciones!$A$1:$O$25,PROVEEDORES[[#This Row],[indicador de columna]],FALSE)</f>
        <v>1271000</v>
      </c>
      <c r="Y1602" s="137">
        <f>+VLOOKUP(PROVEEDORES[[#This Row],[ID RETENCION]],Retenciones!$A$1:$O$25,2,FALSE)</f>
        <v>2.5000000000000001E-2</v>
      </c>
      <c r="Z1602" s="126" t="b">
        <f>+OR(COUNTIF(PROVEEDORES[[#This Row],[PROVEEDOR]],"*"&amp;'Palabra que no opera y Listas d'!$A$2&amp;"*"))</f>
        <v>0</v>
      </c>
    </row>
    <row r="1603" spans="1:26" ht="27.75" customHeight="1" x14ac:dyDescent="0.25">
      <c r="A1603" s="141" t="str">
        <f>+IF(PROVEEDORES[[#This Row],[FECHA DE PAGO]]=PROVEEDORES[[#This Row],[FECHA DE FACTURACIÓN]],"DE CONTADO","CRÉDITO")</f>
        <v>CRÉDITO</v>
      </c>
      <c r="B1603" s="138" t="b">
        <f>+IF((PROVEEDORES[[#This Row],[FECHA DE PAGO]]-PROVEEDORES[[#This Row],[FECHA DE FACTURACIÓN]])&gt;PROVEEDORES[[#This Row],[PLAZO Días]],"PAGO VENCIDO")</f>
        <v>0</v>
      </c>
      <c r="C1603" s="138">
        <f>+VLOOKUP(PROVEEDORES[[#This Row],[PROVEEDOR]],TERCEROS_INFO[#All],2,FALSE)</f>
        <v>30</v>
      </c>
      <c r="D1603" s="139">
        <f>+SUMIFS(PROVEEDORES[Total],PROVEEDORES[PROVEEDOR],PROVEEDORES[[#This Row],[PROVEEDOR]],PROVEEDORES[FECHA DE PAGO],"")</f>
        <v>12628497</v>
      </c>
      <c r="E1603" s="140"/>
      <c r="F1603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03" s="127"/>
      <c r="H1603" s="123" t="s">
        <v>451</v>
      </c>
      <c r="I1603" s="127">
        <v>45411</v>
      </c>
      <c r="J1603" s="124">
        <v>34578</v>
      </c>
      <c r="K1603" s="124" t="s">
        <v>1530</v>
      </c>
      <c r="L1603" s="124"/>
      <c r="M1603" s="125">
        <v>4116710</v>
      </c>
      <c r="N1603" s="148">
        <v>722008</v>
      </c>
      <c r="O1603" s="148">
        <v>316670</v>
      </c>
      <c r="P1603" s="149">
        <v>2.5000000000000001E-2</v>
      </c>
      <c r="Q1603" s="148">
        <v>95001</v>
      </c>
      <c r="R1603" s="150">
        <v>4427047</v>
      </c>
      <c r="S1603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03" s="135">
        <f ca="1">+IF(PROVEEDORES[[#This Row],[FECHA DE PAGO]]=0,TODAY()-PROVEEDORES[[#This Row],[FECHA DE FACTURACIÓN]]-PROVEEDORES[[#This Row],[PLAZO Días]],0)</f>
        <v>6</v>
      </c>
      <c r="U1603" s="135" t="str">
        <f>+VLOOKUP(PROVEEDORES[[#This Row],[PROVEEDOR]],Terceros!$A:$D,4,FALSE)</f>
        <v>2,5% con base</v>
      </c>
      <c r="V1603" s="135">
        <f>+YEAR(PROVEEDORES[[#This Row],[FECHA DE FACTURACIÓN]])</f>
        <v>2024</v>
      </c>
      <c r="W1603" s="135">
        <f>+MATCH(PROVEEDORES[[#This Row],[año facturado]],Retenciones!$1:$1,0)</f>
        <v>7</v>
      </c>
      <c r="X1603" s="136">
        <f>+VLOOKUP(PROVEEDORES[[#This Row],[ID RETENCION]],Retenciones!$A$1:$O$25,PROVEEDORES[[#This Row],[indicador de columna]],FALSE)</f>
        <v>1271000</v>
      </c>
      <c r="Y1603" s="137">
        <f>+VLOOKUP(PROVEEDORES[[#This Row],[ID RETENCION]],Retenciones!$A$1:$O$25,2,FALSE)</f>
        <v>2.5000000000000001E-2</v>
      </c>
      <c r="Z1603" s="126" t="b">
        <f>+OR(COUNTIF(PROVEEDORES[[#This Row],[PROVEEDOR]],"*"&amp;'Palabra que no opera y Listas d'!$A$2&amp;"*"))</f>
        <v>0</v>
      </c>
    </row>
    <row r="1604" spans="1:26" ht="27.75" customHeight="1" x14ac:dyDescent="0.25">
      <c r="A1604" s="141" t="str">
        <f>+IF(PROVEEDORES[[#This Row],[FECHA DE PAGO]]=PROVEEDORES[[#This Row],[FECHA DE FACTURACIÓN]],"DE CONTADO","CRÉDITO")</f>
        <v>CRÉDITO</v>
      </c>
      <c r="B1604" s="138" t="str">
        <f>+IF((PROVEEDORES[[#This Row],[FECHA DE PAGO]]-PROVEEDORES[[#This Row],[FECHA DE FACTURACIÓN]])&gt;PROVEEDORES[[#This Row],[PLAZO Días]],"PAGO VENCIDO")</f>
        <v>PAGO VENCIDO</v>
      </c>
      <c r="C1604" s="138">
        <f>+VLOOKUP(PROVEEDORES[[#This Row],[PROVEEDOR]],TERCEROS_INFO[#All],2,FALSE)</f>
        <v>45</v>
      </c>
      <c r="D1604" s="139">
        <f>+SUMIFS(PROVEEDORES[Total],PROVEEDORES[PROVEEDOR],PROVEEDORES[[#This Row],[PROVEEDOR]],PROVEEDORES[FECHA DE PAGO],"")</f>
        <v>2446500</v>
      </c>
      <c r="E1604" s="140"/>
      <c r="F1604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04" s="188">
        <v>45432</v>
      </c>
      <c r="H1604" s="11" t="s">
        <v>10</v>
      </c>
      <c r="I1604" s="188">
        <v>45266</v>
      </c>
      <c r="J1604" s="82" t="s">
        <v>1759</v>
      </c>
      <c r="K1604" s="82" t="s">
        <v>504</v>
      </c>
      <c r="L1604" s="124" t="s">
        <v>1534</v>
      </c>
      <c r="M1604" s="9">
        <v>169600</v>
      </c>
      <c r="N1604" s="198">
        <v>0</v>
      </c>
      <c r="O1604" s="198">
        <v>0</v>
      </c>
      <c r="P1604" s="199">
        <v>0</v>
      </c>
      <c r="Q1604" s="198">
        <v>0</v>
      </c>
      <c r="R1604" s="200">
        <v>169600</v>
      </c>
      <c r="S160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4" s="135">
        <f ca="1">+IF(PROVEEDORES[[#This Row],[FECHA DE PAGO]]=0,TODAY()-PROVEEDORES[[#This Row],[FECHA DE FACTURACIÓN]]-PROVEEDORES[[#This Row],[PLAZO Días]],0)</f>
        <v>0</v>
      </c>
      <c r="U1604" s="135" t="str">
        <f>+VLOOKUP(PROVEEDORES[[#This Row],[PROVEEDOR]],Terceros!$A:$D,4,FALSE)</f>
        <v>2,5% con base</v>
      </c>
      <c r="V1604" s="135">
        <f>+YEAR(PROVEEDORES[[#This Row],[FECHA DE FACTURACIÓN]])</f>
        <v>2023</v>
      </c>
      <c r="W1604" s="135">
        <f>+MATCH(PROVEEDORES[[#This Row],[año facturado]],Retenciones!$1:$1,0)</f>
        <v>6</v>
      </c>
      <c r="X1604" s="136">
        <f>+VLOOKUP(PROVEEDORES[[#This Row],[ID RETENCION]],Retenciones!$A$1:$O$25,PROVEEDORES[[#This Row],[indicador de columna]],FALSE)</f>
        <v>1145000</v>
      </c>
      <c r="Y1604" s="137">
        <f>+VLOOKUP(PROVEEDORES[[#This Row],[ID RETENCION]],Retenciones!$A$1:$O$25,2,FALSE)</f>
        <v>2.5000000000000001E-2</v>
      </c>
      <c r="Z1604" s="126" t="b">
        <f>+OR(COUNTIF(PROVEEDORES[[#This Row],[PROVEEDOR]],"*"&amp;'Palabra que no opera y Listas d'!$A$2&amp;"*"))</f>
        <v>0</v>
      </c>
    </row>
    <row r="1605" spans="1:26" ht="27.75" customHeight="1" x14ac:dyDescent="0.25">
      <c r="A1605" s="141" t="str">
        <f>+IF(PROVEEDORES[[#This Row],[FECHA DE PAGO]]=PROVEEDORES[[#This Row],[FECHA DE FACTURACIÓN]],"DE CONTADO","CRÉDITO")</f>
        <v>CRÉDITO</v>
      </c>
      <c r="B1605" s="138" t="str">
        <f>+IF((PROVEEDORES[[#This Row],[FECHA DE PAGO]]-PROVEEDORES[[#This Row],[FECHA DE FACTURACIÓN]])&gt;PROVEEDORES[[#This Row],[PLAZO Días]],"PAGO VENCIDO")</f>
        <v>PAGO VENCIDO</v>
      </c>
      <c r="C1605" s="138">
        <f>+VLOOKUP(PROVEEDORES[[#This Row],[PROVEEDOR]],TERCEROS_INFO[#All],2,FALSE)</f>
        <v>45</v>
      </c>
      <c r="D1605" s="139">
        <f>+SUMIFS(PROVEEDORES[Total],PROVEEDORES[PROVEEDOR],PROVEEDORES[[#This Row],[PROVEEDOR]],PROVEEDORES[FECHA DE PAGO],"")</f>
        <v>2446500</v>
      </c>
      <c r="E1605" s="140"/>
      <c r="F1605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05" s="188">
        <v>45432</v>
      </c>
      <c r="H1605" s="123" t="s">
        <v>10</v>
      </c>
      <c r="I1605" s="127">
        <v>45372</v>
      </c>
      <c r="J1605" s="124" t="s">
        <v>1679</v>
      </c>
      <c r="K1605" s="124" t="s">
        <v>504</v>
      </c>
      <c r="L1605" s="124" t="s">
        <v>1534</v>
      </c>
      <c r="M1605" s="125">
        <v>2000000</v>
      </c>
      <c r="N1605" s="148">
        <v>380000</v>
      </c>
      <c r="O1605" s="148">
        <v>0</v>
      </c>
      <c r="P1605" s="149">
        <v>2.5000000000000001E-2</v>
      </c>
      <c r="Q1605" s="148">
        <v>50000</v>
      </c>
      <c r="R1605" s="150">
        <v>2330000</v>
      </c>
      <c r="S160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5" s="135">
        <f ca="1">+IF(PROVEEDORES[[#This Row],[FECHA DE PAGO]]=0,TODAY()-PROVEEDORES[[#This Row],[FECHA DE FACTURACIÓN]]-PROVEEDORES[[#This Row],[PLAZO Días]],0)</f>
        <v>0</v>
      </c>
      <c r="U1605" s="135" t="str">
        <f>+VLOOKUP(PROVEEDORES[[#This Row],[PROVEEDOR]],Terceros!$A:$D,4,FALSE)</f>
        <v>2,5% con base</v>
      </c>
      <c r="V1605" s="135">
        <f>+YEAR(PROVEEDORES[[#This Row],[FECHA DE FACTURACIÓN]])</f>
        <v>2024</v>
      </c>
      <c r="W1605" s="135">
        <f>+MATCH(PROVEEDORES[[#This Row],[año facturado]],Retenciones!$1:$1,0)</f>
        <v>7</v>
      </c>
      <c r="X1605" s="136">
        <f>+VLOOKUP(PROVEEDORES[[#This Row],[ID RETENCION]],Retenciones!$A$1:$O$25,PROVEEDORES[[#This Row],[indicador de columna]],FALSE)</f>
        <v>1271000</v>
      </c>
      <c r="Y1605" s="137">
        <f>+VLOOKUP(PROVEEDORES[[#This Row],[ID RETENCION]],Retenciones!$A$1:$O$25,2,FALSE)</f>
        <v>2.5000000000000001E-2</v>
      </c>
      <c r="Z1605" s="126" t="b">
        <f>+OR(COUNTIF(PROVEEDORES[[#This Row],[PROVEEDOR]],"*"&amp;'Palabra que no opera y Listas d'!$A$2&amp;"*"))</f>
        <v>0</v>
      </c>
    </row>
    <row r="1606" spans="1:26" ht="27.75" customHeight="1" x14ac:dyDescent="0.25">
      <c r="A1606" s="141" t="str">
        <f>+IF(PROVEEDORES[[#This Row],[FECHA DE PAGO]]=PROVEEDORES[[#This Row],[FECHA DE FACTURACIÓN]],"DE CONTADO","CRÉDITO")</f>
        <v>CRÉDITO</v>
      </c>
      <c r="B1606" s="138" t="b">
        <f>+IF((PROVEEDORES[[#This Row],[FECHA DE PAGO]]-PROVEEDORES[[#This Row],[FECHA DE FACTURACIÓN]])&gt;PROVEEDORES[[#This Row],[PLAZO Días]],"PAGO VENCIDO")</f>
        <v>0</v>
      </c>
      <c r="C1606" s="138">
        <f>+VLOOKUP(PROVEEDORES[[#This Row],[PROVEEDOR]],TERCEROS_INFO[#All],2,FALSE)</f>
        <v>45</v>
      </c>
      <c r="D1606" s="139">
        <f>+SUMIFS(PROVEEDORES[Total],PROVEEDORES[PROVEEDOR],PROVEEDORES[[#This Row],[PROVEEDOR]],PROVEEDORES[FECHA DE PAGO],"")</f>
        <v>2446500</v>
      </c>
      <c r="E1606" s="140"/>
      <c r="F1606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06" s="188">
        <v>45432</v>
      </c>
      <c r="H1606" s="123" t="s">
        <v>10</v>
      </c>
      <c r="I1606" s="127">
        <v>45397</v>
      </c>
      <c r="J1606" s="124" t="s">
        <v>1737</v>
      </c>
      <c r="K1606" s="124" t="s">
        <v>1530</v>
      </c>
      <c r="L1606" s="124" t="s">
        <v>1534</v>
      </c>
      <c r="M1606" s="125">
        <v>808000</v>
      </c>
      <c r="N1606" s="148">
        <v>153520</v>
      </c>
      <c r="O1606" s="148">
        <v>0</v>
      </c>
      <c r="P1606" s="149">
        <v>0</v>
      </c>
      <c r="Q1606" s="148">
        <v>0</v>
      </c>
      <c r="R1606" s="150">
        <v>961520</v>
      </c>
      <c r="S160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6" s="135">
        <f ca="1">+IF(PROVEEDORES[[#This Row],[FECHA DE PAGO]]=0,TODAY()-PROVEEDORES[[#This Row],[FECHA DE FACTURACIÓN]]-PROVEEDORES[[#This Row],[PLAZO Días]],0)</f>
        <v>0</v>
      </c>
      <c r="U1606" s="135" t="str">
        <f>+VLOOKUP(PROVEEDORES[[#This Row],[PROVEEDOR]],Terceros!$A:$D,4,FALSE)</f>
        <v>2,5% con base</v>
      </c>
      <c r="V1606" s="135">
        <f>+YEAR(PROVEEDORES[[#This Row],[FECHA DE FACTURACIÓN]])</f>
        <v>2024</v>
      </c>
      <c r="W1606" s="135">
        <f>+MATCH(PROVEEDORES[[#This Row],[año facturado]],Retenciones!$1:$1,0)</f>
        <v>7</v>
      </c>
      <c r="X1606" s="136">
        <f>+VLOOKUP(PROVEEDORES[[#This Row],[ID RETENCION]],Retenciones!$A$1:$O$25,PROVEEDORES[[#This Row],[indicador de columna]],FALSE)</f>
        <v>1271000</v>
      </c>
      <c r="Y1606" s="137">
        <f>+VLOOKUP(PROVEEDORES[[#This Row],[ID RETENCION]],Retenciones!$A$1:$O$25,2,FALSE)</f>
        <v>2.5000000000000001E-2</v>
      </c>
      <c r="Z1606" s="126" t="b">
        <f>+OR(COUNTIF(PROVEEDORES[[#This Row],[PROVEEDOR]],"*"&amp;'Palabra que no opera y Listas d'!$A$2&amp;"*"))</f>
        <v>0</v>
      </c>
    </row>
    <row r="1607" spans="1:26" ht="27.75" customHeight="1" x14ac:dyDescent="0.25">
      <c r="A1607" s="141" t="str">
        <f>+IF(PROVEEDORES[[#This Row],[FECHA DE PAGO]]=PROVEEDORES[[#This Row],[FECHA DE FACTURACIÓN]],"DE CONTADO","CRÉDITO")</f>
        <v>CRÉDITO</v>
      </c>
      <c r="B1607" s="138" t="b">
        <f>+IF((PROVEEDORES[[#This Row],[FECHA DE PAGO]]-PROVEEDORES[[#This Row],[FECHA DE FACTURACIÓN]])&gt;PROVEEDORES[[#This Row],[PLAZO Días]],"PAGO VENCIDO")</f>
        <v>0</v>
      </c>
      <c r="C1607" s="138">
        <f>+VLOOKUP(PROVEEDORES[[#This Row],[PROVEEDOR]],TERCEROS_INFO[#All],2,FALSE)</f>
        <v>45</v>
      </c>
      <c r="D1607" s="139">
        <f>+SUMIFS(PROVEEDORES[Total],PROVEEDORES[PROVEEDOR],PROVEEDORES[[#This Row],[PROVEEDOR]],PROVEEDORES[FECHA DE PAGO],"")</f>
        <v>22186260.039999999</v>
      </c>
      <c r="E1607" s="140"/>
      <c r="F1607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07" s="127"/>
      <c r="H1607" s="123" t="s">
        <v>19</v>
      </c>
      <c r="I1607" s="127">
        <v>45405</v>
      </c>
      <c r="J1607" s="124" t="s">
        <v>1776</v>
      </c>
      <c r="K1607" s="124" t="s">
        <v>504</v>
      </c>
      <c r="L1607" s="124"/>
      <c r="M1607" s="125">
        <v>7337100</v>
      </c>
      <c r="N1607" s="148">
        <v>1394049</v>
      </c>
      <c r="O1607" s="148">
        <v>0</v>
      </c>
      <c r="P1607" s="149">
        <v>0</v>
      </c>
      <c r="Q1607" s="148">
        <v>0</v>
      </c>
      <c r="R1607" s="150">
        <v>8731149</v>
      </c>
      <c r="S1607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07" s="135">
        <f ca="1">+IF(PROVEEDORES[[#This Row],[FECHA DE PAGO]]=0,TODAY()-PROVEEDORES[[#This Row],[FECHA DE FACTURACIÓN]]-PROVEEDORES[[#This Row],[PLAZO Días]],0)</f>
        <v>-3</v>
      </c>
      <c r="U1607" s="135">
        <f>+VLOOKUP(PROVEEDORES[[#This Row],[PROVEEDOR]],Terceros!$A:$D,4,FALSE)</f>
        <v>0</v>
      </c>
      <c r="V1607" s="135">
        <f>+YEAR(PROVEEDORES[[#This Row],[FECHA DE FACTURACIÓN]])</f>
        <v>2024</v>
      </c>
      <c r="W1607" s="135">
        <f>+MATCH(PROVEEDORES[[#This Row],[año facturado]],Retenciones!$1:$1,0)</f>
        <v>7</v>
      </c>
      <c r="X1607" s="136">
        <f>+VLOOKUP(PROVEEDORES[[#This Row],[ID RETENCION]],Retenciones!$A$1:$O$25,PROVEEDORES[[#This Row],[indicador de columna]],FALSE)</f>
        <v>0</v>
      </c>
      <c r="Y1607" s="137">
        <f>+VLOOKUP(PROVEEDORES[[#This Row],[ID RETENCION]],Retenciones!$A$1:$O$25,2,FALSE)</f>
        <v>0</v>
      </c>
      <c r="Z1607" s="126" t="b">
        <f>+OR(COUNTIF(PROVEEDORES[[#This Row],[PROVEEDOR]],"*"&amp;'Palabra que no opera y Listas d'!$A$2&amp;"*"))</f>
        <v>0</v>
      </c>
    </row>
    <row r="1608" spans="1:26" ht="27.75" customHeight="1" x14ac:dyDescent="0.25">
      <c r="A1608" s="141" t="str">
        <f>+IF(PROVEEDORES[[#This Row],[FECHA DE PAGO]]=PROVEEDORES[[#This Row],[FECHA DE FACTURACIÓN]],"DE CONTADO","CRÉDITO")</f>
        <v>CRÉDITO</v>
      </c>
      <c r="B1608" s="138" t="b">
        <f>+IF((PROVEEDORES[[#This Row],[FECHA DE PAGO]]-PROVEEDORES[[#This Row],[FECHA DE FACTURACIÓN]])&gt;PROVEEDORES[[#This Row],[PLAZO Días]],"PAGO VENCIDO")</f>
        <v>0</v>
      </c>
      <c r="C1608" s="138">
        <f>+VLOOKUP(PROVEEDORES[[#This Row],[PROVEEDOR]],TERCEROS_INFO[#All],2,FALSE)</f>
        <v>60</v>
      </c>
      <c r="D1608" s="139">
        <f>+SUMIFS(PROVEEDORES[Total],PROVEEDORES[PROVEEDOR],PROVEEDORES[[#This Row],[PROVEEDOR]],PROVEEDORES[FECHA DE PAGO],"")</f>
        <v>1730482</v>
      </c>
      <c r="E1608" s="140"/>
      <c r="F1608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08" s="127">
        <v>45435</v>
      </c>
      <c r="H1608" s="123" t="s">
        <v>222</v>
      </c>
      <c r="I1608" s="127">
        <v>45427</v>
      </c>
      <c r="J1608" s="124">
        <v>2029</v>
      </c>
      <c r="K1608" s="124" t="s">
        <v>504</v>
      </c>
      <c r="L1608" s="124" t="s">
        <v>1534</v>
      </c>
      <c r="M1608" s="125">
        <v>307990.40000000002</v>
      </c>
      <c r="N1608" s="148">
        <f>+(PROVEEDORES[[#This Row],[SUBTOTAL]])*VLOOKUP(PROVEEDORES[[#This Row],[PROVEEDOR]],TERCEROS_INFO[#All],3,FALSE)</f>
        <v>0</v>
      </c>
      <c r="O1608" s="148">
        <f>+'Palabra que no opera y Listas d'!$D$2</f>
        <v>0</v>
      </c>
      <c r="P1608" s="149">
        <f>+IF(PROVEEDORES[[#This Row],[SUBTOTAL]]&lt;PROVEEDORES[[#This Row],[base retencion]],0,PROVEEDORES[[#This Row],[retención aplicada]])</f>
        <v>0</v>
      </c>
      <c r="Q1608" s="148">
        <f>+PROVEEDORES[[#This Row],[ReteFuente
%]]*(PROVEEDORES[[#This Row],[SUBTOTAL]])</f>
        <v>0</v>
      </c>
      <c r="R1608" s="150">
        <f>+PROVEEDORES[[#This Row],[SUBTOTAL]]+PROVEEDORES[[#This Row],[IVA 19%]]-PROVEEDORES[[#This Row],[Descuento
$]]-PROVEEDORES[[#This Row],[ReteFuente
$]]</f>
        <v>307990.40000000002</v>
      </c>
      <c r="S160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08" s="135">
        <f ca="1">+IF(PROVEEDORES[[#This Row],[FECHA DE PAGO]]=0,TODAY()-PROVEEDORES[[#This Row],[FECHA DE FACTURACIÓN]]-PROVEEDORES[[#This Row],[PLAZO Días]],0)</f>
        <v>0</v>
      </c>
      <c r="U1608" s="135">
        <f>+VLOOKUP(PROVEEDORES[[#This Row],[PROVEEDOR]],Terceros!$A:$D,4,FALSE)</f>
        <v>0</v>
      </c>
      <c r="V1608" s="135">
        <f>+YEAR(PROVEEDORES[[#This Row],[FECHA DE FACTURACIÓN]])</f>
        <v>2024</v>
      </c>
      <c r="W1608" s="135">
        <f>+MATCH(PROVEEDORES[[#This Row],[año facturado]],Retenciones!$1:$1,0)</f>
        <v>7</v>
      </c>
      <c r="X1608" s="136">
        <f>+VLOOKUP(PROVEEDORES[[#This Row],[ID RETENCION]],Retenciones!$A$1:$O$25,PROVEEDORES[[#This Row],[indicador de columna]],FALSE)</f>
        <v>0</v>
      </c>
      <c r="Y1608" s="137">
        <f>+VLOOKUP(PROVEEDORES[[#This Row],[ID RETENCION]],Retenciones!$A$1:$O$25,2,FALSE)</f>
        <v>0</v>
      </c>
      <c r="Z1608" s="126" t="b">
        <f>+OR(COUNTIF(PROVEEDORES[[#This Row],[PROVEEDOR]],"*"&amp;'Palabra que no opera y Listas d'!$A$2&amp;"*"))</f>
        <v>0</v>
      </c>
    </row>
    <row r="1609" spans="1:26" ht="27.75" customHeight="1" x14ac:dyDescent="0.25">
      <c r="A1609" s="141" t="str">
        <f>+IF(PROVEEDORES[[#This Row],[FECHA DE PAGO]]=PROVEEDORES[[#This Row],[FECHA DE FACTURACIÓN]],"DE CONTADO","CRÉDITO")</f>
        <v>CRÉDITO</v>
      </c>
      <c r="B1609" s="138" t="b">
        <f>+IF((PROVEEDORES[[#This Row],[FECHA DE PAGO]]-PROVEEDORES[[#This Row],[FECHA DE FACTURACIÓN]])&gt;PROVEEDORES[[#This Row],[PLAZO Días]],"PAGO VENCIDO")</f>
        <v>0</v>
      </c>
      <c r="C1609" s="138">
        <f>+VLOOKUP(PROVEEDORES[[#This Row],[PROVEEDOR]],TERCEROS_INFO[#All],2,FALSE)</f>
        <v>45</v>
      </c>
      <c r="D1609" s="139">
        <f>+SUMIFS(PROVEEDORES[Total],PROVEEDORES[PROVEEDOR],PROVEEDORES[[#This Row],[PROVEEDOR]],PROVEEDORES[FECHA DE PAGO],"")</f>
        <v>22186260.039999999</v>
      </c>
      <c r="E1609" s="140"/>
      <c r="F1609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09" s="127"/>
      <c r="H1609" s="123" t="s">
        <v>19</v>
      </c>
      <c r="I1609" s="127">
        <v>45412</v>
      </c>
      <c r="J1609" s="124" t="s">
        <v>1789</v>
      </c>
      <c r="K1609" s="124" t="s">
        <v>504</v>
      </c>
      <c r="L1609" s="124"/>
      <c r="M1609" s="125">
        <v>6003200</v>
      </c>
      <c r="N1609" s="148">
        <v>1140608</v>
      </c>
      <c r="O1609" s="148">
        <v>0</v>
      </c>
      <c r="P1609" s="149">
        <v>0</v>
      </c>
      <c r="Q1609" s="148">
        <v>0</v>
      </c>
      <c r="R1609" s="150">
        <v>7143808</v>
      </c>
      <c r="S1609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09" s="135">
        <f ca="1">+IF(PROVEEDORES[[#This Row],[FECHA DE PAGO]]=0,TODAY()-PROVEEDORES[[#This Row],[FECHA DE FACTURACIÓN]]-PROVEEDORES[[#This Row],[PLAZO Días]],0)</f>
        <v>-10</v>
      </c>
      <c r="U1609" s="135">
        <f>+VLOOKUP(PROVEEDORES[[#This Row],[PROVEEDOR]],Terceros!$A:$D,4,FALSE)</f>
        <v>0</v>
      </c>
      <c r="V1609" s="135">
        <f>+YEAR(PROVEEDORES[[#This Row],[FECHA DE FACTURACIÓN]])</f>
        <v>2024</v>
      </c>
      <c r="W1609" s="135">
        <f>+MATCH(PROVEEDORES[[#This Row],[año facturado]],Retenciones!$1:$1,0)</f>
        <v>7</v>
      </c>
      <c r="X1609" s="136">
        <f>+VLOOKUP(PROVEEDORES[[#This Row],[ID RETENCION]],Retenciones!$A$1:$O$25,PROVEEDORES[[#This Row],[indicador de columna]],FALSE)</f>
        <v>0</v>
      </c>
      <c r="Y1609" s="137">
        <f>+VLOOKUP(PROVEEDORES[[#This Row],[ID RETENCION]],Retenciones!$A$1:$O$25,2,FALSE)</f>
        <v>0</v>
      </c>
      <c r="Z1609" s="126" t="b">
        <f>+OR(COUNTIF(PROVEEDORES[[#This Row],[PROVEEDOR]],"*"&amp;'Palabra que no opera y Listas d'!$A$2&amp;"*"))</f>
        <v>0</v>
      </c>
    </row>
    <row r="1610" spans="1:26" ht="27.75" customHeight="1" x14ac:dyDescent="0.25">
      <c r="A1610" s="141" t="str">
        <f>+IF(PROVEEDORES[[#This Row],[FECHA DE PAGO]]=PROVEEDORES[[#This Row],[FECHA DE FACTURACIÓN]],"DE CONTADO","CRÉDITO")</f>
        <v>CRÉDITO</v>
      </c>
      <c r="B1610" s="138" t="b">
        <f>+IF((PROVEEDORES[[#This Row],[FECHA DE PAGO]]-PROVEEDORES[[#This Row],[FECHA DE FACTURACIÓN]])&gt;PROVEEDORES[[#This Row],[PLAZO Días]],"PAGO VENCIDO")</f>
        <v>0</v>
      </c>
      <c r="C1610" s="138">
        <f>+VLOOKUP(PROVEEDORES[[#This Row],[PROVEEDOR]],TERCEROS_INFO[#All],2,FALSE)</f>
        <v>30</v>
      </c>
      <c r="D1610" s="139">
        <f>+SUMIFS(PROVEEDORES[Total],PROVEEDORES[PROVEEDOR],PROVEEDORES[[#This Row],[PROVEEDOR]],PROVEEDORES[FECHA DE PAGO],"")</f>
        <v>1695707.16</v>
      </c>
      <c r="E1610" s="140"/>
      <c r="F1610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610" s="127"/>
      <c r="H1610" s="123" t="s">
        <v>194</v>
      </c>
      <c r="I1610" s="127">
        <v>45407</v>
      </c>
      <c r="J1610" s="124" t="s">
        <v>1778</v>
      </c>
      <c r="K1610" s="124" t="s">
        <v>504</v>
      </c>
      <c r="L1610" s="124"/>
      <c r="M1610" s="125">
        <v>719484</v>
      </c>
      <c r="N1610" s="148">
        <v>136701.96</v>
      </c>
      <c r="O1610" s="148">
        <v>0</v>
      </c>
      <c r="P1610" s="149">
        <v>0</v>
      </c>
      <c r="Q1610" s="148">
        <v>0</v>
      </c>
      <c r="R1610" s="150">
        <v>856185.96</v>
      </c>
      <c r="S1610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10" s="135">
        <f ca="1">+IF(PROVEEDORES[[#This Row],[FECHA DE PAGO]]=0,TODAY()-PROVEEDORES[[#This Row],[FECHA DE FACTURACIÓN]]-PROVEEDORES[[#This Row],[PLAZO Días]],0)</f>
        <v>10</v>
      </c>
      <c r="U1610" s="135">
        <f>+VLOOKUP(PROVEEDORES[[#This Row],[PROVEEDOR]],Terceros!$A:$D,4,FALSE)</f>
        <v>0</v>
      </c>
      <c r="V1610" s="135">
        <f>+YEAR(PROVEEDORES[[#This Row],[FECHA DE FACTURACIÓN]])</f>
        <v>2024</v>
      </c>
      <c r="W1610" s="135">
        <f>+MATCH(PROVEEDORES[[#This Row],[año facturado]],Retenciones!$1:$1,0)</f>
        <v>7</v>
      </c>
      <c r="X1610" s="136">
        <f>+VLOOKUP(PROVEEDORES[[#This Row],[ID RETENCION]],Retenciones!$A$1:$O$25,PROVEEDORES[[#This Row],[indicador de columna]],FALSE)</f>
        <v>0</v>
      </c>
      <c r="Y1610" s="137">
        <f>+VLOOKUP(PROVEEDORES[[#This Row],[ID RETENCION]],Retenciones!$A$1:$O$25,2,FALSE)</f>
        <v>0</v>
      </c>
      <c r="Z1610" s="126" t="b">
        <f>+OR(COUNTIF(PROVEEDORES[[#This Row],[PROVEEDOR]],"*"&amp;'Palabra que no opera y Listas d'!$A$2&amp;"*"))</f>
        <v>0</v>
      </c>
    </row>
    <row r="1611" spans="1:26" ht="27.75" customHeight="1" x14ac:dyDescent="0.25">
      <c r="A1611" s="141" t="str">
        <f>+IF(PROVEEDORES[[#This Row],[FECHA DE PAGO]]=PROVEEDORES[[#This Row],[FECHA DE FACTURACIÓN]],"DE CONTADO","CRÉDITO")</f>
        <v>CRÉDITO</v>
      </c>
      <c r="B1611" s="138" t="b">
        <f>+IF((PROVEEDORES[[#This Row],[FECHA DE PAGO]]-PROVEEDORES[[#This Row],[FECHA DE FACTURACIÓN]])&gt;PROVEEDORES[[#This Row],[PLAZO Días]],"PAGO VENCIDO")</f>
        <v>0</v>
      </c>
      <c r="C1611" s="138">
        <f>+VLOOKUP(PROVEEDORES[[#This Row],[PROVEEDOR]],TERCEROS_INFO[#All],2,FALSE)</f>
        <v>30</v>
      </c>
      <c r="D1611" s="139">
        <f>+SUMIFS(PROVEEDORES[Total],PROVEEDORES[PROVEEDOR],PROVEEDORES[[#This Row],[PROVEEDOR]],PROVEEDORES[FECHA DE PAGO],"")</f>
        <v>9349257.8100000005</v>
      </c>
      <c r="E1611" s="140"/>
      <c r="F1611" s="138" t="str">
        <f>+VLOOKUP(PROVEEDORES[[#This Row],[PROVEEDOR]],
                       Terceros!$A:$F,
                       5,
                       FALSE)</f>
        <v>stabarbaradistronik@gmail.com;girlesa.ruiz@servipilas.com;joriescobar64@gmail.com</v>
      </c>
      <c r="G1611" s="127"/>
      <c r="H1611" s="123" t="s">
        <v>226</v>
      </c>
      <c r="I1611" s="127">
        <v>45385</v>
      </c>
      <c r="J1611" s="124" t="s">
        <v>1720</v>
      </c>
      <c r="K1611" s="124" t="s">
        <v>1530</v>
      </c>
      <c r="L1611" s="124"/>
      <c r="M1611" s="125">
        <v>8025114</v>
      </c>
      <c r="N1611" s="148">
        <v>1524771.66</v>
      </c>
      <c r="O1611" s="148">
        <v>0</v>
      </c>
      <c r="P1611" s="149">
        <v>2.5000000000000001E-2</v>
      </c>
      <c r="Q1611" s="148">
        <v>200627.85</v>
      </c>
      <c r="R1611" s="150">
        <v>9349257.8100000005</v>
      </c>
      <c r="S1611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11" s="135">
        <f ca="1">+IF(PROVEEDORES[[#This Row],[FECHA DE PAGO]]=0,TODAY()-PROVEEDORES[[#This Row],[FECHA DE FACTURACIÓN]]-PROVEEDORES[[#This Row],[PLAZO Días]],0)</f>
        <v>32</v>
      </c>
      <c r="U1611" s="135" t="str">
        <f>+VLOOKUP(PROVEEDORES[[#This Row],[PROVEEDOR]],Terceros!$A:$D,4,FALSE)</f>
        <v>2,5% con base</v>
      </c>
      <c r="V1611" s="135">
        <f>+YEAR(PROVEEDORES[[#This Row],[FECHA DE FACTURACIÓN]])</f>
        <v>2024</v>
      </c>
      <c r="W1611" s="135">
        <f>+MATCH(PROVEEDORES[[#This Row],[año facturado]],Retenciones!$1:$1,0)</f>
        <v>7</v>
      </c>
      <c r="X1611" s="136">
        <f>+VLOOKUP(PROVEEDORES[[#This Row],[ID RETENCION]],Retenciones!$A$1:$O$25,PROVEEDORES[[#This Row],[indicador de columna]],FALSE)</f>
        <v>1271000</v>
      </c>
      <c r="Y1611" s="137">
        <f>+VLOOKUP(PROVEEDORES[[#This Row],[ID RETENCION]],Retenciones!$A$1:$O$25,2,FALSE)</f>
        <v>2.5000000000000001E-2</v>
      </c>
      <c r="Z1611" s="126" t="b">
        <f>+OR(COUNTIF(PROVEEDORES[[#This Row],[PROVEEDOR]],"*"&amp;'Palabra que no opera y Listas d'!$A$2&amp;"*"))</f>
        <v>0</v>
      </c>
    </row>
    <row r="1612" spans="1:26" ht="27.75" customHeight="1" x14ac:dyDescent="0.25">
      <c r="A1612" s="141" t="str">
        <f>+IF(PROVEEDORES[[#This Row],[FECHA DE PAGO]]=PROVEEDORES[[#This Row],[FECHA DE FACTURACIÓN]],"DE CONTADO","CRÉDITO")</f>
        <v>CRÉDITO</v>
      </c>
      <c r="B1612" s="138" t="b">
        <f>+IF((PROVEEDORES[[#This Row],[FECHA DE PAGO]]-PROVEEDORES[[#This Row],[FECHA DE FACTURACIÓN]])&gt;PROVEEDORES[[#This Row],[PLAZO Días]],"PAGO VENCIDO")</f>
        <v>0</v>
      </c>
      <c r="C1612" s="138">
        <f>+VLOOKUP(PROVEEDORES[[#This Row],[PROVEEDOR]],TERCEROS_INFO[#All],2,FALSE)</f>
        <v>10</v>
      </c>
      <c r="D1612" s="139">
        <f>+SUMIFS(PROVEEDORES[Total],PROVEEDORES[PROVEEDOR],PROVEEDORES[[#This Row],[PROVEEDOR]],PROVEEDORES[FECHA DE PAGO],"")</f>
        <v>-3510</v>
      </c>
      <c r="E1612" s="140"/>
      <c r="F1612" s="138" t="str">
        <f>+VLOOKUP(PROVEEDORES[[#This Row],[PROVEEDOR]],
                       Terceros!$A:$F,
                       5,
                       FALSE)</f>
        <v>clopez@santajuana.com.co;girlesa.ruiz@servipilas.com;joriescobar64@gmail.com</v>
      </c>
      <c r="G1612" s="127"/>
      <c r="H1612" s="123" t="s">
        <v>1452</v>
      </c>
      <c r="I1612" s="127">
        <v>45432</v>
      </c>
      <c r="J1612" s="124" t="s">
        <v>1906</v>
      </c>
      <c r="K1612" s="124" t="s">
        <v>1530</v>
      </c>
      <c r="L1612" s="124"/>
      <c r="M1612" s="125">
        <v>-3510</v>
      </c>
      <c r="N1612" s="148"/>
      <c r="O1612" s="148">
        <f>+'Palabra que no opera y Listas d'!$D$2</f>
        <v>0</v>
      </c>
      <c r="P1612" s="149">
        <f>+IF(PROVEEDORES[[#This Row],[SUBTOTAL]]&lt;PROVEEDORES[[#This Row],[base retencion]],0,PROVEEDORES[[#This Row],[retención aplicada]])</f>
        <v>0</v>
      </c>
      <c r="Q1612" s="148">
        <f>+PROVEEDORES[[#This Row],[ReteFuente
%]]*(PROVEEDORES[[#This Row],[SUBTOTAL]])</f>
        <v>0</v>
      </c>
      <c r="R1612" s="150">
        <f>+PROVEEDORES[[#This Row],[SUBTOTAL]]+PROVEEDORES[[#This Row],[IVA 19%]]-PROVEEDORES[[#This Row],[Descuento
$]]-PROVEEDORES[[#This Row],[ReteFuente
$]]</f>
        <v>-3510</v>
      </c>
      <c r="S1612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12" s="135">
        <f ca="1">+IF(PROVEEDORES[[#This Row],[FECHA DE PAGO]]=0,TODAY()-PROVEEDORES[[#This Row],[FECHA DE FACTURACIÓN]]-PROVEEDORES[[#This Row],[PLAZO Días]],0)</f>
        <v>5</v>
      </c>
      <c r="U1612" s="135" t="str">
        <f>+VLOOKUP(PROVEEDORES[[#This Row],[PROVEEDOR]],Terceros!$A:$D,4,FALSE)</f>
        <v>3,5% sin base</v>
      </c>
      <c r="V1612" s="135">
        <f>+YEAR(PROVEEDORES[[#This Row],[FECHA DE FACTURACIÓN]])</f>
        <v>2024</v>
      </c>
      <c r="W1612" s="135">
        <f>+MATCH(PROVEEDORES[[#This Row],[año facturado]],Retenciones!$1:$1,0)</f>
        <v>7</v>
      </c>
      <c r="X1612" s="136">
        <f>+VLOOKUP(PROVEEDORES[[#This Row],[ID RETENCION]],Retenciones!$A$1:$O$25,PROVEEDORES[[#This Row],[indicador de columna]],FALSE)</f>
        <v>0</v>
      </c>
      <c r="Y1612" s="137">
        <f>+VLOOKUP(PROVEEDORES[[#This Row],[ID RETENCION]],Retenciones!$A$1:$O$25,2,FALSE)</f>
        <v>3.5000000000000003E-2</v>
      </c>
      <c r="Z1612" s="126" t="b">
        <f>+OR(COUNTIF(PROVEEDORES[[#This Row],[PROVEEDOR]],"*"&amp;'Palabra que no opera y Listas d'!$A$2&amp;"*"))</f>
        <v>1</v>
      </c>
    </row>
    <row r="1613" spans="1:26" ht="27.75" customHeight="1" x14ac:dyDescent="0.25">
      <c r="A1613" s="141" t="str">
        <f>+IF(PROVEEDORES[[#This Row],[FECHA DE PAGO]]=PROVEEDORES[[#This Row],[FECHA DE FACTURACIÓN]],"DE CONTADO","CRÉDITO")</f>
        <v>DE CONTADO</v>
      </c>
      <c r="B1613" s="138" t="b">
        <f>+IF((PROVEEDORES[[#This Row],[FECHA DE PAGO]]-PROVEEDORES[[#This Row],[FECHA DE FACTURACIÓN]])&gt;PROVEEDORES[[#This Row],[PLAZO Días]],"PAGO VENCIDO")</f>
        <v>0</v>
      </c>
      <c r="C1613" s="138">
        <f>+VLOOKUP(PROVEEDORES[[#This Row],[PROVEEDOR]],TERCEROS_INFO[#All],2,FALSE)</f>
        <v>30</v>
      </c>
      <c r="D1613" s="139">
        <f>+SUMIFS(PROVEEDORES[Total],PROVEEDORES[PROVEEDOR],PROVEEDORES[[#This Row],[PROVEEDOR]],PROVEEDORES[FECHA DE PAGO],"")</f>
        <v>0</v>
      </c>
      <c r="E1613" s="140"/>
      <c r="F1613" s="138" t="str">
        <f>+VLOOKUP(PROVEEDORES[[#This Row],[PROVEEDOR]],
                       Terceros!$A:$F,
                       5,
                       FALSE)</f>
        <v/>
      </c>
      <c r="G1613" s="127">
        <v>45427</v>
      </c>
      <c r="H1613" s="123" t="s">
        <v>1824</v>
      </c>
      <c r="I1613" s="127">
        <v>45427</v>
      </c>
      <c r="J1613" s="124" t="s">
        <v>1893</v>
      </c>
      <c r="K1613" s="124" t="s">
        <v>1530</v>
      </c>
      <c r="L1613" s="124" t="s">
        <v>1395</v>
      </c>
      <c r="M1613" s="125">
        <v>1300000</v>
      </c>
      <c r="N1613" s="148">
        <f>+(PROVEEDORES[[#This Row],[SUBTOTAL]])*VLOOKUP(PROVEEDORES[[#This Row],[PROVEEDOR]],TERCEROS_INFO[#All],3,FALSE)</f>
        <v>0</v>
      </c>
      <c r="O1613" s="148">
        <f>+'Palabra que no opera y Listas d'!$D$2</f>
        <v>0</v>
      </c>
      <c r="P1613" s="149">
        <f>+IF(PROVEEDORES[[#This Row],[SUBTOTAL]]&lt;PROVEEDORES[[#This Row],[base retencion]],0,PROVEEDORES[[#This Row],[retención aplicada]])</f>
        <v>0</v>
      </c>
      <c r="Q1613" s="148">
        <f>+PROVEEDORES[[#This Row],[ReteFuente
%]]*(PROVEEDORES[[#This Row],[SUBTOTAL]])</f>
        <v>0</v>
      </c>
      <c r="R1613" s="150">
        <f>+PROVEEDORES[[#This Row],[SUBTOTAL]]+PROVEEDORES[[#This Row],[IVA 19%]]-PROVEEDORES[[#This Row],[Descuento
$]]-PROVEEDORES[[#This Row],[ReteFuente
$]]</f>
        <v>1300000</v>
      </c>
      <c r="S161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3" s="135">
        <f ca="1">+IF(PROVEEDORES[[#This Row],[FECHA DE PAGO]]=0,TODAY()-PROVEEDORES[[#This Row],[FECHA DE FACTURACIÓN]]-PROVEEDORES[[#This Row],[PLAZO Días]],0)</f>
        <v>0</v>
      </c>
      <c r="U1613" s="135">
        <f>+VLOOKUP(PROVEEDORES[[#This Row],[PROVEEDOR]],Terceros!$A:$D,4,FALSE)</f>
        <v>0</v>
      </c>
      <c r="V1613" s="135">
        <f>+YEAR(PROVEEDORES[[#This Row],[FECHA DE FACTURACIÓN]])</f>
        <v>2024</v>
      </c>
      <c r="W1613" s="135">
        <f>+MATCH(PROVEEDORES[[#This Row],[año facturado]],Retenciones!$1:$1,0)</f>
        <v>7</v>
      </c>
      <c r="X1613" s="136">
        <f>+VLOOKUP(PROVEEDORES[[#This Row],[ID RETENCION]],Retenciones!$A$1:$O$25,PROVEEDORES[[#This Row],[indicador de columna]],FALSE)</f>
        <v>0</v>
      </c>
      <c r="Y1613" s="137">
        <f>+VLOOKUP(PROVEEDORES[[#This Row],[ID RETENCION]],Retenciones!$A$1:$O$25,2,FALSE)</f>
        <v>0</v>
      </c>
      <c r="Z1613" s="126" t="b">
        <f>+OR(COUNTIF(PROVEEDORES[[#This Row],[PROVEEDOR]],"*"&amp;'Palabra que no opera y Listas d'!$A$2&amp;"*"))</f>
        <v>0</v>
      </c>
    </row>
    <row r="1614" spans="1:26" ht="27.75" customHeight="1" x14ac:dyDescent="0.25">
      <c r="A1614" s="141" t="str">
        <f>+IF(PROVEEDORES[[#This Row],[FECHA DE PAGO]]=PROVEEDORES[[#This Row],[FECHA DE FACTURACIÓN]],"DE CONTADO","CRÉDITO")</f>
        <v>CRÉDITO</v>
      </c>
      <c r="B1614" s="138" t="b">
        <f>+IF((PROVEEDORES[[#This Row],[FECHA DE PAGO]]-PROVEEDORES[[#This Row],[FECHA DE FACTURACIÓN]])&gt;PROVEEDORES[[#This Row],[PLAZO Días]],"PAGO VENCIDO")</f>
        <v>0</v>
      </c>
      <c r="C1614" s="138">
        <f>+VLOOKUP(PROVEEDORES[[#This Row],[PROVEEDOR]],TERCEROS_INFO[#All],2,FALSE)</f>
        <v>30</v>
      </c>
      <c r="D1614" s="139">
        <f>+SUMIFS(PROVEEDORES[Total],PROVEEDORES[PROVEEDOR],PROVEEDORES[[#This Row],[PROVEEDOR]],PROVEEDORES[FECHA DE PAGO],"")</f>
        <v>1460000.29</v>
      </c>
      <c r="E1614" s="140"/>
      <c r="F1614" s="138" t="str">
        <f>+VLOOKUP(PROVEEDORES[[#This Row],[PROVEEDOR]],
                       Terceros!$A:$F,
                       5,
                       FALSE)</f>
        <v>yermingg@hotmail.com;girlesa.ruiz@servipilas.com;joriescobar64@gmail.com</v>
      </c>
      <c r="G1614" s="127"/>
      <c r="H1614" s="123" t="s">
        <v>131</v>
      </c>
      <c r="I1614" s="127">
        <v>45404</v>
      </c>
      <c r="J1614" s="124" t="s">
        <v>1772</v>
      </c>
      <c r="K1614" s="124" t="s">
        <v>1530</v>
      </c>
      <c r="L1614" s="124"/>
      <c r="M1614" s="125">
        <v>1226891</v>
      </c>
      <c r="N1614" s="148">
        <v>233109.29</v>
      </c>
      <c r="O1614" s="148">
        <v>0</v>
      </c>
      <c r="P1614" s="149">
        <v>0</v>
      </c>
      <c r="Q1614" s="148">
        <v>0</v>
      </c>
      <c r="R1614" s="150">
        <v>1460000.29</v>
      </c>
      <c r="S1614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14" s="135">
        <f ca="1">+IF(PROVEEDORES[[#This Row],[FECHA DE PAGO]]=0,TODAY()-PROVEEDORES[[#This Row],[FECHA DE FACTURACIÓN]]-PROVEEDORES[[#This Row],[PLAZO Días]],0)</f>
        <v>13</v>
      </c>
      <c r="U1614" s="135" t="str">
        <f>+VLOOKUP(PROVEEDORES[[#This Row],[PROVEEDOR]],Terceros!$A:$D,4,FALSE)</f>
        <v>2,5% con base</v>
      </c>
      <c r="V1614" s="135">
        <f>+YEAR(PROVEEDORES[[#This Row],[FECHA DE FACTURACIÓN]])</f>
        <v>2024</v>
      </c>
      <c r="W1614" s="135">
        <f>+MATCH(PROVEEDORES[[#This Row],[año facturado]],Retenciones!$1:$1,0)</f>
        <v>7</v>
      </c>
      <c r="X1614" s="136">
        <f>+VLOOKUP(PROVEEDORES[[#This Row],[ID RETENCION]],Retenciones!$A$1:$O$25,PROVEEDORES[[#This Row],[indicador de columna]],FALSE)</f>
        <v>1271000</v>
      </c>
      <c r="Y1614" s="137">
        <f>+VLOOKUP(PROVEEDORES[[#This Row],[ID RETENCION]],Retenciones!$A$1:$O$25,2,FALSE)</f>
        <v>2.5000000000000001E-2</v>
      </c>
      <c r="Z1614" s="126" t="b">
        <f>+OR(COUNTIF(PROVEEDORES[[#This Row],[PROVEEDOR]],"*"&amp;'Palabra que no opera y Listas d'!$A$2&amp;"*"))</f>
        <v>0</v>
      </c>
    </row>
    <row r="1615" spans="1:26" ht="27.75" customHeight="1" x14ac:dyDescent="0.25">
      <c r="A1615" s="141" t="str">
        <f>+IF(PROVEEDORES[[#This Row],[FECHA DE PAGO]]=PROVEEDORES[[#This Row],[FECHA DE FACTURACIÓN]],"DE CONTADO","CRÉDITO")</f>
        <v>CRÉDITO</v>
      </c>
      <c r="B1615" s="138" t="b">
        <f>+IF((PROVEEDORES[[#This Row],[FECHA DE PAGO]]-PROVEEDORES[[#This Row],[FECHA DE FACTURACIÓN]])&gt;PROVEEDORES[[#This Row],[PLAZO Días]],"PAGO VENCIDO")</f>
        <v>0</v>
      </c>
      <c r="C1615" s="138">
        <f>+VLOOKUP(PROVEEDORES[[#This Row],[PROVEEDOR]],TERCEROS_INFO[#All],2,FALSE)</f>
        <v>60</v>
      </c>
      <c r="D1615" s="139">
        <f>+SUMIFS(PROVEEDORES[Total],PROVEEDORES[PROVEEDOR],PROVEEDORES[[#This Row],[PROVEEDOR]],PROVEEDORES[FECHA DE PAGO],"")</f>
        <v>1730482</v>
      </c>
      <c r="E1615" s="140"/>
      <c r="F1615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15" s="127"/>
      <c r="H1615" s="123" t="s">
        <v>222</v>
      </c>
      <c r="I1615" s="127">
        <v>45427</v>
      </c>
      <c r="J1615" s="124">
        <v>2035</v>
      </c>
      <c r="K1615" s="124" t="s">
        <v>504</v>
      </c>
      <c r="L1615" s="124"/>
      <c r="M1615" s="125">
        <v>643188</v>
      </c>
      <c r="N1615" s="148">
        <f>+(PROVEEDORES[[#This Row],[SUBTOTAL]])*VLOOKUP(PROVEEDORES[[#This Row],[PROVEEDOR]],TERCEROS_INFO[#All],3,FALSE)</f>
        <v>0</v>
      </c>
      <c r="O1615" s="148">
        <f>+'Palabra que no opera y Listas d'!$D$2</f>
        <v>0</v>
      </c>
      <c r="P1615" s="149">
        <f>+IF(PROVEEDORES[[#This Row],[SUBTOTAL]]&lt;PROVEEDORES[[#This Row],[base retencion]],0,PROVEEDORES[[#This Row],[retención aplicada]])</f>
        <v>0</v>
      </c>
      <c r="Q1615" s="148">
        <f>+PROVEEDORES[[#This Row],[ReteFuente
%]]*(PROVEEDORES[[#This Row],[SUBTOTAL]])</f>
        <v>0</v>
      </c>
      <c r="R1615" s="150">
        <f>+PROVEEDORES[[#This Row],[SUBTOTAL]]+PROVEEDORES[[#This Row],[IVA 19%]]-PROVEEDORES[[#This Row],[Descuento
$]]-PROVEEDORES[[#This Row],[ReteFuente
$]]</f>
        <v>643188</v>
      </c>
      <c r="S1615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15" s="135">
        <f ca="1">+IF(PROVEEDORES[[#This Row],[FECHA DE PAGO]]=0,TODAY()-PROVEEDORES[[#This Row],[FECHA DE FACTURACIÓN]]-PROVEEDORES[[#This Row],[PLAZO Días]],0)</f>
        <v>-40</v>
      </c>
      <c r="U1615" s="135">
        <f>+VLOOKUP(PROVEEDORES[[#This Row],[PROVEEDOR]],Terceros!$A:$D,4,FALSE)</f>
        <v>0</v>
      </c>
      <c r="V1615" s="135">
        <f>+YEAR(PROVEEDORES[[#This Row],[FECHA DE FACTURACIÓN]])</f>
        <v>2024</v>
      </c>
      <c r="W1615" s="135">
        <f>+MATCH(PROVEEDORES[[#This Row],[año facturado]],Retenciones!$1:$1,0)</f>
        <v>7</v>
      </c>
      <c r="X1615" s="136">
        <f>+VLOOKUP(PROVEEDORES[[#This Row],[ID RETENCION]],Retenciones!$A$1:$O$25,PROVEEDORES[[#This Row],[indicador de columna]],FALSE)</f>
        <v>0</v>
      </c>
      <c r="Y1615" s="137">
        <f>+VLOOKUP(PROVEEDORES[[#This Row],[ID RETENCION]],Retenciones!$A$1:$O$25,2,FALSE)</f>
        <v>0</v>
      </c>
      <c r="Z1615" s="126" t="b">
        <f>+OR(COUNTIF(PROVEEDORES[[#This Row],[PROVEEDOR]],"*"&amp;'Palabra que no opera y Listas d'!$A$2&amp;"*"))</f>
        <v>0</v>
      </c>
    </row>
    <row r="1616" spans="1:26" ht="27.75" customHeight="1" x14ac:dyDescent="0.25">
      <c r="A1616" s="141" t="str">
        <f>+IF(PROVEEDORES[[#This Row],[FECHA DE PAGO]]=PROVEEDORES[[#This Row],[FECHA DE FACTURACIÓN]],"DE CONTADO","CRÉDITO")</f>
        <v>CRÉDITO</v>
      </c>
      <c r="B1616" s="138" t="b">
        <f>+IF((PROVEEDORES[[#This Row],[FECHA DE PAGO]]-PROVEEDORES[[#This Row],[FECHA DE FACTURACIÓN]])&gt;PROVEEDORES[[#This Row],[PLAZO Días]],"PAGO VENCIDO")</f>
        <v>0</v>
      </c>
      <c r="C1616" s="138">
        <f>+VLOOKUP(PROVEEDORES[[#This Row],[PROVEEDOR]],TERCEROS_INFO[#All],2,FALSE)</f>
        <v>30</v>
      </c>
      <c r="D1616" s="139">
        <f>+SUMIFS(PROVEEDORES[Total],PROVEEDORES[PROVEEDOR],PROVEEDORES[[#This Row],[PROVEEDOR]],PROVEEDORES[FECHA DE PAGO],"")</f>
        <v>0</v>
      </c>
      <c r="E1616" s="140"/>
      <c r="F1616" s="138">
        <f>+VLOOKUP(PROVEEDORES[[#This Row],[PROVEEDOR]],
                       Terceros!$A:$F,
                       5,
                       FALSE)</f>
        <v>0</v>
      </c>
      <c r="G1616" s="127">
        <v>45415</v>
      </c>
      <c r="H1616" s="123" t="s">
        <v>836</v>
      </c>
      <c r="I1616" s="127">
        <v>45412</v>
      </c>
      <c r="J1616" s="124" t="s">
        <v>1895</v>
      </c>
      <c r="K1616" s="124" t="s">
        <v>504</v>
      </c>
      <c r="L1616" s="124" t="s">
        <v>1395</v>
      </c>
      <c r="M1616" s="125">
        <v>521000</v>
      </c>
      <c r="N1616" s="148">
        <f>+(PROVEEDORES[[#This Row],[SUBTOTAL]])*VLOOKUP(PROVEEDORES[[#This Row],[PROVEEDOR]],TERCEROS_INFO[#All],3,FALSE)</f>
        <v>0</v>
      </c>
      <c r="O1616" s="148">
        <f>+'Palabra que no opera y Listas d'!$D$2</f>
        <v>0</v>
      </c>
      <c r="P1616" s="149">
        <f>+IF(PROVEEDORES[[#This Row],[SUBTOTAL]]&lt;PROVEEDORES[[#This Row],[base retencion]],0,PROVEEDORES[[#This Row],[retención aplicada]])</f>
        <v>0</v>
      </c>
      <c r="Q1616" s="148">
        <f>+PROVEEDORES[[#This Row],[ReteFuente
%]]*(PROVEEDORES[[#This Row],[SUBTOTAL]])</f>
        <v>0</v>
      </c>
      <c r="R1616" s="150">
        <f>+PROVEEDORES[[#This Row],[SUBTOTAL]]+PROVEEDORES[[#This Row],[IVA 19%]]-PROVEEDORES[[#This Row],[Descuento
$]]-PROVEEDORES[[#This Row],[ReteFuente
$]]</f>
        <v>521000</v>
      </c>
      <c r="S161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6" s="135">
        <f ca="1">+IF(PROVEEDORES[[#This Row],[FECHA DE PAGO]]=0,TODAY()-PROVEEDORES[[#This Row],[FECHA DE FACTURACIÓN]]-PROVEEDORES[[#This Row],[PLAZO Días]],0)</f>
        <v>0</v>
      </c>
      <c r="U1616" s="135">
        <f>+VLOOKUP(PROVEEDORES[[#This Row],[PROVEEDOR]],Terceros!$A:$D,4,FALSE)</f>
        <v>0</v>
      </c>
      <c r="V1616" s="135">
        <f>+YEAR(PROVEEDORES[[#This Row],[FECHA DE FACTURACIÓN]])</f>
        <v>2024</v>
      </c>
      <c r="W1616" s="135">
        <f>+MATCH(PROVEEDORES[[#This Row],[año facturado]],Retenciones!$1:$1,0)</f>
        <v>7</v>
      </c>
      <c r="X1616" s="136">
        <f>+VLOOKUP(PROVEEDORES[[#This Row],[ID RETENCION]],Retenciones!$A$1:$O$25,PROVEEDORES[[#This Row],[indicador de columna]],FALSE)</f>
        <v>0</v>
      </c>
      <c r="Y1616" s="137">
        <f>+VLOOKUP(PROVEEDORES[[#This Row],[ID RETENCION]],Retenciones!$A$1:$O$25,2,FALSE)</f>
        <v>0</v>
      </c>
      <c r="Z1616" s="126" t="b">
        <f>+OR(COUNTIF(PROVEEDORES[[#This Row],[PROVEEDOR]],"*"&amp;'Palabra que no opera y Listas d'!$A$2&amp;"*"))</f>
        <v>0</v>
      </c>
    </row>
    <row r="1617" spans="1:26" ht="27.75" customHeight="1" x14ac:dyDescent="0.25">
      <c r="A1617" s="141" t="str">
        <f>+IF(PROVEEDORES[[#This Row],[FECHA DE PAGO]]=PROVEEDORES[[#This Row],[FECHA DE FACTURACIÓN]],"DE CONTADO","CRÉDITO")</f>
        <v>CRÉDITO</v>
      </c>
      <c r="B1617" s="138" t="str">
        <f>+IF((PROVEEDORES[[#This Row],[FECHA DE PAGO]]-PROVEEDORES[[#This Row],[FECHA DE FACTURACIÓN]])&gt;PROVEEDORES[[#This Row],[PLAZO Días]],"PAGO VENCIDO")</f>
        <v>PAGO VENCIDO</v>
      </c>
      <c r="C1617" s="138">
        <f>+VLOOKUP(PROVEEDORES[[#This Row],[PROVEEDOR]],TERCEROS_INFO[#All],2,FALSE)</f>
        <v>0</v>
      </c>
      <c r="D1617" s="139">
        <f>+SUMIFS(PROVEEDORES[Total],PROVEEDORES[PROVEEDOR],PROVEEDORES[[#This Row],[PROVEEDOR]],PROVEEDORES[FECHA DE PAGO],"")</f>
        <v>0</v>
      </c>
      <c r="E1617" s="140"/>
      <c r="F1617" s="138">
        <f>+VLOOKUP(PROVEEDORES[[#This Row],[PROVEEDOR]],
                       Terceros!$A:$F,
                       5,
                       FALSE)</f>
        <v>0</v>
      </c>
      <c r="G1617" s="127">
        <v>45415</v>
      </c>
      <c r="H1617" s="123" t="s">
        <v>456</v>
      </c>
      <c r="I1617" s="127">
        <v>45384</v>
      </c>
      <c r="J1617" s="124" t="s">
        <v>1293</v>
      </c>
      <c r="K1617" s="124" t="s">
        <v>1530</v>
      </c>
      <c r="L1617" s="124" t="s">
        <v>1395</v>
      </c>
      <c r="M1617" s="125">
        <v>175000</v>
      </c>
      <c r="N1617" s="148">
        <f>+(PROVEEDORES[[#This Row],[SUBTOTAL]])*VLOOKUP(PROVEEDORES[[#This Row],[PROVEEDOR]],TERCEROS_INFO[#All],3,FALSE)</f>
        <v>0</v>
      </c>
      <c r="O1617" s="148">
        <f>+'Palabra que no opera y Listas d'!$D$2</f>
        <v>0</v>
      </c>
      <c r="P1617" s="149">
        <f>+IF(PROVEEDORES[[#This Row],[SUBTOTAL]]&lt;PROVEEDORES[[#This Row],[base retencion]],0,PROVEEDORES[[#This Row],[retención aplicada]])</f>
        <v>0</v>
      </c>
      <c r="Q1617" s="148">
        <f>+PROVEEDORES[[#This Row],[ReteFuente
%]]*(PROVEEDORES[[#This Row],[SUBTOTAL]])</f>
        <v>0</v>
      </c>
      <c r="R1617" s="150">
        <f>+PROVEEDORES[[#This Row],[SUBTOTAL]]+PROVEEDORES[[#This Row],[IVA 19%]]-PROVEEDORES[[#This Row],[Descuento
$]]-PROVEEDORES[[#This Row],[ReteFuente
$]]</f>
        <v>175000</v>
      </c>
      <c r="S161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7" s="135">
        <f ca="1">+IF(PROVEEDORES[[#This Row],[FECHA DE PAGO]]=0,TODAY()-PROVEEDORES[[#This Row],[FECHA DE FACTURACIÓN]]-PROVEEDORES[[#This Row],[PLAZO Días]],0)</f>
        <v>0</v>
      </c>
      <c r="U1617" s="135">
        <f>+VLOOKUP(PROVEEDORES[[#This Row],[PROVEEDOR]],Terceros!$A:$D,4,FALSE)</f>
        <v>0</v>
      </c>
      <c r="V1617" s="135">
        <f>+YEAR(PROVEEDORES[[#This Row],[FECHA DE FACTURACIÓN]])</f>
        <v>2024</v>
      </c>
      <c r="W1617" s="135">
        <f>+MATCH(PROVEEDORES[[#This Row],[año facturado]],Retenciones!$1:$1,0)</f>
        <v>7</v>
      </c>
      <c r="X1617" s="136">
        <f>+VLOOKUP(PROVEEDORES[[#This Row],[ID RETENCION]],Retenciones!$A$1:$O$25,PROVEEDORES[[#This Row],[indicador de columna]],FALSE)</f>
        <v>0</v>
      </c>
      <c r="Y1617" s="137">
        <f>+VLOOKUP(PROVEEDORES[[#This Row],[ID RETENCION]],Retenciones!$A$1:$O$25,2,FALSE)</f>
        <v>0</v>
      </c>
      <c r="Z1617" s="126" t="b">
        <f>+OR(COUNTIF(PROVEEDORES[[#This Row],[PROVEEDOR]],"*"&amp;'Palabra que no opera y Listas d'!$A$2&amp;"*"))</f>
        <v>1</v>
      </c>
    </row>
    <row r="1618" spans="1:26" ht="27.75" customHeight="1" x14ac:dyDescent="0.25">
      <c r="A1618" s="141" t="str">
        <f>+IF(PROVEEDORES[[#This Row],[FECHA DE PAGO]]=PROVEEDORES[[#This Row],[FECHA DE FACTURACIÓN]],"DE CONTADO","CRÉDITO")</f>
        <v>DE CONTADO</v>
      </c>
      <c r="B1618" s="138" t="b">
        <f>+IF((PROVEEDORES[[#This Row],[FECHA DE PAGO]]-PROVEEDORES[[#This Row],[FECHA DE FACTURACIÓN]])&gt;PROVEEDORES[[#This Row],[PLAZO Días]],"PAGO VENCIDO")</f>
        <v>0</v>
      </c>
      <c r="C1618" s="138">
        <f>+VLOOKUP(PROVEEDORES[[#This Row],[PROVEEDOR]],TERCEROS_INFO[#All],2,FALSE)</f>
        <v>30</v>
      </c>
      <c r="D1618" s="139">
        <f>+SUMIFS(PROVEEDORES[Total],PROVEEDORES[PROVEEDOR],PROVEEDORES[[#This Row],[PROVEEDOR]],PROVEEDORES[FECHA DE PAGO],"")</f>
        <v>0</v>
      </c>
      <c r="E1618" s="140"/>
      <c r="F1618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1618" s="127">
        <v>45428</v>
      </c>
      <c r="H1618" s="123" t="s">
        <v>1863</v>
      </c>
      <c r="I1618" s="127">
        <v>45428</v>
      </c>
      <c r="J1618" s="124" t="s">
        <v>1896</v>
      </c>
      <c r="K1618" s="124" t="s">
        <v>1530</v>
      </c>
      <c r="L1618" s="124" t="s">
        <v>1534</v>
      </c>
      <c r="M1618" s="125">
        <v>2706500</v>
      </c>
      <c r="N1618" s="148">
        <f>+(PROVEEDORES[[#This Row],[SUBTOTAL]])*VLOOKUP(PROVEEDORES[[#This Row],[PROVEEDOR]],TERCEROS_INFO[#All],3,FALSE)</f>
        <v>0</v>
      </c>
      <c r="O1618" s="148">
        <f>+'Palabra que no opera y Listas d'!$D$2</f>
        <v>0</v>
      </c>
      <c r="P1618" s="149">
        <f>+IF(PROVEEDORES[[#This Row],[SUBTOTAL]]&lt;PROVEEDORES[[#This Row],[base retencion]],0,PROVEEDORES[[#This Row],[retención aplicada]])</f>
        <v>0</v>
      </c>
      <c r="Q1618" s="148">
        <f>+PROVEEDORES[[#This Row],[ReteFuente
%]]*(PROVEEDORES[[#This Row],[SUBTOTAL]])</f>
        <v>0</v>
      </c>
      <c r="R1618" s="150">
        <f>+PROVEEDORES[[#This Row],[SUBTOTAL]]+PROVEEDORES[[#This Row],[IVA 19%]]-PROVEEDORES[[#This Row],[Descuento
$]]-PROVEEDORES[[#This Row],[ReteFuente
$]]</f>
        <v>2706500</v>
      </c>
      <c r="S161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18" s="135">
        <f ca="1">+IF(PROVEEDORES[[#This Row],[FECHA DE PAGO]]=0,TODAY()-PROVEEDORES[[#This Row],[FECHA DE FACTURACIÓN]]-PROVEEDORES[[#This Row],[PLAZO Días]],0)</f>
        <v>0</v>
      </c>
      <c r="U1618" s="135">
        <f>+VLOOKUP(PROVEEDORES[[#This Row],[PROVEEDOR]],Terceros!$A:$D,4,FALSE)</f>
        <v>0</v>
      </c>
      <c r="V1618" s="135">
        <f>+YEAR(PROVEEDORES[[#This Row],[FECHA DE FACTURACIÓN]])</f>
        <v>2024</v>
      </c>
      <c r="W1618" s="135">
        <f>+MATCH(PROVEEDORES[[#This Row],[año facturado]],Retenciones!$1:$1,0)</f>
        <v>7</v>
      </c>
      <c r="X1618" s="136">
        <f>+VLOOKUP(PROVEEDORES[[#This Row],[ID RETENCION]],Retenciones!$A$1:$O$25,PROVEEDORES[[#This Row],[indicador de columna]],FALSE)</f>
        <v>0</v>
      </c>
      <c r="Y1618" s="137">
        <f>+VLOOKUP(PROVEEDORES[[#This Row],[ID RETENCION]],Retenciones!$A$1:$O$25,2,FALSE)</f>
        <v>0</v>
      </c>
      <c r="Z1618" s="126" t="b">
        <f>+OR(COUNTIF(PROVEEDORES[[#This Row],[PROVEEDOR]],"*"&amp;'Palabra que no opera y Listas d'!$A$2&amp;"*"))</f>
        <v>0</v>
      </c>
    </row>
    <row r="1619" spans="1:26" ht="27.75" customHeight="1" x14ac:dyDescent="0.25">
      <c r="A1619" s="141" t="str">
        <f>+IF(PROVEEDORES[[#This Row],[FECHA DE PAGO]]=PROVEEDORES[[#This Row],[FECHA DE FACTURACIÓN]],"DE CONTADO","CRÉDITO")</f>
        <v>CRÉDITO</v>
      </c>
      <c r="B1619" s="138" t="b">
        <f>+IF((PROVEEDORES[[#This Row],[FECHA DE PAGO]]-PROVEEDORES[[#This Row],[FECHA DE FACTURACIÓN]])&gt;PROVEEDORES[[#This Row],[PLAZO Días]],"PAGO VENCIDO")</f>
        <v>0</v>
      </c>
      <c r="C1619" s="138">
        <f>+VLOOKUP(PROVEEDORES[[#This Row],[PROVEEDOR]],TERCEROS_INFO[#All],2,FALSE)</f>
        <v>60</v>
      </c>
      <c r="D1619" s="139">
        <f>+SUMIFS(PROVEEDORES[Total],PROVEEDORES[PROVEEDOR],PROVEEDORES[[#This Row],[PROVEEDOR]],PROVEEDORES[FECHA DE PAGO],"")</f>
        <v>50353355.590000004</v>
      </c>
      <c r="E1619" s="140"/>
      <c r="F1619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619" s="127"/>
      <c r="H1619" s="123" t="s">
        <v>9</v>
      </c>
      <c r="I1619" s="127">
        <v>45412</v>
      </c>
      <c r="J1619" s="124">
        <v>88665</v>
      </c>
      <c r="K1619" s="124" t="s">
        <v>1530</v>
      </c>
      <c r="L1619" s="124"/>
      <c r="M1619" s="125">
        <v>59226912</v>
      </c>
      <c r="N1619" s="148">
        <f>+(PROVEEDORES[[#This Row],[SUBTOTAL]])*VLOOKUP(PROVEEDORES[[#This Row],[PROVEEDOR]],TERCEROS_INFO[#All],3,FALSE)</f>
        <v>11253113.279999999</v>
      </c>
      <c r="O1619" s="148">
        <f>+'Palabra que no opera y Listas d'!$D$2</f>
        <v>0</v>
      </c>
      <c r="P1619" s="149">
        <f>+IF(PROVEEDORES[[#This Row],[SUBTOTAL]]&lt;PROVEEDORES[[#This Row],[base retencion]],0,PROVEEDORES[[#This Row],[retención aplicada]])</f>
        <v>2.5000000000000001E-2</v>
      </c>
      <c r="Q1619" s="148">
        <f>+PROVEEDORES[[#This Row],[ReteFuente
%]]*(PROVEEDORES[[#This Row],[SUBTOTAL]])</f>
        <v>1480672.8</v>
      </c>
      <c r="R1619" s="150">
        <f>+PROVEEDORES[[#This Row],[SUBTOTAL]]+PROVEEDORES[[#This Row],[IVA 19%]]-PROVEEDORES[[#This Row],[Descuento
$]]-PROVEEDORES[[#This Row],[ReteFuente
$]]-20982644</f>
        <v>48016708.480000004</v>
      </c>
      <c r="S1619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19" s="135">
        <f ca="1">+IF(PROVEEDORES[[#This Row],[FECHA DE PAGO]]=0,TODAY()-PROVEEDORES[[#This Row],[FECHA DE FACTURACIÓN]]-PROVEEDORES[[#This Row],[PLAZO Días]],0)</f>
        <v>-25</v>
      </c>
      <c r="U1619" s="135" t="str">
        <f>+VLOOKUP(PROVEEDORES[[#This Row],[PROVEEDOR]],Terceros!$A:$D,4,FALSE)</f>
        <v>2,5% con base</v>
      </c>
      <c r="V1619" s="135">
        <f>+YEAR(PROVEEDORES[[#This Row],[FECHA DE FACTURACIÓN]])</f>
        <v>2024</v>
      </c>
      <c r="W1619" s="135">
        <f>+MATCH(PROVEEDORES[[#This Row],[año facturado]],Retenciones!$1:$1,0)</f>
        <v>7</v>
      </c>
      <c r="X1619" s="136">
        <f>+VLOOKUP(PROVEEDORES[[#This Row],[ID RETENCION]],Retenciones!$A$1:$O$25,PROVEEDORES[[#This Row],[indicador de columna]],FALSE)</f>
        <v>1271000</v>
      </c>
      <c r="Y1619" s="137">
        <f>+VLOOKUP(PROVEEDORES[[#This Row],[ID RETENCION]],Retenciones!$A$1:$O$25,2,FALSE)</f>
        <v>2.5000000000000001E-2</v>
      </c>
      <c r="Z1619" s="126" t="b">
        <f>+OR(COUNTIF(PROVEEDORES[[#This Row],[PROVEEDOR]],"*"&amp;'Palabra que no opera y Listas d'!$A$2&amp;"*"))</f>
        <v>0</v>
      </c>
    </row>
    <row r="1620" spans="1:26" ht="27.75" customHeight="1" x14ac:dyDescent="0.25">
      <c r="A1620" s="141" t="str">
        <f>+IF(PROVEEDORES[[#This Row],[FECHA DE PAGO]]=PROVEEDORES[[#This Row],[FECHA DE FACTURACIÓN]],"DE CONTADO","CRÉDITO")</f>
        <v>DE CONTADO</v>
      </c>
      <c r="B1620" s="138" t="b">
        <f>+IF((PROVEEDORES[[#This Row],[FECHA DE PAGO]]-PROVEEDORES[[#This Row],[FECHA DE FACTURACIÓN]])&gt;PROVEEDORES[[#This Row],[PLAZO Días]],"PAGO VENCIDO")</f>
        <v>0</v>
      </c>
      <c r="C1620" s="138">
        <f>+VLOOKUP(PROVEEDORES[[#This Row],[PROVEEDOR]],TERCEROS_INFO[#All],2,FALSE)</f>
        <v>30</v>
      </c>
      <c r="D1620" s="139">
        <f>+SUMIFS(PROVEEDORES[Total],PROVEEDORES[PROVEEDOR],PROVEEDORES[[#This Row],[PROVEEDOR]],PROVEEDORES[FECHA DE PAGO],"")</f>
        <v>0</v>
      </c>
      <c r="E1620" s="140"/>
      <c r="F1620" s="138" t="str">
        <f>+VLOOKUP(PROVEEDORES[[#This Row],[PROVEEDOR]],
                       Terceros!$A:$F,
                       5,
                       FALSE)</f>
        <v/>
      </c>
      <c r="G1620" s="127">
        <v>45428</v>
      </c>
      <c r="H1620" s="123" t="s">
        <v>1872</v>
      </c>
      <c r="I1620" s="127">
        <v>45428</v>
      </c>
      <c r="J1620" s="124" t="s">
        <v>1898</v>
      </c>
      <c r="K1620" s="124" t="s">
        <v>504</v>
      </c>
      <c r="L1620" s="124" t="s">
        <v>1533</v>
      </c>
      <c r="M1620" s="125">
        <f>15614000+508000+3133000+483000</f>
        <v>19738000</v>
      </c>
      <c r="N1620" s="148">
        <f>+(PROVEEDORES[[#This Row],[SUBTOTAL]])*VLOOKUP(PROVEEDORES[[#This Row],[PROVEEDOR]],TERCEROS_INFO[#All],3,FALSE)</f>
        <v>0</v>
      </c>
      <c r="O1620" s="148">
        <f>+'Palabra que no opera y Listas d'!$D$2</f>
        <v>0</v>
      </c>
      <c r="P1620" s="149">
        <f>+IF(PROVEEDORES[[#This Row],[SUBTOTAL]]&lt;PROVEEDORES[[#This Row],[base retencion]],0,PROVEEDORES[[#This Row],[retención aplicada]])</f>
        <v>0</v>
      </c>
      <c r="Q1620" s="148">
        <f>+PROVEEDORES[[#This Row],[ReteFuente
%]]*(PROVEEDORES[[#This Row],[SUBTOTAL]])</f>
        <v>0</v>
      </c>
      <c r="R1620" s="150">
        <f>+PROVEEDORES[[#This Row],[SUBTOTAL]]+PROVEEDORES[[#This Row],[IVA 19%]]-PROVEEDORES[[#This Row],[Descuento
$]]-PROVEEDORES[[#This Row],[ReteFuente
$]]</f>
        <v>19738000</v>
      </c>
      <c r="S162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0" s="135">
        <f ca="1">+IF(PROVEEDORES[[#This Row],[FECHA DE PAGO]]=0,TODAY()-PROVEEDORES[[#This Row],[FECHA DE FACTURACIÓN]]-PROVEEDORES[[#This Row],[PLAZO Días]],0)</f>
        <v>0</v>
      </c>
      <c r="U1620" s="135">
        <f>+VLOOKUP(PROVEEDORES[[#This Row],[PROVEEDOR]],Terceros!$A:$D,4,FALSE)</f>
        <v>0</v>
      </c>
      <c r="V1620" s="135">
        <f>+YEAR(PROVEEDORES[[#This Row],[FECHA DE FACTURACIÓN]])</f>
        <v>2024</v>
      </c>
      <c r="W1620" s="135">
        <f>+MATCH(PROVEEDORES[[#This Row],[año facturado]],Retenciones!$1:$1,0)</f>
        <v>7</v>
      </c>
      <c r="X1620" s="136">
        <f>+VLOOKUP(PROVEEDORES[[#This Row],[ID RETENCION]],Retenciones!$A$1:$O$25,PROVEEDORES[[#This Row],[indicador de columna]],FALSE)</f>
        <v>0</v>
      </c>
      <c r="Y1620" s="137">
        <f>+VLOOKUP(PROVEEDORES[[#This Row],[ID RETENCION]],Retenciones!$A$1:$O$25,2,FALSE)</f>
        <v>0</v>
      </c>
      <c r="Z1620" s="126" t="b">
        <f>+OR(COUNTIF(PROVEEDORES[[#This Row],[PROVEEDOR]],"*"&amp;'Palabra que no opera y Listas d'!$A$2&amp;"*"))</f>
        <v>0</v>
      </c>
    </row>
    <row r="1621" spans="1:26" ht="27.75" customHeight="1" x14ac:dyDescent="0.25">
      <c r="A1621" s="141" t="str">
        <f>+IF(PROVEEDORES[[#This Row],[FECHA DE PAGO]]=PROVEEDORES[[#This Row],[FECHA DE FACTURACIÓN]],"DE CONTADO","CRÉDITO")</f>
        <v>CRÉDITO</v>
      </c>
      <c r="B1621" s="138" t="b">
        <f>+IF((PROVEEDORES[[#This Row],[FECHA DE PAGO]]-PROVEEDORES[[#This Row],[FECHA DE FACTURACIÓN]])&gt;PROVEEDORES[[#This Row],[PLAZO Días]],"PAGO VENCIDO")</f>
        <v>0</v>
      </c>
      <c r="C1621" s="138">
        <f>+VLOOKUP(PROVEEDORES[[#This Row],[PROVEEDOR]],TERCEROS_INFO[#All],2,FALSE)</f>
        <v>60</v>
      </c>
      <c r="D1621" s="139">
        <f>+SUMIFS(PROVEEDORES[Total],PROVEEDORES[PROVEEDOR],PROVEEDORES[[#This Row],[PROVEEDOR]],PROVEEDORES[FECHA DE PAGO],"")</f>
        <v>50353355.590000004</v>
      </c>
      <c r="E1621" s="140"/>
      <c r="F1621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621" s="127"/>
      <c r="H1621" s="123" t="s">
        <v>9</v>
      </c>
      <c r="I1621" s="127">
        <v>45412</v>
      </c>
      <c r="J1621" s="124">
        <v>88666</v>
      </c>
      <c r="K1621" s="124" t="s">
        <v>1530</v>
      </c>
      <c r="L1621" s="124"/>
      <c r="M1621" s="125">
        <v>792272</v>
      </c>
      <c r="N1621" s="148">
        <f>+(PROVEEDORES[[#This Row],[SUBTOTAL]])*VLOOKUP(PROVEEDORES[[#This Row],[PROVEEDOR]],TERCEROS_INFO[#All],3,FALSE)</f>
        <v>150531.68</v>
      </c>
      <c r="O1621" s="148">
        <f>+'Palabra que no opera y Listas d'!$D$2</f>
        <v>0</v>
      </c>
      <c r="P1621" s="149">
        <f>+IF(PROVEEDORES[[#This Row],[SUBTOTAL]]&lt;PROVEEDORES[[#This Row],[base retencion]],0,PROVEEDORES[[#This Row],[retención aplicada]])</f>
        <v>0</v>
      </c>
      <c r="Q1621" s="148">
        <f>+PROVEEDORES[[#This Row],[ReteFuente
%]]*(PROVEEDORES[[#This Row],[SUBTOTAL]])</f>
        <v>0</v>
      </c>
      <c r="R1621" s="150">
        <f>+PROVEEDORES[[#This Row],[SUBTOTAL]]+PROVEEDORES[[#This Row],[IVA 19%]]-PROVEEDORES[[#This Row],[Descuento
$]]-PROVEEDORES[[#This Row],[ReteFuente
$]]</f>
        <v>942803.67999999993</v>
      </c>
      <c r="S1621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21" s="135">
        <f ca="1">+IF(PROVEEDORES[[#This Row],[FECHA DE PAGO]]=0,TODAY()-PROVEEDORES[[#This Row],[FECHA DE FACTURACIÓN]]-PROVEEDORES[[#This Row],[PLAZO Días]],0)</f>
        <v>-25</v>
      </c>
      <c r="U1621" s="135" t="str">
        <f>+VLOOKUP(PROVEEDORES[[#This Row],[PROVEEDOR]],Terceros!$A:$D,4,FALSE)</f>
        <v>2,5% con base</v>
      </c>
      <c r="V1621" s="135">
        <f>+YEAR(PROVEEDORES[[#This Row],[FECHA DE FACTURACIÓN]])</f>
        <v>2024</v>
      </c>
      <c r="W1621" s="135">
        <f>+MATCH(PROVEEDORES[[#This Row],[año facturado]],Retenciones!$1:$1,0)</f>
        <v>7</v>
      </c>
      <c r="X1621" s="136">
        <f>+VLOOKUP(PROVEEDORES[[#This Row],[ID RETENCION]],Retenciones!$A$1:$O$25,PROVEEDORES[[#This Row],[indicador de columna]],FALSE)</f>
        <v>1271000</v>
      </c>
      <c r="Y1621" s="137">
        <f>+VLOOKUP(PROVEEDORES[[#This Row],[ID RETENCION]],Retenciones!$A$1:$O$25,2,FALSE)</f>
        <v>2.5000000000000001E-2</v>
      </c>
      <c r="Z1621" s="126" t="b">
        <f>+OR(COUNTIF(PROVEEDORES[[#This Row],[PROVEEDOR]],"*"&amp;'Palabra que no opera y Listas d'!$A$2&amp;"*"))</f>
        <v>0</v>
      </c>
    </row>
    <row r="1622" spans="1:26" ht="27.75" customHeight="1" x14ac:dyDescent="0.25">
      <c r="A1622" s="141" t="str">
        <f>+IF(PROVEEDORES[[#This Row],[FECHA DE PAGO]]=PROVEEDORES[[#This Row],[FECHA DE FACTURACIÓN]],"DE CONTADO","CRÉDITO")</f>
        <v>CRÉDITO</v>
      </c>
      <c r="B1622" s="138" t="b">
        <f>+IF((PROVEEDORES[[#This Row],[FECHA DE PAGO]]-PROVEEDORES[[#This Row],[FECHA DE FACTURACIÓN]])&gt;PROVEEDORES[[#This Row],[PLAZO Días]],"PAGO VENCIDO")</f>
        <v>0</v>
      </c>
      <c r="C1622" s="138">
        <f>+VLOOKUP(PROVEEDORES[[#This Row],[PROVEEDOR]],TERCEROS_INFO[#All],2,FALSE)</f>
        <v>60</v>
      </c>
      <c r="D1622" s="139">
        <f>+SUMIFS(PROVEEDORES[Total],PROVEEDORES[PROVEEDOR],PROVEEDORES[[#This Row],[PROVEEDOR]],PROVEEDORES[FECHA DE PAGO],"")</f>
        <v>50353355.590000004</v>
      </c>
      <c r="E1622" s="140"/>
      <c r="F1622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622" s="127"/>
      <c r="H1622" s="123" t="s">
        <v>9</v>
      </c>
      <c r="I1622" s="127">
        <v>45420</v>
      </c>
      <c r="J1622" s="124" t="s">
        <v>1879</v>
      </c>
      <c r="K1622" s="124" t="s">
        <v>1530</v>
      </c>
      <c r="L1622" s="124"/>
      <c r="M1622" s="125">
        <v>1134453</v>
      </c>
      <c r="N1622" s="148">
        <f>+(PROVEEDORES[[#This Row],[SUBTOTAL]])*VLOOKUP(PROVEEDORES[[#This Row],[PROVEEDOR]],TERCEROS_INFO[#All],3,FALSE)</f>
        <v>215546.07</v>
      </c>
      <c r="O1622" s="148">
        <f>+'Palabra que no opera y Listas d'!$D$2</f>
        <v>0</v>
      </c>
      <c r="P1622" s="149">
        <f>+IF(PROVEEDORES[[#This Row],[SUBTOTAL]]&lt;PROVEEDORES[[#This Row],[base retencion]],0,PROVEEDORES[[#This Row],[retención aplicada]])</f>
        <v>0</v>
      </c>
      <c r="Q1622" s="148">
        <f>+PROVEEDORES[[#This Row],[ReteFuente
%]]*(PROVEEDORES[[#This Row],[SUBTOTAL]])</f>
        <v>0</v>
      </c>
      <c r="R1622" s="150">
        <f>+PROVEEDORES[[#This Row],[SUBTOTAL]]+PROVEEDORES[[#This Row],[IVA 19%]]-PROVEEDORES[[#This Row],[Descuento
$]]-PROVEEDORES[[#This Row],[ReteFuente
$]]</f>
        <v>1349999.07</v>
      </c>
      <c r="S1622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22" s="135">
        <f ca="1">+IF(PROVEEDORES[[#This Row],[FECHA DE PAGO]]=0,TODAY()-PROVEEDORES[[#This Row],[FECHA DE FACTURACIÓN]]-PROVEEDORES[[#This Row],[PLAZO Días]],0)</f>
        <v>-33</v>
      </c>
      <c r="U1622" s="135" t="str">
        <f>+VLOOKUP(PROVEEDORES[[#This Row],[PROVEEDOR]],Terceros!$A:$D,4,FALSE)</f>
        <v>2,5% con base</v>
      </c>
      <c r="V1622" s="135">
        <f>+YEAR(PROVEEDORES[[#This Row],[FECHA DE FACTURACIÓN]])</f>
        <v>2024</v>
      </c>
      <c r="W1622" s="135">
        <f>+MATCH(PROVEEDORES[[#This Row],[año facturado]],Retenciones!$1:$1,0)</f>
        <v>7</v>
      </c>
      <c r="X1622" s="136">
        <f>+VLOOKUP(PROVEEDORES[[#This Row],[ID RETENCION]],Retenciones!$A$1:$O$25,PROVEEDORES[[#This Row],[indicador de columna]],FALSE)</f>
        <v>1271000</v>
      </c>
      <c r="Y1622" s="137">
        <f>+VLOOKUP(PROVEEDORES[[#This Row],[ID RETENCION]],Retenciones!$A$1:$O$25,2,FALSE)</f>
        <v>2.5000000000000001E-2</v>
      </c>
      <c r="Z1622" s="126" t="b">
        <f>+OR(COUNTIF(PROVEEDORES[[#This Row],[PROVEEDOR]],"*"&amp;'Palabra que no opera y Listas d'!$A$2&amp;"*"))</f>
        <v>0</v>
      </c>
    </row>
    <row r="1623" spans="1:26" ht="27.75" customHeight="1" x14ac:dyDescent="0.25">
      <c r="A1623" s="141" t="str">
        <f>+IF(PROVEEDORES[[#This Row],[FECHA DE PAGO]]=PROVEEDORES[[#This Row],[FECHA DE FACTURACIÓN]],"DE CONTADO","CRÉDITO")</f>
        <v>CRÉDITO</v>
      </c>
      <c r="B1623" s="138" t="b">
        <f>+IF((PROVEEDORES[[#This Row],[FECHA DE PAGO]]-PROVEEDORES[[#This Row],[FECHA DE FACTURACIÓN]])&gt;PROVEEDORES[[#This Row],[PLAZO Días]],"PAGO VENCIDO")</f>
        <v>0</v>
      </c>
      <c r="C1623" s="138">
        <f>+VLOOKUP(PROVEEDORES[[#This Row],[PROVEEDOR]],TERCEROS_INFO[#All],2,FALSE)</f>
        <v>60</v>
      </c>
      <c r="D1623" s="139">
        <f>+SUMIFS(PROVEEDORES[Total],PROVEEDORES[PROVEEDOR],PROVEEDORES[[#This Row],[PROVEEDOR]],PROVEEDORES[FECHA DE PAGO],"")</f>
        <v>50353355.590000004</v>
      </c>
      <c r="E1623" s="140"/>
      <c r="F1623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623" s="127"/>
      <c r="H1623" s="123" t="s">
        <v>9</v>
      </c>
      <c r="I1623" s="127">
        <v>45420</v>
      </c>
      <c r="J1623" s="124" t="s">
        <v>1880</v>
      </c>
      <c r="K1623" s="124" t="s">
        <v>1530</v>
      </c>
      <c r="L1623" s="124"/>
      <c r="M1623" s="125">
        <v>18422</v>
      </c>
      <c r="N1623" s="148">
        <f>+(PROVEEDORES[[#This Row],[SUBTOTAL]])*VLOOKUP(PROVEEDORES[[#This Row],[PROVEEDOR]],TERCEROS_INFO[#All],3,FALSE)</f>
        <v>3500.18</v>
      </c>
      <c r="O1623" s="148">
        <f>+'Palabra que no opera y Listas d'!$D$2</f>
        <v>0</v>
      </c>
      <c r="P1623" s="149">
        <f>+IF(PROVEEDORES[[#This Row],[SUBTOTAL]]&lt;PROVEEDORES[[#This Row],[base retencion]],0,PROVEEDORES[[#This Row],[retención aplicada]])</f>
        <v>0</v>
      </c>
      <c r="Q1623" s="148">
        <f>+PROVEEDORES[[#This Row],[ReteFuente
%]]*(PROVEEDORES[[#This Row],[SUBTOTAL]])</f>
        <v>0</v>
      </c>
      <c r="R1623" s="150">
        <f>+PROVEEDORES[[#This Row],[SUBTOTAL]]+PROVEEDORES[[#This Row],[IVA 19%]]-PROVEEDORES[[#This Row],[Descuento
$]]-PROVEEDORES[[#This Row],[ReteFuente
$]]</f>
        <v>21922.18</v>
      </c>
      <c r="S1623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23" s="135">
        <f ca="1">+IF(PROVEEDORES[[#This Row],[FECHA DE PAGO]]=0,TODAY()-PROVEEDORES[[#This Row],[FECHA DE FACTURACIÓN]]-PROVEEDORES[[#This Row],[PLAZO Días]],0)</f>
        <v>-33</v>
      </c>
      <c r="U1623" s="135" t="str">
        <f>+VLOOKUP(PROVEEDORES[[#This Row],[PROVEEDOR]],Terceros!$A:$D,4,FALSE)</f>
        <v>2,5% con base</v>
      </c>
      <c r="V1623" s="135">
        <f>+YEAR(PROVEEDORES[[#This Row],[FECHA DE FACTURACIÓN]])</f>
        <v>2024</v>
      </c>
      <c r="W1623" s="135">
        <f>+MATCH(PROVEEDORES[[#This Row],[año facturado]],Retenciones!$1:$1,0)</f>
        <v>7</v>
      </c>
      <c r="X1623" s="136">
        <f>+VLOOKUP(PROVEEDORES[[#This Row],[ID RETENCION]],Retenciones!$A$1:$O$25,PROVEEDORES[[#This Row],[indicador de columna]],FALSE)</f>
        <v>1271000</v>
      </c>
      <c r="Y1623" s="137">
        <f>+VLOOKUP(PROVEEDORES[[#This Row],[ID RETENCION]],Retenciones!$A$1:$O$25,2,FALSE)</f>
        <v>2.5000000000000001E-2</v>
      </c>
      <c r="Z1623" s="126" t="b">
        <f>+OR(COUNTIF(PROVEEDORES[[#This Row],[PROVEEDOR]],"*"&amp;'Palabra que no opera y Listas d'!$A$2&amp;"*"))</f>
        <v>0</v>
      </c>
    </row>
    <row r="1624" spans="1:26" ht="27.75" customHeight="1" x14ac:dyDescent="0.25">
      <c r="A1624" s="141" t="str">
        <f>+IF(PROVEEDORES[[#This Row],[FECHA DE PAGO]]=PROVEEDORES[[#This Row],[FECHA DE FACTURACIÓN]],"DE CONTADO","CRÉDITO")</f>
        <v>CRÉDITO</v>
      </c>
      <c r="B1624" s="138" t="b">
        <f>+IF((PROVEEDORES[[#This Row],[FECHA DE PAGO]]-PROVEEDORES[[#This Row],[FECHA DE FACTURACIÓN]])&gt;PROVEEDORES[[#This Row],[PLAZO Días]],"PAGO VENCIDO")</f>
        <v>0</v>
      </c>
      <c r="C1624" s="138">
        <f>+VLOOKUP(PROVEEDORES[[#This Row],[PROVEEDOR]],TERCEROS_INFO[#All],2,FALSE)</f>
        <v>30</v>
      </c>
      <c r="D1624" s="139">
        <f>+SUMIFS(PROVEEDORES[Total],PROVEEDORES[PROVEEDOR],PROVEEDORES[[#This Row],[PROVEEDOR]],PROVEEDORES[FECHA DE PAGO],"")</f>
        <v>0</v>
      </c>
      <c r="E1624" s="140"/>
      <c r="F1624" s="138" t="str">
        <f>+VLOOKUP(PROVEEDORES[[#This Row],[PROVEEDOR]],
                       Terceros!$A:$F,
                       5,
                       FALSE)</f>
        <v>administracion@sapian.com.co;girlesa.ruiz@servipilas.com;joriescobar64@gmail.com</v>
      </c>
      <c r="G1624" s="127">
        <v>45429</v>
      </c>
      <c r="H1624" s="123" t="s">
        <v>394</v>
      </c>
      <c r="I1624" s="127">
        <v>45414</v>
      </c>
      <c r="J1624" s="124" t="s">
        <v>1902</v>
      </c>
      <c r="K1624" s="124" t="s">
        <v>1530</v>
      </c>
      <c r="L1624" s="124" t="s">
        <v>1534</v>
      </c>
      <c r="M1624" s="125">
        <v>266218</v>
      </c>
      <c r="N1624" s="148">
        <f>+(PROVEEDORES[[#This Row],[SUBTOTAL]])*VLOOKUP(PROVEEDORES[[#This Row],[PROVEEDOR]],TERCEROS_INFO[#All],3,FALSE)</f>
        <v>50581.42</v>
      </c>
      <c r="O1624" s="148">
        <f>+'Palabra que no opera y Listas d'!$D$2</f>
        <v>0</v>
      </c>
      <c r="P1624" s="149">
        <f>+IF(PROVEEDORES[[#This Row],[SUBTOTAL]]&lt;PROVEEDORES[[#This Row],[base retencion]],0,PROVEEDORES[[#This Row],[retención aplicada]])</f>
        <v>3.5000000000000003E-2</v>
      </c>
      <c r="Q1624" s="148">
        <f>+PROVEEDORES[[#This Row],[ReteFuente
%]]*(PROVEEDORES[[#This Row],[SUBTOTAL]])</f>
        <v>9317.630000000001</v>
      </c>
      <c r="R1624" s="150">
        <f>+PROVEEDORES[[#This Row],[SUBTOTAL]]+PROVEEDORES[[#This Row],[IVA 19%]]-PROVEEDORES[[#This Row],[Descuento
$]]-PROVEEDORES[[#This Row],[ReteFuente
$]]</f>
        <v>307481.78999999998</v>
      </c>
      <c r="S162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4" s="135">
        <f ca="1">+IF(PROVEEDORES[[#This Row],[FECHA DE PAGO]]=0,TODAY()-PROVEEDORES[[#This Row],[FECHA DE FACTURACIÓN]]-PROVEEDORES[[#This Row],[PLAZO Días]],0)</f>
        <v>0</v>
      </c>
      <c r="U1624" s="135" t="str">
        <f>+VLOOKUP(PROVEEDORES[[#This Row],[PROVEEDOR]],Terceros!$A:$D,4,FALSE)</f>
        <v>3,5% sin base</v>
      </c>
      <c r="V1624" s="135">
        <f>+YEAR(PROVEEDORES[[#This Row],[FECHA DE FACTURACIÓN]])</f>
        <v>2024</v>
      </c>
      <c r="W1624" s="135">
        <f>+MATCH(PROVEEDORES[[#This Row],[año facturado]],Retenciones!$1:$1,0)</f>
        <v>7</v>
      </c>
      <c r="X1624" s="136">
        <f>+VLOOKUP(PROVEEDORES[[#This Row],[ID RETENCION]],Retenciones!$A$1:$O$25,PROVEEDORES[[#This Row],[indicador de columna]],FALSE)</f>
        <v>0</v>
      </c>
      <c r="Y1624" s="137">
        <f>+VLOOKUP(PROVEEDORES[[#This Row],[ID RETENCION]],Retenciones!$A$1:$O$25,2,FALSE)</f>
        <v>3.5000000000000003E-2</v>
      </c>
      <c r="Z1624" s="126" t="b">
        <f>+OR(COUNTIF(PROVEEDORES[[#This Row],[PROVEEDOR]],"*"&amp;'Palabra que no opera y Listas d'!$A$2&amp;"*"))</f>
        <v>1</v>
      </c>
    </row>
    <row r="1625" spans="1:26" ht="27.75" customHeight="1" x14ac:dyDescent="0.25">
      <c r="A1625" s="141" t="str">
        <f>+IF(PROVEEDORES[[#This Row],[FECHA DE PAGO]]=PROVEEDORES[[#This Row],[FECHA DE FACTURACIÓN]],"DE CONTADO","CRÉDITO")</f>
        <v>CRÉDITO</v>
      </c>
      <c r="B1625" s="138" t="str">
        <f>+IF((PROVEEDORES[[#This Row],[FECHA DE PAGO]]-PROVEEDORES[[#This Row],[FECHA DE FACTURACIÓN]])&gt;PROVEEDORES[[#This Row],[PLAZO Días]],"PAGO VENCIDO")</f>
        <v>PAGO VENCIDO</v>
      </c>
      <c r="C1625" s="138">
        <f>+VLOOKUP(PROVEEDORES[[#This Row],[PROVEEDOR]],TERCEROS_INFO[#All],2,FALSE)</f>
        <v>13</v>
      </c>
      <c r="D1625" s="139">
        <f>+SUMIFS(PROVEEDORES[Total],PROVEEDORES[PROVEEDOR],PROVEEDORES[[#This Row],[PROVEEDOR]],PROVEEDORES[FECHA DE PAGO],"")</f>
        <v>0</v>
      </c>
      <c r="E1625" s="140"/>
      <c r="F1625" s="138">
        <f>+VLOOKUP(PROVEEDORES[[#This Row],[PROVEEDOR]],
                       Terceros!$A:$F,
                       5,
                       FALSE)</f>
        <v>0</v>
      </c>
      <c r="G1625" s="127">
        <v>45429</v>
      </c>
      <c r="H1625" s="123" t="s">
        <v>389</v>
      </c>
      <c r="I1625" s="127">
        <v>45413</v>
      </c>
      <c r="J1625" s="124"/>
      <c r="K1625" s="124" t="s">
        <v>1530</v>
      </c>
      <c r="L1625" s="124" t="s">
        <v>1534</v>
      </c>
      <c r="M1625" s="125">
        <v>858511</v>
      </c>
      <c r="N1625" s="148">
        <f>+(PROVEEDORES[[#This Row],[SUBTOTAL]])*VLOOKUP(PROVEEDORES[[#This Row],[PROVEEDOR]],TERCEROS_INFO[#All],3,FALSE)</f>
        <v>0</v>
      </c>
      <c r="O1625" s="148">
        <f>+'Palabra que no opera y Listas d'!$D$2</f>
        <v>0</v>
      </c>
      <c r="P1625" s="149">
        <f>+IF(PROVEEDORES[[#This Row],[SUBTOTAL]]&lt;PROVEEDORES[[#This Row],[base retencion]],0,PROVEEDORES[[#This Row],[retención aplicada]])</f>
        <v>0</v>
      </c>
      <c r="Q1625" s="148">
        <f>+PROVEEDORES[[#This Row],[ReteFuente
%]]*(PROVEEDORES[[#This Row],[SUBTOTAL]])</f>
        <v>0</v>
      </c>
      <c r="R1625" s="150">
        <f>+PROVEEDORES[[#This Row],[SUBTOTAL]]+PROVEEDORES[[#This Row],[IVA 19%]]-PROVEEDORES[[#This Row],[Descuento
$]]-PROVEEDORES[[#This Row],[ReteFuente
$]]</f>
        <v>858511</v>
      </c>
      <c r="S1625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5" s="135">
        <f ca="1">+IF(PROVEEDORES[[#This Row],[FECHA DE PAGO]]=0,TODAY()-PROVEEDORES[[#This Row],[FECHA DE FACTURACIÓN]]-PROVEEDORES[[#This Row],[PLAZO Días]],0)</f>
        <v>0</v>
      </c>
      <c r="U1625" s="135">
        <f>+VLOOKUP(PROVEEDORES[[#This Row],[PROVEEDOR]],Terceros!$A:$D,4,FALSE)</f>
        <v>0</v>
      </c>
      <c r="V1625" s="135">
        <f>+YEAR(PROVEEDORES[[#This Row],[FECHA DE FACTURACIÓN]])</f>
        <v>2024</v>
      </c>
      <c r="W1625" s="135">
        <f>+MATCH(PROVEEDORES[[#This Row],[año facturado]],Retenciones!$1:$1,0)</f>
        <v>7</v>
      </c>
      <c r="X1625" s="136">
        <f>+VLOOKUP(PROVEEDORES[[#This Row],[ID RETENCION]],Retenciones!$A$1:$O$25,PROVEEDORES[[#This Row],[indicador de columna]],FALSE)</f>
        <v>0</v>
      </c>
      <c r="Y1625" s="137">
        <f>+VLOOKUP(PROVEEDORES[[#This Row],[ID RETENCION]],Retenciones!$A$1:$O$25,2,FALSE)</f>
        <v>0</v>
      </c>
      <c r="Z1625" s="126" t="b">
        <f>+OR(COUNTIF(PROVEEDORES[[#This Row],[PROVEEDOR]],"*"&amp;'Palabra que no opera y Listas d'!$A$2&amp;"*"))</f>
        <v>1</v>
      </c>
    </row>
    <row r="1626" spans="1:26" ht="27.75" customHeight="1" x14ac:dyDescent="0.25">
      <c r="A1626" s="141" t="str">
        <f>+IF(PROVEEDORES[[#This Row],[FECHA DE PAGO]]=PROVEEDORES[[#This Row],[FECHA DE FACTURACIÓN]],"DE CONTADO","CRÉDITO")</f>
        <v>CRÉDITO</v>
      </c>
      <c r="B1626" s="138" t="b">
        <f>+IF((PROVEEDORES[[#This Row],[FECHA DE PAGO]]-PROVEEDORES[[#This Row],[FECHA DE FACTURACIÓN]])&gt;PROVEEDORES[[#This Row],[PLAZO Días]],"PAGO VENCIDO")</f>
        <v>0</v>
      </c>
      <c r="C1626" s="138">
        <f>+VLOOKUP(PROVEEDORES[[#This Row],[PROVEEDOR]],TERCEROS_INFO[#All],2,FALSE)</f>
        <v>30</v>
      </c>
      <c r="D1626" s="139">
        <f>+SUMIFS(PROVEEDORES[Total],PROVEEDORES[PROVEEDOR],PROVEEDORES[[#This Row],[PROVEEDOR]],PROVEEDORES[FECHA DE PAGO],"")</f>
        <v>0</v>
      </c>
      <c r="E1626" s="140"/>
      <c r="F1626" s="138" t="str">
        <f>+VLOOKUP(PROVEEDORES[[#This Row],[PROVEEDOR]],
                       Terceros!$A:$F,
                       5,
                       FALSE)</f>
        <v>facturacion@losmolinos.com.co</v>
      </c>
      <c r="G1626" s="127">
        <v>45429</v>
      </c>
      <c r="H1626" s="123" t="s">
        <v>376</v>
      </c>
      <c r="I1626" s="127">
        <v>45413</v>
      </c>
      <c r="J1626" s="124" t="s">
        <v>1903</v>
      </c>
      <c r="K1626" s="124" t="s">
        <v>1530</v>
      </c>
      <c r="L1626" s="124" t="s">
        <v>1533</v>
      </c>
      <c r="M1626" s="125">
        <v>350768</v>
      </c>
      <c r="N1626" s="148">
        <f>+(PROVEEDORES[[#This Row],[SUBTOTAL]])*VLOOKUP(PROVEEDORES[[#This Row],[PROVEEDOR]],TERCEROS_INFO[#All],3,FALSE)</f>
        <v>0</v>
      </c>
      <c r="O1626" s="148">
        <v>10335</v>
      </c>
      <c r="P1626" s="149">
        <f>+IF(PROVEEDORES[[#This Row],[SUBTOTAL]]&lt;PROVEEDORES[[#This Row],[base retencion]],0,PROVEEDORES[[#This Row],[retención aplicada]])</f>
        <v>0</v>
      </c>
      <c r="Q1626" s="148">
        <f>+PROVEEDORES[[#This Row],[ReteFuente
%]]*(PROVEEDORES[[#This Row],[SUBTOTAL]])</f>
        <v>0</v>
      </c>
      <c r="R1626" s="150">
        <f>+PROVEEDORES[[#This Row],[SUBTOTAL]]+PROVEEDORES[[#This Row],[IVA 19%]]-PROVEEDORES[[#This Row],[Descuento
$]]-PROVEEDORES[[#This Row],[ReteFuente
$]]</f>
        <v>340433</v>
      </c>
      <c r="S162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6" s="135">
        <f ca="1">+IF(PROVEEDORES[[#This Row],[FECHA DE PAGO]]=0,TODAY()-PROVEEDORES[[#This Row],[FECHA DE FACTURACIÓN]]-PROVEEDORES[[#This Row],[PLAZO Días]],0)</f>
        <v>0</v>
      </c>
      <c r="U1626" s="135">
        <f>+VLOOKUP(PROVEEDORES[[#This Row],[PROVEEDOR]],Terceros!$A:$D,4,FALSE)</f>
        <v>0</v>
      </c>
      <c r="V1626" s="135">
        <f>+YEAR(PROVEEDORES[[#This Row],[FECHA DE FACTURACIÓN]])</f>
        <v>2024</v>
      </c>
      <c r="W1626" s="135">
        <f>+MATCH(PROVEEDORES[[#This Row],[año facturado]],Retenciones!$1:$1,0)</f>
        <v>7</v>
      </c>
      <c r="X1626" s="136">
        <f>+VLOOKUP(PROVEEDORES[[#This Row],[ID RETENCION]],Retenciones!$A$1:$O$25,PROVEEDORES[[#This Row],[indicador de columna]],FALSE)</f>
        <v>0</v>
      </c>
      <c r="Y1626" s="137">
        <f>+VLOOKUP(PROVEEDORES[[#This Row],[ID RETENCION]],Retenciones!$A$1:$O$25,2,FALSE)</f>
        <v>0</v>
      </c>
      <c r="Z1626" s="126" t="b">
        <f>+OR(COUNTIF(PROVEEDORES[[#This Row],[PROVEEDOR]],"*"&amp;'Palabra que no opera y Listas d'!$A$2&amp;"*"))</f>
        <v>1</v>
      </c>
    </row>
    <row r="1627" spans="1:26" ht="27.75" customHeight="1" x14ac:dyDescent="0.25">
      <c r="A1627" s="141" t="str">
        <f>+IF(PROVEEDORES[[#This Row],[FECHA DE PAGO]]=PROVEEDORES[[#This Row],[FECHA DE FACTURACIÓN]],"DE CONTADO","CRÉDITO")</f>
        <v>CRÉDITO</v>
      </c>
      <c r="B1627" s="138" t="b">
        <f>+IF((PROVEEDORES[[#This Row],[FECHA DE PAGO]]-PROVEEDORES[[#This Row],[FECHA DE FACTURACIÓN]])&gt;PROVEEDORES[[#This Row],[PLAZO Días]],"PAGO VENCIDO")</f>
        <v>0</v>
      </c>
      <c r="C1627" s="138">
        <f>+VLOOKUP(PROVEEDORES[[#This Row],[PROVEEDOR]],TERCEROS_INFO[#All],2,FALSE)</f>
        <v>30</v>
      </c>
      <c r="D1627" s="139">
        <f>+SUMIFS(PROVEEDORES[Total],PROVEEDORES[PROVEEDOR],PROVEEDORES[[#This Row],[PROVEEDOR]],PROVEEDORES[FECHA DE PAGO],"")</f>
        <v>0</v>
      </c>
      <c r="E1627" s="140"/>
      <c r="F1627" s="138">
        <f>+VLOOKUP(PROVEEDORES[[#This Row],[PROVEEDOR]],
                       Terceros!$A:$F,
                       5,
                       FALSE)</f>
        <v>0</v>
      </c>
      <c r="G1627" s="127">
        <v>45429</v>
      </c>
      <c r="H1627" s="123" t="s">
        <v>836</v>
      </c>
      <c r="I1627" s="127">
        <v>45428</v>
      </c>
      <c r="J1627" s="124" t="s">
        <v>1904</v>
      </c>
      <c r="K1627" s="124" t="s">
        <v>504</v>
      </c>
      <c r="L1627" s="124" t="s">
        <v>1395</v>
      </c>
      <c r="M1627" s="125">
        <v>477000</v>
      </c>
      <c r="N1627" s="148">
        <f>+(PROVEEDORES[[#This Row],[SUBTOTAL]])*VLOOKUP(PROVEEDORES[[#This Row],[PROVEEDOR]],TERCEROS_INFO[#All],3,FALSE)</f>
        <v>0</v>
      </c>
      <c r="O1627" s="148">
        <f>+'Palabra que no opera y Listas d'!$D$2</f>
        <v>0</v>
      </c>
      <c r="P1627" s="149">
        <f>+IF(PROVEEDORES[[#This Row],[SUBTOTAL]]&lt;PROVEEDORES[[#This Row],[base retencion]],0,PROVEEDORES[[#This Row],[retención aplicada]])</f>
        <v>0</v>
      </c>
      <c r="Q1627" s="148">
        <f>+PROVEEDORES[[#This Row],[ReteFuente
%]]*(PROVEEDORES[[#This Row],[SUBTOTAL]])</f>
        <v>0</v>
      </c>
      <c r="R1627" s="150">
        <f>+PROVEEDORES[[#This Row],[SUBTOTAL]]+PROVEEDORES[[#This Row],[IVA 19%]]-PROVEEDORES[[#This Row],[Descuento
$]]-PROVEEDORES[[#This Row],[ReteFuente
$]]</f>
        <v>477000</v>
      </c>
      <c r="S162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7" s="135">
        <f ca="1">+IF(PROVEEDORES[[#This Row],[FECHA DE PAGO]]=0,TODAY()-PROVEEDORES[[#This Row],[FECHA DE FACTURACIÓN]]-PROVEEDORES[[#This Row],[PLAZO Días]],0)</f>
        <v>0</v>
      </c>
      <c r="U1627" s="135">
        <f>+VLOOKUP(PROVEEDORES[[#This Row],[PROVEEDOR]],Terceros!$A:$D,4,FALSE)</f>
        <v>0</v>
      </c>
      <c r="V1627" s="135">
        <f>+YEAR(PROVEEDORES[[#This Row],[FECHA DE FACTURACIÓN]])</f>
        <v>2024</v>
      </c>
      <c r="W1627" s="135">
        <f>+MATCH(PROVEEDORES[[#This Row],[año facturado]],Retenciones!$1:$1,0)</f>
        <v>7</v>
      </c>
      <c r="X1627" s="136">
        <f>+VLOOKUP(PROVEEDORES[[#This Row],[ID RETENCION]],Retenciones!$A$1:$O$25,PROVEEDORES[[#This Row],[indicador de columna]],FALSE)</f>
        <v>0</v>
      </c>
      <c r="Y1627" s="137">
        <f>+VLOOKUP(PROVEEDORES[[#This Row],[ID RETENCION]],Retenciones!$A$1:$O$25,2,FALSE)</f>
        <v>0</v>
      </c>
      <c r="Z1627" s="126" t="b">
        <f>+OR(COUNTIF(PROVEEDORES[[#This Row],[PROVEEDOR]],"*"&amp;'Palabra que no opera y Listas d'!$A$2&amp;"*"))</f>
        <v>0</v>
      </c>
    </row>
    <row r="1628" spans="1:26" ht="27.75" customHeight="1" x14ac:dyDescent="0.25">
      <c r="A1628" s="141" t="str">
        <f>+IF(PROVEEDORES[[#This Row],[FECHA DE PAGO]]=PROVEEDORES[[#This Row],[FECHA DE FACTURACIÓN]],"DE CONTADO","CRÉDITO")</f>
        <v>CRÉDITO</v>
      </c>
      <c r="B1628" s="138" t="b">
        <f>+IF((PROVEEDORES[[#This Row],[FECHA DE PAGO]]-PROVEEDORES[[#This Row],[FECHA DE FACTURACIÓN]])&gt;PROVEEDORES[[#This Row],[PLAZO Días]],"PAGO VENCIDO")</f>
        <v>0</v>
      </c>
      <c r="C1628" s="138">
        <f>+VLOOKUP(PROVEEDORES[[#This Row],[PROVEEDOR]],TERCEROS_INFO[#All],2,FALSE)</f>
        <v>30</v>
      </c>
      <c r="D1628" s="139">
        <f>+SUMIFS(PROVEEDORES[Total],PROVEEDORES[PROVEEDOR],PROVEEDORES[[#This Row],[PROVEEDOR]],PROVEEDORES[FECHA DE PAGO],"")</f>
        <v>0</v>
      </c>
      <c r="E1628" s="140"/>
      <c r="F1628" s="138" t="str">
        <f>+VLOOKUP(PROVEEDORES[[#This Row],[PROVEEDOR]],
                       Terceros!$A:$F,
                       5,
                       FALSE)</f>
        <v>facturacion@lacentral.com.co;girlesa.ruiz@servipilas.com;joriescobar64@gmail.com</v>
      </c>
      <c r="G1628" s="127">
        <v>45429</v>
      </c>
      <c r="H1628" s="123" t="s">
        <v>373</v>
      </c>
      <c r="I1628" s="127">
        <v>45415</v>
      </c>
      <c r="J1628" s="124" t="s">
        <v>1905</v>
      </c>
      <c r="K1628" s="124" t="s">
        <v>1530</v>
      </c>
      <c r="L1628" s="124" t="s">
        <v>1534</v>
      </c>
      <c r="M1628" s="125">
        <v>2202761</v>
      </c>
      <c r="N1628" s="148">
        <f>+(PROVEEDORES[[#This Row],[SUBTOTAL]])*VLOOKUP(PROVEEDORES[[#This Row],[PROVEEDOR]],TERCEROS_INFO[#All],3,FALSE)</f>
        <v>0</v>
      </c>
      <c r="O1628" s="148">
        <v>311056</v>
      </c>
      <c r="P1628" s="149">
        <f>+IF(PROVEEDORES[[#This Row],[SUBTOTAL]]&lt;PROVEEDORES[[#This Row],[base retencion]],0,PROVEEDORES[[#This Row],[retención aplicada]])</f>
        <v>0</v>
      </c>
      <c r="Q1628" s="148">
        <f>+PROVEEDORES[[#This Row],[ReteFuente
%]]*(PROVEEDORES[[#This Row],[SUBTOTAL]])</f>
        <v>0</v>
      </c>
      <c r="R1628" s="150">
        <f>+PROVEEDORES[[#This Row],[SUBTOTAL]]+PROVEEDORES[[#This Row],[IVA 19%]]-PROVEEDORES[[#This Row],[Descuento
$]]-PROVEEDORES[[#This Row],[ReteFuente
$]]</f>
        <v>1891705</v>
      </c>
      <c r="S162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28" s="135">
        <f ca="1">+IF(PROVEEDORES[[#This Row],[FECHA DE PAGO]]=0,TODAY()-PROVEEDORES[[#This Row],[FECHA DE FACTURACIÓN]]-PROVEEDORES[[#This Row],[PLAZO Días]],0)</f>
        <v>0</v>
      </c>
      <c r="U1628" s="135">
        <f>+VLOOKUP(PROVEEDORES[[#This Row],[PROVEEDOR]],Terceros!$A:$D,4,FALSE)</f>
        <v>0</v>
      </c>
      <c r="V1628" s="135">
        <f>+YEAR(PROVEEDORES[[#This Row],[FECHA DE FACTURACIÓN]])</f>
        <v>2024</v>
      </c>
      <c r="W1628" s="135">
        <f>+MATCH(PROVEEDORES[[#This Row],[año facturado]],Retenciones!$1:$1,0)</f>
        <v>7</v>
      </c>
      <c r="X1628" s="136">
        <f>+VLOOKUP(PROVEEDORES[[#This Row],[ID RETENCION]],Retenciones!$A$1:$O$25,PROVEEDORES[[#This Row],[indicador de columna]],FALSE)</f>
        <v>0</v>
      </c>
      <c r="Y1628" s="137">
        <f>+VLOOKUP(PROVEEDORES[[#This Row],[ID RETENCION]],Retenciones!$A$1:$O$25,2,FALSE)</f>
        <v>0</v>
      </c>
      <c r="Z1628" s="126" t="b">
        <f>+OR(COUNTIF(PROVEEDORES[[#This Row],[PROVEEDOR]],"*"&amp;'Palabra que no opera y Listas d'!$A$2&amp;"*"))</f>
        <v>1</v>
      </c>
    </row>
    <row r="1629" spans="1:26" ht="27.75" customHeight="1" x14ac:dyDescent="0.25">
      <c r="A1629" s="141" t="str">
        <f>+IF(PROVEEDORES[[#This Row],[FECHA DE PAGO]]=PROVEEDORES[[#This Row],[FECHA DE FACTURACIÓN]],"DE CONTADO","CRÉDITO")</f>
        <v>CRÉDITO</v>
      </c>
      <c r="B1629" s="138" t="b">
        <f>+IF((PROVEEDORES[[#This Row],[FECHA DE PAGO]]-PROVEEDORES[[#This Row],[FECHA DE FACTURACIÓN]])&gt;PROVEEDORES[[#This Row],[PLAZO Días]],"PAGO VENCIDO")</f>
        <v>0</v>
      </c>
      <c r="C1629" s="138">
        <f>+VLOOKUP(PROVEEDORES[[#This Row],[PROVEEDOR]],TERCEROS_INFO[#All],2,FALSE)</f>
        <v>60</v>
      </c>
      <c r="D1629" s="139">
        <f>+SUMIFS(PROVEEDORES[Total],PROVEEDORES[PROVEEDOR],PROVEEDORES[[#This Row],[PROVEEDOR]],PROVEEDORES[FECHA DE PAGO],"")</f>
        <v>50353355.590000004</v>
      </c>
      <c r="E1629" s="140"/>
      <c r="F1629" s="138" t="str">
        <f>+VLOOKUP(PROVEEDORES[[#This Row],[PROVEEDOR]],
                       Terceros!$A:$F,
                       5,
                       FALSE)</f>
        <v>cartera1@grupostatur.com;girlesa.ruiz@servipilas.com;joriescobar64@gmail.com</v>
      </c>
      <c r="G1629" s="127"/>
      <c r="H1629" s="123" t="s">
        <v>9</v>
      </c>
      <c r="I1629" s="127">
        <v>45420</v>
      </c>
      <c r="J1629" s="124" t="s">
        <v>1881</v>
      </c>
      <c r="K1629" s="124" t="s">
        <v>1530</v>
      </c>
      <c r="L1629" s="124"/>
      <c r="M1629" s="125">
        <v>18422</v>
      </c>
      <c r="N1629" s="148">
        <f>+(PROVEEDORES[[#This Row],[SUBTOTAL]])*VLOOKUP(PROVEEDORES[[#This Row],[PROVEEDOR]],TERCEROS_INFO[#All],3,FALSE)</f>
        <v>3500.18</v>
      </c>
      <c r="O1629" s="148">
        <f>+'Palabra que no opera y Listas d'!$D$2</f>
        <v>0</v>
      </c>
      <c r="P1629" s="149">
        <f>+IF(PROVEEDORES[[#This Row],[SUBTOTAL]]&lt;PROVEEDORES[[#This Row],[base retencion]],0,PROVEEDORES[[#This Row],[retención aplicada]])</f>
        <v>0</v>
      </c>
      <c r="Q1629" s="148">
        <f>+PROVEEDORES[[#This Row],[ReteFuente
%]]*(PROVEEDORES[[#This Row],[SUBTOTAL]])</f>
        <v>0</v>
      </c>
      <c r="R1629" s="150">
        <f>+PROVEEDORES[[#This Row],[SUBTOTAL]]+PROVEEDORES[[#This Row],[IVA 19%]]-PROVEEDORES[[#This Row],[Descuento
$]]-PROVEEDORES[[#This Row],[ReteFuente
$]]</f>
        <v>21922.18</v>
      </c>
      <c r="S1629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29" s="135">
        <f ca="1">+IF(PROVEEDORES[[#This Row],[FECHA DE PAGO]]=0,TODAY()-PROVEEDORES[[#This Row],[FECHA DE FACTURACIÓN]]-PROVEEDORES[[#This Row],[PLAZO Días]],0)</f>
        <v>-33</v>
      </c>
      <c r="U1629" s="135" t="str">
        <f>+VLOOKUP(PROVEEDORES[[#This Row],[PROVEEDOR]],Terceros!$A:$D,4,FALSE)</f>
        <v>2,5% con base</v>
      </c>
      <c r="V1629" s="135">
        <f>+YEAR(PROVEEDORES[[#This Row],[FECHA DE FACTURACIÓN]])</f>
        <v>2024</v>
      </c>
      <c r="W1629" s="135">
        <f>+MATCH(PROVEEDORES[[#This Row],[año facturado]],Retenciones!$1:$1,0)</f>
        <v>7</v>
      </c>
      <c r="X1629" s="136">
        <f>+VLOOKUP(PROVEEDORES[[#This Row],[ID RETENCION]],Retenciones!$A$1:$O$25,PROVEEDORES[[#This Row],[indicador de columna]],FALSE)</f>
        <v>1271000</v>
      </c>
      <c r="Y1629" s="137">
        <f>+VLOOKUP(PROVEEDORES[[#This Row],[ID RETENCION]],Retenciones!$A$1:$O$25,2,FALSE)</f>
        <v>2.5000000000000001E-2</v>
      </c>
      <c r="Z1629" s="126" t="b">
        <f>+OR(COUNTIF(PROVEEDORES[[#This Row],[PROVEEDOR]],"*"&amp;'Palabra que no opera y Listas d'!$A$2&amp;"*"))</f>
        <v>0</v>
      </c>
    </row>
    <row r="1630" spans="1:26" ht="27.75" customHeight="1" x14ac:dyDescent="0.25">
      <c r="A1630" s="141" t="str">
        <f>+IF(PROVEEDORES[[#This Row],[FECHA DE PAGO]]=PROVEEDORES[[#This Row],[FECHA DE FACTURACIÓN]],"DE CONTADO","CRÉDITO")</f>
        <v>CRÉDITO</v>
      </c>
      <c r="B1630" s="138" t="b">
        <f>+IF((PROVEEDORES[[#This Row],[FECHA DE PAGO]]-PROVEEDORES[[#This Row],[FECHA DE FACTURACIÓN]])&gt;PROVEEDORES[[#This Row],[PLAZO Días]],"PAGO VENCIDO")</f>
        <v>0</v>
      </c>
      <c r="C1630" s="138">
        <f>+VLOOKUP(PROVEEDORES[[#This Row],[PROVEEDOR]],TERCEROS_INFO[#All],2,FALSE)</f>
        <v>30</v>
      </c>
      <c r="D1630" s="139">
        <f>+SUMIFS(PROVEEDORES[Total],PROVEEDORES[PROVEEDOR],PROVEEDORES[[#This Row],[PROVEEDOR]],PROVEEDORES[FECHA DE PAGO],"")</f>
        <v>0</v>
      </c>
      <c r="E1630" s="140"/>
      <c r="F1630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630" s="127">
        <v>45432</v>
      </c>
      <c r="H1630" s="123" t="s">
        <v>382</v>
      </c>
      <c r="I1630" s="127">
        <v>45413</v>
      </c>
      <c r="J1630" s="124" t="s">
        <v>1908</v>
      </c>
      <c r="K1630" s="124" t="s">
        <v>1530</v>
      </c>
      <c r="L1630" s="124" t="s">
        <v>1533</v>
      </c>
      <c r="M1630" s="125">
        <v>1030415</v>
      </c>
      <c r="N1630" s="148">
        <f>+(PROVEEDORES[[#This Row],[SUBTOTAL]])*VLOOKUP(PROVEEDORES[[#This Row],[PROVEEDOR]],TERCEROS_INFO[#All],3,FALSE)</f>
        <v>0</v>
      </c>
      <c r="O1630" s="148">
        <f>+'Palabra que no opera y Listas d'!$D$2</f>
        <v>0</v>
      </c>
      <c r="P1630" s="149">
        <f>+IF(PROVEEDORES[[#This Row],[SUBTOTAL]]&lt;PROVEEDORES[[#This Row],[base retencion]],0,PROVEEDORES[[#This Row],[retención aplicada]])</f>
        <v>0</v>
      </c>
      <c r="Q1630" s="148">
        <f>+PROVEEDORES[[#This Row],[ReteFuente
%]]*(PROVEEDORES[[#This Row],[SUBTOTAL]])</f>
        <v>0</v>
      </c>
      <c r="R1630" s="150">
        <f>+PROVEEDORES[[#This Row],[SUBTOTAL]]+PROVEEDORES[[#This Row],[IVA 19%]]-PROVEEDORES[[#This Row],[Descuento
$]]-PROVEEDORES[[#This Row],[ReteFuente
$]]</f>
        <v>1030415</v>
      </c>
      <c r="S163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0" s="135">
        <f ca="1">+IF(PROVEEDORES[[#This Row],[FECHA DE PAGO]]=0,TODAY()-PROVEEDORES[[#This Row],[FECHA DE FACTURACIÓN]]-PROVEEDORES[[#This Row],[PLAZO Días]],0)</f>
        <v>0</v>
      </c>
      <c r="U1630" s="135">
        <f>+VLOOKUP(PROVEEDORES[[#This Row],[PROVEEDOR]],Terceros!$A:$D,4,FALSE)</f>
        <v>0</v>
      </c>
      <c r="V1630" s="135">
        <f>+YEAR(PROVEEDORES[[#This Row],[FECHA DE FACTURACIÓN]])</f>
        <v>2024</v>
      </c>
      <c r="W1630" s="135">
        <f>+MATCH(PROVEEDORES[[#This Row],[año facturado]],Retenciones!$1:$1,0)</f>
        <v>7</v>
      </c>
      <c r="X1630" s="136">
        <f>+VLOOKUP(PROVEEDORES[[#This Row],[ID RETENCION]],Retenciones!$A$1:$O$25,PROVEEDORES[[#This Row],[indicador de columna]],FALSE)</f>
        <v>0</v>
      </c>
      <c r="Y1630" s="137">
        <f>+VLOOKUP(PROVEEDORES[[#This Row],[ID RETENCION]],Retenciones!$A$1:$O$25,2,FALSE)</f>
        <v>0</v>
      </c>
      <c r="Z1630" s="126" t="b">
        <f>+OR(COUNTIF(PROVEEDORES[[#This Row],[PROVEEDOR]],"*"&amp;'Palabra que no opera y Listas d'!$A$2&amp;"*"))</f>
        <v>1</v>
      </c>
    </row>
    <row r="1631" spans="1:26" ht="27.75" customHeight="1" x14ac:dyDescent="0.25">
      <c r="A1631" s="141" t="str">
        <f>+IF(PROVEEDORES[[#This Row],[FECHA DE PAGO]]=PROVEEDORES[[#This Row],[FECHA DE FACTURACIÓN]],"DE CONTADO","CRÉDITO")</f>
        <v>CRÉDITO</v>
      </c>
      <c r="B1631" s="138" t="b">
        <f>+IF((PROVEEDORES[[#This Row],[FECHA DE PAGO]]-PROVEEDORES[[#This Row],[FECHA DE FACTURACIÓN]])&gt;PROVEEDORES[[#This Row],[PLAZO Días]],"PAGO VENCIDO")</f>
        <v>0</v>
      </c>
      <c r="C1631" s="138">
        <f>+VLOOKUP(PROVEEDORES[[#This Row],[PROVEEDOR]],TERCEROS_INFO[#All],2,FALSE)</f>
        <v>30</v>
      </c>
      <c r="D1631" s="139">
        <f>+SUMIFS(PROVEEDORES[Total],PROVEEDORES[PROVEEDOR],PROVEEDORES[[#This Row],[PROVEEDOR]],PROVEEDORES[FECHA DE PAGO],"")</f>
        <v>0</v>
      </c>
      <c r="E1631" s="140"/>
      <c r="F1631" s="138" t="str">
        <f>+VLOOKUP(PROVEEDORES[[#This Row],[PROVEEDOR]],
                       Terceros!$A:$F,
                       5,
                       FALSE)</f>
        <v>contabilidad@sandiego.com.co;girlesa.ruiz@servipilas.com;joriescobar64@gmail.com</v>
      </c>
      <c r="G1631" s="127">
        <v>45432</v>
      </c>
      <c r="H1631" s="123" t="s">
        <v>382</v>
      </c>
      <c r="I1631" s="127">
        <v>45413</v>
      </c>
      <c r="J1631" s="124" t="s">
        <v>1909</v>
      </c>
      <c r="K1631" s="124" t="s">
        <v>1530</v>
      </c>
      <c r="L1631" s="124" t="s">
        <v>1533</v>
      </c>
      <c r="M1631" s="125">
        <v>1007984</v>
      </c>
      <c r="N1631" s="148">
        <f>+(PROVEEDORES[[#This Row],[SUBTOTAL]])*VLOOKUP(PROVEEDORES[[#This Row],[PROVEEDOR]],TERCEROS_INFO[#All],3,FALSE)</f>
        <v>0</v>
      </c>
      <c r="O1631" s="148">
        <f>+'Palabra que no opera y Listas d'!$D$2</f>
        <v>0</v>
      </c>
      <c r="P1631" s="149">
        <f>+IF(PROVEEDORES[[#This Row],[SUBTOTAL]]&lt;PROVEEDORES[[#This Row],[base retencion]],0,PROVEEDORES[[#This Row],[retención aplicada]])</f>
        <v>0</v>
      </c>
      <c r="Q1631" s="148">
        <f>+PROVEEDORES[[#This Row],[ReteFuente
%]]*(PROVEEDORES[[#This Row],[SUBTOTAL]])</f>
        <v>0</v>
      </c>
      <c r="R1631" s="150">
        <f>+PROVEEDORES[[#This Row],[SUBTOTAL]]+PROVEEDORES[[#This Row],[IVA 19%]]-PROVEEDORES[[#This Row],[Descuento
$]]-PROVEEDORES[[#This Row],[ReteFuente
$]]</f>
        <v>1007984</v>
      </c>
      <c r="S163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1" s="135">
        <f ca="1">+IF(PROVEEDORES[[#This Row],[FECHA DE PAGO]]=0,TODAY()-PROVEEDORES[[#This Row],[FECHA DE FACTURACIÓN]]-PROVEEDORES[[#This Row],[PLAZO Días]],0)</f>
        <v>0</v>
      </c>
      <c r="U1631" s="135">
        <f>+VLOOKUP(PROVEEDORES[[#This Row],[PROVEEDOR]],Terceros!$A:$D,4,FALSE)</f>
        <v>0</v>
      </c>
      <c r="V1631" s="135">
        <f>+YEAR(PROVEEDORES[[#This Row],[FECHA DE FACTURACIÓN]])</f>
        <v>2024</v>
      </c>
      <c r="W1631" s="135">
        <f>+MATCH(PROVEEDORES[[#This Row],[año facturado]],Retenciones!$1:$1,0)</f>
        <v>7</v>
      </c>
      <c r="X1631" s="136">
        <f>+VLOOKUP(PROVEEDORES[[#This Row],[ID RETENCION]],Retenciones!$A$1:$O$25,PROVEEDORES[[#This Row],[indicador de columna]],FALSE)</f>
        <v>0</v>
      </c>
      <c r="Y1631" s="137">
        <f>+VLOOKUP(PROVEEDORES[[#This Row],[ID RETENCION]],Retenciones!$A$1:$O$25,2,FALSE)</f>
        <v>0</v>
      </c>
      <c r="Z1631" s="126" t="b">
        <f>+OR(COUNTIF(PROVEEDORES[[#This Row],[PROVEEDOR]],"*"&amp;'Palabra que no opera y Listas d'!$A$2&amp;"*"))</f>
        <v>1</v>
      </c>
    </row>
    <row r="1632" spans="1:26" ht="27.75" customHeight="1" x14ac:dyDescent="0.25">
      <c r="A1632" s="141" t="str">
        <f>+IF(PROVEEDORES[[#This Row],[FECHA DE PAGO]]=PROVEEDORES[[#This Row],[FECHA DE FACTURACIÓN]],"DE CONTADO","CRÉDITO")</f>
        <v>CRÉDITO</v>
      </c>
      <c r="B1632" s="138" t="b">
        <f>+IF((PROVEEDORES[[#This Row],[FECHA DE PAGO]]-PROVEEDORES[[#This Row],[FECHA DE FACTURACIÓN]])&gt;PROVEEDORES[[#This Row],[PLAZO Días]],"PAGO VENCIDO")</f>
        <v>0</v>
      </c>
      <c r="C1632" s="138">
        <f>+VLOOKUP(PROVEEDORES[[#This Row],[PROVEEDOR]],TERCEROS_INFO[#All],2,FALSE)</f>
        <v>30</v>
      </c>
      <c r="D1632" s="139">
        <f>+SUMIFS(PROVEEDORES[Total],PROVEEDORES[PROVEEDOR],PROVEEDORES[[#This Row],[PROVEEDOR]],PROVEEDORES[FECHA DE PAGO],"")</f>
        <v>0</v>
      </c>
      <c r="E1632" s="140"/>
      <c r="F1632" s="138" t="str">
        <f>+VLOOKUP(PROVEEDORES[[#This Row],[PROVEEDOR]],
                       Terceros!$A:$F,
                       5,
                       FALSE)</f>
        <v>propertymarketingsas@hotmail.com;girlesa.ruiz@servipilas.com;joriescobar64@gmail.com</v>
      </c>
      <c r="G1632" s="127">
        <v>45432</v>
      </c>
      <c r="H1632" s="123" t="s">
        <v>380</v>
      </c>
      <c r="I1632" s="127">
        <v>45413</v>
      </c>
      <c r="J1632" s="124" t="s">
        <v>1910</v>
      </c>
      <c r="K1632" s="124" t="s">
        <v>504</v>
      </c>
      <c r="L1632" s="124" t="s">
        <v>1534</v>
      </c>
      <c r="M1632" s="125">
        <v>3847000</v>
      </c>
      <c r="N1632" s="148">
        <f>+(PROVEEDORES[[#This Row],[SUBTOTAL]])*VLOOKUP(PROVEEDORES[[#This Row],[PROVEEDOR]],TERCEROS_INFO[#All],3,FALSE)</f>
        <v>0</v>
      </c>
      <c r="O1632" s="148">
        <f>+'Palabra que no opera y Listas d'!$D$2</f>
        <v>0</v>
      </c>
      <c r="P1632" s="149">
        <f>+IF(PROVEEDORES[[#This Row],[SUBTOTAL]]&lt;PROVEEDORES[[#This Row],[base retencion]],0,PROVEEDORES[[#This Row],[retención aplicada]])</f>
        <v>3.5000000000000003E-2</v>
      </c>
      <c r="Q1632" s="148">
        <f>+PROVEEDORES[[#This Row],[ReteFuente
%]]*(PROVEEDORES[[#This Row],[SUBTOTAL]])</f>
        <v>134645</v>
      </c>
      <c r="R1632" s="150">
        <f>+PROVEEDORES[[#This Row],[SUBTOTAL]]+PROVEEDORES[[#This Row],[IVA 19%]]-PROVEEDORES[[#This Row],[Descuento
$]]-PROVEEDORES[[#This Row],[ReteFuente
$]]</f>
        <v>3712355</v>
      </c>
      <c r="S1632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2" s="135">
        <f ca="1">+IF(PROVEEDORES[[#This Row],[FECHA DE PAGO]]=0,TODAY()-PROVEEDORES[[#This Row],[FECHA DE FACTURACIÓN]]-PROVEEDORES[[#This Row],[PLAZO Días]],0)</f>
        <v>0</v>
      </c>
      <c r="U1632" s="135" t="str">
        <f>+VLOOKUP(PROVEEDORES[[#This Row],[PROVEEDOR]],Terceros!$A:$D,4,FALSE)</f>
        <v>3,5% sin base</v>
      </c>
      <c r="V1632" s="135">
        <f>+YEAR(PROVEEDORES[[#This Row],[FECHA DE FACTURACIÓN]])</f>
        <v>2024</v>
      </c>
      <c r="W1632" s="135">
        <f>+MATCH(PROVEEDORES[[#This Row],[año facturado]],Retenciones!$1:$1,0)</f>
        <v>7</v>
      </c>
      <c r="X1632" s="136">
        <f>+VLOOKUP(PROVEEDORES[[#This Row],[ID RETENCION]],Retenciones!$A$1:$O$25,PROVEEDORES[[#This Row],[indicador de columna]],FALSE)</f>
        <v>0</v>
      </c>
      <c r="Y1632" s="137">
        <f>+VLOOKUP(PROVEEDORES[[#This Row],[ID RETENCION]],Retenciones!$A$1:$O$25,2,FALSE)</f>
        <v>3.5000000000000003E-2</v>
      </c>
      <c r="Z1632" s="126" t="b">
        <f>+OR(COUNTIF(PROVEEDORES[[#This Row],[PROVEEDOR]],"*"&amp;'Palabra que no opera y Listas d'!$A$2&amp;"*"))</f>
        <v>1</v>
      </c>
    </row>
    <row r="1633" spans="1:26" ht="27.75" customHeight="1" x14ac:dyDescent="0.25">
      <c r="A1633" s="141" t="str">
        <f>+IF(PROVEEDORES[[#This Row],[FECHA DE PAGO]]=PROVEEDORES[[#This Row],[FECHA DE FACTURACIÓN]],"DE CONTADO","CRÉDITO")</f>
        <v>CRÉDITO</v>
      </c>
      <c r="B1633" s="138" t="str">
        <f>+IF((PROVEEDORES[[#This Row],[FECHA DE PAGO]]-PROVEEDORES[[#This Row],[FECHA DE FACTURACIÓN]])&gt;PROVEEDORES[[#This Row],[PLAZO Días]],"PAGO VENCIDO")</f>
        <v>PAGO VENCIDO</v>
      </c>
      <c r="C1633" s="138">
        <f>+VLOOKUP(PROVEEDORES[[#This Row],[PROVEEDOR]],TERCEROS_INFO[#All],2,FALSE)</f>
        <v>30</v>
      </c>
      <c r="D1633" s="139">
        <f>+SUMIFS(PROVEEDORES[Total],PROVEEDORES[PROVEEDOR],PROVEEDORES[[#This Row],[PROVEEDOR]],PROVEEDORES[FECHA DE PAGO],"")</f>
        <v>5427539.2800000003</v>
      </c>
      <c r="E1633" s="140"/>
      <c r="F1633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633" s="127">
        <v>45447</v>
      </c>
      <c r="H1633" s="123" t="s">
        <v>11</v>
      </c>
      <c r="I1633" s="127">
        <v>45394</v>
      </c>
      <c r="J1633" s="124" t="s">
        <v>1736</v>
      </c>
      <c r="K1633" s="124" t="s">
        <v>1530</v>
      </c>
      <c r="L1633" s="124"/>
      <c r="M1633" s="125">
        <v>3882360</v>
      </c>
      <c r="N1633" s="148">
        <v>737648.4</v>
      </c>
      <c r="O1633" s="148">
        <v>0</v>
      </c>
      <c r="P1633" s="149">
        <v>2.5000000000000001E-2</v>
      </c>
      <c r="Q1633" s="148">
        <v>97059</v>
      </c>
      <c r="R1633" s="150">
        <v>4522949.4000000004</v>
      </c>
      <c r="S1633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3" s="135">
        <f ca="1">+IF(PROVEEDORES[[#This Row],[FECHA DE PAGO]]=0,TODAY()-PROVEEDORES[[#This Row],[FECHA DE FACTURACIÓN]]-PROVEEDORES[[#This Row],[PLAZO Días]],0)</f>
        <v>0</v>
      </c>
      <c r="U1633" s="135" t="str">
        <f>+VLOOKUP(PROVEEDORES[[#This Row],[PROVEEDOR]],Terceros!$A:$D,4,FALSE)</f>
        <v>2,5% con base</v>
      </c>
      <c r="V1633" s="135">
        <f>+YEAR(PROVEEDORES[[#This Row],[FECHA DE FACTURACIÓN]])</f>
        <v>2024</v>
      </c>
      <c r="W1633" s="135">
        <f>+MATCH(PROVEEDORES[[#This Row],[año facturado]],Retenciones!$1:$1,0)</f>
        <v>7</v>
      </c>
      <c r="X1633" s="136">
        <f>+VLOOKUP(PROVEEDORES[[#This Row],[ID RETENCION]],Retenciones!$A$1:$O$25,PROVEEDORES[[#This Row],[indicador de columna]],FALSE)</f>
        <v>1271000</v>
      </c>
      <c r="Y1633" s="137">
        <f>+VLOOKUP(PROVEEDORES[[#This Row],[ID RETENCION]],Retenciones!$A$1:$O$25,2,FALSE)</f>
        <v>2.5000000000000001E-2</v>
      </c>
      <c r="Z1633" s="126" t="b">
        <f>+OR(COUNTIF(PROVEEDORES[[#This Row],[PROVEEDOR]],"*"&amp;'Palabra que no opera y Listas d'!$A$2&amp;"*"))</f>
        <v>0</v>
      </c>
    </row>
    <row r="1634" spans="1:26" ht="27.75" customHeight="1" x14ac:dyDescent="0.25">
      <c r="A1634" s="141" t="str">
        <f>+IF(PROVEEDORES[[#This Row],[FECHA DE PAGO]]=PROVEEDORES[[#This Row],[FECHA DE FACTURACIÓN]],"DE CONTADO","CRÉDITO")</f>
        <v>CRÉDITO</v>
      </c>
      <c r="B1634" s="138" t="b">
        <f>+IF((PROVEEDORES[[#This Row],[FECHA DE PAGO]]-PROVEEDORES[[#This Row],[FECHA DE FACTURACIÓN]])&gt;PROVEEDORES[[#This Row],[PLAZO Días]],"PAGO VENCIDO")</f>
        <v>0</v>
      </c>
      <c r="C1634" s="138">
        <f>+VLOOKUP(PROVEEDORES[[#This Row],[PROVEEDOR]],TERCEROS_INFO[#All],2,FALSE)</f>
        <v>30</v>
      </c>
      <c r="D1634" s="139">
        <f>+SUMIFS(PROVEEDORES[Total],PROVEEDORES[PROVEEDOR],PROVEEDORES[[#This Row],[PROVEEDOR]],PROVEEDORES[FECHA DE PAGO],"")</f>
        <v>5427539.2800000003</v>
      </c>
      <c r="E1634" s="140"/>
      <c r="F1634" s="138" t="str">
        <f>+VLOOKUP(PROVEEDORES[[#This Row],[PROVEEDOR]],
                       Terceros!$A:$F,
                       5,
                       FALSE)</f>
        <v xml:space="preserve"> dsmazuera@widexcolombia.com;cartera@widexcolombia.com;girlesa.ruiz@servipilas.com;joriescobar64@gmail.com</v>
      </c>
      <c r="G1634" s="127"/>
      <c r="H1634" s="123" t="s">
        <v>11</v>
      </c>
      <c r="I1634" s="127">
        <v>45422</v>
      </c>
      <c r="J1634" s="124" t="s">
        <v>1894</v>
      </c>
      <c r="K1634" s="124" t="s">
        <v>1530</v>
      </c>
      <c r="L1634" s="124"/>
      <c r="M1634" s="125">
        <v>4658832</v>
      </c>
      <c r="N1634" s="148">
        <f>+(PROVEEDORES[[#This Row],[SUBTOTAL]])*VLOOKUP(PROVEEDORES[[#This Row],[PROVEEDOR]],TERCEROS_INFO[#All],3,FALSE)</f>
        <v>885178.08</v>
      </c>
      <c r="O1634" s="148">
        <f>+'Palabra que no opera y Listas d'!$D$2</f>
        <v>0</v>
      </c>
      <c r="P1634" s="149">
        <f>+IF(PROVEEDORES[[#This Row],[SUBTOTAL]]&lt;PROVEEDORES[[#This Row],[base retencion]],0,PROVEEDORES[[#This Row],[retención aplicada]])</f>
        <v>2.5000000000000001E-2</v>
      </c>
      <c r="Q1634" s="148">
        <f>+PROVEEDORES[[#This Row],[ReteFuente
%]]*(PROVEEDORES[[#This Row],[SUBTOTAL]])</f>
        <v>116470.8</v>
      </c>
      <c r="R1634" s="150">
        <f>+PROVEEDORES[[#This Row],[SUBTOTAL]]+PROVEEDORES[[#This Row],[IVA 19%]]-PROVEEDORES[[#This Row],[Descuento
$]]-PROVEEDORES[[#This Row],[ReteFuente
$]]</f>
        <v>5427539.2800000003</v>
      </c>
      <c r="S1634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34" s="135">
        <f ca="1">+IF(PROVEEDORES[[#This Row],[FECHA DE PAGO]]=0,TODAY()-PROVEEDORES[[#This Row],[FECHA DE FACTURACIÓN]]-PROVEEDORES[[#This Row],[PLAZO Días]],0)</f>
        <v>-5</v>
      </c>
      <c r="U1634" s="135" t="str">
        <f>+VLOOKUP(PROVEEDORES[[#This Row],[PROVEEDOR]],Terceros!$A:$D,4,FALSE)</f>
        <v>2,5% con base</v>
      </c>
      <c r="V1634" s="135">
        <f>+YEAR(PROVEEDORES[[#This Row],[FECHA DE FACTURACIÓN]])</f>
        <v>2024</v>
      </c>
      <c r="W1634" s="135">
        <f>+MATCH(PROVEEDORES[[#This Row],[año facturado]],Retenciones!$1:$1,0)</f>
        <v>7</v>
      </c>
      <c r="X1634" s="136">
        <f>+VLOOKUP(PROVEEDORES[[#This Row],[ID RETENCION]],Retenciones!$A$1:$O$25,PROVEEDORES[[#This Row],[indicador de columna]],FALSE)</f>
        <v>1271000</v>
      </c>
      <c r="Y1634" s="137">
        <f>+VLOOKUP(PROVEEDORES[[#This Row],[ID RETENCION]],Retenciones!$A$1:$O$25,2,FALSE)</f>
        <v>2.5000000000000001E-2</v>
      </c>
      <c r="Z1634" s="126" t="b">
        <f>+OR(COUNTIF(PROVEEDORES[[#This Row],[PROVEEDOR]],"*"&amp;'Palabra que no opera y Listas d'!$A$2&amp;"*"))</f>
        <v>0</v>
      </c>
    </row>
    <row r="1635" spans="1:26" ht="27.75" customHeight="1" x14ac:dyDescent="0.25">
      <c r="A1635" s="141" t="str">
        <f>+IF(PROVEEDORES[[#This Row],[FECHA DE PAGO]]=PROVEEDORES[[#This Row],[FECHA DE FACTURACIÓN]],"DE CONTADO","CRÉDITO")</f>
        <v>CRÉDITO</v>
      </c>
      <c r="B1635" s="138" t="b">
        <f>+IF((PROVEEDORES[[#This Row],[FECHA DE PAGO]]-PROVEEDORES[[#This Row],[FECHA DE FACTURACIÓN]])&gt;PROVEEDORES[[#This Row],[PLAZO Días]],"PAGO VENCIDO")</f>
        <v>0</v>
      </c>
      <c r="C1635" s="138">
        <f>+VLOOKUP(PROVEEDORES[[#This Row],[PROVEEDOR]],TERCEROS_INFO[#All],2,FALSE)</f>
        <v>0</v>
      </c>
      <c r="D1635" s="139">
        <f>+SUMIFS(PROVEEDORES[Total],PROVEEDORES[PROVEEDOR],PROVEEDORES[[#This Row],[PROVEEDOR]],PROVEEDORES[FECHA DE PAGO],"")</f>
        <v>2530000</v>
      </c>
      <c r="E1635" s="140"/>
      <c r="F1635" s="138" t="str">
        <f>+VLOOKUP(PROVEEDORES[[#This Row],[PROVEEDOR]],
                       Terceros!$A:$F,
                       5,
                       FALSE)</f>
        <v>jeimmy.rojas@revo360.com; gerenteaduanera@wtnewvision.com; girlesa.ruiz@servipilas.com;joriescobar64@gmail.com</v>
      </c>
      <c r="G1635" s="127"/>
      <c r="H1635" s="123" t="s">
        <v>1731</v>
      </c>
      <c r="I1635" s="127">
        <v>45428</v>
      </c>
      <c r="J1635" s="124" t="s">
        <v>1912</v>
      </c>
      <c r="K1635" s="124" t="s">
        <v>1530</v>
      </c>
      <c r="L1635" s="124"/>
      <c r="M1635" s="125">
        <v>2200000</v>
      </c>
      <c r="N1635" s="148">
        <f>+(PROVEEDORES[[#This Row],[SUBTOTAL]])*VLOOKUP(PROVEEDORES[[#This Row],[PROVEEDOR]],TERCEROS_INFO[#All],3,FALSE)</f>
        <v>418000</v>
      </c>
      <c r="O1635" s="148">
        <f>+'Palabra que no opera y Listas d'!$D$2</f>
        <v>0</v>
      </c>
      <c r="P1635" s="149">
        <f>+IF(PROVEEDORES[[#This Row],[SUBTOTAL]]&lt;PROVEEDORES[[#This Row],[base retencion]],0,PROVEEDORES[[#This Row],[retención aplicada]])</f>
        <v>0.04</v>
      </c>
      <c r="Q1635" s="148">
        <f>+PROVEEDORES[[#This Row],[ReteFuente
%]]*(PROVEEDORES[[#This Row],[SUBTOTAL]])</f>
        <v>88000</v>
      </c>
      <c r="R1635" s="150">
        <f>+PROVEEDORES[[#This Row],[SUBTOTAL]]+PROVEEDORES[[#This Row],[IVA 19%]]-PROVEEDORES[[#This Row],[Descuento
$]]-PROVEEDORES[[#This Row],[ReteFuente
$]]</f>
        <v>2530000</v>
      </c>
      <c r="S1635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35" s="135">
        <f ca="1">+IF(PROVEEDORES[[#This Row],[FECHA DE PAGO]]=0,TODAY()-PROVEEDORES[[#This Row],[FECHA DE FACTURACIÓN]]-PROVEEDORES[[#This Row],[PLAZO Días]],0)</f>
        <v>19</v>
      </c>
      <c r="U1635" s="135" t="str">
        <f>+VLOOKUP(PROVEEDORES[[#This Row],[PROVEEDOR]],Terceros!$A:$D,4,FALSE)</f>
        <v>4% con base</v>
      </c>
      <c r="V1635" s="135">
        <f>+YEAR(PROVEEDORES[[#This Row],[FECHA DE FACTURACIÓN]])</f>
        <v>2024</v>
      </c>
      <c r="W1635" s="135">
        <f>+MATCH(PROVEEDORES[[#This Row],[año facturado]],Retenciones!$1:$1,0)</f>
        <v>7</v>
      </c>
      <c r="X1635" s="136">
        <f>+VLOOKUP(PROVEEDORES[[#This Row],[ID RETENCION]],Retenciones!$A$1:$O$25,PROVEEDORES[[#This Row],[indicador de columna]],FALSE)</f>
        <v>188000</v>
      </c>
      <c r="Y1635" s="137">
        <f>+VLOOKUP(PROVEEDORES[[#This Row],[ID RETENCION]],Retenciones!$A$1:$O$25,2,FALSE)</f>
        <v>0.04</v>
      </c>
      <c r="Z1635" s="126" t="b">
        <f>+OR(COUNTIF(PROVEEDORES[[#This Row],[PROVEEDOR]],"*"&amp;'Palabra que no opera y Listas d'!$A$2&amp;"*"))</f>
        <v>0</v>
      </c>
    </row>
    <row r="1636" spans="1:26" ht="27.75" customHeight="1" x14ac:dyDescent="0.25">
      <c r="A1636" s="141" t="str">
        <f>+IF(PROVEEDORES[[#This Row],[FECHA DE PAGO]]=PROVEEDORES[[#This Row],[FECHA DE FACTURACIÓN]],"DE CONTADO","CRÉDITO")</f>
        <v>DE CONTADO</v>
      </c>
      <c r="B1636" s="138" t="b">
        <f>+IF((PROVEEDORES[[#This Row],[FECHA DE PAGO]]-PROVEEDORES[[#This Row],[FECHA DE FACTURACIÓN]])&gt;PROVEEDORES[[#This Row],[PLAZO Días]],"PAGO VENCIDO")</f>
        <v>0</v>
      </c>
      <c r="C1636" s="138">
        <f>+VLOOKUP(PROVEEDORES[[#This Row],[PROVEEDOR]],TERCEROS_INFO[#All],2,FALSE)</f>
        <v>30</v>
      </c>
      <c r="D1636" s="139">
        <f>+SUMIFS(PROVEEDORES[Total],PROVEEDORES[PROVEEDOR],PROVEEDORES[[#This Row],[PROVEEDOR]],PROVEEDORES[FECHA DE PAGO],"")</f>
        <v>0</v>
      </c>
      <c r="E1636" s="140"/>
      <c r="F1636" s="138" t="str">
        <f>+VLOOKUP(PROVEEDORES[[#This Row],[PROVEEDOR]],
                       Terceros!$A:$F,
                       5,
                       FALSE)</f>
        <v/>
      </c>
      <c r="G1636" s="127">
        <v>45437</v>
      </c>
      <c r="H1636" s="123" t="s">
        <v>1824</v>
      </c>
      <c r="I1636" s="127">
        <v>45437</v>
      </c>
      <c r="J1636" s="124" t="s">
        <v>1914</v>
      </c>
      <c r="K1636" s="124" t="s">
        <v>1530</v>
      </c>
      <c r="L1636" s="124" t="s">
        <v>1395</v>
      </c>
      <c r="M1636" s="125">
        <v>906000</v>
      </c>
      <c r="N1636" s="148">
        <f>+(PROVEEDORES[[#This Row],[SUBTOTAL]])*VLOOKUP(PROVEEDORES[[#This Row],[PROVEEDOR]],TERCEROS_INFO[#All],3,FALSE)</f>
        <v>0</v>
      </c>
      <c r="O1636" s="148">
        <f>+'Palabra que no opera y Listas d'!$D$2</f>
        <v>0</v>
      </c>
      <c r="P1636" s="149">
        <f>+IF(PROVEEDORES[[#This Row],[SUBTOTAL]]&lt;PROVEEDORES[[#This Row],[base retencion]],0,PROVEEDORES[[#This Row],[retención aplicada]])</f>
        <v>0</v>
      </c>
      <c r="Q1636" s="148">
        <f>+PROVEEDORES[[#This Row],[ReteFuente
%]]*(PROVEEDORES[[#This Row],[SUBTOTAL]])</f>
        <v>0</v>
      </c>
      <c r="R1636" s="150">
        <f>+PROVEEDORES[[#This Row],[SUBTOTAL]]+PROVEEDORES[[#This Row],[IVA 19%]]-PROVEEDORES[[#This Row],[Descuento
$]]-PROVEEDORES[[#This Row],[ReteFuente
$]]</f>
        <v>906000</v>
      </c>
      <c r="S1636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6" s="135">
        <f ca="1">+IF(PROVEEDORES[[#This Row],[FECHA DE PAGO]]=0,TODAY()-PROVEEDORES[[#This Row],[FECHA DE FACTURACIÓN]]-PROVEEDORES[[#This Row],[PLAZO Días]],0)</f>
        <v>0</v>
      </c>
      <c r="U1636" s="135">
        <f>+VLOOKUP(PROVEEDORES[[#This Row],[PROVEEDOR]],Terceros!$A:$D,4,FALSE)</f>
        <v>0</v>
      </c>
      <c r="V1636" s="135">
        <f>+YEAR(PROVEEDORES[[#This Row],[FECHA DE FACTURACIÓN]])</f>
        <v>2024</v>
      </c>
      <c r="W1636" s="135">
        <f>+MATCH(PROVEEDORES[[#This Row],[año facturado]],Retenciones!$1:$1,0)</f>
        <v>7</v>
      </c>
      <c r="X1636" s="136">
        <f>+VLOOKUP(PROVEEDORES[[#This Row],[ID RETENCION]],Retenciones!$A$1:$O$25,PROVEEDORES[[#This Row],[indicador de columna]],FALSE)</f>
        <v>0</v>
      </c>
      <c r="Y1636" s="137">
        <f>+VLOOKUP(PROVEEDORES[[#This Row],[ID RETENCION]],Retenciones!$A$1:$O$25,2,FALSE)</f>
        <v>0</v>
      </c>
      <c r="Z1636" s="126" t="b">
        <f>+OR(COUNTIF(PROVEEDORES[[#This Row],[PROVEEDOR]],"*"&amp;'Palabra que no opera y Listas d'!$A$2&amp;"*"))</f>
        <v>0</v>
      </c>
    </row>
    <row r="1637" spans="1:26" ht="27.75" customHeight="1" x14ac:dyDescent="0.25">
      <c r="A1637" s="141" t="str">
        <f>+IF(PROVEEDORES[[#This Row],[FECHA DE PAGO]]=PROVEEDORES[[#This Row],[FECHA DE FACTURACIÓN]],"DE CONTADO","CRÉDITO")</f>
        <v>CRÉDITO</v>
      </c>
      <c r="B1637" s="138" t="b">
        <f>+IF((PROVEEDORES[[#This Row],[FECHA DE PAGO]]-PROVEEDORES[[#This Row],[FECHA DE FACTURACIÓN]])&gt;PROVEEDORES[[#This Row],[PLAZO Días]],"PAGO VENCIDO")</f>
        <v>0</v>
      </c>
      <c r="C1637" s="138">
        <f>+VLOOKUP(PROVEEDORES[[#This Row],[PROVEEDOR]],TERCEROS_INFO[#All],2,FALSE)</f>
        <v>30</v>
      </c>
      <c r="D1637" s="139">
        <f>+SUMIFS(PROVEEDORES[Total],PROVEEDORES[PROVEEDOR],PROVEEDORES[[#This Row],[PROVEEDOR]],PROVEEDORES[FECHA DE PAGO],"")</f>
        <v>0</v>
      </c>
      <c r="E1637" s="140"/>
      <c r="F1637" s="138" t="str">
        <f>+VLOOKUP(PROVEEDORES[[#This Row],[PROVEEDOR]],
                       Terceros!$A:$F,
                       5,
                       FALSE)</f>
        <v>ad.facturacion@gmail.com; girlesa.ruiz@servipilas.com;joriescobar64@gmail.com</v>
      </c>
      <c r="G1637" s="127">
        <v>45440</v>
      </c>
      <c r="H1637" s="123" t="s">
        <v>1016</v>
      </c>
      <c r="I1637" s="127">
        <v>45428</v>
      </c>
      <c r="J1637" s="124" t="s">
        <v>1915</v>
      </c>
      <c r="K1637" s="124" t="s">
        <v>1530</v>
      </c>
      <c r="L1637" s="124" t="s">
        <v>1533</v>
      </c>
      <c r="M1637" s="125">
        <v>1059736</v>
      </c>
      <c r="N1637" s="148">
        <v>45664</v>
      </c>
      <c r="O1637" s="148">
        <f>+'Palabra que no opera y Listas d'!$D$2</f>
        <v>0</v>
      </c>
      <c r="P1637" s="149">
        <f>+IF(PROVEEDORES[[#This Row],[SUBTOTAL]]&lt;PROVEEDORES[[#This Row],[base retencion]],0,PROVEEDORES[[#This Row],[retención aplicada]])</f>
        <v>0</v>
      </c>
      <c r="Q1637" s="148">
        <f>+PROVEEDORES[[#This Row],[ReteFuente
%]]*(PROVEEDORES[[#This Row],[SUBTOTAL]])</f>
        <v>0</v>
      </c>
      <c r="R1637" s="150">
        <f>+PROVEEDORES[[#This Row],[SUBTOTAL]]+PROVEEDORES[[#This Row],[IVA 19%]]-PROVEEDORES[[#This Row],[Descuento
$]]-PROVEEDORES[[#This Row],[ReteFuente
$]]</f>
        <v>1105400</v>
      </c>
      <c r="S1637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37" s="135">
        <f ca="1">+IF(PROVEEDORES[[#This Row],[FECHA DE PAGO]]=0,TODAY()-PROVEEDORES[[#This Row],[FECHA DE FACTURACIÓN]]-PROVEEDORES[[#This Row],[PLAZO Días]],0)</f>
        <v>0</v>
      </c>
      <c r="U1637" s="135" t="str">
        <f>+VLOOKUP(PROVEEDORES[[#This Row],[PROVEEDOR]],Terceros!$A:$D,4,FALSE)</f>
        <v>2,5% con base</v>
      </c>
      <c r="V1637" s="135">
        <f>+YEAR(PROVEEDORES[[#This Row],[FECHA DE FACTURACIÓN]])</f>
        <v>2024</v>
      </c>
      <c r="W1637" s="135">
        <f>+MATCH(PROVEEDORES[[#This Row],[año facturado]],Retenciones!$1:$1,0)</f>
        <v>7</v>
      </c>
      <c r="X1637" s="136">
        <f>+VLOOKUP(PROVEEDORES[[#This Row],[ID RETENCION]],Retenciones!$A$1:$O$25,PROVEEDORES[[#This Row],[indicador de columna]],FALSE)</f>
        <v>1271000</v>
      </c>
      <c r="Y1637" s="137">
        <f>+VLOOKUP(PROVEEDORES[[#This Row],[ID RETENCION]],Retenciones!$A$1:$O$25,2,FALSE)</f>
        <v>2.5000000000000001E-2</v>
      </c>
      <c r="Z1637" s="126" t="b">
        <f>+OR(COUNTIF(PROVEEDORES[[#This Row],[PROVEEDOR]],"*"&amp;'Palabra que no opera y Listas d'!$A$2&amp;"*"))</f>
        <v>0</v>
      </c>
    </row>
    <row r="1638" spans="1:26" ht="27.75" customHeight="1" x14ac:dyDescent="0.25">
      <c r="A1638" s="141" t="str">
        <f>+IF(PROVEEDORES[[#This Row],[FECHA DE PAGO]]=PROVEEDORES[[#This Row],[FECHA DE FACTURACIÓN]],"DE CONTADO","CRÉDITO")</f>
        <v>CRÉDITO</v>
      </c>
      <c r="B1638" s="138" t="b">
        <f>+IF((PROVEEDORES[[#This Row],[FECHA DE PAGO]]-PROVEEDORES[[#This Row],[FECHA DE FACTURACIÓN]])&gt;PROVEEDORES[[#This Row],[PLAZO Días]],"PAGO VENCIDO")</f>
        <v>0</v>
      </c>
      <c r="C1638" s="138">
        <f>+VLOOKUP(PROVEEDORES[[#This Row],[PROVEEDOR]],TERCEROS_INFO[#All],2,FALSE)</f>
        <v>30</v>
      </c>
      <c r="D1638" s="139">
        <f>+SUMIFS(PROVEEDORES[Total],PROVEEDORES[PROVEEDOR],PROVEEDORES[[#This Row],[PROVEEDOR]],PROVEEDORES[FECHA DE PAGO],"")</f>
        <v>1350000</v>
      </c>
      <c r="E1638" s="140"/>
      <c r="F1638" s="138" t="str">
        <f>+VLOOKUP(PROVEEDORES[[#This Row],[PROVEEDOR]],
                       Terceros!$A:$F,
                       5,
                       FALSE)</f>
        <v/>
      </c>
      <c r="G1638" s="127"/>
      <c r="H1638" s="123" t="s">
        <v>1807</v>
      </c>
      <c r="I1638" s="127">
        <v>45440</v>
      </c>
      <c r="J1638" s="124" t="s">
        <v>1917</v>
      </c>
      <c r="K1638" s="124" t="s">
        <v>1530</v>
      </c>
      <c r="L1638" s="124"/>
      <c r="M1638" s="125">
        <v>1350000</v>
      </c>
      <c r="N1638" s="148">
        <f>+(PROVEEDORES[[#This Row],[SUBTOTAL]])*VLOOKUP(PROVEEDORES[[#This Row],[PROVEEDOR]],TERCEROS_INFO[#All],3,FALSE)</f>
        <v>0</v>
      </c>
      <c r="O1638" s="148">
        <f>+'Palabra que no opera y Listas d'!$D$2</f>
        <v>0</v>
      </c>
      <c r="P1638" s="149">
        <f>+IF(PROVEEDORES[[#This Row],[SUBTOTAL]]&lt;PROVEEDORES[[#This Row],[base retencion]],0,PROVEEDORES[[#This Row],[retención aplicada]])</f>
        <v>0</v>
      </c>
      <c r="Q1638" s="148">
        <f>+PROVEEDORES[[#This Row],[ReteFuente
%]]*(PROVEEDORES[[#This Row],[SUBTOTAL]])</f>
        <v>0</v>
      </c>
      <c r="R1638" s="150">
        <f>+PROVEEDORES[[#This Row],[SUBTOTAL]]+PROVEEDORES[[#This Row],[IVA 19%]]-PROVEEDORES[[#This Row],[Descuento
$]]-PROVEEDORES[[#This Row],[ReteFuente
$]]</f>
        <v>1350000</v>
      </c>
      <c r="S1638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38" s="135">
        <f ca="1">+IF(PROVEEDORES[[#This Row],[FECHA DE PAGO]]=0,TODAY()-PROVEEDORES[[#This Row],[FECHA DE FACTURACIÓN]]-PROVEEDORES[[#This Row],[PLAZO Días]],0)</f>
        <v>-23</v>
      </c>
      <c r="U1638" s="135">
        <f>+VLOOKUP(PROVEEDORES[[#This Row],[PROVEEDOR]],Terceros!$A:$D,4,FALSE)</f>
        <v>0</v>
      </c>
      <c r="V1638" s="135">
        <f>+YEAR(PROVEEDORES[[#This Row],[FECHA DE FACTURACIÓN]])</f>
        <v>2024</v>
      </c>
      <c r="W1638" s="135">
        <f>+MATCH(PROVEEDORES[[#This Row],[año facturado]],Retenciones!$1:$1,0)</f>
        <v>7</v>
      </c>
      <c r="X1638" s="136">
        <f>+VLOOKUP(PROVEEDORES[[#This Row],[ID RETENCION]],Retenciones!$A$1:$O$25,PROVEEDORES[[#This Row],[indicador de columna]],FALSE)</f>
        <v>0</v>
      </c>
      <c r="Y1638" s="137">
        <f>+VLOOKUP(PROVEEDORES[[#This Row],[ID RETENCION]],Retenciones!$A$1:$O$25,2,FALSE)</f>
        <v>0</v>
      </c>
      <c r="Z1638" s="126" t="b">
        <f>+OR(COUNTIF(PROVEEDORES[[#This Row],[PROVEEDOR]],"*"&amp;'Palabra que no opera y Listas d'!$A$2&amp;"*"))</f>
        <v>0</v>
      </c>
    </row>
    <row r="1639" spans="1:26" ht="27.75" customHeight="1" x14ac:dyDescent="0.25">
      <c r="A1639" s="141" t="str">
        <f>+IF(PROVEEDORES[[#This Row],[FECHA DE PAGO]]=PROVEEDORES[[#This Row],[FECHA DE FACTURACIÓN]],"DE CONTADO","CRÉDITO")</f>
        <v>CRÉDITO</v>
      </c>
      <c r="B1639" s="138" t="b">
        <f>+IF((PROVEEDORES[[#This Row],[FECHA DE PAGO]]-PROVEEDORES[[#This Row],[FECHA DE FACTURACIÓN]])&gt;PROVEEDORES[[#This Row],[PLAZO Días]],"PAGO VENCIDO")</f>
        <v>0</v>
      </c>
      <c r="C1639" s="138">
        <f>+VLOOKUP(PROVEEDORES[[#This Row],[PROVEEDOR]],TERCEROS_INFO[#All],2,FALSE)</f>
        <v>30</v>
      </c>
      <c r="D1639" s="139">
        <f>+SUMIFS(PROVEEDORES[Total],PROVEEDORES[PROVEEDOR],PROVEEDORES[[#This Row],[PROVEEDOR]],PROVEEDORES[FECHA DE PAGO],"")</f>
        <v>4316000</v>
      </c>
      <c r="E1639" s="140"/>
      <c r="F1639" s="138" t="str">
        <f>+VLOOKUP(PROVEEDORES[[#This Row],[PROVEEDOR]],
                       Terceros!$A:$F,
                       5,
                       FALSE)</f>
        <v/>
      </c>
      <c r="G1639" s="127"/>
      <c r="H1639" s="123" t="s">
        <v>1812</v>
      </c>
      <c r="I1639" s="127">
        <v>45433</v>
      </c>
      <c r="J1639" s="124" t="s">
        <v>1918</v>
      </c>
      <c r="K1639" s="124" t="s">
        <v>1530</v>
      </c>
      <c r="L1639" s="124"/>
      <c r="M1639" s="125">
        <v>2063000</v>
      </c>
      <c r="N1639" s="148">
        <f>+(PROVEEDORES[[#This Row],[SUBTOTAL]])*VLOOKUP(PROVEEDORES[[#This Row],[PROVEEDOR]],TERCEROS_INFO[#All],3,FALSE)</f>
        <v>0</v>
      </c>
      <c r="O1639" s="148">
        <f>+'Palabra que no opera y Listas d'!$D$2</f>
        <v>0</v>
      </c>
      <c r="P1639" s="149">
        <f>+IF(PROVEEDORES[[#This Row],[SUBTOTAL]]&lt;PROVEEDORES[[#This Row],[base retencion]],0,PROVEEDORES[[#This Row],[retención aplicada]])</f>
        <v>0</v>
      </c>
      <c r="Q1639" s="148">
        <f>+PROVEEDORES[[#This Row],[ReteFuente
%]]*(PROVEEDORES[[#This Row],[SUBTOTAL]])</f>
        <v>0</v>
      </c>
      <c r="R1639" s="150">
        <f>+PROVEEDORES[[#This Row],[SUBTOTAL]]+PROVEEDORES[[#This Row],[IVA 19%]]-PROVEEDORES[[#This Row],[Descuento
$]]-PROVEEDORES[[#This Row],[ReteFuente
$]]</f>
        <v>2063000</v>
      </c>
      <c r="S1639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39" s="135">
        <f ca="1">+IF(PROVEEDORES[[#This Row],[FECHA DE PAGO]]=0,TODAY()-PROVEEDORES[[#This Row],[FECHA DE FACTURACIÓN]]-PROVEEDORES[[#This Row],[PLAZO Días]],0)</f>
        <v>-16</v>
      </c>
      <c r="U1639" s="135">
        <f>+VLOOKUP(PROVEEDORES[[#This Row],[PROVEEDOR]],Terceros!$A:$D,4,FALSE)</f>
        <v>0</v>
      </c>
      <c r="V1639" s="135">
        <f>+YEAR(PROVEEDORES[[#This Row],[FECHA DE FACTURACIÓN]])</f>
        <v>2024</v>
      </c>
      <c r="W1639" s="135">
        <f>+MATCH(PROVEEDORES[[#This Row],[año facturado]],Retenciones!$1:$1,0)</f>
        <v>7</v>
      </c>
      <c r="X1639" s="136">
        <f>+VLOOKUP(PROVEEDORES[[#This Row],[ID RETENCION]],Retenciones!$A$1:$O$25,PROVEEDORES[[#This Row],[indicador de columna]],FALSE)</f>
        <v>0</v>
      </c>
      <c r="Y1639" s="137">
        <f>+VLOOKUP(PROVEEDORES[[#This Row],[ID RETENCION]],Retenciones!$A$1:$O$25,2,FALSE)</f>
        <v>0</v>
      </c>
      <c r="Z1639" s="126" t="b">
        <f>+OR(COUNTIF(PROVEEDORES[[#This Row],[PROVEEDOR]],"*"&amp;'Palabra que no opera y Listas d'!$A$2&amp;"*"))</f>
        <v>0</v>
      </c>
    </row>
    <row r="1640" spans="1:26" ht="27.75" customHeight="1" x14ac:dyDescent="0.25">
      <c r="A1640" s="141" t="str">
        <f>+IF(PROVEEDORES[[#This Row],[FECHA DE PAGO]]=PROVEEDORES[[#This Row],[FECHA DE FACTURACIÓN]],"DE CONTADO","CRÉDITO")</f>
        <v>CRÉDITO</v>
      </c>
      <c r="B1640" s="138" t="b">
        <f>+IF((PROVEEDORES[[#This Row],[FECHA DE PAGO]]-PROVEEDORES[[#This Row],[FECHA DE FACTURACIÓN]])&gt;PROVEEDORES[[#This Row],[PLAZO Días]],"PAGO VENCIDO")</f>
        <v>0</v>
      </c>
      <c r="C1640" s="138">
        <f>+VLOOKUP(PROVEEDORES[[#This Row],[PROVEEDOR]],TERCEROS_INFO[#All],2,FALSE)</f>
        <v>30</v>
      </c>
      <c r="D1640" s="139">
        <f>+SUMIFS(PROVEEDORES[Total],PROVEEDORES[PROVEEDOR],PROVEEDORES[[#This Row],[PROVEEDOR]],PROVEEDORES[FECHA DE PAGO],"")</f>
        <v>2080356.81</v>
      </c>
      <c r="E1640" s="140"/>
      <c r="F1640" s="138" t="str">
        <f>+VLOOKUP(PROVEEDORES[[#This Row],[PROVEEDOR]],
                       Terceros!$A:$F,
                       5,
                       FALSE)</f>
        <v>cartera@makingbusiness.com.co;tesoreria@makingbusiness.com.co;girlesa.ruiz@servipilas.com;joriescobar64@gmail.com</v>
      </c>
      <c r="G1640" s="127"/>
      <c r="H1640" s="123" t="s">
        <v>31</v>
      </c>
      <c r="I1640" s="127">
        <v>45427</v>
      </c>
      <c r="J1640" s="124" t="s">
        <v>1919</v>
      </c>
      <c r="K1640" s="124" t="s">
        <v>1530</v>
      </c>
      <c r="L1640" s="124"/>
      <c r="M1640" s="125">
        <v>1785714</v>
      </c>
      <c r="N1640" s="148">
        <f>+(PROVEEDORES[[#This Row],[SUBTOTAL]])*VLOOKUP(PROVEEDORES[[#This Row],[PROVEEDOR]],TERCEROS_INFO[#All],3,FALSE)</f>
        <v>339285.66000000003</v>
      </c>
      <c r="O1640" s="148">
        <f>+'Palabra que no opera y Listas d'!$D$2</f>
        <v>0</v>
      </c>
      <c r="P1640" s="149">
        <f>+IF(PROVEEDORES[[#This Row],[SUBTOTAL]]&lt;PROVEEDORES[[#This Row],[base retencion]],0,PROVEEDORES[[#This Row],[retención aplicada]])</f>
        <v>2.5000000000000001E-2</v>
      </c>
      <c r="Q1640" s="148">
        <f>+PROVEEDORES[[#This Row],[ReteFuente
%]]*(PROVEEDORES[[#This Row],[SUBTOTAL]])</f>
        <v>44642.850000000006</v>
      </c>
      <c r="R1640" s="150">
        <f>+PROVEEDORES[[#This Row],[SUBTOTAL]]+PROVEEDORES[[#This Row],[IVA 19%]]-PROVEEDORES[[#This Row],[Descuento
$]]-PROVEEDORES[[#This Row],[ReteFuente
$]]</f>
        <v>2080356.81</v>
      </c>
      <c r="S1640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40" s="135">
        <f ca="1">+IF(PROVEEDORES[[#This Row],[FECHA DE PAGO]]=0,TODAY()-PROVEEDORES[[#This Row],[FECHA DE FACTURACIÓN]]-PROVEEDORES[[#This Row],[PLAZO Días]],0)</f>
        <v>-10</v>
      </c>
      <c r="U1640" s="135" t="str">
        <f>+VLOOKUP(PROVEEDORES[[#This Row],[PROVEEDOR]],Terceros!$A:$D,4,FALSE)</f>
        <v>2,5% con base</v>
      </c>
      <c r="V1640" s="135">
        <f>+YEAR(PROVEEDORES[[#This Row],[FECHA DE FACTURACIÓN]])</f>
        <v>2024</v>
      </c>
      <c r="W1640" s="135">
        <f>+MATCH(PROVEEDORES[[#This Row],[año facturado]],Retenciones!$1:$1,0)</f>
        <v>7</v>
      </c>
      <c r="X1640" s="136">
        <f>+VLOOKUP(PROVEEDORES[[#This Row],[ID RETENCION]],Retenciones!$A$1:$O$25,PROVEEDORES[[#This Row],[indicador de columna]],FALSE)</f>
        <v>1271000</v>
      </c>
      <c r="Y1640" s="137">
        <f>+VLOOKUP(PROVEEDORES[[#This Row],[ID RETENCION]],Retenciones!$A$1:$O$25,2,FALSE)</f>
        <v>2.5000000000000001E-2</v>
      </c>
      <c r="Z1640" s="126" t="b">
        <f>+OR(COUNTIF(PROVEEDORES[[#This Row],[PROVEEDOR]],"*"&amp;'Palabra que no opera y Listas d'!$A$2&amp;"*"))</f>
        <v>0</v>
      </c>
    </row>
    <row r="1641" spans="1:26" ht="27.75" customHeight="1" x14ac:dyDescent="0.25">
      <c r="A1641" s="141" t="str">
        <f>+IF(PROVEEDORES[[#This Row],[FECHA DE PAGO]]=PROVEEDORES[[#This Row],[FECHA DE FACTURACIÓN]],"DE CONTADO","CRÉDITO")</f>
        <v>CRÉDITO</v>
      </c>
      <c r="B1641" s="138" t="b">
        <f>+IF((PROVEEDORES[[#This Row],[FECHA DE PAGO]]-PROVEEDORES[[#This Row],[FECHA DE FACTURACIÓN]])&gt;PROVEEDORES[[#This Row],[PLAZO Días]],"PAGO VENCIDO")</f>
        <v>0</v>
      </c>
      <c r="C1641" s="138">
        <f>+VLOOKUP(PROVEEDORES[[#This Row],[PROVEEDOR]],TERCEROS_INFO[#All],2,FALSE)</f>
        <v>30</v>
      </c>
      <c r="D1641" s="139">
        <f>+SUMIFS(PROVEEDORES[Total],PROVEEDORES[PROVEEDOR],PROVEEDORES[[#This Row],[PROVEEDOR]],PROVEEDORES[FECHA DE PAGO],"")</f>
        <v>1695707.16</v>
      </c>
      <c r="E1641" s="140"/>
      <c r="F1641" s="138" t="str">
        <f>+VLOOKUP(PROVEEDORES[[#This Row],[PROVEEDOR]],
                       Terceros!$A:$F,
                       5,
                       FALSE)</f>
        <v>aleja-1305agudelo@hotmail.com;provecol@une.net.co;girlesa.ruiz@servipilas.com;joriescobar64@gmail.com</v>
      </c>
      <c r="G1641" s="127"/>
      <c r="H1641" s="123" t="s">
        <v>194</v>
      </c>
      <c r="I1641" s="127">
        <v>45420</v>
      </c>
      <c r="J1641" s="124" t="s">
        <v>1920</v>
      </c>
      <c r="K1641" s="124" t="s">
        <v>1530</v>
      </c>
      <c r="L1641" s="124"/>
      <c r="M1641" s="125">
        <v>705480</v>
      </c>
      <c r="N1641" s="148">
        <f>+(PROVEEDORES[[#This Row],[SUBTOTAL]])*VLOOKUP(PROVEEDORES[[#This Row],[PROVEEDOR]],TERCEROS_INFO[#All],3,FALSE)</f>
        <v>134041.20000000001</v>
      </c>
      <c r="O1641" s="148">
        <f>+'Palabra que no opera y Listas d'!$D$2</f>
        <v>0</v>
      </c>
      <c r="P1641" s="149">
        <f>+IF(PROVEEDORES[[#This Row],[SUBTOTAL]]&lt;PROVEEDORES[[#This Row],[base retencion]],0,PROVEEDORES[[#This Row],[retención aplicada]])</f>
        <v>0</v>
      </c>
      <c r="Q1641" s="148">
        <f>+PROVEEDORES[[#This Row],[ReteFuente
%]]*(PROVEEDORES[[#This Row],[SUBTOTAL]])</f>
        <v>0</v>
      </c>
      <c r="R1641" s="150">
        <f>+PROVEEDORES[[#This Row],[SUBTOTAL]]+PROVEEDORES[[#This Row],[IVA 19%]]-PROVEEDORES[[#This Row],[Descuento
$]]-PROVEEDORES[[#This Row],[ReteFuente
$]]</f>
        <v>839521.2</v>
      </c>
      <c r="S1641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41" s="135">
        <f ca="1">+IF(PROVEEDORES[[#This Row],[FECHA DE PAGO]]=0,TODAY()-PROVEEDORES[[#This Row],[FECHA DE FACTURACIÓN]]-PROVEEDORES[[#This Row],[PLAZO Días]],0)</f>
        <v>-3</v>
      </c>
      <c r="U1641" s="135">
        <f>+VLOOKUP(PROVEEDORES[[#This Row],[PROVEEDOR]],Terceros!$A:$D,4,FALSE)</f>
        <v>0</v>
      </c>
      <c r="V1641" s="135">
        <f>+YEAR(PROVEEDORES[[#This Row],[FECHA DE FACTURACIÓN]])</f>
        <v>2024</v>
      </c>
      <c r="W1641" s="135">
        <f>+MATCH(PROVEEDORES[[#This Row],[año facturado]],Retenciones!$1:$1,0)</f>
        <v>7</v>
      </c>
      <c r="X1641" s="136">
        <f>+VLOOKUP(PROVEEDORES[[#This Row],[ID RETENCION]],Retenciones!$A$1:$O$25,PROVEEDORES[[#This Row],[indicador de columna]],FALSE)</f>
        <v>0</v>
      </c>
      <c r="Y1641" s="137">
        <f>+VLOOKUP(PROVEEDORES[[#This Row],[ID RETENCION]],Retenciones!$A$1:$O$25,2,FALSE)</f>
        <v>0</v>
      </c>
      <c r="Z1641" s="126" t="b">
        <f>+OR(COUNTIF(PROVEEDORES[[#This Row],[PROVEEDOR]],"*"&amp;'Palabra que no opera y Listas d'!$A$2&amp;"*"))</f>
        <v>0</v>
      </c>
    </row>
    <row r="1642" spans="1:26" ht="27.75" customHeight="1" x14ac:dyDescent="0.25">
      <c r="A1642" s="141" t="str">
        <f>+IF(PROVEEDORES[[#This Row],[FECHA DE PAGO]]=PROVEEDORES[[#This Row],[FECHA DE FACTURACIÓN]],"DE CONTADO","CRÉDITO")</f>
        <v>CRÉDITO</v>
      </c>
      <c r="B1642" s="138" t="b">
        <f>+IF((PROVEEDORES[[#This Row],[FECHA DE PAGO]]-PROVEEDORES[[#This Row],[FECHA DE FACTURACIÓN]])&gt;PROVEEDORES[[#This Row],[PLAZO Días]],"PAGO VENCIDO")</f>
        <v>0</v>
      </c>
      <c r="C1642" s="138">
        <f>+VLOOKUP(PROVEEDORES[[#This Row],[PROVEEDOR]],TERCEROS_INFO[#All],2,FALSE)</f>
        <v>30</v>
      </c>
      <c r="D1642" s="139">
        <f>+SUMIFS(PROVEEDORES[Total],PROVEEDORES[PROVEEDOR],PROVEEDORES[[#This Row],[PROVEEDOR]],PROVEEDORES[FECHA DE PAGO],"")</f>
        <v>1443796.06</v>
      </c>
      <c r="E1642" s="140"/>
      <c r="F1642" s="138" t="str">
        <f>+VLOOKUP(PROVEEDORES[[#This Row],[PROVEEDOR]],
                       Terceros!$A:$F,
                       5,
                       FALSE)</f>
        <v>juancarlos.mojocoa@gmail.com;girlesa.ruiz@servipilas.com;joriescobar64@gmail.com</v>
      </c>
      <c r="G1642" s="127"/>
      <c r="H1642" s="123" t="s">
        <v>1921</v>
      </c>
      <c r="I1642" s="127">
        <v>45433</v>
      </c>
      <c r="J1642" s="124" t="s">
        <v>1923</v>
      </c>
      <c r="K1642" s="124" t="s">
        <v>1530</v>
      </c>
      <c r="L1642" s="124"/>
      <c r="M1642" s="125">
        <v>1213274</v>
      </c>
      <c r="N1642" s="148">
        <f>+(PROVEEDORES[[#This Row],[SUBTOTAL]])*VLOOKUP(PROVEEDORES[[#This Row],[PROVEEDOR]],TERCEROS_INFO[#All],3,FALSE)</f>
        <v>230522.06</v>
      </c>
      <c r="O1642" s="148">
        <f>+'Palabra que no opera y Listas d'!$D$2</f>
        <v>0</v>
      </c>
      <c r="P1642" s="149">
        <f>+IF(PROVEEDORES[[#This Row],[SUBTOTAL]]&lt;PROVEEDORES[[#This Row],[base retencion]],0,PROVEEDORES[[#This Row],[retención aplicada]])</f>
        <v>0</v>
      </c>
      <c r="Q1642" s="148">
        <f>+PROVEEDORES[[#This Row],[ReteFuente
%]]*(PROVEEDORES[[#This Row],[SUBTOTAL]])</f>
        <v>0</v>
      </c>
      <c r="R1642" s="150">
        <f>+PROVEEDORES[[#This Row],[SUBTOTAL]]+PROVEEDORES[[#This Row],[IVA 19%]]-PROVEEDORES[[#This Row],[Descuento
$]]-PROVEEDORES[[#This Row],[ReteFuente
$]]</f>
        <v>1443796.06</v>
      </c>
      <c r="S1642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42" s="135">
        <f ca="1">+IF(PROVEEDORES[[#This Row],[FECHA DE PAGO]]=0,TODAY()-PROVEEDORES[[#This Row],[FECHA DE FACTURACIÓN]]-PROVEEDORES[[#This Row],[PLAZO Días]],0)</f>
        <v>-16</v>
      </c>
      <c r="U1642" s="135" t="str">
        <f>+VLOOKUP(PROVEEDORES[[#This Row],[PROVEEDOR]],Terceros!$A:$D,4,FALSE)</f>
        <v>2,5% con base</v>
      </c>
      <c r="V1642" s="135">
        <f>+YEAR(PROVEEDORES[[#This Row],[FECHA DE FACTURACIÓN]])</f>
        <v>2024</v>
      </c>
      <c r="W1642" s="135">
        <f>+MATCH(PROVEEDORES[[#This Row],[año facturado]],Retenciones!$1:$1,0)</f>
        <v>7</v>
      </c>
      <c r="X1642" s="136">
        <f>+VLOOKUP(PROVEEDORES[[#This Row],[ID RETENCION]],Retenciones!$A$1:$O$25,PROVEEDORES[[#This Row],[indicador de columna]],FALSE)</f>
        <v>1271000</v>
      </c>
      <c r="Y1642" s="137">
        <f>+VLOOKUP(PROVEEDORES[[#This Row],[ID RETENCION]],Retenciones!$A$1:$O$25,2,FALSE)</f>
        <v>2.5000000000000001E-2</v>
      </c>
      <c r="Z1642" s="126" t="b">
        <f>+OR(COUNTIF(PROVEEDORES[[#This Row],[PROVEEDOR]],"*"&amp;'Palabra que no opera y Listas d'!$A$2&amp;"*"))</f>
        <v>0</v>
      </c>
    </row>
    <row r="1643" spans="1:26" ht="27.75" customHeight="1" x14ac:dyDescent="0.25">
      <c r="A1643" s="141" t="str">
        <f>+IF(PROVEEDORES[[#This Row],[FECHA DE PAGO]]=PROVEEDORES[[#This Row],[FECHA DE FACTURACIÓN]],"DE CONTADO","CRÉDITO")</f>
        <v>CRÉDITO</v>
      </c>
      <c r="B1643" s="138" t="b">
        <f>+IF((PROVEEDORES[[#This Row],[FECHA DE PAGO]]-PROVEEDORES[[#This Row],[FECHA DE FACTURACIÓN]])&gt;PROVEEDORES[[#This Row],[PLAZO Días]],"PAGO VENCIDO")</f>
        <v>0</v>
      </c>
      <c r="C1643" s="138">
        <f>+VLOOKUP(PROVEEDORES[[#This Row],[PROVEEDOR]],TERCEROS_INFO[#All],2,FALSE)</f>
        <v>30</v>
      </c>
      <c r="D1643" s="139">
        <f>+SUMIFS(PROVEEDORES[Total],PROVEEDORES[PROVEEDOR],PROVEEDORES[[#This Row],[PROVEEDOR]],PROVEEDORES[FECHA DE PAGO],"")</f>
        <v>12628497</v>
      </c>
      <c r="E1643" s="140"/>
      <c r="F1643" s="138" t="str">
        <f>+VLOOKUP(PROVEEDORES[[#This Row],[PROVEEDOR]],
                       Terceros!$A:$F,
                       5,
                       FALSE)</f>
        <v>financiera@nalpicentral.com;girlesa.ruiz@servipilas.com;joriescobar64@gmail.com</v>
      </c>
      <c r="G1643" s="127"/>
      <c r="H1643" s="123" t="s">
        <v>451</v>
      </c>
      <c r="I1643" s="127">
        <v>45429</v>
      </c>
      <c r="J1643" s="124">
        <v>34763</v>
      </c>
      <c r="K1643" s="124" t="s">
        <v>1530</v>
      </c>
      <c r="L1643" s="124"/>
      <c r="M1643" s="125">
        <v>2820000</v>
      </c>
      <c r="N1643" s="148">
        <f>+(PROVEEDORES[[#This Row],[SUBTOTAL]])*VLOOKUP(PROVEEDORES[[#This Row],[PROVEEDOR]],TERCEROS_INFO[#All],3,FALSE)</f>
        <v>535800</v>
      </c>
      <c r="O1643" s="148">
        <f>+'Palabra que no opera y Listas d'!$D$2</f>
        <v>0</v>
      </c>
      <c r="P1643" s="149">
        <f>+IF(PROVEEDORES[[#This Row],[SUBTOTAL]]&lt;PROVEEDORES[[#This Row],[base retencion]],0,PROVEEDORES[[#This Row],[retención aplicada]])</f>
        <v>2.5000000000000001E-2</v>
      </c>
      <c r="Q1643" s="148">
        <f>+PROVEEDORES[[#This Row],[ReteFuente
%]]*(PROVEEDORES[[#This Row],[SUBTOTAL]])</f>
        <v>70500</v>
      </c>
      <c r="R1643" s="150">
        <f>+PROVEEDORES[[#This Row],[SUBTOTAL]]+PROVEEDORES[[#This Row],[IVA 19%]]-PROVEEDORES[[#This Row],[Descuento
$]]-PROVEEDORES[[#This Row],[ReteFuente
$]]</f>
        <v>3285300</v>
      </c>
      <c r="S1643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43" s="135">
        <f ca="1">+IF(PROVEEDORES[[#This Row],[FECHA DE PAGO]]=0,TODAY()-PROVEEDORES[[#This Row],[FECHA DE FACTURACIÓN]]-PROVEEDORES[[#This Row],[PLAZO Días]],0)</f>
        <v>-12</v>
      </c>
      <c r="U1643" s="135" t="str">
        <f>+VLOOKUP(PROVEEDORES[[#This Row],[PROVEEDOR]],Terceros!$A:$D,4,FALSE)</f>
        <v>2,5% con base</v>
      </c>
      <c r="V1643" s="135">
        <f>+YEAR(PROVEEDORES[[#This Row],[FECHA DE FACTURACIÓN]])</f>
        <v>2024</v>
      </c>
      <c r="W1643" s="135">
        <f>+MATCH(PROVEEDORES[[#This Row],[año facturado]],Retenciones!$1:$1,0)</f>
        <v>7</v>
      </c>
      <c r="X1643" s="136">
        <f>+VLOOKUP(PROVEEDORES[[#This Row],[ID RETENCION]],Retenciones!$A$1:$O$25,PROVEEDORES[[#This Row],[indicador de columna]],FALSE)</f>
        <v>1271000</v>
      </c>
      <c r="Y1643" s="137">
        <f>+VLOOKUP(PROVEEDORES[[#This Row],[ID RETENCION]],Retenciones!$A$1:$O$25,2,FALSE)</f>
        <v>2.5000000000000001E-2</v>
      </c>
      <c r="Z1643" s="126" t="b">
        <f>+OR(COUNTIF(PROVEEDORES[[#This Row],[PROVEEDOR]],"*"&amp;'Palabra que no opera y Listas d'!$A$2&amp;"*"))</f>
        <v>0</v>
      </c>
    </row>
    <row r="1644" spans="1:26" ht="27.75" customHeight="1" x14ac:dyDescent="0.25">
      <c r="A1644" s="141" t="str">
        <f>+IF(PROVEEDORES[[#This Row],[FECHA DE PAGO]]=PROVEEDORES[[#This Row],[FECHA DE FACTURACIÓN]],"DE CONTADO","CRÉDITO")</f>
        <v>CRÉDITO</v>
      </c>
      <c r="B1644" s="138" t="b">
        <f>+IF((PROVEEDORES[[#This Row],[FECHA DE PAGO]]-PROVEEDORES[[#This Row],[FECHA DE FACTURACIÓN]])&gt;PROVEEDORES[[#This Row],[PLAZO Días]],"PAGO VENCIDO")</f>
        <v>0</v>
      </c>
      <c r="C1644" s="138">
        <f>+VLOOKUP(PROVEEDORES[[#This Row],[PROVEEDOR]],TERCEROS_INFO[#All],2,FALSE)</f>
        <v>30</v>
      </c>
      <c r="D1644" s="139">
        <f>+SUMIFS(PROVEEDORES[Total],PROVEEDORES[PROVEEDOR],PROVEEDORES[[#This Row],[PROVEEDOR]],PROVEEDORES[FECHA DE PAGO],"")</f>
        <v>0</v>
      </c>
      <c r="E1644" s="140"/>
      <c r="F1644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1644" s="127">
        <v>45442</v>
      </c>
      <c r="H1644" s="123" t="s">
        <v>1863</v>
      </c>
      <c r="I1644" s="127">
        <v>45440</v>
      </c>
      <c r="J1644" s="124" t="s">
        <v>1926</v>
      </c>
      <c r="K1644" s="124" t="s">
        <v>1530</v>
      </c>
      <c r="L1644" s="124" t="s">
        <v>1534</v>
      </c>
      <c r="M1644" s="125">
        <v>230424</v>
      </c>
      <c r="N1644" s="148">
        <f>+(PROVEEDORES[[#This Row],[SUBTOTAL]])*VLOOKUP(PROVEEDORES[[#This Row],[PROVEEDOR]],TERCEROS_INFO[#All],3,FALSE)</f>
        <v>0</v>
      </c>
      <c r="O1644" s="148">
        <f>+'Palabra que no opera y Listas d'!$D$2</f>
        <v>0</v>
      </c>
      <c r="P1644" s="149">
        <f>+IF(PROVEEDORES[[#This Row],[SUBTOTAL]]&lt;PROVEEDORES[[#This Row],[base retencion]],0,PROVEEDORES[[#This Row],[retención aplicada]])</f>
        <v>0</v>
      </c>
      <c r="Q1644" s="148">
        <f>+PROVEEDORES[[#This Row],[ReteFuente
%]]*(PROVEEDORES[[#This Row],[SUBTOTAL]])</f>
        <v>0</v>
      </c>
      <c r="R1644" s="150">
        <f>+PROVEEDORES[[#This Row],[SUBTOTAL]]+PROVEEDORES[[#This Row],[IVA 19%]]-PROVEEDORES[[#This Row],[Descuento
$]]-PROVEEDORES[[#This Row],[ReteFuente
$]]</f>
        <v>230424</v>
      </c>
      <c r="S1644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44" s="135">
        <f ca="1">+IF(PROVEEDORES[[#This Row],[FECHA DE PAGO]]=0,TODAY()-PROVEEDORES[[#This Row],[FECHA DE FACTURACIÓN]]-PROVEEDORES[[#This Row],[PLAZO Días]],0)</f>
        <v>0</v>
      </c>
      <c r="U1644" s="135">
        <f>+VLOOKUP(PROVEEDORES[[#This Row],[PROVEEDOR]],Terceros!$A:$D,4,FALSE)</f>
        <v>0</v>
      </c>
      <c r="V1644" s="135">
        <f>+YEAR(PROVEEDORES[[#This Row],[FECHA DE FACTURACIÓN]])</f>
        <v>2024</v>
      </c>
      <c r="W1644" s="135">
        <f>+MATCH(PROVEEDORES[[#This Row],[año facturado]],Retenciones!$1:$1,0)</f>
        <v>7</v>
      </c>
      <c r="X1644" s="136">
        <f>+VLOOKUP(PROVEEDORES[[#This Row],[ID RETENCION]],Retenciones!$A$1:$O$25,PROVEEDORES[[#This Row],[indicador de columna]],FALSE)</f>
        <v>0</v>
      </c>
      <c r="Y1644" s="137">
        <f>+VLOOKUP(PROVEEDORES[[#This Row],[ID RETENCION]],Retenciones!$A$1:$O$25,2,FALSE)</f>
        <v>0</v>
      </c>
      <c r="Z1644" s="126" t="b">
        <f>+OR(COUNTIF(PROVEEDORES[[#This Row],[PROVEEDOR]],"*"&amp;'Palabra que no opera y Listas d'!$A$2&amp;"*"))</f>
        <v>0</v>
      </c>
    </row>
    <row r="1645" spans="1:26" ht="27.75" customHeight="1" x14ac:dyDescent="0.25">
      <c r="A1645" s="141" t="str">
        <f>+IF(PROVEEDORES[[#This Row],[FECHA DE PAGO]]=PROVEEDORES[[#This Row],[FECHA DE FACTURACIÓN]],"DE CONTADO","CRÉDITO")</f>
        <v>CRÉDITO</v>
      </c>
      <c r="B1645" s="138" t="b">
        <f>+IF((PROVEEDORES[[#This Row],[FECHA DE PAGO]]-PROVEEDORES[[#This Row],[FECHA DE FACTURACIÓN]])&gt;PROVEEDORES[[#This Row],[PLAZO Días]],"PAGO VENCIDO")</f>
        <v>0</v>
      </c>
      <c r="C1645" s="138">
        <f>+VLOOKUP(PROVEEDORES[[#This Row],[PROVEEDOR]],TERCEROS_INFO[#All],2,FALSE)</f>
        <v>60</v>
      </c>
      <c r="D1645" s="139">
        <f>+SUMIFS(PROVEEDORES[Total],PROVEEDORES[PROVEEDOR],PROVEEDORES[[#This Row],[PROVEEDOR]],PROVEEDORES[FECHA DE PAGO],"")</f>
        <v>1730482</v>
      </c>
      <c r="E1645" s="140"/>
      <c r="F1645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45" s="127"/>
      <c r="H1645" s="123" t="s">
        <v>222</v>
      </c>
      <c r="I1645" s="127">
        <v>45442</v>
      </c>
      <c r="J1645" s="124">
        <v>2043</v>
      </c>
      <c r="K1645" s="124" t="s">
        <v>504</v>
      </c>
      <c r="L1645" s="124"/>
      <c r="M1645" s="125">
        <v>581932</v>
      </c>
      <c r="N1645" s="148">
        <f>+(PROVEEDORES[[#This Row],[SUBTOTAL]])*VLOOKUP(PROVEEDORES[[#This Row],[PROVEEDOR]],TERCEROS_INFO[#All],3,FALSE)</f>
        <v>0</v>
      </c>
      <c r="O1645" s="148">
        <f>+'Palabra que no opera y Listas d'!$D$2</f>
        <v>0</v>
      </c>
      <c r="P1645" s="149">
        <f>+IF(PROVEEDORES[[#This Row],[SUBTOTAL]]&lt;PROVEEDORES[[#This Row],[base retencion]],0,PROVEEDORES[[#This Row],[retención aplicada]])</f>
        <v>0</v>
      </c>
      <c r="Q1645" s="148">
        <f>+PROVEEDORES[[#This Row],[ReteFuente
%]]*(PROVEEDORES[[#This Row],[SUBTOTAL]])</f>
        <v>0</v>
      </c>
      <c r="R1645" s="150">
        <f>+PROVEEDORES[[#This Row],[SUBTOTAL]]+PROVEEDORES[[#This Row],[IVA 19%]]-PROVEEDORES[[#This Row],[Descuento
$]]-PROVEEDORES[[#This Row],[ReteFuente
$]]</f>
        <v>581932</v>
      </c>
      <c r="S1645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45" s="135">
        <f ca="1">+IF(PROVEEDORES[[#This Row],[FECHA DE PAGO]]=0,TODAY()-PROVEEDORES[[#This Row],[FECHA DE FACTURACIÓN]]-PROVEEDORES[[#This Row],[PLAZO Días]],0)</f>
        <v>-55</v>
      </c>
      <c r="U1645" s="135">
        <f>+VLOOKUP(PROVEEDORES[[#This Row],[PROVEEDOR]],Terceros!$A:$D,4,FALSE)</f>
        <v>0</v>
      </c>
      <c r="V1645" s="135">
        <f>+YEAR(PROVEEDORES[[#This Row],[FECHA DE FACTURACIÓN]])</f>
        <v>2024</v>
      </c>
      <c r="W1645" s="135">
        <f>+MATCH(PROVEEDORES[[#This Row],[año facturado]],Retenciones!$1:$1,0)</f>
        <v>7</v>
      </c>
      <c r="X1645" s="136">
        <f>+VLOOKUP(PROVEEDORES[[#This Row],[ID RETENCION]],Retenciones!$A$1:$O$25,PROVEEDORES[[#This Row],[indicador de columna]],FALSE)</f>
        <v>0</v>
      </c>
      <c r="Y1645" s="137">
        <f>+VLOOKUP(PROVEEDORES[[#This Row],[ID RETENCION]],Retenciones!$A$1:$O$25,2,FALSE)</f>
        <v>0</v>
      </c>
      <c r="Z1645" s="126" t="b">
        <f>+OR(COUNTIF(PROVEEDORES[[#This Row],[PROVEEDOR]],"*"&amp;'Palabra que no opera y Listas d'!$A$2&amp;"*"))</f>
        <v>0</v>
      </c>
    </row>
    <row r="1646" spans="1:26" ht="27.75" customHeight="1" x14ac:dyDescent="0.25">
      <c r="A1646" s="141" t="str">
        <f>+IF(PROVEEDORES[[#This Row],[FECHA DE PAGO]]=PROVEEDORES[[#This Row],[FECHA DE FACTURACIÓN]],"DE CONTADO","CRÉDITO")</f>
        <v>CRÉDITO</v>
      </c>
      <c r="B1646" s="138" t="b">
        <f>+IF((PROVEEDORES[[#This Row],[FECHA DE PAGO]]-PROVEEDORES[[#This Row],[FECHA DE FACTURACIÓN]])&gt;PROVEEDORES[[#This Row],[PLAZO Días]],"PAGO VENCIDO")</f>
        <v>0</v>
      </c>
      <c r="C1646" s="138">
        <f>+VLOOKUP(PROVEEDORES[[#This Row],[PROVEEDOR]],TERCEROS_INFO[#All],2,FALSE)</f>
        <v>60</v>
      </c>
      <c r="D1646" s="139">
        <f>+SUMIFS(PROVEEDORES[Total],PROVEEDORES[PROVEEDOR],PROVEEDORES[[#This Row],[PROVEEDOR]],PROVEEDORES[FECHA DE PAGO],"")</f>
        <v>1730482</v>
      </c>
      <c r="E1646" s="140"/>
      <c r="F1646" s="138" t="str">
        <f>+VLOOKUP(PROVEEDORES[[#This Row],[PROVEEDOR]],
                       Terceros!$A:$F,
                       5,
                       FALSE)</f>
        <v>jessica.barrios@carpainternacional.com;girlesa.ruiz@servipilas.com;joriescobar64@gmail.com</v>
      </c>
      <c r="G1646" s="127"/>
      <c r="H1646" s="123" t="s">
        <v>222</v>
      </c>
      <c r="I1646" s="127">
        <v>45442</v>
      </c>
      <c r="J1646" s="124">
        <v>2044</v>
      </c>
      <c r="K1646" s="124" t="s">
        <v>504</v>
      </c>
      <c r="L1646" s="124"/>
      <c r="M1646" s="125">
        <v>505362</v>
      </c>
      <c r="N1646" s="148">
        <f>+(PROVEEDORES[[#This Row],[SUBTOTAL]])*VLOOKUP(PROVEEDORES[[#This Row],[PROVEEDOR]],TERCEROS_INFO[#All],3,FALSE)</f>
        <v>0</v>
      </c>
      <c r="O1646" s="148">
        <f>+'Palabra que no opera y Listas d'!$D$2</f>
        <v>0</v>
      </c>
      <c r="P1646" s="149">
        <f>+IF(PROVEEDORES[[#This Row],[SUBTOTAL]]&lt;PROVEEDORES[[#This Row],[base retencion]],0,PROVEEDORES[[#This Row],[retención aplicada]])</f>
        <v>0</v>
      </c>
      <c r="Q1646" s="148">
        <f>+PROVEEDORES[[#This Row],[ReteFuente
%]]*(PROVEEDORES[[#This Row],[SUBTOTAL]])</f>
        <v>0</v>
      </c>
      <c r="R1646" s="150">
        <f>+PROVEEDORES[[#This Row],[SUBTOTAL]]+PROVEEDORES[[#This Row],[IVA 19%]]-PROVEEDORES[[#This Row],[Descuento
$]]-PROVEEDORES[[#This Row],[ReteFuente
$]]</f>
        <v>505362</v>
      </c>
      <c r="S1646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46" s="135">
        <f ca="1">+IF(PROVEEDORES[[#This Row],[FECHA DE PAGO]]=0,TODAY()-PROVEEDORES[[#This Row],[FECHA DE FACTURACIÓN]]-PROVEEDORES[[#This Row],[PLAZO Días]],0)</f>
        <v>-55</v>
      </c>
      <c r="U1646" s="135">
        <f>+VLOOKUP(PROVEEDORES[[#This Row],[PROVEEDOR]],Terceros!$A:$D,4,FALSE)</f>
        <v>0</v>
      </c>
      <c r="V1646" s="135">
        <f>+YEAR(PROVEEDORES[[#This Row],[FECHA DE FACTURACIÓN]])</f>
        <v>2024</v>
      </c>
      <c r="W1646" s="135">
        <f>+MATCH(PROVEEDORES[[#This Row],[año facturado]],Retenciones!$1:$1,0)</f>
        <v>7</v>
      </c>
      <c r="X1646" s="136">
        <f>+VLOOKUP(PROVEEDORES[[#This Row],[ID RETENCION]],Retenciones!$A$1:$O$25,PROVEEDORES[[#This Row],[indicador de columna]],FALSE)</f>
        <v>0</v>
      </c>
      <c r="Y1646" s="137">
        <f>+VLOOKUP(PROVEEDORES[[#This Row],[ID RETENCION]],Retenciones!$A$1:$O$25,2,FALSE)</f>
        <v>0</v>
      </c>
      <c r="Z1646" s="126" t="b">
        <f>+OR(COUNTIF(PROVEEDORES[[#This Row],[PROVEEDOR]],"*"&amp;'Palabra que no opera y Listas d'!$A$2&amp;"*"))</f>
        <v>0</v>
      </c>
    </row>
    <row r="1647" spans="1:26" ht="27.75" customHeight="1" x14ac:dyDescent="0.25">
      <c r="A1647" s="141" t="str">
        <f>+IF(PROVEEDORES[[#This Row],[FECHA DE PAGO]]=PROVEEDORES[[#This Row],[FECHA DE FACTURACIÓN]],"DE CONTADO","CRÉDITO")</f>
        <v>CRÉDITO</v>
      </c>
      <c r="B1647" s="138" t="b">
        <f>+IF((PROVEEDORES[[#This Row],[FECHA DE PAGO]]-PROVEEDORES[[#This Row],[FECHA DE FACTURACIÓN]])&gt;PROVEEDORES[[#This Row],[PLAZO Días]],"PAGO VENCIDO")</f>
        <v>0</v>
      </c>
      <c r="C1647" s="138">
        <f>+VLOOKUP(PROVEEDORES[[#This Row],[PROVEEDOR]],TERCEROS_INFO[#All],2,FALSE)</f>
        <v>30</v>
      </c>
      <c r="D1647" s="139">
        <f>+SUMIFS(PROVEEDORES[Total],PROVEEDORES[PROVEEDOR],PROVEEDORES[[#This Row],[PROVEEDOR]],PROVEEDORES[FECHA DE PAGO],"")</f>
        <v>1149500</v>
      </c>
      <c r="E1647" s="140"/>
      <c r="F1647" s="138" t="str">
        <f>+VLOOKUP(PROVEEDORES[[#This Row],[PROVEEDOR]],
                       Terceros!$A:$F,
                       5,
                       FALSE)</f>
        <v/>
      </c>
      <c r="G1647" s="127"/>
      <c r="H1647" s="123" t="s">
        <v>1822</v>
      </c>
      <c r="I1647" s="127">
        <v>45441</v>
      </c>
      <c r="J1647" s="124"/>
      <c r="K1647" s="124" t="s">
        <v>1530</v>
      </c>
      <c r="L1647" s="124"/>
      <c r="M1647" s="125">
        <v>1149500</v>
      </c>
      <c r="N1647" s="148">
        <f>+(PROVEEDORES[[#This Row],[SUBTOTAL]])*VLOOKUP(PROVEEDORES[[#This Row],[PROVEEDOR]],TERCEROS_INFO[#All],3,FALSE)</f>
        <v>0</v>
      </c>
      <c r="O1647" s="148">
        <f>+'Palabra que no opera y Listas d'!$D$2</f>
        <v>0</v>
      </c>
      <c r="P1647" s="149">
        <f>+IF(PROVEEDORES[[#This Row],[SUBTOTAL]]&lt;PROVEEDORES[[#This Row],[base retencion]],0,PROVEEDORES[[#This Row],[retención aplicada]])</f>
        <v>0</v>
      </c>
      <c r="Q1647" s="148">
        <f>+PROVEEDORES[[#This Row],[ReteFuente
%]]*(PROVEEDORES[[#This Row],[SUBTOTAL]])</f>
        <v>0</v>
      </c>
      <c r="R1647" s="150">
        <f>+PROVEEDORES[[#This Row],[SUBTOTAL]]+PROVEEDORES[[#This Row],[IVA 19%]]-PROVEEDORES[[#This Row],[Descuento
$]]-PROVEEDORES[[#This Row],[ReteFuente
$]]</f>
        <v>1149500</v>
      </c>
      <c r="S1647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47" s="135">
        <f ca="1">+IF(PROVEEDORES[[#This Row],[FECHA DE PAGO]]=0,TODAY()-PROVEEDORES[[#This Row],[FECHA DE FACTURACIÓN]]-PROVEEDORES[[#This Row],[PLAZO Días]],0)</f>
        <v>-24</v>
      </c>
      <c r="U1647" s="135">
        <f>+VLOOKUP(PROVEEDORES[[#This Row],[PROVEEDOR]],Terceros!$A:$D,4,FALSE)</f>
        <v>0</v>
      </c>
      <c r="V1647" s="135">
        <f>+YEAR(PROVEEDORES[[#This Row],[FECHA DE FACTURACIÓN]])</f>
        <v>2024</v>
      </c>
      <c r="W1647" s="135">
        <f>+MATCH(PROVEEDORES[[#This Row],[año facturado]],Retenciones!$1:$1,0)</f>
        <v>7</v>
      </c>
      <c r="X1647" s="136">
        <f>+VLOOKUP(PROVEEDORES[[#This Row],[ID RETENCION]],Retenciones!$A$1:$O$25,PROVEEDORES[[#This Row],[indicador de columna]],FALSE)</f>
        <v>0</v>
      </c>
      <c r="Y1647" s="137">
        <f>+VLOOKUP(PROVEEDORES[[#This Row],[ID RETENCION]],Retenciones!$A$1:$O$25,2,FALSE)</f>
        <v>0</v>
      </c>
      <c r="Z1647" s="126" t="b">
        <f>+OR(COUNTIF(PROVEEDORES[[#This Row],[PROVEEDOR]],"*"&amp;'Palabra que no opera y Listas d'!$A$2&amp;"*"))</f>
        <v>0</v>
      </c>
    </row>
    <row r="1648" spans="1:26" ht="27.75" customHeight="1" x14ac:dyDescent="0.25">
      <c r="A1648" s="141" t="str">
        <f>+IF(PROVEEDORES[[#This Row],[FECHA DE PAGO]]=PROVEEDORES[[#This Row],[FECHA DE FACTURACIÓN]],"DE CONTADO","CRÉDITO")</f>
        <v>CRÉDITO</v>
      </c>
      <c r="B1648" s="138" t="b">
        <f>+IF((PROVEEDORES[[#This Row],[FECHA DE PAGO]]-PROVEEDORES[[#This Row],[FECHA DE FACTURACIÓN]])&gt;PROVEEDORES[[#This Row],[PLAZO Días]],"PAGO VENCIDO")</f>
        <v>0</v>
      </c>
      <c r="C1648" s="138">
        <f>+VLOOKUP(PROVEEDORES[[#This Row],[PROVEEDOR]],TERCEROS_INFO[#All],2,FALSE)</f>
        <v>30</v>
      </c>
      <c r="D1648" s="139">
        <f>+SUMIFS(PROVEEDORES[Total],PROVEEDORES[PROVEEDOR],PROVEEDORES[[#This Row],[PROVEEDOR]],PROVEEDORES[FECHA DE PAGO],"")</f>
        <v>4466504.835</v>
      </c>
      <c r="E1648" s="140"/>
      <c r="F1648" s="138" t="str">
        <f>+VLOOKUP(PROVEEDORES[[#This Row],[PROVEEDOR]],
                       Terceros!$A:$F,
                       5,
                       FALSE)</f>
        <v>angela.navas@hyrdistribuciones.com; natalia.villada@hyrdistribuciones.com; girlesa.ruiz@servipilas.com;joriescobar64@gmail.com</v>
      </c>
      <c r="G1648" s="127"/>
      <c r="H1648" s="123" t="s">
        <v>18</v>
      </c>
      <c r="I1648" s="127">
        <v>45440</v>
      </c>
      <c r="J1648" s="124" t="s">
        <v>1928</v>
      </c>
      <c r="K1648" s="124" t="s">
        <v>1530</v>
      </c>
      <c r="L1648" s="124"/>
      <c r="M1648" s="125">
        <v>974887</v>
      </c>
      <c r="N1648" s="148">
        <f>+(PROVEEDORES[[#This Row],[SUBTOTAL]])*VLOOKUP(PROVEEDORES[[#This Row],[PROVEEDOR]],TERCEROS_INFO[#All],3,FALSE)</f>
        <v>185228.53</v>
      </c>
      <c r="O1648" s="148">
        <f>+'Palabra que no opera y Listas d'!$D$2</f>
        <v>0</v>
      </c>
      <c r="P1648" s="149">
        <f>+IF(PROVEEDORES[[#This Row],[SUBTOTAL]]&lt;PROVEEDORES[[#This Row],[base retencion]],0,PROVEEDORES[[#This Row],[retención aplicada]])</f>
        <v>0</v>
      </c>
      <c r="Q1648" s="148">
        <f>+PROVEEDORES[[#This Row],[ReteFuente
%]]*(PROVEEDORES[[#This Row],[SUBTOTAL]])</f>
        <v>0</v>
      </c>
      <c r="R1648" s="150">
        <f>+PROVEEDORES[[#This Row],[SUBTOTAL]]+PROVEEDORES[[#This Row],[IVA 19%]]-PROVEEDORES[[#This Row],[Descuento
$]]-PROVEEDORES[[#This Row],[ReteFuente
$]]</f>
        <v>1160115.53</v>
      </c>
      <c r="S1648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48" s="135">
        <f ca="1">+IF(PROVEEDORES[[#This Row],[FECHA DE PAGO]]=0,TODAY()-PROVEEDORES[[#This Row],[FECHA DE FACTURACIÓN]]-PROVEEDORES[[#This Row],[PLAZO Días]],0)</f>
        <v>-23</v>
      </c>
      <c r="U1648" s="135" t="str">
        <f>+VLOOKUP(PROVEEDORES[[#This Row],[PROVEEDOR]],Terceros!$A:$D,4,FALSE)</f>
        <v>2,5% con base</v>
      </c>
      <c r="V1648" s="135">
        <f>+YEAR(PROVEEDORES[[#This Row],[FECHA DE FACTURACIÓN]])</f>
        <v>2024</v>
      </c>
      <c r="W1648" s="135">
        <f>+MATCH(PROVEEDORES[[#This Row],[año facturado]],Retenciones!$1:$1,0)</f>
        <v>7</v>
      </c>
      <c r="X1648" s="136">
        <f>+VLOOKUP(PROVEEDORES[[#This Row],[ID RETENCION]],Retenciones!$A$1:$O$25,PROVEEDORES[[#This Row],[indicador de columna]],FALSE)</f>
        <v>1271000</v>
      </c>
      <c r="Y1648" s="137">
        <f>+VLOOKUP(PROVEEDORES[[#This Row],[ID RETENCION]],Retenciones!$A$1:$O$25,2,FALSE)</f>
        <v>2.5000000000000001E-2</v>
      </c>
      <c r="Z1648" s="126" t="b">
        <f>+OR(COUNTIF(PROVEEDORES[[#This Row],[PROVEEDOR]],"*"&amp;'Palabra que no opera y Listas d'!$A$2&amp;"*"))</f>
        <v>0</v>
      </c>
    </row>
    <row r="1649" spans="1:26" ht="27.75" customHeight="1" x14ac:dyDescent="0.25">
      <c r="A1649" s="141" t="str">
        <f>+IF(PROVEEDORES[[#This Row],[FECHA DE PAGO]]=PROVEEDORES[[#This Row],[FECHA DE FACTURACIÓN]],"DE CONTADO","CRÉDITO")</f>
        <v>CRÉDITO</v>
      </c>
      <c r="B1649" s="138" t="b">
        <f>+IF((PROVEEDORES[[#This Row],[FECHA DE PAGO]]-PROVEEDORES[[#This Row],[FECHA DE FACTURACIÓN]])&gt;PROVEEDORES[[#This Row],[PLAZO Días]],"PAGO VENCIDO")</f>
        <v>0</v>
      </c>
      <c r="C1649" s="138">
        <f>+VLOOKUP(PROVEEDORES[[#This Row],[PROVEEDOR]],TERCEROS_INFO[#All],2,FALSE)</f>
        <v>30</v>
      </c>
      <c r="D1649" s="139">
        <f>+SUMIFS(PROVEEDORES[Total],PROVEEDORES[PROVEEDOR],PROVEEDORES[[#This Row],[PROVEEDOR]],PROVEEDORES[FECHA DE PAGO],"")</f>
        <v>4316000</v>
      </c>
      <c r="E1649" s="140"/>
      <c r="F1649" s="138" t="str">
        <f>+VLOOKUP(PROVEEDORES[[#This Row],[PROVEEDOR]],
                       Terceros!$A:$F,
                       5,
                       FALSE)</f>
        <v/>
      </c>
      <c r="G1649" s="127"/>
      <c r="H1649" s="123" t="s">
        <v>1812</v>
      </c>
      <c r="I1649" s="127">
        <v>45398</v>
      </c>
      <c r="J1649" s="124" t="s">
        <v>1929</v>
      </c>
      <c r="K1649" s="124" t="s">
        <v>1530</v>
      </c>
      <c r="L1649" s="124"/>
      <c r="M1649" s="125">
        <v>1185000</v>
      </c>
      <c r="N1649" s="148">
        <f>+(PROVEEDORES[[#This Row],[SUBTOTAL]])*VLOOKUP(PROVEEDORES[[#This Row],[PROVEEDOR]],TERCEROS_INFO[#All],3,FALSE)</f>
        <v>0</v>
      </c>
      <c r="O1649" s="148">
        <f>+'Palabra que no opera y Listas d'!$D$2</f>
        <v>0</v>
      </c>
      <c r="P1649" s="149">
        <f>+IF(PROVEEDORES[[#This Row],[SUBTOTAL]]&lt;PROVEEDORES[[#This Row],[base retencion]],0,PROVEEDORES[[#This Row],[retención aplicada]])</f>
        <v>0</v>
      </c>
      <c r="Q1649" s="148">
        <f>+PROVEEDORES[[#This Row],[ReteFuente
%]]*(PROVEEDORES[[#This Row],[SUBTOTAL]])</f>
        <v>0</v>
      </c>
      <c r="R1649" s="150">
        <f>+PROVEEDORES[[#This Row],[SUBTOTAL]]+PROVEEDORES[[#This Row],[IVA 19%]]-PROVEEDORES[[#This Row],[Descuento
$]]-PROVEEDORES[[#This Row],[ReteFuente
$]]</f>
        <v>1185000</v>
      </c>
      <c r="S1649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49" s="135">
        <f ca="1">+IF(PROVEEDORES[[#This Row],[FECHA DE PAGO]]=0,TODAY()-PROVEEDORES[[#This Row],[FECHA DE FACTURACIÓN]]-PROVEEDORES[[#This Row],[PLAZO Días]],0)</f>
        <v>19</v>
      </c>
      <c r="U1649" s="135">
        <f>+VLOOKUP(PROVEEDORES[[#This Row],[PROVEEDOR]],Terceros!$A:$D,4,FALSE)</f>
        <v>0</v>
      </c>
      <c r="V1649" s="135">
        <f>+YEAR(PROVEEDORES[[#This Row],[FECHA DE FACTURACIÓN]])</f>
        <v>2024</v>
      </c>
      <c r="W1649" s="135">
        <f>+MATCH(PROVEEDORES[[#This Row],[año facturado]],Retenciones!$1:$1,0)</f>
        <v>7</v>
      </c>
      <c r="X1649" s="136">
        <f>+VLOOKUP(PROVEEDORES[[#This Row],[ID RETENCION]],Retenciones!$A$1:$O$25,PROVEEDORES[[#This Row],[indicador de columna]],FALSE)</f>
        <v>0</v>
      </c>
      <c r="Y1649" s="137">
        <f>+VLOOKUP(PROVEEDORES[[#This Row],[ID RETENCION]],Retenciones!$A$1:$O$25,2,FALSE)</f>
        <v>0</v>
      </c>
      <c r="Z1649" s="126" t="b">
        <f>+OR(COUNTIF(PROVEEDORES[[#This Row],[PROVEEDOR]],"*"&amp;'Palabra que no opera y Listas d'!$A$2&amp;"*"))</f>
        <v>0</v>
      </c>
    </row>
    <row r="1650" spans="1:26" ht="27.75" customHeight="1" x14ac:dyDescent="0.25">
      <c r="A1650" s="141" t="str">
        <f>+IF(PROVEEDORES[[#This Row],[FECHA DE PAGO]]=PROVEEDORES[[#This Row],[FECHA DE FACTURACIÓN]],"DE CONTADO","CRÉDITO")</f>
        <v>CRÉDITO</v>
      </c>
      <c r="B1650" s="138" t="b">
        <f>+IF((PROVEEDORES[[#This Row],[FECHA DE PAGO]]-PROVEEDORES[[#This Row],[FECHA DE FACTURACIÓN]])&gt;PROVEEDORES[[#This Row],[PLAZO Días]],"PAGO VENCIDO")</f>
        <v>0</v>
      </c>
      <c r="C1650" s="138">
        <f>+VLOOKUP(PROVEEDORES[[#This Row],[PROVEEDOR]],TERCEROS_INFO[#All],2,FALSE)</f>
        <v>45</v>
      </c>
      <c r="D1650" s="139">
        <f>+SUMIFS(PROVEEDORES[Total],PROVEEDORES[PROVEEDOR],PROVEEDORES[[#This Row],[PROVEEDOR]],PROVEEDORES[FECHA DE PAGO],"")</f>
        <v>2446500</v>
      </c>
      <c r="E1650" s="140"/>
      <c r="F1650" s="138" t="str">
        <f>+VLOOKUP(PROVEEDORES[[#This Row],[PROVEEDOR]],
                       Terceros!$A:$F,
                       5,
                       FALSE)</f>
        <v>libardopineda@tronex.com;girlesa.ruiz@servipilas.com;joriescobar64@gmail.com</v>
      </c>
      <c r="G1650" s="127"/>
      <c r="H1650" s="123" t="s">
        <v>10</v>
      </c>
      <c r="I1650" s="127">
        <v>45442</v>
      </c>
      <c r="J1650" s="124" t="s">
        <v>1930</v>
      </c>
      <c r="K1650" s="124" t="s">
        <v>504</v>
      </c>
      <c r="L1650" s="124"/>
      <c r="M1650" s="125">
        <v>2100000</v>
      </c>
      <c r="N1650" s="148">
        <f>+(PROVEEDORES[[#This Row],[SUBTOTAL]])*VLOOKUP(PROVEEDORES[[#This Row],[PROVEEDOR]],TERCEROS_INFO[#All],3,FALSE)</f>
        <v>399000</v>
      </c>
      <c r="O1650" s="148">
        <f>+'Palabra que no opera y Listas d'!$D$2</f>
        <v>0</v>
      </c>
      <c r="P1650" s="149">
        <f>+IF(PROVEEDORES[[#This Row],[SUBTOTAL]]&lt;PROVEEDORES[[#This Row],[base retencion]],0,PROVEEDORES[[#This Row],[retención aplicada]])</f>
        <v>2.5000000000000001E-2</v>
      </c>
      <c r="Q1650" s="148">
        <f>+PROVEEDORES[[#This Row],[ReteFuente
%]]*(PROVEEDORES[[#This Row],[SUBTOTAL]])</f>
        <v>52500</v>
      </c>
      <c r="R1650" s="150">
        <f>+PROVEEDORES[[#This Row],[SUBTOTAL]]+PROVEEDORES[[#This Row],[IVA 19%]]-PROVEEDORES[[#This Row],[Descuento
$]]-PROVEEDORES[[#This Row],[ReteFuente
$]]</f>
        <v>2446500</v>
      </c>
      <c r="S1650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50" s="135">
        <f ca="1">+IF(PROVEEDORES[[#This Row],[FECHA DE PAGO]]=0,TODAY()-PROVEEDORES[[#This Row],[FECHA DE FACTURACIÓN]]-PROVEEDORES[[#This Row],[PLAZO Días]],0)</f>
        <v>-40</v>
      </c>
      <c r="U1650" s="135" t="str">
        <f>+VLOOKUP(PROVEEDORES[[#This Row],[PROVEEDOR]],Terceros!$A:$D,4,FALSE)</f>
        <v>2,5% con base</v>
      </c>
      <c r="V1650" s="135">
        <f>+YEAR(PROVEEDORES[[#This Row],[FECHA DE FACTURACIÓN]])</f>
        <v>2024</v>
      </c>
      <c r="W1650" s="135">
        <f>+MATCH(PROVEEDORES[[#This Row],[año facturado]],Retenciones!$1:$1,0)</f>
        <v>7</v>
      </c>
      <c r="X1650" s="136">
        <f>+VLOOKUP(PROVEEDORES[[#This Row],[ID RETENCION]],Retenciones!$A$1:$O$25,PROVEEDORES[[#This Row],[indicador de columna]],FALSE)</f>
        <v>1271000</v>
      </c>
      <c r="Y1650" s="137">
        <f>+VLOOKUP(PROVEEDORES[[#This Row],[ID RETENCION]],Retenciones!$A$1:$O$25,2,FALSE)</f>
        <v>2.5000000000000001E-2</v>
      </c>
      <c r="Z1650" s="126" t="b">
        <f>+OR(COUNTIF(PROVEEDORES[[#This Row],[PROVEEDOR]],"*"&amp;'Palabra que no opera y Listas d'!$A$2&amp;"*"))</f>
        <v>0</v>
      </c>
    </row>
    <row r="1651" spans="1:26" ht="27.75" customHeight="1" x14ac:dyDescent="0.25">
      <c r="A1651" s="141" t="str">
        <f>+IF(PROVEEDORES[[#This Row],[FECHA DE PAGO]]=PROVEEDORES[[#This Row],[FECHA DE FACTURACIÓN]],"DE CONTADO","CRÉDITO")</f>
        <v>DE CONTADO</v>
      </c>
      <c r="B1651" s="138" t="b">
        <f>+IF((PROVEEDORES[[#This Row],[FECHA DE PAGO]]-PROVEEDORES[[#This Row],[FECHA DE FACTURACIÓN]])&gt;PROVEEDORES[[#This Row],[PLAZO Días]],"PAGO VENCIDO")</f>
        <v>0</v>
      </c>
      <c r="C1651" s="138">
        <f>+VLOOKUP(PROVEEDORES[[#This Row],[PROVEEDOR]],TERCEROS_INFO[#All],2,FALSE)</f>
        <v>30</v>
      </c>
      <c r="D1651" s="139">
        <f>+SUMIFS(PROVEEDORES[Total],PROVEEDORES[PROVEEDOR],PROVEEDORES[[#This Row],[PROVEEDOR]],PROVEEDORES[FECHA DE PAGO],"")</f>
        <v>0</v>
      </c>
      <c r="E1651" s="140"/>
      <c r="F1651" s="138" t="str">
        <f>+VLOOKUP(PROVEEDORES[[#This Row],[PROVEEDOR]],
                       Terceros!$A:$F,
                       5,
                       FALSE)</f>
        <v>qyqcolbatteries@gmail.com;girlesa.ruiz@servipilas.com;joriescobar64@gmail.com</v>
      </c>
      <c r="G1651" s="127">
        <v>45436</v>
      </c>
      <c r="H1651" s="123" t="s">
        <v>1186</v>
      </c>
      <c r="I1651" s="127">
        <v>45436</v>
      </c>
      <c r="J1651" s="124" t="s">
        <v>1931</v>
      </c>
      <c r="K1651" s="124" t="s">
        <v>1530</v>
      </c>
      <c r="L1651" s="124" t="s">
        <v>1395</v>
      </c>
      <c r="M1651" s="125">
        <v>1169747</v>
      </c>
      <c r="N1651" s="148">
        <f>+(PROVEEDORES[[#This Row],[SUBTOTAL]])*VLOOKUP(PROVEEDORES[[#This Row],[PROVEEDOR]],TERCEROS_INFO[#All],3,FALSE)</f>
        <v>222251.93</v>
      </c>
      <c r="O1651" s="148">
        <f>+'Palabra que no opera y Listas d'!$D$2</f>
        <v>0</v>
      </c>
      <c r="P1651" s="149">
        <f>+IF(PROVEEDORES[[#This Row],[SUBTOTAL]]&lt;PROVEEDORES[[#This Row],[base retencion]],0,PROVEEDORES[[#This Row],[retención aplicada]])</f>
        <v>0</v>
      </c>
      <c r="Q1651" s="148">
        <f>+PROVEEDORES[[#This Row],[ReteFuente
%]]*(PROVEEDORES[[#This Row],[SUBTOTAL]])</f>
        <v>0</v>
      </c>
      <c r="R1651" s="150">
        <f>+PROVEEDORES[[#This Row],[SUBTOTAL]]+PROVEEDORES[[#This Row],[IVA 19%]]-PROVEEDORES[[#This Row],[Descuento
$]]-PROVEEDORES[[#This Row],[ReteFuente
$]]</f>
        <v>1391998.93</v>
      </c>
      <c r="S165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1" s="135">
        <f ca="1">+IF(PROVEEDORES[[#This Row],[FECHA DE PAGO]]=0,TODAY()-PROVEEDORES[[#This Row],[FECHA DE FACTURACIÓN]]-PROVEEDORES[[#This Row],[PLAZO Días]],0)</f>
        <v>0</v>
      </c>
      <c r="U1651" s="135" t="str">
        <f>+VLOOKUP(PROVEEDORES[[#This Row],[PROVEEDOR]],Terceros!$A:$D,4,FALSE)</f>
        <v>2,5% con base</v>
      </c>
      <c r="V1651" s="135">
        <f>+YEAR(PROVEEDORES[[#This Row],[FECHA DE FACTURACIÓN]])</f>
        <v>2024</v>
      </c>
      <c r="W1651" s="135">
        <f>+MATCH(PROVEEDORES[[#This Row],[año facturado]],Retenciones!$1:$1,0)</f>
        <v>7</v>
      </c>
      <c r="X1651" s="136">
        <f>+VLOOKUP(PROVEEDORES[[#This Row],[ID RETENCION]],Retenciones!$A$1:$O$25,PROVEEDORES[[#This Row],[indicador de columna]],FALSE)</f>
        <v>1271000</v>
      </c>
      <c r="Y1651" s="137">
        <f>+VLOOKUP(PROVEEDORES[[#This Row],[ID RETENCION]],Retenciones!$A$1:$O$25,2,FALSE)</f>
        <v>2.5000000000000001E-2</v>
      </c>
      <c r="Z1651" s="126" t="b">
        <f>+OR(COUNTIF(PROVEEDORES[[#This Row],[PROVEEDOR]],"*"&amp;'Palabra que no opera y Listas d'!$A$2&amp;"*"))</f>
        <v>0</v>
      </c>
    </row>
    <row r="1652" spans="1:26" ht="27.75" customHeight="1" x14ac:dyDescent="0.25">
      <c r="A1652" s="141" t="str">
        <f>+IF(PROVEEDORES[[#This Row],[FECHA DE PAGO]]=PROVEEDORES[[#This Row],[FECHA DE FACTURACIÓN]],"DE CONTADO","CRÉDITO")</f>
        <v>CRÉDITO</v>
      </c>
      <c r="B1652" s="138" t="b">
        <f>+IF((PROVEEDORES[[#This Row],[FECHA DE PAGO]]-PROVEEDORES[[#This Row],[FECHA DE FACTURACIÓN]])&gt;PROVEEDORES[[#This Row],[PLAZO Días]],"PAGO VENCIDO")</f>
        <v>0</v>
      </c>
      <c r="C1652" s="138">
        <f>+VLOOKUP(PROVEEDORES[[#This Row],[PROVEEDOR]],TERCEROS_INFO[#All],2,FALSE)</f>
        <v>30</v>
      </c>
      <c r="D1652" s="139">
        <f>+SUMIFS(PROVEEDORES[Total],PROVEEDORES[PROVEEDOR],PROVEEDORES[[#This Row],[PROVEEDOR]],PROVEEDORES[FECHA DE PAGO],"")</f>
        <v>134000</v>
      </c>
      <c r="E1652" s="140"/>
      <c r="F1652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652" s="127"/>
      <c r="H1652" s="123" t="s">
        <v>1808</v>
      </c>
      <c r="I1652" s="127">
        <v>45429</v>
      </c>
      <c r="J1652" s="124" t="s">
        <v>1932</v>
      </c>
      <c r="K1652" s="124" t="s">
        <v>1530</v>
      </c>
      <c r="L1652" s="124"/>
      <c r="M1652" s="125">
        <v>66000</v>
      </c>
      <c r="N1652" s="148">
        <f>+(PROVEEDORES[[#This Row],[SUBTOTAL]])*VLOOKUP(PROVEEDORES[[#This Row],[PROVEEDOR]],TERCEROS_INFO[#All],3,FALSE)</f>
        <v>0</v>
      </c>
      <c r="O1652" s="148">
        <f>+'Palabra que no opera y Listas d'!$D$2</f>
        <v>0</v>
      </c>
      <c r="P1652" s="149">
        <f>+IF(PROVEEDORES[[#This Row],[SUBTOTAL]]&lt;PROVEEDORES[[#This Row],[base retencion]],0,PROVEEDORES[[#This Row],[retención aplicada]])</f>
        <v>0</v>
      </c>
      <c r="Q1652" s="148">
        <f>+PROVEEDORES[[#This Row],[ReteFuente
%]]*(PROVEEDORES[[#This Row],[SUBTOTAL]])</f>
        <v>0</v>
      </c>
      <c r="R1652" s="150">
        <f>+PROVEEDORES[[#This Row],[SUBTOTAL]]+PROVEEDORES[[#This Row],[IVA 19%]]-PROVEEDORES[[#This Row],[Descuento
$]]-PROVEEDORES[[#This Row],[ReteFuente
$]]</f>
        <v>66000</v>
      </c>
      <c r="S1652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52" s="135">
        <f ca="1">+IF(PROVEEDORES[[#This Row],[FECHA DE PAGO]]=0,TODAY()-PROVEEDORES[[#This Row],[FECHA DE FACTURACIÓN]]-PROVEEDORES[[#This Row],[PLAZO Días]],0)</f>
        <v>-12</v>
      </c>
      <c r="U1652" s="135">
        <f>+VLOOKUP(PROVEEDORES[[#This Row],[PROVEEDOR]],Terceros!$A:$D,4,FALSE)</f>
        <v>0</v>
      </c>
      <c r="V1652" s="135">
        <f>+YEAR(PROVEEDORES[[#This Row],[FECHA DE FACTURACIÓN]])</f>
        <v>2024</v>
      </c>
      <c r="W1652" s="135">
        <f>+MATCH(PROVEEDORES[[#This Row],[año facturado]],Retenciones!$1:$1,0)</f>
        <v>7</v>
      </c>
      <c r="X1652" s="136">
        <f>+VLOOKUP(PROVEEDORES[[#This Row],[ID RETENCION]],Retenciones!$A$1:$O$25,PROVEEDORES[[#This Row],[indicador de columna]],FALSE)</f>
        <v>0</v>
      </c>
      <c r="Y1652" s="137">
        <f>+VLOOKUP(PROVEEDORES[[#This Row],[ID RETENCION]],Retenciones!$A$1:$O$25,2,FALSE)</f>
        <v>0</v>
      </c>
      <c r="Z1652" s="126" t="b">
        <f>+OR(COUNTIF(PROVEEDORES[[#This Row],[PROVEEDOR]],"*"&amp;'Palabra que no opera y Listas d'!$A$2&amp;"*"))</f>
        <v>0</v>
      </c>
    </row>
    <row r="1653" spans="1:26" ht="27.75" customHeight="1" x14ac:dyDescent="0.25">
      <c r="A1653" s="141" t="str">
        <f>+IF(PROVEEDORES[[#This Row],[FECHA DE PAGO]]=PROVEEDORES[[#This Row],[FECHA DE FACTURACIÓN]],"DE CONTADO","CRÉDITO")</f>
        <v>CRÉDITO</v>
      </c>
      <c r="B1653" s="138" t="b">
        <f>+IF((PROVEEDORES[[#This Row],[FECHA DE PAGO]]-PROVEEDORES[[#This Row],[FECHA DE FACTURACIÓN]])&gt;PROVEEDORES[[#This Row],[PLAZO Días]],"PAGO VENCIDO")</f>
        <v>0</v>
      </c>
      <c r="C1653" s="138">
        <f>+VLOOKUP(PROVEEDORES[[#This Row],[PROVEEDOR]],TERCEROS_INFO[#All],2,FALSE)</f>
        <v>30</v>
      </c>
      <c r="D1653" s="139">
        <f>+SUMIFS(PROVEEDORES[Total],PROVEEDORES[PROVEEDOR],PROVEEDORES[[#This Row],[PROVEEDOR]],PROVEEDORES[FECHA DE PAGO],"")</f>
        <v>134000</v>
      </c>
      <c r="E1653" s="140"/>
      <c r="F1653" s="138" t="str">
        <f>+VLOOKUP(PROVEEDORES[[#This Row],[PROVEEDOR]],
                       Terceros!$A:$F,
                       5,
                       FALSE)</f>
        <v>swizzeraux2@gmail.com;girlesa.ruiz@servipilas.com;joriescobar64@gmail.com</v>
      </c>
      <c r="G1653" s="127"/>
      <c r="H1653" s="123" t="s">
        <v>1808</v>
      </c>
      <c r="I1653" s="127">
        <v>45433</v>
      </c>
      <c r="J1653" s="124" t="s">
        <v>1933</v>
      </c>
      <c r="K1653" s="124" t="s">
        <v>1530</v>
      </c>
      <c r="L1653" s="124"/>
      <c r="M1653" s="125">
        <v>68000</v>
      </c>
      <c r="N1653" s="148">
        <f>+(PROVEEDORES[[#This Row],[SUBTOTAL]])*VLOOKUP(PROVEEDORES[[#This Row],[PROVEEDOR]],TERCEROS_INFO[#All],3,FALSE)</f>
        <v>0</v>
      </c>
      <c r="O1653" s="148">
        <f>+'Palabra que no opera y Listas d'!$D$2</f>
        <v>0</v>
      </c>
      <c r="P1653" s="149">
        <f>+IF(PROVEEDORES[[#This Row],[SUBTOTAL]]&lt;PROVEEDORES[[#This Row],[base retencion]],0,PROVEEDORES[[#This Row],[retención aplicada]])</f>
        <v>0</v>
      </c>
      <c r="Q1653" s="148">
        <f>+PROVEEDORES[[#This Row],[ReteFuente
%]]*(PROVEEDORES[[#This Row],[SUBTOTAL]])</f>
        <v>0</v>
      </c>
      <c r="R1653" s="150">
        <f>+PROVEEDORES[[#This Row],[SUBTOTAL]]+PROVEEDORES[[#This Row],[IVA 19%]]-PROVEEDORES[[#This Row],[Descuento
$]]-PROVEEDORES[[#This Row],[ReteFuente
$]]</f>
        <v>68000</v>
      </c>
      <c r="S1653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53" s="135">
        <f ca="1">+IF(PROVEEDORES[[#This Row],[FECHA DE PAGO]]=0,TODAY()-PROVEEDORES[[#This Row],[FECHA DE FACTURACIÓN]]-PROVEEDORES[[#This Row],[PLAZO Días]],0)</f>
        <v>-16</v>
      </c>
      <c r="U1653" s="135">
        <f>+VLOOKUP(PROVEEDORES[[#This Row],[PROVEEDOR]],Terceros!$A:$D,4,FALSE)</f>
        <v>0</v>
      </c>
      <c r="V1653" s="135">
        <f>+YEAR(PROVEEDORES[[#This Row],[FECHA DE FACTURACIÓN]])</f>
        <v>2024</v>
      </c>
      <c r="W1653" s="135">
        <f>+MATCH(PROVEEDORES[[#This Row],[año facturado]],Retenciones!$1:$1,0)</f>
        <v>7</v>
      </c>
      <c r="X1653" s="136">
        <f>+VLOOKUP(PROVEEDORES[[#This Row],[ID RETENCION]],Retenciones!$A$1:$O$25,PROVEEDORES[[#This Row],[indicador de columna]],FALSE)</f>
        <v>0</v>
      </c>
      <c r="Y1653" s="137">
        <f>+VLOOKUP(PROVEEDORES[[#This Row],[ID RETENCION]],Retenciones!$A$1:$O$25,2,FALSE)</f>
        <v>0</v>
      </c>
      <c r="Z1653" s="126" t="b">
        <f>+OR(COUNTIF(PROVEEDORES[[#This Row],[PROVEEDOR]],"*"&amp;'Palabra que no opera y Listas d'!$A$2&amp;"*"))</f>
        <v>0</v>
      </c>
    </row>
    <row r="1654" spans="1:26" ht="27.75" customHeight="1" x14ac:dyDescent="0.25">
      <c r="A1654" s="141" t="str">
        <f>+IF(PROVEEDORES[[#This Row],[FECHA DE PAGO]]=PROVEEDORES[[#This Row],[FECHA DE FACTURACIÓN]],"DE CONTADO","CRÉDITO")</f>
        <v>CRÉDITO</v>
      </c>
      <c r="B1654" s="138" t="b">
        <f>+IF((PROVEEDORES[[#This Row],[FECHA DE PAGO]]-PROVEEDORES[[#This Row],[FECHA DE FACTURACIÓN]])&gt;PROVEEDORES[[#This Row],[PLAZO Días]],"PAGO VENCIDO")</f>
        <v>0</v>
      </c>
      <c r="C1654" s="138">
        <f>+VLOOKUP(PROVEEDORES[[#This Row],[PROVEEDOR]],TERCEROS_INFO[#All],2,FALSE)</f>
        <v>30</v>
      </c>
      <c r="D1654" s="139">
        <f>+SUMIFS(PROVEEDORES[Total],PROVEEDORES[PROVEEDOR],PROVEEDORES[[#This Row],[PROVEEDOR]],PROVEEDORES[FECHA DE PAGO],"")</f>
        <v>1776037.21</v>
      </c>
      <c r="E1654" s="140"/>
      <c r="F1654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54" s="127"/>
      <c r="H1654" s="123" t="s">
        <v>17</v>
      </c>
      <c r="I1654" s="127">
        <v>45436</v>
      </c>
      <c r="J1654" s="124" t="s">
        <v>1934</v>
      </c>
      <c r="K1654" s="124" t="s">
        <v>1530</v>
      </c>
      <c r="L1654" s="124"/>
      <c r="M1654" s="125">
        <v>69959</v>
      </c>
      <c r="N1654" s="148">
        <f>+(PROVEEDORES[[#This Row],[SUBTOTAL]])*VLOOKUP(PROVEEDORES[[#This Row],[PROVEEDOR]],TERCEROS_INFO[#All],3,FALSE)</f>
        <v>13292.210000000001</v>
      </c>
      <c r="O1654" s="148">
        <f>+'Palabra que no opera y Listas d'!$D$2</f>
        <v>0</v>
      </c>
      <c r="P1654" s="149">
        <f>+IF(PROVEEDORES[[#This Row],[SUBTOTAL]]&lt;PROVEEDORES[[#This Row],[base retencion]],0,PROVEEDORES[[#This Row],[retención aplicada]])</f>
        <v>0</v>
      </c>
      <c r="Q1654" s="148">
        <f>+PROVEEDORES[[#This Row],[ReteFuente
%]]*(PROVEEDORES[[#This Row],[SUBTOTAL]])</f>
        <v>0</v>
      </c>
      <c r="R1654" s="150">
        <f>+PROVEEDORES[[#This Row],[SUBTOTAL]]+PROVEEDORES[[#This Row],[IVA 19%]]-PROVEEDORES[[#This Row],[Descuento
$]]-PROVEEDORES[[#This Row],[ReteFuente
$]]</f>
        <v>83251.210000000006</v>
      </c>
      <c r="S1654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54" s="135">
        <f ca="1">+IF(PROVEEDORES[[#This Row],[FECHA DE PAGO]]=0,TODAY()-PROVEEDORES[[#This Row],[FECHA DE FACTURACIÓN]]-PROVEEDORES[[#This Row],[PLAZO Días]],0)</f>
        <v>-19</v>
      </c>
      <c r="U1654" s="135">
        <f>+VLOOKUP(PROVEEDORES[[#This Row],[PROVEEDOR]],Terceros!$A:$D,4,FALSE)</f>
        <v>0</v>
      </c>
      <c r="V1654" s="135">
        <f>+YEAR(PROVEEDORES[[#This Row],[FECHA DE FACTURACIÓN]])</f>
        <v>2024</v>
      </c>
      <c r="W1654" s="135">
        <f>+MATCH(PROVEEDORES[[#This Row],[año facturado]],Retenciones!$1:$1,0)</f>
        <v>7</v>
      </c>
      <c r="X1654" s="136">
        <f>+VLOOKUP(PROVEEDORES[[#This Row],[ID RETENCION]],Retenciones!$A$1:$O$25,PROVEEDORES[[#This Row],[indicador de columna]],FALSE)</f>
        <v>0</v>
      </c>
      <c r="Y1654" s="137">
        <f>+VLOOKUP(PROVEEDORES[[#This Row],[ID RETENCION]],Retenciones!$A$1:$O$25,2,FALSE)</f>
        <v>0</v>
      </c>
      <c r="Z1654" s="126" t="b">
        <f>+OR(COUNTIF(PROVEEDORES[[#This Row],[PROVEEDOR]],"*"&amp;'Palabra que no opera y Listas d'!$A$2&amp;"*"))</f>
        <v>0</v>
      </c>
    </row>
    <row r="1655" spans="1:26" ht="27.75" customHeight="1" x14ac:dyDescent="0.25">
      <c r="A1655" s="141" t="str">
        <f>+IF(PROVEEDORES[[#This Row],[FECHA DE PAGO]]=PROVEEDORES[[#This Row],[FECHA DE FACTURACIÓN]],"DE CONTADO","CRÉDITO")</f>
        <v>CRÉDITO</v>
      </c>
      <c r="B1655" s="138" t="b">
        <f>+IF((PROVEEDORES[[#This Row],[FECHA DE PAGO]]-PROVEEDORES[[#This Row],[FECHA DE FACTURACIÓN]])&gt;PROVEEDORES[[#This Row],[PLAZO Días]],"PAGO VENCIDO")</f>
        <v>0</v>
      </c>
      <c r="C1655" s="138">
        <f>+VLOOKUP(PROVEEDORES[[#This Row],[PROVEEDOR]],TERCEROS_INFO[#All],2,FALSE)</f>
        <v>30</v>
      </c>
      <c r="D1655" s="139">
        <f>+SUMIFS(PROVEEDORES[Total],PROVEEDORES[PROVEEDOR],PROVEEDORES[[#This Row],[PROVEEDOR]],PROVEEDORES[FECHA DE PAGO],"")</f>
        <v>1776037.21</v>
      </c>
      <c r="E1655" s="140"/>
      <c r="F1655" s="138" t="str">
        <f>+VLOOKUP(PROVEEDORES[[#This Row],[PROVEEDOR]],
                       Terceros!$A:$F,
                       5,
                       FALSE)</f>
        <v>MVALENCIA@mps.com.co;girlesa.ruiz@servipilas.com;joriescobar64@gmail.com</v>
      </c>
      <c r="G1655" s="127"/>
      <c r="H1655" s="123" t="s">
        <v>17</v>
      </c>
      <c r="I1655" s="127">
        <v>45434</v>
      </c>
      <c r="J1655" s="124" t="s">
        <v>1935</v>
      </c>
      <c r="K1655" s="124" t="s">
        <v>1530</v>
      </c>
      <c r="L1655" s="124"/>
      <c r="M1655" s="125">
        <v>1675630</v>
      </c>
      <c r="N1655" s="148">
        <v>17156</v>
      </c>
      <c r="O1655" s="148">
        <f>+'Palabra que no opera y Listas d'!$D$2</f>
        <v>0</v>
      </c>
      <c r="P1655" s="149">
        <f>+IF(PROVEEDORES[[#This Row],[SUBTOTAL]]&lt;PROVEEDORES[[#This Row],[base retencion]],0,PROVEEDORES[[#This Row],[retención aplicada]])</f>
        <v>0</v>
      </c>
      <c r="Q1655" s="148">
        <f>+PROVEEDORES[[#This Row],[ReteFuente
%]]*(PROVEEDORES[[#This Row],[SUBTOTAL]])</f>
        <v>0</v>
      </c>
      <c r="R1655" s="150">
        <f>+PROVEEDORES[[#This Row],[SUBTOTAL]]+PROVEEDORES[[#This Row],[IVA 19%]]-PROVEEDORES[[#This Row],[Descuento
$]]-PROVEEDORES[[#This Row],[ReteFuente
$]]</f>
        <v>1692786</v>
      </c>
      <c r="S1655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55" s="135">
        <f ca="1">+IF(PROVEEDORES[[#This Row],[FECHA DE PAGO]]=0,TODAY()-PROVEEDORES[[#This Row],[FECHA DE FACTURACIÓN]]-PROVEEDORES[[#This Row],[PLAZO Días]],0)</f>
        <v>-17</v>
      </c>
      <c r="U1655" s="135">
        <f>+VLOOKUP(PROVEEDORES[[#This Row],[PROVEEDOR]],Terceros!$A:$D,4,FALSE)</f>
        <v>0</v>
      </c>
      <c r="V1655" s="135">
        <f>+YEAR(PROVEEDORES[[#This Row],[FECHA DE FACTURACIÓN]])</f>
        <v>2024</v>
      </c>
      <c r="W1655" s="135">
        <f>+MATCH(PROVEEDORES[[#This Row],[año facturado]],Retenciones!$1:$1,0)</f>
        <v>7</v>
      </c>
      <c r="X1655" s="136">
        <f>+VLOOKUP(PROVEEDORES[[#This Row],[ID RETENCION]],Retenciones!$A$1:$O$25,PROVEEDORES[[#This Row],[indicador de columna]],FALSE)</f>
        <v>0</v>
      </c>
      <c r="Y1655" s="137">
        <f>+VLOOKUP(PROVEEDORES[[#This Row],[ID RETENCION]],Retenciones!$A$1:$O$25,2,FALSE)</f>
        <v>0</v>
      </c>
      <c r="Z1655" s="126" t="b">
        <f>+OR(COUNTIF(PROVEEDORES[[#This Row],[PROVEEDOR]],"*"&amp;'Palabra que no opera y Listas d'!$A$2&amp;"*"))</f>
        <v>0</v>
      </c>
    </row>
    <row r="1656" spans="1:26" ht="27.75" customHeight="1" x14ac:dyDescent="0.25">
      <c r="A1656" s="141" t="str">
        <f>+IF(PROVEEDORES[[#This Row],[FECHA DE PAGO]]=PROVEEDORES[[#This Row],[FECHA DE FACTURACIÓN]],"DE CONTADO","CRÉDITO")</f>
        <v>CRÉDITO</v>
      </c>
      <c r="B1656" s="138" t="b">
        <f>+IF((PROVEEDORES[[#This Row],[FECHA DE PAGO]]-PROVEEDORES[[#This Row],[FECHA DE FACTURACIÓN]])&gt;PROVEEDORES[[#This Row],[PLAZO Días]],"PAGO VENCIDO")</f>
        <v>0</v>
      </c>
      <c r="C1656" s="138">
        <f>+VLOOKUP(PROVEEDORES[[#This Row],[PROVEEDOR]],TERCEROS_INFO[#All],2,FALSE)</f>
        <v>45</v>
      </c>
      <c r="D1656" s="139">
        <f>+SUMIFS(PROVEEDORES[Total],PROVEEDORES[PROVEEDOR],PROVEEDORES[[#This Row],[PROVEEDOR]],PROVEEDORES[FECHA DE PAGO],"")</f>
        <v>22186260.039999999</v>
      </c>
      <c r="E1656" s="140"/>
      <c r="F1656" s="138" t="str">
        <f>+VLOOKUP(PROVEEDORES[[#This Row],[PROVEEDOR]],
                       Terceros!$A:$F,
                       5,
                       FALSE)</f>
        <v>sandra.ospina@powest.com;girlesa.ruiz@servipilas.com;joriescobar64@gmail.com</v>
      </c>
      <c r="G1656" s="127"/>
      <c r="H1656" s="123" t="s">
        <v>19</v>
      </c>
      <c r="I1656" s="127">
        <v>45441</v>
      </c>
      <c r="J1656" s="124" t="s">
        <v>1936</v>
      </c>
      <c r="K1656" s="124" t="s">
        <v>504</v>
      </c>
      <c r="L1656" s="124"/>
      <c r="M1656" s="125">
        <v>5303616</v>
      </c>
      <c r="N1656" s="148">
        <f>+(PROVEEDORES[[#This Row],[SUBTOTAL]])*VLOOKUP(PROVEEDORES[[#This Row],[PROVEEDOR]],TERCEROS_INFO[#All],3,FALSE)</f>
        <v>1007687.04</v>
      </c>
      <c r="O1656" s="148">
        <f>+'Palabra que no opera y Listas d'!$D$2</f>
        <v>0</v>
      </c>
      <c r="P1656" s="149">
        <f>+IF(PROVEEDORES[[#This Row],[SUBTOTAL]]&lt;PROVEEDORES[[#This Row],[base retencion]],0,PROVEEDORES[[#This Row],[retención aplicada]])</f>
        <v>0</v>
      </c>
      <c r="Q1656" s="148">
        <f>+PROVEEDORES[[#This Row],[ReteFuente
%]]*(PROVEEDORES[[#This Row],[SUBTOTAL]])</f>
        <v>0</v>
      </c>
      <c r="R1656" s="150">
        <f>+PROVEEDORES[[#This Row],[SUBTOTAL]]+PROVEEDORES[[#This Row],[IVA 19%]]-PROVEEDORES[[#This Row],[Descuento
$]]-PROVEEDORES[[#This Row],[ReteFuente
$]]</f>
        <v>6311303.04</v>
      </c>
      <c r="S1656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Por pagar</v>
      </c>
      <c r="T1656" s="135">
        <f ca="1">+IF(PROVEEDORES[[#This Row],[FECHA DE PAGO]]=0,TODAY()-PROVEEDORES[[#This Row],[FECHA DE FACTURACIÓN]]-PROVEEDORES[[#This Row],[PLAZO Días]],0)</f>
        <v>-39</v>
      </c>
      <c r="U1656" s="135">
        <f>+VLOOKUP(PROVEEDORES[[#This Row],[PROVEEDOR]],Terceros!$A:$D,4,FALSE)</f>
        <v>0</v>
      </c>
      <c r="V1656" s="135">
        <f>+YEAR(PROVEEDORES[[#This Row],[FECHA DE FACTURACIÓN]])</f>
        <v>2024</v>
      </c>
      <c r="W1656" s="135">
        <f>+MATCH(PROVEEDORES[[#This Row],[año facturado]],Retenciones!$1:$1,0)</f>
        <v>7</v>
      </c>
      <c r="X1656" s="136">
        <f>+VLOOKUP(PROVEEDORES[[#This Row],[ID RETENCION]],Retenciones!$A$1:$O$25,PROVEEDORES[[#This Row],[indicador de columna]],FALSE)</f>
        <v>0</v>
      </c>
      <c r="Y1656" s="137">
        <f>+VLOOKUP(PROVEEDORES[[#This Row],[ID RETENCION]],Retenciones!$A$1:$O$25,2,FALSE)</f>
        <v>0</v>
      </c>
      <c r="Z1656" s="126" t="b">
        <f>+OR(COUNTIF(PROVEEDORES[[#This Row],[PROVEEDOR]],"*"&amp;'Palabra que no opera y Listas d'!$A$2&amp;"*"))</f>
        <v>0</v>
      </c>
    </row>
    <row r="1657" spans="1:26" ht="27.75" customHeight="1" x14ac:dyDescent="0.25">
      <c r="A1657" s="141" t="str">
        <f>+IF(PROVEEDORES[[#This Row],[FECHA DE PAGO]]=PROVEEDORES[[#This Row],[FECHA DE FACTURACIÓN]],"DE CONTADO","CRÉDITO")</f>
        <v>CRÉDITO</v>
      </c>
      <c r="B1657" s="138" t="b">
        <f>+IF((PROVEEDORES[[#This Row],[FECHA DE PAGO]]-PROVEEDORES[[#This Row],[FECHA DE FACTURACIÓN]])&gt;PROVEEDORES[[#This Row],[PLAZO Días]],"PAGO VENCIDO")</f>
        <v>0</v>
      </c>
      <c r="C1657" s="138">
        <f>+VLOOKUP(PROVEEDORES[[#This Row],[PROVEEDOR]],TERCEROS_INFO[#All],2,FALSE)</f>
        <v>0</v>
      </c>
      <c r="D1657" s="139">
        <f>+SUMIFS(PROVEEDORES[Total],PROVEEDORES[PROVEEDOR],PROVEEDORES[[#This Row],[PROVEEDOR]],PROVEEDORES[FECHA DE PAGO],"")</f>
        <v>3014437.5</v>
      </c>
      <c r="E1657" s="140"/>
      <c r="F1657" s="138">
        <f>+VLOOKUP(PROVEEDORES[[#This Row],[PROVEEDOR]],
                       Terceros!$A:$F,
                       5,
                       FALSE)</f>
        <v>0</v>
      </c>
      <c r="G1657" s="127"/>
      <c r="H1657" s="123" t="s">
        <v>1937</v>
      </c>
      <c r="I1657" s="127">
        <v>45428</v>
      </c>
      <c r="J1657" s="124" t="s">
        <v>1938</v>
      </c>
      <c r="K1657" s="124"/>
      <c r="L1657" s="124"/>
      <c r="M1657" s="125">
        <v>2587500</v>
      </c>
      <c r="N1657" s="148">
        <f>+(PROVEEDORES[[#This Row],[SUBTOTAL]])*VLOOKUP(PROVEEDORES[[#This Row],[PROVEEDOR]],TERCEROS_INFO[#All],3,FALSE)</f>
        <v>491625</v>
      </c>
      <c r="O1657" s="148">
        <f>+'Palabra que no opera y Listas d'!$D$2</f>
        <v>0</v>
      </c>
      <c r="P1657" s="149">
        <f>+IF(PROVEEDORES[[#This Row],[SUBTOTAL]]&lt;PROVEEDORES[[#This Row],[base retencion]],0,PROVEEDORES[[#This Row],[retención aplicada]])</f>
        <v>2.5000000000000001E-2</v>
      </c>
      <c r="Q1657" s="148">
        <f>+PROVEEDORES[[#This Row],[ReteFuente
%]]*(PROVEEDORES[[#This Row],[SUBTOTAL]])</f>
        <v>64687.5</v>
      </c>
      <c r="R1657" s="150">
        <f>+PROVEEDORES[[#This Row],[SUBTOTAL]]+PROVEEDORES[[#This Row],[IVA 19%]]-PROVEEDORES[[#This Row],[Descuento
$]]-PROVEEDORES[[#This Row],[ReteFuente
$]]</f>
        <v>3014437.5</v>
      </c>
      <c r="S1657" s="135" t="str">
        <f ca="1"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Vencida</v>
      </c>
      <c r="T1657" s="135">
        <f ca="1">+IF(PROVEEDORES[[#This Row],[FECHA DE PAGO]]=0,TODAY()-PROVEEDORES[[#This Row],[FECHA DE FACTURACIÓN]]-PROVEEDORES[[#This Row],[PLAZO Días]],0)</f>
        <v>19</v>
      </c>
      <c r="U1657" s="135" t="str">
        <f>+VLOOKUP(PROVEEDORES[[#This Row],[PROVEEDOR]],Terceros!$A:$D,4,FALSE)</f>
        <v>2,5% con base</v>
      </c>
      <c r="V1657" s="135">
        <f>+YEAR(PROVEEDORES[[#This Row],[FECHA DE FACTURACIÓN]])</f>
        <v>2024</v>
      </c>
      <c r="W1657" s="135">
        <f>+MATCH(PROVEEDORES[[#This Row],[año facturado]],Retenciones!$1:$1,0)</f>
        <v>7</v>
      </c>
      <c r="X1657" s="136">
        <f>+VLOOKUP(PROVEEDORES[[#This Row],[ID RETENCION]],Retenciones!$A$1:$O$25,PROVEEDORES[[#This Row],[indicador de columna]],FALSE)</f>
        <v>1271000</v>
      </c>
      <c r="Y1657" s="137">
        <f>+VLOOKUP(PROVEEDORES[[#This Row],[ID RETENCION]],Retenciones!$A$1:$O$25,2,FALSE)</f>
        <v>2.5000000000000001E-2</v>
      </c>
      <c r="Z1657" s="126" t="b">
        <f>+OR(COUNTIF(PROVEEDORES[[#This Row],[PROVEEDOR]],"*"&amp;'Palabra que no opera y Listas d'!$A$2&amp;"*"))</f>
        <v>0</v>
      </c>
    </row>
    <row r="1658" spans="1:26" ht="27.75" customHeight="1" x14ac:dyDescent="0.25">
      <c r="A1658" s="141" t="str">
        <f>+IF(PROVEEDORES[[#This Row],[FECHA DE PAGO]]=PROVEEDORES[[#This Row],[FECHA DE FACTURACIÓN]],"DE CONTADO","CRÉDITO")</f>
        <v>DE CONTADO</v>
      </c>
      <c r="B1658" s="138" t="b">
        <f>+IF((PROVEEDORES[[#This Row],[FECHA DE PAGO]]-PROVEEDORES[[#This Row],[FECHA DE FACTURACIÓN]])&gt;PROVEEDORES[[#This Row],[PLAZO Días]],"PAGO VENCIDO")</f>
        <v>0</v>
      </c>
      <c r="C1658" s="138">
        <f>+VLOOKUP(PROVEEDORES[[#This Row],[PROVEEDOR]],TERCEROS_INFO[#All],2,FALSE)</f>
        <v>30</v>
      </c>
      <c r="D1658" s="139">
        <f>+SUMIFS(PROVEEDORES[Total],PROVEEDORES[PROVEEDOR],PROVEEDORES[[#This Row],[PROVEEDOR]],PROVEEDORES[FECHA DE PAGO],"")</f>
        <v>0</v>
      </c>
      <c r="E1658" s="140"/>
      <c r="F1658" s="138" t="str">
        <f>+VLOOKUP(PROVEEDORES[[#This Row],[PROVEEDOR]],
                       Terceros!$A:$F,
                       5,
                       FALSE)</f>
        <v/>
      </c>
      <c r="G1658" s="127">
        <v>45447</v>
      </c>
      <c r="H1658" s="123" t="s">
        <v>1824</v>
      </c>
      <c r="I1658" s="127">
        <v>45447</v>
      </c>
      <c r="J1658" s="124" t="s">
        <v>1893</v>
      </c>
      <c r="K1658" s="124" t="s">
        <v>1530</v>
      </c>
      <c r="L1658" s="124" t="s">
        <v>1395</v>
      </c>
      <c r="M1658" s="125">
        <v>1454000</v>
      </c>
      <c r="N1658" s="148">
        <f>+(PROVEEDORES[[#This Row],[SUBTOTAL]])*VLOOKUP(PROVEEDORES[[#This Row],[PROVEEDOR]],TERCEROS_INFO[#All],3,FALSE)</f>
        <v>0</v>
      </c>
      <c r="O1658" s="148">
        <f>+'Palabra que no opera y Listas d'!$D$2</f>
        <v>0</v>
      </c>
      <c r="P1658" s="149">
        <f>+IF(PROVEEDORES[[#This Row],[SUBTOTAL]]&lt;PROVEEDORES[[#This Row],[base retencion]],0,PROVEEDORES[[#This Row],[retención aplicada]])</f>
        <v>0</v>
      </c>
      <c r="Q1658" s="148">
        <f>+PROVEEDORES[[#This Row],[ReteFuente
%]]*(PROVEEDORES[[#This Row],[SUBTOTAL]])</f>
        <v>0</v>
      </c>
      <c r="R1658" s="150">
        <f>+PROVEEDORES[[#This Row],[SUBTOTAL]]+PROVEEDORES[[#This Row],[IVA 19%]]-PROVEEDORES[[#This Row],[Descuento
$]]-PROVEEDORES[[#This Row],[ReteFuente
$]]</f>
        <v>1454000</v>
      </c>
      <c r="S1658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8" s="135">
        <f ca="1">+IF(PROVEEDORES[[#This Row],[FECHA DE PAGO]]=0,TODAY()-PROVEEDORES[[#This Row],[FECHA DE FACTURACIÓN]]-PROVEEDORES[[#This Row],[PLAZO Días]],0)</f>
        <v>0</v>
      </c>
      <c r="U1658" s="135">
        <f>+VLOOKUP(PROVEEDORES[[#This Row],[PROVEEDOR]],Terceros!$A:$D,4,FALSE)</f>
        <v>0</v>
      </c>
      <c r="V1658" s="135">
        <f>+YEAR(PROVEEDORES[[#This Row],[FECHA DE FACTURACIÓN]])</f>
        <v>2024</v>
      </c>
      <c r="W1658" s="135">
        <f>+MATCH(PROVEEDORES[[#This Row],[año facturado]],Retenciones!$1:$1,0)</f>
        <v>7</v>
      </c>
      <c r="X1658" s="136">
        <f>+VLOOKUP(PROVEEDORES[[#This Row],[ID RETENCION]],Retenciones!$A$1:$O$25,PROVEEDORES[[#This Row],[indicador de columna]],FALSE)</f>
        <v>0</v>
      </c>
      <c r="Y1658" s="137">
        <f>+VLOOKUP(PROVEEDORES[[#This Row],[ID RETENCION]],Retenciones!$A$1:$O$25,2,FALSE)</f>
        <v>0</v>
      </c>
      <c r="Z1658" s="126" t="b">
        <f>+OR(COUNTIF(PROVEEDORES[[#This Row],[PROVEEDOR]],"*"&amp;'Palabra que no opera y Listas d'!$A$2&amp;"*"))</f>
        <v>0</v>
      </c>
    </row>
    <row r="1659" spans="1:26" ht="27.75" customHeight="1" x14ac:dyDescent="0.25">
      <c r="A1659" s="141" t="str">
        <f>+IF(PROVEEDORES[[#This Row],[FECHA DE PAGO]]=PROVEEDORES[[#This Row],[FECHA DE FACTURACIÓN]],"DE CONTADO","CRÉDITO")</f>
        <v>DE CONTADO</v>
      </c>
      <c r="B1659" s="138" t="b">
        <f>+IF((PROVEEDORES[[#This Row],[FECHA DE PAGO]]-PROVEEDORES[[#This Row],[FECHA DE FACTURACIÓN]])&gt;PROVEEDORES[[#This Row],[PLAZO Días]],"PAGO VENCIDO")</f>
        <v>0</v>
      </c>
      <c r="C1659" s="138">
        <f>+VLOOKUP(PROVEEDORES[[#This Row],[PROVEEDOR]],TERCEROS_INFO[#All],2,FALSE)</f>
        <v>30</v>
      </c>
      <c r="D1659" s="139">
        <f>+SUMIFS(PROVEEDORES[Total],PROVEEDORES[PROVEEDOR],PROVEEDORES[[#This Row],[PROVEEDOR]],PROVEEDORES[FECHA DE PAGO],"")</f>
        <v>0</v>
      </c>
      <c r="E1659" s="140"/>
      <c r="F1659" s="138" t="str">
        <f>+VLOOKUP(PROVEEDORES[[#This Row],[PROVEEDOR]],
                       Terceros!$A:$F,
                       5,
                       FALSE)</f>
        <v>contabilidad@logimexsas.com;girlesa.ruiz@servipilas.com;joriescobar64@gmail.com;facturacion@servipilas.com</v>
      </c>
      <c r="G1659" s="127">
        <v>45447</v>
      </c>
      <c r="H1659" s="123" t="s">
        <v>1863</v>
      </c>
      <c r="I1659" s="127">
        <v>45447</v>
      </c>
      <c r="J1659" s="124" t="s">
        <v>1940</v>
      </c>
      <c r="K1659" s="124" t="s">
        <v>1530</v>
      </c>
      <c r="L1659" s="124" t="s">
        <v>1534</v>
      </c>
      <c r="M1659" s="125">
        <v>2729691</v>
      </c>
      <c r="N1659" s="148">
        <f>+(PROVEEDORES[[#This Row],[SUBTOTAL]])*VLOOKUP(PROVEEDORES[[#This Row],[PROVEEDOR]],TERCEROS_INFO[#All],3,FALSE)</f>
        <v>0</v>
      </c>
      <c r="O1659" s="148">
        <f>+'Palabra que no opera y Listas d'!$D$2</f>
        <v>0</v>
      </c>
      <c r="P1659" s="149">
        <f>+IF(PROVEEDORES[[#This Row],[SUBTOTAL]]&lt;PROVEEDORES[[#This Row],[base retencion]],0,PROVEEDORES[[#This Row],[retención aplicada]])</f>
        <v>0</v>
      </c>
      <c r="Q1659" s="148">
        <f>+PROVEEDORES[[#This Row],[ReteFuente
%]]*(PROVEEDORES[[#This Row],[SUBTOTAL]])</f>
        <v>0</v>
      </c>
      <c r="R1659" s="150">
        <f>+PROVEEDORES[[#This Row],[SUBTOTAL]]+PROVEEDORES[[#This Row],[IVA 19%]]-PROVEEDORES[[#This Row],[Descuento
$]]-PROVEEDORES[[#This Row],[ReteFuente
$]]</f>
        <v>2729691</v>
      </c>
      <c r="S1659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59" s="135">
        <f ca="1">+IF(PROVEEDORES[[#This Row],[FECHA DE PAGO]]=0,TODAY()-PROVEEDORES[[#This Row],[FECHA DE FACTURACIÓN]]-PROVEEDORES[[#This Row],[PLAZO Días]],0)</f>
        <v>0</v>
      </c>
      <c r="U1659" s="135">
        <f>+VLOOKUP(PROVEEDORES[[#This Row],[PROVEEDOR]],Terceros!$A:$D,4,FALSE)</f>
        <v>0</v>
      </c>
      <c r="V1659" s="135">
        <f>+YEAR(PROVEEDORES[[#This Row],[FECHA DE FACTURACIÓN]])</f>
        <v>2024</v>
      </c>
      <c r="W1659" s="135">
        <f>+MATCH(PROVEEDORES[[#This Row],[año facturado]],Retenciones!$1:$1,0)</f>
        <v>7</v>
      </c>
      <c r="X1659" s="136">
        <f>+VLOOKUP(PROVEEDORES[[#This Row],[ID RETENCION]],Retenciones!$A$1:$O$25,PROVEEDORES[[#This Row],[indicador de columna]],FALSE)</f>
        <v>0</v>
      </c>
      <c r="Y1659" s="137">
        <f>+VLOOKUP(PROVEEDORES[[#This Row],[ID RETENCION]],Retenciones!$A$1:$O$25,2,FALSE)</f>
        <v>0</v>
      </c>
      <c r="Z1659" s="126" t="b">
        <f>+OR(COUNTIF(PROVEEDORES[[#This Row],[PROVEEDOR]],"*"&amp;'Palabra que no opera y Listas d'!$A$2&amp;"*"))</f>
        <v>0</v>
      </c>
    </row>
    <row r="1660" spans="1:26" ht="27.75" customHeight="1" x14ac:dyDescent="0.25">
      <c r="A1660" s="141" t="str">
        <f>+IF(PROVEEDORES[[#This Row],[FECHA DE PAGO]]=PROVEEDORES[[#This Row],[FECHA DE FACTURACIÓN]],"DE CONTADO","CRÉDITO")</f>
        <v>DE CONTADO</v>
      </c>
      <c r="B1660" s="138" t="b">
        <f>+IF((PROVEEDORES[[#This Row],[FECHA DE PAGO]]-PROVEEDORES[[#This Row],[FECHA DE FACTURACIÓN]])&gt;PROVEEDORES[[#This Row],[PLAZO Días]],"PAGO VENCIDO")</f>
        <v>0</v>
      </c>
      <c r="C1660" s="138">
        <f>+VLOOKUP(PROVEEDORES[[#This Row],[PROVEEDOR]],TERCEROS_INFO[#All],2,FALSE)</f>
        <v>30</v>
      </c>
      <c r="D1660" s="139">
        <f>+SUMIFS(PROVEEDORES[Total],PROVEEDORES[PROVEEDOR],PROVEEDORES[[#This Row],[PROVEEDOR]],PROVEEDORES[FECHA DE PAGO],"")</f>
        <v>0</v>
      </c>
      <c r="E1660" s="140"/>
      <c r="F1660" s="138" t="str">
        <f>+VLOOKUP(PROVEEDORES[[#This Row],[PROVEEDOR]],
                       Terceros!$A:$F,
                       5,
                       FALSE)</f>
        <v>olga.acevedo@logimexsas.com;girlesa.ruiz@servipilas.com;joriescobar64@gmail.com;facturacion@servipilas.com</v>
      </c>
      <c r="G1660" s="127">
        <v>45447</v>
      </c>
      <c r="H1660" s="123" t="s">
        <v>1862</v>
      </c>
      <c r="I1660" s="127">
        <v>45447</v>
      </c>
      <c r="J1660" s="124" t="s">
        <v>1941</v>
      </c>
      <c r="K1660" s="124" t="s">
        <v>504</v>
      </c>
      <c r="L1660" s="124" t="s">
        <v>1534</v>
      </c>
      <c r="M1660" s="125">
        <v>2748314</v>
      </c>
      <c r="N1660" s="148">
        <f>+(PROVEEDORES[[#This Row],[SUBTOTAL]])*VLOOKUP(PROVEEDORES[[#This Row],[PROVEEDOR]],TERCEROS_INFO[#All],3,FALSE)</f>
        <v>0</v>
      </c>
      <c r="O1660" s="148">
        <f>+'Palabra que no opera y Listas d'!$D$2</f>
        <v>0</v>
      </c>
      <c r="P1660" s="149">
        <f>+IF(PROVEEDORES[[#This Row],[SUBTOTAL]]&lt;PROVEEDORES[[#This Row],[base retencion]],0,PROVEEDORES[[#This Row],[retención aplicada]])</f>
        <v>0</v>
      </c>
      <c r="Q1660" s="148">
        <f>+PROVEEDORES[[#This Row],[ReteFuente
%]]*(PROVEEDORES[[#This Row],[SUBTOTAL]])</f>
        <v>0</v>
      </c>
      <c r="R1660" s="150">
        <f>+PROVEEDORES[[#This Row],[SUBTOTAL]]+PROVEEDORES[[#This Row],[IVA 19%]]-PROVEEDORES[[#This Row],[Descuento
$]]-PROVEEDORES[[#This Row],[ReteFuente
$]]</f>
        <v>2748314</v>
      </c>
      <c r="S1660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0" s="135">
        <f ca="1">+IF(PROVEEDORES[[#This Row],[FECHA DE PAGO]]=0,TODAY()-PROVEEDORES[[#This Row],[FECHA DE FACTURACIÓN]]-PROVEEDORES[[#This Row],[PLAZO Días]],0)</f>
        <v>0</v>
      </c>
      <c r="U1660" s="135">
        <f>+VLOOKUP(PROVEEDORES[[#This Row],[PROVEEDOR]],Terceros!$A:$D,4,FALSE)</f>
        <v>0</v>
      </c>
      <c r="V1660" s="135">
        <f>+YEAR(PROVEEDORES[[#This Row],[FECHA DE FACTURACIÓN]])</f>
        <v>2024</v>
      </c>
      <c r="W1660" s="135">
        <f>+MATCH(PROVEEDORES[[#This Row],[año facturado]],Retenciones!$1:$1,0)</f>
        <v>7</v>
      </c>
      <c r="X1660" s="136">
        <f>+VLOOKUP(PROVEEDORES[[#This Row],[ID RETENCION]],Retenciones!$A$1:$O$25,PROVEEDORES[[#This Row],[indicador de columna]],FALSE)</f>
        <v>0</v>
      </c>
      <c r="Y1660" s="137">
        <f>+VLOOKUP(PROVEEDORES[[#This Row],[ID RETENCION]],Retenciones!$A$1:$O$25,2,FALSE)</f>
        <v>0</v>
      </c>
      <c r="Z1660" s="126" t="b">
        <f>+OR(COUNTIF(PROVEEDORES[[#This Row],[PROVEEDOR]],"*"&amp;'Palabra que no opera y Listas d'!$A$2&amp;"*"))</f>
        <v>0</v>
      </c>
    </row>
    <row r="1661" spans="1:26" ht="27.75" customHeight="1" x14ac:dyDescent="0.25">
      <c r="A1661" s="141" t="str">
        <f>+IF(PROVEEDORES[[#This Row],[FECHA DE PAGO]]=PROVEEDORES[[#This Row],[FECHA DE FACTURACIÓN]],"DE CONTADO","CRÉDITO")</f>
        <v>DE CONTADO</v>
      </c>
      <c r="B1661" s="138" t="b">
        <f>+IF((PROVEEDORES[[#This Row],[FECHA DE PAGO]]-PROVEEDORES[[#This Row],[FECHA DE FACTURACIÓN]])&gt;PROVEEDORES[[#This Row],[PLAZO Días]],"PAGO VENCIDO")</f>
        <v>0</v>
      </c>
      <c r="C1661" s="138">
        <f>+VLOOKUP(PROVEEDORES[[#This Row],[PROVEEDOR]],TERCEROS_INFO[#All],2,FALSE)</f>
        <v>30</v>
      </c>
      <c r="D1661" s="139">
        <f>+SUMIFS(PROVEEDORES[Total],PROVEEDORES[PROVEEDOR],PROVEEDORES[[#This Row],[PROVEEDOR]],PROVEEDORES[FECHA DE PAGO],"")</f>
        <v>0</v>
      </c>
      <c r="E1661" s="140"/>
      <c r="F1661" s="138" t="str">
        <f>+VLOOKUP(PROVEEDORES[[#This Row],[PROVEEDOR]],
                       Terceros!$A:$F,
                       5,
                       FALSE)</f>
        <v>PSE</v>
      </c>
      <c r="G1661" s="127">
        <v>45447</v>
      </c>
      <c r="H1661" s="123" t="s">
        <v>390</v>
      </c>
      <c r="I1661" s="127">
        <v>45447</v>
      </c>
      <c r="J1661" s="124"/>
      <c r="K1661" s="124" t="s">
        <v>1530</v>
      </c>
      <c r="L1661" s="124" t="s">
        <v>1533</v>
      </c>
      <c r="M1661" s="125">
        <v>633500</v>
      </c>
      <c r="N1661" s="148">
        <f>+(PROVEEDORES[[#This Row],[SUBTOTAL]])*VLOOKUP(PROVEEDORES[[#This Row],[PROVEEDOR]],TERCEROS_INFO[#All],3,FALSE)</f>
        <v>0</v>
      </c>
      <c r="O1661" s="148">
        <f>+'Palabra que no opera y Listas d'!$D$2</f>
        <v>0</v>
      </c>
      <c r="P1661" s="149">
        <f>+IF(PROVEEDORES[[#This Row],[SUBTOTAL]]&lt;PROVEEDORES[[#This Row],[base retencion]],0,PROVEEDORES[[#This Row],[retención aplicada]])</f>
        <v>0</v>
      </c>
      <c r="Q1661" s="148">
        <f>+PROVEEDORES[[#This Row],[ReteFuente
%]]*(PROVEEDORES[[#This Row],[SUBTOTAL]])</f>
        <v>0</v>
      </c>
      <c r="R1661" s="150">
        <f>+PROVEEDORES[[#This Row],[SUBTOTAL]]+PROVEEDORES[[#This Row],[IVA 19%]]-PROVEEDORES[[#This Row],[Descuento
$]]-PROVEEDORES[[#This Row],[ReteFuente
$]]</f>
        <v>633500</v>
      </c>
      <c r="S1661" s="135" t="str">
        <f>+IF(PROVEEDORES[[#This Row],[FECHA DE FACTURACIÓN]]=0,"",IF(PROVEEDORES[[#This Row],[FECHA DE PAGO]]&gt;0,"Pagada",IF(AND(PROVEEDORES[[#This Row],[FECHA DE FACTURACIÓN]]&lt;&gt;0,('Fecha de hoy'!$B$1-PROVEEDORES[[#This Row],[FECHA DE FACTURACIÓN]])&gt;PROVEEDORES[[#This Row],[PLAZO Días]]),"Vencida",IF(PROVEEDORES[[#This Row],[FECHA DE PAGO]]=0,"Por pagar"))))</f>
        <v>Pagada</v>
      </c>
      <c r="T1661" s="135">
        <f ca="1">+IF(PROVEEDORES[[#This Row],[FECHA DE PAGO]]=0,TODAY()-PROVEEDORES[[#This Row],[FECHA DE FACTURACIÓN]]-PROVEEDORES[[#This Row],[PLAZO Días]],0)</f>
        <v>0</v>
      </c>
      <c r="U1661" s="135">
        <f>+VLOOKUP(PROVEEDORES[[#This Row],[PROVEEDOR]],Terceros!$A:$D,4,FALSE)</f>
        <v>0</v>
      </c>
      <c r="V1661" s="135">
        <f>+YEAR(PROVEEDORES[[#This Row],[FECHA DE FACTURACIÓN]])</f>
        <v>2024</v>
      </c>
      <c r="W1661" s="135">
        <f>+MATCH(PROVEEDORES[[#This Row],[año facturado]],Retenciones!$1:$1,0)</f>
        <v>7</v>
      </c>
      <c r="X1661" s="136">
        <f>+VLOOKUP(PROVEEDORES[[#This Row],[ID RETENCION]],Retenciones!$A$1:$O$25,PROVEEDORES[[#This Row],[indicador de columna]],FALSE)</f>
        <v>0</v>
      </c>
      <c r="Y1661" s="137">
        <f>+VLOOKUP(PROVEEDORES[[#This Row],[ID RETENCION]],Retenciones!$A$1:$O$25,2,FALSE)</f>
        <v>0</v>
      </c>
      <c r="Z1661" s="126" t="b">
        <f>+OR(COUNTIF(PROVEEDORES[[#This Row],[PROVEEDOR]],"*"&amp;'Palabra que no opera y Listas d'!$A$2&amp;"*"))</f>
        <v>1</v>
      </c>
    </row>
  </sheetData>
  <conditionalFormatting sqref="A2:Z1661">
    <cfRule type="expression" dxfId="307" priority="10" stopIfTrue="1">
      <formula>$S2="Por pagar"</formula>
    </cfRule>
    <cfRule type="expression" dxfId="306" priority="11" stopIfTrue="1">
      <formula>$S2="Vencida"</formula>
    </cfRule>
    <cfRule type="expression" dxfId="305" priority="12" stopIfTrue="1">
      <formula>$S2="Pagada"</formula>
    </cfRule>
  </conditionalFormatting>
  <conditionalFormatting sqref="H1658">
    <cfRule type="expression" dxfId="304" priority="7" stopIfTrue="1">
      <formula>$S1658="Por pagar"</formula>
    </cfRule>
    <cfRule type="expression" dxfId="303" priority="8" stopIfTrue="1">
      <formula>$S1658="Vencida"</formula>
    </cfRule>
    <cfRule type="expression" dxfId="302" priority="9" stopIfTrue="1">
      <formula>$S1658="Pagada"</formula>
    </cfRule>
  </conditionalFormatting>
  <conditionalFormatting sqref="H1660">
    <cfRule type="expression" dxfId="301" priority="4" stopIfTrue="1">
      <formula>$S1660="Por pagar"</formula>
    </cfRule>
    <cfRule type="expression" dxfId="300" priority="5" stopIfTrue="1">
      <formula>$S1660="Vencida"</formula>
    </cfRule>
    <cfRule type="expression" dxfId="299" priority="6" stopIfTrue="1">
      <formula>$S1660="Pagada"</formula>
    </cfRule>
  </conditionalFormatting>
  <conditionalFormatting sqref="H1661">
    <cfRule type="expression" dxfId="298" priority="1" stopIfTrue="1">
      <formula>$S1661="Por pagar"</formula>
    </cfRule>
    <cfRule type="expression" dxfId="297" priority="2" stopIfTrue="1">
      <formula>$S1661="Vencida"</formula>
    </cfRule>
    <cfRule type="expression" dxfId="296" priority="3" stopIfTrue="1">
      <formula>$S1661="Pagada"</formula>
    </cfRule>
  </conditionalFormatting>
  <pageMargins left="0.23622047244094491" right="0.23622047244094491" top="0.74803149606299213" bottom="0.74803149606299213" header="0.31496062992125984" footer="0.31496062992125984"/>
  <pageSetup scale="45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C7143C8-B87F-4D16-9219-C816E91C5623}">
          <x14:formula1>
            <xm:f>'Palabra que no opera y Listas d'!$C$2:$C$8</xm:f>
          </x14:formula1>
          <xm:sqref>L2:L1661</xm:sqref>
        </x14:dataValidation>
        <x14:dataValidation type="list" allowBlank="1" showInputMessage="1" showErrorMessage="1" xr:uid="{FCFD8EA6-BE32-4B7B-BA43-91F139E684E1}">
          <x14:formula1>
            <xm:f>'Palabra que no opera y Listas d'!$B$2:$B$3</xm:f>
          </x14:formula1>
          <xm:sqref>K2:K1661</xm:sqref>
        </x14:dataValidation>
        <x14:dataValidation type="list" allowBlank="1" showInputMessage="1" showErrorMessage="1" xr:uid="{E6D386C1-750F-4390-824C-1B6FB16C4390}">
          <x14:formula1>
            <xm:f>Terceros!$A:$A</xm:f>
          </x14:formula1>
          <xm:sqref>H2:H1661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B03CC-5A0C-4916-99A0-2E4C399E9485}">
  <sheetPr codeName="Hoja12"/>
  <dimension ref="A1:XFC143"/>
  <sheetViews>
    <sheetView topLeftCell="C134" zoomScaleNormal="100" workbookViewId="0">
      <selection activeCell="G116" sqref="G116"/>
    </sheetView>
  </sheetViews>
  <sheetFormatPr baseColWidth="10" defaultColWidth="0" defaultRowHeight="22.35" customHeight="1" x14ac:dyDescent="0.25"/>
  <cols>
    <col min="1" max="1" width="10" style="15" hidden="1" customWidth="1"/>
    <col min="2" max="2" width="15.5703125" style="19" hidden="1" customWidth="1"/>
    <col min="3" max="3" width="9.5703125" style="13" customWidth="1"/>
    <col min="4" max="4" width="13.5703125" style="74" customWidth="1"/>
    <col min="5" max="5" width="39.42578125" style="13" customWidth="1"/>
    <col min="6" max="6" width="13.5703125" style="14" customWidth="1"/>
    <col min="7" max="7" width="17.42578125" style="14" customWidth="1"/>
    <col min="8" max="8" width="37.5703125" style="14" customWidth="1"/>
    <col min="9" max="9" width="14.42578125" style="18" customWidth="1"/>
    <col min="10" max="10" width="15.5703125" style="32" hidden="1" customWidth="1"/>
    <col min="11" max="11" width="14.42578125" style="32" hidden="1" customWidth="1"/>
    <col min="12" max="12" width="11.42578125" hidden="1" customWidth="1"/>
    <col min="13" max="13" width="11.42578125" style="28" hidden="1" customWidth="1"/>
    <col min="14" max="14" width="11.42578125" hidden="1" customWidth="1"/>
    <col min="15" max="16" width="11.42578125" style="12" hidden="1" customWidth="1"/>
    <col min="17" max="17" width="13.5703125" style="32" hidden="1" customWidth="1"/>
    <col min="18" max="18" width="11.42578125" style="10" hidden="1" customWidth="1"/>
    <col min="19" max="19" width="14.5703125" style="10" hidden="1" customWidth="1"/>
    <col min="20" max="20" width="23.5703125" style="10" hidden="1" customWidth="1"/>
    <col min="21" max="21" width="11.5703125" style="10" hidden="1" customWidth="1"/>
    <col min="22" max="22" width="12.42578125" style="32" hidden="1" customWidth="1"/>
    <col min="23" max="23" width="17.42578125" style="33" hidden="1" customWidth="1"/>
    <col min="24" max="24" width="11.42578125" style="10" hidden="1" customWidth="1"/>
    <col min="25" max="26" width="17.42578125" style="10" hidden="1" customWidth="1"/>
    <col min="27" max="27" width="11.42578125" style="10" hidden="1" customWidth="1"/>
    <col min="28" max="30" width="17.42578125" style="10" hidden="1" customWidth="1"/>
    <col min="31" max="31" width="11.42578125" style="10" hidden="1" customWidth="1"/>
    <col min="32" max="33" width="17.42578125" style="10" hidden="1" customWidth="1"/>
    <col min="34" max="34" width="11.42578125" style="10" hidden="1" customWidth="1"/>
    <col min="35" max="36" width="17.42578125" style="10" hidden="1" customWidth="1"/>
    <col min="37" max="16383" width="11.42578125" style="10" hidden="1"/>
    <col min="16384" max="16384" width="1.42578125" style="10" hidden="1" customWidth="1"/>
  </cols>
  <sheetData>
    <row r="1" spans="1:11" s="7" customFormat="1" ht="62.25" customHeight="1" x14ac:dyDescent="0.25">
      <c r="A1" s="3" t="s">
        <v>8</v>
      </c>
      <c r="B1" s="3" t="s">
        <v>119</v>
      </c>
      <c r="C1" s="4" t="s">
        <v>81</v>
      </c>
      <c r="D1" s="76" t="s">
        <v>6</v>
      </c>
      <c r="E1" s="5" t="s">
        <v>3</v>
      </c>
      <c r="F1" s="27" t="s">
        <v>1</v>
      </c>
      <c r="G1" s="17" t="s">
        <v>2</v>
      </c>
      <c r="H1" s="5" t="s">
        <v>329</v>
      </c>
      <c r="I1" s="6" t="s">
        <v>342</v>
      </c>
      <c r="K1" s="28"/>
    </row>
    <row r="2" spans="1:11" ht="22.35" hidden="1" customHeight="1" x14ac:dyDescent="0.25">
      <c r="A2" s="51" t="str">
        <f>+IF(PROVEEDORES3[[#This Row],[FECHA DE PAGO]]=PROVEEDORES3[[#This Row],[FECHA DE FACTURACIÓN]],"DE CONTADO","CRÉDITO")</f>
        <v>DE CONTADO</v>
      </c>
      <c r="B2" s="19" t="e">
        <f>+IF((PROVEEDORES3[[#This Row],[FECHA DE PAGO]]-PROVEEDORES3[[#This Row],[FECHA DE FACTURACIÓN]])&gt;#REF!,"PAGO VENCIDO")</f>
        <v>#REF!</v>
      </c>
      <c r="C2" s="24" t="str">
        <f>+VLOOKUP(PROVEEDORES3[[#This Row],[PROVEEDOR]],TERCEROS_INFO[[PROVEEDOR]:[CORREO]],5,FALSE)</f>
        <v>jessica.barrios@carpainternacional.com;girlesa.ruiz@servipilas.com;joriescobar64@gmail.com</v>
      </c>
      <c r="D2" s="75">
        <v>44938</v>
      </c>
      <c r="E2" s="11" t="s">
        <v>222</v>
      </c>
      <c r="F2" s="30">
        <v>44938</v>
      </c>
      <c r="G2" s="49" t="s">
        <v>501</v>
      </c>
      <c r="H2" s="31">
        <v>0</v>
      </c>
      <c r="I2" s="9">
        <f>+PROVEEDORES3[[#This Row],[Total USD]]*5000</f>
        <v>0</v>
      </c>
    </row>
    <row r="3" spans="1:11" ht="22.35" hidden="1" customHeight="1" x14ac:dyDescent="0.25">
      <c r="A3" s="51" t="str">
        <f>+IF(PROVEEDORES3[[#This Row],[FECHA DE PAGO]]=PROVEEDORES3[[#This Row],[FECHA DE FACTURACIÓN]],"DE CONTADO","CRÉDITO")</f>
        <v>CRÉDITO</v>
      </c>
      <c r="B3" s="19" t="e">
        <f>+IF((PROVEEDORES3[[#This Row],[FECHA DE PAGO]]-PROVEEDORES3[[#This Row],[FECHA DE FACTURACIÓN]])&gt;#REF!,"PAGO VENCIDO")</f>
        <v>#REF!</v>
      </c>
      <c r="C3" s="24" t="str">
        <f>+VLOOKUP(PROVEEDORES3[[#This Row],[PROVEEDOR]],TERCEROS_INFO[[PROVEEDOR]:[CORREO]],5,FALSE)</f>
        <v>jessica.barrios@carpainternacional.com;girlesa.ruiz@servipilas.com;joriescobar64@gmail.com</v>
      </c>
      <c r="D3" s="74">
        <v>44992</v>
      </c>
      <c r="E3" s="11" t="s">
        <v>222</v>
      </c>
      <c r="F3" s="30">
        <v>44914</v>
      </c>
      <c r="G3" s="16">
        <v>1566</v>
      </c>
      <c r="H3" s="31">
        <v>40</v>
      </c>
      <c r="I3" s="9">
        <f>+PROVEEDORES3[[#This Row],[Total USD]]*4800</f>
        <v>192000</v>
      </c>
    </row>
    <row r="4" spans="1:11" ht="22.35" hidden="1" customHeight="1" x14ac:dyDescent="0.25">
      <c r="A4" s="51" t="str">
        <f>+IF(PROVEEDORES3[[#This Row],[FECHA DE PAGO]]=PROVEEDORES3[[#This Row],[FECHA DE FACTURACIÓN]],"DE CONTADO","CRÉDITO")</f>
        <v>CRÉDITO</v>
      </c>
      <c r="B4" s="19" t="e">
        <f>+IF((PROVEEDORES3[[#This Row],[FECHA DE PAGO]]-PROVEEDORES3[[#This Row],[FECHA DE FACTURACIÓN]])&gt;#REF!,"PAGO VENCIDO")</f>
        <v>#REF!</v>
      </c>
      <c r="C4" s="24" t="str">
        <f>+VLOOKUP(PROVEEDORES3[[#This Row],[PROVEEDOR]],TERCEROS_INFO[[PROVEEDOR]:[CORREO]],5,FALSE)</f>
        <v>jessica.barrios@carpainternacional.com;girlesa.ruiz@servipilas.com;joriescobar64@gmail.com</v>
      </c>
      <c r="D4" s="74">
        <v>44992</v>
      </c>
      <c r="E4" s="11" t="s">
        <v>222</v>
      </c>
      <c r="F4" s="30">
        <v>44922</v>
      </c>
      <c r="G4" s="16">
        <v>1567</v>
      </c>
      <c r="H4" s="31">
        <v>40</v>
      </c>
      <c r="I4" s="9">
        <f>+PROVEEDORES3[[#This Row],[Total USD]]*4800</f>
        <v>192000</v>
      </c>
    </row>
    <row r="5" spans="1:11" ht="22.35" hidden="1" customHeight="1" x14ac:dyDescent="0.25">
      <c r="A5" s="51" t="str">
        <f>+IF(PROVEEDORES3[[#This Row],[FECHA DE PAGO]]=PROVEEDORES3[[#This Row],[FECHA DE FACTURACIÓN]],"DE CONTADO","CRÉDITO")</f>
        <v>CRÉDITO</v>
      </c>
      <c r="B5" s="19" t="e">
        <f>+IF((PROVEEDORES3[[#This Row],[FECHA DE PAGO]]-PROVEEDORES3[[#This Row],[FECHA DE FACTURACIÓN]])&gt;#REF!,"PAGO VENCIDO")</f>
        <v>#REF!</v>
      </c>
      <c r="C5" s="24" t="str">
        <f>+VLOOKUP(PROVEEDORES3[[#This Row],[PROVEEDOR]],TERCEROS_INFO[[PROVEEDOR]:[CORREO]],5,FALSE)</f>
        <v>jessica.barrios@carpainternacional.com;girlesa.ruiz@servipilas.com;joriescobar64@gmail.com</v>
      </c>
      <c r="D5" s="74">
        <v>44992</v>
      </c>
      <c r="E5" s="11" t="s">
        <v>222</v>
      </c>
      <c r="F5" s="30">
        <v>44922</v>
      </c>
      <c r="G5" s="16">
        <v>1568</v>
      </c>
      <c r="H5" s="31">
        <v>44</v>
      </c>
      <c r="I5" s="9">
        <f>+PROVEEDORES3[[#This Row],[Total USD]]*4800</f>
        <v>211200</v>
      </c>
    </row>
    <row r="6" spans="1:11" ht="22.35" hidden="1" customHeight="1" x14ac:dyDescent="0.25">
      <c r="A6" s="29" t="str">
        <f>+IF(PROVEEDORES3[[#This Row],[FECHA DE PAGO]]=PROVEEDORES3[[#This Row],[FECHA DE FACTURACIÓN]],"DE CONTADO","CRÉDITO")</f>
        <v>CRÉDITO</v>
      </c>
      <c r="B6" s="19" t="e">
        <f>+IF((PROVEEDORES3[[#This Row],[FECHA DE PAGO]]-PROVEEDORES3[[#This Row],[FECHA DE FACTURACIÓN]])&gt;#REF!,"PAGO VENCIDO")</f>
        <v>#REF!</v>
      </c>
      <c r="C6" s="24" t="str">
        <f>+VLOOKUP(PROVEEDORES3[[#This Row],[PROVEEDOR]],TERCEROS_INFO[[PROVEEDOR]:[CORREO]],5,FALSE)</f>
        <v>jessica.barrios@carpainternacional.com;girlesa.ruiz@servipilas.com;joriescobar64@gmail.com</v>
      </c>
      <c r="D6" s="74">
        <v>44992</v>
      </c>
      <c r="E6" s="11" t="s">
        <v>222</v>
      </c>
      <c r="F6" s="30">
        <v>44922</v>
      </c>
      <c r="G6" s="16">
        <v>1570</v>
      </c>
      <c r="H6" s="31">
        <v>40</v>
      </c>
      <c r="I6" s="9">
        <f>+PROVEEDORES3[[#This Row],[Total USD]]*4800</f>
        <v>192000</v>
      </c>
    </row>
    <row r="7" spans="1:11" ht="22.35" hidden="1" customHeight="1" x14ac:dyDescent="0.25">
      <c r="A7" s="29" t="str">
        <f>+IF(PROVEEDORES3[[#This Row],[FECHA DE PAGO]]=PROVEEDORES3[[#This Row],[FECHA DE FACTURACIÓN]],"DE CONTADO","CRÉDITO")</f>
        <v>CRÉDITO</v>
      </c>
      <c r="B7" s="19" t="e">
        <f>+IF((PROVEEDORES3[[#This Row],[FECHA DE PAGO]]-PROVEEDORES3[[#This Row],[FECHA DE FACTURACIÓN]])&gt;#REF!,"PAGO VENCIDO")</f>
        <v>#REF!</v>
      </c>
      <c r="C7" s="24" t="str">
        <f>+VLOOKUP(PROVEEDORES3[[#This Row],[PROVEEDOR]],TERCEROS_INFO[[PROVEEDOR]:[CORREO]],5,FALSE)</f>
        <v>jessica.barrios@carpainternacional.com;girlesa.ruiz@servipilas.com;joriescobar64@gmail.com</v>
      </c>
      <c r="D7" s="74">
        <v>44992</v>
      </c>
      <c r="E7" s="11" t="s">
        <v>222</v>
      </c>
      <c r="F7" s="30">
        <v>44924</v>
      </c>
      <c r="G7" s="16">
        <v>1575</v>
      </c>
      <c r="H7" s="31">
        <v>64</v>
      </c>
      <c r="I7" s="9">
        <f>+PROVEEDORES3[[#This Row],[Total USD]]*4800</f>
        <v>307200</v>
      </c>
    </row>
    <row r="8" spans="1:11" ht="22.35" hidden="1" customHeight="1" x14ac:dyDescent="0.25">
      <c r="A8" s="29" t="str">
        <f>+IF(PROVEEDORES3[[#This Row],[FECHA DE PAGO]]=PROVEEDORES3[[#This Row],[FECHA DE FACTURACIÓN]],"DE CONTADO","CRÉDITO")</f>
        <v>CRÉDITO</v>
      </c>
      <c r="B8" s="19" t="e">
        <f>+IF((PROVEEDORES3[[#This Row],[FECHA DE PAGO]]-PROVEEDORES3[[#This Row],[FECHA DE FACTURACIÓN]])&gt;#REF!,"PAGO VENCIDO")</f>
        <v>#REF!</v>
      </c>
      <c r="C8" s="24" t="str">
        <f>+VLOOKUP(PROVEEDORES3[[#This Row],[PROVEEDOR]],TERCEROS_INFO[[PROVEEDOR]:[CORREO]],5,FALSE)</f>
        <v>jessica.barrios@carpainternacional.com;girlesa.ruiz@servipilas.com;joriescobar64@gmail.com</v>
      </c>
      <c r="D8" s="74">
        <v>44992</v>
      </c>
      <c r="E8" s="11" t="s">
        <v>222</v>
      </c>
      <c r="F8" s="30">
        <v>44924</v>
      </c>
      <c r="G8" s="16">
        <v>1576</v>
      </c>
      <c r="H8" s="31">
        <v>52</v>
      </c>
      <c r="I8" s="9">
        <f>+PROVEEDORES3[[#This Row],[Total USD]]*4800</f>
        <v>249600</v>
      </c>
    </row>
    <row r="9" spans="1:11" ht="22.35" hidden="1" customHeight="1" x14ac:dyDescent="0.25">
      <c r="A9" s="52" t="str">
        <f>+IF(PROVEEDORES3[[#This Row],[FECHA DE PAGO]]=PROVEEDORES3[[#This Row],[FECHA DE FACTURACIÓN]],"DE CONTADO","CRÉDITO")</f>
        <v>CRÉDITO</v>
      </c>
      <c r="B9" s="19" t="e">
        <f>+IF((PROVEEDORES3[[#This Row],[FECHA DE PAGO]]-PROVEEDORES3[[#This Row],[FECHA DE FACTURACIÓN]])&gt;#REF!,"PAGO VENCIDO")</f>
        <v>#REF!</v>
      </c>
      <c r="C9" s="24" t="str">
        <f>+VLOOKUP(PROVEEDORES3[[#This Row],[PROVEEDOR]],TERCEROS_INFO[[PROVEEDOR]:[CORREO]],5,FALSE)</f>
        <v>jessica.barrios@carpainternacional.com;girlesa.ruiz@servipilas.com;joriescobar64@gmail.com</v>
      </c>
      <c r="D9" s="74">
        <v>44992</v>
      </c>
      <c r="E9" s="11" t="s">
        <v>222</v>
      </c>
      <c r="F9" s="30">
        <v>44927</v>
      </c>
      <c r="G9" s="16">
        <v>1585</v>
      </c>
      <c r="H9" s="31">
        <v>40</v>
      </c>
      <c r="I9" s="9">
        <f>+PROVEEDORES3[[#This Row],[Total USD]]*4800</f>
        <v>192000</v>
      </c>
    </row>
    <row r="10" spans="1:11" ht="22.35" hidden="1" customHeight="1" x14ac:dyDescent="0.25">
      <c r="A10" s="52" t="str">
        <f>+IF(PROVEEDORES3[[#This Row],[FECHA DE PAGO]]=PROVEEDORES3[[#This Row],[FECHA DE FACTURACIÓN]],"DE CONTADO","CRÉDITO")</f>
        <v>CRÉDITO</v>
      </c>
      <c r="B10" s="19" t="e">
        <f>+IF((PROVEEDORES3[[#This Row],[FECHA DE PAGO]]-PROVEEDORES3[[#This Row],[FECHA DE FACTURACIÓN]])&gt;#REF!,"PAGO VENCIDO")</f>
        <v>#REF!</v>
      </c>
      <c r="C10" s="24" t="str">
        <f>+VLOOKUP(PROVEEDORES3[[#This Row],[PROVEEDOR]],TERCEROS_INFO[[PROVEEDOR]:[CORREO]],5,FALSE)</f>
        <v>jessica.barrios@carpainternacional.com;girlesa.ruiz@servipilas.com;joriescobar64@gmail.com</v>
      </c>
      <c r="D10" s="74">
        <v>44992</v>
      </c>
      <c r="E10" s="11" t="s">
        <v>222</v>
      </c>
      <c r="F10" s="30">
        <v>44927</v>
      </c>
      <c r="G10" s="16">
        <v>1586</v>
      </c>
      <c r="H10" s="31">
        <v>40</v>
      </c>
      <c r="I10" s="9">
        <f>+PROVEEDORES3[[#This Row],[Total USD]]*4800</f>
        <v>192000</v>
      </c>
    </row>
    <row r="11" spans="1:11" ht="22.35" hidden="1" customHeight="1" x14ac:dyDescent="0.25">
      <c r="A11" s="29" t="str">
        <f>+IF(PROVEEDORES3[[#This Row],[FECHA DE PAGO]]=PROVEEDORES3[[#This Row],[FECHA DE FACTURACIÓN]],"DE CONTADO","CRÉDITO")</f>
        <v>CRÉDITO</v>
      </c>
      <c r="B11" s="19" t="e">
        <f>+IF((PROVEEDORES3[[#This Row],[FECHA DE PAGO]]-PROVEEDORES3[[#This Row],[FECHA DE FACTURACIÓN]])&gt;#REF!,"PAGO VENCIDO")</f>
        <v>#REF!</v>
      </c>
      <c r="C11" s="24" t="str">
        <f>+VLOOKUP(PROVEEDORES3[[#This Row],[PROVEEDOR]],TERCEROS_INFO[[PROVEEDOR]:[CORREO]],5,FALSE)</f>
        <v>jessica.barrios@carpainternacional.com;girlesa.ruiz@servipilas.com;joriescobar64@gmail.com</v>
      </c>
      <c r="D11" s="74">
        <v>44992</v>
      </c>
      <c r="E11" s="11" t="s">
        <v>222</v>
      </c>
      <c r="F11" s="30">
        <v>44949</v>
      </c>
      <c r="G11" s="16">
        <v>1591</v>
      </c>
      <c r="H11" s="31">
        <v>112.9</v>
      </c>
      <c r="I11" s="9">
        <f>+PROVEEDORES3[[#This Row],[Total USD]]*4600</f>
        <v>519340</v>
      </c>
    </row>
    <row r="12" spans="1:11" ht="22.35" hidden="1" customHeight="1" x14ac:dyDescent="0.25">
      <c r="A12" s="53" t="str">
        <f>+IF(PROVEEDORES3[[#This Row],[FECHA DE PAGO]]=PROVEEDORES3[[#This Row],[FECHA DE FACTURACIÓN]],"DE CONTADO","CRÉDITO")</f>
        <v>CRÉDITO</v>
      </c>
      <c r="B12" s="19" t="e">
        <f>+IF((PROVEEDORES3[[#This Row],[FECHA DE PAGO]]-PROVEEDORES3[[#This Row],[FECHA DE FACTURACIÓN]])&gt;#REF!,"PAGO VENCIDO")</f>
        <v>#REF!</v>
      </c>
      <c r="C12" s="24" t="str">
        <f>+VLOOKUP(PROVEEDORES3[[#This Row],[PROVEEDOR]],TERCEROS_INFO[[PROVEEDOR]:[CORREO]],5,FALSE)</f>
        <v>jessica.barrios@carpainternacional.com;girlesa.ruiz@servipilas.com;joriescobar64@gmail.com</v>
      </c>
      <c r="D12" s="74">
        <v>44992</v>
      </c>
      <c r="E12" s="11" t="s">
        <v>222</v>
      </c>
      <c r="F12" s="30">
        <v>44949</v>
      </c>
      <c r="G12" s="16">
        <v>1598</v>
      </c>
      <c r="H12" s="31">
        <v>40</v>
      </c>
      <c r="I12" s="9">
        <f>+PROVEEDORES3[[#This Row],[Total USD]]*4600</f>
        <v>184000</v>
      </c>
    </row>
    <row r="13" spans="1:11" ht="22.35" hidden="1" customHeight="1" x14ac:dyDescent="0.25">
      <c r="A13" s="54" t="str">
        <f>+IF(PROVEEDORES3[[#This Row],[FECHA DE PAGO]]=PROVEEDORES3[[#This Row],[FECHA DE FACTURACIÓN]],"DE CONTADO","CRÉDITO")</f>
        <v>CRÉDITO</v>
      </c>
      <c r="B13" s="19" t="e">
        <f>+IF((PROVEEDORES3[[#This Row],[FECHA DE PAGO]]-PROVEEDORES3[[#This Row],[FECHA DE FACTURACIÓN]])&gt;#REF!,"PAGO VENCIDO")</f>
        <v>#REF!</v>
      </c>
      <c r="C13" s="24" t="str">
        <f>+VLOOKUP(PROVEEDORES3[[#This Row],[PROVEEDOR]],TERCEROS_INFO[[PROVEEDOR]:[CORREO]],5,FALSE)</f>
        <v>jessica.barrios@carpainternacional.com;girlesa.ruiz@servipilas.com;joriescobar64@gmail.com</v>
      </c>
      <c r="D13" s="74">
        <v>44992</v>
      </c>
      <c r="E13" s="11" t="s">
        <v>222</v>
      </c>
      <c r="F13" s="30">
        <v>44963</v>
      </c>
      <c r="G13" s="16">
        <v>1607</v>
      </c>
      <c r="H13" s="31">
        <v>40</v>
      </c>
      <c r="I13" s="9">
        <f>+PROVEEDORES3[[#This Row],[Total USD]]*4780</f>
        <v>191200</v>
      </c>
    </row>
    <row r="14" spans="1:11" ht="22.35" hidden="1" customHeight="1" x14ac:dyDescent="0.25">
      <c r="A14" s="54" t="str">
        <f>+IF(PROVEEDORES3[[#This Row],[FECHA DE PAGO]]=PROVEEDORES3[[#This Row],[FECHA DE FACTURACIÓN]],"DE CONTADO","CRÉDITO")</f>
        <v>CRÉDITO</v>
      </c>
      <c r="B14" s="19" t="e">
        <f>+IF((PROVEEDORES3[[#This Row],[FECHA DE PAGO]]-PROVEEDORES3[[#This Row],[FECHA DE FACTURACIÓN]])&gt;#REF!,"PAGO VENCIDO")</f>
        <v>#REF!</v>
      </c>
      <c r="C14" s="24" t="str">
        <f>+VLOOKUP(PROVEEDORES3[[#This Row],[PROVEEDOR]],TERCEROS_INFO[[PROVEEDOR]:[CORREO]],5,FALSE)</f>
        <v>jessica.barrios@carpainternacional.com;girlesa.ruiz@servipilas.com;joriescobar64@gmail.com</v>
      </c>
      <c r="D14" s="74">
        <v>44992</v>
      </c>
      <c r="E14" s="11" t="s">
        <v>222</v>
      </c>
      <c r="F14" s="30">
        <v>45079</v>
      </c>
      <c r="G14" s="16">
        <v>1608</v>
      </c>
      <c r="H14" s="31">
        <v>40</v>
      </c>
      <c r="I14" s="9">
        <f>+PROVEEDORES3[[#This Row],[Total USD]]*4780</f>
        <v>191200</v>
      </c>
    </row>
    <row r="15" spans="1:11" ht="22.35" hidden="1" customHeight="1" x14ac:dyDescent="0.25">
      <c r="A15" s="55" t="str">
        <f>+IF(PROVEEDORES3[[#This Row],[FECHA DE PAGO]]=PROVEEDORES3[[#This Row],[FECHA DE FACTURACIÓN]],"DE CONTADO","CRÉDITO")</f>
        <v>CRÉDITO</v>
      </c>
      <c r="B15" s="19" t="e">
        <f>+IF((PROVEEDORES3[[#This Row],[FECHA DE PAGO]]-PROVEEDORES3[[#This Row],[FECHA DE FACTURACIÓN]])&gt;#REF!,"PAGO VENCIDO")</f>
        <v>#REF!</v>
      </c>
      <c r="C15" s="24" t="str">
        <f>+VLOOKUP(PROVEEDORES3[[#This Row],[PROVEEDOR]],TERCEROS_INFO[[PROVEEDOR]:[CORREO]],5,FALSE)</f>
        <v>jessica.barrios@carpainternacional.com;girlesa.ruiz@servipilas.com;joriescobar64@gmail.com</v>
      </c>
      <c r="D15" s="74">
        <v>44992</v>
      </c>
      <c r="E15" s="11" t="s">
        <v>222</v>
      </c>
      <c r="F15" s="30">
        <v>44963</v>
      </c>
      <c r="G15" s="16">
        <v>1623</v>
      </c>
      <c r="H15" s="31">
        <v>72</v>
      </c>
      <c r="I15" s="9">
        <f>+PROVEEDORES3[[#This Row],[Total USD]]*4860</f>
        <v>349920</v>
      </c>
    </row>
    <row r="16" spans="1:11" ht="22.35" hidden="1" customHeight="1" x14ac:dyDescent="0.25">
      <c r="A16" s="55" t="str">
        <f>+IF(PROVEEDORES3[[#This Row],[FECHA DE PAGO]]=PROVEEDORES3[[#This Row],[FECHA DE FACTURACIÓN]],"DE CONTADO","CRÉDITO")</f>
        <v>CRÉDITO</v>
      </c>
      <c r="B16" s="19" t="e">
        <f>+IF((PROVEEDORES3[[#This Row],[FECHA DE PAGO]]-PROVEEDORES3[[#This Row],[FECHA DE FACTURACIÓN]])&gt;#REF!,"PAGO VENCIDO")</f>
        <v>#REF!</v>
      </c>
      <c r="C16" s="24" t="str">
        <f>+VLOOKUP(PROVEEDORES3[[#This Row],[PROVEEDOR]],TERCEROS_INFO[[PROVEEDOR]:[CORREO]],5,FALSE)</f>
        <v>jessica.barrios@carpainternacional.com;girlesa.ruiz@servipilas.com;joriescobar64@gmail.com</v>
      </c>
      <c r="D16" s="74">
        <v>44992</v>
      </c>
      <c r="E16" s="11" t="s">
        <v>222</v>
      </c>
      <c r="F16" s="30">
        <v>44963</v>
      </c>
      <c r="G16" s="16">
        <v>1624</v>
      </c>
      <c r="H16" s="31">
        <v>242.4</v>
      </c>
      <c r="I16" s="9">
        <f>+PROVEEDORES3[[#This Row],[Total USD]]*4860</f>
        <v>1178064</v>
      </c>
    </row>
    <row r="17" spans="1:9" ht="22.35" hidden="1" customHeight="1" x14ac:dyDescent="0.25">
      <c r="A17" s="29" t="str">
        <f>+IF(PROVEEDORES3[[#This Row],[FECHA DE PAGO]]=PROVEEDORES3[[#This Row],[FECHA DE FACTURACIÓN]],"DE CONTADO","CRÉDITO")</f>
        <v>CRÉDITO</v>
      </c>
      <c r="B17" s="19" t="e">
        <f>+IF((PROVEEDORES3[[#This Row],[FECHA DE PAGO]]-PROVEEDORES3[[#This Row],[FECHA DE FACTURACIÓN]])&gt;#REF!,"PAGO VENCIDO")</f>
        <v>#REF!</v>
      </c>
      <c r="C17" s="24" t="str">
        <f>+VLOOKUP(PROVEEDORES3[[#This Row],[PROVEEDOR]],TERCEROS_INFO[[PROVEEDOR]:[CORREO]],5,FALSE)</f>
        <v>jessica.barrios@carpainternacional.com;girlesa.ruiz@servipilas.com;joriescobar64@gmail.com</v>
      </c>
      <c r="D17" s="74">
        <v>45026</v>
      </c>
      <c r="E17" s="11" t="s">
        <v>222</v>
      </c>
      <c r="F17" s="30">
        <v>44999</v>
      </c>
      <c r="G17" s="16">
        <v>1627</v>
      </c>
      <c r="H17" s="31">
        <v>64</v>
      </c>
      <c r="I17" s="9">
        <f>+PROVEEDORES3[[#This Row],[Total USD]]*4880</f>
        <v>312320</v>
      </c>
    </row>
    <row r="18" spans="1:9" ht="22.35" hidden="1" customHeight="1" x14ac:dyDescent="0.25">
      <c r="A18" s="29" t="str">
        <f>+IF(PROVEEDORES3[[#This Row],[FECHA DE PAGO]]=PROVEEDORES3[[#This Row],[FECHA DE FACTURACIÓN]],"DE CONTADO","CRÉDITO")</f>
        <v>CRÉDITO</v>
      </c>
      <c r="B18" s="19" t="e">
        <f>+IF((PROVEEDORES3[[#This Row],[FECHA DE PAGO]]-PROVEEDORES3[[#This Row],[FECHA DE FACTURACIÓN]])&gt;#REF!,"PAGO VENCIDO")</f>
        <v>#REF!</v>
      </c>
      <c r="C18" s="24" t="str">
        <f>+VLOOKUP(PROVEEDORES3[[#This Row],[PROVEEDOR]],TERCEROS_INFO[[PROVEEDOR]:[CORREO]],5,FALSE)</f>
        <v>jessica.barrios@carpainternacional.com;girlesa.ruiz@servipilas.com;joriescobar64@gmail.com</v>
      </c>
      <c r="D18" s="74">
        <v>45026</v>
      </c>
      <c r="E18" s="11" t="s">
        <v>222</v>
      </c>
      <c r="F18" s="30">
        <v>44999</v>
      </c>
      <c r="G18" s="16">
        <v>1628</v>
      </c>
      <c r="H18" s="31">
        <v>44</v>
      </c>
      <c r="I18" s="9">
        <f>+PROVEEDORES3[[#This Row],[Total USD]]*4880</f>
        <v>214720</v>
      </c>
    </row>
    <row r="19" spans="1:9" ht="22.35" hidden="1" customHeight="1" x14ac:dyDescent="0.25">
      <c r="A19" s="56" t="str">
        <f>+IF(PROVEEDORES3[[#This Row],[FECHA DE PAGO]]=PROVEEDORES3[[#This Row],[FECHA DE FACTURACIÓN]],"DE CONTADO","CRÉDITO")</f>
        <v>CRÉDITO</v>
      </c>
      <c r="B19" s="19" t="e">
        <f>+IF((PROVEEDORES3[[#This Row],[FECHA DE PAGO]]-PROVEEDORES3[[#This Row],[FECHA DE FACTURACIÓN]])&gt;#REF!,"PAGO VENCIDO")</f>
        <v>#REF!</v>
      </c>
      <c r="C19" s="24" t="str">
        <f>+VLOOKUP(PROVEEDORES3[[#This Row],[PROVEEDOR]],TERCEROS_INFO[[PROVEEDOR]:[CORREO]],5,FALSE)</f>
        <v>jessica.barrios@carpainternacional.com;girlesa.ruiz@servipilas.com;joriescobar64@gmail.com</v>
      </c>
      <c r="D19" s="74">
        <v>45026</v>
      </c>
      <c r="E19" s="11" t="s">
        <v>222</v>
      </c>
      <c r="F19" s="30">
        <v>45002</v>
      </c>
      <c r="G19" s="16">
        <v>1634</v>
      </c>
      <c r="H19" s="31">
        <v>40</v>
      </c>
      <c r="I19" s="9">
        <f>+PROVEEDORES3[[#This Row],[Total USD]]*4780</f>
        <v>191200</v>
      </c>
    </row>
    <row r="20" spans="1:9" ht="22.35" hidden="1" customHeight="1" x14ac:dyDescent="0.25">
      <c r="A20" s="56" t="str">
        <f>+IF(PROVEEDORES3[[#This Row],[FECHA DE PAGO]]=PROVEEDORES3[[#This Row],[FECHA DE FACTURACIÓN]],"DE CONTADO","CRÉDITO")</f>
        <v>CRÉDITO</v>
      </c>
      <c r="B20" s="19" t="e">
        <f>+IF((PROVEEDORES3[[#This Row],[FECHA DE PAGO]]-PROVEEDORES3[[#This Row],[FECHA DE FACTURACIÓN]])&gt;#REF!,"PAGO VENCIDO")</f>
        <v>#REF!</v>
      </c>
      <c r="C20" s="24" t="str">
        <f>+VLOOKUP(PROVEEDORES3[[#This Row],[PROVEEDOR]],TERCEROS_INFO[[PROVEEDOR]:[CORREO]],5,FALSE)</f>
        <v>jessica.barrios@carpainternacional.com;girlesa.ruiz@servipilas.com;joriescobar64@gmail.com</v>
      </c>
      <c r="D20" s="74">
        <v>45026</v>
      </c>
      <c r="E20" s="11" t="s">
        <v>222</v>
      </c>
      <c r="F20" s="30">
        <v>44999</v>
      </c>
      <c r="G20" s="16">
        <v>1635</v>
      </c>
      <c r="H20" s="31">
        <v>40</v>
      </c>
      <c r="I20" s="9">
        <f>+PROVEEDORES3[[#This Row],[Total USD]]*4780</f>
        <v>191200</v>
      </c>
    </row>
    <row r="21" spans="1:9" ht="22.35" hidden="1" customHeight="1" x14ac:dyDescent="0.25">
      <c r="A21" s="56" t="str">
        <f>+IF(PROVEEDORES3[[#This Row],[FECHA DE PAGO]]=PROVEEDORES3[[#This Row],[FECHA DE FACTURACIÓN]],"DE CONTADO","CRÉDITO")</f>
        <v>CRÉDITO</v>
      </c>
      <c r="B21" s="19" t="e">
        <f>+IF((PROVEEDORES3[[#This Row],[FECHA DE PAGO]]-PROVEEDORES3[[#This Row],[FECHA DE FACTURACIÓN]])&gt;#REF!,"PAGO VENCIDO")</f>
        <v>#REF!</v>
      </c>
      <c r="C21" s="24" t="str">
        <f>+VLOOKUP(PROVEEDORES3[[#This Row],[PROVEEDOR]],TERCEROS_INFO[[PROVEEDOR]:[CORREO]],5,FALSE)</f>
        <v>jessica.barrios@carpainternacional.com;girlesa.ruiz@servipilas.com;joriescobar64@gmail.com</v>
      </c>
      <c r="D21" s="74">
        <v>45026</v>
      </c>
      <c r="E21" s="11" t="s">
        <v>222</v>
      </c>
      <c r="F21" s="30">
        <v>45009</v>
      </c>
      <c r="G21" s="16">
        <v>1640</v>
      </c>
      <c r="H21" s="31">
        <v>44</v>
      </c>
      <c r="I21" s="9">
        <f>+PROVEEDORES3[[#This Row],[Total USD]]*4700</f>
        <v>206800</v>
      </c>
    </row>
    <row r="22" spans="1:9" ht="22.35" hidden="1" customHeight="1" x14ac:dyDescent="0.25">
      <c r="A22" s="29" t="str">
        <f>+IF(PROVEEDORES3[[#This Row],[FECHA DE PAGO]]=PROVEEDORES3[[#This Row],[FECHA DE FACTURACIÓN]],"DE CONTADO","CRÉDITO")</f>
        <v>DE CONTADO</v>
      </c>
      <c r="B22" s="19" t="e">
        <f>+IF((PROVEEDORES3[[#This Row],[FECHA DE PAGO]]-PROVEEDORES3[[#This Row],[FECHA DE FACTURACIÓN]])&gt;#REF!,"PAGO VENCIDO")</f>
        <v>#REF!</v>
      </c>
      <c r="C22" s="24" t="str">
        <f>+VLOOKUP(PROVEEDORES3[[#This Row],[PROVEEDOR]],TERCEROS_INFO[[PROVEEDOR]:[CORREO]],5,FALSE)</f>
        <v>jessica.barrios@carpainternacional.com;girlesa.ruiz@servipilas.com;joriescobar64@gmail.com</v>
      </c>
      <c r="D22" s="74">
        <v>45029</v>
      </c>
      <c r="E22" s="11" t="s">
        <v>222</v>
      </c>
      <c r="F22" s="30">
        <v>45029</v>
      </c>
      <c r="G22" s="49" t="s">
        <v>686</v>
      </c>
      <c r="H22" s="31"/>
      <c r="I22" s="9">
        <f>+PROVEEDORES3[[#This Row],[Total USD]]*3828.5</f>
        <v>0</v>
      </c>
    </row>
    <row r="23" spans="1:9" ht="22.35" hidden="1" customHeight="1" x14ac:dyDescent="0.25">
      <c r="A23" s="29" t="str">
        <f>+IF(PROVEEDORES3[[#This Row],[FECHA DE PAGO]]=PROVEEDORES3[[#This Row],[FECHA DE FACTURACIÓN]],"DE CONTADO","CRÉDITO")</f>
        <v>CRÉDITO</v>
      </c>
      <c r="B23" s="19" t="e">
        <f>+IF((PROVEEDORES3[[#This Row],[FECHA DE PAGO]]-PROVEEDORES3[[#This Row],[FECHA DE FACTURACIÓN]])&gt;#REF!,"PAGO VENCIDO")</f>
        <v>#REF!</v>
      </c>
      <c r="C23" s="24" t="str">
        <f>+VLOOKUP(PROVEEDORES3[[#This Row],[PROVEEDOR]],TERCEROS_INFO[[PROVEEDOR]:[CORREO]],5,FALSE)</f>
        <v>jessica.barrios@carpainternacional.com;girlesa.ruiz@servipilas.com;joriescobar64@gmail.com</v>
      </c>
      <c r="D23" s="74">
        <v>45051</v>
      </c>
      <c r="E23" s="11" t="s">
        <v>222</v>
      </c>
      <c r="F23" s="30">
        <v>45022</v>
      </c>
      <c r="G23" s="16">
        <v>1649</v>
      </c>
      <c r="H23" s="31">
        <v>68</v>
      </c>
      <c r="I23" s="9">
        <f>+PROVEEDORES3[[#This Row],[Total USD]]*4700</f>
        <v>319600</v>
      </c>
    </row>
    <row r="24" spans="1:9" ht="22.35" hidden="1" customHeight="1" x14ac:dyDescent="0.25">
      <c r="A24" s="29" t="str">
        <f>+IF(PROVEEDORES3[[#This Row],[FECHA DE PAGO]]=PROVEEDORES3[[#This Row],[FECHA DE FACTURACIÓN]],"DE CONTADO","CRÉDITO")</f>
        <v>CRÉDITO</v>
      </c>
      <c r="B24" s="19" t="e">
        <f>+IF((PROVEEDORES3[[#This Row],[FECHA DE PAGO]]-PROVEEDORES3[[#This Row],[FECHA DE FACTURACIÓN]])&gt;#REF!,"PAGO VENCIDO")</f>
        <v>#REF!</v>
      </c>
      <c r="C24" s="24" t="str">
        <f>+VLOOKUP(PROVEEDORES3[[#This Row],[PROVEEDOR]],TERCEROS_INFO[[PROVEEDOR]:[CORREO]],5,FALSE)</f>
        <v>jessica.barrios@carpainternacional.com;girlesa.ruiz@servipilas.com;joriescobar64@gmail.com</v>
      </c>
      <c r="D24" s="74">
        <v>45051</v>
      </c>
      <c r="E24" s="11" t="s">
        <v>222</v>
      </c>
      <c r="F24" s="30">
        <v>45022</v>
      </c>
      <c r="G24" s="16">
        <v>1650</v>
      </c>
      <c r="H24" s="31">
        <v>72</v>
      </c>
      <c r="I24" s="9">
        <f>+PROVEEDORES3[[#This Row],[Total USD]]*4700</f>
        <v>338400</v>
      </c>
    </row>
    <row r="25" spans="1:9" ht="22.35" hidden="1" customHeight="1" x14ac:dyDescent="0.25">
      <c r="A25" s="29" t="str">
        <f>+IF(PROVEEDORES3[[#This Row],[FECHA DE PAGO]]=PROVEEDORES3[[#This Row],[FECHA DE FACTURACIÓN]],"DE CONTADO","CRÉDITO")</f>
        <v>CRÉDITO</v>
      </c>
      <c r="B25" s="19" t="e">
        <f>+IF((PROVEEDORES3[[#This Row],[FECHA DE PAGO]]-PROVEEDORES3[[#This Row],[FECHA DE FACTURACIÓN]])&gt;#REF!,"PAGO VENCIDO")</f>
        <v>#REF!</v>
      </c>
      <c r="C25" s="24" t="str">
        <f>+VLOOKUP(PROVEEDORES3[[#This Row],[PROVEEDOR]],TERCEROS_INFO[[PROVEEDOR]:[CORREO]],5,FALSE)</f>
        <v>jessica.barrios@carpainternacional.com;girlesa.ruiz@servipilas.com;joriescobar64@gmail.com</v>
      </c>
      <c r="D25" s="74">
        <v>45051</v>
      </c>
      <c r="E25" s="11" t="s">
        <v>222</v>
      </c>
      <c r="F25" s="30">
        <v>45022</v>
      </c>
      <c r="G25" s="16">
        <v>1651</v>
      </c>
      <c r="H25" s="31">
        <v>160.69999999999999</v>
      </c>
      <c r="I25" s="9">
        <f>+PROVEEDORES3[[#This Row],[Total USD]]*4700</f>
        <v>755290</v>
      </c>
    </row>
    <row r="26" spans="1:9" ht="22.35" hidden="1" customHeight="1" x14ac:dyDescent="0.25">
      <c r="A26" s="57" t="str">
        <f>+IF(PROVEEDORES3[[#This Row],[FECHA DE PAGO]]=PROVEEDORES3[[#This Row],[FECHA DE FACTURACIÓN]],"DE CONTADO","CRÉDITO")</f>
        <v>CRÉDITO</v>
      </c>
      <c r="B26" s="19" t="e">
        <f>+IF((PROVEEDORES3[[#This Row],[FECHA DE PAGO]]-PROVEEDORES3[[#This Row],[FECHA DE FACTURACIÓN]])&gt;#REF!,"PAGO VENCIDO")</f>
        <v>#REF!</v>
      </c>
      <c r="C26" s="24" t="str">
        <f>+VLOOKUP(PROVEEDORES3[[#This Row],[PROVEEDOR]],TERCEROS_INFO[[PROVEEDOR]:[CORREO]],5,FALSE)</f>
        <v>jessica.barrios@carpainternacional.com;girlesa.ruiz@servipilas.com;joriescobar64@gmail.com</v>
      </c>
      <c r="D26" s="74">
        <v>45051</v>
      </c>
      <c r="E26" s="11" t="s">
        <v>222</v>
      </c>
      <c r="F26" s="30">
        <v>45037</v>
      </c>
      <c r="G26" s="16">
        <v>1662</v>
      </c>
      <c r="H26" s="31">
        <v>40</v>
      </c>
      <c r="I26" s="9">
        <f>+PROVEEDORES3[[#This Row],[Total USD]]*4705</f>
        <v>188200</v>
      </c>
    </row>
    <row r="27" spans="1:9" ht="22.35" hidden="1" customHeight="1" x14ac:dyDescent="0.25">
      <c r="A27" s="57" t="str">
        <f>+IF(PROVEEDORES3[[#This Row],[FECHA DE PAGO]]=PROVEEDORES3[[#This Row],[FECHA DE FACTURACIÓN]],"DE CONTADO","CRÉDITO")</f>
        <v>CRÉDITO</v>
      </c>
      <c r="B27" s="19" t="e">
        <f>+IF((PROVEEDORES3[[#This Row],[FECHA DE PAGO]]-PROVEEDORES3[[#This Row],[FECHA DE FACTURACIÓN]])&gt;#REF!,"PAGO VENCIDO")</f>
        <v>#REF!</v>
      </c>
      <c r="C27" s="24" t="str">
        <f>+VLOOKUP(PROVEEDORES3[[#This Row],[PROVEEDOR]],TERCEROS_INFO[[PROVEEDOR]:[CORREO]],5,FALSE)</f>
        <v>jessica.barrios@carpainternacional.com;girlesa.ruiz@servipilas.com;joriescobar64@gmail.com</v>
      </c>
      <c r="D27" s="74">
        <v>45051</v>
      </c>
      <c r="E27" s="11" t="s">
        <v>222</v>
      </c>
      <c r="F27" s="30">
        <v>45037</v>
      </c>
      <c r="G27" s="16">
        <v>1663</v>
      </c>
      <c r="H27" s="31">
        <v>40</v>
      </c>
      <c r="I27" s="9">
        <f>+PROVEEDORES3[[#This Row],[Total USD]]*4705</f>
        <v>188200</v>
      </c>
    </row>
    <row r="28" spans="1:9" ht="22.35" hidden="1" customHeight="1" x14ac:dyDescent="0.25">
      <c r="A28" s="29" t="str">
        <f>+IF(PROVEEDORES3[[#This Row],[FECHA DE PAGO]]=PROVEEDORES3[[#This Row],[FECHA DE FACTURACIÓN]],"DE CONTADO","CRÉDITO")</f>
        <v>CRÉDITO</v>
      </c>
      <c r="B28" s="19" t="e">
        <f>+IF((PROVEEDORES3[[#This Row],[FECHA DE PAGO]]-PROVEEDORES3[[#This Row],[FECHA DE FACTURACIÓN]])&gt;#REF!,"PAGO VENCIDO")</f>
        <v>#REF!</v>
      </c>
      <c r="C28" s="24" t="str">
        <f>+VLOOKUP(PROVEEDORES3[[#This Row],[PROVEEDOR]],TERCEROS_INFO[[PROVEEDOR]:[CORREO]],5,FALSE)</f>
        <v>jessica.barrios@carpainternacional.com;girlesa.ruiz@servipilas.com;joriescobar64@gmail.com</v>
      </c>
      <c r="D28" s="74">
        <v>45051</v>
      </c>
      <c r="E28" s="11" t="s">
        <v>222</v>
      </c>
      <c r="F28" s="30">
        <v>45017</v>
      </c>
      <c r="G28" s="49" t="s">
        <v>679</v>
      </c>
      <c r="H28" s="31">
        <v>36.1</v>
      </c>
      <c r="I28" s="9">
        <f>+PROVEEDORES3[[#This Row],[Total USD]]*4700</f>
        <v>169670</v>
      </c>
    </row>
    <row r="29" spans="1:9" ht="22.35" hidden="1" customHeight="1" x14ac:dyDescent="0.25">
      <c r="A29" s="59" t="str">
        <f>+IF(PROVEEDORES3[[#This Row],[FECHA DE PAGO]]=PROVEEDORES3[[#This Row],[FECHA DE FACTURACIÓN]],"DE CONTADO","CRÉDITO")</f>
        <v>DE CONTADO</v>
      </c>
      <c r="B29" s="19" t="e">
        <f>+IF((PROVEEDORES3[[#This Row],[FECHA DE PAGO]]-PROVEEDORES3[[#This Row],[FECHA DE FACTURACIÓN]])&gt;#REF!,"PAGO VENCIDO")</f>
        <v>#REF!</v>
      </c>
      <c r="C29" s="24" t="str">
        <f>+VLOOKUP(PROVEEDORES3[[#This Row],[PROVEEDOR]],TERCEROS_INFO[[PROVEEDOR]:[CORREO]],5,FALSE)</f>
        <v>jessica.barrios@carpainternacional.com;girlesa.ruiz@servipilas.com;joriescobar64@gmail.com</v>
      </c>
      <c r="D29" s="74">
        <v>45091</v>
      </c>
      <c r="E29" s="11" t="s">
        <v>222</v>
      </c>
      <c r="F29" s="30">
        <v>45091</v>
      </c>
      <c r="G29" s="49" t="s">
        <v>825</v>
      </c>
      <c r="H29" s="31"/>
      <c r="I29" s="9">
        <f>+PROVEEDORES3[[#This Row],[Total USD]]*3828.5</f>
        <v>0</v>
      </c>
    </row>
    <row r="30" spans="1:9" ht="22.35" hidden="1" customHeight="1" x14ac:dyDescent="0.25">
      <c r="A30" s="29" t="str">
        <f>+IF(PROVEEDORES3[[#This Row],[FECHA DE PAGO]]=PROVEEDORES3[[#This Row],[FECHA DE FACTURACIÓN]],"DE CONTADO","CRÉDITO")</f>
        <v>CRÉDITO</v>
      </c>
      <c r="B30" s="19" t="e">
        <f>+IF((PROVEEDORES3[[#This Row],[FECHA DE PAGO]]-PROVEEDORES3[[#This Row],[FECHA DE FACTURACIÓN]])&gt;#REF!,"PAGO VENCIDO")</f>
        <v>#REF!</v>
      </c>
      <c r="C30" s="24" t="str">
        <f>+VLOOKUP(PROVEEDORES3[[#This Row],[PROVEEDOR]],TERCEROS_INFO[[PROVEEDOR]:[CORREO]],5,FALSE)</f>
        <v>jessica.barrios@carpainternacional.com;girlesa.ruiz@servipilas.com;joriescobar64@gmail.com</v>
      </c>
      <c r="D30" s="74">
        <v>45124</v>
      </c>
      <c r="E30" s="11" t="s">
        <v>222</v>
      </c>
      <c r="F30" s="30">
        <v>45051</v>
      </c>
      <c r="G30" s="16">
        <v>1672</v>
      </c>
      <c r="H30" s="31">
        <v>48</v>
      </c>
      <c r="I30" s="9">
        <f>+PROVEEDORES3[[#This Row],[Total USD]]*4680</f>
        <v>224640</v>
      </c>
    </row>
    <row r="31" spans="1:9" ht="22.35" hidden="1" customHeight="1" x14ac:dyDescent="0.25">
      <c r="A31" s="29" t="str">
        <f>+IF(PROVEEDORES3[[#This Row],[FECHA DE PAGO]]=PROVEEDORES3[[#This Row],[FECHA DE FACTURACIÓN]],"DE CONTADO","CRÉDITO")</f>
        <v>CRÉDITO</v>
      </c>
      <c r="B31" s="19" t="e">
        <f>+IF((PROVEEDORES3[[#This Row],[FECHA DE PAGO]]-PROVEEDORES3[[#This Row],[FECHA DE FACTURACIÓN]])&gt;#REF!,"PAGO VENCIDO")</f>
        <v>#REF!</v>
      </c>
      <c r="C31" s="24" t="str">
        <f>+VLOOKUP(PROVEEDORES3[[#This Row],[PROVEEDOR]],TERCEROS_INFO[[PROVEEDOR]:[CORREO]],5,FALSE)</f>
        <v>jessica.barrios@carpainternacional.com;girlesa.ruiz@servipilas.com;joriescobar64@gmail.com</v>
      </c>
      <c r="D31" s="74">
        <v>45124</v>
      </c>
      <c r="E31" s="11" t="s">
        <v>222</v>
      </c>
      <c r="F31" s="30">
        <v>45051</v>
      </c>
      <c r="G31" s="16">
        <v>1673</v>
      </c>
      <c r="H31" s="31">
        <v>40</v>
      </c>
      <c r="I31" s="9">
        <f>+PROVEEDORES3[[#This Row],[Total USD]]*4680</f>
        <v>187200</v>
      </c>
    </row>
    <row r="32" spans="1:9" ht="22.35" hidden="1" customHeight="1" x14ac:dyDescent="0.25">
      <c r="A32" s="29" t="str">
        <f>+IF(PROVEEDORES3[[#This Row],[FECHA DE PAGO]]=PROVEEDORES3[[#This Row],[FECHA DE FACTURACIÓN]],"DE CONTADO","CRÉDITO")</f>
        <v>CRÉDITO</v>
      </c>
      <c r="B32" s="19" t="e">
        <f>+IF((PROVEEDORES3[[#This Row],[FECHA DE PAGO]]-PROVEEDORES3[[#This Row],[FECHA DE FACTURACIÓN]])&gt;#REF!,"PAGO VENCIDO")</f>
        <v>#REF!</v>
      </c>
      <c r="C32" s="24" t="str">
        <f>+VLOOKUP(PROVEEDORES3[[#This Row],[PROVEEDOR]],TERCEROS_INFO[[PROVEEDOR]:[CORREO]],5,FALSE)</f>
        <v>jessica.barrios@carpainternacional.com;girlesa.ruiz@servipilas.com;joriescobar64@gmail.com</v>
      </c>
      <c r="D32" s="74">
        <v>45124</v>
      </c>
      <c r="E32" s="11" t="s">
        <v>222</v>
      </c>
      <c r="F32" s="30">
        <v>45051</v>
      </c>
      <c r="G32" s="16">
        <v>1681</v>
      </c>
      <c r="H32" s="31">
        <v>76</v>
      </c>
      <c r="I32" s="9">
        <f>+PROVEEDORES3[[#This Row],[Total USD]]*4680</f>
        <v>355680</v>
      </c>
    </row>
    <row r="33" spans="1:9" ht="22.35" hidden="1" customHeight="1" x14ac:dyDescent="0.25">
      <c r="A33" s="29" t="str">
        <f>+IF(PROVEEDORES3[[#This Row],[FECHA DE PAGO]]=PROVEEDORES3[[#This Row],[FECHA DE FACTURACIÓN]],"DE CONTADO","CRÉDITO")</f>
        <v>CRÉDITO</v>
      </c>
      <c r="B33" s="19" t="e">
        <f>+IF((PROVEEDORES3[[#This Row],[FECHA DE PAGO]]-PROVEEDORES3[[#This Row],[FECHA DE FACTURACIÓN]])&gt;#REF!,"PAGO VENCIDO")</f>
        <v>#REF!</v>
      </c>
      <c r="C33" s="24" t="str">
        <f>+VLOOKUP(PROVEEDORES3[[#This Row],[PROVEEDOR]],TERCEROS_INFO[[PROVEEDOR]:[CORREO]],5,FALSE)</f>
        <v>jessica.barrios@carpainternacional.com;girlesa.ruiz@servipilas.com;joriescobar64@gmail.com</v>
      </c>
      <c r="D33" s="74">
        <v>45124</v>
      </c>
      <c r="E33" s="11" t="s">
        <v>222</v>
      </c>
      <c r="F33" s="30">
        <v>45051</v>
      </c>
      <c r="G33" s="16">
        <v>1682</v>
      </c>
      <c r="H33" s="31">
        <v>88</v>
      </c>
      <c r="I33" s="9">
        <f>+PROVEEDORES3[[#This Row],[Total USD]]*4680</f>
        <v>411840</v>
      </c>
    </row>
    <row r="34" spans="1:9" ht="22.35" hidden="1" customHeight="1" x14ac:dyDescent="0.25">
      <c r="A34" s="29" t="str">
        <f>+IF(PROVEEDORES3[[#This Row],[FECHA DE PAGO]]=PROVEEDORES3[[#This Row],[FECHA DE FACTURACIÓN]],"DE CONTADO","CRÉDITO")</f>
        <v>CRÉDITO</v>
      </c>
      <c r="B34" s="19" t="e">
        <f>+IF((PROVEEDORES3[[#This Row],[FECHA DE PAGO]]-PROVEEDORES3[[#This Row],[FECHA DE FACTURACIÓN]])&gt;#REF!,"PAGO VENCIDO")</f>
        <v>#REF!</v>
      </c>
      <c r="C34" s="24" t="str">
        <f>+VLOOKUP(PROVEEDORES3[[#This Row],[PROVEEDOR]],TERCEROS_INFO[[PROVEEDOR]:[CORREO]],5,FALSE)</f>
        <v>jessica.barrios@carpainternacional.com;girlesa.ruiz@servipilas.com;joriescobar64@gmail.com</v>
      </c>
      <c r="D34" s="74">
        <v>45124</v>
      </c>
      <c r="E34" s="11" t="s">
        <v>222</v>
      </c>
      <c r="F34" s="30">
        <v>45051</v>
      </c>
      <c r="G34" s="16">
        <v>1683</v>
      </c>
      <c r="H34" s="31">
        <v>92</v>
      </c>
      <c r="I34" s="9">
        <f>+PROVEEDORES3[[#This Row],[Total USD]]*4680</f>
        <v>430560</v>
      </c>
    </row>
    <row r="35" spans="1:9" ht="22.35" hidden="1" customHeight="1" x14ac:dyDescent="0.25">
      <c r="A35" s="58" t="str">
        <f>+IF(PROVEEDORES3[[#This Row],[FECHA DE PAGO]]=PROVEEDORES3[[#This Row],[FECHA DE FACTURACIÓN]],"DE CONTADO","CRÉDITO")</f>
        <v>CRÉDITO</v>
      </c>
      <c r="B35" s="19" t="e">
        <f>+IF((PROVEEDORES3[[#This Row],[FECHA DE PAGO]]-PROVEEDORES3[[#This Row],[FECHA DE FACTURACIÓN]])&gt;#REF!,"PAGO VENCIDO")</f>
        <v>#REF!</v>
      </c>
      <c r="C35" s="24" t="str">
        <f>+VLOOKUP(PROVEEDORES3[[#This Row],[PROVEEDOR]],TERCEROS_INFO[[PROVEEDOR]:[CORREO]],5,FALSE)</f>
        <v>jessica.barrios@carpainternacional.com;girlesa.ruiz@servipilas.com;joriescobar64@gmail.com</v>
      </c>
      <c r="D35" s="74">
        <v>45124</v>
      </c>
      <c r="E35" s="11" t="s">
        <v>222</v>
      </c>
      <c r="F35" s="30">
        <v>45076</v>
      </c>
      <c r="G35" s="16">
        <v>1687</v>
      </c>
      <c r="H35" s="31">
        <v>40</v>
      </c>
      <c r="I35" s="9">
        <f>+PROVEEDORES3[[#This Row],[Total USD]]*4500</f>
        <v>180000</v>
      </c>
    </row>
    <row r="36" spans="1:9" ht="22.35" hidden="1" customHeight="1" x14ac:dyDescent="0.25">
      <c r="A36" s="58" t="str">
        <f>+IF(PROVEEDORES3[[#This Row],[FECHA DE PAGO]]=PROVEEDORES3[[#This Row],[FECHA DE FACTURACIÓN]],"DE CONTADO","CRÉDITO")</f>
        <v>CRÉDITO</v>
      </c>
      <c r="B36" s="19" t="e">
        <f>+IF((PROVEEDORES3[[#This Row],[FECHA DE PAGO]]-PROVEEDORES3[[#This Row],[FECHA DE FACTURACIÓN]])&gt;#REF!,"PAGO VENCIDO")</f>
        <v>#REF!</v>
      </c>
      <c r="C36" s="24" t="str">
        <f>+VLOOKUP(PROVEEDORES3[[#This Row],[PROVEEDOR]],TERCEROS_INFO[[PROVEEDOR]:[CORREO]],5,FALSE)</f>
        <v>jessica.barrios@carpainternacional.com;girlesa.ruiz@servipilas.com;joriescobar64@gmail.com</v>
      </c>
      <c r="D36" s="74">
        <v>45124</v>
      </c>
      <c r="E36" s="11" t="s">
        <v>222</v>
      </c>
      <c r="F36" s="30">
        <v>45076</v>
      </c>
      <c r="G36" s="16">
        <v>1688</v>
      </c>
      <c r="H36" s="31">
        <v>40</v>
      </c>
      <c r="I36" s="9">
        <f>+PROVEEDORES3[[#This Row],[Total USD]]*4500</f>
        <v>180000</v>
      </c>
    </row>
    <row r="37" spans="1:9" ht="22.35" hidden="1" customHeight="1" x14ac:dyDescent="0.25">
      <c r="A37" s="60" t="str">
        <f>+IF(PROVEEDORES3[[#This Row],[FECHA DE PAGO]]=PROVEEDORES3[[#This Row],[FECHA DE FACTURACIÓN]],"DE CONTADO","CRÉDITO")</f>
        <v>CRÉDITO</v>
      </c>
      <c r="B37" s="19" t="e">
        <f>+IF((PROVEEDORES3[[#This Row],[FECHA DE PAGO]]-PROVEEDORES3[[#This Row],[FECHA DE FACTURACIÓN]])&gt;#REF!,"PAGO VENCIDO")</f>
        <v>#REF!</v>
      </c>
      <c r="C37" s="24" t="str">
        <f>+VLOOKUP(PROVEEDORES3[[#This Row],[PROVEEDOR]],TERCEROS_INFO[[PROVEEDOR]:[CORREO]],5,FALSE)</f>
        <v>jessica.barrios@carpainternacional.com;girlesa.ruiz@servipilas.com;joriescobar64@gmail.com</v>
      </c>
      <c r="D37" s="74">
        <v>45124</v>
      </c>
      <c r="E37" s="11" t="s">
        <v>222</v>
      </c>
      <c r="F37" s="30">
        <v>45096</v>
      </c>
      <c r="G37" s="16">
        <v>1698</v>
      </c>
      <c r="H37" s="31">
        <v>40</v>
      </c>
      <c r="I37" s="9">
        <f>+PROVEEDORES3[[#This Row],[Total USD]]*4350</f>
        <v>174000</v>
      </c>
    </row>
    <row r="38" spans="1:9" ht="22.35" hidden="1" customHeight="1" x14ac:dyDescent="0.25">
      <c r="A38" s="60" t="str">
        <f>+IF(PROVEEDORES3[[#This Row],[FECHA DE PAGO]]=PROVEEDORES3[[#This Row],[FECHA DE FACTURACIÓN]],"DE CONTADO","CRÉDITO")</f>
        <v>CRÉDITO</v>
      </c>
      <c r="B38" s="19" t="e">
        <f>+IF((PROVEEDORES3[[#This Row],[FECHA DE PAGO]]-PROVEEDORES3[[#This Row],[FECHA DE FACTURACIÓN]])&gt;#REF!,"PAGO VENCIDO")</f>
        <v>#REF!</v>
      </c>
      <c r="C38" s="24" t="str">
        <f>+VLOOKUP(PROVEEDORES3[[#This Row],[PROVEEDOR]],TERCEROS_INFO[[PROVEEDOR]:[CORREO]],5,FALSE)</f>
        <v>jessica.barrios@carpainternacional.com;girlesa.ruiz@servipilas.com;joriescobar64@gmail.com</v>
      </c>
      <c r="D38" s="74">
        <v>45124</v>
      </c>
      <c r="E38" s="11" t="s">
        <v>222</v>
      </c>
      <c r="F38" s="30">
        <v>45096</v>
      </c>
      <c r="G38" s="16">
        <v>1699</v>
      </c>
      <c r="H38" s="31">
        <v>40</v>
      </c>
      <c r="I38" s="9">
        <f>+PROVEEDORES3[[#This Row],[Total USD]]*4350</f>
        <v>174000</v>
      </c>
    </row>
    <row r="39" spans="1:9" ht="22.35" hidden="1" customHeight="1" x14ac:dyDescent="0.25">
      <c r="A39" s="60" t="str">
        <f>+IF(PROVEEDORES3[[#This Row],[FECHA DE PAGO]]=PROVEEDORES3[[#This Row],[FECHA DE FACTURACIÓN]],"DE CONTADO","CRÉDITO")</f>
        <v>CRÉDITO</v>
      </c>
      <c r="B39" s="19" t="e">
        <f>+IF((PROVEEDORES3[[#This Row],[FECHA DE PAGO]]-PROVEEDORES3[[#This Row],[FECHA DE FACTURACIÓN]])&gt;#REF!,"PAGO VENCIDO")</f>
        <v>#REF!</v>
      </c>
      <c r="C39" s="24" t="str">
        <f>+VLOOKUP(PROVEEDORES3[[#This Row],[PROVEEDOR]],TERCEROS_INFO[[PROVEEDOR]:[CORREO]],5,FALSE)</f>
        <v>jessica.barrios@carpainternacional.com;girlesa.ruiz@servipilas.com;joriescobar64@gmail.com</v>
      </c>
      <c r="D39" s="74">
        <v>45124</v>
      </c>
      <c r="E39" s="11" t="s">
        <v>222</v>
      </c>
      <c r="F39" s="30">
        <v>45096</v>
      </c>
      <c r="G39" s="16">
        <v>1700</v>
      </c>
      <c r="H39" s="31">
        <v>44</v>
      </c>
      <c r="I39" s="9">
        <f>+PROVEEDORES3[[#This Row],[Total USD]]*4350</f>
        <v>191400</v>
      </c>
    </row>
    <row r="40" spans="1:9" ht="22.35" hidden="1" customHeight="1" x14ac:dyDescent="0.25">
      <c r="A40" s="60" t="str">
        <f>+IF(PROVEEDORES3[[#This Row],[FECHA DE PAGO]]=PROVEEDORES3[[#This Row],[FECHA DE FACTURACIÓN]],"DE CONTADO","CRÉDITO")</f>
        <v>CRÉDITO</v>
      </c>
      <c r="B40" s="19" t="e">
        <f>+IF((PROVEEDORES3[[#This Row],[FECHA DE PAGO]]-PROVEEDORES3[[#This Row],[FECHA DE FACTURACIÓN]])&gt;#REF!,"PAGO VENCIDO")</f>
        <v>#REF!</v>
      </c>
      <c r="C40" s="24" t="str">
        <f>+VLOOKUP(PROVEEDORES3[[#This Row],[PROVEEDOR]],TERCEROS_INFO[[PROVEEDOR]:[CORREO]],5,FALSE)</f>
        <v>jessica.barrios@carpainternacional.com;girlesa.ruiz@servipilas.com;joriescobar64@gmail.com</v>
      </c>
      <c r="D40" s="74">
        <v>45124</v>
      </c>
      <c r="E40" s="11" t="s">
        <v>222</v>
      </c>
      <c r="F40" s="30">
        <v>45096</v>
      </c>
      <c r="G40" s="16">
        <v>1701</v>
      </c>
      <c r="H40" s="31">
        <v>44</v>
      </c>
      <c r="I40" s="9">
        <f>+PROVEEDORES3[[#This Row],[Total USD]]*4350</f>
        <v>191400</v>
      </c>
    </row>
    <row r="41" spans="1:9" ht="22.35" hidden="1" customHeight="1" x14ac:dyDescent="0.25">
      <c r="A41" s="60" t="str">
        <f>+IF(PROVEEDORES3[[#This Row],[FECHA DE PAGO]]=PROVEEDORES3[[#This Row],[FECHA DE FACTURACIÓN]],"DE CONTADO","CRÉDITO")</f>
        <v>CRÉDITO</v>
      </c>
      <c r="B41" s="19" t="e">
        <f>+IF((PROVEEDORES3[[#This Row],[FECHA DE PAGO]]-PROVEEDORES3[[#This Row],[FECHA DE FACTURACIÓN]])&gt;#REF!,"PAGO VENCIDO")</f>
        <v>#REF!</v>
      </c>
      <c r="C41" s="24" t="str">
        <f>+VLOOKUP(PROVEEDORES3[[#This Row],[PROVEEDOR]],TERCEROS_INFO[[PROVEEDOR]:[CORREO]],5,FALSE)</f>
        <v>jessica.barrios@carpainternacional.com;girlesa.ruiz@servipilas.com;joriescobar64@gmail.com</v>
      </c>
      <c r="D41" s="74">
        <v>45124</v>
      </c>
      <c r="E41" s="11" t="s">
        <v>222</v>
      </c>
      <c r="F41" s="30">
        <v>45107</v>
      </c>
      <c r="G41" s="16">
        <v>1715</v>
      </c>
      <c r="H41" s="31">
        <v>52</v>
      </c>
      <c r="I41" s="9">
        <f>+PROVEEDORES3[[#This Row],[Total USD]]*4350</f>
        <v>226200</v>
      </c>
    </row>
    <row r="42" spans="1:9" ht="22.35" hidden="1" customHeight="1" x14ac:dyDescent="0.25">
      <c r="A42" s="60" t="str">
        <f>+IF(PROVEEDORES3[[#This Row],[FECHA DE PAGO]]=PROVEEDORES3[[#This Row],[FECHA DE FACTURACIÓN]],"DE CONTADO","CRÉDITO")</f>
        <v>CRÉDITO</v>
      </c>
      <c r="B42" s="19" t="e">
        <f>+IF((PROVEEDORES3[[#This Row],[FECHA DE PAGO]]-PROVEEDORES3[[#This Row],[FECHA DE FACTURACIÓN]])&gt;#REF!,"PAGO VENCIDO")</f>
        <v>#REF!</v>
      </c>
      <c r="C42" s="24" t="str">
        <f>+VLOOKUP(PROVEEDORES3[[#This Row],[PROVEEDOR]],TERCEROS_INFO[[PROVEEDOR]:[CORREO]],5,FALSE)</f>
        <v>jessica.barrios@carpainternacional.com;girlesa.ruiz@servipilas.com;joriescobar64@gmail.com</v>
      </c>
      <c r="D42" s="74">
        <v>45124</v>
      </c>
      <c r="E42" s="11" t="s">
        <v>222</v>
      </c>
      <c r="F42" s="30">
        <v>45107</v>
      </c>
      <c r="G42" s="16">
        <v>1716</v>
      </c>
      <c r="H42" s="31">
        <v>52</v>
      </c>
      <c r="I42" s="9">
        <f>+PROVEEDORES3[[#This Row],[Total USD]]*4350</f>
        <v>226200</v>
      </c>
    </row>
    <row r="43" spans="1:9" ht="22.35" hidden="1" customHeight="1" x14ac:dyDescent="0.25">
      <c r="A43" s="61" t="str">
        <f>+IF(PROVEEDORES3[[#This Row],[FECHA DE PAGO]]=PROVEEDORES3[[#This Row],[FECHA DE FACTURACIÓN]],"DE CONTADO","CRÉDITO")</f>
        <v>DE CONTADO</v>
      </c>
      <c r="B43" s="19" t="e">
        <f>+IF((PROVEEDORES3[[#This Row],[FECHA DE PAGO]]-PROVEEDORES3[[#This Row],[FECHA DE FACTURACIÓN]])&gt;#REF!,"PAGO VENCIDO")</f>
        <v>#REF!</v>
      </c>
      <c r="C43" s="24" t="str">
        <f>+VLOOKUP(PROVEEDORES3[[#This Row],[PROVEEDOR]],TERCEROS_INFO[[PROVEEDOR]:[CORREO]],5,FALSE)</f>
        <v>jessica.barrios@carpainternacional.com;girlesa.ruiz@servipilas.com;joriescobar64@gmail.com</v>
      </c>
      <c r="D43" s="74">
        <v>45132</v>
      </c>
      <c r="E43" s="11" t="s">
        <v>222</v>
      </c>
      <c r="F43" s="30">
        <v>45132</v>
      </c>
      <c r="G43" s="49" t="s">
        <v>902</v>
      </c>
      <c r="H43" s="31"/>
      <c r="I43" s="9">
        <f>+PROVEEDORES3[[#This Row],[Total USD]]*3828.5</f>
        <v>0</v>
      </c>
    </row>
    <row r="44" spans="1:9" ht="22.35" hidden="1" customHeight="1" x14ac:dyDescent="0.25">
      <c r="A44" s="29" t="str">
        <f>+IF(PROVEEDORES3[[#This Row],[FECHA DE PAGO]]=PROVEEDORES3[[#This Row],[FECHA DE FACTURACIÓN]],"DE CONTADO","CRÉDITO")</f>
        <v>CRÉDITO</v>
      </c>
      <c r="B44" s="19" t="e">
        <f>+IF((PROVEEDORES3[[#This Row],[FECHA DE PAGO]]-PROVEEDORES3[[#This Row],[FECHA DE FACTURACIÓN]])&gt;#REF!,"PAGO VENCIDO")</f>
        <v>#REF!</v>
      </c>
      <c r="C44" s="24" t="str">
        <f>+VLOOKUP(PROVEEDORES3[[#This Row],[PROVEEDOR]],TERCEROS_INFO[[PROVEEDOR]:[CORREO]],5,FALSE)</f>
        <v>jessica.barrios@carpainternacional.com;girlesa.ruiz@servipilas.com;joriescobar64@gmail.com</v>
      </c>
      <c r="D44" s="74">
        <v>45152</v>
      </c>
      <c r="E44" s="11" t="s">
        <v>222</v>
      </c>
      <c r="F44" s="30">
        <v>45124</v>
      </c>
      <c r="G44" s="16">
        <v>1729</v>
      </c>
      <c r="H44" s="31">
        <v>92</v>
      </c>
      <c r="I44" s="9">
        <f>+PROVEEDORES3[[#This Row],[Total USD]]*4150</f>
        <v>381800</v>
      </c>
    </row>
    <row r="45" spans="1:9" ht="22.35" hidden="1" customHeight="1" x14ac:dyDescent="0.25">
      <c r="A45" s="29" t="str">
        <f>+IF(PROVEEDORES3[[#This Row],[FECHA DE PAGO]]=PROVEEDORES3[[#This Row],[FECHA DE FACTURACIÓN]],"DE CONTADO","CRÉDITO")</f>
        <v>CRÉDITO</v>
      </c>
      <c r="B45" s="19" t="e">
        <f>+IF((PROVEEDORES3[[#This Row],[FECHA DE PAGO]]-PROVEEDORES3[[#This Row],[FECHA DE FACTURACIÓN]])&gt;#REF!,"PAGO VENCIDO")</f>
        <v>#REF!</v>
      </c>
      <c r="C45" s="24" t="str">
        <f>+VLOOKUP(PROVEEDORES3[[#This Row],[PROVEEDOR]],TERCEROS_INFO[[PROVEEDOR]:[CORREO]],5,FALSE)</f>
        <v>jessica.barrios@carpainternacional.com;girlesa.ruiz@servipilas.com;joriescobar64@gmail.com</v>
      </c>
      <c r="D45" s="74">
        <v>45152</v>
      </c>
      <c r="E45" s="11" t="s">
        <v>222</v>
      </c>
      <c r="F45" s="30">
        <v>45124</v>
      </c>
      <c r="G45" s="16">
        <v>1730</v>
      </c>
      <c r="H45" s="31">
        <v>52</v>
      </c>
      <c r="I45" s="9">
        <f>+PROVEEDORES3[[#This Row],[Total USD]]*4150</f>
        <v>215800</v>
      </c>
    </row>
    <row r="46" spans="1:9" ht="22.35" hidden="1" customHeight="1" x14ac:dyDescent="0.25">
      <c r="A46" s="29" t="str">
        <f>+IF(PROVEEDORES3[[#This Row],[FECHA DE PAGO]]=PROVEEDORES3[[#This Row],[FECHA DE FACTURACIÓN]],"DE CONTADO","CRÉDITO")</f>
        <v>CRÉDITO</v>
      </c>
      <c r="B46" s="19" t="e">
        <f>+IF((PROVEEDORES3[[#This Row],[FECHA DE PAGO]]-PROVEEDORES3[[#This Row],[FECHA DE FACTURACIÓN]])&gt;#REF!,"PAGO VENCIDO")</f>
        <v>#REF!</v>
      </c>
      <c r="C46" s="24" t="str">
        <f>+VLOOKUP(PROVEEDORES3[[#This Row],[PROVEEDOR]],TERCEROS_INFO[[PROVEEDOR]:[CORREO]],5,FALSE)</f>
        <v>jessica.barrios@carpainternacional.com;girlesa.ruiz@servipilas.com;joriescobar64@gmail.com</v>
      </c>
      <c r="D46" s="74">
        <v>45152</v>
      </c>
      <c r="E46" s="11" t="s">
        <v>222</v>
      </c>
      <c r="F46" s="30">
        <v>45124</v>
      </c>
      <c r="G46" s="16">
        <v>1731</v>
      </c>
      <c r="H46" s="31">
        <v>76</v>
      </c>
      <c r="I46" s="9">
        <f>+PROVEEDORES3[[#This Row],[Total USD]]*4150</f>
        <v>315400</v>
      </c>
    </row>
    <row r="47" spans="1:9" ht="22.35" hidden="1" customHeight="1" x14ac:dyDescent="0.25">
      <c r="A47" s="29" t="str">
        <f>+IF(PROVEEDORES3[[#This Row],[FECHA DE PAGO]]=PROVEEDORES3[[#This Row],[FECHA DE FACTURACIÓN]],"DE CONTADO","CRÉDITO")</f>
        <v>CRÉDITO</v>
      </c>
      <c r="B47" s="19" t="e">
        <f>+IF((PROVEEDORES3[[#This Row],[FECHA DE PAGO]]-PROVEEDORES3[[#This Row],[FECHA DE FACTURACIÓN]])&gt;#REF!,"PAGO VENCIDO")</f>
        <v>#REF!</v>
      </c>
      <c r="C47" s="24" t="str">
        <f>+VLOOKUP(PROVEEDORES3[[#This Row],[PROVEEDOR]],TERCEROS_INFO[[PROVEEDOR]:[CORREO]],5,FALSE)</f>
        <v>jessica.barrios@carpainternacional.com;girlesa.ruiz@servipilas.com;joriescobar64@gmail.com</v>
      </c>
      <c r="D47" s="74">
        <v>45152</v>
      </c>
      <c r="E47" s="11" t="s">
        <v>222</v>
      </c>
      <c r="F47" s="30">
        <v>45124</v>
      </c>
      <c r="G47" s="16">
        <v>1732</v>
      </c>
      <c r="H47" s="31">
        <v>56</v>
      </c>
      <c r="I47" s="9">
        <f>+PROVEEDORES3[[#This Row],[Total USD]]*4150</f>
        <v>232400</v>
      </c>
    </row>
    <row r="48" spans="1:9" ht="22.35" hidden="1" customHeight="1" x14ac:dyDescent="0.25">
      <c r="A48" s="29" t="str">
        <f>+IF(PROVEEDORES3[[#This Row],[FECHA DE PAGO]]=PROVEEDORES3[[#This Row],[FECHA DE FACTURACIÓN]],"DE CONTADO","CRÉDITO")</f>
        <v>CRÉDITO</v>
      </c>
      <c r="B48" s="19" t="e">
        <f>+IF((PROVEEDORES3[[#This Row],[FECHA DE PAGO]]-PROVEEDORES3[[#This Row],[FECHA DE FACTURACIÓN]])&gt;#REF!,"PAGO VENCIDO")</f>
        <v>#REF!</v>
      </c>
      <c r="C48" s="24" t="str">
        <f>+VLOOKUP(PROVEEDORES3[[#This Row],[PROVEEDOR]],TERCEROS_INFO[[PROVEEDOR]:[CORREO]],5,FALSE)</f>
        <v>jessica.barrios@carpainternacional.com;girlesa.ruiz@servipilas.com;joriescobar64@gmail.com</v>
      </c>
      <c r="D48" s="74">
        <v>45152</v>
      </c>
      <c r="E48" s="11" t="s">
        <v>222</v>
      </c>
      <c r="F48" s="30">
        <v>45126</v>
      </c>
      <c r="G48" s="16">
        <v>1735</v>
      </c>
      <c r="H48" s="31">
        <v>60</v>
      </c>
      <c r="I48" s="9">
        <f>+PROVEEDORES3[[#This Row],[Total USD]]*4150</f>
        <v>249000</v>
      </c>
    </row>
    <row r="49" spans="1:9" ht="22.35" hidden="1" customHeight="1" x14ac:dyDescent="0.25">
      <c r="A49" s="29" t="str">
        <f>+IF(PROVEEDORES3[[#This Row],[FECHA DE PAGO]]=PROVEEDORES3[[#This Row],[FECHA DE FACTURACIÓN]],"DE CONTADO","CRÉDITO")</f>
        <v>CRÉDITO</v>
      </c>
      <c r="B49" s="19" t="e">
        <f>+IF((PROVEEDORES3[[#This Row],[FECHA DE PAGO]]-PROVEEDORES3[[#This Row],[FECHA DE FACTURACIÓN]])&gt;#REF!,"PAGO VENCIDO")</f>
        <v>#REF!</v>
      </c>
      <c r="C49" s="24" t="str">
        <f>+VLOOKUP(PROVEEDORES3[[#This Row],[PROVEEDOR]],TERCEROS_INFO[[PROVEEDOR]:[CORREO]],5,FALSE)</f>
        <v>jessica.barrios@carpainternacional.com;girlesa.ruiz@servipilas.com;joriescobar64@gmail.com</v>
      </c>
      <c r="D49" s="74">
        <v>45152</v>
      </c>
      <c r="E49" s="11" t="s">
        <v>222</v>
      </c>
      <c r="F49" s="30">
        <v>45126</v>
      </c>
      <c r="G49" s="16">
        <v>1736</v>
      </c>
      <c r="H49" s="31">
        <v>56</v>
      </c>
      <c r="I49" s="9">
        <f>+PROVEEDORES3[[#This Row],[Total USD]]*4150</f>
        <v>232400</v>
      </c>
    </row>
    <row r="50" spans="1:9" ht="22.35" hidden="1" customHeight="1" x14ac:dyDescent="0.25">
      <c r="A50" s="29" t="str">
        <f>+IF(PROVEEDORES3[[#This Row],[FECHA DE PAGO]]=PROVEEDORES3[[#This Row],[FECHA DE FACTURACIÓN]],"DE CONTADO","CRÉDITO")</f>
        <v>CRÉDITO</v>
      </c>
      <c r="B50" s="19" t="e">
        <f>+IF((PROVEEDORES3[[#This Row],[FECHA DE PAGO]]-PROVEEDORES3[[#This Row],[FECHA DE FACTURACIÓN]])&gt;#REF!,"PAGO VENCIDO")</f>
        <v>#REF!</v>
      </c>
      <c r="C50" s="24" t="str">
        <f>+VLOOKUP(PROVEEDORES3[[#This Row],[PROVEEDOR]],TERCEROS_INFO[[PROVEEDOR]:[CORREO]],5,FALSE)</f>
        <v>jessica.barrios@carpainternacional.com;girlesa.ruiz@servipilas.com;joriescobar64@gmail.com</v>
      </c>
      <c r="D50" s="74">
        <v>45152</v>
      </c>
      <c r="E50" s="11" t="s">
        <v>222</v>
      </c>
      <c r="F50" s="30">
        <v>45126</v>
      </c>
      <c r="G50" s="16">
        <v>1737</v>
      </c>
      <c r="H50" s="31">
        <v>56</v>
      </c>
      <c r="I50" s="9">
        <f>+PROVEEDORES3[[#This Row],[Total USD]]*4150</f>
        <v>232400</v>
      </c>
    </row>
    <row r="51" spans="1:9" ht="22.35" hidden="1" customHeight="1" x14ac:dyDescent="0.25">
      <c r="A51" s="29" t="str">
        <f>+IF(PROVEEDORES3[[#This Row],[FECHA DE PAGO]]=PROVEEDORES3[[#This Row],[FECHA DE FACTURACIÓN]],"DE CONTADO","CRÉDITO")</f>
        <v>CRÉDITO</v>
      </c>
      <c r="B51" s="19" t="e">
        <f>+IF((PROVEEDORES3[[#This Row],[FECHA DE PAGO]]-PROVEEDORES3[[#This Row],[FECHA DE FACTURACIÓN]])&gt;#REF!,"PAGO VENCIDO")</f>
        <v>#REF!</v>
      </c>
      <c r="C51" s="24" t="str">
        <f>+VLOOKUP(PROVEEDORES3[[#This Row],[PROVEEDOR]],TERCEROS_INFO[[PROVEEDOR]:[CORREO]],5,FALSE)</f>
        <v>jessica.barrios@carpainternacional.com;girlesa.ruiz@servipilas.com;joriescobar64@gmail.com</v>
      </c>
      <c r="D51" s="74">
        <v>45152</v>
      </c>
      <c r="E51" s="11" t="s">
        <v>222</v>
      </c>
      <c r="F51" s="30">
        <v>45126</v>
      </c>
      <c r="G51" s="16">
        <v>1738</v>
      </c>
      <c r="H51" s="31">
        <v>56</v>
      </c>
      <c r="I51" s="9">
        <f>+PROVEEDORES3[[#This Row],[Total USD]]*4150</f>
        <v>232400</v>
      </c>
    </row>
    <row r="52" spans="1:9" ht="22.35" hidden="1" customHeight="1" x14ac:dyDescent="0.25">
      <c r="A52" s="29" t="str">
        <f>+IF(PROVEEDORES3[[#This Row],[FECHA DE PAGO]]=PROVEEDORES3[[#This Row],[FECHA DE FACTURACIÓN]],"DE CONTADO","CRÉDITO")</f>
        <v>CRÉDITO</v>
      </c>
      <c r="B52" s="19" t="e">
        <f>+IF((PROVEEDORES3[[#This Row],[FECHA DE PAGO]]-PROVEEDORES3[[#This Row],[FECHA DE FACTURACIÓN]])&gt;#REF!,"PAGO VENCIDO")</f>
        <v>#REF!</v>
      </c>
      <c r="C52" s="24" t="str">
        <f>+VLOOKUP(PROVEEDORES3[[#This Row],[PROVEEDOR]],TERCEROS_INFO[[PROVEEDOR]:[CORREO]],5,FALSE)</f>
        <v>jessica.barrios@carpainternacional.com;girlesa.ruiz@servipilas.com;joriescobar64@gmail.com</v>
      </c>
      <c r="D52" s="74">
        <v>45152</v>
      </c>
      <c r="E52" s="11" t="s">
        <v>222</v>
      </c>
      <c r="F52" s="30">
        <v>45134</v>
      </c>
      <c r="G52" s="16">
        <v>1741</v>
      </c>
      <c r="H52" s="31">
        <v>92</v>
      </c>
      <c r="I52" s="9">
        <f>+PROVEEDORES3[[#This Row],[Total USD]]*4150</f>
        <v>381800</v>
      </c>
    </row>
    <row r="53" spans="1:9" ht="22.35" hidden="1" customHeight="1" x14ac:dyDescent="0.25">
      <c r="A53" s="29" t="str">
        <f>+IF(PROVEEDORES3[[#This Row],[FECHA DE PAGO]]=PROVEEDORES3[[#This Row],[FECHA DE FACTURACIÓN]],"DE CONTADO","CRÉDITO")</f>
        <v>CRÉDITO</v>
      </c>
      <c r="B53" s="19" t="e">
        <f>+IF((PROVEEDORES3[[#This Row],[FECHA DE PAGO]]-PROVEEDORES3[[#This Row],[FECHA DE FACTURACIÓN]])&gt;#REF!,"PAGO VENCIDO")</f>
        <v>#REF!</v>
      </c>
      <c r="C53" s="24" t="str">
        <f>+VLOOKUP(PROVEEDORES3[[#This Row],[PROVEEDOR]],TERCEROS_INFO[[PROVEEDOR]:[CORREO]],5,FALSE)</f>
        <v>jessica.barrios@carpainternacional.com;girlesa.ruiz@servipilas.com;joriescobar64@gmail.com</v>
      </c>
      <c r="D53" s="74">
        <v>45152</v>
      </c>
      <c r="E53" s="11" t="s">
        <v>222</v>
      </c>
      <c r="F53" s="30">
        <v>45134</v>
      </c>
      <c r="G53" s="16">
        <v>1742</v>
      </c>
      <c r="H53" s="31">
        <v>92</v>
      </c>
      <c r="I53" s="9">
        <f>+PROVEEDORES3[[#This Row],[Total USD]]*4150</f>
        <v>381800</v>
      </c>
    </row>
    <row r="54" spans="1:9" ht="22.35" hidden="1" customHeight="1" x14ac:dyDescent="0.25">
      <c r="A54" s="29" t="str">
        <f>+IF(PROVEEDORES3[[#This Row],[FECHA DE PAGO]]=PROVEEDORES3[[#This Row],[FECHA DE FACTURACIÓN]],"DE CONTADO","CRÉDITO")</f>
        <v>CRÉDITO</v>
      </c>
      <c r="B54" s="19" t="e">
        <f>+IF((PROVEEDORES3[[#This Row],[FECHA DE PAGO]]-PROVEEDORES3[[#This Row],[FECHA DE FACTURACIÓN]])&gt;#REF!,"PAGO VENCIDO")</f>
        <v>#REF!</v>
      </c>
      <c r="C54" s="24" t="str">
        <f>+VLOOKUP(PROVEEDORES3[[#This Row],[PROVEEDOR]],TERCEROS_INFO[[PROVEEDOR]:[CORREO]],5,FALSE)</f>
        <v>jessica.barrios@carpainternacional.com;girlesa.ruiz@servipilas.com;joriescobar64@gmail.com</v>
      </c>
      <c r="D54" s="74">
        <v>45152</v>
      </c>
      <c r="E54" s="11" t="s">
        <v>222</v>
      </c>
      <c r="F54" s="30">
        <v>45134</v>
      </c>
      <c r="G54" s="16">
        <v>1743</v>
      </c>
      <c r="H54" s="31">
        <v>40</v>
      </c>
      <c r="I54" s="9">
        <f>+PROVEEDORES3[[#This Row],[Total USD]]*4150</f>
        <v>166000</v>
      </c>
    </row>
    <row r="55" spans="1:9" ht="22.35" hidden="1" customHeight="1" x14ac:dyDescent="0.25">
      <c r="A55" s="29" t="str">
        <f>+IF(PROVEEDORES3[[#This Row],[FECHA DE PAGO]]=PROVEEDORES3[[#This Row],[FECHA DE FACTURACIÓN]],"DE CONTADO","CRÉDITO")</f>
        <v>CRÉDITO</v>
      </c>
      <c r="B55" s="19" t="e">
        <f>+IF((PROVEEDORES3[[#This Row],[FECHA DE PAGO]]-PROVEEDORES3[[#This Row],[FECHA DE FACTURACIÓN]])&gt;#REF!,"PAGO VENCIDO")</f>
        <v>#REF!</v>
      </c>
      <c r="C55" s="24" t="str">
        <f>+VLOOKUP(PROVEEDORES3[[#This Row],[PROVEEDOR]],TERCEROS_INFO[[PROVEEDOR]:[CORREO]],5,FALSE)</f>
        <v>jessica.barrios@carpainternacional.com;girlesa.ruiz@servipilas.com;joriescobar64@gmail.com</v>
      </c>
      <c r="D55" s="74">
        <v>45152</v>
      </c>
      <c r="E55" s="11" t="s">
        <v>222</v>
      </c>
      <c r="F55" s="30">
        <v>45134</v>
      </c>
      <c r="G55" s="16">
        <v>1744</v>
      </c>
      <c r="H55" s="31">
        <v>40</v>
      </c>
      <c r="I55" s="9">
        <f>+PROVEEDORES3[[#This Row],[Total USD]]*4150</f>
        <v>166000</v>
      </c>
    </row>
    <row r="56" spans="1:9" ht="22.35" hidden="1" customHeight="1" x14ac:dyDescent="0.25">
      <c r="A56" s="29" t="str">
        <f>+IF(PROVEEDORES3[[#This Row],[FECHA DE PAGO]]=PROVEEDORES3[[#This Row],[FECHA DE FACTURACIÓN]],"DE CONTADO","CRÉDITO")</f>
        <v>CRÉDITO</v>
      </c>
      <c r="B56" s="19" t="e">
        <f>+IF((PROVEEDORES3[[#This Row],[FECHA DE PAGO]]-PROVEEDORES3[[#This Row],[FECHA DE FACTURACIÓN]])&gt;#REF!,"PAGO VENCIDO")</f>
        <v>#REF!</v>
      </c>
      <c r="C56" s="24" t="str">
        <f>+VLOOKUP(PROVEEDORES3[[#This Row],[PROVEEDOR]],TERCEROS_INFO[[PROVEEDOR]:[CORREO]],5,FALSE)</f>
        <v>jessica.barrios@carpainternacional.com;girlesa.ruiz@servipilas.com;joriescobar64@gmail.com</v>
      </c>
      <c r="D56" s="74">
        <v>45152</v>
      </c>
      <c r="E56" s="11" t="s">
        <v>222</v>
      </c>
      <c r="F56" s="30">
        <v>45207</v>
      </c>
      <c r="G56" s="16">
        <v>1755</v>
      </c>
      <c r="H56" s="31">
        <v>48</v>
      </c>
      <c r="I56" s="9">
        <f>+PROVEEDORES3[[#This Row],[Total USD]]*4150</f>
        <v>199200</v>
      </c>
    </row>
    <row r="57" spans="1:9" ht="22.35" hidden="1" customHeight="1" x14ac:dyDescent="0.25">
      <c r="A57" s="29" t="str">
        <f>+IF(PROVEEDORES3[[#This Row],[FECHA DE PAGO]]=PROVEEDORES3[[#This Row],[FECHA DE FACTURACIÓN]],"DE CONTADO","CRÉDITO")</f>
        <v>CRÉDITO</v>
      </c>
      <c r="B57" s="19" t="e">
        <f>+IF((PROVEEDORES3[[#This Row],[FECHA DE PAGO]]-PROVEEDORES3[[#This Row],[FECHA DE FACTURACIÓN]])&gt;#REF!,"PAGO VENCIDO")</f>
        <v>#REF!</v>
      </c>
      <c r="C57" s="24" t="str">
        <f>+VLOOKUP(PROVEEDORES3[[#This Row],[PROVEEDOR]],TERCEROS_INFO[[PROVEEDOR]:[CORREO]],5,FALSE)</f>
        <v>jessica.barrios@carpainternacional.com;girlesa.ruiz@servipilas.com;joriescobar64@gmail.com</v>
      </c>
      <c r="D57" s="74">
        <v>45152</v>
      </c>
      <c r="E57" s="11" t="s">
        <v>222</v>
      </c>
      <c r="F57" s="30">
        <v>45207</v>
      </c>
      <c r="G57" s="16">
        <v>1756</v>
      </c>
      <c r="H57" s="31">
        <v>40</v>
      </c>
      <c r="I57" s="9">
        <f>+PROVEEDORES3[[#This Row],[Total USD]]*4150</f>
        <v>166000</v>
      </c>
    </row>
    <row r="58" spans="1:9" ht="22.35" hidden="1" customHeight="1" x14ac:dyDescent="0.25">
      <c r="A58" s="29" t="str">
        <f>+IF(PROVEEDORES3[[#This Row],[FECHA DE PAGO]]=PROVEEDORES3[[#This Row],[FECHA DE FACTURACIÓN]],"DE CONTADO","CRÉDITO")</f>
        <v>CRÉDITO</v>
      </c>
      <c r="B58" s="19" t="e">
        <f>+IF((PROVEEDORES3[[#This Row],[FECHA DE PAGO]]-PROVEEDORES3[[#This Row],[FECHA DE FACTURACIÓN]])&gt;#REF!,"PAGO VENCIDO")</f>
        <v>#REF!</v>
      </c>
      <c r="C58" s="24" t="str">
        <f>+VLOOKUP(PROVEEDORES3[[#This Row],[PROVEEDOR]],TERCEROS_INFO[[PROVEEDOR]:[CORREO]],5,FALSE)</f>
        <v>jessica.barrios@carpainternacional.com;girlesa.ruiz@servipilas.com;joriescobar64@gmail.com</v>
      </c>
      <c r="D58" s="74">
        <v>45152</v>
      </c>
      <c r="E58" s="11" t="s">
        <v>222</v>
      </c>
      <c r="F58" s="30">
        <v>45207</v>
      </c>
      <c r="G58" s="16">
        <v>1757</v>
      </c>
      <c r="H58" s="31">
        <v>40</v>
      </c>
      <c r="I58" s="9">
        <f>+PROVEEDORES3[[#This Row],[Total USD]]*4150</f>
        <v>166000</v>
      </c>
    </row>
    <row r="59" spans="1:9" ht="22.35" hidden="1" customHeight="1" x14ac:dyDescent="0.25">
      <c r="A59" s="29" t="str">
        <f>+IF(PROVEEDORES3[[#This Row],[FECHA DE PAGO]]=PROVEEDORES3[[#This Row],[FECHA DE FACTURACIÓN]],"DE CONTADO","CRÉDITO")</f>
        <v>CRÉDITO</v>
      </c>
      <c r="B59" s="19" t="e">
        <f>+IF((PROVEEDORES3[[#This Row],[FECHA DE PAGO]]-PROVEEDORES3[[#This Row],[FECHA DE FACTURACIÓN]])&gt;#REF!,"PAGO VENCIDO")</f>
        <v>#REF!</v>
      </c>
      <c r="C59" s="24" t="str">
        <f>+VLOOKUP(PROVEEDORES3[[#This Row],[PROVEEDOR]],TERCEROS_INFO[[PROVEEDOR]:[CORREO]],5,FALSE)</f>
        <v>jessica.barrios@carpainternacional.com;girlesa.ruiz@servipilas.com;joriescobar64@gmail.com</v>
      </c>
      <c r="D59" s="74">
        <v>45152</v>
      </c>
      <c r="E59" s="11" t="s">
        <v>222</v>
      </c>
      <c r="F59" s="30">
        <v>45207</v>
      </c>
      <c r="G59" s="16">
        <v>1758</v>
      </c>
      <c r="H59" s="31">
        <v>40</v>
      </c>
      <c r="I59" s="9">
        <f>+PROVEEDORES3[[#This Row],[Total USD]]*4150</f>
        <v>166000</v>
      </c>
    </row>
    <row r="60" spans="1:9" ht="22.35" hidden="1" customHeight="1" x14ac:dyDescent="0.25">
      <c r="A60" s="29" t="str">
        <f>+IF(PROVEEDORES3[[#This Row],[FECHA DE PAGO]]=PROVEEDORES3[[#This Row],[FECHA DE FACTURACIÓN]],"DE CONTADO","CRÉDITO")</f>
        <v>CRÉDITO</v>
      </c>
      <c r="B60" s="19" t="e">
        <f>+IF((PROVEEDORES3[[#This Row],[FECHA DE PAGO]]-PROVEEDORES3[[#This Row],[FECHA DE FACTURACIÓN]])&gt;#REF!,"PAGO VENCIDO")</f>
        <v>#REF!</v>
      </c>
      <c r="C60" s="24" t="str">
        <f>+VLOOKUP(PROVEEDORES3[[#This Row],[PROVEEDOR]],TERCEROS_INFO[[PROVEEDOR]:[CORREO]],5,FALSE)</f>
        <v>jessica.barrios@carpainternacional.com;girlesa.ruiz@servipilas.com;joriescobar64@gmail.com</v>
      </c>
      <c r="D60" s="74">
        <v>45152</v>
      </c>
      <c r="E60" s="11" t="s">
        <v>222</v>
      </c>
      <c r="F60" s="30">
        <v>45207</v>
      </c>
      <c r="G60" s="16">
        <v>1759</v>
      </c>
      <c r="H60" s="31">
        <v>40</v>
      </c>
      <c r="I60" s="9">
        <f>+PROVEEDORES3[[#This Row],[Total USD]]*4150</f>
        <v>166000</v>
      </c>
    </row>
    <row r="61" spans="1:9" ht="22.35" hidden="1" customHeight="1" x14ac:dyDescent="0.25">
      <c r="A61" s="29" t="str">
        <f>+IF(PROVEEDORES3[[#This Row],[FECHA DE PAGO]]=PROVEEDORES3[[#This Row],[FECHA DE FACTURACIÓN]],"DE CONTADO","CRÉDITO")</f>
        <v>CRÉDITO</v>
      </c>
      <c r="B61" s="19" t="e">
        <f>+IF((PROVEEDORES3[[#This Row],[FECHA DE PAGO]]-PROVEEDORES3[[#This Row],[FECHA DE FACTURACIÓN]])&gt;#REF!,"PAGO VENCIDO")</f>
        <v>#REF!</v>
      </c>
      <c r="C61" s="24" t="str">
        <f>+VLOOKUP(PROVEEDORES3[[#This Row],[PROVEEDOR]],TERCEROS_INFO[[PROVEEDOR]:[CORREO]],5,FALSE)</f>
        <v>jessica.barrios@carpainternacional.com;girlesa.ruiz@servipilas.com;joriescobar64@gmail.com</v>
      </c>
      <c r="D61" s="74">
        <v>45152</v>
      </c>
      <c r="E61" s="11" t="s">
        <v>222</v>
      </c>
      <c r="F61" s="30">
        <v>45207</v>
      </c>
      <c r="G61" s="16">
        <v>1760</v>
      </c>
      <c r="H61" s="31">
        <v>40</v>
      </c>
      <c r="I61" s="9">
        <f>+PROVEEDORES3[[#This Row],[Total USD]]*4150</f>
        <v>166000</v>
      </c>
    </row>
    <row r="62" spans="1:9" ht="22.35" hidden="1" customHeight="1" x14ac:dyDescent="0.25">
      <c r="A62" s="63" t="str">
        <f>+IF(PROVEEDORES3[[#This Row],[FECHA DE PAGO]]=PROVEEDORES3[[#This Row],[FECHA DE FACTURACIÓN]],"DE CONTADO","CRÉDITO")</f>
        <v>DE CONTADO</v>
      </c>
      <c r="B62" s="19" t="e">
        <f>+IF((PROVEEDORES3[[#This Row],[FECHA DE PAGO]]-PROVEEDORES3[[#This Row],[FECHA DE FACTURACIÓN]])&gt;#REF!,"PAGO VENCIDO")</f>
        <v>#REF!</v>
      </c>
      <c r="C62" s="24" t="str">
        <f>+VLOOKUP(PROVEEDORES3[[#This Row],[PROVEEDOR]],TERCEROS_INFO[[PROVEEDOR]:[CORREO]],5,FALSE)</f>
        <v>jessica.barrios@carpainternacional.com;girlesa.ruiz@servipilas.com;joriescobar64@gmail.com</v>
      </c>
      <c r="D62" s="74">
        <v>45154</v>
      </c>
      <c r="E62" s="11" t="s">
        <v>222</v>
      </c>
      <c r="F62" s="30">
        <v>45154</v>
      </c>
      <c r="G62" s="49" t="s">
        <v>978</v>
      </c>
      <c r="H62" s="31"/>
      <c r="I62" s="9">
        <f>+PROVEEDORES3[[#This Row],[Total USD]]*3828.5</f>
        <v>0</v>
      </c>
    </row>
    <row r="63" spans="1:9" ht="22.35" hidden="1" customHeight="1" x14ac:dyDescent="0.25">
      <c r="A63" s="62" t="str">
        <f>+IF(PROVEEDORES3[[#This Row],[FECHA DE PAGO]]=PROVEEDORES3[[#This Row],[FECHA DE FACTURACIÓN]],"DE CONTADO","CRÉDITO")</f>
        <v>CRÉDITO</v>
      </c>
      <c r="B63" s="19" t="e">
        <f>+IF((PROVEEDORES3[[#This Row],[FECHA DE PAGO]]-PROVEEDORES3[[#This Row],[FECHA DE FACTURACIÓN]])&gt;#REF!,"PAGO VENCIDO")</f>
        <v>#REF!</v>
      </c>
      <c r="C63" s="24" t="str">
        <f>+VLOOKUP(PROVEEDORES3[[#This Row],[PROVEEDOR]],TERCEROS_INFO[[PROVEEDOR]:[CORREO]],5,FALSE)</f>
        <v>jessica.barrios@carpainternacional.com;girlesa.ruiz@servipilas.com;joriescobar64@gmail.com</v>
      </c>
      <c r="D63" s="74">
        <v>45205</v>
      </c>
      <c r="E63" s="11" t="s">
        <v>222</v>
      </c>
      <c r="F63" s="30">
        <v>45126</v>
      </c>
      <c r="G63" s="16">
        <v>1738</v>
      </c>
      <c r="H63" s="47">
        <v>8</v>
      </c>
      <c r="I63" s="9">
        <f>+PROVEEDORES3[[#This Row],[Total USD]]*4150</f>
        <v>33200</v>
      </c>
    </row>
    <row r="64" spans="1:9" ht="22.35" hidden="1" customHeight="1" x14ac:dyDescent="0.25">
      <c r="A64" s="64" t="str">
        <f>+IF(PROVEEDORES3[[#This Row],[FECHA DE PAGO]]=PROVEEDORES3[[#This Row],[FECHA DE FACTURACIÓN]],"DE CONTADO","CRÉDITO")</f>
        <v>CRÉDITO</v>
      </c>
      <c r="B64" s="19" t="e">
        <f>+IF((PROVEEDORES3[[#This Row],[FECHA DE PAGO]]-PROVEEDORES3[[#This Row],[FECHA DE FACTURACIÓN]])&gt;#REF!,"PAGO VENCIDO")</f>
        <v>#REF!</v>
      </c>
      <c r="C64" s="24" t="str">
        <f>+VLOOKUP(PROVEEDORES3[[#This Row],[PROVEEDOR]],TERCEROS_INFO[[PROVEEDOR]:[CORREO]],5,FALSE)</f>
        <v>jessica.barrios@carpainternacional.com;girlesa.ruiz@servipilas.com;joriescobar64@gmail.com</v>
      </c>
      <c r="D64" s="74">
        <v>45205</v>
      </c>
      <c r="E64" s="11" t="s">
        <v>222</v>
      </c>
      <c r="F64" s="30">
        <v>45169</v>
      </c>
      <c r="G64" s="16">
        <v>1770</v>
      </c>
      <c r="H64" s="47">
        <v>244</v>
      </c>
      <c r="I64" s="9">
        <f>+PROVEEDORES3[[#This Row],[Total USD]]*4200</f>
        <v>1024800</v>
      </c>
    </row>
    <row r="65" spans="1:9" ht="22.35" hidden="1" customHeight="1" x14ac:dyDescent="0.25">
      <c r="A65" s="29" t="str">
        <f>+IF(PROVEEDORES3[[#This Row],[FECHA DE PAGO]]=PROVEEDORES3[[#This Row],[FECHA DE FACTURACIÓN]],"DE CONTADO","CRÉDITO")</f>
        <v>CRÉDITO</v>
      </c>
      <c r="B65" s="19" t="e">
        <f>+IF((PROVEEDORES3[[#This Row],[FECHA DE PAGO]]-PROVEEDORES3[[#This Row],[FECHA DE FACTURACIÓN]])&gt;#REF!,"PAGO VENCIDO")</f>
        <v>#REF!</v>
      </c>
      <c r="C65" s="24" t="str">
        <f>+VLOOKUP(PROVEEDORES3[[#This Row],[PROVEEDOR]],TERCEROS_INFO[[PROVEEDOR]:[CORREO]],5,FALSE)</f>
        <v>jessica.barrios@carpainternacional.com;girlesa.ruiz@servipilas.com;joriescobar64@gmail.com</v>
      </c>
      <c r="D65" s="74">
        <v>45205</v>
      </c>
      <c r="E65" s="11" t="s">
        <v>222</v>
      </c>
      <c r="F65" s="30">
        <v>45190</v>
      </c>
      <c r="G65" s="16">
        <v>1794</v>
      </c>
      <c r="H65" s="47">
        <v>60</v>
      </c>
      <c r="I65" s="9">
        <f>+PROVEEDORES3[[#This Row],[Total USD]]*4200</f>
        <v>252000</v>
      </c>
    </row>
    <row r="66" spans="1:9" ht="22.35" hidden="1" customHeight="1" x14ac:dyDescent="0.25">
      <c r="A66" s="66" t="str">
        <f>+IF(PROVEEDORES3[[#This Row],[FECHA DE PAGO]]=PROVEEDORES3[[#This Row],[FECHA DE FACTURACIÓN]],"DE CONTADO","CRÉDITO")</f>
        <v>DE CONTADO</v>
      </c>
      <c r="B66" s="19" t="e">
        <f>+IF((PROVEEDORES3[[#This Row],[FECHA DE PAGO]]-PROVEEDORES3[[#This Row],[FECHA DE FACTURACIÓN]])&gt;#REF!,"PAGO VENCIDO")</f>
        <v>#REF!</v>
      </c>
      <c r="C66" s="24" t="str">
        <f>+VLOOKUP(PROVEEDORES3[[#This Row],[PROVEEDOR]],TERCEROS_INFO[[PROVEEDOR]:[CORREO]],5,FALSE)</f>
        <v>jessica.barrios@carpainternacional.com;girlesa.ruiz@servipilas.com;joriescobar64@gmail.com</v>
      </c>
      <c r="D66" s="74">
        <v>45205</v>
      </c>
      <c r="E66" s="11" t="s">
        <v>222</v>
      </c>
      <c r="F66" s="30">
        <v>45205</v>
      </c>
      <c r="G66" s="49" t="s">
        <v>1071</v>
      </c>
      <c r="H66" s="31"/>
      <c r="I66" s="9"/>
    </row>
    <row r="67" spans="1:9" ht="22.35" hidden="1" customHeight="1" x14ac:dyDescent="0.25">
      <c r="A67" s="29" t="str">
        <f>+IF(PROVEEDORES3[[#This Row],[FECHA DE PAGO]]=PROVEEDORES3[[#This Row],[FECHA DE FACTURACIÓN]],"DE CONTADO","CRÉDITO")</f>
        <v>CRÉDITO</v>
      </c>
      <c r="B67" s="19" t="e">
        <f>+IF((PROVEEDORES3[[#This Row],[FECHA DE PAGO]]-PROVEEDORES3[[#This Row],[FECHA DE FACTURACIÓN]])&gt;#REF!,"PAGO VENCIDO")</f>
        <v>#REF!</v>
      </c>
      <c r="C67" s="24" t="str">
        <f>+VLOOKUP(PROVEEDORES3[[#This Row],[PROVEEDOR]],TERCEROS_INFO[[PROVEEDOR]:[CORREO]],5,FALSE)</f>
        <v>jessica.barrios@carpainternacional.com;girlesa.ruiz@servipilas.com;joriescobar64@gmail.com</v>
      </c>
      <c r="D67" s="74">
        <v>45251</v>
      </c>
      <c r="E67" s="11" t="s">
        <v>222</v>
      </c>
      <c r="F67" s="30">
        <v>45215</v>
      </c>
      <c r="G67" s="16">
        <v>1805</v>
      </c>
      <c r="H67" s="31">
        <v>144</v>
      </c>
      <c r="I67" s="9">
        <f>+PROVEEDORES3[[#This Row],[Total USD]]*4300</f>
        <v>619200</v>
      </c>
    </row>
    <row r="68" spans="1:9" ht="22.35" hidden="1" customHeight="1" x14ac:dyDescent="0.25">
      <c r="A68" s="29" t="str">
        <f>+IF(PROVEEDORES3[[#This Row],[FECHA DE PAGO]]=PROVEEDORES3[[#This Row],[FECHA DE FACTURACIÓN]],"DE CONTADO","CRÉDITO")</f>
        <v>CRÉDITO</v>
      </c>
      <c r="B68" s="19" t="e">
        <f>+IF((PROVEEDORES3[[#This Row],[FECHA DE PAGO]]-PROVEEDORES3[[#This Row],[FECHA DE FACTURACIÓN]])&gt;#REF!,"PAGO VENCIDO")</f>
        <v>#REF!</v>
      </c>
      <c r="C68" s="24" t="str">
        <f>+VLOOKUP(PROVEEDORES3[[#This Row],[PROVEEDOR]],TERCEROS_INFO[[PROVEEDOR]:[CORREO]],5,FALSE)</f>
        <v>jessica.barrios@carpainternacional.com;girlesa.ruiz@servipilas.com;joriescobar64@gmail.com</v>
      </c>
      <c r="D68" s="74">
        <v>45251</v>
      </c>
      <c r="E68" s="11" t="s">
        <v>222</v>
      </c>
      <c r="F68" s="30">
        <v>45217</v>
      </c>
      <c r="G68" s="16">
        <v>1812</v>
      </c>
      <c r="H68" s="31">
        <v>124</v>
      </c>
      <c r="I68" s="9">
        <f>+PROVEEDORES3[[#This Row],[Total USD]]*4300</f>
        <v>533200</v>
      </c>
    </row>
    <row r="69" spans="1:9" ht="22.35" hidden="1" customHeight="1" x14ac:dyDescent="0.25">
      <c r="A69" s="29" t="str">
        <f>+IF(PROVEEDORES3[[#This Row],[FECHA DE PAGO]]=PROVEEDORES3[[#This Row],[FECHA DE FACTURACIÓN]],"DE CONTADO","CRÉDITO")</f>
        <v>CRÉDITO</v>
      </c>
      <c r="B69" s="19" t="e">
        <f>+IF((PROVEEDORES3[[#This Row],[FECHA DE PAGO]]-PROVEEDORES3[[#This Row],[FECHA DE FACTURACIÓN]])&gt;#REF!,"PAGO VENCIDO")</f>
        <v>#REF!</v>
      </c>
      <c r="C69" s="24" t="str">
        <f>+VLOOKUP(PROVEEDORES3[[#This Row],[PROVEEDOR]],TERCEROS_INFO[[PROVEEDOR]:[CORREO]],5,FALSE)</f>
        <v>jessica.barrios@carpainternacional.com;girlesa.ruiz@servipilas.com;joriescobar64@gmail.com</v>
      </c>
      <c r="D69" s="74">
        <v>45251</v>
      </c>
      <c r="E69" s="11" t="s">
        <v>222</v>
      </c>
      <c r="F69" s="30">
        <v>45226</v>
      </c>
      <c r="G69" s="16">
        <v>1814</v>
      </c>
      <c r="H69" s="31">
        <v>100</v>
      </c>
      <c r="I69" s="9">
        <f>+PROVEEDORES3[[#This Row],[Total USD]]*4300</f>
        <v>430000</v>
      </c>
    </row>
    <row r="70" spans="1:9" ht="22.35" hidden="1" customHeight="1" x14ac:dyDescent="0.25">
      <c r="A70" s="29" t="str">
        <f>+IF(PROVEEDORES3[[#This Row],[FECHA DE PAGO]]=PROVEEDORES3[[#This Row],[FECHA DE FACTURACIÓN]],"DE CONTADO","CRÉDITO")</f>
        <v>CRÉDITO</v>
      </c>
      <c r="B70" s="19" t="e">
        <f>+IF((PROVEEDORES3[[#This Row],[FECHA DE PAGO]]-PROVEEDORES3[[#This Row],[FECHA DE FACTURACIÓN]])&gt;#REF!,"PAGO VENCIDO")</f>
        <v>#REF!</v>
      </c>
      <c r="C70" s="24" t="str">
        <f>+VLOOKUP(PROVEEDORES3[[#This Row],[PROVEEDOR]],TERCEROS_INFO[[PROVEEDOR]:[CORREO]],5,FALSE)</f>
        <v>jessica.barrios@carpainternacional.com;girlesa.ruiz@servipilas.com;joriescobar64@gmail.com</v>
      </c>
      <c r="D70" s="74">
        <v>45251</v>
      </c>
      <c r="E70" s="11" t="s">
        <v>222</v>
      </c>
      <c r="F70" s="30">
        <v>45233</v>
      </c>
      <c r="G70" s="16">
        <v>1822</v>
      </c>
      <c r="H70" s="31">
        <v>80</v>
      </c>
      <c r="I70" s="9">
        <f>+PROVEEDORES3[[#This Row],[Total USD]]*4300</f>
        <v>344000</v>
      </c>
    </row>
    <row r="71" spans="1:9" ht="22.35" hidden="1" customHeight="1" x14ac:dyDescent="0.25">
      <c r="A71" s="68" t="str">
        <f>+IF(PROVEEDORES3[[#This Row],[FECHA DE PAGO]]=PROVEEDORES3[[#This Row],[FECHA DE FACTURACIÓN]],"DE CONTADO","CRÉDITO")</f>
        <v>CRÉDITO</v>
      </c>
      <c r="B71" s="19" t="e">
        <f>+IF((PROVEEDORES3[[#This Row],[FECHA DE PAGO]]-PROVEEDORES3[[#This Row],[FECHA DE FACTURACIÓN]])&gt;#REF!,"PAGO VENCIDO")</f>
        <v>#REF!</v>
      </c>
      <c r="C71" s="24" t="str">
        <f>+VLOOKUP(PROVEEDORES3[[#This Row],[PROVEEDOR]],TERCEROS_INFO[[PROVEEDOR]:[CORREO]],5,FALSE)</f>
        <v>jessica.barrios@carpainternacional.com;girlesa.ruiz@servipilas.com;joriescobar64@gmail.com</v>
      </c>
      <c r="D71" s="74">
        <v>45251</v>
      </c>
      <c r="E71" s="11" t="s">
        <v>222</v>
      </c>
      <c r="F71" s="30">
        <v>45233</v>
      </c>
      <c r="G71" s="16">
        <v>1826</v>
      </c>
      <c r="H71" s="31">
        <v>92</v>
      </c>
      <c r="I71" s="9">
        <f>+PROVEEDORES3[[#This Row],[Total USD]]*4300</f>
        <v>395600</v>
      </c>
    </row>
    <row r="72" spans="1:9" ht="22.35" hidden="1" customHeight="1" x14ac:dyDescent="0.25">
      <c r="A72" s="29" t="str">
        <f>+IF(PROVEEDORES3[[#This Row],[FECHA DE PAGO]]=PROVEEDORES3[[#This Row],[FECHA DE FACTURACIÓN]],"DE CONTADO","CRÉDITO")</f>
        <v>CRÉDITO</v>
      </c>
      <c r="B72" s="19" t="e">
        <f>+IF((PROVEEDORES3[[#This Row],[FECHA DE PAGO]]-PROVEEDORES3[[#This Row],[FECHA DE FACTURACIÓN]])&gt;#REF!,"PAGO VENCIDO")</f>
        <v>#REF!</v>
      </c>
      <c r="C72" s="24" t="str">
        <f>+VLOOKUP(PROVEEDORES3[[#This Row],[PROVEEDOR]],TERCEROS_INFO[[PROVEEDOR]:[CORREO]],5,FALSE)</f>
        <v>jessica.barrios@carpainternacional.com;girlesa.ruiz@servipilas.com;joriescobar64@gmail.com</v>
      </c>
      <c r="D72" s="74">
        <v>45278</v>
      </c>
      <c r="E72" s="11" t="s">
        <v>222</v>
      </c>
      <c r="F72" s="30">
        <v>45251</v>
      </c>
      <c r="G72" s="16" t="s">
        <v>1240</v>
      </c>
      <c r="H72" s="31">
        <v>140</v>
      </c>
      <c r="I72" s="9">
        <f>+PROVEEDORES3[[#This Row],[Total USD]]*4300</f>
        <v>602000</v>
      </c>
    </row>
    <row r="73" spans="1:9" ht="22.35" hidden="1" customHeight="1" x14ac:dyDescent="0.25">
      <c r="A73" s="29" t="str">
        <f>+IF(PROVEEDORES3[[#This Row],[FECHA DE PAGO]]=PROVEEDORES3[[#This Row],[FECHA DE FACTURACIÓN]],"DE CONTADO","CRÉDITO")</f>
        <v>CRÉDITO</v>
      </c>
      <c r="B73" s="19" t="e">
        <f>+IF((PROVEEDORES3[[#This Row],[FECHA DE PAGO]]-PROVEEDORES3[[#This Row],[FECHA DE FACTURACIÓN]])&gt;#REF!,"PAGO VENCIDO")</f>
        <v>#REF!</v>
      </c>
      <c r="C73" s="24" t="str">
        <f>+VLOOKUP(PROVEEDORES3[[#This Row],[PROVEEDOR]],TERCEROS_INFO[[PROVEEDOR]:[CORREO]],5,FALSE)</f>
        <v>jessica.barrios@carpainternacional.com;girlesa.ruiz@servipilas.com;joriescobar64@gmail.com</v>
      </c>
      <c r="D73" s="74">
        <v>45278</v>
      </c>
      <c r="E73" s="11" t="s">
        <v>222</v>
      </c>
      <c r="F73" s="30">
        <v>45252</v>
      </c>
      <c r="G73" s="16" t="s">
        <v>1241</v>
      </c>
      <c r="H73" s="31">
        <v>136</v>
      </c>
      <c r="I73" s="9">
        <f>+PROVEEDORES3[[#This Row],[Total USD]]*4300</f>
        <v>584800</v>
      </c>
    </row>
    <row r="74" spans="1:9" ht="22.35" hidden="1" customHeight="1" x14ac:dyDescent="0.25">
      <c r="A74" s="29" t="str">
        <f>+IF(PROVEEDORES3[[#This Row],[FECHA DE PAGO]]=PROVEEDORES3[[#This Row],[FECHA DE FACTURACIÓN]],"DE CONTADO","CRÉDITO")</f>
        <v>CRÉDITO</v>
      </c>
      <c r="B74" s="19" t="e">
        <f>+IF((PROVEEDORES3[[#This Row],[FECHA DE PAGO]]-PROVEEDORES3[[#This Row],[FECHA DE FACTURACIÓN]])&gt;#REF!,"PAGO VENCIDO")</f>
        <v>#REF!</v>
      </c>
      <c r="C74" s="24" t="str">
        <f>+VLOOKUP(PROVEEDORES3[[#This Row],[PROVEEDOR]],TERCEROS_INFO[[PROVEEDOR]:[CORREO]],5,FALSE)</f>
        <v>jessica.barrios@carpainternacional.com;girlesa.ruiz@servipilas.com;joriescobar64@gmail.com</v>
      </c>
      <c r="D74" s="74">
        <v>45278</v>
      </c>
      <c r="E74" s="11" t="s">
        <v>222</v>
      </c>
      <c r="F74" s="30">
        <v>45260</v>
      </c>
      <c r="G74" s="16" t="s">
        <v>1297</v>
      </c>
      <c r="H74" s="31">
        <v>40</v>
      </c>
      <c r="I74" s="9">
        <f>+PROVEEDORES3[[#This Row],[Total USD]]*4300</f>
        <v>172000</v>
      </c>
    </row>
    <row r="75" spans="1:9" ht="22.35" hidden="1" customHeight="1" x14ac:dyDescent="0.25">
      <c r="A75" s="29" t="str">
        <f>+IF(PROVEEDORES3[[#This Row],[FECHA DE PAGO]]=PROVEEDORES3[[#This Row],[FECHA DE FACTURACIÓN]],"DE CONTADO","CRÉDITO")</f>
        <v>CRÉDITO</v>
      </c>
      <c r="B75" s="19" t="e">
        <f>+IF((PROVEEDORES3[[#This Row],[FECHA DE PAGO]]-PROVEEDORES3[[#This Row],[FECHA DE FACTURACIÓN]])&gt;#REF!,"PAGO VENCIDO")</f>
        <v>#REF!</v>
      </c>
      <c r="C75" s="24" t="str">
        <f>+VLOOKUP(PROVEEDORES3[[#This Row],[PROVEEDOR]],TERCEROS_INFO[[PROVEEDOR]:[CORREO]],5,FALSE)</f>
        <v>jessica.barrios@carpainternacional.com;girlesa.ruiz@servipilas.com;joriescobar64@gmail.com</v>
      </c>
      <c r="D75" s="74">
        <v>45278</v>
      </c>
      <c r="E75" s="11" t="s">
        <v>222</v>
      </c>
      <c r="F75" s="30">
        <v>45260</v>
      </c>
      <c r="G75" s="16" t="s">
        <v>1298</v>
      </c>
      <c r="H75" s="31">
        <v>104</v>
      </c>
      <c r="I75" s="9">
        <f>+PROVEEDORES3[[#This Row],[Total USD]]*4300</f>
        <v>447200</v>
      </c>
    </row>
    <row r="76" spans="1:9" ht="22.35" hidden="1" customHeight="1" x14ac:dyDescent="0.25">
      <c r="A76" s="29" t="str">
        <f>+IF(PROVEEDORES3[[#This Row],[FECHA DE PAGO]]=PROVEEDORES3[[#This Row],[FECHA DE FACTURACIÓN]],"DE CONTADO","CRÉDITO")</f>
        <v>CRÉDITO</v>
      </c>
      <c r="B76" s="19" t="e">
        <f>+IF((PROVEEDORES3[[#This Row],[FECHA DE PAGO]]-PROVEEDORES3[[#This Row],[FECHA DE FACTURACIÓN]])&gt;#REF!,"PAGO VENCIDO")</f>
        <v>#REF!</v>
      </c>
      <c r="C76" s="24" t="str">
        <f>+VLOOKUP(PROVEEDORES3[[#This Row],[PROVEEDOR]],TERCEROS_INFO[[PROVEEDOR]:[CORREO]],5,FALSE)</f>
        <v>jessica.barrios@carpainternacional.com;girlesa.ruiz@servipilas.com;joriescobar64@gmail.com</v>
      </c>
      <c r="D76" s="74">
        <v>45278</v>
      </c>
      <c r="E76" s="11" t="s">
        <v>222</v>
      </c>
      <c r="F76" s="30">
        <v>45260</v>
      </c>
      <c r="G76" s="16" t="s">
        <v>1299</v>
      </c>
      <c r="H76" s="31">
        <v>120</v>
      </c>
      <c r="I76" s="9">
        <f>+PROVEEDORES3[[#This Row],[Total USD]]*4300</f>
        <v>516000</v>
      </c>
    </row>
    <row r="77" spans="1:9" ht="22.35" hidden="1" customHeight="1" x14ac:dyDescent="0.25">
      <c r="A77" s="29" t="str">
        <f>+IF(PROVEEDORES3[[#This Row],[FECHA DE PAGO]]=PROVEEDORES3[[#This Row],[FECHA DE FACTURACIÓN]],"DE CONTADO","CRÉDITO")</f>
        <v>CRÉDITO</v>
      </c>
      <c r="B77" s="19" t="e">
        <f>+IF((PROVEEDORES3[[#This Row],[FECHA DE PAGO]]-PROVEEDORES3[[#This Row],[FECHA DE FACTURACIÓN]])&gt;#REF!,"PAGO VENCIDO")</f>
        <v>#REF!</v>
      </c>
      <c r="C77" s="24" t="str">
        <f>+VLOOKUP(PROVEEDORES3[[#This Row],[PROVEEDOR]],TERCEROS_INFO[[PROVEEDOR]:[CORREO]],5,FALSE)</f>
        <v>jessica.barrios@carpainternacional.com;girlesa.ruiz@servipilas.com;joriescobar64@gmail.com</v>
      </c>
      <c r="D77" s="74">
        <v>45278</v>
      </c>
      <c r="E77" s="11" t="s">
        <v>222</v>
      </c>
      <c r="F77" s="30">
        <v>45260</v>
      </c>
      <c r="G77" s="16" t="s">
        <v>1300</v>
      </c>
      <c r="H77" s="31">
        <v>255.3</v>
      </c>
      <c r="I77" s="9">
        <f>+PROVEEDORES3[[#This Row],[Total USD]]*4300</f>
        <v>1097790</v>
      </c>
    </row>
    <row r="78" spans="1:9" ht="22.35" hidden="1" customHeight="1" x14ac:dyDescent="0.25">
      <c r="A78" s="70" t="str">
        <f>+IF(PROVEEDORES3[[#This Row],[FECHA DE PAGO]]=PROVEEDORES3[[#This Row],[FECHA DE FACTURACIÓN]],"DE CONTADO","CRÉDITO")</f>
        <v>CRÉDITO</v>
      </c>
      <c r="B78" s="19" t="e">
        <f>+IF((PROVEEDORES3[[#This Row],[FECHA DE PAGO]]-PROVEEDORES3[[#This Row],[FECHA DE FACTURACIÓN]])&gt;#REF!,"PAGO VENCIDO")</f>
        <v>#REF!</v>
      </c>
      <c r="C78" s="24" t="str">
        <f>+VLOOKUP(PROVEEDORES3[[#This Row],[PROVEEDOR]],TERCEROS_INFO[[PROVEEDOR]:[CORREO]],5,FALSE)</f>
        <v>jessica.barrios@carpainternacional.com;girlesa.ruiz@servipilas.com;joriescobar64@gmail.com</v>
      </c>
      <c r="D78" s="74">
        <v>45278</v>
      </c>
      <c r="E78" s="11" t="s">
        <v>222</v>
      </c>
      <c r="F78" s="30">
        <v>45260</v>
      </c>
      <c r="G78" s="16" t="s">
        <v>1304</v>
      </c>
      <c r="H78" s="31">
        <v>273.89999999999998</v>
      </c>
      <c r="I78" s="9">
        <f>+PROVEEDORES3[[#This Row],[Total USD]]*4300</f>
        <v>1177770</v>
      </c>
    </row>
    <row r="79" spans="1:9" ht="22.35" hidden="1" customHeight="1" x14ac:dyDescent="0.25">
      <c r="A79" s="70" t="str">
        <f>+IF(PROVEEDORES3[[#This Row],[FECHA DE PAGO]]=PROVEEDORES3[[#This Row],[FECHA DE FACTURACIÓN]],"DE CONTADO","CRÉDITO")</f>
        <v>CRÉDITO</v>
      </c>
      <c r="B79" s="19" t="e">
        <f>+IF((PROVEEDORES3[[#This Row],[FECHA DE PAGO]]-PROVEEDORES3[[#This Row],[FECHA DE FACTURACIÓN]])&gt;#REF!,"PAGO VENCIDO")</f>
        <v>#REF!</v>
      </c>
      <c r="C79" s="24" t="str">
        <f>+VLOOKUP(PROVEEDORES3[[#This Row],[PROVEEDOR]],TERCEROS_INFO[[PROVEEDOR]:[CORREO]],5,FALSE)</f>
        <v>jessica.barrios@carpainternacional.com;girlesa.ruiz@servipilas.com;joriescobar64@gmail.com</v>
      </c>
      <c r="D79" s="74">
        <v>45278</v>
      </c>
      <c r="E79" s="11" t="s">
        <v>222</v>
      </c>
      <c r="F79" s="30">
        <v>45260</v>
      </c>
      <c r="G79" s="16" t="s">
        <v>1303</v>
      </c>
      <c r="H79" s="31">
        <v>176</v>
      </c>
      <c r="I79" s="9">
        <f>+PROVEEDORES3[[#This Row],[Total USD]]*4300</f>
        <v>756800</v>
      </c>
    </row>
    <row r="80" spans="1:9" ht="22.35" hidden="1" customHeight="1" x14ac:dyDescent="0.25">
      <c r="A80" s="70" t="str">
        <f>+IF(PROVEEDORES3[[#This Row],[FECHA DE PAGO]]=PROVEEDORES3[[#This Row],[FECHA DE FACTURACIÓN]],"DE CONTADO","CRÉDITO")</f>
        <v>CRÉDITO</v>
      </c>
      <c r="B80" s="19" t="e">
        <f>+IF((PROVEEDORES3[[#This Row],[FECHA DE PAGO]]-PROVEEDORES3[[#This Row],[FECHA DE FACTURACIÓN]])&gt;#REF!,"PAGO VENCIDO")</f>
        <v>#REF!</v>
      </c>
      <c r="C80" s="24" t="str">
        <f>+VLOOKUP(PROVEEDORES3[[#This Row],[PROVEEDOR]],TERCEROS_INFO[[PROVEEDOR]:[CORREO]],5,FALSE)</f>
        <v>jessica.barrios@carpainternacional.com;girlesa.ruiz@servipilas.com;joriescobar64@gmail.com</v>
      </c>
      <c r="D80" s="74">
        <v>45278</v>
      </c>
      <c r="E80" s="11" t="s">
        <v>222</v>
      </c>
      <c r="F80" s="30">
        <v>45264</v>
      </c>
      <c r="G80" s="16" t="s">
        <v>1305</v>
      </c>
      <c r="H80" s="31">
        <v>144</v>
      </c>
      <c r="I80" s="9">
        <f>+PROVEEDORES3[[#This Row],[Total USD]]*4300</f>
        <v>619200</v>
      </c>
    </row>
    <row r="81" spans="1:9" ht="22.35" hidden="1" customHeight="1" x14ac:dyDescent="0.25">
      <c r="A81" s="70" t="str">
        <f>+IF(PROVEEDORES3[[#This Row],[FECHA DE PAGO]]=PROVEEDORES3[[#This Row],[FECHA DE FACTURACIÓN]],"DE CONTADO","CRÉDITO")</f>
        <v>CRÉDITO</v>
      </c>
      <c r="B81" s="19" t="e">
        <f>+IF((PROVEEDORES3[[#This Row],[FECHA DE PAGO]]-PROVEEDORES3[[#This Row],[FECHA DE FACTURACIÓN]])&gt;#REF!,"PAGO VENCIDO")</f>
        <v>#REF!</v>
      </c>
      <c r="C81" s="24" t="str">
        <f>+VLOOKUP(PROVEEDORES3[[#This Row],[PROVEEDOR]],TERCEROS_INFO[[PROVEEDOR]:[CORREO]],5,FALSE)</f>
        <v>jessica.barrios@carpainternacional.com;girlesa.ruiz@servipilas.com;joriescobar64@gmail.com</v>
      </c>
      <c r="D81" s="74">
        <v>45278</v>
      </c>
      <c r="E81" s="11" t="s">
        <v>222</v>
      </c>
      <c r="F81" s="30">
        <v>45267</v>
      </c>
      <c r="G81" s="16" t="s">
        <v>1306</v>
      </c>
      <c r="H81" s="31">
        <v>80</v>
      </c>
      <c r="I81" s="9">
        <f>+PROVEEDORES3[[#This Row],[Total USD]]*4300</f>
        <v>344000</v>
      </c>
    </row>
    <row r="82" spans="1:9" ht="22.35" hidden="1" customHeight="1" x14ac:dyDescent="0.25">
      <c r="A82" s="29" t="str">
        <f>+IF(PROVEEDORES3[[#This Row],[FECHA DE PAGO]]=PROVEEDORES3[[#This Row],[FECHA DE FACTURACIÓN]],"DE CONTADO","CRÉDITO")</f>
        <v>CRÉDITO</v>
      </c>
      <c r="B82" s="19" t="e">
        <f>+IF((PROVEEDORES3[[#This Row],[FECHA DE PAGO]]-PROVEEDORES3[[#This Row],[FECHA DE FACTURACIÓN]])&gt;#REF!,"PAGO VENCIDO")</f>
        <v>#REF!</v>
      </c>
      <c r="C82" s="24" t="str">
        <f>+VLOOKUP(PROVEEDORES3[[#This Row],[PROVEEDOR]],TERCEROS_INFO[[PROVEEDOR]:[CORREO]],5,FALSE)</f>
        <v>jessica.barrios@carpainternacional.com;girlesa.ruiz@servipilas.com;joriescobar64@gmail.com</v>
      </c>
      <c r="D82" s="74">
        <v>45278</v>
      </c>
      <c r="E82" s="11" t="s">
        <v>222</v>
      </c>
      <c r="F82" s="30">
        <v>45267</v>
      </c>
      <c r="G82" s="16" t="s">
        <v>1337</v>
      </c>
      <c r="H82" s="31">
        <v>100</v>
      </c>
      <c r="I82" s="9">
        <f>+PROVEEDORES3[[#This Row],[Total USD]]*4300</f>
        <v>430000</v>
      </c>
    </row>
    <row r="83" spans="1:9" ht="22.35" customHeight="1" x14ac:dyDescent="0.25">
      <c r="A83" s="29" t="str">
        <f>+IF(PROVEEDORES3[[#This Row],[FECHA DE PAGO]]=PROVEEDORES3[[#This Row],[FECHA DE FACTURACIÓN]],"DE CONTADO","CRÉDITO")</f>
        <v>CRÉDITO</v>
      </c>
      <c r="B83" s="19" t="e">
        <f>+IF((PROVEEDORES3[[#This Row],[FECHA DE PAGO]]-PROVEEDORES3[[#This Row],[FECHA DE FACTURACIÓN]])&gt;#REF!,"PAGO VENCIDO")</f>
        <v>#REF!</v>
      </c>
      <c r="C83" s="24" t="str">
        <f>+VLOOKUP(PROVEEDORES3[[#This Row],[PROVEEDOR]],TERCEROS_INFO[[PROVEEDOR]:[CORREO]],5,FALSE)</f>
        <v>jessica.barrios@carpainternacional.com;girlesa.ruiz@servipilas.com;joriescobar64@gmail.com</v>
      </c>
      <c r="E83" s="11" t="s">
        <v>222</v>
      </c>
      <c r="F83" s="30">
        <v>45282</v>
      </c>
      <c r="G83" s="216">
        <v>1873</v>
      </c>
      <c r="H83" s="31">
        <v>92</v>
      </c>
      <c r="I83" s="9">
        <f>+PROVEEDORES3[[#This Row],[Total USD]]*3989.3</f>
        <v>367015.60000000003</v>
      </c>
    </row>
    <row r="84" spans="1:9" ht="22.35" customHeight="1" x14ac:dyDescent="0.25">
      <c r="A84" s="78" t="str">
        <f>+IF(PROVEEDORES3[[#This Row],[FECHA DE PAGO]]=PROVEEDORES3[[#This Row],[FECHA DE FACTURACIÓN]],"DE CONTADO","CRÉDITO")</f>
        <v>CRÉDITO</v>
      </c>
      <c r="B84" s="19" t="e">
        <f>+IF((PROVEEDORES3[[#This Row],[FECHA DE PAGO]]-PROVEEDORES3[[#This Row],[FECHA DE FACTURACIÓN]])&gt;#REF!,"PAGO VENCIDO")</f>
        <v>#REF!</v>
      </c>
      <c r="C84" s="24" t="str">
        <f>+VLOOKUP(PROVEEDORES3[[#This Row],[PROVEEDOR]],TERCEROS_INFO[[PROVEEDOR]:[CORREO]],5,FALSE)</f>
        <v>jessica.barrios@carpainternacional.com;girlesa.ruiz@servipilas.com;joriescobar64@gmail.com</v>
      </c>
      <c r="E84" s="11" t="s">
        <v>222</v>
      </c>
      <c r="F84" s="30">
        <v>45292</v>
      </c>
      <c r="G84" s="216">
        <v>1883</v>
      </c>
      <c r="H84" s="31">
        <v>155.69999999999999</v>
      </c>
      <c r="I84" s="9">
        <f>+PROVEEDORES3[[#This Row],[Total USD]]*3989.3</f>
        <v>621134.01</v>
      </c>
    </row>
    <row r="85" spans="1:9" ht="22.35" customHeight="1" x14ac:dyDescent="0.25">
      <c r="A85" s="78" t="str">
        <f>+IF(PROVEEDORES3[[#This Row],[FECHA DE PAGO]]=PROVEEDORES3[[#This Row],[FECHA DE FACTURACIÓN]],"DE CONTADO","CRÉDITO")</f>
        <v>CRÉDITO</v>
      </c>
      <c r="B85" s="19" t="e">
        <f>+IF((PROVEEDORES3[[#This Row],[FECHA DE PAGO]]-PROVEEDORES3[[#This Row],[FECHA DE FACTURACIÓN]])&gt;#REF!,"PAGO VENCIDO")</f>
        <v>#REF!</v>
      </c>
      <c r="C85" s="24" t="str">
        <f>+VLOOKUP(PROVEEDORES3[[#This Row],[PROVEEDOR]],TERCEROS_INFO[[PROVEEDOR]:[CORREO]],5,FALSE)</f>
        <v>jessica.barrios@carpainternacional.com;girlesa.ruiz@servipilas.com;joriescobar64@gmail.com</v>
      </c>
      <c r="E85" s="11" t="s">
        <v>222</v>
      </c>
      <c r="F85" s="30">
        <v>45292</v>
      </c>
      <c r="G85" s="216">
        <v>1884</v>
      </c>
      <c r="H85" s="31">
        <v>56</v>
      </c>
      <c r="I85" s="9">
        <f>+PROVEEDORES3[[#This Row],[Total USD]]*3989.3</f>
        <v>223400.80000000002</v>
      </c>
    </row>
    <row r="86" spans="1:9" ht="22.35" customHeight="1" x14ac:dyDescent="0.25">
      <c r="A86" s="79" t="str">
        <f>+IF(PROVEEDORES3[[#This Row],[FECHA DE PAGO]]=PROVEEDORES3[[#This Row],[FECHA DE FACTURACIÓN]],"DE CONTADO","CRÉDITO")</f>
        <v>CRÉDITO</v>
      </c>
      <c r="B86" s="19" t="e">
        <f>+IF((PROVEEDORES3[[#This Row],[FECHA DE PAGO]]-PROVEEDORES3[[#This Row],[FECHA DE FACTURACIÓN]])&gt;#REF!,"PAGO VENCIDO")</f>
        <v>#REF!</v>
      </c>
      <c r="C86" s="24" t="str">
        <f>+VLOOKUP(PROVEEDORES3[[#This Row],[PROVEEDOR]],TERCEROS_INFO[[PROVEEDOR]:[CORREO]],5,FALSE)</f>
        <v>jessica.barrios@carpainternacional.com;girlesa.ruiz@servipilas.com;joriescobar64@gmail.com</v>
      </c>
      <c r="E86" s="11" t="s">
        <v>222</v>
      </c>
      <c r="F86" s="30">
        <v>45311</v>
      </c>
      <c r="G86" s="216" t="s">
        <v>1461</v>
      </c>
      <c r="H86" s="31">
        <v>128</v>
      </c>
      <c r="I86" s="9">
        <f>+PROVEEDORES3[[#This Row],[Total USD]]*3989.3</f>
        <v>510630.40000000002</v>
      </c>
    </row>
    <row r="87" spans="1:9" ht="22.35" hidden="1" customHeight="1" x14ac:dyDescent="0.25">
      <c r="A87" s="64" t="str">
        <f>+IF(PROVEEDORES3[[#This Row],[FECHA DE PAGO]]=PROVEEDORES3[[#This Row],[FECHA DE FACTURACIÓN]],"DE CONTADO","CRÉDITO")</f>
        <v>CRÉDITO</v>
      </c>
      <c r="B87" s="19" t="e">
        <f>+IF((PROVEEDORES3[[#This Row],[FECHA DE PAGO]]-PROVEEDORES3[[#This Row],[FECHA DE FACTURACIÓN]])&gt;#REF!,"PAGO VENCIDO")</f>
        <v>#REF!</v>
      </c>
      <c r="C87" s="24" t="e">
        <f>+VLOOKUP(PROVEEDORES3[[#This Row],[PROVEEDOR]],TERCEROS_INFO[[PROVEEDOR]:[CORREO]],5,FALSE)</f>
        <v>#N/A</v>
      </c>
      <c r="D87" s="74">
        <v>45205</v>
      </c>
      <c r="E87" s="11" t="s">
        <v>229</v>
      </c>
      <c r="F87" s="30">
        <v>45169</v>
      </c>
      <c r="G87" s="16">
        <v>1772</v>
      </c>
      <c r="H87" s="47">
        <v>1216.05</v>
      </c>
      <c r="I87" s="9">
        <f>+PROVEEDORES3[[#This Row],[Total USD]]*4200</f>
        <v>5107410</v>
      </c>
    </row>
    <row r="88" spans="1:9" ht="22.35" hidden="1" customHeight="1" x14ac:dyDescent="0.25">
      <c r="A88" s="29" t="str">
        <f>+IF(PROVEEDORES3[[#This Row],[FECHA DE PAGO]]=PROVEEDORES3[[#This Row],[FECHA DE FACTURACIÓN]],"DE CONTADO","CRÉDITO")</f>
        <v>CRÉDITO</v>
      </c>
      <c r="B88" s="19" t="e">
        <f>+IF((PROVEEDORES3[[#This Row],[FECHA DE PAGO]]-PROVEEDORES3[[#This Row],[FECHA DE FACTURACIÓN]])&gt;#REF!,"PAGO VENCIDO")</f>
        <v>#REF!</v>
      </c>
      <c r="C88" s="24" t="str">
        <f>+VLOOKUP(PROVEEDORES3[[#This Row],[PROVEEDOR]],TERCEROS_INFO[[PROVEEDOR]:[CORREO]],5,FALSE)</f>
        <v>jessica.barrios@carpainternacional.com;girlesa.ruiz@servipilas.com;joriescobar64@gmail.com</v>
      </c>
      <c r="D88" s="74">
        <v>44992</v>
      </c>
      <c r="E88" s="11" t="s">
        <v>224</v>
      </c>
      <c r="F88" s="30">
        <v>44949</v>
      </c>
      <c r="G88" s="16">
        <v>1589</v>
      </c>
      <c r="H88" s="31">
        <v>499.8</v>
      </c>
      <c r="I88" s="9">
        <f>+PROVEEDORES3[[#This Row],[Total USD]]*4600</f>
        <v>2299080</v>
      </c>
    </row>
    <row r="89" spans="1:9" ht="22.35" hidden="1" customHeight="1" x14ac:dyDescent="0.25">
      <c r="A89" s="29" t="str">
        <f>+IF(PROVEEDORES3[[#This Row],[FECHA DE PAGO]]=PROVEEDORES3[[#This Row],[FECHA DE FACTURACIÓN]],"DE CONTADO","CRÉDITO")</f>
        <v>CRÉDITO</v>
      </c>
      <c r="B89" s="19" t="e">
        <f>+IF((PROVEEDORES3[[#This Row],[FECHA DE PAGO]]-PROVEEDORES3[[#This Row],[FECHA DE FACTURACIÓN]])&gt;#REF!,"PAGO VENCIDO")</f>
        <v>#REF!</v>
      </c>
      <c r="C89" s="24" t="str">
        <f>+VLOOKUP(PROVEEDORES3[[#This Row],[PROVEEDOR]],TERCEROS_INFO[[PROVEEDOR]:[CORREO]],5,FALSE)</f>
        <v>jessica.barrios@carpainternacional.com;girlesa.ruiz@servipilas.com;joriescobar64@gmail.com</v>
      </c>
      <c r="D89" s="74">
        <v>45026</v>
      </c>
      <c r="E89" s="11" t="s">
        <v>224</v>
      </c>
      <c r="F89" s="30">
        <v>44999</v>
      </c>
      <c r="G89" s="16">
        <v>1629</v>
      </c>
      <c r="H89" s="31">
        <v>745</v>
      </c>
      <c r="I89" s="9">
        <f>+PROVEEDORES3[[#This Row],[Total USD]]*4880</f>
        <v>3635600</v>
      </c>
    </row>
    <row r="90" spans="1:9" ht="22.35" hidden="1" customHeight="1" x14ac:dyDescent="0.25">
      <c r="A90" s="29" t="str">
        <f>+IF(PROVEEDORES3[[#This Row],[FECHA DE PAGO]]=PROVEEDORES3[[#This Row],[FECHA DE FACTURACIÓN]],"DE CONTADO","CRÉDITO")</f>
        <v>CRÉDITO</v>
      </c>
      <c r="B90" s="19" t="e">
        <f>+IF((PROVEEDORES3[[#This Row],[FECHA DE PAGO]]-PROVEEDORES3[[#This Row],[FECHA DE FACTURACIÓN]])&gt;#REF!,"PAGO VENCIDO")</f>
        <v>#REF!</v>
      </c>
      <c r="C90" s="24" t="str">
        <f>+VLOOKUP(PROVEEDORES3[[#This Row],[PROVEEDOR]],TERCEROS_INFO[[PROVEEDOR]:[CORREO]],5,FALSE)</f>
        <v>jessica.barrios@carpainternacional.com;girlesa.ruiz@servipilas.com;joriescobar64@gmail.com</v>
      </c>
      <c r="D90" s="74">
        <v>45051</v>
      </c>
      <c r="E90" s="11" t="s">
        <v>224</v>
      </c>
      <c r="F90" s="30">
        <v>45017</v>
      </c>
      <c r="G90" s="16">
        <v>1647</v>
      </c>
      <c r="H90" s="31">
        <v>394.4</v>
      </c>
      <c r="I90" s="9">
        <f>+PROVEEDORES3[[#This Row],[Total USD]]*4700</f>
        <v>1853680</v>
      </c>
    </row>
    <row r="91" spans="1:9" ht="22.35" hidden="1" customHeight="1" x14ac:dyDescent="0.25">
      <c r="A91" s="57" t="str">
        <f>+IF(PROVEEDORES3[[#This Row],[FECHA DE PAGO]]=PROVEEDORES3[[#This Row],[FECHA DE FACTURACIÓN]],"DE CONTADO","CRÉDITO")</f>
        <v>CRÉDITO</v>
      </c>
      <c r="B91" s="19" t="e">
        <f>+IF((PROVEEDORES3[[#This Row],[FECHA DE PAGO]]-PROVEEDORES3[[#This Row],[FECHA DE FACTURACIÓN]])&gt;#REF!,"PAGO VENCIDO")</f>
        <v>#REF!</v>
      </c>
      <c r="C91" s="24" t="str">
        <f>+VLOOKUP(PROVEEDORES3[[#This Row],[PROVEEDOR]],TERCEROS_INFO[[PROVEEDOR]:[CORREO]],5,FALSE)</f>
        <v>jessica.barrios@carpainternacional.com;girlesa.ruiz@servipilas.com;joriescobar64@gmail.com</v>
      </c>
      <c r="D91" s="74">
        <v>45051</v>
      </c>
      <c r="E91" s="11" t="s">
        <v>224</v>
      </c>
      <c r="F91" s="30">
        <v>45044</v>
      </c>
      <c r="G91" s="16">
        <v>1666</v>
      </c>
      <c r="H91" s="31">
        <v>665</v>
      </c>
      <c r="I91" s="9">
        <f>+PROVEEDORES3[[#This Row],[Total USD]]*4700</f>
        <v>3125500</v>
      </c>
    </row>
    <row r="92" spans="1:9" ht="22.35" hidden="1" customHeight="1" x14ac:dyDescent="0.25">
      <c r="A92" s="57" t="str">
        <f>+IF(PROVEEDORES3[[#This Row],[FECHA DE PAGO]]=PROVEEDORES3[[#This Row],[FECHA DE FACTURACIÓN]],"DE CONTADO","CRÉDITO")</f>
        <v>CRÉDITO</v>
      </c>
      <c r="B92" s="19" t="e">
        <f>+IF((PROVEEDORES3[[#This Row],[FECHA DE PAGO]]-PROVEEDORES3[[#This Row],[FECHA DE FACTURACIÓN]])&gt;#REF!,"PAGO VENCIDO")</f>
        <v>#REF!</v>
      </c>
      <c r="C92" s="24" t="str">
        <f>+VLOOKUP(PROVEEDORES3[[#This Row],[PROVEEDOR]],TERCEROS_INFO[[PROVEEDOR]:[CORREO]],5,FALSE)</f>
        <v>jessica.barrios@carpainternacional.com;girlesa.ruiz@servipilas.com;joriescobar64@gmail.com</v>
      </c>
      <c r="D92" s="74">
        <v>45051</v>
      </c>
      <c r="E92" s="11" t="s">
        <v>224</v>
      </c>
      <c r="F92" s="30">
        <v>45046</v>
      </c>
      <c r="G92" s="16">
        <v>1668</v>
      </c>
      <c r="H92" s="31">
        <v>400</v>
      </c>
      <c r="I92" s="9">
        <f>+PROVEEDORES3[[#This Row],[Total USD]]*4700</f>
        <v>1880000</v>
      </c>
    </row>
    <row r="93" spans="1:9" ht="22.35" hidden="1" customHeight="1" x14ac:dyDescent="0.25">
      <c r="A93" s="60" t="str">
        <f>+IF(PROVEEDORES3[[#This Row],[FECHA DE PAGO]]=PROVEEDORES3[[#This Row],[FECHA DE FACTURACIÓN]],"DE CONTADO","CRÉDITO")</f>
        <v>CRÉDITO</v>
      </c>
      <c r="B93" s="19" t="e">
        <f>+IF((PROVEEDORES3[[#This Row],[FECHA DE PAGO]]-PROVEEDORES3[[#This Row],[FECHA DE FACTURACIÓN]])&gt;#REF!,"PAGO VENCIDO")</f>
        <v>#REF!</v>
      </c>
      <c r="C93" s="24" t="str">
        <f>+VLOOKUP(PROVEEDORES3[[#This Row],[PROVEEDOR]],TERCEROS_INFO[[PROVEEDOR]:[CORREO]],5,FALSE)</f>
        <v>jessica.barrios@carpainternacional.com;girlesa.ruiz@servipilas.com;joriescobar64@gmail.com</v>
      </c>
      <c r="D93" s="74">
        <v>45124</v>
      </c>
      <c r="E93" s="11" t="s">
        <v>224</v>
      </c>
      <c r="F93" s="30">
        <v>45100</v>
      </c>
      <c r="G93" s="16">
        <v>1706</v>
      </c>
      <c r="H93" s="31">
        <v>639.4</v>
      </c>
      <c r="I93" s="9">
        <f>+PROVEEDORES3[[#This Row],[Total USD]]*4350</f>
        <v>2781390</v>
      </c>
    </row>
    <row r="94" spans="1:9" ht="22.35" hidden="1" customHeight="1" x14ac:dyDescent="0.25">
      <c r="A94" s="29" t="str">
        <f>+IF(PROVEEDORES3[[#This Row],[FECHA DE PAGO]]=PROVEEDORES3[[#This Row],[FECHA DE FACTURACIÓN]],"DE CONTADO","CRÉDITO")</f>
        <v>CRÉDITO</v>
      </c>
      <c r="B94" s="19" t="e">
        <f>+IF((PROVEEDORES3[[#This Row],[FECHA DE PAGO]]-PROVEEDORES3[[#This Row],[FECHA DE FACTURACIÓN]])&gt;#REF!,"PAGO VENCIDO")</f>
        <v>#REF!</v>
      </c>
      <c r="C94" s="24" t="str">
        <f>+VLOOKUP(PROVEEDORES3[[#This Row],[PROVEEDOR]],TERCEROS_INFO[[PROVEEDOR]:[CORREO]],5,FALSE)</f>
        <v>jessica.barrios@carpainternacional.com;girlesa.ruiz@servipilas.com;joriescobar64@gmail.com</v>
      </c>
      <c r="D94" s="74">
        <v>45152</v>
      </c>
      <c r="E94" s="11" t="s">
        <v>224</v>
      </c>
      <c r="F94" s="30">
        <v>45120</v>
      </c>
      <c r="G94" s="16">
        <v>1718</v>
      </c>
      <c r="H94" s="31">
        <v>665</v>
      </c>
      <c r="I94" s="9">
        <f>+PROVEEDORES3[[#This Row],[Total USD]]*4150</f>
        <v>2759750</v>
      </c>
    </row>
    <row r="95" spans="1:9" ht="22.35" hidden="1" customHeight="1" x14ac:dyDescent="0.25">
      <c r="A95" s="64" t="str">
        <f>+IF(PROVEEDORES3[[#This Row],[FECHA DE PAGO]]=PROVEEDORES3[[#This Row],[FECHA DE FACTURACIÓN]],"DE CONTADO","CRÉDITO")</f>
        <v>CRÉDITO</v>
      </c>
      <c r="B95" s="19" t="e">
        <f>+IF((PROVEEDORES3[[#This Row],[FECHA DE PAGO]]-PROVEEDORES3[[#This Row],[FECHA DE FACTURACIÓN]])&gt;#REF!,"PAGO VENCIDO")</f>
        <v>#REF!</v>
      </c>
      <c r="C95" s="24" t="str">
        <f>+VLOOKUP(PROVEEDORES3[[#This Row],[PROVEEDOR]],TERCEROS_INFO[[PROVEEDOR]:[CORREO]],5,FALSE)</f>
        <v>jessica.barrios@carpainternacional.com;girlesa.ruiz@servipilas.com;joriescobar64@gmail.com</v>
      </c>
      <c r="D95" s="74">
        <v>45205</v>
      </c>
      <c r="E95" s="11" t="s">
        <v>224</v>
      </c>
      <c r="F95" s="30">
        <v>45169</v>
      </c>
      <c r="G95" s="16">
        <v>1771</v>
      </c>
      <c r="H95" s="47">
        <v>665</v>
      </c>
      <c r="I95" s="9">
        <f>+PROVEEDORES3[[#This Row],[Total USD]]*4200</f>
        <v>2793000</v>
      </c>
    </row>
    <row r="96" spans="1:9" ht="22.35" hidden="1" customHeight="1" x14ac:dyDescent="0.25">
      <c r="A96" s="64" t="str">
        <f>+IF(PROVEEDORES3[[#This Row],[FECHA DE PAGO]]=PROVEEDORES3[[#This Row],[FECHA DE FACTURACIÓN]],"DE CONTADO","CRÉDITO")</f>
        <v>CRÉDITO</v>
      </c>
      <c r="B96" s="19" t="e">
        <f>+IF((PROVEEDORES3[[#This Row],[FECHA DE PAGO]]-PROVEEDORES3[[#This Row],[FECHA DE FACTURACIÓN]])&gt;#REF!,"PAGO VENCIDO")</f>
        <v>#REF!</v>
      </c>
      <c r="C96" s="24" t="str">
        <f>+VLOOKUP(PROVEEDORES3[[#This Row],[PROVEEDOR]],TERCEROS_INFO[[PROVEEDOR]:[CORREO]],5,FALSE)</f>
        <v>jessica.barrios@carpainternacional.com;girlesa.ruiz@servipilas.com;joriescobar64@gmail.com</v>
      </c>
      <c r="D96" s="74">
        <v>45205</v>
      </c>
      <c r="E96" s="11" t="s">
        <v>224</v>
      </c>
      <c r="F96" s="30">
        <v>45169</v>
      </c>
      <c r="G96" s="16">
        <v>1773</v>
      </c>
      <c r="H96" s="47">
        <v>360.1</v>
      </c>
      <c r="I96" s="9">
        <f>+PROVEEDORES3[[#This Row],[Total USD]]*4200</f>
        <v>1512420</v>
      </c>
    </row>
    <row r="97" spans="1:9" ht="22.35" hidden="1" customHeight="1" x14ac:dyDescent="0.25">
      <c r="A97" s="65" t="str">
        <f>+IF(PROVEEDORES3[[#This Row],[FECHA DE PAGO]]=PROVEEDORES3[[#This Row],[FECHA DE FACTURACIÓN]],"DE CONTADO","CRÉDITO")</f>
        <v>CRÉDITO</v>
      </c>
      <c r="B97" s="19" t="e">
        <f>+IF((PROVEEDORES3[[#This Row],[FECHA DE PAGO]]-PROVEEDORES3[[#This Row],[FECHA DE FACTURACIÓN]])&gt;#REF!,"PAGO VENCIDO")</f>
        <v>#REF!</v>
      </c>
      <c r="C97" s="24" t="str">
        <f>+VLOOKUP(PROVEEDORES3[[#This Row],[PROVEEDOR]],TERCEROS_INFO[[PROVEEDOR]:[CORREO]],5,FALSE)</f>
        <v>jessica.barrios@carpainternacional.com;girlesa.ruiz@servipilas.com;joriescobar64@gmail.com</v>
      </c>
      <c r="D97" s="74">
        <v>45205</v>
      </c>
      <c r="E97" s="11" t="s">
        <v>224</v>
      </c>
      <c r="F97" s="30">
        <v>45116</v>
      </c>
      <c r="G97" s="16">
        <v>1776</v>
      </c>
      <c r="H97" s="47">
        <v>357.4</v>
      </c>
      <c r="I97" s="9">
        <f>+PROVEEDORES3[[#This Row],[Total USD]]*4200</f>
        <v>1501080</v>
      </c>
    </row>
    <row r="98" spans="1:9" ht="22.35" hidden="1" customHeight="1" x14ac:dyDescent="0.25">
      <c r="A98" s="65" t="str">
        <f>+IF(PROVEEDORES3[[#This Row],[FECHA DE PAGO]]=PROVEEDORES3[[#This Row],[FECHA DE FACTURACIÓN]],"DE CONTADO","CRÉDITO")</f>
        <v>CRÉDITO</v>
      </c>
      <c r="B98" s="19" t="e">
        <f>+IF((PROVEEDORES3[[#This Row],[FECHA DE PAGO]]-PROVEEDORES3[[#This Row],[FECHA DE FACTURACIÓN]])&gt;#REF!,"PAGO VENCIDO")</f>
        <v>#REF!</v>
      </c>
      <c r="C98" s="24" t="str">
        <f>+VLOOKUP(PROVEEDORES3[[#This Row],[PROVEEDOR]],TERCEROS_INFO[[PROVEEDOR]:[CORREO]],5,FALSE)</f>
        <v>jessica.barrios@carpainternacional.com;girlesa.ruiz@servipilas.com;joriescobar64@gmail.com</v>
      </c>
      <c r="D98" s="74">
        <v>45205</v>
      </c>
      <c r="E98" s="11" t="s">
        <v>224</v>
      </c>
      <c r="F98" s="30">
        <v>45189</v>
      </c>
      <c r="G98" s="16">
        <v>1793</v>
      </c>
      <c r="H98" s="47">
        <v>665</v>
      </c>
      <c r="I98" s="9">
        <f>+PROVEEDORES3[[#This Row],[Total USD]]*4200</f>
        <v>2793000</v>
      </c>
    </row>
    <row r="99" spans="1:9" ht="22.35" hidden="1" customHeight="1" x14ac:dyDescent="0.25">
      <c r="A99" s="29" t="str">
        <f>+IF(PROVEEDORES3[[#This Row],[FECHA DE PAGO]]=PROVEEDORES3[[#This Row],[FECHA DE FACTURACIÓN]],"DE CONTADO","CRÉDITO")</f>
        <v>CRÉDITO</v>
      </c>
      <c r="B99" s="19" t="e">
        <f>+IF((PROVEEDORES3[[#This Row],[FECHA DE PAGO]]-PROVEEDORES3[[#This Row],[FECHA DE FACTURACIÓN]])&gt;#REF!,"PAGO VENCIDO")</f>
        <v>#REF!</v>
      </c>
      <c r="C99" s="24" t="str">
        <f>+VLOOKUP(PROVEEDORES3[[#This Row],[PROVEEDOR]],TERCEROS_INFO[[PROVEEDOR]:[CORREO]],5,FALSE)</f>
        <v>jessica.barrios@carpainternacional.com;girlesa.ruiz@servipilas.com;joriescobar64@gmail.com</v>
      </c>
      <c r="D99" s="74">
        <v>45251</v>
      </c>
      <c r="E99" s="11" t="s">
        <v>224</v>
      </c>
      <c r="F99" s="30">
        <v>45230</v>
      </c>
      <c r="G99" s="16">
        <v>1819</v>
      </c>
      <c r="H99" s="31">
        <v>715</v>
      </c>
      <c r="I99" s="9">
        <f>+PROVEEDORES3[[#This Row],[Total USD]]*4300</f>
        <v>3074500</v>
      </c>
    </row>
    <row r="100" spans="1:9" ht="22.35" hidden="1" customHeight="1" x14ac:dyDescent="0.25">
      <c r="A100" s="29" t="str">
        <f>+IF(PROVEEDORES3[[#This Row],[FECHA DE PAGO]]=PROVEEDORES3[[#This Row],[FECHA DE FACTURACIÓN]],"DE CONTADO","CRÉDITO")</f>
        <v>CRÉDITO</v>
      </c>
      <c r="B100" s="19" t="e">
        <f>+IF((PROVEEDORES3[[#This Row],[FECHA DE PAGO]]-PROVEEDORES3[[#This Row],[FECHA DE FACTURACIÓN]])&gt;#REF!,"PAGO VENCIDO")</f>
        <v>#REF!</v>
      </c>
      <c r="C100" s="24" t="str">
        <f>+VLOOKUP(PROVEEDORES3[[#This Row],[PROVEEDOR]],TERCEROS_INFO[[PROVEEDOR]:[CORREO]],5,FALSE)</f>
        <v>jessica.barrios@carpainternacional.com;girlesa.ruiz@servipilas.com;joriescobar64@gmail.com</v>
      </c>
      <c r="D100" s="74">
        <v>45251</v>
      </c>
      <c r="E100" s="11" t="s">
        <v>224</v>
      </c>
      <c r="F100" s="30">
        <v>45237</v>
      </c>
      <c r="G100" s="16">
        <v>1827</v>
      </c>
      <c r="H100" s="31">
        <v>438.5</v>
      </c>
      <c r="I100" s="9">
        <f>+PROVEEDORES3[[#This Row],[Total USD]]*4300</f>
        <v>1885550</v>
      </c>
    </row>
    <row r="101" spans="1:9" ht="22.35" customHeight="1" x14ac:dyDescent="0.25">
      <c r="A101" s="29" t="str">
        <f>+IF(PROVEEDORES3[[#This Row],[FECHA DE PAGO]]=PROVEEDORES3[[#This Row],[FECHA DE FACTURACIÓN]],"DE CONTADO","CRÉDITO")</f>
        <v>CRÉDITO</v>
      </c>
      <c r="B101" s="19" t="e">
        <f>+IF((PROVEEDORES3[[#This Row],[FECHA DE PAGO]]-PROVEEDORES3[[#This Row],[FECHA DE FACTURACIÓN]])&gt;#REF!,"PAGO VENCIDO")</f>
        <v>#REF!</v>
      </c>
      <c r="C101" s="24" t="str">
        <f>+VLOOKUP(PROVEEDORES3[[#This Row],[PROVEEDOR]],TERCEROS_INFO[[PROVEEDOR]:[CORREO]],5,FALSE)</f>
        <v>jessica.barrios@carpainternacional.com;girlesa.ruiz@servipilas.com;joriescobar64@gmail.com</v>
      </c>
      <c r="E101" s="11" t="s">
        <v>224</v>
      </c>
      <c r="F101" s="30">
        <v>45288</v>
      </c>
      <c r="G101" s="216" t="s">
        <v>1477</v>
      </c>
      <c r="H101" s="31">
        <v>715</v>
      </c>
      <c r="I101" s="9">
        <f>+PROVEEDORES3[[#This Row],[Total USD]]*3989.3</f>
        <v>2852349.5</v>
      </c>
    </row>
    <row r="102" spans="1:9" ht="22.35" hidden="1" customHeight="1" x14ac:dyDescent="0.25">
      <c r="A102" s="50" t="str">
        <f>+IF(PROVEEDORES3[[#This Row],[FECHA DE PAGO]]=PROVEEDORES3[[#This Row],[FECHA DE FACTURACIÓN]],"DE CONTADO","CRÉDITO")</f>
        <v>CRÉDITO</v>
      </c>
      <c r="B102" s="19" t="e">
        <f>+IF((PROVEEDORES3[[#This Row],[FECHA DE PAGO]]-PROVEEDORES3[[#This Row],[FECHA DE FACTURACIÓN]])&gt;#REF!,"PAGO VENCIDO")</f>
        <v>#REF!</v>
      </c>
      <c r="C102" s="24" t="str">
        <f>+VLOOKUP(PROVEEDORES3[[#This Row],[PROVEEDOR]],TERCEROS_INFO[[PROVEEDOR]:[CORREO]],5,FALSE)</f>
        <v>mcastillo@kenextrading.com;agarcia@kenextrading.com;girlesa.ruiz@servipilas.com;joriescobar64@gmail.com</v>
      </c>
      <c r="D102" s="74">
        <v>44938</v>
      </c>
      <c r="E102" s="11" t="s">
        <v>30</v>
      </c>
      <c r="F102" s="30">
        <v>44865</v>
      </c>
      <c r="G102" s="16">
        <v>57910</v>
      </c>
      <c r="H102" s="31">
        <v>22863.35</v>
      </c>
      <c r="I102" s="9">
        <f>+PROVEEDORES3[[#This Row],[Total USD]]*4900</f>
        <v>112030415</v>
      </c>
    </row>
    <row r="103" spans="1:9" ht="22.35" hidden="1" customHeight="1" x14ac:dyDescent="0.25">
      <c r="A103" s="50" t="str">
        <f>+IF(PROVEEDORES3[[#This Row],[FECHA DE PAGO]]=PROVEEDORES3[[#This Row],[FECHA DE FACTURACIÓN]],"DE CONTADO","CRÉDITO")</f>
        <v>CRÉDITO</v>
      </c>
      <c r="B103" s="19" t="e">
        <f>+IF((PROVEEDORES3[[#This Row],[FECHA DE PAGO]]-PROVEEDORES3[[#This Row],[FECHA DE FACTURACIÓN]])&gt;#REF!,"PAGO VENCIDO")</f>
        <v>#REF!</v>
      </c>
      <c r="C103" s="24" t="str">
        <f>+VLOOKUP(PROVEEDORES3[[#This Row],[PROVEEDOR]],TERCEROS_INFO[[PROVEEDOR]:[CORREO]],5,FALSE)</f>
        <v>mcastillo@kenextrading.com;agarcia@kenextrading.com;girlesa.ruiz@servipilas.com;joriescobar64@gmail.com</v>
      </c>
      <c r="D103" s="74">
        <v>44971</v>
      </c>
      <c r="E103" s="11" t="s">
        <v>30</v>
      </c>
      <c r="F103" s="30">
        <v>44896</v>
      </c>
      <c r="G103" s="16">
        <v>58088</v>
      </c>
      <c r="H103" s="31">
        <v>13343</v>
      </c>
      <c r="I103" s="9">
        <f>+PROVEEDORES3[[#This Row],[Total USD]]*4900</f>
        <v>65380700</v>
      </c>
    </row>
    <row r="104" spans="1:9" ht="22.35" hidden="1" customHeight="1" x14ac:dyDescent="0.25">
      <c r="A104" s="29" t="str">
        <f>+IF(PROVEEDORES3[[#This Row],[FECHA DE PAGO]]=PROVEEDORES3[[#This Row],[FECHA DE FACTURACIÓN]],"DE CONTADO","CRÉDITO")</f>
        <v>CRÉDITO</v>
      </c>
      <c r="B104" s="19" t="e">
        <f>+IF((PROVEEDORES3[[#This Row],[FECHA DE PAGO]]-PROVEEDORES3[[#This Row],[FECHA DE FACTURACIÓN]])&gt;#REF!,"PAGO VENCIDO")</f>
        <v>#REF!</v>
      </c>
      <c r="C104" s="24" t="str">
        <f>+VLOOKUP(PROVEEDORES3[[#This Row],[PROVEEDOR]],TERCEROS_INFO[[PROVEEDOR]:[CORREO]],5,FALSE)</f>
        <v>mcastillo@kenextrading.com;agarcia@kenextrading.com;girlesa.ruiz@servipilas.com;joriescobar64@gmail.com</v>
      </c>
      <c r="D104" s="74">
        <v>45071</v>
      </c>
      <c r="E104" s="11" t="s">
        <v>30</v>
      </c>
      <c r="F104" s="30">
        <v>45002</v>
      </c>
      <c r="G104" s="16">
        <v>58569</v>
      </c>
      <c r="H104" s="31">
        <v>11166.41</v>
      </c>
      <c r="I104" s="9">
        <f>+PROVEEDORES3[[#This Row],[Total USD]]*4880</f>
        <v>54492080.799999997</v>
      </c>
    </row>
    <row r="105" spans="1:9" ht="22.35" hidden="1" customHeight="1" x14ac:dyDescent="0.25">
      <c r="A105" s="29" t="str">
        <f>+IF(PROVEEDORES3[[#This Row],[FECHA DE PAGO]]=PROVEEDORES3[[#This Row],[FECHA DE FACTURACIÓN]],"DE CONTADO","CRÉDITO")</f>
        <v>CRÉDITO</v>
      </c>
      <c r="B105" s="19" t="e">
        <f>+IF((PROVEEDORES3[[#This Row],[FECHA DE PAGO]]-PROVEEDORES3[[#This Row],[FECHA DE FACTURACIÓN]])&gt;#REF!,"PAGO VENCIDO")</f>
        <v>#REF!</v>
      </c>
      <c r="C105" s="24" t="str">
        <f>+VLOOKUP(PROVEEDORES3[[#This Row],[PROVEEDOR]],TERCEROS_INFO[[PROVEEDOR]:[CORREO]],5,FALSE)</f>
        <v>mcastillo@kenextrading.com;agarcia@kenextrading.com;girlesa.ruiz@servipilas.com;joriescobar64@gmail.com</v>
      </c>
      <c r="D105" s="74">
        <v>45175</v>
      </c>
      <c r="E105" s="11" t="s">
        <v>30</v>
      </c>
      <c r="F105" s="30">
        <v>45082</v>
      </c>
      <c r="G105" s="16">
        <v>59276</v>
      </c>
      <c r="H105" s="31">
        <v>6223.59</v>
      </c>
      <c r="I105" s="9">
        <f>+PROVEEDORES3[[#This Row],[Total USD]]*4350</f>
        <v>27072616.5</v>
      </c>
    </row>
    <row r="106" spans="1:9" ht="22.35" hidden="1" customHeight="1" x14ac:dyDescent="0.25">
      <c r="A106" s="69" t="str">
        <f>+IF(PROVEEDORES3[[#This Row],[FECHA DE PAGO]]=PROVEEDORES3[[#This Row],[FECHA DE FACTURACIÓN]],"DE CONTADO","CRÉDITO")</f>
        <v>CRÉDITO</v>
      </c>
      <c r="B106" s="19" t="e">
        <f>+IF((PROVEEDORES3[[#This Row],[FECHA DE PAGO]]-PROVEEDORES3[[#This Row],[FECHA DE FACTURACIÓN]])&gt;#REF!,"PAGO VENCIDO")</f>
        <v>#REF!</v>
      </c>
      <c r="C106" s="24" t="str">
        <f>+VLOOKUP(PROVEEDORES3[[#This Row],[PROVEEDOR]],TERCEROS_INFO[[PROVEEDOR]:[CORREO]],5,FALSE)</f>
        <v>mcastillo@kenextrading.com;agarcia@kenextrading.com;girlesa.ruiz@servipilas.com;joriescobar64@gmail.com</v>
      </c>
      <c r="D106" s="74">
        <v>45314</v>
      </c>
      <c r="E106" s="11" t="s">
        <v>30</v>
      </c>
      <c r="F106" s="30">
        <v>45247</v>
      </c>
      <c r="G106" s="16">
        <v>60425</v>
      </c>
      <c r="H106" s="31">
        <v>3664.24</v>
      </c>
      <c r="I106" s="9">
        <f>+PROVEEDORES3[[#This Row],[Total USD]]*4000</f>
        <v>14656960</v>
      </c>
    </row>
    <row r="107" spans="1:9" ht="22.35" hidden="1" customHeight="1" x14ac:dyDescent="0.25">
      <c r="A107" s="69" t="str">
        <f>+IF(PROVEEDORES3[[#This Row],[FECHA DE PAGO]]=PROVEEDORES3[[#This Row],[FECHA DE FACTURACIÓN]],"DE CONTADO","CRÉDITO")</f>
        <v>CRÉDITO</v>
      </c>
      <c r="B107" s="19" t="e">
        <f>+IF((PROVEEDORES3[[#This Row],[FECHA DE PAGO]]-PROVEEDORES3[[#This Row],[FECHA DE FACTURACIÓN]])&gt;#REF!,"PAGO VENCIDO")</f>
        <v>#REF!</v>
      </c>
      <c r="C107" s="24" t="str">
        <f>+VLOOKUP(PROVEEDORES3[[#This Row],[PROVEEDOR]],TERCEROS_INFO[[PROVEEDOR]:[CORREO]],5,FALSE)</f>
        <v>mcastillo@kenextrading.com;agarcia@kenextrading.com;girlesa.ruiz@servipilas.com;joriescobar64@gmail.com</v>
      </c>
      <c r="D107" s="74">
        <v>45310</v>
      </c>
      <c r="E107" s="11" t="s">
        <v>30</v>
      </c>
      <c r="F107" s="30">
        <v>45250</v>
      </c>
      <c r="G107" s="16">
        <v>60426</v>
      </c>
      <c r="H107" s="31">
        <v>24518.81</v>
      </c>
      <c r="I107" s="9">
        <f>+PROVEEDORES3[[#This Row],[Total USD]]*4000</f>
        <v>98075240</v>
      </c>
    </row>
    <row r="108" spans="1:9" ht="22.35" hidden="1" customHeight="1" x14ac:dyDescent="0.25">
      <c r="A108" s="78" t="str">
        <f>+IF(PROVEEDORES3[[#This Row],[FECHA DE PAGO]]=PROVEEDORES3[[#This Row],[FECHA DE FACTURACIÓN]],"DE CONTADO","CRÉDITO")</f>
        <v>CRÉDITO</v>
      </c>
      <c r="B108" s="19" t="e">
        <f>+IF((PROVEEDORES3[[#This Row],[FECHA DE PAGO]]-PROVEEDORES3[[#This Row],[FECHA DE FACTURACIÓN]])&gt;#REF!,"PAGO VENCIDO")</f>
        <v>#REF!</v>
      </c>
      <c r="C108" s="24" t="str">
        <f>+VLOOKUP(PROVEEDORES3[[#This Row],[PROVEEDOR]],TERCEROS_INFO[[PROVEEDOR]:[CORREO]],5,FALSE)</f>
        <v>mcastillo@kenextrading.com;agarcia@kenextrading.com;girlesa.ruiz@servipilas.com;joriescobar64@gmail.com</v>
      </c>
      <c r="D108" s="74">
        <v>45314</v>
      </c>
      <c r="E108" s="11" t="s">
        <v>30</v>
      </c>
      <c r="F108" s="30">
        <v>45307</v>
      </c>
      <c r="G108" s="16" t="s">
        <v>1426</v>
      </c>
      <c r="H108" s="31">
        <v>-101.46</v>
      </c>
      <c r="I108" s="9">
        <f>+PROVEEDORES3[[#This Row],[Total USD]]*4000</f>
        <v>-405840</v>
      </c>
    </row>
    <row r="109" spans="1:9" ht="22.35" hidden="1" customHeight="1" x14ac:dyDescent="0.25">
      <c r="A109" s="64" t="str">
        <f>+IF(PROVEEDORES3[[#This Row],[FECHA DE PAGO]]=PROVEEDORES3[[#This Row],[FECHA DE FACTURACIÓN]],"DE CONTADO","CRÉDITO")</f>
        <v>CRÉDITO</v>
      </c>
      <c r="B109" s="19" t="e">
        <f>+IF((PROVEEDORES3[[#This Row],[FECHA DE PAGO]]-PROVEEDORES3[[#This Row],[FECHA DE FACTURACIÓN]])&gt;#REF!,"PAGO VENCIDO")</f>
        <v>#REF!</v>
      </c>
      <c r="C109" s="24" t="e">
        <f>+VLOOKUP(PROVEEDORES3[[#This Row],[PROVEEDOR]],TERCEROS_INFO[[PROVEEDOR]:[CORREO]],5,FALSE)</f>
        <v>#N/A</v>
      </c>
      <c r="D109" s="74">
        <v>45203</v>
      </c>
      <c r="E109" s="11" t="s">
        <v>37</v>
      </c>
      <c r="F109" s="30">
        <v>45147</v>
      </c>
      <c r="G109" s="16">
        <v>90276</v>
      </c>
      <c r="H109" s="47">
        <v>537.78</v>
      </c>
      <c r="I109" s="9">
        <f>+PROVEEDORES3[[#This Row],[Total USD]]*4106</f>
        <v>2208124.6799999997</v>
      </c>
    </row>
    <row r="110" spans="1:9" ht="22.35" hidden="1" customHeight="1" x14ac:dyDescent="0.25">
      <c r="A110" s="64" t="str">
        <f>+IF(PROVEEDORES3[[#This Row],[FECHA DE PAGO]]=PROVEEDORES3[[#This Row],[FECHA DE FACTURACIÓN]],"DE CONTADO","CRÉDITO")</f>
        <v>CRÉDITO</v>
      </c>
      <c r="B110" s="19" t="e">
        <f>+IF((PROVEEDORES3[[#This Row],[FECHA DE PAGO]]-PROVEEDORES3[[#This Row],[FECHA DE FACTURACIÓN]])&gt;#REF!,"PAGO VENCIDO")</f>
        <v>#REF!</v>
      </c>
      <c r="C110" s="24" t="e">
        <f>+VLOOKUP(PROVEEDORES3[[#This Row],[PROVEEDOR]],TERCEROS_INFO[[PROVEEDOR]:[CORREO]],5,FALSE)</f>
        <v>#N/A</v>
      </c>
      <c r="D110" s="74">
        <v>45203</v>
      </c>
      <c r="E110" s="11" t="s">
        <v>37</v>
      </c>
      <c r="F110" s="30">
        <v>45147</v>
      </c>
      <c r="G110" s="16">
        <v>90700</v>
      </c>
      <c r="H110" s="47">
        <v>905</v>
      </c>
      <c r="I110" s="9">
        <f>+PROVEEDORES3[[#This Row],[Total USD]]*4106</f>
        <v>3715930</v>
      </c>
    </row>
    <row r="111" spans="1:9" ht="22.35" hidden="1" customHeight="1" x14ac:dyDescent="0.25">
      <c r="A111" s="64" t="str">
        <f>+IF(PROVEEDORES3[[#This Row],[FECHA DE PAGO]]=PROVEEDORES3[[#This Row],[FECHA DE FACTURACIÓN]],"DE CONTADO","CRÉDITO")</f>
        <v>CRÉDITO</v>
      </c>
      <c r="B111" s="19" t="e">
        <f>+IF((PROVEEDORES3[[#This Row],[FECHA DE PAGO]]-PROVEEDORES3[[#This Row],[FECHA DE FACTURACIÓN]])&gt;#REF!,"PAGO VENCIDO")</f>
        <v>#REF!</v>
      </c>
      <c r="C111" s="24" t="e">
        <f>+VLOOKUP(PROVEEDORES3[[#This Row],[PROVEEDOR]],TERCEROS_INFO[[PROVEEDOR]:[CORREO]],5,FALSE)</f>
        <v>#N/A</v>
      </c>
      <c r="D111" s="74">
        <v>45203</v>
      </c>
      <c r="E111" s="11" t="s">
        <v>37</v>
      </c>
      <c r="F111" s="30">
        <v>45147</v>
      </c>
      <c r="G111" s="16">
        <v>90105</v>
      </c>
      <c r="H111" s="47">
        <v>836.14</v>
      </c>
      <c r="I111" s="9">
        <f>+PROVEEDORES3[[#This Row],[Total USD]]*4106</f>
        <v>3433190.84</v>
      </c>
    </row>
    <row r="112" spans="1:9" ht="22.35" hidden="1" customHeight="1" x14ac:dyDescent="0.25">
      <c r="A112" s="64" t="str">
        <f>+IF(PROVEEDORES3[[#This Row],[FECHA DE PAGO]]=PROVEEDORES3[[#This Row],[FECHA DE FACTURACIÓN]],"DE CONTADO","CRÉDITO")</f>
        <v>CRÉDITO</v>
      </c>
      <c r="B112" s="19" t="e">
        <f>+IF((PROVEEDORES3[[#This Row],[FECHA DE PAGO]]-PROVEEDORES3[[#This Row],[FECHA DE FACTURACIÓN]])&gt;#REF!,"PAGO VENCIDO")</f>
        <v>#REF!</v>
      </c>
      <c r="C112" s="24" t="str">
        <f>+VLOOKUP(PROVEEDORES3[[#This Row],[PROVEEDOR]],TERCEROS_INFO[[PROVEEDOR]:[CORREO]],5,FALSE)</f>
        <v/>
      </c>
      <c r="D112" s="74">
        <v>45155</v>
      </c>
      <c r="E112" s="11" t="s">
        <v>23</v>
      </c>
      <c r="F112" s="30">
        <v>45145</v>
      </c>
      <c r="G112" s="16">
        <v>310046</v>
      </c>
      <c r="H112" s="31">
        <v>12248.65</v>
      </c>
      <c r="I112" s="9">
        <f>+PROVEEDORES3[[#This Row],[Total USD]]*4106</f>
        <v>50292956.899999999</v>
      </c>
    </row>
    <row r="113" spans="1:9" ht="22.35" customHeight="1" x14ac:dyDescent="0.25">
      <c r="A113" s="79" t="str">
        <f>+IF(PROVEEDORES3[[#This Row],[FECHA DE PAGO]]=PROVEEDORES3[[#This Row],[FECHA DE FACTURACIÓN]],"DE CONTADO","CRÉDITO")</f>
        <v>CRÉDITO</v>
      </c>
      <c r="B113" s="19" t="e">
        <f>+IF((PROVEEDORES3[[#This Row],[FECHA DE PAGO]]-PROVEEDORES3[[#This Row],[FECHA DE FACTURACIÓN]])&gt;#REF!,"PAGO VENCIDO")</f>
        <v>#REF!</v>
      </c>
      <c r="C113" s="24" t="str">
        <f>+VLOOKUP(PROVEEDORES3[[#This Row],[PROVEEDOR]],TERCEROS_INFO[[PROVEEDOR]:[CORREO]],5,FALSE)</f>
        <v>jessica.barrios@carpainternacional.com;girlesa.ruiz@servipilas.com;joriescobar64@gmail.com</v>
      </c>
      <c r="E113" s="11" t="s">
        <v>222</v>
      </c>
      <c r="F113" s="30">
        <v>45311</v>
      </c>
      <c r="G113" s="216">
        <v>1892</v>
      </c>
      <c r="H113" s="31">
        <v>365</v>
      </c>
      <c r="I113" s="9">
        <f>+PROVEEDORES3[[#This Row],[Total USD]]*3989.3</f>
        <v>1456094.5</v>
      </c>
    </row>
    <row r="114" spans="1:9" ht="22.35" customHeight="1" x14ac:dyDescent="0.25">
      <c r="A114" s="79" t="str">
        <f>+IF(PROVEEDORES3[[#This Row],[FECHA DE PAGO]]=PROVEEDORES3[[#This Row],[FECHA DE FACTURACIÓN]],"DE CONTADO","CRÉDITO")</f>
        <v>CRÉDITO</v>
      </c>
      <c r="B114" s="19" t="e">
        <f>+IF((PROVEEDORES3[[#This Row],[FECHA DE PAGO]]-PROVEEDORES3[[#This Row],[FECHA DE FACTURACIÓN]])&gt;#REF!,"PAGO VENCIDO")</f>
        <v>#REF!</v>
      </c>
      <c r="C114" s="24" t="str">
        <f>+VLOOKUP(PROVEEDORES3[[#This Row],[PROVEEDOR]],TERCEROS_INFO[[PROVEEDOR]:[CORREO]],5,FALSE)</f>
        <v>jessica.barrios@carpainternacional.com;girlesa.ruiz@servipilas.com;joriescobar64@gmail.com</v>
      </c>
      <c r="E114" s="11" t="s">
        <v>222</v>
      </c>
      <c r="F114" s="30">
        <v>45321</v>
      </c>
      <c r="G114" s="216" t="s">
        <v>1486</v>
      </c>
      <c r="H114" s="31">
        <v>132</v>
      </c>
      <c r="I114" s="9">
        <f>+PROVEEDORES3[[#This Row],[Total USD]]*3989.3</f>
        <v>526587.6</v>
      </c>
    </row>
    <row r="115" spans="1:9" ht="22.35" customHeight="1" x14ac:dyDescent="0.25">
      <c r="A115" s="29" t="str">
        <f>+IF(PROVEEDORES3[[#This Row],[FECHA DE PAGO]]=PROVEEDORES3[[#This Row],[FECHA DE FACTURACIÓN]],"DE CONTADO","CRÉDITO")</f>
        <v>CRÉDITO</v>
      </c>
      <c r="B115" s="19" t="e">
        <f>+IF((PROVEEDORES3[[#This Row],[FECHA DE PAGO]]-PROVEEDORES3[[#This Row],[FECHA DE FACTURACIÓN]])&gt;#REF!,"PAGO VENCIDO")</f>
        <v>#REF!</v>
      </c>
      <c r="C115" s="24" t="str">
        <f>+VLOOKUP(PROVEEDORES3[[#This Row],[PROVEEDOR]],TERCEROS_INFO[[PROVEEDOR]:[CORREO]],5,FALSE)</f>
        <v>jessica.barrios@carpainternacional.com;girlesa.ruiz@servipilas.com;joriescobar64@gmail.com</v>
      </c>
      <c r="E115" s="81" t="s">
        <v>222</v>
      </c>
      <c r="F115" s="74">
        <v>45337</v>
      </c>
      <c r="G115" s="216">
        <v>1916</v>
      </c>
      <c r="H115" s="31">
        <v>148</v>
      </c>
      <c r="I115" s="9">
        <f>+PROVEEDORES3[[#This Row],[Total USD]]*3989.3</f>
        <v>590416.4</v>
      </c>
    </row>
    <row r="116" spans="1:9" ht="22.35" customHeight="1" x14ac:dyDescent="0.25">
      <c r="A116" s="29" t="str">
        <f>+IF(PROVEEDORES3[[#This Row],[FECHA DE PAGO]]=PROVEEDORES3[[#This Row],[FECHA DE FACTURACIÓN]],"DE CONTADO","CRÉDITO")</f>
        <v>CRÉDITO</v>
      </c>
      <c r="B116" s="19" t="e">
        <f>+IF((PROVEEDORES3[[#This Row],[FECHA DE PAGO]]-PROVEEDORES3[[#This Row],[FECHA DE FACTURACIÓN]])&gt;#REF!,"PAGO VENCIDO")</f>
        <v>#REF!</v>
      </c>
      <c r="C116" s="24" t="str">
        <f>+VLOOKUP(PROVEEDORES3[[#This Row],[PROVEEDOR]],TERCEROS_INFO[[PROVEEDOR]:[CORREO]],5,FALSE)</f>
        <v>jessica.barrios@carpainternacional.com;girlesa.ruiz@servipilas.com;joriescobar64@gmail.com</v>
      </c>
      <c r="E116" s="81" t="s">
        <v>222</v>
      </c>
      <c r="F116" s="74">
        <v>45337</v>
      </c>
      <c r="G116" s="216">
        <v>1917</v>
      </c>
      <c r="H116" s="31">
        <v>84</v>
      </c>
      <c r="I116" s="9">
        <f>+PROVEEDORES3[[#This Row],[Total USD]]*3989.3</f>
        <v>335101.2</v>
      </c>
    </row>
    <row r="117" spans="1:9" ht="22.35" customHeight="1" x14ac:dyDescent="0.25">
      <c r="A117" s="29" t="str">
        <f>+IF(PROVEEDORES3[[#This Row],[FECHA DE PAGO]]=PROVEEDORES3[[#This Row],[FECHA DE FACTURACIÓN]],"DE CONTADO","CRÉDITO")</f>
        <v>CRÉDITO</v>
      </c>
      <c r="B117" s="19" t="e">
        <f>+IF((PROVEEDORES3[[#This Row],[FECHA DE PAGO]]-PROVEEDORES3[[#This Row],[FECHA DE FACTURACIÓN]])&gt;#REF!,"PAGO VENCIDO")</f>
        <v>#REF!</v>
      </c>
      <c r="C117" s="24" t="str">
        <f>+VLOOKUP(PROVEEDORES3[[#This Row],[PROVEEDOR]],TERCEROS_INFO[[PROVEEDOR]:[CORREO]],5,FALSE)</f>
        <v>jessica.barrios@carpainternacional.com;girlesa.ruiz@servipilas.com;joriescobar64@gmail.com</v>
      </c>
      <c r="E117" s="81" t="s">
        <v>222</v>
      </c>
      <c r="F117" s="74">
        <v>45337</v>
      </c>
      <c r="G117" s="216">
        <v>1918</v>
      </c>
      <c r="H117" s="31">
        <v>56</v>
      </c>
      <c r="I117" s="9">
        <f>+PROVEEDORES3[[#This Row],[Total USD]]*3989.3</f>
        <v>223400.80000000002</v>
      </c>
    </row>
    <row r="118" spans="1:9" ht="22.35" customHeight="1" x14ac:dyDescent="0.25">
      <c r="A118" s="29" t="str">
        <f>+IF(PROVEEDORES3[[#This Row],[FECHA DE PAGO]]=PROVEEDORES3[[#This Row],[FECHA DE FACTURACIÓN]],"DE CONTADO","CRÉDITO")</f>
        <v>CRÉDITO</v>
      </c>
      <c r="B118" s="19" t="e">
        <f>+IF((PROVEEDORES3[[#This Row],[FECHA DE PAGO]]-PROVEEDORES3[[#This Row],[FECHA DE FACTURACIÓN]])&gt;#REF!,"PAGO VENCIDO")</f>
        <v>#REF!</v>
      </c>
      <c r="C118" s="24" t="str">
        <f>+VLOOKUP(PROVEEDORES3[[#This Row],[PROVEEDOR]],TERCEROS_INFO[[PROVEEDOR]:[CORREO]],5,FALSE)</f>
        <v>jessica.barrios@carpainternacional.com;girlesa.ruiz@servipilas.com;joriescobar64@gmail.com</v>
      </c>
      <c r="E118" s="81" t="s">
        <v>222</v>
      </c>
      <c r="F118" s="74">
        <v>45337</v>
      </c>
      <c r="G118" s="216">
        <v>1919</v>
      </c>
      <c r="H118" s="31">
        <v>88</v>
      </c>
      <c r="I118" s="9">
        <f>+PROVEEDORES3[[#This Row],[Total USD]]*3989.3</f>
        <v>351058.4</v>
      </c>
    </row>
    <row r="119" spans="1:9" ht="22.35" customHeight="1" x14ac:dyDescent="0.25">
      <c r="A119" s="29" t="str">
        <f>+IF(PROVEEDORES3[[#This Row],[FECHA DE PAGO]]=PROVEEDORES3[[#This Row],[FECHA DE FACTURACIÓN]],"DE CONTADO","CRÉDITO")</f>
        <v>CRÉDITO</v>
      </c>
      <c r="B119" s="19" t="e">
        <f>+IF((PROVEEDORES3[[#This Row],[FECHA DE PAGO]]-PROVEEDORES3[[#This Row],[FECHA DE FACTURACIÓN]])&gt;#REF!,"PAGO VENCIDO")</f>
        <v>#REF!</v>
      </c>
      <c r="C119" s="24" t="str">
        <f>+VLOOKUP(PROVEEDORES3[[#This Row],[PROVEEDOR]],TERCEROS_INFO[[PROVEEDOR]:[CORREO]],5,FALSE)</f>
        <v>jessica.barrios@carpainternacional.com;girlesa.ruiz@servipilas.com;joriescobar64@gmail.com</v>
      </c>
      <c r="E119" s="81" t="s">
        <v>222</v>
      </c>
      <c r="F119" s="74">
        <v>45337</v>
      </c>
      <c r="G119" s="216">
        <v>1922</v>
      </c>
      <c r="H119" s="31">
        <v>52</v>
      </c>
      <c r="I119" s="9">
        <f>+PROVEEDORES3[[#This Row],[Total USD]]*3989.3</f>
        <v>207443.6</v>
      </c>
    </row>
    <row r="120" spans="1:9" ht="22.35" customHeight="1" x14ac:dyDescent="0.25">
      <c r="A120" s="110" t="str">
        <f>+IF(PROVEEDORES3[[#This Row],[FECHA DE PAGO]]=PROVEEDORES3[[#This Row],[FECHA DE FACTURACIÓN]],"DE CONTADO","CRÉDITO")</f>
        <v>CRÉDITO</v>
      </c>
      <c r="B120" s="19" t="e">
        <f>+IF((PROVEEDORES3[[#This Row],[FECHA DE PAGO]]-PROVEEDORES3[[#This Row],[FECHA DE FACTURACIÓN]])&gt;#REF!,"PAGO VENCIDO")</f>
        <v>#REF!</v>
      </c>
      <c r="C120" s="24" t="str">
        <f>+VLOOKUP(PROVEEDORES3[[#This Row],[PROVEEDOR]],TERCEROS_INFO[[PROVEEDOR]:[CORREO]],5,FALSE)</f>
        <v>jessica.barrios@carpainternacional.com;girlesa.ruiz@servipilas.com;joriescobar64@gmail.com</v>
      </c>
      <c r="E120" s="81" t="s">
        <v>222</v>
      </c>
      <c r="F120" s="74">
        <v>45344</v>
      </c>
      <c r="G120" s="217">
        <v>1924</v>
      </c>
      <c r="H120" s="31">
        <v>44</v>
      </c>
      <c r="I120" s="9">
        <f>+PROVEEDORES3[[#This Row],[Total USD]]*3871</f>
        <v>170324</v>
      </c>
    </row>
    <row r="121" spans="1:9" ht="22.35" customHeight="1" x14ac:dyDescent="0.25">
      <c r="A121" s="110" t="str">
        <f>+IF(PROVEEDORES3[[#This Row],[FECHA DE PAGO]]=PROVEEDORES3[[#This Row],[FECHA DE FACTURACIÓN]],"DE CONTADO","CRÉDITO")</f>
        <v>CRÉDITO</v>
      </c>
      <c r="B121" s="19" t="e">
        <f>+IF((PROVEEDORES3[[#This Row],[FECHA DE PAGO]]-PROVEEDORES3[[#This Row],[FECHA DE FACTURACIÓN]])&gt;#REF!,"PAGO VENCIDO")</f>
        <v>#REF!</v>
      </c>
      <c r="C121" s="24" t="str">
        <f>+VLOOKUP(PROVEEDORES3[[#This Row],[PROVEEDOR]],TERCEROS_INFO[[PROVEEDOR]:[CORREO]],5,FALSE)</f>
        <v>jessica.barrios@carpainternacional.com;girlesa.ruiz@servipilas.com;joriescobar64@gmail.com</v>
      </c>
      <c r="E121" s="81" t="s">
        <v>222</v>
      </c>
      <c r="F121" s="74">
        <v>45349</v>
      </c>
      <c r="G121" s="217">
        <v>1929</v>
      </c>
      <c r="H121" s="31">
        <v>120</v>
      </c>
      <c r="I121" s="9">
        <f>+PROVEEDORES3[[#This Row],[Total USD]]*3871</f>
        <v>464520</v>
      </c>
    </row>
    <row r="122" spans="1:9" ht="22.35" customHeight="1" x14ac:dyDescent="0.25">
      <c r="A122" s="110" t="str">
        <f>+IF(PROVEEDORES3[[#This Row],[FECHA DE PAGO]]=PROVEEDORES3[[#This Row],[FECHA DE FACTURACIÓN]],"DE CONTADO","CRÉDITO")</f>
        <v>CRÉDITO</v>
      </c>
      <c r="B122" s="19" t="e">
        <f>+IF((PROVEEDORES3[[#This Row],[FECHA DE PAGO]]-PROVEEDORES3[[#This Row],[FECHA DE FACTURACIÓN]])&gt;#REF!,"PAGO VENCIDO")</f>
        <v>#REF!</v>
      </c>
      <c r="C122" s="24" t="str">
        <f>+VLOOKUP(PROVEEDORES3[[#This Row],[PROVEEDOR]],TERCEROS_INFO[[PROVEEDOR]:[CORREO]],5,FALSE)</f>
        <v>jessica.barrios@carpainternacional.com;girlesa.ruiz@servipilas.com;joriescobar64@gmail.com</v>
      </c>
      <c r="E122" s="81" t="s">
        <v>222</v>
      </c>
      <c r="F122" s="111">
        <v>45351</v>
      </c>
      <c r="G122" s="217">
        <v>1939</v>
      </c>
      <c r="H122" s="31">
        <v>128</v>
      </c>
      <c r="I122" s="9">
        <f>+PROVEEDORES3[[#This Row],[Total USD]]*3871</f>
        <v>495488</v>
      </c>
    </row>
    <row r="123" spans="1:9" ht="22.35" customHeight="1" x14ac:dyDescent="0.25">
      <c r="A123" s="29" t="str">
        <f>+IF(PROVEEDORES3[[#This Row],[FECHA DE PAGO]]=PROVEEDORES3[[#This Row],[FECHA DE FACTURACIÓN]],"DE CONTADO","CRÉDITO")</f>
        <v>CRÉDITO</v>
      </c>
      <c r="B123" s="19" t="e">
        <f>+IF((PROVEEDORES3[[#This Row],[FECHA DE PAGO]]-PROVEEDORES3[[#This Row],[FECHA DE FACTURACIÓN]])&gt;#REF!,"PAGO VENCIDO")</f>
        <v>#REF!</v>
      </c>
      <c r="C123" s="24" t="str">
        <f>+VLOOKUP(PROVEEDORES3[[#This Row],[PROVEEDOR]],TERCEROS_INFO[[PROVEEDOR]:[CORREO]],5,FALSE)</f>
        <v>jessica.barrios@carpainternacional.com;girlesa.ruiz@servipilas.com;joriescobar64@gmail.com</v>
      </c>
      <c r="E123" s="81" t="s">
        <v>222</v>
      </c>
      <c r="F123" s="111">
        <v>45352</v>
      </c>
      <c r="G123" s="217">
        <v>1941</v>
      </c>
      <c r="H123" s="31">
        <v>172</v>
      </c>
      <c r="I123" s="9">
        <f>+PROVEEDORES3[[#This Row],[Total USD]]*3871</f>
        <v>665812</v>
      </c>
    </row>
    <row r="124" spans="1:9" ht="22.35" customHeight="1" x14ac:dyDescent="0.25">
      <c r="A124" s="29" t="str">
        <f>+IF(PROVEEDORES3[[#This Row],[FECHA DE PAGO]]=PROVEEDORES3[[#This Row],[FECHA DE FACTURACIÓN]],"DE CONTADO","CRÉDITO")</f>
        <v>CRÉDITO</v>
      </c>
      <c r="B124" s="19" t="e">
        <f>+IF((PROVEEDORES3[[#This Row],[FECHA DE PAGO]]-PROVEEDORES3[[#This Row],[FECHA DE FACTURACIÓN]])&gt;#REF!,"PAGO VENCIDO")</f>
        <v>#REF!</v>
      </c>
      <c r="C124" s="24" t="str">
        <f>+VLOOKUP(PROVEEDORES3[[#This Row],[PROVEEDOR]],TERCEROS_INFO[[PROVEEDOR]:[CORREO]],5,FALSE)</f>
        <v>jessica.barrios@carpainternacional.com;girlesa.ruiz@servipilas.com;joriescobar64@gmail.com</v>
      </c>
      <c r="E124" s="81" t="s">
        <v>222</v>
      </c>
      <c r="F124" s="111">
        <v>45352</v>
      </c>
      <c r="G124" s="217">
        <v>1951</v>
      </c>
      <c r="H124" s="31">
        <v>64</v>
      </c>
      <c r="I124" s="9">
        <f>+PROVEEDORES3[[#This Row],[Total USD]]*3871</f>
        <v>247744</v>
      </c>
    </row>
    <row r="125" spans="1:9" ht="22.35" customHeight="1" x14ac:dyDescent="0.25">
      <c r="A125" s="114" t="str">
        <f>+IF(PROVEEDORES3[[#This Row],[FECHA DE PAGO]]=PROVEEDORES3[[#This Row],[FECHA DE FACTURACIÓN]],"DE CONTADO","CRÉDITO")</f>
        <v>CRÉDITO</v>
      </c>
      <c r="B125" s="19" t="e">
        <f>+IF((PROVEEDORES3[[#This Row],[FECHA DE PAGO]]-PROVEEDORES3[[#This Row],[FECHA DE FACTURACIÓN]])&gt;#REF!,"PAGO VENCIDO")</f>
        <v>#REF!</v>
      </c>
      <c r="C125" s="24" t="str">
        <f>+VLOOKUP(PROVEEDORES3[[#This Row],[PROVEEDOR]],TERCEROS_INFO[[PROVEEDOR]:[CORREO]],5,FALSE)</f>
        <v>jessica.barrios@carpainternacional.com;girlesa.ruiz@servipilas.com;joriescobar64@gmail.com</v>
      </c>
      <c r="E125" s="81" t="s">
        <v>222</v>
      </c>
      <c r="F125" s="111">
        <v>45369</v>
      </c>
      <c r="G125" s="217">
        <v>1961</v>
      </c>
      <c r="H125" s="31">
        <v>645</v>
      </c>
      <c r="I125" s="9">
        <f>+PROVEEDORES3[[#This Row],[Total USD]]*3871</f>
        <v>2496795</v>
      </c>
    </row>
    <row r="126" spans="1:9" ht="22.35" customHeight="1" x14ac:dyDescent="0.25">
      <c r="A126" s="29" t="str">
        <f>+IF(PROVEEDORES3[[#This Row],[FECHA DE PAGO]]=PROVEEDORES3[[#This Row],[FECHA DE FACTURACIÓN]],"DE CONTADO","CRÉDITO")</f>
        <v>CRÉDITO</v>
      </c>
      <c r="B126" s="19" t="e">
        <f>+IF((PROVEEDORES3[[#This Row],[FECHA DE PAGO]]-PROVEEDORES3[[#This Row],[FECHA DE FACTURACIÓN]])&gt;#REF!,"PAGO VENCIDO")</f>
        <v>#REF!</v>
      </c>
      <c r="C126" s="24" t="str">
        <f>+VLOOKUP(PROVEEDORES3[[#This Row],[PROVEEDOR]],TERCEROS_INFO[[PROVEEDOR]:[CORREO]],5,FALSE)</f>
        <v>jessica.barrios@carpainternacional.com;girlesa.ruiz@servipilas.com;joriescobar64@gmail.com</v>
      </c>
      <c r="E126" s="81" t="s">
        <v>222</v>
      </c>
      <c r="F126" s="111">
        <v>45369</v>
      </c>
      <c r="G126" s="217">
        <v>1962</v>
      </c>
      <c r="H126" s="31">
        <v>80</v>
      </c>
      <c r="I126" s="9">
        <f>+PROVEEDORES3[[#This Row],[Total USD]]*3871</f>
        <v>309680</v>
      </c>
    </row>
    <row r="127" spans="1:9" ht="22.35" customHeight="1" x14ac:dyDescent="0.25">
      <c r="A127" s="29" t="str">
        <f>+IF(PROVEEDORES3[[#This Row],[FECHA DE PAGO]]=PROVEEDORES3[[#This Row],[FECHA DE FACTURACIÓN]],"DE CONTADO","CRÉDITO")</f>
        <v>CRÉDITO</v>
      </c>
      <c r="B127" s="19" t="e">
        <f>+IF((PROVEEDORES3[[#This Row],[FECHA DE PAGO]]-PROVEEDORES3[[#This Row],[FECHA DE FACTURACIÓN]])&gt;#REF!,"PAGO VENCIDO")</f>
        <v>#REF!</v>
      </c>
      <c r="C127" s="24" t="str">
        <f>+VLOOKUP(PROVEEDORES3[[#This Row],[PROVEEDOR]],TERCEROS_INFO[[PROVEEDOR]:[CORREO]],5,FALSE)</f>
        <v>jessica.barrios@carpainternacional.com;girlesa.ruiz@servipilas.com;joriescobar64@gmail.com</v>
      </c>
      <c r="E127" s="81" t="s">
        <v>222</v>
      </c>
      <c r="F127" s="111">
        <v>45369</v>
      </c>
      <c r="G127" s="217">
        <v>1963</v>
      </c>
      <c r="H127" s="31">
        <v>80</v>
      </c>
      <c r="I127" s="9">
        <f>+PROVEEDORES3[[#This Row],[Total USD]]*3871</f>
        <v>309680</v>
      </c>
    </row>
    <row r="128" spans="1:9" ht="22.35" customHeight="1" x14ac:dyDescent="0.25">
      <c r="A128" s="29" t="str">
        <f>+IF(PROVEEDORES3[[#This Row],[FECHA DE PAGO]]=PROVEEDORES3[[#This Row],[FECHA DE FACTURACIÓN]],"DE CONTADO","CRÉDITO")</f>
        <v>CRÉDITO</v>
      </c>
      <c r="B128" s="19" t="e">
        <f>+IF((PROVEEDORES3[[#This Row],[FECHA DE PAGO]]-PROVEEDORES3[[#This Row],[FECHA DE FACTURACIÓN]])&gt;#REF!,"PAGO VENCIDO")</f>
        <v>#REF!</v>
      </c>
      <c r="C128" s="24" t="str">
        <f>+VLOOKUP(PROVEEDORES3[[#This Row],[PROVEEDOR]],TERCEROS_INFO[[PROVEEDOR]:[CORREO]],5,FALSE)</f>
        <v>jessica.barrios@carpainternacional.com;girlesa.ruiz@servipilas.com;joriescobar64@gmail.com</v>
      </c>
      <c r="E128" s="81" t="s">
        <v>222</v>
      </c>
      <c r="F128" s="111">
        <v>45369</v>
      </c>
      <c r="G128" s="217">
        <v>1964</v>
      </c>
      <c r="H128" s="31">
        <v>80</v>
      </c>
      <c r="I128" s="9">
        <f>+PROVEEDORES3[[#This Row],[Total USD]]*3871</f>
        <v>309680</v>
      </c>
    </row>
    <row r="129" spans="1:9" ht="22.35" customHeight="1" x14ac:dyDescent="0.25">
      <c r="A129" s="115" t="str">
        <f>+IF(PROVEEDORES3[[#This Row],[FECHA DE PAGO]]=PROVEEDORES3[[#This Row],[FECHA DE FACTURACIÓN]],"DE CONTADO","CRÉDITO")</f>
        <v>CRÉDITO</v>
      </c>
      <c r="B129" s="19" t="e">
        <f>+IF((PROVEEDORES3[[#This Row],[FECHA DE PAGO]]-PROVEEDORES3[[#This Row],[FECHA DE FACTURACIÓN]])&gt;#REF!,"PAGO VENCIDO")</f>
        <v>#REF!</v>
      </c>
      <c r="C129" s="24" t="str">
        <f>+VLOOKUP(PROVEEDORES3[[#This Row],[PROVEEDOR]],TERCEROS_INFO[[PROVEEDOR]:[CORREO]],5,FALSE)</f>
        <v>jessica.barrios@carpainternacional.com;girlesa.ruiz@servipilas.com;joriescobar64@gmail.com</v>
      </c>
      <c r="E129" s="81" t="s">
        <v>222</v>
      </c>
      <c r="F129" s="111">
        <v>45379</v>
      </c>
      <c r="G129" s="217">
        <v>1980</v>
      </c>
      <c r="H129" s="31">
        <v>364</v>
      </c>
      <c r="I129" s="9">
        <f>+PROVEEDORES3[[#This Row],[Total USD]]*3871</f>
        <v>1409044</v>
      </c>
    </row>
    <row r="130" spans="1:9" ht="22.35" customHeight="1" x14ac:dyDescent="0.25">
      <c r="A130" s="116" t="str">
        <f>+IF(PROVEEDORES3[[#This Row],[FECHA DE PAGO]]=PROVEEDORES3[[#This Row],[FECHA DE FACTURACIÓN]],"DE CONTADO","CRÉDITO")</f>
        <v>CRÉDITO</v>
      </c>
      <c r="B130" s="19" t="e">
        <f>+IF((PROVEEDORES3[[#This Row],[FECHA DE PAGO]]-PROVEEDORES3[[#This Row],[FECHA DE FACTURACIÓN]])&gt;#REF!,"PAGO VENCIDO")</f>
        <v>#REF!</v>
      </c>
      <c r="C130" s="24" t="str">
        <f>+VLOOKUP(PROVEEDORES3[[#This Row],[PROVEEDOR]],TERCEROS_INFO[[PROVEEDOR]:[CORREO]],5,FALSE)</f>
        <v>jessica.barrios@carpainternacional.com;girlesa.ruiz@servipilas.com;joriescobar64@gmail.com</v>
      </c>
      <c r="E130" s="81" t="s">
        <v>222</v>
      </c>
      <c r="F130" s="111">
        <v>45387</v>
      </c>
      <c r="G130" s="217">
        <v>1990</v>
      </c>
      <c r="H130" s="31">
        <v>188</v>
      </c>
      <c r="I130" s="9">
        <f>+PROVEEDORES3[[#This Row],[Total USD]]*3900</f>
        <v>733200</v>
      </c>
    </row>
    <row r="131" spans="1:9" ht="22.35" customHeight="1" x14ac:dyDescent="0.25">
      <c r="A131" s="116" t="str">
        <f>+IF(PROVEEDORES3[[#This Row],[FECHA DE PAGO]]=PROVEEDORES3[[#This Row],[FECHA DE FACTURACIÓN]],"DE CONTADO","CRÉDITO")</f>
        <v>CRÉDITO</v>
      </c>
      <c r="B131" s="19" t="e">
        <f>+IF((PROVEEDORES3[[#This Row],[FECHA DE PAGO]]-PROVEEDORES3[[#This Row],[FECHA DE FACTURACIÓN]])&gt;#REF!,"PAGO VENCIDO")</f>
        <v>#REF!</v>
      </c>
      <c r="C131" s="24" t="str">
        <f>+VLOOKUP(PROVEEDORES3[[#This Row],[PROVEEDOR]],TERCEROS_INFO[[PROVEEDOR]:[CORREO]],5,FALSE)</f>
        <v>jessica.barrios@carpainternacional.com;girlesa.ruiz@servipilas.com;joriescobar64@gmail.com</v>
      </c>
      <c r="E131" s="81" t="s">
        <v>222</v>
      </c>
      <c r="F131" s="111">
        <v>45387</v>
      </c>
      <c r="G131" s="217">
        <v>1991</v>
      </c>
      <c r="H131" s="31">
        <v>192</v>
      </c>
      <c r="I131" s="9">
        <f>+PROVEEDORES3[[#This Row],[Total USD]]*3900</f>
        <v>748800</v>
      </c>
    </row>
    <row r="132" spans="1:9" ht="22.35" customHeight="1" x14ac:dyDescent="0.25">
      <c r="A132" s="118" t="str">
        <f>+IF(PROVEEDORES3[[#This Row],[FECHA DE PAGO]]=PROVEEDORES3[[#This Row],[FECHA DE FACTURACIÓN]],"DE CONTADO","CRÉDITO")</f>
        <v>CRÉDITO</v>
      </c>
      <c r="B132" s="19" t="e">
        <f>+IF((PROVEEDORES3[[#This Row],[FECHA DE PAGO]]-PROVEEDORES3[[#This Row],[FECHA DE FACTURACIÓN]])&gt;#REF!,"PAGO VENCIDO")</f>
        <v>#REF!</v>
      </c>
      <c r="C132" s="24" t="str">
        <f>+VLOOKUP(PROVEEDORES3[[#This Row],[PROVEEDOR]],TERCEROS_INFO[[PROVEEDOR]:[CORREO]],5,FALSE)</f>
        <v>jessica.barrios@carpainternacional.com;girlesa.ruiz@servipilas.com;joriescobar64@gmail.com</v>
      </c>
      <c r="E132" s="81" t="s">
        <v>222</v>
      </c>
      <c r="F132" s="111">
        <v>45393</v>
      </c>
      <c r="G132" s="217">
        <v>1992</v>
      </c>
      <c r="H132" s="31">
        <v>450.75</v>
      </c>
      <c r="I132" s="9">
        <f>+PROVEEDORES3[[#This Row],[Total USD]]*3900</f>
        <v>1757925</v>
      </c>
    </row>
    <row r="133" spans="1:9" ht="22.35" customHeight="1" x14ac:dyDescent="0.25">
      <c r="A133" s="118" t="str">
        <f>+IF(PROVEEDORES3[[#This Row],[FECHA DE PAGO]]=PROVEEDORES3[[#This Row],[FECHA DE FACTURACIÓN]],"DE CONTADO","CRÉDITO")</f>
        <v>CRÉDITO</v>
      </c>
      <c r="B133" s="19" t="e">
        <f>+IF((PROVEEDORES3[[#This Row],[FECHA DE PAGO]]-PROVEEDORES3[[#This Row],[FECHA DE FACTURACIÓN]])&gt;#REF!,"PAGO VENCIDO")</f>
        <v>#REF!</v>
      </c>
      <c r="C133" s="24" t="str">
        <f>+VLOOKUP(PROVEEDORES3[[#This Row],[PROVEEDOR]],TERCEROS_INFO[[PROVEEDOR]:[CORREO]],5,FALSE)</f>
        <v>jessica.barrios@carpainternacional.com;girlesa.ruiz@servipilas.com;joriescobar64@gmail.com</v>
      </c>
      <c r="E133" s="81" t="s">
        <v>222</v>
      </c>
      <c r="F133" s="111">
        <v>45386</v>
      </c>
      <c r="G133" s="217">
        <v>1985</v>
      </c>
      <c r="H133" s="31">
        <v>3233.25</v>
      </c>
      <c r="I133" s="9">
        <f>+PROVEEDORES3[[#This Row],[Total USD]]*3900</f>
        <v>12609675</v>
      </c>
    </row>
    <row r="134" spans="1:9" ht="22.35" customHeight="1" x14ac:dyDescent="0.25">
      <c r="A134" s="119" t="str">
        <f>+IF(PROVEEDORES3[[#This Row],[FECHA DE PAGO]]=PROVEEDORES3[[#This Row],[FECHA DE FACTURACIÓN]],"DE CONTADO","CRÉDITO")</f>
        <v>CRÉDITO</v>
      </c>
      <c r="B134" s="19" t="e">
        <f>+IF((PROVEEDORES3[[#This Row],[FECHA DE PAGO]]-PROVEEDORES3[[#This Row],[FECHA DE FACTURACIÓN]])&gt;#REF!,"PAGO VENCIDO")</f>
        <v>#REF!</v>
      </c>
      <c r="C134" s="24" t="str">
        <f>+VLOOKUP(PROVEEDORES3[[#This Row],[PROVEEDOR]],TERCEROS_INFO[[PROVEEDOR]:[CORREO]],5,FALSE)</f>
        <v>jessica.barrios@carpainternacional.com;girlesa.ruiz@servipilas.com;joriescobar64@gmail.com</v>
      </c>
      <c r="E134" s="81" t="s">
        <v>222</v>
      </c>
      <c r="F134" s="111">
        <v>45399</v>
      </c>
      <c r="G134" s="217" t="s">
        <v>1888</v>
      </c>
      <c r="H134" s="31">
        <v>132</v>
      </c>
      <c r="I134" s="9">
        <f>+PROVEEDORES3[[#This Row],[Total USD]]*3849.88</f>
        <v>508184.16000000003</v>
      </c>
    </row>
    <row r="135" spans="1:9" ht="22.35" customHeight="1" x14ac:dyDescent="0.25">
      <c r="A135" s="120" t="str">
        <f>+IF(PROVEEDORES3[[#This Row],[FECHA DE PAGO]]=PROVEEDORES3[[#This Row],[FECHA DE FACTURACIÓN]],"DE CONTADO","CRÉDITO")</f>
        <v>CRÉDITO</v>
      </c>
      <c r="B135" s="19" t="e">
        <f>+IF((PROVEEDORES3[[#This Row],[FECHA DE PAGO]]-PROVEEDORES3[[#This Row],[FECHA DE FACTURACIÓN]])&gt;#REF!,"PAGO VENCIDO")</f>
        <v>#REF!</v>
      </c>
      <c r="C135" s="24" t="str">
        <f>+VLOOKUP(PROVEEDORES3[[#This Row],[PROVEEDOR]],TERCEROS_INFO[[PROVEEDOR]:[CORREO]],5,FALSE)</f>
        <v>jessica.barrios@carpainternacional.com;girlesa.ruiz@servipilas.com;joriescobar64@gmail.com</v>
      </c>
      <c r="E135" s="81" t="s">
        <v>222</v>
      </c>
      <c r="F135" s="111">
        <v>45399</v>
      </c>
      <c r="G135" s="217" t="s">
        <v>1889</v>
      </c>
      <c r="H135" s="31">
        <v>215</v>
      </c>
      <c r="I135" s="9">
        <f>+PROVEEDORES3[[#This Row],[Total USD]]*3849.88</f>
        <v>827724.20000000007</v>
      </c>
    </row>
    <row r="136" spans="1:9" ht="22.35" customHeight="1" x14ac:dyDescent="0.25">
      <c r="A136" s="121" t="str">
        <f>+IF(PROVEEDORES3[[#This Row],[FECHA DE PAGO]]=PROVEEDORES3[[#This Row],[FECHA DE FACTURACIÓN]],"DE CONTADO","CRÉDITO")</f>
        <v>CRÉDITO</v>
      </c>
      <c r="B136" s="19" t="e">
        <f>+IF((PROVEEDORES3[[#This Row],[FECHA DE PAGO]]-PROVEEDORES3[[#This Row],[FECHA DE FACTURACIÓN]])&gt;#REF!,"PAGO VENCIDO")</f>
        <v>#REF!</v>
      </c>
      <c r="C136" s="24" t="str">
        <f>+VLOOKUP(PROVEEDORES3[[#This Row],[PROVEEDOR]],TERCEROS_INFO[[PROVEEDOR]:[CORREO]],5,FALSE)</f>
        <v>jessica.barrios@carpainternacional.com;girlesa.ruiz@servipilas.com;joriescobar64@gmail.com</v>
      </c>
      <c r="E136" s="81" t="s">
        <v>222</v>
      </c>
      <c r="F136" s="111">
        <v>38102</v>
      </c>
      <c r="G136" s="217" t="s">
        <v>1890</v>
      </c>
      <c r="H136" s="31">
        <v>128</v>
      </c>
      <c r="I136" s="9">
        <f>+PROVEEDORES3[[#This Row],[Total USD]]*3849.88</f>
        <v>492784.64000000001</v>
      </c>
    </row>
    <row r="137" spans="1:9" ht="22.35" customHeight="1" x14ac:dyDescent="0.25">
      <c r="A137" s="122" t="str">
        <f>+IF(PROVEEDORES3[[#This Row],[FECHA DE PAGO]]=PROVEEDORES3[[#This Row],[FECHA DE FACTURACIÓN]],"DE CONTADO","CRÉDITO")</f>
        <v>CRÉDITO</v>
      </c>
      <c r="B137" s="19" t="e">
        <f>+IF((PROVEEDORES3[[#This Row],[FECHA DE PAGO]]-PROVEEDORES3[[#This Row],[FECHA DE FACTURACIÓN]])&gt;#REF!,"PAGO VENCIDO")</f>
        <v>#REF!</v>
      </c>
      <c r="C137" s="24" t="str">
        <f>+VLOOKUP(PROVEEDORES3[[#This Row],[PROVEEDOR]],TERCEROS_INFO[[PROVEEDOR]:[CORREO]],5,FALSE)</f>
        <v>jessica.barrios@carpainternacional.com;girlesa.ruiz@servipilas.com;joriescobar64@gmail.com</v>
      </c>
      <c r="E137" s="81" t="s">
        <v>222</v>
      </c>
      <c r="F137" s="111">
        <v>45414</v>
      </c>
      <c r="G137" s="217">
        <v>2020</v>
      </c>
      <c r="H137" s="31">
        <v>104</v>
      </c>
      <c r="I137" s="9">
        <f>+PROVEEDORES3[[#This Row],[Total USD]]*3849.88</f>
        <v>400387.52</v>
      </c>
    </row>
    <row r="138" spans="1:9" ht="22.35" customHeight="1" x14ac:dyDescent="0.25">
      <c r="A138" s="29" t="str">
        <f>+IF(PROVEEDORES3[[#This Row],[FECHA DE PAGO]]=PROVEEDORES3[[#This Row],[FECHA DE FACTURACIÓN]],"DE CONTADO","CRÉDITO")</f>
        <v>CRÉDITO</v>
      </c>
      <c r="B138" s="19" t="e">
        <f>+IF((PROVEEDORES3[[#This Row],[FECHA DE PAGO]]-PROVEEDORES3[[#This Row],[FECHA DE FACTURACIÓN]])&gt;#REF!,"PAGO VENCIDO")</f>
        <v>#REF!</v>
      </c>
      <c r="C138" s="24" t="str">
        <f>+VLOOKUP(PROVEEDORES3[[#This Row],[PROVEEDOR]],TERCEROS_INFO[[PROVEEDOR]:[CORREO]],5,FALSE)</f>
        <v>jessica.barrios@carpainternacional.com;girlesa.ruiz@servipilas.com;joriescobar64@gmail.com</v>
      </c>
      <c r="E138" s="81" t="s">
        <v>1859</v>
      </c>
      <c r="F138" s="111">
        <v>45420</v>
      </c>
      <c r="G138" s="217" t="s">
        <v>1860</v>
      </c>
      <c r="H138" s="31">
        <v>645</v>
      </c>
      <c r="I138" s="9">
        <f>+PROVEEDORES3[[#This Row],[Total USD]]*3849.88</f>
        <v>2483172.6</v>
      </c>
    </row>
    <row r="139" spans="1:9" ht="22.35" customHeight="1" x14ac:dyDescent="0.25">
      <c r="A139" s="211" t="str">
        <f>+IF(PROVEEDORES3[[#This Row],[FECHA DE PAGO]]=PROVEEDORES3[[#This Row],[FECHA DE FACTURACIÓN]],"DE CONTADO","CRÉDITO")</f>
        <v>CRÉDITO</v>
      </c>
      <c r="B139" s="19" t="e">
        <f>+IF((PROVEEDORES3[[#This Row],[FECHA DE PAGO]]-PROVEEDORES3[[#This Row],[FECHA DE FACTURACIÓN]])&gt;#REF!,"PAGO VENCIDO")</f>
        <v>#REF!</v>
      </c>
      <c r="C139" s="24" t="str">
        <f>+VLOOKUP(PROVEEDORES3[[#This Row],[PROVEEDOR]],TERCEROS_INFO[[PROVEEDOR]:[CORREO]],5,FALSE)</f>
        <v>jessica.barrios@carpainternacional.com;girlesa.ruiz@servipilas.com;joriescobar64@gmail.com</v>
      </c>
      <c r="E139" s="81" t="s">
        <v>222</v>
      </c>
      <c r="F139" s="111">
        <v>45414</v>
      </c>
      <c r="G139" s="217">
        <v>2024</v>
      </c>
      <c r="H139" s="31">
        <v>24</v>
      </c>
      <c r="I139" s="9">
        <f>+PROVEEDORES3[[#This Row],[Total USD]]*3849.88</f>
        <v>92397.119999999995</v>
      </c>
    </row>
    <row r="140" spans="1:9" ht="22.35" customHeight="1" x14ac:dyDescent="0.25">
      <c r="A140" s="29" t="str">
        <f>+IF(PROVEEDORES3[[#This Row],[FECHA DE PAGO]]=PROVEEDORES3[[#This Row],[FECHA DE FACTURACIÓN]],"DE CONTADO","CRÉDITO")</f>
        <v>CRÉDITO</v>
      </c>
      <c r="B140" s="19" t="e">
        <f>+IF((PROVEEDORES3[[#This Row],[FECHA DE PAGO]]-PROVEEDORES3[[#This Row],[FECHA DE FACTURACIÓN]])&gt;#REF!,"PAGO VENCIDO")</f>
        <v>#REF!</v>
      </c>
      <c r="C140" s="24" t="str">
        <f>+VLOOKUP(PROVEEDORES3[[#This Row],[PROVEEDOR]],TERCEROS_INFO[[PROVEEDOR]:[CORREO]],5,FALSE)</f>
        <v>jessica.barrios@carpainternacional.com;girlesa.ruiz@servipilas.com;joriescobar64@gmail.com</v>
      </c>
      <c r="E140" s="81" t="s">
        <v>222</v>
      </c>
      <c r="F140" s="111">
        <v>45427</v>
      </c>
      <c r="G140" s="217">
        <v>2029</v>
      </c>
      <c r="H140" s="31">
        <v>80</v>
      </c>
      <c r="I140" s="9">
        <f>+PROVEEDORES3[[#This Row],[Total USD]]*3849.88</f>
        <v>307990.40000000002</v>
      </c>
    </row>
    <row r="141" spans="1:9" ht="22.35" customHeight="1" x14ac:dyDescent="0.25">
      <c r="A141" s="212" t="str">
        <f>+IF(PROVEEDORES3[[#This Row],[FECHA DE PAGO]]=PROVEEDORES3[[#This Row],[FECHA DE FACTURACIÓN]],"DE CONTADO","CRÉDITO")</f>
        <v>CRÉDITO</v>
      </c>
      <c r="B141" s="19" t="e">
        <f>+IF((PROVEEDORES3[[#This Row],[FECHA DE PAGO]]-PROVEEDORES3[[#This Row],[FECHA DE FACTURACIÓN]])&gt;#REF!,"PAGO VENCIDO")</f>
        <v>#REF!</v>
      </c>
      <c r="C141" s="24" t="str">
        <f>+VLOOKUP(PROVEEDORES3[[#This Row],[PROVEEDOR]],TERCEROS_INFO[[PROVEEDOR]:[CORREO]],5,FALSE)</f>
        <v>jessica.barrios@carpainternacional.com;girlesa.ruiz@servipilas.com;joriescobar64@gmail.com</v>
      </c>
      <c r="E141" s="81" t="s">
        <v>222</v>
      </c>
      <c r="F141" s="111">
        <v>45427</v>
      </c>
      <c r="G141" s="16">
        <v>2035</v>
      </c>
      <c r="H141" s="31">
        <v>168</v>
      </c>
      <c r="I141" s="9">
        <f>+PROVEEDORES3[[#This Row],[Total USD]]*3828.5</f>
        <v>643188</v>
      </c>
    </row>
    <row r="142" spans="1:9" ht="22.35" customHeight="1" x14ac:dyDescent="0.25">
      <c r="A142" s="215" t="str">
        <f>+IF(PROVEEDORES3[[#This Row],[FECHA DE PAGO]]=PROVEEDORES3[[#This Row],[FECHA DE FACTURACIÓN]],"DE CONTADO","CRÉDITO")</f>
        <v>CRÉDITO</v>
      </c>
      <c r="B142" s="19" t="e">
        <f>+IF((PROVEEDORES3[[#This Row],[FECHA DE PAGO]]-PROVEEDORES3[[#This Row],[FECHA DE FACTURACIÓN]])&gt;#REF!,"PAGO VENCIDO")</f>
        <v>#REF!</v>
      </c>
      <c r="C142" s="24" t="str">
        <f>+VLOOKUP(PROVEEDORES3[[#This Row],[PROVEEDOR]],TERCEROS_INFO[[PROVEEDOR]:[CORREO]],5,FALSE)</f>
        <v>jessica.barrios@carpainternacional.com;girlesa.ruiz@servipilas.com;joriescobar64@gmail.com</v>
      </c>
      <c r="E142" s="81" t="s">
        <v>222</v>
      </c>
      <c r="F142" s="111">
        <v>45442</v>
      </c>
      <c r="G142" s="16">
        <v>2043</v>
      </c>
      <c r="H142" s="31">
        <v>152</v>
      </c>
      <c r="I142" s="9">
        <f>+PROVEEDORES3[[#This Row],[Total USD]]*3828.5</f>
        <v>581932</v>
      </c>
    </row>
    <row r="143" spans="1:9" ht="22.35" customHeight="1" x14ac:dyDescent="0.25">
      <c r="A143" s="29" t="str">
        <f>+IF(PROVEEDORES3[[#This Row],[FECHA DE PAGO]]=PROVEEDORES3[[#This Row],[FECHA DE FACTURACIÓN]],"DE CONTADO","CRÉDITO")</f>
        <v>CRÉDITO</v>
      </c>
      <c r="B143" s="19" t="e">
        <f>+IF((PROVEEDORES3[[#This Row],[FECHA DE PAGO]]-PROVEEDORES3[[#This Row],[FECHA DE FACTURACIÓN]])&gt;#REF!,"PAGO VENCIDO")</f>
        <v>#REF!</v>
      </c>
      <c r="C143" s="24" t="str">
        <f>+VLOOKUP(PROVEEDORES3[[#This Row],[PROVEEDOR]],TERCEROS_INFO[[PROVEEDOR]:[CORREO]],5,FALSE)</f>
        <v>jessica.barrios@carpainternacional.com;girlesa.ruiz@servipilas.com;joriescobar64@gmail.com</v>
      </c>
      <c r="E143" s="81" t="s">
        <v>222</v>
      </c>
      <c r="F143" s="111">
        <v>45442</v>
      </c>
      <c r="G143" s="16">
        <v>2044</v>
      </c>
      <c r="H143" s="31">
        <v>132</v>
      </c>
      <c r="I143" s="9">
        <f>+PROVEEDORES3[[#This Row],[Total USD]]*3828.5</f>
        <v>505362</v>
      </c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C1:I1">
    <cfRule type="expression" dxfId="240" priority="163">
      <formula>#REF!="Por pagar"</formula>
    </cfRule>
    <cfRule type="expression" dxfId="239" priority="164">
      <formula>#REF!="Vencida"</formula>
    </cfRule>
    <cfRule type="expression" dxfId="238" priority="165">
      <formula>#REF!="Pagada"</formula>
    </cfRule>
  </conditionalFormatting>
  <conditionalFormatting sqref="E114:G114">
    <cfRule type="expression" dxfId="237" priority="121" stopIfTrue="1">
      <formula>$S114="Por pagar"</formula>
    </cfRule>
    <cfRule type="expression" dxfId="236" priority="122" stopIfTrue="1">
      <formula>$S114="Vencida"</formula>
    </cfRule>
    <cfRule type="expression" dxfId="235" priority="123" stopIfTrue="1">
      <formula>$S114="Pagada"</formula>
    </cfRule>
  </conditionalFormatting>
  <conditionalFormatting sqref="E114">
    <cfRule type="expression" dxfId="234" priority="118" stopIfTrue="1">
      <formula>$S114="Por pagar"</formula>
    </cfRule>
    <cfRule type="expression" dxfId="233" priority="119" stopIfTrue="1">
      <formula>$S114="Vencida"</formula>
    </cfRule>
    <cfRule type="expression" dxfId="232" priority="120" stopIfTrue="1">
      <formula>$S114="Pagada"</formula>
    </cfRule>
  </conditionalFormatting>
  <conditionalFormatting sqref="E115:E122">
    <cfRule type="expression" dxfId="231" priority="115" stopIfTrue="1">
      <formula>$S115="Por pagar"</formula>
    </cfRule>
    <cfRule type="expression" dxfId="230" priority="116" stopIfTrue="1">
      <formula>$S115="Vencida"</formula>
    </cfRule>
    <cfRule type="expression" dxfId="229" priority="117" stopIfTrue="1">
      <formula>$S115="Pagada"</formula>
    </cfRule>
  </conditionalFormatting>
  <conditionalFormatting sqref="E115:E122">
    <cfRule type="expression" dxfId="228" priority="112" stopIfTrue="1">
      <formula>$S115="Por pagar"</formula>
    </cfRule>
    <cfRule type="expression" dxfId="227" priority="113" stopIfTrue="1">
      <formula>$S115="Vencida"</formula>
    </cfRule>
    <cfRule type="expression" dxfId="226" priority="114" stopIfTrue="1">
      <formula>$S115="Pagada"</formula>
    </cfRule>
  </conditionalFormatting>
  <conditionalFormatting sqref="E116">
    <cfRule type="expression" dxfId="225" priority="109" stopIfTrue="1">
      <formula>$S116="Por pagar"</formula>
    </cfRule>
    <cfRule type="expression" dxfId="224" priority="110" stopIfTrue="1">
      <formula>$S116="Vencida"</formula>
    </cfRule>
    <cfRule type="expression" dxfId="223" priority="111" stopIfTrue="1">
      <formula>$S116="Pagada"</formula>
    </cfRule>
  </conditionalFormatting>
  <conditionalFormatting sqref="E117">
    <cfRule type="expression" dxfId="222" priority="106" stopIfTrue="1">
      <formula>$S117="Por pagar"</formula>
    </cfRule>
    <cfRule type="expression" dxfId="221" priority="107" stopIfTrue="1">
      <formula>$S117="Vencida"</formula>
    </cfRule>
    <cfRule type="expression" dxfId="220" priority="108" stopIfTrue="1">
      <formula>$S117="Pagada"</formula>
    </cfRule>
  </conditionalFormatting>
  <conditionalFormatting sqref="E118">
    <cfRule type="expression" dxfId="219" priority="103" stopIfTrue="1">
      <formula>$S118="Por pagar"</formula>
    </cfRule>
    <cfRule type="expression" dxfId="218" priority="104" stopIfTrue="1">
      <formula>$S118="Vencida"</formula>
    </cfRule>
    <cfRule type="expression" dxfId="217" priority="105" stopIfTrue="1">
      <formula>$S118="Pagada"</formula>
    </cfRule>
  </conditionalFormatting>
  <conditionalFormatting sqref="E119:E122">
    <cfRule type="expression" dxfId="216" priority="100" stopIfTrue="1">
      <formula>$S119="Por pagar"</formula>
    </cfRule>
    <cfRule type="expression" dxfId="215" priority="101" stopIfTrue="1">
      <formula>$S119="Vencida"</formula>
    </cfRule>
    <cfRule type="expression" dxfId="214" priority="102" stopIfTrue="1">
      <formula>$S119="Pagada"</formula>
    </cfRule>
  </conditionalFormatting>
  <conditionalFormatting sqref="F115:G119">
    <cfRule type="expression" dxfId="213" priority="97" stopIfTrue="1">
      <formula>$S115="Por pagar"</formula>
    </cfRule>
    <cfRule type="expression" dxfId="212" priority="98" stopIfTrue="1">
      <formula>$S115="Vencida"</formula>
    </cfRule>
    <cfRule type="expression" dxfId="211" priority="99" stopIfTrue="1">
      <formula>$S115="Pagada"</formula>
    </cfRule>
  </conditionalFormatting>
  <conditionalFormatting sqref="F120:G121">
    <cfRule type="expression" dxfId="210" priority="94" stopIfTrue="1">
      <formula>$S120="Por pagar"</formula>
    </cfRule>
    <cfRule type="expression" dxfId="209" priority="95" stopIfTrue="1">
      <formula>$S120="Vencida"</formula>
    </cfRule>
    <cfRule type="expression" dxfId="208" priority="96" stopIfTrue="1">
      <formula>$S120="Pagada"</formula>
    </cfRule>
  </conditionalFormatting>
  <conditionalFormatting sqref="E123:G124">
    <cfRule type="expression" dxfId="207" priority="91" stopIfTrue="1">
      <formula>$S123="Por pagar"</formula>
    </cfRule>
    <cfRule type="expression" dxfId="206" priority="92" stopIfTrue="1">
      <formula>$S123="Vencida"</formula>
    </cfRule>
    <cfRule type="expression" dxfId="205" priority="93" stopIfTrue="1">
      <formula>$S123="Pagada"</formula>
    </cfRule>
  </conditionalFormatting>
  <conditionalFormatting sqref="E123">
    <cfRule type="expression" dxfId="204" priority="88" stopIfTrue="1">
      <formula>$S123="Por pagar"</formula>
    </cfRule>
    <cfRule type="expression" dxfId="203" priority="89" stopIfTrue="1">
      <formula>$S123="Vencida"</formula>
    </cfRule>
    <cfRule type="expression" dxfId="202" priority="90" stopIfTrue="1">
      <formula>$S123="Pagada"</formula>
    </cfRule>
  </conditionalFormatting>
  <conditionalFormatting sqref="E124:E127">
    <cfRule type="expression" dxfId="201" priority="85" stopIfTrue="1">
      <formula>$S124="Por pagar"</formula>
    </cfRule>
    <cfRule type="expression" dxfId="200" priority="86" stopIfTrue="1">
      <formula>$S124="Vencida"</formula>
    </cfRule>
    <cfRule type="expression" dxfId="199" priority="87" stopIfTrue="1">
      <formula>$S124="Pagada"</formula>
    </cfRule>
  </conditionalFormatting>
  <conditionalFormatting sqref="E125:E127">
    <cfRule type="expression" dxfId="198" priority="82" stopIfTrue="1">
      <formula>$S125="Por pagar"</formula>
    </cfRule>
    <cfRule type="expression" dxfId="197" priority="83" stopIfTrue="1">
      <formula>$S125="Vencida"</formula>
    </cfRule>
    <cfRule type="expression" dxfId="196" priority="84" stopIfTrue="1">
      <formula>$S125="Pagada"</formula>
    </cfRule>
  </conditionalFormatting>
  <conditionalFormatting sqref="E128:G128">
    <cfRule type="expression" dxfId="195" priority="79" stopIfTrue="1">
      <formula>$S128="Por pagar"</formula>
    </cfRule>
    <cfRule type="expression" dxfId="194" priority="80" stopIfTrue="1">
      <formula>$S128="Vencida"</formula>
    </cfRule>
    <cfRule type="expression" dxfId="193" priority="81" stopIfTrue="1">
      <formula>$S128="Pagada"</formula>
    </cfRule>
  </conditionalFormatting>
  <conditionalFormatting sqref="E128">
    <cfRule type="expression" dxfId="192" priority="76" stopIfTrue="1">
      <formula>$S128="Por pagar"</formula>
    </cfRule>
    <cfRule type="expression" dxfId="191" priority="77" stopIfTrue="1">
      <formula>$S128="Vencida"</formula>
    </cfRule>
    <cfRule type="expression" dxfId="190" priority="78" stopIfTrue="1">
      <formula>$S128="Pagada"</formula>
    </cfRule>
  </conditionalFormatting>
  <conditionalFormatting sqref="E128">
    <cfRule type="expression" dxfId="189" priority="73" stopIfTrue="1">
      <formula>$S128="Por pagar"</formula>
    </cfRule>
    <cfRule type="expression" dxfId="188" priority="74" stopIfTrue="1">
      <formula>$S128="Vencida"</formula>
    </cfRule>
    <cfRule type="expression" dxfId="187" priority="75" stopIfTrue="1">
      <formula>$S128="Pagada"</formula>
    </cfRule>
  </conditionalFormatting>
  <conditionalFormatting sqref="E128:G128">
    <cfRule type="expression" dxfId="186" priority="70" stopIfTrue="1">
      <formula>$S128="Por pagar"</formula>
    </cfRule>
    <cfRule type="expression" dxfId="185" priority="71" stopIfTrue="1">
      <formula>$S128="Vencida"</formula>
    </cfRule>
    <cfRule type="expression" dxfId="184" priority="72" stopIfTrue="1">
      <formula>$S128="Pagada"</formula>
    </cfRule>
  </conditionalFormatting>
  <conditionalFormatting sqref="E128:G128">
    <cfRule type="expression" dxfId="183" priority="67" stopIfTrue="1">
      <formula>$S128="Por pagar"</formula>
    </cfRule>
    <cfRule type="expression" dxfId="182" priority="68" stopIfTrue="1">
      <formula>$S128="Vencida"</formula>
    </cfRule>
    <cfRule type="expression" dxfId="181" priority="69" stopIfTrue="1">
      <formula>$S128="Pagada"</formula>
    </cfRule>
  </conditionalFormatting>
  <conditionalFormatting sqref="E129:G129">
    <cfRule type="expression" dxfId="180" priority="64" stopIfTrue="1">
      <formula>$S129="Por pagar"</formula>
    </cfRule>
    <cfRule type="expression" dxfId="179" priority="65" stopIfTrue="1">
      <formula>$S129="Vencida"</formula>
    </cfRule>
    <cfRule type="expression" dxfId="178" priority="66" stopIfTrue="1">
      <formula>$S129="Pagada"</formula>
    </cfRule>
  </conditionalFormatting>
  <conditionalFormatting sqref="E129:E134">
    <cfRule type="expression" dxfId="177" priority="61" stopIfTrue="1">
      <formula>$S129="Por pagar"</formula>
    </cfRule>
    <cfRule type="expression" dxfId="176" priority="62" stopIfTrue="1">
      <formula>$S129="Vencida"</formula>
    </cfRule>
    <cfRule type="expression" dxfId="175" priority="63" stopIfTrue="1">
      <formula>$S129="Pagada"</formula>
    </cfRule>
  </conditionalFormatting>
  <conditionalFormatting sqref="E130">
    <cfRule type="expression" dxfId="174" priority="58" stopIfTrue="1">
      <formula>$S130="Por pagar"</formula>
    </cfRule>
    <cfRule type="expression" dxfId="173" priority="59" stopIfTrue="1">
      <formula>$S130="Vencida"</formula>
    </cfRule>
    <cfRule type="expression" dxfId="172" priority="60" stopIfTrue="1">
      <formula>$S130="Pagada"</formula>
    </cfRule>
  </conditionalFormatting>
  <conditionalFormatting sqref="E131:E134">
    <cfRule type="expression" dxfId="171" priority="55" stopIfTrue="1">
      <formula>$S131="Por pagar"</formula>
    </cfRule>
    <cfRule type="expression" dxfId="170" priority="56" stopIfTrue="1">
      <formula>$S131="Vencida"</formula>
    </cfRule>
    <cfRule type="expression" dxfId="169" priority="57" stopIfTrue="1">
      <formula>$S131="Pagada"</formula>
    </cfRule>
  </conditionalFormatting>
  <conditionalFormatting sqref="E135:G135">
    <cfRule type="expression" dxfId="168" priority="52" stopIfTrue="1">
      <formula>$S135="Por pagar"</formula>
    </cfRule>
    <cfRule type="expression" dxfId="167" priority="53" stopIfTrue="1">
      <formula>$S135="Vencida"</formula>
    </cfRule>
    <cfRule type="expression" dxfId="166" priority="54" stopIfTrue="1">
      <formula>$S135="Pagada"</formula>
    </cfRule>
  </conditionalFormatting>
  <conditionalFormatting sqref="E135:E136">
    <cfRule type="expression" dxfId="165" priority="49" stopIfTrue="1">
      <formula>$S135="Por pagar"</formula>
    </cfRule>
    <cfRule type="expression" dxfId="164" priority="50" stopIfTrue="1">
      <formula>$S135="Vencida"</formula>
    </cfRule>
    <cfRule type="expression" dxfId="163" priority="51" stopIfTrue="1">
      <formula>$S135="Pagada"</formula>
    </cfRule>
  </conditionalFormatting>
  <conditionalFormatting sqref="E136">
    <cfRule type="expression" dxfId="162" priority="46" stopIfTrue="1">
      <formula>$S136="Por pagar"</formula>
    </cfRule>
    <cfRule type="expression" dxfId="161" priority="47" stopIfTrue="1">
      <formula>$S136="Vencida"</formula>
    </cfRule>
    <cfRule type="expression" dxfId="160" priority="48" stopIfTrue="1">
      <formula>$S136="Pagada"</formula>
    </cfRule>
  </conditionalFormatting>
  <conditionalFormatting sqref="E137:G137">
    <cfRule type="expression" dxfId="159" priority="43" stopIfTrue="1">
      <formula>$S137="Por pagar"</formula>
    </cfRule>
    <cfRule type="expression" dxfId="158" priority="44" stopIfTrue="1">
      <formula>$S137="Vencida"</formula>
    </cfRule>
    <cfRule type="expression" dxfId="157" priority="45" stopIfTrue="1">
      <formula>$S137="Pagada"</formula>
    </cfRule>
  </conditionalFormatting>
  <conditionalFormatting sqref="E137">
    <cfRule type="expression" dxfId="156" priority="40" stopIfTrue="1">
      <formula>$S137="Por pagar"</formula>
    </cfRule>
    <cfRule type="expression" dxfId="155" priority="41" stopIfTrue="1">
      <formula>$S137="Vencida"</formula>
    </cfRule>
    <cfRule type="expression" dxfId="154" priority="42" stopIfTrue="1">
      <formula>$S137="Pagada"</formula>
    </cfRule>
  </conditionalFormatting>
  <conditionalFormatting sqref="E138:G138">
    <cfRule type="expression" dxfId="153" priority="37" stopIfTrue="1">
      <formula>$S138="Por pagar"</formula>
    </cfRule>
    <cfRule type="expression" dxfId="152" priority="38" stopIfTrue="1">
      <formula>$S138="Vencida"</formula>
    </cfRule>
    <cfRule type="expression" dxfId="151" priority="39" stopIfTrue="1">
      <formula>$S138="Pagada"</formula>
    </cfRule>
  </conditionalFormatting>
  <conditionalFormatting sqref="E139">
    <cfRule type="expression" dxfId="150" priority="34" stopIfTrue="1">
      <formula>$S139="Por pagar"</formula>
    </cfRule>
    <cfRule type="expression" dxfId="149" priority="35" stopIfTrue="1">
      <formula>$S139="Vencida"</formula>
    </cfRule>
    <cfRule type="expression" dxfId="148" priority="36" stopIfTrue="1">
      <formula>$S139="Pagada"</formula>
    </cfRule>
  </conditionalFormatting>
  <conditionalFormatting sqref="E139">
    <cfRule type="expression" dxfId="147" priority="31" stopIfTrue="1">
      <formula>$S139="Por pagar"</formula>
    </cfRule>
    <cfRule type="expression" dxfId="146" priority="32" stopIfTrue="1">
      <formula>$S139="Vencida"</formula>
    </cfRule>
    <cfRule type="expression" dxfId="145" priority="33" stopIfTrue="1">
      <formula>$S139="Pagada"</formula>
    </cfRule>
  </conditionalFormatting>
  <conditionalFormatting sqref="E140:G140">
    <cfRule type="expression" dxfId="144" priority="28" stopIfTrue="1">
      <formula>$S140="Por pagar"</formula>
    </cfRule>
    <cfRule type="expression" dxfId="143" priority="29" stopIfTrue="1">
      <formula>$S140="Vencida"</formula>
    </cfRule>
    <cfRule type="expression" dxfId="142" priority="30" stopIfTrue="1">
      <formula>$S140="Pagada"</formula>
    </cfRule>
  </conditionalFormatting>
  <conditionalFormatting sqref="E140">
    <cfRule type="expression" dxfId="141" priority="25" stopIfTrue="1">
      <formula>$S140="Por pagar"</formula>
    </cfRule>
    <cfRule type="expression" dxfId="140" priority="26" stopIfTrue="1">
      <formula>$S140="Vencida"</formula>
    </cfRule>
    <cfRule type="expression" dxfId="139" priority="27" stopIfTrue="1">
      <formula>$S140="Pagada"</formula>
    </cfRule>
  </conditionalFormatting>
  <conditionalFormatting sqref="E140">
    <cfRule type="expression" dxfId="138" priority="22" stopIfTrue="1">
      <formula>$S140="Por pagar"</formula>
    </cfRule>
    <cfRule type="expression" dxfId="137" priority="23" stopIfTrue="1">
      <formula>$S140="Vencida"</formula>
    </cfRule>
    <cfRule type="expression" dxfId="136" priority="24" stopIfTrue="1">
      <formula>$S140="Pagada"</formula>
    </cfRule>
  </conditionalFormatting>
  <conditionalFormatting sqref="E141:G141">
    <cfRule type="expression" dxfId="135" priority="19" stopIfTrue="1">
      <formula>$S141="Por pagar"</formula>
    </cfRule>
    <cfRule type="expression" dxfId="134" priority="20" stopIfTrue="1">
      <formula>$S141="Vencida"</formula>
    </cfRule>
    <cfRule type="expression" dxfId="133" priority="21" stopIfTrue="1">
      <formula>$S141="Pagada"</formula>
    </cfRule>
  </conditionalFormatting>
  <conditionalFormatting sqref="E141">
    <cfRule type="expression" dxfId="132" priority="16" stopIfTrue="1">
      <formula>$S141="Por pagar"</formula>
    </cfRule>
    <cfRule type="expression" dxfId="131" priority="17" stopIfTrue="1">
      <formula>$S141="Vencida"</formula>
    </cfRule>
    <cfRule type="expression" dxfId="130" priority="18" stopIfTrue="1">
      <formula>$S141="Pagada"</formula>
    </cfRule>
  </conditionalFormatting>
  <conditionalFormatting sqref="E142:G142">
    <cfRule type="expression" dxfId="129" priority="13" stopIfTrue="1">
      <formula>$S142="Por pagar"</formula>
    </cfRule>
    <cfRule type="expression" dxfId="128" priority="14" stopIfTrue="1">
      <formula>$S142="Vencida"</formula>
    </cfRule>
    <cfRule type="expression" dxfId="127" priority="15" stopIfTrue="1">
      <formula>$S142="Pagada"</formula>
    </cfRule>
  </conditionalFormatting>
  <conditionalFormatting sqref="E142">
    <cfRule type="expression" dxfId="126" priority="10" stopIfTrue="1">
      <formula>$S142="Por pagar"</formula>
    </cfRule>
    <cfRule type="expression" dxfId="125" priority="11" stopIfTrue="1">
      <formula>$S142="Vencida"</formula>
    </cfRule>
    <cfRule type="expression" dxfId="124" priority="12" stopIfTrue="1">
      <formula>$S142="Pagada"</formula>
    </cfRule>
  </conditionalFormatting>
  <conditionalFormatting sqref="E143:G143">
    <cfRule type="expression" dxfId="123" priority="7" stopIfTrue="1">
      <formula>$S143="Por pagar"</formula>
    </cfRule>
    <cfRule type="expression" dxfId="122" priority="8" stopIfTrue="1">
      <formula>$S143="Vencida"</formula>
    </cfRule>
    <cfRule type="expression" dxfId="121" priority="9" stopIfTrue="1">
      <formula>$S143="Pagada"</formula>
    </cfRule>
  </conditionalFormatting>
  <conditionalFormatting sqref="E143">
    <cfRule type="expression" dxfId="120" priority="4" stopIfTrue="1">
      <formula>$S143="Por pagar"</formula>
    </cfRule>
    <cfRule type="expression" dxfId="119" priority="5" stopIfTrue="1">
      <formula>$S143="Vencida"</formula>
    </cfRule>
    <cfRule type="expression" dxfId="118" priority="6" stopIfTrue="1">
      <formula>$S143="Pagada"</formula>
    </cfRule>
  </conditionalFormatting>
  <conditionalFormatting sqref="E143">
    <cfRule type="expression" dxfId="117" priority="1" stopIfTrue="1">
      <formula>$S143="Por pagar"</formula>
    </cfRule>
    <cfRule type="expression" dxfId="116" priority="2" stopIfTrue="1">
      <formula>$S143="Vencida"</formula>
    </cfRule>
    <cfRule type="expression" dxfId="115" priority="3" stopIfTrue="1">
      <formula>$S143="Pagada"</formula>
    </cfRule>
  </conditionalFormatting>
  <pageMargins left="1.085" right="0.7" top="0.75" bottom="0.75" header="0.3" footer="0.3"/>
  <pageSetup scale="39" orientation="portrait" r:id="rId1"/>
  <colBreaks count="1" manualBreakCount="1">
    <brk id="10" max="1048575" man="1"/>
  </colBreak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23C873-C784-4801-B92B-758B19CF164C}">
          <x14:formula1>
            <xm:f>Terceros!$A:$A</xm:f>
          </x14:formula1>
          <xm:sqref>E114:E143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86ACA-6084-4CD6-B691-3C5102800CEA}">
  <sheetPr codeName="Hoja10"/>
  <dimension ref="A1:G31"/>
  <sheetViews>
    <sheetView topLeftCell="A7" zoomScaleNormal="100" workbookViewId="0">
      <pane xSplit="1" topLeftCell="B1" activePane="topRight" state="frozen"/>
      <selection activeCell="W4" sqref="W4"/>
      <selection pane="topRight" activeCell="G18" sqref="G18"/>
    </sheetView>
  </sheetViews>
  <sheetFormatPr baseColWidth="10" defaultColWidth="14.42578125" defaultRowHeight="22.5" customHeight="1" x14ac:dyDescent="0.25"/>
  <cols>
    <col min="1" max="1" width="41.85546875" style="20" customWidth="1"/>
    <col min="2" max="2" width="16" style="20" customWidth="1"/>
    <col min="3" max="3" width="15.5703125" style="20" customWidth="1"/>
    <col min="4" max="6" width="18.7109375" style="20" customWidth="1"/>
    <col min="7" max="7" width="15.85546875" style="20" bestFit="1" customWidth="1"/>
    <col min="8" max="16384" width="14.42578125" style="20"/>
  </cols>
  <sheetData>
    <row r="1" spans="1:7" s="77" customFormat="1" ht="22.5" customHeight="1" x14ac:dyDescent="0.25">
      <c r="A1" s="88" t="s">
        <v>99</v>
      </c>
      <c r="B1" s="86">
        <v>45261</v>
      </c>
      <c r="C1" s="87">
        <v>45292</v>
      </c>
      <c r="D1" s="87">
        <v>45323</v>
      </c>
      <c r="E1" s="87">
        <v>45352</v>
      </c>
      <c r="F1" s="87">
        <v>45383</v>
      </c>
      <c r="G1" s="77">
        <v>45413</v>
      </c>
    </row>
    <row r="2" spans="1:7" ht="22.5" customHeight="1" x14ac:dyDescent="0.25">
      <c r="A2" s="94" t="s">
        <v>125</v>
      </c>
      <c r="B2" s="95"/>
      <c r="C2" s="89"/>
      <c r="D2" s="89"/>
      <c r="E2" s="89"/>
      <c r="F2" s="89"/>
      <c r="G2" s="89"/>
    </row>
    <row r="3" spans="1:7" ht="22.5" customHeight="1" x14ac:dyDescent="0.25">
      <c r="A3" s="96" t="s">
        <v>126</v>
      </c>
      <c r="B3" s="97"/>
      <c r="C3" s="90"/>
      <c r="D3" s="90"/>
      <c r="E3" s="90"/>
      <c r="F3" s="90"/>
      <c r="G3" s="90"/>
    </row>
    <row r="4" spans="1:7" ht="22.5" customHeight="1" x14ac:dyDescent="0.25">
      <c r="A4" s="94" t="s">
        <v>127</v>
      </c>
      <c r="B4" s="95"/>
      <c r="C4" s="89"/>
      <c r="D4" s="89"/>
      <c r="E4" s="89"/>
      <c r="F4" s="89"/>
      <c r="G4" s="89"/>
    </row>
    <row r="5" spans="1:7" ht="22.5" customHeight="1" x14ac:dyDescent="0.25">
      <c r="A5" s="98" t="s">
        <v>95</v>
      </c>
      <c r="B5" s="99"/>
      <c r="C5" s="91"/>
      <c r="D5" s="91"/>
      <c r="E5" s="91"/>
      <c r="F5" s="91"/>
      <c r="G5" s="91"/>
    </row>
    <row r="6" spans="1:7" ht="22.5" customHeight="1" x14ac:dyDescent="0.25">
      <c r="A6" s="94" t="s">
        <v>124</v>
      </c>
      <c r="B6" s="99"/>
      <c r="C6" s="91"/>
      <c r="D6" s="91"/>
      <c r="E6" s="91"/>
      <c r="F6" s="91"/>
      <c r="G6" s="91"/>
    </row>
    <row r="7" spans="1:7" ht="28.5" customHeight="1" x14ac:dyDescent="0.25">
      <c r="A7" s="102" t="s">
        <v>106</v>
      </c>
      <c r="B7" s="101">
        <f>SUMIFS(PROVEEDORES[[#All],[Total]],
PROVEEDORES[[#All],[FECHA DE PAGO]],"&gt;="&amp;B$1,
PROVEEDORES[[#All],[FECHA DE PAGO]],"&lt;="&amp;EOMONTH(B$1,0))
+
SUMIFS(FINANCIACION[[#All],[PAGO]],
FINANCIACION[[#All],[Fecha]],"&gt;="&amp;B$1,
FINANCIACION[[#All],[Fecha]],"&lt;="&amp;EOMONTH(B$1,0))</f>
        <v>441195708.76499999</v>
      </c>
      <c r="C7" s="92">
        <f>SUMIFS(PROVEEDORES[[#All],[Total]],
PROVEEDORES[[#All],[FECHA DE PAGO]],"&gt;="&amp;C$1,
PROVEEDORES[[#All],[FECHA DE PAGO]],"&lt;="&amp;EOMONTH(C$1,0),
PROVEEDORES[[#All],[X@]],FALSE)
+
SUMIFS(FINANCIACION[[#All],[PAGO]],
FINANCIACION[[#All],[Fecha]],"&gt;="&amp;C$1,
FINANCIACION[[#All],[Fecha]],"&lt;="&amp;EOMONTH(C$1,0))</f>
        <v>366094784.33164996</v>
      </c>
      <c r="D7" s="92">
        <f>SUMIFS(PROVEEDORES[[#All],[Total]],
PROVEEDORES[[#All],[FECHA DE PAGO]],"&gt;="&amp;D$1,
PROVEEDORES[[#All],[FECHA DE PAGO]],"&lt;="&amp;EOMONTH(D$1,0),
PROVEEDORES[[#All],[X@]],FALSE)
+
SUMIFS(FINANCIACION[[#All],[PAGO]],
FINANCIACION[[#All],[Fecha]],"&gt;="&amp;D$1,
FINANCIACION[[#All],[Fecha]],"&lt;="&amp;EOMONTH(D$1,0))</f>
        <v>281946467.35870004</v>
      </c>
      <c r="E7" s="92">
        <f>SUMIFS(PROVEEDORES[[#All],[Total]],
PROVEEDORES[[#All],[FECHA DE PAGO]],"&gt;="&amp;E$1,
PROVEEDORES[[#All],[FECHA DE PAGO]],"&lt;="&amp;EOMONTH(E$1,0),
PROVEEDORES[[#All],[X@]],FALSE)
+
SUMIFS(FINANCIACION[[#All],[PAGO]],
FINANCIACION[[#All],[Fecha]],"&gt;="&amp;E$1,
FINANCIACION[[#All],[Fecha]],"&lt;="&amp;EOMONTH(E$1,0))</f>
        <v>214098096.73010001</v>
      </c>
      <c r="F7" s="92">
        <f>SUMIFS(PROVEEDORES[[#All],[Total]],
PROVEEDORES[[#All],[FECHA DE PAGO]],"&gt;="&amp;F$1,
PROVEEDORES[[#All],[FECHA DE PAGO]],"&lt;="&amp;EOMONTH(F$1,0),
PROVEEDORES[[#All],[X@]],FALSE)
+
SUMIFS(FINANCIACION[[#All],[PAGO]],
FINANCIACION[[#All],[Fecha]],"&gt;="&amp;F$1,
FINANCIACION[[#All],[Fecha]],"&lt;="&amp;EOMONTH(F$1,0))</f>
        <v>251714551.52559993</v>
      </c>
      <c r="G7" s="92">
        <f>SUMIFS(PROVEEDORES[[#All],[Total]],
PROVEEDORES[[#All],[FECHA DE PAGO]],"&gt;="&amp;G$1,
PROVEEDORES[[#All],[FECHA DE PAGO]],"&lt;="&amp;EOMONTH(G$1,0),
PROVEEDORES[[#All],[X@]],FALSE)
+
SUMIFS(FINANCIACION[[#All],[PAGO]],
FINANCIACION[[#All],[Fecha]],"&gt;="&amp;G$1,
FINANCIACION[[#All],[Fecha]],"&lt;="&amp;EOMONTH(G$1,0))</f>
        <v>274724829.56200004</v>
      </c>
    </row>
    <row r="8" spans="1:7" ht="22.5" customHeight="1" x14ac:dyDescent="0.25">
      <c r="A8" s="102" t="s">
        <v>87</v>
      </c>
      <c r="B8" s="103">
        <f>SUMIFS(PROVEEDORES[[#All],[Total]],
PROVEEDORES[[#All],[Total]],"&gt;0",
PROVEEDORES[[#All],[FECHA DE FACTURACIÓN]],"&gt;="&amp;B$1,
PROVEEDORES[[#All],[FECHA DE FACTURACIÓN]],"&lt;="&amp;EOMONTH(B$1,0),
PROVEEDORES[[#All],[a]],"De Contado")</f>
        <v>28366287.880000003</v>
      </c>
      <c r="C8" s="93">
        <f>SUMIFS(PROVEEDORES[[#All],[Total]],
PROVEEDORES[[#All],[Total]],"&gt;0",
PROVEEDORES[[#All],[FECHA DE FACTURACIÓN]],"&gt;="&amp;C$1,
PROVEEDORES[[#All],[FECHA DE FACTURACIÓN]],"&lt;="&amp;EOMONTH(C$1,0),
PROVEEDORES[[#All],[a]],"De Contado",
PROVEEDORES[[#All],[X@]],FALSE)</f>
        <v>23219880</v>
      </c>
      <c r="D8" s="93">
        <f>SUMIFS(PROVEEDORES[[#All],[Total]],
PROVEEDORES[[#All],[Total]],"&gt;0",
PROVEEDORES[[#All],[FECHA DE FACTURACIÓN]],"&gt;="&amp;D$1,
PROVEEDORES[[#All],[FECHA DE FACTURACIÓN]],"&lt;="&amp;EOMONTH(D$1,0),
PROVEEDORES[[#All],[a]],"De Contado",
PROVEEDORES[[#All],[X@]],FALSE)</f>
        <v>25881443.686499998</v>
      </c>
      <c r="E8" s="93">
        <f>SUMIFS(PROVEEDORES[[#All],[Total]],
PROVEEDORES[[#All],[Total]],"&gt;0",
PROVEEDORES[[#All],[FECHA DE FACTURACIÓN]],"&gt;="&amp;E$1,
PROVEEDORES[[#All],[FECHA DE FACTURACIÓN]],"&lt;="&amp;EOMONTH(E$1,0),
PROVEEDORES[[#All],[a]],"De Contado",
PROVEEDORES[[#All],[X@]],FALSE)</f>
        <v>16208733.24</v>
      </c>
      <c r="F8" s="93">
        <f>SUMIFS(PROVEEDORES[[#All],[Total]],
PROVEEDORES[[#All],[Total]],"&gt;0",
PROVEEDORES[[#All],[FECHA DE FACTURACIÓN]],"&gt;="&amp;F$1,
PROVEEDORES[[#All],[FECHA DE FACTURACIÓN]],"&lt;="&amp;EOMONTH(F$1,0),
PROVEEDORES[[#All],[a]],"De Contado",
PROVEEDORES[[#All],[X@]],FALSE)</f>
        <v>36590946.07</v>
      </c>
      <c r="G8" s="93">
        <f>SUMIFS(PROVEEDORES[[#All],[Total]],
PROVEEDORES[[#All],[Total]],"&gt;0",
PROVEEDORES[[#All],[FECHA DE FACTURACIÓN]],"&gt;="&amp;G$1,
PROVEEDORES[[#All],[FECHA DE FACTURACIÓN]],"&lt;="&amp;EOMONTH(G$1,0),
PROVEEDORES[[#All],[a]],"De Contado",
PROVEEDORES[[#All],[X@]],FALSE)</f>
        <v>30218498.836999997</v>
      </c>
    </row>
    <row r="9" spans="1:7" ht="22.5" customHeight="1" x14ac:dyDescent="0.25">
      <c r="A9" s="100" t="s">
        <v>89</v>
      </c>
      <c r="B9" s="101">
        <f>SUMIFS(PROVEEDORES[[#All],[Total]],
PROVEEDORES[[#All],[Total]],"&gt;0",
PROVEEDORES[[#All],[FECHA DE FACTURACIÓN]],"&gt;="&amp;B$1,
PROVEEDORES[[#All],[FECHA DE FACTURACIÓN]],"&lt;="&amp;EOMONTH(B$1,0),
PROVEEDORES[[#All],[a]],"Crédito")</f>
        <v>258380580.99999997</v>
      </c>
      <c r="C9" s="92">
        <f>SUMIFS(PROVEEDORES[[#All],[Total]],
PROVEEDORES[[#All],[Total]],"&gt;0",
PROVEEDORES[[#All],[FECHA DE FACTURACIÓN]],"&gt;="&amp;C$1,
PROVEEDORES[[#All],[FECHA DE FACTURACIÓN]],"&lt;="&amp;EOMONTH(C$1,0),
PROVEEDORES[[#All],[a]],"Crédito",
PROVEEDORES[[#All],[X@]],FALSE)</f>
        <v>88371951.287049994</v>
      </c>
      <c r="D9" s="92">
        <f>SUMIFS(PROVEEDORES[[#All],[Total]],
PROVEEDORES[[#All],[Total]],"&gt;0",
PROVEEDORES[[#All],[FECHA DE FACTURACIÓN]],"&gt;="&amp;D$1,
PROVEEDORES[[#All],[FECHA DE FACTURACIÓN]],"&lt;="&amp;EOMONTH(D$1,0),
PROVEEDORES[[#All],[a]],"Crédito",
PROVEEDORES[[#All],[X@]],FALSE)</f>
        <v>138850186.79960001</v>
      </c>
      <c r="E9" s="92">
        <f>SUMIFS(PROVEEDORES[[#All],[Total]],
PROVEEDORES[[#All],[Total]],"&gt;0",
PROVEEDORES[[#All],[FECHA DE FACTURACIÓN]],"&gt;="&amp;E$1,
PROVEEDORES[[#All],[FECHA DE FACTURACIÓN]],"&lt;="&amp;EOMONTH(E$1,0),
PROVEEDORES[[#All],[a]],"Crédito",
PROVEEDORES[[#All],[X@]],FALSE)</f>
        <v>204641227.65124997</v>
      </c>
      <c r="F9" s="92">
        <f>SUMIFS(PROVEEDORES[[#All],[Total]],
PROVEEDORES[[#All],[Total]],"&gt;0",
PROVEEDORES[[#All],[FECHA DE FACTURACIÓN]],"&gt;="&amp;F$1,
PROVEEDORES[[#All],[FECHA DE FACTURACIÓN]],"&lt;="&amp;EOMONTH(F$1,0),
PROVEEDORES[[#All],[a]],"Crédito",
PROVEEDORES[[#All],[X@]],FALSE)</f>
        <v>235989838.27500001</v>
      </c>
      <c r="G9" s="92">
        <f>SUMIFS(PROVEEDORES[[#All],[Total]],
PROVEEDORES[[#All],[Total]],"&gt;0",
PROVEEDORES[[#All],[FECHA DE FACTURACIÓN]],"&gt;="&amp;G$1,
PROVEEDORES[[#All],[FECHA DE FACTURACIÓN]],"&lt;="&amp;EOMONTH(G$1,0),
PROVEEDORES[[#All],[a]],"Crédito",
PROVEEDORES[[#All],[X@]],FALSE)</f>
        <v>88313507.215000004</v>
      </c>
    </row>
    <row r="10" spans="1:7" ht="22.5" customHeight="1" x14ac:dyDescent="0.25">
      <c r="A10" s="102" t="s">
        <v>90</v>
      </c>
      <c r="B10" s="103">
        <f t="shared" ref="B10:G10" si="0">B8+B9</f>
        <v>286746868.88</v>
      </c>
      <c r="C10" s="93">
        <f t="shared" si="0"/>
        <v>111591831.28704999</v>
      </c>
      <c r="D10" s="93">
        <f t="shared" si="0"/>
        <v>164731630.48610002</v>
      </c>
      <c r="E10" s="93">
        <f t="shared" si="0"/>
        <v>220849960.89124998</v>
      </c>
      <c r="F10" s="93">
        <f t="shared" si="0"/>
        <v>272580784.34500003</v>
      </c>
      <c r="G10" s="93">
        <f t="shared" si="0"/>
        <v>118532006.052</v>
      </c>
    </row>
    <row r="11" spans="1:7" ht="22.5" customHeight="1" x14ac:dyDescent="0.25">
      <c r="A11" s="102" t="s">
        <v>93</v>
      </c>
      <c r="B11" s="103">
        <f t="shared" ref="B11:G11" si="1">SUM(B22:B27)</f>
        <v>25430800</v>
      </c>
      <c r="C11" s="93">
        <f t="shared" si="1"/>
        <v>43118398.169999994</v>
      </c>
      <c r="D11" s="93">
        <f t="shared" si="1"/>
        <v>-3216998.6899999995</v>
      </c>
      <c r="E11" s="93">
        <f t="shared" si="1"/>
        <v>-6493857.3200000012</v>
      </c>
      <c r="F11" s="93">
        <f t="shared" si="1"/>
        <v>-6493857.7300000014</v>
      </c>
      <c r="G11" s="93">
        <f t="shared" si="1"/>
        <v>-19468449.540000003</v>
      </c>
    </row>
    <row r="12" spans="1:7" ht="22.5" customHeight="1" x14ac:dyDescent="0.25">
      <c r="A12" s="100" t="s">
        <v>94</v>
      </c>
      <c r="B12" s="101">
        <f t="shared" ref="B12:G12" si="2">SUM(B22:B30)</f>
        <v>57840858</v>
      </c>
      <c r="C12" s="92">
        <f t="shared" si="2"/>
        <v>56752965.789999992</v>
      </c>
      <c r="D12" s="92">
        <f t="shared" si="2"/>
        <v>30872180.949999999</v>
      </c>
      <c r="E12" s="92">
        <f t="shared" si="2"/>
        <v>4614380.4299999988</v>
      </c>
      <c r="F12" s="92">
        <f t="shared" si="2"/>
        <v>838465.01999999862</v>
      </c>
      <c r="G12" s="92">
        <f t="shared" si="2"/>
        <v>-4400540.0400000028</v>
      </c>
    </row>
    <row r="13" spans="1:7" ht="22.5" customHeight="1" x14ac:dyDescent="0.25">
      <c r="A13" s="100" t="s">
        <v>96</v>
      </c>
      <c r="B13" s="101">
        <f xml:space="preserve">
SUMIFS(PROVEEDORES[[#All],[Descuento
$]],
PROVEEDORES[[#All],[FECHA DE PAGO]],"&gt;="&amp;B$1,
PROVEEDORES[[#All],[FECHA DE PAGO]],"&lt;="&amp;EOMONTH(B$1,0))</f>
        <v>0</v>
      </c>
      <c r="C13" s="92">
        <f xml:space="preserve">
SUMIFS(PROVEEDORES[[#All],[Descuento
$]],
PROVEEDORES[[#All],[FECHA DE PAGO]],"&gt;="&amp;C$1,
PROVEEDORES[[#All],[FECHA DE PAGO]],"&lt;="&amp;EOMONTH(C$1,0))</f>
        <v>0</v>
      </c>
      <c r="D13" s="92">
        <f xml:space="preserve">
SUMIFS(PROVEEDORES[[#All],[Descuento
$]],
PROVEEDORES[[#All],[FECHA DE PAGO]],"&gt;="&amp;D$1,
PROVEEDORES[[#All],[FECHA DE PAGO]],"&lt;="&amp;EOMONTH(D$1,0))</f>
        <v>681439.04</v>
      </c>
      <c r="E13" s="92">
        <f xml:space="preserve">
SUMIFS(PROVEEDORES[[#All],[Descuento
$]],
PROVEEDORES[[#All],[FECHA DE PAGO]],"&gt;="&amp;E$1,
PROVEEDORES[[#All],[FECHA DE PAGO]],"&lt;="&amp;EOMONTH(E$1,0))</f>
        <v>681411</v>
      </c>
      <c r="F13" s="92">
        <f xml:space="preserve">
SUMIFS(PROVEEDORES[[#All],[Descuento
$]],
PROVEEDORES[[#All],[FECHA DE PAGO]],"&gt;="&amp;F$1,
PROVEEDORES[[#All],[FECHA DE PAGO]],"&lt;="&amp;EOMONTH(F$1,0))</f>
        <v>1051831</v>
      </c>
      <c r="G13" s="92">
        <f xml:space="preserve">
SUMIFS(PROVEEDORES[[#All],[Descuento
$]],
PROVEEDORES[[#All],[FECHA DE PAGO]],"&gt;="&amp;G$1,
PROVEEDORES[[#All],[FECHA DE PAGO]],"&lt;="&amp;EOMONTH(G$1,0))</f>
        <v>787037</v>
      </c>
    </row>
    <row r="14" spans="1:7" ht="22.5" customHeight="1" x14ac:dyDescent="0.25">
      <c r="A14" s="100" t="s">
        <v>128</v>
      </c>
      <c r="B14" s="101">
        <f>SUMIFS(FINANCIACION[[#All],[$ INTERESES]],
FINANCIACION[[#All],[Fecha]],"&gt;="&amp;B$1,
FINANCIACION[[#All],[Fecha]],"&lt;="&amp;EOMONTH(B$1,0))</f>
        <v>15997880</v>
      </c>
      <c r="C14" s="92">
        <f>SUMIFS(FINANCIACION[[#All],[$ INTERESES]],
FINANCIACION[[#All],[Fecha]],"&gt;="&amp;C$1,
FINANCIACION[[#All],[Fecha]],"&lt;="&amp;EOMONTH(C$1,0))</f>
        <v>12697898.695390742</v>
      </c>
      <c r="D14" s="92">
        <f>SUMIFS(FINANCIACION[[#All],[$ INTERESES]],
FINANCIACION[[#All],[Fecha]],"&gt;="&amp;D$1,
FINANCIACION[[#All],[Fecha]],"&lt;="&amp;EOMONTH(D$1,0))</f>
        <v>7380093.2400000002</v>
      </c>
      <c r="E14" s="92">
        <f>SUMIFS(FINANCIACION[[#All],[$ INTERESES]],
FINANCIACION[[#All],[Fecha]],"&gt;="&amp;E$1,
FINANCIACION[[#All],[Fecha]],"&lt;="&amp;EOMONTH(E$1,0))</f>
        <v>9403017.5899999999</v>
      </c>
      <c r="F14" s="92">
        <f>SUMIFS(FINANCIACION[[#All],[$ INTERESES]],
FINANCIACION[[#All],[Fecha]],"&gt;="&amp;F$1,
FINANCIACION[[#All],[Fecha]],"&lt;="&amp;EOMONTH(F$1,0))</f>
        <v>11205073.07</v>
      </c>
      <c r="G14" s="92">
        <f>SUMIFS(FINANCIACION[[#All],[$ INTERESES]],
FINANCIACION[[#All],[Fecha]],"&gt;="&amp;G$1,
FINANCIACION[[#All],[Fecha]],"&lt;="&amp;EOMONTH(G$1,0))</f>
        <v>5285589.6099999994</v>
      </c>
    </row>
    <row r="15" spans="1:7" ht="22.5" customHeight="1" x14ac:dyDescent="0.25">
      <c r="A15" s="100" t="s">
        <v>113</v>
      </c>
      <c r="B15" s="101">
        <f t="shared" ref="B15:G15" si="3">B18+B19</f>
        <v>1380265709.0463738</v>
      </c>
      <c r="C15" s="92">
        <f t="shared" si="3"/>
        <v>1318563828.5385642</v>
      </c>
      <c r="D15" s="92">
        <f t="shared" si="3"/>
        <v>1353449982.0909643</v>
      </c>
      <c r="E15" s="92">
        <f t="shared" si="3"/>
        <v>1395188637.6521142</v>
      </c>
      <c r="F15" s="92">
        <f t="shared" si="3"/>
        <v>1484194385.8915143</v>
      </c>
      <c r="G15" s="92">
        <f t="shared" si="3"/>
        <v>1454571483.1415143</v>
      </c>
    </row>
    <row r="16" spans="1:7" ht="22.5" customHeight="1" x14ac:dyDescent="0.25">
      <c r="A16" s="102" t="s">
        <v>1529</v>
      </c>
      <c r="B16" s="92">
        <f xml:space="preserve">
SUMIFS(PROVEEDORES[[#All],[Total]],
PROVEEDORES[[#All],[ALMA/INSTI]],"ALMACENES",
PROVEEDORES[[#All],[FECHA DE FACTURACIÓN]],"&lt;="&amp;EOMONTH(B$1,0),
PROVEEDORES[[#All],[FECHA DE PAGO]],"")
+
SUMIFS(PROVEEDORES[[#All],[Total]],
PROVEEDORES[[#All],[ALMA/INSTI]],"ALMACENES",
PROVEEDORES[[#All],[FECHA DE FACTURACIÓN]],"&lt;="&amp;EOMONTH(B$1,0),
PROVEEDORES[[#All],[FECHA DE PAGO]],"&gt;"&amp;EOMONTH(B$1,0))</f>
        <v>297618631.40729994</v>
      </c>
      <c r="C16" s="92">
        <f xml:space="preserve">
SUMIFS(PROVEEDORES[[#All],[Total]],
PROVEEDORES[[#All],[ALMA/INSTI]],"ALMACENES",
PROVEEDORES[[#All],[FECHA DE FACTURACIÓN]],"&lt;="&amp;EOMONTH(C$1,0),
PROVEEDORES[[#All],[FECHA DE PAGO]],"")
+
SUMIFS(PROVEEDORES[[#All],[Total]],
PROVEEDORES[[#All],[ALMA/INSTI]],"ALMACENES",
PROVEEDORES[[#All],[FECHA DE FACTURACIÓN]],"&lt;="&amp;EOMONTH(C$1,0),
PROVEEDORES[[#All],[FECHA DE PAGO]],"&gt;"&amp;EOMONTH(C$1,0))</f>
        <v>158760867.01109999</v>
      </c>
      <c r="D16" s="92">
        <f xml:space="preserve">
SUMIFS(PROVEEDORES[[#All],[Total]],
PROVEEDORES[[#All],[ALMA/INSTI]],"ALMACENES",
PROVEEDORES[[#All],[FECHA DE FACTURACIÓN]],"&lt;="&amp;EOMONTH(D$1,0),
PROVEEDORES[[#All],[FECHA DE PAGO]],"")
+
SUMIFS(PROVEEDORES[[#All],[Total]],
PROVEEDORES[[#All],[ALMA/INSTI]],"ALMACENES",
PROVEEDORES[[#All],[FECHA DE FACTURACIÓN]],"&lt;="&amp;EOMONTH(D$1,0),
PROVEEDORES[[#All],[FECHA DE PAGO]],"&gt;"&amp;EOMONTH(D$1,0))</f>
        <v>139042894.1789</v>
      </c>
      <c r="E16" s="92">
        <f xml:space="preserve">
SUMIFS(PROVEEDORES[[#All],[Total]],
PROVEEDORES[[#All],[ALMA/INSTI]],"ALMACENES",
PROVEEDORES[[#All],[FECHA DE FACTURACIÓN]],"&lt;="&amp;EOMONTH(E$1,0),
PROVEEDORES[[#All],[FECHA DE PAGO]],"")
+
SUMIFS(PROVEEDORES[[#All],[Total]],
PROVEEDORES[[#All],[ALMA/INSTI]],"ALMACENES",
PROVEEDORES[[#All],[FECHA DE FACTURACIÓN]],"&lt;="&amp;EOMONTH(E$1,0),
PROVEEDORES[[#All],[FECHA DE PAGO]],"&gt;"&amp;EOMONTH(E$1,0))</f>
        <v>176503206.20604998</v>
      </c>
      <c r="F16" s="92">
        <f xml:space="preserve">
SUMIFS(PROVEEDORES[[#All],[Total]],
PROVEEDORES[[#All],[ALMA/INSTI]],"ALMACENES",
PROVEEDORES[[#All],[FECHA DE FACTURACIÓN]],"&lt;="&amp;EOMONTH(F$1,0),
PROVEEDORES[[#All],[FECHA DE PAGO]],"")
+
SUMIFS(PROVEEDORES[[#All],[Total]],
PROVEEDORES[[#All],[ALMA/INSTI]],"ALMACENES",
PROVEEDORES[[#All],[FECHA DE FACTURACIÓN]],"&lt;="&amp;EOMONTH(F$1,0),
PROVEEDORES[[#All],[FECHA DE PAGO]],"&gt;"&amp;EOMONTH(F$1,0))</f>
        <v>223428269.62205005</v>
      </c>
      <c r="G16" s="92">
        <f xml:space="preserve">
SUMIFS(PROVEEDORES[[#All],[Total]],
PROVEEDORES[[#All],[ALMA/INSTI]],"ALMACENES",
PROVEEDORES[[#All],[FECHA DE FACTURACIÓN]],"&lt;="&amp;EOMONTH(G$1,0),
PROVEEDORES[[#All],[FECHA DE PAGO]],"")
+
SUMIFS(PROVEEDORES[[#All],[Total]],
PROVEEDORES[[#All],[ALMA/INSTI]],"ALMACENES",
PROVEEDORES[[#All],[FECHA DE FACTURACIÓN]],"&lt;="&amp;EOMONTH(G$1,0),
PROVEEDORES[[#All],[FECHA DE PAGO]],"&gt;"&amp;EOMONTH(G$1,0))</f>
        <v>176820811.84205005</v>
      </c>
    </row>
    <row r="17" spans="1:7" ht="22.5" customHeight="1" x14ac:dyDescent="0.25">
      <c r="A17" s="102" t="s">
        <v>1528</v>
      </c>
      <c r="B17" s="92">
        <f xml:space="preserve">
SUMIFS(PROVEEDORES[[#All],[Total]],
PROVEEDORES[[#All],[ALMA/INSTI]],"INSTITUCIONALES",
PROVEEDORES[[#All],[FECHA DE FACTURACIÓN]],"&lt;="&amp;EOMONTH(B$1,0),
PROVEEDORES[[#All],[FECHA DE PAGO]],"")
+
SUMIFS(PROVEEDORES[[#All],[Total]],
PROVEEDORES[[#All],[ALMA/INSTI]],"INSTITUCIONALES",
PROVEEDORES[[#All],[FECHA DE FACTURACIÓN]],"&lt;="&amp;EOMONTH(B$1,0),
PROVEEDORES[[#All],[FECHA DE PAGO]],"&gt;"&amp;EOMONTH(B$1,0))</f>
        <v>40333227.650000006</v>
      </c>
      <c r="C17" s="92">
        <f xml:space="preserve">
SUMIFS(PROVEEDORES[[#All],[Total]],
PROVEEDORES[[#All],[ALMA/INSTI]],"INSTITUCIONALES",
PROVEEDORES[[#All],[FECHA DE FACTURACIÓN]],"&lt;="&amp;EOMONTH(C$1,0),
PROVEEDORES[[#All],[FECHA DE PAGO]],"")
+
SUMIFS(PROVEEDORES[[#All],[Total]],
PROVEEDORES[[#All],[ALMA/INSTI]],"INSTITUCIONALES",
PROVEEDORES[[#All],[FECHA DE FACTURACIÓN]],"&lt;="&amp;EOMONTH(C$1,0),
PROVEEDORES[[#All],[FECHA DE PAGO]],"&gt;"&amp;EOMONTH(C$1,0))</f>
        <v>52753264.972999997</v>
      </c>
      <c r="D17" s="92">
        <f xml:space="preserve">
SUMIFS(PROVEEDORES[[#All],[Total]],
PROVEEDORES[[#All],[ALMA/INSTI]],"INSTITUCIONALES",
PROVEEDORES[[#All],[FECHA DE FACTURACIÓN]],"&lt;="&amp;EOMONTH(D$1,0),
PROVEEDORES[[#All],[FECHA DE PAGO]],"")
+
SUMIFS(PROVEEDORES[[#All],[Total]],
PROVEEDORES[[#All],[ALMA/INSTI]],"INSTITUCIONALES",
PROVEEDORES[[#All],[FECHA DE FACTURACIÓN]],"&lt;="&amp;EOMONTH(D$1,0),
PROVEEDORES[[#All],[FECHA DE PAGO]],"&gt;"&amp;EOMONTH(D$1,0))</f>
        <v>63611887.747600004</v>
      </c>
      <c r="E17" s="92">
        <f xml:space="preserve">
SUMIFS(PROVEEDORES[[#All],[Total]],
PROVEEDORES[[#All],[ALMA/INSTI]],"INSTITUCIONALES",
PROVEEDORES[[#All],[FECHA DE FACTURACIÓN]],"&lt;="&amp;EOMONTH(E$1,0),
PROVEEDORES[[#All],[FECHA DE PAGO]],"")
+
SUMIFS(PROVEEDORES[[#All],[Total]],
PROVEEDORES[[#All],[ALMA/INSTI]],"INSTITUCIONALES",
PROVEEDORES[[#All],[FECHA DE FACTURACIÓN]],"&lt;="&amp;EOMONTH(E$1,0),
PROVEEDORES[[#All],[FECHA DE PAGO]],"&gt;"&amp;EOMONTH(E$1,0))</f>
        <v>78267485.971600011</v>
      </c>
      <c r="F17" s="92">
        <f xml:space="preserve">
SUMIFS(PROVEEDORES[[#All],[Total]],
PROVEEDORES[[#All],[ALMA/INSTI]],"INSTITUCIONALES",
PROVEEDORES[[#All],[FECHA DE FACTURACIÓN]],"&lt;="&amp;EOMONTH(F$1,0),
PROVEEDORES[[#All],[FECHA DE PAGO]],"")
+
SUMIFS(PROVEEDORES[[#All],[Total]],
PROVEEDORES[[#All],[ALMA/INSTI]],"INSTITUCIONALES",
PROVEEDORES[[#All],[FECHA DE FACTURACIÓN]],"&lt;="&amp;EOMONTH(F$1,0),
PROVEEDORES[[#All],[FECHA DE PAGO]],"&gt;"&amp;EOMONTH(F$1,0))</f>
        <v>82258901.204999998</v>
      </c>
      <c r="G17" s="92">
        <f xml:space="preserve">
SUMIFS(PROVEEDORES[[#All],[Total]],
PROVEEDORES[[#All],[ALMA/INSTI]],"INSTITUCIONALES",
PROVEEDORES[[#All],[FECHA DE FACTURACIÓN]],"&lt;="&amp;EOMONTH(G$1,0),
PROVEEDORES[[#All],[FECHA DE PAGO]],"")
+
SUMIFS(PROVEEDORES[[#All],[Total]],
PROVEEDORES[[#All],[ALMA/INSTI]],"INSTITUCIONALES",
PROVEEDORES[[#All],[FECHA DE FACTURACIÓN]],"&lt;="&amp;EOMONTH(G$1,0),
PROVEEDORES[[#All],[FECHA DE PAGO]],"&gt;"&amp;EOMONTH(G$1,0))</f>
        <v>44263666.454999998</v>
      </c>
    </row>
    <row r="18" spans="1:7" ht="22.5" customHeight="1" x14ac:dyDescent="0.25">
      <c r="A18" s="102" t="s">
        <v>91</v>
      </c>
      <c r="B18" s="93">
        <f t="shared" ref="B18:G18" si="4">+B16+B17</f>
        <v>337951859.05729997</v>
      </c>
      <c r="C18" s="93">
        <f t="shared" si="4"/>
        <v>211514131.98409998</v>
      </c>
      <c r="D18" s="93">
        <f t="shared" si="4"/>
        <v>202654781.92650002</v>
      </c>
      <c r="E18" s="93">
        <f t="shared" si="4"/>
        <v>254770692.17764997</v>
      </c>
      <c r="F18" s="93">
        <f t="shared" si="4"/>
        <v>305687170.82705003</v>
      </c>
      <c r="G18" s="93">
        <f t="shared" si="4"/>
        <v>221084478.29705006</v>
      </c>
    </row>
    <row r="19" spans="1:7" ht="22.5" customHeight="1" x14ac:dyDescent="0.25">
      <c r="A19" s="100" t="s">
        <v>92</v>
      </c>
      <c r="B19" s="101">
        <f>ABS(SUMIFS(FINANCIACION[$ CAPITAL],
FINANCIACION[Fecha],"&lt;="&amp;EOMONTH(B$1,0)))</f>
        <v>1042313849.9890738</v>
      </c>
      <c r="C19" s="92">
        <f>ABS(SUMIFS(FINANCIACION[$ CAPITAL],
FINANCIACION[Fecha],"&lt;="&amp;EOMONTH(C$1,0)))</f>
        <v>1107049696.5544643</v>
      </c>
      <c r="D19" s="92">
        <f>ABS(SUMIFS(FINANCIACION[$ CAPITAL],
FINANCIACION[Fecha],"&lt;="&amp;EOMONTH(D$1,0)))</f>
        <v>1150795200.1644642</v>
      </c>
      <c r="E19" s="92">
        <f>ABS(SUMIFS(FINANCIACION[$ CAPITAL],
FINANCIACION[Fecha],"&lt;="&amp;EOMONTH(E$1,0)))</f>
        <v>1140417945.4744642</v>
      </c>
      <c r="F19" s="92">
        <f>ABS(SUMIFS(FINANCIACION[$ CAPITAL],
FINANCIACION[Fecha],"&lt;="&amp;EOMONTH(F$1,0)))</f>
        <v>1178507215.0644643</v>
      </c>
      <c r="G19" s="92">
        <f>ABS(SUMIFS(FINANCIACION[$ CAPITAL],
FINANCIACION[Fecha],"&lt;="&amp;EOMONTH(G$1,0)))</f>
        <v>1233487004.8444643</v>
      </c>
    </row>
    <row r="20" spans="1:7" ht="22.5" customHeight="1" x14ac:dyDescent="0.25">
      <c r="A20" s="100" t="s">
        <v>98</v>
      </c>
      <c r="B20" s="101">
        <f t="shared" ref="B20:G20" si="5">B18-B21</f>
        <v>301568531.11109996</v>
      </c>
      <c r="C20" s="92">
        <f t="shared" si="5"/>
        <v>148835243.0029</v>
      </c>
      <c r="D20" s="92">
        <f t="shared" si="5"/>
        <v>153520603.02460003</v>
      </c>
      <c r="E20" s="92">
        <f t="shared" si="5"/>
        <v>196617183.66464996</v>
      </c>
      <c r="F20" s="92">
        <f t="shared" si="5"/>
        <v>251621849.92705002</v>
      </c>
      <c r="G20" s="92">
        <f t="shared" si="5"/>
        <v>125022715.00565004</v>
      </c>
    </row>
    <row r="21" spans="1:7" ht="22.5" customHeight="1" x14ac:dyDescent="0.25">
      <c r="A21" s="85" t="s">
        <v>97</v>
      </c>
      <c r="B21" s="84">
        <v>36383327.946199998</v>
      </c>
      <c r="C21" s="84">
        <v>62678888.981199995</v>
      </c>
      <c r="D21" s="113">
        <v>49134178.901899993</v>
      </c>
      <c r="E21" s="113">
        <v>58153508.512999997</v>
      </c>
      <c r="F21" s="113">
        <v>54065320.899999999</v>
      </c>
      <c r="G21" s="113">
        <v>96061763.291400015</v>
      </c>
    </row>
    <row r="22" spans="1:7" ht="22.5" customHeight="1" x14ac:dyDescent="0.25">
      <c r="A22" s="23" t="s">
        <v>208</v>
      </c>
      <c r="B22" s="21">
        <f>14792000+10633000</f>
        <v>25425000</v>
      </c>
      <c r="C22" s="80">
        <f>4074949.99+1697797.32</f>
        <v>5772747.3100000005</v>
      </c>
      <c r="D22" s="112">
        <f>3020250.43-1026461.02</f>
        <v>1993789.4100000001</v>
      </c>
      <c r="E22" s="112">
        <f>8304410-7085982</f>
        <v>1218428</v>
      </c>
      <c r="F22" s="112">
        <f>8304410.53-7085982.94</f>
        <v>1218427.5899999999</v>
      </c>
      <c r="G22" s="112">
        <f>2398425.66+4168914.94</f>
        <v>6567340.5999999996</v>
      </c>
    </row>
    <row r="23" spans="1:7" ht="22.5" customHeight="1" x14ac:dyDescent="0.25">
      <c r="A23" s="23" t="s">
        <v>103</v>
      </c>
      <c r="B23" s="21">
        <v>577665</v>
      </c>
      <c r="C23" s="80">
        <v>582653.24</v>
      </c>
      <c r="D23" s="112">
        <v>587929.17000000004</v>
      </c>
      <c r="E23" s="112">
        <v>593185.92000000004</v>
      </c>
      <c r="F23" s="112">
        <v>593185.92000000004</v>
      </c>
      <c r="G23" s="112">
        <v>583806</v>
      </c>
    </row>
    <row r="24" spans="1:7" ht="22.5" customHeight="1" x14ac:dyDescent="0.25">
      <c r="A24" s="23" t="s">
        <v>129</v>
      </c>
      <c r="B24" s="21">
        <f>1599000-6198000</f>
        <v>-4599000</v>
      </c>
      <c r="C24" s="80">
        <v>31338051</v>
      </c>
      <c r="D24" s="112">
        <f>1915304.07-6023397.66</f>
        <v>-4108093.59</v>
      </c>
      <c r="E24" s="112">
        <f>-2572083.85-6282155.69</f>
        <v>-8854239.540000001</v>
      </c>
      <c r="F24" s="112">
        <f>-2572083.85-6282155.69</f>
        <v>-8854239.540000001</v>
      </c>
      <c r="G24" s="112">
        <v>-10824701.65</v>
      </c>
    </row>
    <row r="25" spans="1:7" ht="22.5" customHeight="1" x14ac:dyDescent="0.25">
      <c r="A25" s="23" t="s">
        <v>104</v>
      </c>
      <c r="B25" s="21">
        <v>376846</v>
      </c>
      <c r="C25" s="80">
        <v>388390.57</v>
      </c>
      <c r="D25" s="112">
        <v>383474.26</v>
      </c>
      <c r="E25" s="112">
        <v>386863.38</v>
      </c>
      <c r="F25" s="112">
        <v>386863.38</v>
      </c>
      <c r="G25" s="112">
        <v>391190.15</v>
      </c>
    </row>
    <row r="26" spans="1:7" ht="22.5" customHeight="1" x14ac:dyDescent="0.25">
      <c r="A26" s="23" t="s">
        <v>107</v>
      </c>
      <c r="B26" s="21">
        <v>3650289</v>
      </c>
      <c r="C26" s="80">
        <v>5036556.05</v>
      </c>
      <c r="D26" s="112">
        <v>-2074097.94</v>
      </c>
      <c r="E26" s="112">
        <v>161904.92000000001</v>
      </c>
      <c r="F26" s="112">
        <v>161904.92000000001</v>
      </c>
      <c r="G26" s="112">
        <v>-16186084.640000001</v>
      </c>
    </row>
    <row r="27" spans="1:7" ht="22.5" customHeight="1" x14ac:dyDescent="0.25">
      <c r="A27" s="23" t="s">
        <v>108</v>
      </c>
      <c r="B27" s="21">
        <v>0</v>
      </c>
      <c r="C27" s="80">
        <v>0</v>
      </c>
      <c r="D27" s="112">
        <v>0</v>
      </c>
      <c r="E27" s="112">
        <v>0</v>
      </c>
      <c r="F27" s="112">
        <v>0</v>
      </c>
      <c r="G27" s="112"/>
    </row>
    <row r="28" spans="1:7" ht="22.5" customHeight="1" x14ac:dyDescent="0.25">
      <c r="A28" s="23" t="s">
        <v>105</v>
      </c>
      <c r="B28" s="21">
        <v>2673694</v>
      </c>
      <c r="C28" s="80">
        <v>1040982.62</v>
      </c>
      <c r="D28" s="112">
        <v>1861106.64</v>
      </c>
      <c r="E28" s="112">
        <v>304040.75</v>
      </c>
      <c r="F28" s="112">
        <v>304040.75</v>
      </c>
      <c r="G28" s="112">
        <v>3147889.5</v>
      </c>
    </row>
    <row r="29" spans="1:7" ht="22.5" customHeight="1" x14ac:dyDescent="0.25">
      <c r="A29" s="23" t="s">
        <v>401</v>
      </c>
      <c r="B29" s="21">
        <v>746464</v>
      </c>
      <c r="C29" s="80">
        <v>303807</v>
      </c>
      <c r="D29" s="112">
        <v>967470</v>
      </c>
      <c r="E29" s="112">
        <v>1266526</v>
      </c>
      <c r="F29" s="112">
        <v>1266526</v>
      </c>
      <c r="G29" s="112">
        <v>1886844</v>
      </c>
    </row>
    <row r="30" spans="1:7" ht="22.5" customHeight="1" x14ac:dyDescent="0.25">
      <c r="A30" s="23" t="s">
        <v>1502</v>
      </c>
      <c r="B30" s="21">
        <f>1772000+1173400+6500+7023000+4888000+7893000+6234000</f>
        <v>28989900</v>
      </c>
      <c r="C30" s="80">
        <f>180421+11481824+20352+80555+153328+149602+223696</f>
        <v>12289778</v>
      </c>
      <c r="D30" s="112">
        <f>437653+2457000+1907000+22333050+2457000+618300+1050600</f>
        <v>31260603</v>
      </c>
      <c r="E30" s="112">
        <f>8074400+1093472+369799</f>
        <v>9537671</v>
      </c>
      <c r="F30" s="112">
        <f>369+799+1093472+4667116</f>
        <v>5761756</v>
      </c>
      <c r="G30" s="112">
        <f>7219050+1168868+715199+930059</f>
        <v>10033176</v>
      </c>
    </row>
    <row r="31" spans="1:7" ht="22.5" customHeight="1" x14ac:dyDescent="0.25">
      <c r="C31" s="80"/>
    </row>
  </sheetData>
  <pageMargins left="0.7" right="0.7" top="0.75" bottom="0.75" header="0.3" footer="0.3"/>
  <pageSetup paperSize="9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AL800"/>
  <sheetViews>
    <sheetView zoomScaleNormal="100" workbookViewId="0">
      <pane xSplit="1" ySplit="1" topLeftCell="B2" activePane="bottomRight" state="frozen"/>
      <selection activeCell="W4" sqref="W4"/>
      <selection pane="topRight" activeCell="W4" sqref="W4"/>
      <selection pane="bottomLeft" activeCell="W4" sqref="W4"/>
      <selection pane="bottomRight" activeCell="E1" sqref="E1:E1048576"/>
    </sheetView>
  </sheetViews>
  <sheetFormatPr baseColWidth="10" defaultColWidth="0" defaultRowHeight="24" customHeight="1" x14ac:dyDescent="0.25"/>
  <cols>
    <col min="1" max="1" width="14.5703125" style="177" customWidth="1"/>
    <col min="2" max="2" width="35.5703125" style="184" customWidth="1"/>
    <col min="3" max="3" width="18.5703125" style="183" customWidth="1"/>
    <col min="4" max="4" width="16.42578125" style="183" customWidth="1"/>
    <col min="5" max="5" width="18.42578125" style="183" customWidth="1"/>
    <col min="6" max="7" width="15.5703125" style="183" customWidth="1"/>
    <col min="8" max="8" width="13.5703125" style="185" customWidth="1"/>
    <col min="9" max="9" width="15.42578125" style="183" customWidth="1"/>
    <col min="10" max="10" width="18.42578125" style="183" hidden="1" customWidth="1"/>
    <col min="11" max="11" width="26.42578125" style="189" hidden="1" customWidth="1"/>
    <col min="12" max="12" width="43" style="183" hidden="1" customWidth="1"/>
    <col min="13" max="13" width="16.42578125" style="183" hidden="1" customWidth="1"/>
    <col min="14" max="14" width="13.5703125" style="183" hidden="1" customWidth="1"/>
    <col min="15" max="15" width="14.5703125" style="185" hidden="1" customWidth="1"/>
    <col min="16" max="16" width="28.5703125" style="187" hidden="1" customWidth="1"/>
    <col min="17" max="17" width="15.5703125" style="183" hidden="1" customWidth="1"/>
    <col min="18" max="18" width="14.42578125" style="183" hidden="1" customWidth="1"/>
    <col min="19" max="19" width="28" style="183" hidden="1" customWidth="1"/>
    <col min="20" max="20" width="12.42578125" style="183" hidden="1" customWidth="1"/>
    <col min="21" max="21" width="8.42578125" style="183" hidden="1" customWidth="1"/>
    <col min="22" max="22" width="28" style="183" hidden="1" customWidth="1"/>
    <col min="23" max="23" width="13.42578125" style="183" hidden="1" customWidth="1"/>
    <col min="24" max="24" width="18.42578125" style="183" hidden="1" customWidth="1"/>
    <col min="25" max="25" width="19.5703125" style="183" hidden="1" customWidth="1"/>
    <col min="26" max="26" width="5.42578125" style="183" hidden="1" customWidth="1"/>
    <col min="27" max="27" width="9.42578125" style="183" hidden="1" customWidth="1"/>
    <col min="28" max="28" width="14.42578125" style="183" hidden="1" customWidth="1"/>
    <col min="29" max="29" width="16.5703125" style="183" hidden="1" customWidth="1"/>
    <col min="30" max="30" width="9.5703125" style="183" hidden="1" customWidth="1"/>
    <col min="31" max="35" width="12.5703125" style="183" hidden="1" customWidth="1"/>
    <col min="36" max="36" width="11.42578125" style="183" hidden="1" customWidth="1"/>
    <col min="37" max="37" width="16.42578125" style="183" hidden="1" customWidth="1"/>
    <col min="38" max="38" width="14.42578125" style="183" hidden="1" customWidth="1"/>
    <col min="39" max="16384" width="11.42578125" style="183" hidden="1"/>
  </cols>
  <sheetData>
    <row r="1" spans="1:16" ht="46.15" customHeight="1" x14ac:dyDescent="0.25">
      <c r="A1" s="218" t="s">
        <v>196</v>
      </c>
      <c r="B1" s="178" t="s">
        <v>130</v>
      </c>
      <c r="C1" s="178" t="s">
        <v>66</v>
      </c>
      <c r="D1" s="178" t="s">
        <v>35</v>
      </c>
      <c r="E1" s="178" t="s">
        <v>69</v>
      </c>
      <c r="F1" s="179" t="s">
        <v>67</v>
      </c>
      <c r="G1" s="180" t="s">
        <v>1532</v>
      </c>
      <c r="H1" s="178" t="s">
        <v>68</v>
      </c>
      <c r="I1" s="181" t="s">
        <v>38</v>
      </c>
      <c r="J1" s="178" t="s">
        <v>34</v>
      </c>
      <c r="K1" s="182" t="s">
        <v>39</v>
      </c>
      <c r="O1" s="183"/>
      <c r="P1" s="183"/>
    </row>
    <row r="2" spans="1:16" ht="30.75" hidden="1" customHeight="1" x14ac:dyDescent="0.25">
      <c r="A2" s="177">
        <v>44197</v>
      </c>
      <c r="B2" s="184" t="s">
        <v>336</v>
      </c>
      <c r="C2" s="179">
        <v>-13000000</v>
      </c>
      <c r="D2" s="179"/>
      <c r="E2" s="179" t="str">
        <f>+IF(FINANCIACION[[#This Row],[$ CAPITAL]]&gt;=0,FINANCIACION[[#This Row],[$ CAPITAL]]+FINANCIACION[[#This Row],[$ INTERESES]],"")</f>
        <v/>
      </c>
      <c r="F2" s="179">
        <f>+SUMIFS(FINANCIACION[$ CAPITAL],FINANCIACION[Fecha],"&lt;="&amp;FINANCIACION[[#This Row],[Fecha]],FINANCIACION[PRESTAMO],FINANCIACION[[#This Row],[PRESTAMO]])</f>
        <v>-13000000</v>
      </c>
      <c r="G2" s="179"/>
      <c r="H2" s="183"/>
      <c r="I2" s="185"/>
      <c r="J2" s="179" t="b">
        <f>IF(FINANCIACION[[#This Row],[$ CAPITAL]]&gt;0,FINANCIACION[[#This Row],[$ CAPITAL]])</f>
        <v>0</v>
      </c>
      <c r="K2" s="186">
        <f>IF(FINANCIACION[[#This Row],[$ CAPITAL]]&gt;=0,FINANCIACION[[#This Row],[$ CAPITAL]]+FINANCIACION[[#This Row],[$ INTERESES]],0)</f>
        <v>0</v>
      </c>
      <c r="O2" s="183"/>
      <c r="P2" s="183"/>
    </row>
    <row r="3" spans="1:16" ht="24" hidden="1" customHeight="1" x14ac:dyDescent="0.25">
      <c r="A3" s="177">
        <v>44247</v>
      </c>
      <c r="B3" s="184" t="s">
        <v>336</v>
      </c>
      <c r="C3" s="179"/>
      <c r="D3" s="179">
        <v>130000</v>
      </c>
      <c r="E3" s="179">
        <f>+IF(FINANCIACION[[#This Row],[$ CAPITAL]]&gt;=0,FINANCIACION[[#This Row],[$ CAPITAL]]+FINANCIACION[[#This Row],[$ INTERESES]],"")</f>
        <v>130000</v>
      </c>
      <c r="F3" s="179">
        <f>+SUMIFS(FINANCIACION[$ CAPITAL],FINANCIACION[Fecha],"&lt;="&amp;FINANCIACION[[#This Row],[Fecha]],FINANCIACION[PRESTAMO],FINANCIACION[[#This Row],[PRESTAMO]])</f>
        <v>-13000000</v>
      </c>
      <c r="G3" s="179"/>
      <c r="H3" s="183"/>
      <c r="I3" s="185"/>
      <c r="J3" s="179" t="b">
        <f>IF(FINANCIACION[[#This Row],[$ CAPITAL]]&gt;0,FINANCIACION[[#This Row],[$ CAPITAL]])</f>
        <v>0</v>
      </c>
      <c r="K3" s="186">
        <f>IF(FINANCIACION[[#This Row],[$ CAPITAL]]&gt;=0,FINANCIACION[[#This Row],[$ CAPITAL]]+FINANCIACION[[#This Row],[$ INTERESES]],0)</f>
        <v>130000</v>
      </c>
    </row>
    <row r="4" spans="1:16" ht="24" hidden="1" customHeight="1" x14ac:dyDescent="0.25">
      <c r="A4" s="177">
        <v>44265</v>
      </c>
      <c r="B4" s="184" t="s">
        <v>336</v>
      </c>
      <c r="C4" s="179"/>
      <c r="D4" s="179">
        <v>130000</v>
      </c>
      <c r="E4" s="179">
        <f>+IF(FINANCIACION[[#This Row],[$ CAPITAL]]&gt;=0,FINANCIACION[[#This Row],[$ CAPITAL]]+FINANCIACION[[#This Row],[$ INTERESES]],"")</f>
        <v>130000</v>
      </c>
      <c r="F4" s="179">
        <f>+SUMIFS(FINANCIACION[$ CAPITAL],FINANCIACION[Fecha],"&lt;="&amp;FINANCIACION[[#This Row],[Fecha]],FINANCIACION[PRESTAMO],FINANCIACION[[#This Row],[PRESTAMO]])</f>
        <v>-13000000</v>
      </c>
      <c r="G4" s="179"/>
      <c r="H4" s="183"/>
      <c r="I4" s="185"/>
      <c r="J4" s="179" t="b">
        <f>IF(FINANCIACION[[#This Row],[$ CAPITAL]]&gt;0,FINANCIACION[[#This Row],[$ CAPITAL]])</f>
        <v>0</v>
      </c>
      <c r="K4" s="186">
        <f>IF(FINANCIACION[[#This Row],[$ CAPITAL]]&gt;=0,FINANCIACION[[#This Row],[$ CAPITAL]]+FINANCIACION[[#This Row],[$ INTERESES]],0)</f>
        <v>130000</v>
      </c>
    </row>
    <row r="5" spans="1:16" ht="24" hidden="1" customHeight="1" x14ac:dyDescent="0.25">
      <c r="A5" s="177">
        <v>44363</v>
      </c>
      <c r="B5" s="184" t="s">
        <v>336</v>
      </c>
      <c r="C5" s="179"/>
      <c r="D5" s="179">
        <v>390000</v>
      </c>
      <c r="E5" s="179">
        <f>+IF(FINANCIACION[[#This Row],[$ CAPITAL]]&gt;=0,FINANCIACION[[#This Row],[$ CAPITAL]]+FINANCIACION[[#This Row],[$ INTERESES]],"")</f>
        <v>390000</v>
      </c>
      <c r="F5" s="179">
        <f>+SUMIFS(FINANCIACION[$ CAPITAL],FINANCIACION[Fecha],"&lt;="&amp;FINANCIACION[[#This Row],[Fecha]],FINANCIACION[PRESTAMO],FINANCIACION[[#This Row],[PRESTAMO]])</f>
        <v>-13000000</v>
      </c>
      <c r="G5" s="179"/>
      <c r="I5" s="185"/>
      <c r="J5" s="179" t="b">
        <f>IF(FINANCIACION[[#This Row],[$ CAPITAL]]&gt;0,FINANCIACION[[#This Row],[$ CAPITAL]])</f>
        <v>0</v>
      </c>
      <c r="K5" s="186">
        <f>IF(FINANCIACION[[#This Row],[$ CAPITAL]]&gt;=0,FINANCIACION[[#This Row],[$ CAPITAL]]+FINANCIACION[[#This Row],[$ INTERESES]],0)</f>
        <v>390000</v>
      </c>
    </row>
    <row r="6" spans="1:16" ht="24" hidden="1" customHeight="1" x14ac:dyDescent="0.25">
      <c r="A6" s="177">
        <v>44390</v>
      </c>
      <c r="B6" s="184" t="s">
        <v>336</v>
      </c>
      <c r="C6" s="179"/>
      <c r="D6" s="179">
        <v>130000</v>
      </c>
      <c r="E6" s="179">
        <f>+IF(FINANCIACION[[#This Row],[$ CAPITAL]]&gt;=0,FINANCIACION[[#This Row],[$ CAPITAL]]+FINANCIACION[[#This Row],[$ INTERESES]],"")</f>
        <v>130000</v>
      </c>
      <c r="F6" s="179">
        <f>+SUMIFS(FINANCIACION[$ CAPITAL],FINANCIACION[Fecha],"&lt;="&amp;FINANCIACION[[#This Row],[Fecha]],FINANCIACION[PRESTAMO],FINANCIACION[[#This Row],[PRESTAMO]])</f>
        <v>-13000000</v>
      </c>
      <c r="G6" s="179"/>
      <c r="I6" s="185"/>
      <c r="J6" s="179" t="b">
        <f>IF(FINANCIACION[[#This Row],[$ CAPITAL]]&gt;0,FINANCIACION[[#This Row],[$ CAPITAL]])</f>
        <v>0</v>
      </c>
      <c r="K6" s="186">
        <f>IF(FINANCIACION[[#This Row],[$ CAPITAL]]&gt;=0,FINANCIACION[[#This Row],[$ CAPITAL]]+FINANCIACION[[#This Row],[$ INTERESES]],0)</f>
        <v>130000</v>
      </c>
    </row>
    <row r="7" spans="1:16" ht="24" hidden="1" customHeight="1" x14ac:dyDescent="0.25">
      <c r="A7" s="177">
        <v>44425</v>
      </c>
      <c r="B7" s="184" t="s">
        <v>336</v>
      </c>
      <c r="C7" s="179"/>
      <c r="D7" s="179">
        <v>130000</v>
      </c>
      <c r="E7" s="179">
        <f>+IF(FINANCIACION[[#This Row],[$ CAPITAL]]&gt;=0,FINANCIACION[[#This Row],[$ CAPITAL]]+FINANCIACION[[#This Row],[$ INTERESES]],"")</f>
        <v>130000</v>
      </c>
      <c r="F7" s="179">
        <f>+SUMIFS(FINANCIACION[$ CAPITAL],FINANCIACION[Fecha],"&lt;="&amp;FINANCIACION[[#This Row],[Fecha]],FINANCIACION[PRESTAMO],FINANCIACION[[#This Row],[PRESTAMO]])</f>
        <v>-13000000</v>
      </c>
      <c r="G7" s="179"/>
      <c r="I7" s="185"/>
      <c r="J7" s="179" t="b">
        <f>IF(FINANCIACION[[#This Row],[$ CAPITAL]]&gt;0,FINANCIACION[[#This Row],[$ CAPITAL]])</f>
        <v>0</v>
      </c>
      <c r="K7" s="186">
        <f>IF(FINANCIACION[[#This Row],[$ CAPITAL]]&gt;=0,FINANCIACION[[#This Row],[$ CAPITAL]]+FINANCIACION[[#This Row],[$ INTERESES]],0)</f>
        <v>130000</v>
      </c>
    </row>
    <row r="8" spans="1:16" ht="24" hidden="1" customHeight="1" x14ac:dyDescent="0.25">
      <c r="A8" s="177">
        <v>44450</v>
      </c>
      <c r="B8" s="184" t="s">
        <v>336</v>
      </c>
      <c r="C8" s="179"/>
      <c r="D8" s="179">
        <v>130000</v>
      </c>
      <c r="E8" s="179">
        <f>+IF(FINANCIACION[[#This Row],[$ CAPITAL]]&gt;=0,FINANCIACION[[#This Row],[$ CAPITAL]]+FINANCIACION[[#This Row],[$ INTERESES]],"")</f>
        <v>130000</v>
      </c>
      <c r="F8" s="179">
        <f>+SUMIFS(FINANCIACION[$ CAPITAL],FINANCIACION[Fecha],"&lt;="&amp;FINANCIACION[[#This Row],[Fecha]],FINANCIACION[PRESTAMO],FINANCIACION[[#This Row],[PRESTAMO]])</f>
        <v>-13000000</v>
      </c>
      <c r="G8" s="179"/>
      <c r="I8" s="185"/>
      <c r="J8" s="179" t="b">
        <f>IF(FINANCIACION[[#This Row],[$ CAPITAL]]&gt;0,FINANCIACION[[#This Row],[$ CAPITAL]])</f>
        <v>0</v>
      </c>
      <c r="K8" s="186">
        <f>IF(FINANCIACION[[#This Row],[$ CAPITAL]]&gt;=0,FINANCIACION[[#This Row],[$ CAPITAL]]+FINANCIACION[[#This Row],[$ INTERESES]],0)</f>
        <v>130000</v>
      </c>
    </row>
    <row r="9" spans="1:16" ht="24" hidden="1" customHeight="1" x14ac:dyDescent="0.25">
      <c r="A9" s="177">
        <v>44510</v>
      </c>
      <c r="B9" s="184" t="s">
        <v>336</v>
      </c>
      <c r="C9" s="179"/>
      <c r="D9" s="179">
        <v>130000</v>
      </c>
      <c r="E9" s="179">
        <f>+IF(FINANCIACION[[#This Row],[$ CAPITAL]]&gt;=0,FINANCIACION[[#This Row],[$ CAPITAL]]+FINANCIACION[[#This Row],[$ INTERESES]],"")</f>
        <v>130000</v>
      </c>
      <c r="F9" s="179">
        <f>+SUMIFS(FINANCIACION[$ CAPITAL],FINANCIACION[Fecha],"&lt;="&amp;FINANCIACION[[#This Row],[Fecha]],FINANCIACION[PRESTAMO],FINANCIACION[[#This Row],[PRESTAMO]])</f>
        <v>-13000000</v>
      </c>
      <c r="G9" s="179"/>
      <c r="I9" s="185"/>
      <c r="J9" s="179" t="b">
        <f>IF(FINANCIACION[[#This Row],[$ CAPITAL]]&gt;0,FINANCIACION[[#This Row],[$ CAPITAL]])</f>
        <v>0</v>
      </c>
      <c r="K9" s="186">
        <f>IF(FINANCIACION[[#This Row],[$ CAPITAL]]&gt;=0,FINANCIACION[[#This Row],[$ CAPITAL]]+FINANCIACION[[#This Row],[$ INTERESES]],0)</f>
        <v>130000</v>
      </c>
    </row>
    <row r="10" spans="1:16" ht="24" hidden="1" customHeight="1" x14ac:dyDescent="0.25">
      <c r="A10" s="177">
        <v>44539</v>
      </c>
      <c r="B10" s="184" t="s">
        <v>336</v>
      </c>
      <c r="C10" s="179"/>
      <c r="D10" s="179">
        <v>130000</v>
      </c>
      <c r="E10" s="179">
        <f>+IF(FINANCIACION[[#This Row],[$ CAPITAL]]&gt;=0,FINANCIACION[[#This Row],[$ CAPITAL]]+FINANCIACION[[#This Row],[$ INTERESES]],"")</f>
        <v>130000</v>
      </c>
      <c r="F10" s="179">
        <f>+SUMIFS(FINANCIACION[$ CAPITAL],FINANCIACION[Fecha],"&lt;="&amp;FINANCIACION[[#This Row],[Fecha]],FINANCIACION[PRESTAMO],FINANCIACION[[#This Row],[PRESTAMO]])</f>
        <v>-13000000</v>
      </c>
      <c r="G10" s="179"/>
      <c r="I10" s="185"/>
      <c r="J10" s="179" t="b">
        <f>IF(FINANCIACION[[#This Row],[$ CAPITAL]]&gt;0,FINANCIACION[[#This Row],[$ CAPITAL]])</f>
        <v>0</v>
      </c>
      <c r="K10" s="186">
        <f>IF(FINANCIACION[[#This Row],[$ CAPITAL]]&gt;=0,FINANCIACION[[#This Row],[$ CAPITAL]]+FINANCIACION[[#This Row],[$ INTERESES]],0)</f>
        <v>130000</v>
      </c>
    </row>
    <row r="11" spans="1:16" ht="24" hidden="1" customHeight="1" x14ac:dyDescent="0.25">
      <c r="A11" s="177">
        <v>44572</v>
      </c>
      <c r="B11" s="184" t="s">
        <v>336</v>
      </c>
      <c r="C11" s="179"/>
      <c r="D11" s="179">
        <v>130000</v>
      </c>
      <c r="E11" s="179">
        <f>+IF(FINANCIACION[[#This Row],[$ CAPITAL]]&gt;=0,FINANCIACION[[#This Row],[$ CAPITAL]]+FINANCIACION[[#This Row],[$ INTERESES]],"")</f>
        <v>130000</v>
      </c>
      <c r="F11" s="179">
        <f>+SUMIFS(FINANCIACION[$ CAPITAL],FINANCIACION[Fecha],"&lt;="&amp;FINANCIACION[[#This Row],[Fecha]],FINANCIACION[PRESTAMO],FINANCIACION[[#This Row],[PRESTAMO]])</f>
        <v>-13000000</v>
      </c>
      <c r="G11" s="179"/>
      <c r="I11" s="185"/>
      <c r="J11" s="179" t="b">
        <f>IF(FINANCIACION[[#This Row],[$ CAPITAL]]&gt;0,FINANCIACION[[#This Row],[$ CAPITAL]])</f>
        <v>0</v>
      </c>
      <c r="K11" s="186">
        <f>IF(FINANCIACION[[#This Row],[$ CAPITAL]]&gt;=0,FINANCIACION[[#This Row],[$ CAPITAL]]+FINANCIACION[[#This Row],[$ INTERESES]],0)</f>
        <v>130000</v>
      </c>
    </row>
    <row r="12" spans="1:16" ht="24" hidden="1" customHeight="1" x14ac:dyDescent="0.25">
      <c r="A12" s="177">
        <v>44602</v>
      </c>
      <c r="B12" s="184" t="s">
        <v>336</v>
      </c>
      <c r="C12" s="179"/>
      <c r="D12" s="179">
        <v>130000</v>
      </c>
      <c r="E12" s="179">
        <f>+IF(FINANCIACION[[#This Row],[$ CAPITAL]]&gt;=0,FINANCIACION[[#This Row],[$ CAPITAL]]+FINANCIACION[[#This Row],[$ INTERESES]],"")</f>
        <v>130000</v>
      </c>
      <c r="F12" s="179">
        <f>+SUMIFS(FINANCIACION[$ CAPITAL],FINANCIACION[Fecha],"&lt;="&amp;FINANCIACION[[#This Row],[Fecha]],FINANCIACION[PRESTAMO],FINANCIACION[[#This Row],[PRESTAMO]])</f>
        <v>-13000000</v>
      </c>
      <c r="G12" s="179"/>
      <c r="I12" s="185"/>
      <c r="J12" s="179" t="b">
        <f>+IF(FINANCIACION[[#This Row],[$ CAPITAL]]&gt;0,FINANCIACION[[#This Row],[$ CAPITAL]])</f>
        <v>0</v>
      </c>
      <c r="K12" s="186">
        <f>+IF(FINANCIACION[[#This Row],[$ CAPITAL]]&gt;=0,FINANCIACION[[#This Row],[$ CAPITAL]]+FINANCIACION[[#This Row],[$ INTERESES]],0)</f>
        <v>130000</v>
      </c>
    </row>
    <row r="13" spans="1:16" ht="24" hidden="1" customHeight="1" x14ac:dyDescent="0.25">
      <c r="A13" s="177">
        <v>44629</v>
      </c>
      <c r="B13" s="184" t="s">
        <v>336</v>
      </c>
      <c r="C13" s="179"/>
      <c r="D13" s="179">
        <v>130000</v>
      </c>
      <c r="E13" s="179">
        <f>+IF(FINANCIACION[[#This Row],[$ CAPITAL]]&gt;=0,FINANCIACION[[#This Row],[$ CAPITAL]]+FINANCIACION[[#This Row],[$ INTERESES]],"")</f>
        <v>130000</v>
      </c>
      <c r="F13" s="179">
        <f>+SUMIFS(FINANCIACION[$ CAPITAL],FINANCIACION[Fecha],"&lt;="&amp;FINANCIACION[[#This Row],[Fecha]],FINANCIACION[PRESTAMO],FINANCIACION[[#This Row],[PRESTAMO]])</f>
        <v>-13000000</v>
      </c>
      <c r="G13" s="179"/>
      <c r="I13" s="185"/>
      <c r="J13" s="179" t="b">
        <f>+IF(FINANCIACION[[#This Row],[$ CAPITAL]]&gt;0,FINANCIACION[[#This Row],[$ CAPITAL]])</f>
        <v>0</v>
      </c>
      <c r="K13" s="186">
        <f>+IF(FINANCIACION[[#This Row],[$ CAPITAL]]&gt;=0,FINANCIACION[[#This Row],[$ CAPITAL]]+FINANCIACION[[#This Row],[$ INTERESES]],0)</f>
        <v>130000</v>
      </c>
    </row>
    <row r="14" spans="1:16" ht="24" hidden="1" customHeight="1" x14ac:dyDescent="0.25">
      <c r="A14" s="177">
        <v>44662</v>
      </c>
      <c r="B14" s="184" t="s">
        <v>336</v>
      </c>
      <c r="C14" s="179"/>
      <c r="D14" s="179">
        <v>130000</v>
      </c>
      <c r="E14" s="179">
        <f>+IF(FINANCIACION[[#This Row],[$ CAPITAL]]&gt;=0,FINANCIACION[[#This Row],[$ CAPITAL]]+FINANCIACION[[#This Row],[$ INTERESES]],"")</f>
        <v>130000</v>
      </c>
      <c r="F14" s="179">
        <f>+SUMIFS(FINANCIACION[$ CAPITAL],FINANCIACION[Fecha],"&lt;="&amp;FINANCIACION[[#This Row],[Fecha]],FINANCIACION[PRESTAMO],FINANCIACION[[#This Row],[PRESTAMO]])</f>
        <v>-13000000</v>
      </c>
      <c r="G14" s="179"/>
      <c r="I14" s="185"/>
      <c r="J14" s="179" t="b">
        <f>+IF(FINANCIACION[[#This Row],[$ CAPITAL]]&gt;0,FINANCIACION[[#This Row],[$ CAPITAL]])</f>
        <v>0</v>
      </c>
      <c r="K14" s="186">
        <f>+IF(FINANCIACION[[#This Row],[$ CAPITAL]]&gt;=0,FINANCIACION[[#This Row],[$ CAPITAL]]+FINANCIACION[[#This Row],[$ INTERESES]],0)</f>
        <v>130000</v>
      </c>
    </row>
    <row r="15" spans="1:16" ht="24" hidden="1" customHeight="1" x14ac:dyDescent="0.25">
      <c r="A15" s="177">
        <v>44691</v>
      </c>
      <c r="B15" s="184" t="s">
        <v>336</v>
      </c>
      <c r="C15" s="179"/>
      <c r="D15" s="179">
        <v>130000</v>
      </c>
      <c r="E15" s="179">
        <f>+IF(FINANCIACION[[#This Row],[$ CAPITAL]]&gt;=0,FINANCIACION[[#This Row],[$ CAPITAL]]+FINANCIACION[[#This Row],[$ INTERESES]],"")</f>
        <v>130000</v>
      </c>
      <c r="F15" s="179">
        <f>+SUMIFS(FINANCIACION[$ CAPITAL],FINANCIACION[Fecha],"&lt;="&amp;FINANCIACION[[#This Row],[Fecha]],FINANCIACION[PRESTAMO],FINANCIACION[[#This Row],[PRESTAMO]])</f>
        <v>-13000000</v>
      </c>
      <c r="G15" s="179"/>
      <c r="I15" s="185"/>
      <c r="J15" s="179" t="b">
        <f>+IF(FINANCIACION[[#This Row],[$ CAPITAL]]&gt;0,FINANCIACION[[#This Row],[$ CAPITAL]])</f>
        <v>0</v>
      </c>
      <c r="K15" s="186">
        <f>+IF(FINANCIACION[[#This Row],[$ CAPITAL]]&gt;=0,FINANCIACION[[#This Row],[$ CAPITAL]]+FINANCIACION[[#This Row],[$ INTERESES]],0)</f>
        <v>130000</v>
      </c>
    </row>
    <row r="16" spans="1:16" ht="24" hidden="1" customHeight="1" x14ac:dyDescent="0.25">
      <c r="A16" s="177">
        <v>44753</v>
      </c>
      <c r="B16" s="184" t="s">
        <v>336</v>
      </c>
      <c r="C16" s="179"/>
      <c r="D16" s="179">
        <v>130000</v>
      </c>
      <c r="E16" s="179">
        <f>+IF(FINANCIACION[[#This Row],[$ CAPITAL]]&gt;=0,FINANCIACION[[#This Row],[$ CAPITAL]]+FINANCIACION[[#This Row],[$ INTERESES]],"")</f>
        <v>130000</v>
      </c>
      <c r="F16" s="179">
        <f>+SUMIFS(FINANCIACION[$ CAPITAL],FINANCIACION[Fecha],"&lt;="&amp;FINANCIACION[[#This Row],[Fecha]],FINANCIACION[PRESTAMO],FINANCIACION[[#This Row],[PRESTAMO]])</f>
        <v>-13000000</v>
      </c>
      <c r="G16" s="179"/>
      <c r="I16" s="185"/>
      <c r="J16" s="179" t="b">
        <f>+IF(FINANCIACION[[#This Row],[$ CAPITAL]]&gt;0,FINANCIACION[[#This Row],[$ CAPITAL]])</f>
        <v>0</v>
      </c>
      <c r="K16" s="186">
        <f>+IF(FINANCIACION[[#This Row],[$ CAPITAL]]&gt;=0,FINANCIACION[[#This Row],[$ CAPITAL]]+FINANCIACION[[#This Row],[$ INTERESES]],0)</f>
        <v>130000</v>
      </c>
    </row>
    <row r="17" spans="1:11" ht="24" hidden="1" customHeight="1" x14ac:dyDescent="0.25">
      <c r="A17" s="177">
        <v>44777</v>
      </c>
      <c r="B17" s="184" t="s">
        <v>336</v>
      </c>
      <c r="C17" s="179">
        <v>-8000000</v>
      </c>
      <c r="D17" s="179"/>
      <c r="E17" s="179" t="str">
        <f>+IF(FINANCIACION[[#This Row],[$ CAPITAL]]&gt;=0,FINANCIACION[[#This Row],[$ CAPITAL]]+FINANCIACION[[#This Row],[$ INTERESES]],"")</f>
        <v/>
      </c>
      <c r="F17" s="179">
        <f>+SUMIFS(FINANCIACION[$ CAPITAL],FINANCIACION[Fecha],"&lt;="&amp;FINANCIACION[[#This Row],[Fecha]],FINANCIACION[PRESTAMO],FINANCIACION[[#This Row],[PRESTAMO]])</f>
        <v>-15347000</v>
      </c>
      <c r="G17" s="179"/>
      <c r="H17" s="185" t="s">
        <v>437</v>
      </c>
      <c r="I17" s="185"/>
      <c r="J17" s="179" t="b">
        <f>+IF(FINANCIACION[[#This Row],[$ CAPITAL]]&gt;0,FINANCIACION[[#This Row],[$ CAPITAL]])</f>
        <v>0</v>
      </c>
      <c r="K17" s="186">
        <f>+IF(FINANCIACION[[#This Row],[$ CAPITAL]]&gt;=0,FINANCIACION[[#This Row],[$ CAPITAL]]+FINANCIACION[[#This Row],[$ INTERESES]],0)</f>
        <v>0</v>
      </c>
    </row>
    <row r="18" spans="1:11" ht="24" hidden="1" customHeight="1" x14ac:dyDescent="0.25">
      <c r="A18" s="177">
        <v>44777</v>
      </c>
      <c r="B18" s="184" t="s">
        <v>336</v>
      </c>
      <c r="C18" s="179">
        <v>1530000</v>
      </c>
      <c r="D18" s="179"/>
      <c r="E18" s="179">
        <f>+IF(FINANCIACION[[#This Row],[$ CAPITAL]]&gt;=0,FINANCIACION[[#This Row],[$ CAPITAL]]+FINANCIACION[[#This Row],[$ INTERESES]],"")</f>
        <v>1530000</v>
      </c>
      <c r="F18" s="179">
        <f>+SUMIFS(FINANCIACION[$ CAPITAL],FINANCIACION[Fecha],"&lt;="&amp;FINANCIACION[[#This Row],[Fecha]],FINANCIACION[PRESTAMO],FINANCIACION[[#This Row],[PRESTAMO]])</f>
        <v>-15347000</v>
      </c>
      <c r="G18" s="179"/>
      <c r="H18" s="185" t="s">
        <v>437</v>
      </c>
      <c r="I18" s="185"/>
      <c r="J18" s="179">
        <f>+IF(FINANCIACION[[#This Row],[$ CAPITAL]]&gt;0,FINANCIACION[[#This Row],[$ CAPITAL]])</f>
        <v>1530000</v>
      </c>
      <c r="K18" s="186">
        <f>+IF(FINANCIACION[[#This Row],[$ CAPITAL]]&gt;=0,FINANCIACION[[#This Row],[$ CAPITAL]]+FINANCIACION[[#This Row],[$ INTERESES]],0)</f>
        <v>1530000</v>
      </c>
    </row>
    <row r="19" spans="1:11" ht="24" hidden="1" customHeight="1" x14ac:dyDescent="0.25">
      <c r="A19" s="177">
        <v>44777</v>
      </c>
      <c r="B19" s="184" t="s">
        <v>336</v>
      </c>
      <c r="C19" s="179">
        <v>3300000</v>
      </c>
      <c r="D19" s="179"/>
      <c r="E19" s="179">
        <f>+IF(FINANCIACION[[#This Row],[$ CAPITAL]]&gt;=0,FINANCIACION[[#This Row],[$ CAPITAL]]+FINANCIACION[[#This Row],[$ INTERESES]],"")</f>
        <v>3300000</v>
      </c>
      <c r="F19" s="179">
        <f>+SUMIFS(FINANCIACION[$ CAPITAL],FINANCIACION[Fecha],"&lt;="&amp;FINANCIACION[[#This Row],[Fecha]],FINANCIACION[PRESTAMO],FINANCIACION[[#This Row],[PRESTAMO]])</f>
        <v>-15347000</v>
      </c>
      <c r="G19" s="179"/>
      <c r="H19" s="185" t="s">
        <v>437</v>
      </c>
      <c r="I19" s="185"/>
      <c r="J19" s="179">
        <f>+IF(FINANCIACION[[#This Row],[$ CAPITAL]]&gt;0,FINANCIACION[[#This Row],[$ CAPITAL]])</f>
        <v>3300000</v>
      </c>
      <c r="K19" s="186">
        <f>+IF(FINANCIACION[[#This Row],[$ CAPITAL]]&gt;=0,FINANCIACION[[#This Row],[$ CAPITAL]]+FINANCIACION[[#This Row],[$ INTERESES]],0)</f>
        <v>3300000</v>
      </c>
    </row>
    <row r="20" spans="1:11" ht="24" hidden="1" customHeight="1" x14ac:dyDescent="0.25">
      <c r="A20" s="177">
        <v>44777</v>
      </c>
      <c r="B20" s="184" t="s">
        <v>336</v>
      </c>
      <c r="C20" s="179">
        <v>823000</v>
      </c>
      <c r="D20" s="179"/>
      <c r="E20" s="179">
        <f>+IF(FINANCIACION[[#This Row],[$ CAPITAL]]&gt;=0,FINANCIACION[[#This Row],[$ CAPITAL]]+FINANCIACION[[#This Row],[$ INTERESES]],"")</f>
        <v>823000</v>
      </c>
      <c r="F20" s="179">
        <f>+SUMIFS(FINANCIACION[$ CAPITAL],FINANCIACION[Fecha],"&lt;="&amp;FINANCIACION[[#This Row],[Fecha]],FINANCIACION[PRESTAMO],FINANCIACION[[#This Row],[PRESTAMO]])</f>
        <v>-15347000</v>
      </c>
      <c r="G20" s="179"/>
      <c r="H20" s="185" t="s">
        <v>437</v>
      </c>
      <c r="I20" s="185"/>
      <c r="J20" s="179">
        <f>+IF(FINANCIACION[[#This Row],[$ CAPITAL]]&gt;0,FINANCIACION[[#This Row],[$ CAPITAL]])</f>
        <v>823000</v>
      </c>
      <c r="K20" s="186">
        <f>+IF(FINANCIACION[[#This Row],[$ CAPITAL]]&gt;=0,FINANCIACION[[#This Row],[$ CAPITAL]]+FINANCIACION[[#This Row],[$ INTERESES]],0)</f>
        <v>823000</v>
      </c>
    </row>
    <row r="21" spans="1:11" ht="24" hidden="1" customHeight="1" x14ac:dyDescent="0.25">
      <c r="A21" s="177">
        <v>44781</v>
      </c>
      <c r="B21" s="184" t="s">
        <v>336</v>
      </c>
      <c r="C21" s="179">
        <v>2347000</v>
      </c>
      <c r="D21" s="179"/>
      <c r="E21" s="179">
        <f>+IF(FINANCIACION[[#This Row],[$ CAPITAL]]&gt;=0,FINANCIACION[[#This Row],[$ CAPITAL]]+FINANCIACION[[#This Row],[$ INTERESES]],"")</f>
        <v>2347000</v>
      </c>
      <c r="F21" s="179">
        <f>+SUMIFS(FINANCIACION[$ CAPITAL],FINANCIACION[Fecha],"&lt;="&amp;FINANCIACION[[#This Row],[Fecha]],FINANCIACION[PRESTAMO],FINANCIACION[[#This Row],[PRESTAMO]])</f>
        <v>-13000000</v>
      </c>
      <c r="G21" s="179"/>
      <c r="H21" s="185" t="s">
        <v>437</v>
      </c>
      <c r="I21" s="185"/>
      <c r="J21" s="179">
        <f>+IF(FINANCIACION[[#This Row],[$ CAPITAL]]&gt;0,FINANCIACION[[#This Row],[$ CAPITAL]])</f>
        <v>2347000</v>
      </c>
      <c r="K21" s="186">
        <f>+IF(FINANCIACION[[#This Row],[$ CAPITAL]]&gt;=0,FINANCIACION[[#This Row],[$ CAPITAL]]+FINANCIACION[[#This Row],[$ INTERESES]],0)</f>
        <v>2347000</v>
      </c>
    </row>
    <row r="22" spans="1:11" ht="24" hidden="1" customHeight="1" x14ac:dyDescent="0.25">
      <c r="A22" s="177">
        <v>44786</v>
      </c>
      <c r="B22" s="184" t="s">
        <v>336</v>
      </c>
      <c r="C22" s="179"/>
      <c r="D22" s="179">
        <v>130000</v>
      </c>
      <c r="E22" s="179">
        <f>+IF(FINANCIACION[[#This Row],[$ CAPITAL]]&gt;=0,FINANCIACION[[#This Row],[$ CAPITAL]]+FINANCIACION[[#This Row],[$ INTERESES]],"")</f>
        <v>130000</v>
      </c>
      <c r="F22" s="179">
        <f>+SUMIFS(FINANCIACION[$ CAPITAL],FINANCIACION[Fecha],"&lt;="&amp;FINANCIACION[[#This Row],[Fecha]],FINANCIACION[PRESTAMO],FINANCIACION[[#This Row],[PRESTAMO]])</f>
        <v>-13000000</v>
      </c>
      <c r="G22" s="179"/>
      <c r="I22" s="185"/>
      <c r="J22" s="179" t="b">
        <f>+IF(FINANCIACION[[#This Row],[$ CAPITAL]]&gt;0,FINANCIACION[[#This Row],[$ CAPITAL]])</f>
        <v>0</v>
      </c>
      <c r="K22" s="186">
        <f>+IF(FINANCIACION[[#This Row],[$ CAPITAL]]&gt;=0,FINANCIACION[[#This Row],[$ CAPITAL]]+FINANCIACION[[#This Row],[$ INTERESES]],0)</f>
        <v>130000</v>
      </c>
    </row>
    <row r="23" spans="1:11" ht="24" hidden="1" customHeight="1" x14ac:dyDescent="0.25">
      <c r="A23" s="177">
        <v>44817</v>
      </c>
      <c r="B23" s="184" t="s">
        <v>336</v>
      </c>
      <c r="C23" s="179"/>
      <c r="D23" s="179">
        <v>130000</v>
      </c>
      <c r="E23" s="179">
        <f>+IF(FINANCIACION[[#This Row],[$ CAPITAL]]&gt;=0,FINANCIACION[[#This Row],[$ CAPITAL]]+FINANCIACION[[#This Row],[$ INTERESES]],"")</f>
        <v>130000</v>
      </c>
      <c r="F23" s="179">
        <f>+SUMIFS(FINANCIACION[$ CAPITAL],FINANCIACION[Fecha],"&lt;="&amp;FINANCIACION[[#This Row],[Fecha]],FINANCIACION[PRESTAMO],FINANCIACION[[#This Row],[PRESTAMO]])</f>
        <v>-13000000</v>
      </c>
      <c r="G23" s="179"/>
      <c r="I23" s="185"/>
      <c r="J23" s="179" t="b">
        <f>+IF(FINANCIACION[[#This Row],[$ CAPITAL]]&gt;0,FINANCIACION[[#This Row],[$ CAPITAL]])</f>
        <v>0</v>
      </c>
      <c r="K23" s="186">
        <f>+IF(FINANCIACION[[#This Row],[$ CAPITAL]]&gt;=0,FINANCIACION[[#This Row],[$ CAPITAL]]+FINANCIACION[[#This Row],[$ INTERESES]],0)</f>
        <v>130000</v>
      </c>
    </row>
    <row r="24" spans="1:11" ht="24" hidden="1" customHeight="1" x14ac:dyDescent="0.25">
      <c r="A24" s="177">
        <v>44846</v>
      </c>
      <c r="B24" s="184" t="s">
        <v>336</v>
      </c>
      <c r="C24" s="179"/>
      <c r="D24" s="179">
        <v>130000</v>
      </c>
      <c r="E24" s="179">
        <f>+IF(FINANCIACION[[#This Row],[$ CAPITAL]]&gt;=0,FINANCIACION[[#This Row],[$ CAPITAL]]+FINANCIACION[[#This Row],[$ INTERESES]],"")</f>
        <v>130000</v>
      </c>
      <c r="F24" s="179">
        <f>+SUMIFS(FINANCIACION[$ CAPITAL],FINANCIACION[Fecha],"&lt;="&amp;FINANCIACION[[#This Row],[Fecha]],FINANCIACION[PRESTAMO],FINANCIACION[[#This Row],[PRESTAMO]])</f>
        <v>-13000000</v>
      </c>
      <c r="G24" s="179"/>
      <c r="I24" s="185"/>
      <c r="J24" s="179" t="b">
        <f>+IF(FINANCIACION[[#This Row],[$ CAPITAL]]&gt;0,FINANCIACION[[#This Row],[$ CAPITAL]])</f>
        <v>0</v>
      </c>
      <c r="K24" s="186">
        <f>+IF(FINANCIACION[[#This Row],[$ CAPITAL]]&gt;=0,FINANCIACION[[#This Row],[$ CAPITAL]]+FINANCIACION[[#This Row],[$ INTERESES]],0)</f>
        <v>130000</v>
      </c>
    </row>
    <row r="25" spans="1:11" ht="24" hidden="1" customHeight="1" x14ac:dyDescent="0.25">
      <c r="A25" s="177">
        <v>44876</v>
      </c>
      <c r="B25" s="184" t="s">
        <v>336</v>
      </c>
      <c r="C25" s="179"/>
      <c r="D25" s="179">
        <v>130000</v>
      </c>
      <c r="E25" s="179">
        <f>+IF(FINANCIACION[[#This Row],[$ CAPITAL]]&gt;=0,FINANCIACION[[#This Row],[$ CAPITAL]]+FINANCIACION[[#This Row],[$ INTERESES]],"")</f>
        <v>130000</v>
      </c>
      <c r="F25" s="179">
        <f>+SUMIFS(FINANCIACION[$ CAPITAL],FINANCIACION[Fecha],"&lt;="&amp;FINANCIACION[[#This Row],[Fecha]],FINANCIACION[PRESTAMO],FINANCIACION[[#This Row],[PRESTAMO]])</f>
        <v>-13000000</v>
      </c>
      <c r="G25" s="179"/>
      <c r="I25" s="185"/>
      <c r="J25" s="179" t="b">
        <f>+IF(FINANCIACION[[#This Row],[$ CAPITAL]]&gt;0,FINANCIACION[[#This Row],[$ CAPITAL]])</f>
        <v>0</v>
      </c>
      <c r="K25" s="186">
        <f>+IF(FINANCIACION[[#This Row],[$ CAPITAL]]&gt;=0,FINANCIACION[[#This Row],[$ CAPITAL]]+FINANCIACION[[#This Row],[$ INTERESES]],0)</f>
        <v>130000</v>
      </c>
    </row>
    <row r="26" spans="1:11" ht="24" hidden="1" customHeight="1" x14ac:dyDescent="0.25">
      <c r="A26" s="177">
        <v>44909</v>
      </c>
      <c r="B26" s="184" t="s">
        <v>336</v>
      </c>
      <c r="C26" s="179"/>
      <c r="D26" s="179">
        <v>130000</v>
      </c>
      <c r="E26" s="179">
        <f>+IF(FINANCIACION[[#This Row],[$ CAPITAL]]&gt;=0,FINANCIACION[[#This Row],[$ CAPITAL]]+FINANCIACION[[#This Row],[$ INTERESES]],"")</f>
        <v>130000</v>
      </c>
      <c r="F26" s="179">
        <f>+SUMIFS(FINANCIACION[$ CAPITAL],FINANCIACION[Fecha],"&lt;="&amp;FINANCIACION[[#This Row],[Fecha]],FINANCIACION[PRESTAMO],FINANCIACION[[#This Row],[PRESTAMO]])</f>
        <v>-13000000</v>
      </c>
      <c r="G26" s="179"/>
      <c r="I26" s="185"/>
      <c r="J26" s="179" t="b">
        <f>+IF(FINANCIACION[[#This Row],[$ CAPITAL]]&gt;0,FINANCIACION[[#This Row],[$ CAPITAL]])</f>
        <v>0</v>
      </c>
      <c r="K26" s="186">
        <f>+IF(FINANCIACION[[#This Row],[$ CAPITAL]]&gt;=0,FINANCIACION[[#This Row],[$ CAPITAL]]+FINANCIACION[[#This Row],[$ INTERESES]],0)</f>
        <v>130000</v>
      </c>
    </row>
    <row r="27" spans="1:11" ht="24" hidden="1" customHeight="1" x14ac:dyDescent="0.25">
      <c r="A27" s="177">
        <v>44938</v>
      </c>
      <c r="B27" s="184" t="s">
        <v>336</v>
      </c>
      <c r="C27" s="179"/>
      <c r="D27" s="179">
        <v>130000</v>
      </c>
      <c r="E27" s="179">
        <f>+IF(FINANCIACION[[#This Row],[$ CAPITAL]]&gt;=0,FINANCIACION[[#This Row],[$ CAPITAL]]+FINANCIACION[[#This Row],[$ INTERESES]],"")</f>
        <v>130000</v>
      </c>
      <c r="F27" s="179">
        <f>+SUMIFS(FINANCIACION[$ CAPITAL],FINANCIACION[Fecha],"&lt;="&amp;FINANCIACION[[#This Row],[Fecha]],FINANCIACION[PRESTAMO],FINANCIACION[[#This Row],[PRESTAMO]])</f>
        <v>-13000000</v>
      </c>
      <c r="G27" s="179"/>
      <c r="I27" s="185"/>
      <c r="J27" s="179" t="b">
        <f>+IF(FINANCIACION[[#This Row],[$ CAPITAL]]&gt;0,FINANCIACION[[#This Row],[$ CAPITAL]])</f>
        <v>0</v>
      </c>
      <c r="K27" s="186">
        <f>+IF(FINANCIACION[[#This Row],[$ CAPITAL]]&gt;=0,FINANCIACION[[#This Row],[$ CAPITAL]]+FINANCIACION[[#This Row],[$ INTERESES]],0)</f>
        <v>130000</v>
      </c>
    </row>
    <row r="28" spans="1:11" ht="24" hidden="1" customHeight="1" x14ac:dyDescent="0.25">
      <c r="A28" s="177">
        <v>44970</v>
      </c>
      <c r="B28" s="184" t="s">
        <v>336</v>
      </c>
      <c r="C28" s="179"/>
      <c r="D28" s="179">
        <v>130000</v>
      </c>
      <c r="E28" s="179">
        <f>+IF(FINANCIACION[[#This Row],[$ CAPITAL]]&gt;=0,FINANCIACION[[#This Row],[$ CAPITAL]]+FINANCIACION[[#This Row],[$ INTERESES]],"")</f>
        <v>130000</v>
      </c>
      <c r="F28" s="179">
        <f>+SUMIFS(FINANCIACION[$ CAPITAL],FINANCIACION[Fecha],"&lt;="&amp;FINANCIACION[[#This Row],[Fecha]],FINANCIACION[PRESTAMO],FINANCIACION[[#This Row],[PRESTAMO]])</f>
        <v>-13000000</v>
      </c>
      <c r="G28" s="179"/>
      <c r="I28" s="185"/>
      <c r="J28" s="179" t="b">
        <f>+IF(FINANCIACION[[#This Row],[$ CAPITAL]]&gt;0,FINANCIACION[[#This Row],[$ CAPITAL]])</f>
        <v>0</v>
      </c>
      <c r="K28" s="186">
        <f>+IF(FINANCIACION[[#This Row],[$ CAPITAL]]&gt;=0,FINANCIACION[[#This Row],[$ CAPITAL]]+FINANCIACION[[#This Row],[$ INTERESES]],0)</f>
        <v>130000</v>
      </c>
    </row>
    <row r="29" spans="1:11" ht="24" hidden="1" customHeight="1" x14ac:dyDescent="0.25">
      <c r="A29" s="177">
        <v>44999</v>
      </c>
      <c r="B29" s="184" t="s">
        <v>336</v>
      </c>
      <c r="C29" s="179"/>
      <c r="D29" s="179">
        <v>130000</v>
      </c>
      <c r="E29" s="179">
        <f>+IF(FINANCIACION[[#This Row],[$ CAPITAL]]&gt;=0,FINANCIACION[[#This Row],[$ CAPITAL]]+FINANCIACION[[#This Row],[$ INTERESES]],"")</f>
        <v>130000</v>
      </c>
      <c r="F29" s="179">
        <f>+SUMIFS(FINANCIACION[$ CAPITAL],FINANCIACION[Fecha],"&lt;="&amp;FINANCIACION[[#This Row],[Fecha]],FINANCIACION[PRESTAMO],FINANCIACION[[#This Row],[PRESTAMO]])</f>
        <v>-13000000</v>
      </c>
      <c r="G29" s="179"/>
      <c r="I29" s="185"/>
      <c r="J29" s="179" t="b">
        <f>+IF(FINANCIACION[[#This Row],[$ CAPITAL]]&gt;0,FINANCIACION[[#This Row],[$ CAPITAL]])</f>
        <v>0</v>
      </c>
      <c r="K29" s="186">
        <f>+IF(FINANCIACION[[#This Row],[$ CAPITAL]]&gt;=0,FINANCIACION[[#This Row],[$ CAPITAL]]+FINANCIACION[[#This Row],[$ INTERESES]],0)</f>
        <v>130000</v>
      </c>
    </row>
    <row r="30" spans="1:11" ht="24" hidden="1" customHeight="1" x14ac:dyDescent="0.25">
      <c r="A30" s="177">
        <v>45026</v>
      </c>
      <c r="B30" s="184" t="s">
        <v>336</v>
      </c>
      <c r="C30" s="179"/>
      <c r="D30" s="179">
        <v>130000</v>
      </c>
      <c r="E30" s="179">
        <f>+IF(FINANCIACION[[#This Row],[$ CAPITAL]]&gt;=0,FINANCIACION[[#This Row],[$ CAPITAL]]+FINANCIACION[[#This Row],[$ INTERESES]],"")</f>
        <v>130000</v>
      </c>
      <c r="F30" s="179">
        <f>+SUMIFS(FINANCIACION[$ CAPITAL],FINANCIACION[Fecha],"&lt;="&amp;FINANCIACION[[#This Row],[Fecha]],FINANCIACION[PRESTAMO],FINANCIACION[[#This Row],[PRESTAMO]])</f>
        <v>-13000000</v>
      </c>
      <c r="G30" s="179"/>
      <c r="I30" s="185"/>
      <c r="J30" s="179" t="b">
        <f>+IF(FINANCIACION[[#This Row],[$ CAPITAL]]&gt;0,FINANCIACION[[#This Row],[$ CAPITAL]])</f>
        <v>0</v>
      </c>
      <c r="K30" s="186">
        <f>+IF(FINANCIACION[[#This Row],[$ CAPITAL]]&gt;=0,FINANCIACION[[#This Row],[$ CAPITAL]]+FINANCIACION[[#This Row],[$ INTERESES]],0)</f>
        <v>130000</v>
      </c>
    </row>
    <row r="31" spans="1:11" ht="24" hidden="1" customHeight="1" x14ac:dyDescent="0.25">
      <c r="A31" s="177">
        <v>45054</v>
      </c>
      <c r="B31" s="184" t="s">
        <v>336</v>
      </c>
      <c r="C31" s="179"/>
      <c r="D31" s="179">
        <v>130000</v>
      </c>
      <c r="E31" s="179">
        <f>+IF(FINANCIACION[[#This Row],[$ CAPITAL]]&gt;=0,FINANCIACION[[#This Row],[$ CAPITAL]]+FINANCIACION[[#This Row],[$ INTERESES]],"")</f>
        <v>130000</v>
      </c>
      <c r="F31" s="179">
        <f>+SUMIFS(FINANCIACION[$ CAPITAL],FINANCIACION[Fecha],"&lt;="&amp;FINANCIACION[[#This Row],[Fecha]],FINANCIACION[PRESTAMO],FINANCIACION[[#This Row],[PRESTAMO]])</f>
        <v>-13000000</v>
      </c>
      <c r="G31" s="179"/>
      <c r="I31" s="185"/>
      <c r="J31" s="179" t="b">
        <f>+IF(FINANCIACION[[#This Row],[$ CAPITAL]]&gt;0,FINANCIACION[[#This Row],[$ CAPITAL]])</f>
        <v>0</v>
      </c>
      <c r="K31" s="186">
        <f>+IF(FINANCIACION[[#This Row],[$ CAPITAL]]&gt;=0,FINANCIACION[[#This Row],[$ CAPITAL]]+FINANCIACION[[#This Row],[$ INTERESES]],0)</f>
        <v>130000</v>
      </c>
    </row>
    <row r="32" spans="1:11" ht="24" hidden="1" customHeight="1" x14ac:dyDescent="0.25">
      <c r="A32" s="177">
        <v>45091</v>
      </c>
      <c r="B32" s="184" t="s">
        <v>336</v>
      </c>
      <c r="C32" s="179"/>
      <c r="D32" s="179">
        <v>130000</v>
      </c>
      <c r="E32" s="179">
        <f>+IF(FINANCIACION[[#This Row],[$ CAPITAL]]&gt;=0,FINANCIACION[[#This Row],[$ CAPITAL]]+FINANCIACION[[#This Row],[$ INTERESES]],"")</f>
        <v>130000</v>
      </c>
      <c r="F32" s="179">
        <f>+SUMIFS(FINANCIACION[$ CAPITAL],FINANCIACION[Fecha],"&lt;="&amp;FINANCIACION[[#This Row],[Fecha]],FINANCIACION[PRESTAMO],FINANCIACION[[#This Row],[PRESTAMO]])</f>
        <v>-13000000</v>
      </c>
      <c r="G32" s="179"/>
      <c r="I32" s="185"/>
      <c r="J32" s="179" t="b">
        <f>+IF(FINANCIACION[[#This Row],[$ CAPITAL]]&gt;0,FINANCIACION[[#This Row],[$ CAPITAL]])</f>
        <v>0</v>
      </c>
      <c r="K32" s="186">
        <f>+IF(FINANCIACION[[#This Row],[$ CAPITAL]]&gt;=0,FINANCIACION[[#This Row],[$ CAPITAL]]+FINANCIACION[[#This Row],[$ INTERESES]],0)</f>
        <v>130000</v>
      </c>
    </row>
    <row r="33" spans="1:11" ht="24" hidden="1" customHeight="1" x14ac:dyDescent="0.25">
      <c r="A33" s="177">
        <v>45118</v>
      </c>
      <c r="B33" s="184" t="s">
        <v>336</v>
      </c>
      <c r="C33" s="179"/>
      <c r="D33" s="179">
        <v>130000</v>
      </c>
      <c r="E33" s="179">
        <f>+IF(FINANCIACION[[#This Row],[$ CAPITAL]]&gt;=0,FINANCIACION[[#This Row],[$ CAPITAL]]+FINANCIACION[[#This Row],[$ INTERESES]],"")</f>
        <v>130000</v>
      </c>
      <c r="F33" s="179">
        <f>+SUMIFS(FINANCIACION[$ CAPITAL],FINANCIACION[Fecha],"&lt;="&amp;FINANCIACION[[#This Row],[Fecha]],FINANCIACION[PRESTAMO],FINANCIACION[[#This Row],[PRESTAMO]])</f>
        <v>-13000000</v>
      </c>
      <c r="G33" s="179"/>
      <c r="I33" s="185"/>
      <c r="J33" s="179" t="b">
        <f>+IF(FINANCIACION[[#This Row],[$ CAPITAL]]&gt;0,FINANCIACION[[#This Row],[$ CAPITAL]])</f>
        <v>0</v>
      </c>
      <c r="K33" s="186">
        <f>+IF(FINANCIACION[[#This Row],[$ CAPITAL]]&gt;=0,FINANCIACION[[#This Row],[$ CAPITAL]]+FINANCIACION[[#This Row],[$ INTERESES]],0)</f>
        <v>130000</v>
      </c>
    </row>
    <row r="34" spans="1:11" ht="24" hidden="1" customHeight="1" x14ac:dyDescent="0.25">
      <c r="A34" s="177">
        <v>45149</v>
      </c>
      <c r="B34" s="184" t="s">
        <v>336</v>
      </c>
      <c r="C34" s="179"/>
      <c r="D34" s="179">
        <v>130000</v>
      </c>
      <c r="E34" s="179">
        <f>+IF(FINANCIACION[[#This Row],[$ CAPITAL]]&gt;=0,FINANCIACION[[#This Row],[$ CAPITAL]]+FINANCIACION[[#This Row],[$ INTERESES]],"")</f>
        <v>130000</v>
      </c>
      <c r="F34" s="179">
        <f>+SUMIFS(FINANCIACION[$ CAPITAL],FINANCIACION[Fecha],"&lt;="&amp;FINANCIACION[[#This Row],[Fecha]],FINANCIACION[PRESTAMO],FINANCIACION[[#This Row],[PRESTAMO]])</f>
        <v>-13000000</v>
      </c>
      <c r="G34" s="179"/>
      <c r="I34" s="185"/>
      <c r="J34" s="179" t="b">
        <f>+IF(FINANCIACION[[#This Row],[$ CAPITAL]]&gt;0,FINANCIACION[[#This Row],[$ CAPITAL]])</f>
        <v>0</v>
      </c>
      <c r="K34" s="186">
        <f>+IF(FINANCIACION[[#This Row],[$ CAPITAL]]&gt;=0,FINANCIACION[[#This Row],[$ CAPITAL]]+FINANCIACION[[#This Row],[$ INTERESES]],0)</f>
        <v>130000</v>
      </c>
    </row>
    <row r="35" spans="1:11" ht="24" hidden="1" customHeight="1" x14ac:dyDescent="0.25">
      <c r="A35" s="177">
        <v>45187</v>
      </c>
      <c r="B35" s="184" t="s">
        <v>336</v>
      </c>
      <c r="C35" s="179"/>
      <c r="D35" s="179">
        <v>130000</v>
      </c>
      <c r="E35" s="179">
        <f>+IF(FINANCIACION[[#This Row],[$ CAPITAL]]&gt;=0,FINANCIACION[[#This Row],[$ CAPITAL]]+FINANCIACION[[#This Row],[$ INTERESES]],"")</f>
        <v>130000</v>
      </c>
      <c r="F35" s="179">
        <f>+SUMIFS(FINANCIACION[$ CAPITAL],FINANCIACION[Fecha],"&lt;="&amp;FINANCIACION[[#This Row],[Fecha]],FINANCIACION[PRESTAMO],FINANCIACION[[#This Row],[PRESTAMO]])</f>
        <v>-13000000</v>
      </c>
      <c r="G35" s="179"/>
      <c r="I35" s="185"/>
      <c r="J35" s="179" t="b">
        <f>+IF(FINANCIACION[[#This Row],[$ CAPITAL]]&gt;0,FINANCIACION[[#This Row],[$ CAPITAL]])</f>
        <v>0</v>
      </c>
      <c r="K35" s="186">
        <f>+IF(FINANCIACION[[#This Row],[$ CAPITAL]]&gt;=0,FINANCIACION[[#This Row],[$ CAPITAL]]+FINANCIACION[[#This Row],[$ INTERESES]],0)</f>
        <v>130000</v>
      </c>
    </row>
    <row r="36" spans="1:11" ht="24" hidden="1" customHeight="1" x14ac:dyDescent="0.25">
      <c r="A36" s="177">
        <v>45210</v>
      </c>
      <c r="B36" s="184" t="s">
        <v>336</v>
      </c>
      <c r="C36" s="179"/>
      <c r="D36" s="179">
        <v>130000</v>
      </c>
      <c r="E36" s="179">
        <f>+IF(FINANCIACION[[#This Row],[$ CAPITAL]]&gt;=0,FINANCIACION[[#This Row],[$ CAPITAL]]+FINANCIACION[[#This Row],[$ INTERESES]],"")</f>
        <v>130000</v>
      </c>
      <c r="F36" s="179">
        <f>+SUMIFS(FINANCIACION[$ CAPITAL],FINANCIACION[Fecha],"&lt;="&amp;FINANCIACION[[#This Row],[Fecha]],FINANCIACION[PRESTAMO],FINANCIACION[[#This Row],[PRESTAMO]])</f>
        <v>-13000000</v>
      </c>
      <c r="G36" s="179"/>
      <c r="I36" s="185"/>
      <c r="J36" s="179" t="b">
        <f>+IF(FINANCIACION[[#This Row],[$ CAPITAL]]&gt;0,FINANCIACION[[#This Row],[$ CAPITAL]])</f>
        <v>0</v>
      </c>
      <c r="K36" s="186">
        <f>+IF(FINANCIACION[[#This Row],[$ CAPITAL]]&gt;=0,FINANCIACION[[#This Row],[$ CAPITAL]]+FINANCIACION[[#This Row],[$ INTERESES]],0)</f>
        <v>130000</v>
      </c>
    </row>
    <row r="37" spans="1:11" ht="24" hidden="1" customHeight="1" x14ac:dyDescent="0.25">
      <c r="A37" s="177">
        <v>45244</v>
      </c>
      <c r="B37" s="184" t="s">
        <v>336</v>
      </c>
      <c r="C37" s="179"/>
      <c r="D37" s="179">
        <v>130000</v>
      </c>
      <c r="E37" s="179">
        <f>+IF(FINANCIACION[[#This Row],[$ CAPITAL]]&gt;=0,FINANCIACION[[#This Row],[$ CAPITAL]]+FINANCIACION[[#This Row],[$ INTERESES]],"")</f>
        <v>130000</v>
      </c>
      <c r="F37" s="179">
        <f>+SUMIFS(FINANCIACION[$ CAPITAL],FINANCIACION[Fecha],"&lt;="&amp;FINANCIACION[[#This Row],[Fecha]],FINANCIACION[PRESTAMO],FINANCIACION[[#This Row],[PRESTAMO]])</f>
        <v>-13000000</v>
      </c>
      <c r="G37" s="179"/>
      <c r="I37" s="185"/>
      <c r="J37" s="179" t="b">
        <f>+IF(FINANCIACION[[#This Row],[$ CAPITAL]]&gt;0,FINANCIACION[[#This Row],[$ CAPITAL]])</f>
        <v>0</v>
      </c>
      <c r="K37" s="186">
        <f>+IF(FINANCIACION[[#This Row],[$ CAPITAL]]&gt;=0,FINANCIACION[[#This Row],[$ CAPITAL]]+FINANCIACION[[#This Row],[$ INTERESES]],0)</f>
        <v>130000</v>
      </c>
    </row>
    <row r="38" spans="1:11" ht="24" hidden="1" customHeight="1" x14ac:dyDescent="0.25">
      <c r="A38" s="177">
        <v>45271</v>
      </c>
      <c r="B38" s="184" t="s">
        <v>336</v>
      </c>
      <c r="C38" s="179"/>
      <c r="D38" s="179">
        <v>130000</v>
      </c>
      <c r="E38" s="179">
        <f>+IF(FINANCIACION[[#This Row],[$ CAPITAL]]&gt;=0,FINANCIACION[[#This Row],[$ CAPITAL]]+FINANCIACION[[#This Row],[$ INTERESES]],"")</f>
        <v>130000</v>
      </c>
      <c r="F38" s="179">
        <f>+SUMIFS(FINANCIACION[$ CAPITAL],FINANCIACION[Fecha],"&lt;="&amp;FINANCIACION[[#This Row],[Fecha]],FINANCIACION[PRESTAMO],FINANCIACION[[#This Row],[PRESTAMO]])</f>
        <v>-13000000</v>
      </c>
      <c r="G38" s="179"/>
      <c r="I38" s="185"/>
      <c r="J38" s="179" t="b">
        <f>+IF(FINANCIACION[[#This Row],[$ CAPITAL]]&gt;0,FINANCIACION[[#This Row],[$ CAPITAL]])</f>
        <v>0</v>
      </c>
      <c r="K38" s="186">
        <f>+IF(FINANCIACION[[#This Row],[$ CAPITAL]]&gt;=0,FINANCIACION[[#This Row],[$ CAPITAL]]+FINANCIACION[[#This Row],[$ INTERESES]],0)</f>
        <v>130000</v>
      </c>
    </row>
    <row r="39" spans="1:11" ht="24" hidden="1" customHeight="1" x14ac:dyDescent="0.25">
      <c r="A39" s="177">
        <v>45302</v>
      </c>
      <c r="B39" s="184" t="s">
        <v>336</v>
      </c>
      <c r="C39" s="179">
        <v>0</v>
      </c>
      <c r="D39" s="179">
        <v>130000</v>
      </c>
      <c r="E39" s="179">
        <f>+IF(FINANCIACION[[#This Row],[$ CAPITAL]]&gt;=0,FINANCIACION[[#This Row],[$ CAPITAL]]+FINANCIACION[[#This Row],[$ INTERESES]],"")</f>
        <v>130000</v>
      </c>
      <c r="F39" s="179">
        <f>+SUMIFS(FINANCIACION[$ CAPITAL],FINANCIACION[Fecha],"&lt;="&amp;FINANCIACION[[#This Row],[Fecha]],FINANCIACION[PRESTAMO],FINANCIACION[[#This Row],[PRESTAMO]])</f>
        <v>-13000000</v>
      </c>
      <c r="G39" s="179"/>
      <c r="I39" s="185"/>
      <c r="J39" s="179" t="b">
        <f>+IF(FINANCIACION[[#This Row],[$ CAPITAL]]&gt;0,FINANCIACION[[#This Row],[$ CAPITAL]])</f>
        <v>0</v>
      </c>
      <c r="K39" s="186">
        <f>+IF(FINANCIACION[[#This Row],[$ CAPITAL]]&gt;=0,FINANCIACION[[#This Row],[$ CAPITAL]]+FINANCIACION[[#This Row],[$ INTERESES]],0)</f>
        <v>130000</v>
      </c>
    </row>
    <row r="40" spans="1:11" ht="24" hidden="1" customHeight="1" x14ac:dyDescent="0.25">
      <c r="A40" s="177">
        <v>45010</v>
      </c>
      <c r="B40" s="184" t="s">
        <v>668</v>
      </c>
      <c r="C40" s="179">
        <v>-20000000</v>
      </c>
      <c r="D40" s="179"/>
      <c r="E40" s="179" t="str">
        <f>+IF(FINANCIACION[[#This Row],[$ CAPITAL]]&gt;=0,FINANCIACION[[#This Row],[$ CAPITAL]]+FINANCIACION[[#This Row],[$ INTERESES]],"")</f>
        <v/>
      </c>
      <c r="F40" s="179">
        <f>+SUMIFS(FINANCIACION[$ CAPITAL],FINANCIACION[Fecha],"&lt;="&amp;FINANCIACION[[#This Row],[Fecha]],FINANCIACION[PRESTAMO],FINANCIACION[[#This Row],[PRESTAMO]])</f>
        <v>-20000000</v>
      </c>
      <c r="G40" s="179"/>
      <c r="I40" s="185"/>
      <c r="J40" s="179" t="b">
        <f>+IF(FINANCIACION[[#This Row],[$ CAPITAL]]&gt;0,FINANCIACION[[#This Row],[$ CAPITAL]])</f>
        <v>0</v>
      </c>
      <c r="K40" s="186">
        <f>+IF(FINANCIACION[[#This Row],[$ CAPITAL]]&gt;=0,FINANCIACION[[#This Row],[$ CAPITAL]]+FINANCIACION[[#This Row],[$ INTERESES]],0)</f>
        <v>0</v>
      </c>
    </row>
    <row r="41" spans="1:11" ht="24" hidden="1" customHeight="1" x14ac:dyDescent="0.25">
      <c r="A41" s="177">
        <v>45036</v>
      </c>
      <c r="B41" s="184" t="s">
        <v>668</v>
      </c>
      <c r="C41" s="179"/>
      <c r="D41" s="179">
        <v>200000</v>
      </c>
      <c r="E41" s="179">
        <f>+IF(FINANCIACION[[#This Row],[$ CAPITAL]]&gt;=0,FINANCIACION[[#This Row],[$ CAPITAL]]+FINANCIACION[[#This Row],[$ INTERESES]],"")</f>
        <v>200000</v>
      </c>
      <c r="F41" s="179">
        <f>+SUMIFS(FINANCIACION[$ CAPITAL],FINANCIACION[Fecha],"&lt;="&amp;FINANCIACION[[#This Row],[Fecha]],FINANCIACION[PRESTAMO],FINANCIACION[[#This Row],[PRESTAMO]])</f>
        <v>-20000000</v>
      </c>
      <c r="G41" s="179"/>
      <c r="I41" s="185"/>
      <c r="J41" s="179" t="b">
        <f>+IF(FINANCIACION[[#This Row],[$ CAPITAL]]&gt;0,FINANCIACION[[#This Row],[$ CAPITAL]])</f>
        <v>0</v>
      </c>
      <c r="K41" s="186">
        <f>+IF(FINANCIACION[[#This Row],[$ CAPITAL]]&gt;=0,FINANCIACION[[#This Row],[$ CAPITAL]]+FINANCIACION[[#This Row],[$ INTERESES]],0)</f>
        <v>200000</v>
      </c>
    </row>
    <row r="42" spans="1:11" ht="24" hidden="1" customHeight="1" x14ac:dyDescent="0.25">
      <c r="A42" s="177">
        <v>45054</v>
      </c>
      <c r="B42" s="184" t="s">
        <v>668</v>
      </c>
      <c r="C42" s="179"/>
      <c r="D42" s="179">
        <v>200000</v>
      </c>
      <c r="E42" s="179">
        <f>+IF(FINANCIACION[[#This Row],[$ CAPITAL]]&gt;=0,FINANCIACION[[#This Row],[$ CAPITAL]]+FINANCIACION[[#This Row],[$ INTERESES]],"")</f>
        <v>200000</v>
      </c>
      <c r="F42" s="179">
        <f>+SUMIFS(FINANCIACION[$ CAPITAL],FINANCIACION[Fecha],"&lt;="&amp;FINANCIACION[[#This Row],[Fecha]],FINANCIACION[PRESTAMO],FINANCIACION[[#This Row],[PRESTAMO]])</f>
        <v>-20000000</v>
      </c>
      <c r="G42" s="179"/>
      <c r="I42" s="185"/>
      <c r="J42" s="179" t="b">
        <f>+IF(FINANCIACION[[#This Row],[$ CAPITAL]]&gt;0,FINANCIACION[[#This Row],[$ CAPITAL]])</f>
        <v>0</v>
      </c>
      <c r="K42" s="186">
        <f>+IF(FINANCIACION[[#This Row],[$ CAPITAL]]&gt;=0,FINANCIACION[[#This Row],[$ CAPITAL]]+FINANCIACION[[#This Row],[$ INTERESES]],0)</f>
        <v>200000</v>
      </c>
    </row>
    <row r="43" spans="1:11" ht="24" hidden="1" customHeight="1" x14ac:dyDescent="0.25">
      <c r="A43" s="177">
        <v>45091</v>
      </c>
      <c r="B43" s="184" t="s">
        <v>668</v>
      </c>
      <c r="C43" s="179"/>
      <c r="D43" s="179">
        <v>200000</v>
      </c>
      <c r="E43" s="179">
        <f>+IF(FINANCIACION[[#This Row],[$ CAPITAL]]&gt;=0,FINANCIACION[[#This Row],[$ CAPITAL]]+FINANCIACION[[#This Row],[$ INTERESES]],"")</f>
        <v>200000</v>
      </c>
      <c r="F43" s="179">
        <f>+SUMIFS(FINANCIACION[$ CAPITAL],FINANCIACION[Fecha],"&lt;="&amp;FINANCIACION[[#This Row],[Fecha]],FINANCIACION[PRESTAMO],FINANCIACION[[#This Row],[PRESTAMO]])</f>
        <v>-20000000</v>
      </c>
      <c r="G43" s="179"/>
      <c r="I43" s="185"/>
      <c r="J43" s="179" t="b">
        <f>+IF(FINANCIACION[[#This Row],[$ CAPITAL]]&gt;0,FINANCIACION[[#This Row],[$ CAPITAL]])</f>
        <v>0</v>
      </c>
      <c r="K43" s="186">
        <f>+IF(FINANCIACION[[#This Row],[$ CAPITAL]]&gt;=0,FINANCIACION[[#This Row],[$ CAPITAL]]+FINANCIACION[[#This Row],[$ INTERESES]],0)</f>
        <v>200000</v>
      </c>
    </row>
    <row r="44" spans="1:11" ht="24" hidden="1" customHeight="1" x14ac:dyDescent="0.25">
      <c r="A44" s="177">
        <v>45118</v>
      </c>
      <c r="B44" s="184" t="s">
        <v>668</v>
      </c>
      <c r="C44" s="179"/>
      <c r="D44" s="179">
        <v>200000</v>
      </c>
      <c r="E44" s="179">
        <f>+IF(FINANCIACION[[#This Row],[$ CAPITAL]]&gt;=0,FINANCIACION[[#This Row],[$ CAPITAL]]+FINANCIACION[[#This Row],[$ INTERESES]],"")</f>
        <v>200000</v>
      </c>
      <c r="F44" s="179">
        <f>+SUMIFS(FINANCIACION[$ CAPITAL],FINANCIACION[Fecha],"&lt;="&amp;FINANCIACION[[#This Row],[Fecha]],FINANCIACION[PRESTAMO],FINANCIACION[[#This Row],[PRESTAMO]])</f>
        <v>-20000000</v>
      </c>
      <c r="G44" s="179"/>
      <c r="I44" s="185"/>
      <c r="J44" s="179" t="b">
        <f>+IF(FINANCIACION[[#This Row],[$ CAPITAL]]&gt;0,FINANCIACION[[#This Row],[$ CAPITAL]])</f>
        <v>0</v>
      </c>
      <c r="K44" s="186">
        <f>+IF(FINANCIACION[[#This Row],[$ CAPITAL]]&gt;=0,FINANCIACION[[#This Row],[$ CAPITAL]]+FINANCIACION[[#This Row],[$ INTERESES]],0)</f>
        <v>200000</v>
      </c>
    </row>
    <row r="45" spans="1:11" ht="24" hidden="1" customHeight="1" x14ac:dyDescent="0.25">
      <c r="A45" s="177">
        <v>45120</v>
      </c>
      <c r="B45" s="184" t="s">
        <v>668</v>
      </c>
      <c r="C45" s="179">
        <v>-50000000</v>
      </c>
      <c r="D45" s="179"/>
      <c r="E45" s="179" t="str">
        <f>+IF(FINANCIACION[[#This Row],[$ CAPITAL]]&gt;=0,FINANCIACION[[#This Row],[$ CAPITAL]]+FINANCIACION[[#This Row],[$ INTERESES]],"")</f>
        <v/>
      </c>
      <c r="F45" s="179">
        <f>+SUMIFS(FINANCIACION[$ CAPITAL],FINANCIACION[Fecha],"&lt;="&amp;FINANCIACION[[#This Row],[Fecha]],FINANCIACION[PRESTAMO],FINANCIACION[[#This Row],[PRESTAMO]])</f>
        <v>-70000000</v>
      </c>
      <c r="G45" s="179"/>
      <c r="I45" s="185"/>
      <c r="J45" s="179" t="b">
        <f>+IF(FINANCIACION[[#This Row],[$ CAPITAL]]&gt;0,FINANCIACION[[#This Row],[$ CAPITAL]])</f>
        <v>0</v>
      </c>
      <c r="K45" s="186">
        <f>+IF(FINANCIACION[[#This Row],[$ CAPITAL]]&gt;=0,FINANCIACION[[#This Row],[$ CAPITAL]]+FINANCIACION[[#This Row],[$ INTERESES]],0)</f>
        <v>0</v>
      </c>
    </row>
    <row r="46" spans="1:11" ht="24" hidden="1" customHeight="1" x14ac:dyDescent="0.25">
      <c r="A46" s="177">
        <v>45149</v>
      </c>
      <c r="B46" s="184" t="s">
        <v>668</v>
      </c>
      <c r="C46" s="179"/>
      <c r="D46" s="179">
        <v>700000</v>
      </c>
      <c r="E46" s="179">
        <f>+IF(FINANCIACION[[#This Row],[$ CAPITAL]]&gt;=0,FINANCIACION[[#This Row],[$ CAPITAL]]+FINANCIACION[[#This Row],[$ INTERESES]],"")</f>
        <v>700000</v>
      </c>
      <c r="F46" s="179">
        <f>+SUMIFS(FINANCIACION[$ CAPITAL],FINANCIACION[Fecha],"&lt;="&amp;FINANCIACION[[#This Row],[Fecha]],FINANCIACION[PRESTAMO],FINANCIACION[[#This Row],[PRESTAMO]])</f>
        <v>-70000000</v>
      </c>
      <c r="G46" s="179"/>
      <c r="I46" s="185"/>
      <c r="J46" s="179" t="b">
        <f>+IF(FINANCIACION[[#This Row],[$ CAPITAL]]&gt;0,FINANCIACION[[#This Row],[$ CAPITAL]])</f>
        <v>0</v>
      </c>
      <c r="K46" s="186">
        <f>+IF(FINANCIACION[[#This Row],[$ CAPITAL]]&gt;=0,FINANCIACION[[#This Row],[$ CAPITAL]]+FINANCIACION[[#This Row],[$ INTERESES]],0)</f>
        <v>700000</v>
      </c>
    </row>
    <row r="47" spans="1:11" ht="24" hidden="1" customHeight="1" x14ac:dyDescent="0.25">
      <c r="A47" s="177">
        <v>45187</v>
      </c>
      <c r="B47" s="184" t="s">
        <v>668</v>
      </c>
      <c r="C47" s="179"/>
      <c r="D47" s="179">
        <v>700000</v>
      </c>
      <c r="E47" s="179">
        <f>+IF(FINANCIACION[[#This Row],[$ CAPITAL]]&gt;=0,FINANCIACION[[#This Row],[$ CAPITAL]]+FINANCIACION[[#This Row],[$ INTERESES]],"")</f>
        <v>700000</v>
      </c>
      <c r="F47" s="179">
        <f>+SUMIFS(FINANCIACION[$ CAPITAL],FINANCIACION[Fecha],"&lt;="&amp;FINANCIACION[[#This Row],[Fecha]],FINANCIACION[PRESTAMO],FINANCIACION[[#This Row],[PRESTAMO]])</f>
        <v>-70000000</v>
      </c>
      <c r="G47" s="179"/>
      <c r="I47" s="185"/>
      <c r="J47" s="179" t="b">
        <f>+IF(FINANCIACION[[#This Row],[$ CAPITAL]]&gt;0,FINANCIACION[[#This Row],[$ CAPITAL]])</f>
        <v>0</v>
      </c>
      <c r="K47" s="186">
        <f>+IF(FINANCIACION[[#This Row],[$ CAPITAL]]&gt;=0,FINANCIACION[[#This Row],[$ CAPITAL]]+FINANCIACION[[#This Row],[$ INTERESES]],0)</f>
        <v>700000</v>
      </c>
    </row>
    <row r="48" spans="1:11" ht="24" hidden="1" customHeight="1" x14ac:dyDescent="0.25">
      <c r="A48" s="177">
        <v>45211</v>
      </c>
      <c r="B48" s="184" t="s">
        <v>668</v>
      </c>
      <c r="C48" s="179"/>
      <c r="D48" s="179">
        <v>700000</v>
      </c>
      <c r="E48" s="179">
        <f>+IF(FINANCIACION[[#This Row],[$ CAPITAL]]&gt;=0,FINANCIACION[[#This Row],[$ CAPITAL]]+FINANCIACION[[#This Row],[$ INTERESES]],"")</f>
        <v>700000</v>
      </c>
      <c r="F48" s="179">
        <f>+SUMIFS(FINANCIACION[$ CAPITAL],FINANCIACION[Fecha],"&lt;="&amp;FINANCIACION[[#This Row],[Fecha]],FINANCIACION[PRESTAMO],FINANCIACION[[#This Row],[PRESTAMO]])</f>
        <v>-70000000</v>
      </c>
      <c r="G48" s="179"/>
      <c r="I48" s="185"/>
      <c r="J48" s="179" t="b">
        <f>+IF(FINANCIACION[[#This Row],[$ CAPITAL]]&gt;0,FINANCIACION[[#This Row],[$ CAPITAL]])</f>
        <v>0</v>
      </c>
      <c r="K48" s="186">
        <f>+IF(FINANCIACION[[#This Row],[$ CAPITAL]]&gt;=0,FINANCIACION[[#This Row],[$ CAPITAL]]+FINANCIACION[[#This Row],[$ INTERESES]],0)</f>
        <v>700000</v>
      </c>
    </row>
    <row r="49" spans="1:11" ht="24" hidden="1" customHeight="1" x14ac:dyDescent="0.25">
      <c r="A49" s="177">
        <v>45244</v>
      </c>
      <c r="B49" s="184" t="s">
        <v>668</v>
      </c>
      <c r="C49" s="179"/>
      <c r="D49" s="179">
        <v>700000</v>
      </c>
      <c r="E49" s="179">
        <f>+IF(FINANCIACION[[#This Row],[$ CAPITAL]]&gt;=0,FINANCIACION[[#This Row],[$ CAPITAL]]+FINANCIACION[[#This Row],[$ INTERESES]],"")</f>
        <v>700000</v>
      </c>
      <c r="F49" s="179">
        <f>+SUMIFS(FINANCIACION[$ CAPITAL],FINANCIACION[Fecha],"&lt;="&amp;FINANCIACION[[#This Row],[Fecha]],FINANCIACION[PRESTAMO],FINANCIACION[[#This Row],[PRESTAMO]])</f>
        <v>-70000000</v>
      </c>
      <c r="G49" s="179"/>
      <c r="I49" s="185"/>
      <c r="J49" s="179" t="b">
        <f>+IF(FINANCIACION[[#This Row],[$ CAPITAL]]&gt;0,FINANCIACION[[#This Row],[$ CAPITAL]])</f>
        <v>0</v>
      </c>
      <c r="K49" s="186">
        <f>+IF(FINANCIACION[[#This Row],[$ CAPITAL]]&gt;=0,FINANCIACION[[#This Row],[$ CAPITAL]]+FINANCIACION[[#This Row],[$ INTERESES]],0)</f>
        <v>700000</v>
      </c>
    </row>
    <row r="50" spans="1:11" ht="24" hidden="1" customHeight="1" x14ac:dyDescent="0.25">
      <c r="A50" s="177">
        <v>45271</v>
      </c>
      <c r="B50" s="184" t="s">
        <v>668</v>
      </c>
      <c r="C50" s="179"/>
      <c r="D50" s="179">
        <v>700000</v>
      </c>
      <c r="E50" s="179">
        <f>+IF(FINANCIACION[[#This Row],[$ CAPITAL]]&gt;=0,FINANCIACION[[#This Row],[$ CAPITAL]]+FINANCIACION[[#This Row],[$ INTERESES]],"")</f>
        <v>700000</v>
      </c>
      <c r="F50" s="179">
        <f>+SUMIFS(FINANCIACION[$ CAPITAL],FINANCIACION[Fecha],"&lt;="&amp;FINANCIACION[[#This Row],[Fecha]],FINANCIACION[PRESTAMO],FINANCIACION[[#This Row],[PRESTAMO]])</f>
        <v>-70000000</v>
      </c>
      <c r="G50" s="179"/>
      <c r="I50" s="185"/>
      <c r="J50" s="179" t="b">
        <f>+IF(FINANCIACION[[#This Row],[$ CAPITAL]]&gt;0,FINANCIACION[[#This Row],[$ CAPITAL]])</f>
        <v>0</v>
      </c>
      <c r="K50" s="186">
        <f>+IF(FINANCIACION[[#This Row],[$ CAPITAL]]&gt;=0,FINANCIACION[[#This Row],[$ CAPITAL]]+FINANCIACION[[#This Row],[$ INTERESES]],0)</f>
        <v>700000</v>
      </c>
    </row>
    <row r="51" spans="1:11" ht="24" hidden="1" customHeight="1" x14ac:dyDescent="0.25">
      <c r="A51" s="177">
        <v>45302</v>
      </c>
      <c r="B51" s="184" t="s">
        <v>668</v>
      </c>
      <c r="C51" s="179">
        <v>0</v>
      </c>
      <c r="D51" s="179">
        <v>700000</v>
      </c>
      <c r="E51" s="179">
        <f>+IF(FINANCIACION[[#This Row],[$ CAPITAL]]&gt;=0,FINANCIACION[[#This Row],[$ CAPITAL]]+FINANCIACION[[#This Row],[$ INTERESES]],"")</f>
        <v>700000</v>
      </c>
      <c r="F51" s="179">
        <f>+SUMIFS(FINANCIACION[$ CAPITAL],FINANCIACION[Fecha],"&lt;="&amp;FINANCIACION[[#This Row],[Fecha]],FINANCIACION[PRESTAMO],FINANCIACION[[#This Row],[PRESTAMO]])</f>
        <v>-70000000</v>
      </c>
      <c r="G51" s="179"/>
      <c r="I51" s="185"/>
      <c r="J51" s="179" t="b">
        <f>+IF(FINANCIACION[[#This Row],[$ CAPITAL]]&gt;0,FINANCIACION[[#This Row],[$ CAPITAL]])</f>
        <v>0</v>
      </c>
      <c r="K51" s="186">
        <f>+IF(FINANCIACION[[#This Row],[$ CAPITAL]]&gt;=0,FINANCIACION[[#This Row],[$ CAPITAL]]+FINANCIACION[[#This Row],[$ INTERESES]],0)</f>
        <v>700000</v>
      </c>
    </row>
    <row r="52" spans="1:11" ht="24" hidden="1" customHeight="1" x14ac:dyDescent="0.25">
      <c r="A52" s="188">
        <v>43900</v>
      </c>
      <c r="B52" s="184" t="s">
        <v>334</v>
      </c>
      <c r="C52" s="179">
        <v>-75000000</v>
      </c>
      <c r="D52" s="179"/>
      <c r="E52" s="179" t="str">
        <f>+IF(FINANCIACION[[#This Row],[$ CAPITAL]]&gt;=0,FINANCIACION[[#This Row],[$ CAPITAL]]+FINANCIACION[[#This Row],[$ INTERESES]],"")</f>
        <v/>
      </c>
      <c r="F52" s="179">
        <f>+SUMIFS(FINANCIACION[$ CAPITAL],FINANCIACION[Fecha],"&lt;="&amp;FINANCIACION[[#This Row],[Fecha]],FINANCIACION[PRESTAMO],FINANCIACION[[#This Row],[PRESTAMO]])</f>
        <v>-75000000</v>
      </c>
      <c r="G52" s="179"/>
      <c r="H52" s="183"/>
      <c r="I52" s="185"/>
      <c r="J52" s="179" t="b">
        <f>IF(FINANCIACION[[#This Row],[$ CAPITAL]]&gt;0,FINANCIACION[[#This Row],[$ CAPITAL]])</f>
        <v>0</v>
      </c>
      <c r="K52" s="186">
        <f>IF(FINANCIACION[[#This Row],[$ CAPITAL]]&gt;=0,FINANCIACION[[#This Row],[$ CAPITAL]]+FINANCIACION[[#This Row],[$ INTERESES]],0)</f>
        <v>0</v>
      </c>
    </row>
    <row r="53" spans="1:11" ht="24" hidden="1" customHeight="1" x14ac:dyDescent="0.25">
      <c r="A53" s="188">
        <v>44191</v>
      </c>
      <c r="B53" s="184" t="s">
        <v>334</v>
      </c>
      <c r="C53" s="179"/>
      <c r="D53" s="179">
        <v>6750000</v>
      </c>
      <c r="E53" s="179">
        <f>+IF(FINANCIACION[[#This Row],[$ CAPITAL]]&gt;=0,FINANCIACION[[#This Row],[$ CAPITAL]]+FINANCIACION[[#This Row],[$ INTERESES]],"")</f>
        <v>6750000</v>
      </c>
      <c r="F53" s="179">
        <f>+SUMIFS(FINANCIACION[$ CAPITAL],FINANCIACION[Fecha],"&lt;="&amp;FINANCIACION[[#This Row],[Fecha]],FINANCIACION[PRESTAMO],FINANCIACION[[#This Row],[PRESTAMO]])</f>
        <v>-75000000</v>
      </c>
      <c r="G53" s="179"/>
      <c r="H53" s="183"/>
      <c r="I53" s="185"/>
      <c r="J53" s="179" t="b">
        <f>IF(FINANCIACION[[#This Row],[$ CAPITAL]]&gt;0,FINANCIACION[[#This Row],[$ CAPITAL]])</f>
        <v>0</v>
      </c>
      <c r="K53" s="186">
        <f>IF(FINANCIACION[[#This Row],[$ CAPITAL]]&gt;=0,FINANCIACION[[#This Row],[$ CAPITAL]]+FINANCIACION[[#This Row],[$ INTERESES]],0)</f>
        <v>6750000</v>
      </c>
    </row>
    <row r="54" spans="1:11" ht="24" hidden="1" customHeight="1" x14ac:dyDescent="0.25">
      <c r="A54" s="177">
        <v>44554</v>
      </c>
      <c r="B54" s="184" t="s">
        <v>334</v>
      </c>
      <c r="C54" s="179"/>
      <c r="D54" s="179">
        <v>9000000</v>
      </c>
      <c r="E54" s="179">
        <f>+IF(FINANCIACION[[#This Row],[$ CAPITAL]]&gt;=0,FINANCIACION[[#This Row],[$ CAPITAL]]+FINANCIACION[[#This Row],[$ INTERESES]],"")</f>
        <v>9000000</v>
      </c>
      <c r="F54" s="179">
        <f>+SUMIFS(FINANCIACION[$ CAPITAL],FINANCIACION[Fecha],"&lt;="&amp;FINANCIACION[[#This Row],[Fecha]],FINANCIACION[PRESTAMO],FINANCIACION[[#This Row],[PRESTAMO]])</f>
        <v>-75000000</v>
      </c>
      <c r="G54" s="179"/>
      <c r="I54" s="185"/>
      <c r="J54" s="179" t="b">
        <f>IF(FINANCIACION[[#This Row],[$ CAPITAL]]&gt;0,FINANCIACION[[#This Row],[$ CAPITAL]])</f>
        <v>0</v>
      </c>
      <c r="K54" s="186">
        <f>IF(FINANCIACION[[#This Row],[$ CAPITAL]]&gt;=0,FINANCIACION[[#This Row],[$ CAPITAL]]+FINANCIACION[[#This Row],[$ INTERESES]],0)</f>
        <v>9000000</v>
      </c>
    </row>
    <row r="55" spans="1:11" ht="24" hidden="1" customHeight="1" x14ac:dyDescent="0.25">
      <c r="A55" s="177">
        <v>44915</v>
      </c>
      <c r="B55" s="184" t="s">
        <v>334</v>
      </c>
      <c r="C55" s="179"/>
      <c r="D55" s="179">
        <v>9000000</v>
      </c>
      <c r="E55" s="179">
        <f>+IF(FINANCIACION[[#This Row],[$ CAPITAL]]&gt;=0,FINANCIACION[[#This Row],[$ CAPITAL]]+FINANCIACION[[#This Row],[$ INTERESES]],"")</f>
        <v>9000000</v>
      </c>
      <c r="F55" s="179">
        <f>+SUMIFS(FINANCIACION[$ CAPITAL],FINANCIACION[Fecha],"&lt;="&amp;FINANCIACION[[#This Row],[Fecha]],FINANCIACION[PRESTAMO],FINANCIACION[[#This Row],[PRESTAMO]])</f>
        <v>-75000000</v>
      </c>
      <c r="G55" s="179"/>
      <c r="I55" s="185"/>
      <c r="J55" s="179" t="b">
        <f>+IF(FINANCIACION[[#This Row],[$ CAPITAL]]&gt;0,FINANCIACION[[#This Row],[$ CAPITAL]])</f>
        <v>0</v>
      </c>
      <c r="K55" s="186">
        <f>+IF(FINANCIACION[[#This Row],[$ CAPITAL]]&gt;=0,FINANCIACION[[#This Row],[$ CAPITAL]]+FINANCIACION[[#This Row],[$ INTERESES]],0)</f>
        <v>9000000</v>
      </c>
    </row>
    <row r="56" spans="1:11" ht="24" hidden="1" customHeight="1" x14ac:dyDescent="0.25">
      <c r="A56" s="177">
        <v>44928</v>
      </c>
      <c r="B56" s="184" t="s">
        <v>334</v>
      </c>
      <c r="C56" s="179"/>
      <c r="D56" s="179">
        <v>197070</v>
      </c>
      <c r="E56" s="179">
        <f>+IF(FINANCIACION[[#This Row],[$ CAPITAL]]&gt;=0,FINANCIACION[[#This Row],[$ CAPITAL]]+FINANCIACION[[#This Row],[$ INTERESES]],"")</f>
        <v>197070</v>
      </c>
      <c r="F56" s="179">
        <f>+SUMIFS(FINANCIACION[$ CAPITAL],FINANCIACION[Fecha],"&lt;="&amp;FINANCIACION[[#This Row],[Fecha]],FINANCIACION[PRESTAMO],FINANCIACION[[#This Row],[PRESTAMO]])</f>
        <v>-75000000</v>
      </c>
      <c r="G56" s="179"/>
      <c r="H56" s="185" t="s">
        <v>1396</v>
      </c>
      <c r="I56" s="185"/>
      <c r="J56" s="179" t="b">
        <f>+IF(FINANCIACION[[#This Row],[$ CAPITAL]]&gt;0,FINANCIACION[[#This Row],[$ CAPITAL]])</f>
        <v>0</v>
      </c>
      <c r="K56" s="186">
        <f>+IF(FINANCIACION[[#This Row],[$ CAPITAL]]&gt;=0,FINANCIACION[[#This Row],[$ CAPITAL]]+FINANCIACION[[#This Row],[$ INTERESES]],0)</f>
        <v>197070</v>
      </c>
    </row>
    <row r="57" spans="1:11" ht="24" hidden="1" customHeight="1" x14ac:dyDescent="0.25">
      <c r="A57" s="177">
        <v>45232</v>
      </c>
      <c r="B57" s="184" t="s">
        <v>334</v>
      </c>
      <c r="C57" s="179"/>
      <c r="D57" s="179">
        <f>28373+32860+32860+53200</f>
        <v>147293</v>
      </c>
      <c r="E57" s="179">
        <f>+IF(FINANCIACION[[#This Row],[$ CAPITAL]]&gt;=0,FINANCIACION[[#This Row],[$ CAPITAL]]+FINANCIACION[[#This Row],[$ INTERESES]],"")</f>
        <v>147293</v>
      </c>
      <c r="F57" s="179">
        <f>+SUMIFS(FINANCIACION[$ CAPITAL],FINANCIACION[Fecha],"&lt;="&amp;FINANCIACION[[#This Row],[Fecha]],FINANCIACION[PRESTAMO],FINANCIACION[[#This Row],[PRESTAMO]])</f>
        <v>-75000000</v>
      </c>
      <c r="G57" s="179"/>
      <c r="H57" s="185" t="s">
        <v>1295</v>
      </c>
      <c r="I57" s="185"/>
      <c r="J57" s="179" t="b">
        <f>+IF(FINANCIACION[[#This Row],[$ CAPITAL]]&gt;0,FINANCIACION[[#This Row],[$ CAPITAL]])</f>
        <v>0</v>
      </c>
      <c r="K57" s="186">
        <f>+IF(FINANCIACION[[#This Row],[$ CAPITAL]]&gt;=0,FINANCIACION[[#This Row],[$ CAPITAL]]+FINANCIACION[[#This Row],[$ INTERESES]],0)</f>
        <v>147293</v>
      </c>
    </row>
    <row r="58" spans="1:11" ht="24" hidden="1" customHeight="1" x14ac:dyDescent="0.25">
      <c r="A58" s="177">
        <v>45263</v>
      </c>
      <c r="B58" s="184" t="s">
        <v>334</v>
      </c>
      <c r="C58" s="179"/>
      <c r="D58" s="179">
        <v>289402</v>
      </c>
      <c r="E58" s="179">
        <f>+IF(FINANCIACION[[#This Row],[$ CAPITAL]]&gt;=0,FINANCIACION[[#This Row],[$ CAPITAL]]+FINANCIACION[[#This Row],[$ INTERESES]],"")</f>
        <v>289402</v>
      </c>
      <c r="F58" s="179">
        <f>+SUMIFS(FINANCIACION[$ CAPITAL],FINANCIACION[Fecha],"&lt;="&amp;FINANCIACION[[#This Row],[Fecha]],FINANCIACION[PRESTAMO],FINANCIACION[[#This Row],[PRESTAMO]])</f>
        <v>-75000000</v>
      </c>
      <c r="G58" s="179"/>
      <c r="H58" s="185" t="s">
        <v>1296</v>
      </c>
      <c r="I58" s="185"/>
      <c r="J58" s="179" t="b">
        <f>+IF(FINANCIACION[[#This Row],[$ CAPITAL]]&gt;0,FINANCIACION[[#This Row],[$ CAPITAL]])</f>
        <v>0</v>
      </c>
      <c r="K58" s="186">
        <f>+IF(FINANCIACION[[#This Row],[$ CAPITAL]]&gt;=0,FINANCIACION[[#This Row],[$ CAPITAL]]+FINANCIACION[[#This Row],[$ INTERESES]],0)</f>
        <v>289402</v>
      </c>
    </row>
    <row r="59" spans="1:11" ht="24" hidden="1" customHeight="1" x14ac:dyDescent="0.25">
      <c r="A59" s="177">
        <v>45271</v>
      </c>
      <c r="B59" s="184" t="s">
        <v>334</v>
      </c>
      <c r="C59" s="179">
        <v>-5000000</v>
      </c>
      <c r="D59" s="179"/>
      <c r="E59" s="179" t="str">
        <f>+IF(FINANCIACION[[#This Row],[$ CAPITAL]]&gt;=0,FINANCIACION[[#This Row],[$ CAPITAL]]+FINANCIACION[[#This Row],[$ INTERESES]],"")</f>
        <v/>
      </c>
      <c r="F59" s="179">
        <f>+SUMIFS(FINANCIACION[$ CAPITAL],FINANCIACION[Fecha],"&lt;="&amp;FINANCIACION[[#This Row],[Fecha]],FINANCIACION[PRESTAMO],FINANCIACION[[#This Row],[PRESTAMO]])</f>
        <v>-80000000</v>
      </c>
      <c r="G59" s="179"/>
      <c r="I59" s="185"/>
      <c r="J59" s="179" t="b">
        <f>+IF(FINANCIACION[[#This Row],[$ CAPITAL]]&gt;0,FINANCIACION[[#This Row],[$ CAPITAL]])</f>
        <v>0</v>
      </c>
      <c r="K59" s="186">
        <f>+IF(FINANCIACION[[#This Row],[$ CAPITAL]]&gt;=0,FINANCIACION[[#This Row],[$ CAPITAL]]+FINANCIACION[[#This Row],[$ INTERESES]],0)</f>
        <v>0</v>
      </c>
    </row>
    <row r="60" spans="1:11" ht="24" hidden="1" customHeight="1" x14ac:dyDescent="0.25">
      <c r="A60" s="177">
        <v>45272</v>
      </c>
      <c r="B60" s="184" t="s">
        <v>334</v>
      </c>
      <c r="C60" s="179"/>
      <c r="D60" s="179">
        <f>9000000-147293-289402-5000000</f>
        <v>3563305</v>
      </c>
      <c r="E60" s="179">
        <f>+IF(FINANCIACION[[#This Row],[$ CAPITAL]]&gt;=0,FINANCIACION[[#This Row],[$ CAPITAL]]+FINANCIACION[[#This Row],[$ INTERESES]],"")</f>
        <v>3563305</v>
      </c>
      <c r="F60" s="179">
        <f>+SUMIFS(FINANCIACION[$ CAPITAL],FINANCIACION[Fecha],"&lt;="&amp;FINANCIACION[[#This Row],[Fecha]],FINANCIACION[PRESTAMO],FINANCIACION[[#This Row],[PRESTAMO]])</f>
        <v>-80000000</v>
      </c>
      <c r="G60" s="179"/>
      <c r="I60" s="185"/>
      <c r="J60" s="179" t="b">
        <f>+IF(FINANCIACION[[#This Row],[$ CAPITAL]]&gt;0,FINANCIACION[[#This Row],[$ CAPITAL]])</f>
        <v>0</v>
      </c>
      <c r="K60" s="186">
        <f>+IF(FINANCIACION[[#This Row],[$ CAPITAL]]&gt;=0,FINANCIACION[[#This Row],[$ CAPITAL]]+FINANCIACION[[#This Row],[$ INTERESES]],0)</f>
        <v>3563305</v>
      </c>
    </row>
    <row r="61" spans="1:11" ht="24" hidden="1" customHeight="1" x14ac:dyDescent="0.25">
      <c r="A61" s="177">
        <v>44420</v>
      </c>
      <c r="B61" s="184" t="s">
        <v>338</v>
      </c>
      <c r="C61" s="179">
        <v>-40000000</v>
      </c>
      <c r="D61" s="179"/>
      <c r="E61" s="179" t="str">
        <f>+IF(FINANCIACION[[#This Row],[$ CAPITAL]]&gt;=0,FINANCIACION[[#This Row],[$ CAPITAL]]+FINANCIACION[[#This Row],[$ INTERESES]],"")</f>
        <v/>
      </c>
      <c r="F61" s="179">
        <f>+SUMIFS(FINANCIACION[$ CAPITAL],FINANCIACION[Fecha],"&lt;="&amp;FINANCIACION[[#This Row],[Fecha]],FINANCIACION[PRESTAMO],FINANCIACION[[#This Row],[PRESTAMO]])</f>
        <v>-40000000</v>
      </c>
      <c r="G61" s="179"/>
      <c r="H61" s="183" t="s">
        <v>195</v>
      </c>
      <c r="I61" s="185"/>
      <c r="J61" s="179" t="b">
        <f>IF(FINANCIACION[[#This Row],[$ CAPITAL]]&gt;0,FINANCIACION[[#This Row],[$ CAPITAL]])</f>
        <v>0</v>
      </c>
      <c r="K61" s="186">
        <f>IF(FINANCIACION[[#This Row],[$ CAPITAL]]&gt;=0,FINANCIACION[[#This Row],[$ CAPITAL]]+FINANCIACION[[#This Row],[$ INTERESES]],0)</f>
        <v>0</v>
      </c>
    </row>
    <row r="62" spans="1:11" ht="24" hidden="1" customHeight="1" x14ac:dyDescent="0.25">
      <c r="A62" s="177">
        <v>44450</v>
      </c>
      <c r="B62" s="184" t="s">
        <v>338</v>
      </c>
      <c r="C62" s="179"/>
      <c r="D62" s="179">
        <v>400000</v>
      </c>
      <c r="E62" s="179">
        <f>+IF(FINANCIACION[[#This Row],[$ CAPITAL]]&gt;=0,FINANCIACION[[#This Row],[$ CAPITAL]]+FINANCIACION[[#This Row],[$ INTERESES]],"")</f>
        <v>400000</v>
      </c>
      <c r="F62" s="179">
        <f>+SUMIFS(FINANCIACION[$ CAPITAL],FINANCIACION[Fecha],"&lt;="&amp;FINANCIACION[[#This Row],[Fecha]],FINANCIACION[PRESTAMO],FINANCIACION[[#This Row],[PRESTAMO]])</f>
        <v>-40000000</v>
      </c>
      <c r="G62" s="179"/>
      <c r="H62" s="185" t="s">
        <v>212</v>
      </c>
      <c r="I62" s="185"/>
      <c r="J62" s="179" t="b">
        <f>IF(FINANCIACION[[#This Row],[$ CAPITAL]]&gt;0,FINANCIACION[[#This Row],[$ CAPITAL]])</f>
        <v>0</v>
      </c>
      <c r="K62" s="186">
        <f>IF(FINANCIACION[[#This Row],[$ CAPITAL]]&gt;=0,FINANCIACION[[#This Row],[$ CAPITAL]]+FINANCIACION[[#This Row],[$ INTERESES]],0)</f>
        <v>400000</v>
      </c>
    </row>
    <row r="63" spans="1:11" ht="24" hidden="1" customHeight="1" x14ac:dyDescent="0.25">
      <c r="A63" s="177">
        <v>44480</v>
      </c>
      <c r="B63" s="184" t="s">
        <v>338</v>
      </c>
      <c r="C63" s="179"/>
      <c r="D63" s="179">
        <v>400000</v>
      </c>
      <c r="E63" s="179">
        <f>+IF(FINANCIACION[[#This Row],[$ CAPITAL]]&gt;=0,FINANCIACION[[#This Row],[$ CAPITAL]]+FINANCIACION[[#This Row],[$ INTERESES]],"")</f>
        <v>400000</v>
      </c>
      <c r="F63" s="179">
        <f>+SUMIFS(FINANCIACION[$ CAPITAL],FINANCIACION[Fecha],"&lt;="&amp;FINANCIACION[[#This Row],[Fecha]],FINANCIACION[PRESTAMO],FINANCIACION[[#This Row],[PRESTAMO]])</f>
        <v>-40000000</v>
      </c>
      <c r="G63" s="179"/>
      <c r="H63" s="183" t="s">
        <v>212</v>
      </c>
      <c r="I63" s="185"/>
      <c r="J63" s="179" t="b">
        <f>IF(FINANCIACION[[#This Row],[$ CAPITAL]]&gt;0,FINANCIACION[[#This Row],[$ CAPITAL]])</f>
        <v>0</v>
      </c>
      <c r="K63" s="186">
        <f>IF(FINANCIACION[[#This Row],[$ CAPITAL]]&gt;=0,FINANCIACION[[#This Row],[$ CAPITAL]]+FINANCIACION[[#This Row],[$ INTERESES]],0)</f>
        <v>400000</v>
      </c>
    </row>
    <row r="64" spans="1:11" ht="24" hidden="1" customHeight="1" x14ac:dyDescent="0.25">
      <c r="A64" s="177">
        <v>44510</v>
      </c>
      <c r="B64" s="184" t="s">
        <v>338</v>
      </c>
      <c r="C64" s="179"/>
      <c r="D64" s="179">
        <v>400000</v>
      </c>
      <c r="E64" s="179">
        <f>+IF(FINANCIACION[[#This Row],[$ CAPITAL]]&gt;=0,FINANCIACION[[#This Row],[$ CAPITAL]]+FINANCIACION[[#This Row],[$ INTERESES]],"")</f>
        <v>400000</v>
      </c>
      <c r="F64" s="179">
        <f>+SUMIFS(FINANCIACION[$ CAPITAL],FINANCIACION[Fecha],"&lt;="&amp;FINANCIACION[[#This Row],[Fecha]],FINANCIACION[PRESTAMO],FINANCIACION[[#This Row],[PRESTAMO]])</f>
        <v>-40000000</v>
      </c>
      <c r="G64" s="179"/>
      <c r="H64" s="183"/>
      <c r="I64" s="185"/>
      <c r="J64" s="179" t="b">
        <f>IF(FINANCIACION[[#This Row],[$ CAPITAL]]&gt;0,FINANCIACION[[#This Row],[$ CAPITAL]])</f>
        <v>0</v>
      </c>
      <c r="K64" s="186">
        <f>IF(FINANCIACION[[#This Row],[$ CAPITAL]]&gt;=0,FINANCIACION[[#This Row],[$ CAPITAL]]+FINANCIACION[[#This Row],[$ INTERESES]],0)</f>
        <v>400000</v>
      </c>
    </row>
    <row r="65" spans="1:11" ht="24" hidden="1" customHeight="1" x14ac:dyDescent="0.25">
      <c r="A65" s="177">
        <v>44539</v>
      </c>
      <c r="B65" s="184" t="s">
        <v>338</v>
      </c>
      <c r="C65" s="179"/>
      <c r="D65" s="179">
        <v>400000</v>
      </c>
      <c r="E65" s="179">
        <f>+IF(FINANCIACION[[#This Row],[$ CAPITAL]]&gt;=0,FINANCIACION[[#This Row],[$ CAPITAL]]+FINANCIACION[[#This Row],[$ INTERESES]],"")</f>
        <v>400000</v>
      </c>
      <c r="F65" s="179">
        <f>+SUMIFS(FINANCIACION[$ CAPITAL],FINANCIACION[Fecha],"&lt;="&amp;FINANCIACION[[#This Row],[Fecha]],FINANCIACION[PRESTAMO],FINANCIACION[[#This Row],[PRESTAMO]])</f>
        <v>-40000000</v>
      </c>
      <c r="G65" s="179"/>
      <c r="I65" s="185"/>
      <c r="J65" s="179" t="b">
        <f>IF(FINANCIACION[[#This Row],[$ CAPITAL]]&gt;0,FINANCIACION[[#This Row],[$ CAPITAL]])</f>
        <v>0</v>
      </c>
      <c r="K65" s="186">
        <f>IF(FINANCIACION[[#This Row],[$ CAPITAL]]&gt;=0,FINANCIACION[[#This Row],[$ CAPITAL]]+FINANCIACION[[#This Row],[$ INTERESES]],0)</f>
        <v>400000</v>
      </c>
    </row>
    <row r="66" spans="1:11" ht="24" hidden="1" customHeight="1" x14ac:dyDescent="0.25">
      <c r="A66" s="177">
        <v>44572</v>
      </c>
      <c r="B66" s="184" t="s">
        <v>338</v>
      </c>
      <c r="C66" s="179"/>
      <c r="D66" s="179">
        <v>400000</v>
      </c>
      <c r="E66" s="179">
        <f>+IF(FINANCIACION[[#This Row],[$ CAPITAL]]&gt;=0,FINANCIACION[[#This Row],[$ CAPITAL]]+FINANCIACION[[#This Row],[$ INTERESES]],"")</f>
        <v>400000</v>
      </c>
      <c r="F66" s="179">
        <f>+SUMIFS(FINANCIACION[$ CAPITAL],FINANCIACION[Fecha],"&lt;="&amp;FINANCIACION[[#This Row],[Fecha]],FINANCIACION[PRESTAMO],FINANCIACION[[#This Row],[PRESTAMO]])</f>
        <v>-40000000</v>
      </c>
      <c r="G66" s="179"/>
      <c r="I66" s="185"/>
      <c r="J66" s="179" t="b">
        <f>IF(FINANCIACION[[#This Row],[$ CAPITAL]]&gt;0,FINANCIACION[[#This Row],[$ CAPITAL]])</f>
        <v>0</v>
      </c>
      <c r="K66" s="186">
        <f>IF(FINANCIACION[[#This Row],[$ CAPITAL]]&gt;=0,FINANCIACION[[#This Row],[$ CAPITAL]]+FINANCIACION[[#This Row],[$ INTERESES]],0)</f>
        <v>400000</v>
      </c>
    </row>
    <row r="67" spans="1:11" ht="24" hidden="1" customHeight="1" x14ac:dyDescent="0.25">
      <c r="A67" s="177">
        <v>44602</v>
      </c>
      <c r="B67" s="184" t="s">
        <v>338</v>
      </c>
      <c r="C67" s="179"/>
      <c r="D67" s="179">
        <v>400000</v>
      </c>
      <c r="E67" s="179">
        <f>+IF(FINANCIACION[[#This Row],[$ CAPITAL]]&gt;=0,FINANCIACION[[#This Row],[$ CAPITAL]]+FINANCIACION[[#This Row],[$ INTERESES]],"")</f>
        <v>400000</v>
      </c>
      <c r="F67" s="179">
        <f>+SUMIFS(FINANCIACION[$ CAPITAL],FINANCIACION[Fecha],"&lt;="&amp;FINANCIACION[[#This Row],[Fecha]],FINANCIACION[PRESTAMO],FINANCIACION[[#This Row],[PRESTAMO]])</f>
        <v>-40000000</v>
      </c>
      <c r="G67" s="179"/>
      <c r="I67" s="185"/>
      <c r="J67" s="179" t="b">
        <f>+IF(FINANCIACION[[#This Row],[$ CAPITAL]]&gt;0,FINANCIACION[[#This Row],[$ CAPITAL]])</f>
        <v>0</v>
      </c>
      <c r="K67" s="186">
        <f>+IF(FINANCIACION[[#This Row],[$ CAPITAL]]&gt;=0,FINANCIACION[[#This Row],[$ CAPITAL]]+FINANCIACION[[#This Row],[$ INTERESES]],0)</f>
        <v>400000</v>
      </c>
    </row>
    <row r="68" spans="1:11" ht="24" hidden="1" customHeight="1" x14ac:dyDescent="0.25">
      <c r="A68" s="177">
        <v>44629</v>
      </c>
      <c r="B68" s="184" t="s">
        <v>338</v>
      </c>
      <c r="C68" s="179"/>
      <c r="D68" s="179">
        <v>400000</v>
      </c>
      <c r="E68" s="179">
        <f>+IF(FINANCIACION[[#This Row],[$ CAPITAL]]&gt;=0,FINANCIACION[[#This Row],[$ CAPITAL]]+FINANCIACION[[#This Row],[$ INTERESES]],"")</f>
        <v>400000</v>
      </c>
      <c r="F68" s="179">
        <f>+SUMIFS(FINANCIACION[$ CAPITAL],FINANCIACION[Fecha],"&lt;="&amp;FINANCIACION[[#This Row],[Fecha]],FINANCIACION[PRESTAMO],FINANCIACION[[#This Row],[PRESTAMO]])</f>
        <v>-40000000</v>
      </c>
      <c r="G68" s="179"/>
      <c r="I68" s="185"/>
      <c r="J68" s="179" t="b">
        <f>+IF(FINANCIACION[[#This Row],[$ CAPITAL]]&gt;0,FINANCIACION[[#This Row],[$ CAPITAL]])</f>
        <v>0</v>
      </c>
      <c r="K68" s="186">
        <f>+IF(FINANCIACION[[#This Row],[$ CAPITAL]]&gt;=0,FINANCIACION[[#This Row],[$ CAPITAL]]+FINANCIACION[[#This Row],[$ INTERESES]],0)</f>
        <v>400000</v>
      </c>
    </row>
    <row r="69" spans="1:11" ht="24" hidden="1" customHeight="1" x14ac:dyDescent="0.25">
      <c r="A69" s="177">
        <v>44663</v>
      </c>
      <c r="B69" s="184" t="s">
        <v>338</v>
      </c>
      <c r="C69" s="179"/>
      <c r="D69" s="179">
        <v>400000</v>
      </c>
      <c r="E69" s="179">
        <f>+IF(FINANCIACION[[#This Row],[$ CAPITAL]]&gt;=0,FINANCIACION[[#This Row],[$ CAPITAL]]+FINANCIACION[[#This Row],[$ INTERESES]],"")</f>
        <v>400000</v>
      </c>
      <c r="F69" s="179">
        <f>+SUMIFS(FINANCIACION[$ CAPITAL],FINANCIACION[Fecha],"&lt;="&amp;FINANCIACION[[#This Row],[Fecha]],FINANCIACION[PRESTAMO],FINANCIACION[[#This Row],[PRESTAMO]])</f>
        <v>-40000000</v>
      </c>
      <c r="G69" s="179"/>
      <c r="I69" s="185"/>
      <c r="J69" s="179" t="b">
        <f>+IF(FINANCIACION[[#This Row],[$ CAPITAL]]&gt;0,FINANCIACION[[#This Row],[$ CAPITAL]])</f>
        <v>0</v>
      </c>
      <c r="K69" s="186">
        <f>+IF(FINANCIACION[[#This Row],[$ CAPITAL]]&gt;=0,FINANCIACION[[#This Row],[$ CAPITAL]]+FINANCIACION[[#This Row],[$ INTERESES]],0)</f>
        <v>400000</v>
      </c>
    </row>
    <row r="70" spans="1:11" ht="24" hidden="1" customHeight="1" x14ac:dyDescent="0.25">
      <c r="A70" s="177">
        <v>44691</v>
      </c>
      <c r="B70" s="184" t="s">
        <v>338</v>
      </c>
      <c r="C70" s="179"/>
      <c r="D70" s="179">
        <v>400000</v>
      </c>
      <c r="E70" s="179">
        <f>+IF(FINANCIACION[[#This Row],[$ CAPITAL]]&gt;=0,FINANCIACION[[#This Row],[$ CAPITAL]]+FINANCIACION[[#This Row],[$ INTERESES]],"")</f>
        <v>400000</v>
      </c>
      <c r="F70" s="179">
        <f>+SUMIFS(FINANCIACION[$ CAPITAL],FINANCIACION[Fecha],"&lt;="&amp;FINANCIACION[[#This Row],[Fecha]],FINANCIACION[PRESTAMO],FINANCIACION[[#This Row],[PRESTAMO]])</f>
        <v>-40000000</v>
      </c>
      <c r="G70" s="179"/>
      <c r="I70" s="185"/>
      <c r="J70" s="179" t="b">
        <f>+IF(FINANCIACION[[#This Row],[$ CAPITAL]]&gt;0,FINANCIACION[[#This Row],[$ CAPITAL]])</f>
        <v>0</v>
      </c>
      <c r="K70" s="186">
        <f>+IF(FINANCIACION[[#This Row],[$ CAPITAL]]&gt;=0,FINANCIACION[[#This Row],[$ CAPITAL]]+FINANCIACION[[#This Row],[$ INTERESES]],0)</f>
        <v>400000</v>
      </c>
    </row>
    <row r="71" spans="1:11" ht="24" hidden="1" customHeight="1" x14ac:dyDescent="0.25">
      <c r="A71" s="177">
        <v>44722</v>
      </c>
      <c r="B71" s="184" t="s">
        <v>338</v>
      </c>
      <c r="C71" s="179"/>
      <c r="D71" s="179">
        <v>400000</v>
      </c>
      <c r="E71" s="179">
        <f>+IF(FINANCIACION[[#This Row],[$ CAPITAL]]&gt;=0,FINANCIACION[[#This Row],[$ CAPITAL]]+FINANCIACION[[#This Row],[$ INTERESES]],"")</f>
        <v>400000</v>
      </c>
      <c r="F71" s="179">
        <f>+SUMIFS(FINANCIACION[$ CAPITAL],FINANCIACION[Fecha],"&lt;="&amp;FINANCIACION[[#This Row],[Fecha]],FINANCIACION[PRESTAMO],FINANCIACION[[#This Row],[PRESTAMO]])</f>
        <v>-40000000</v>
      </c>
      <c r="G71" s="179"/>
      <c r="I71" s="185"/>
      <c r="J71" s="179" t="b">
        <f>+IF(FINANCIACION[[#This Row],[$ CAPITAL]]&gt;0,FINANCIACION[[#This Row],[$ CAPITAL]])</f>
        <v>0</v>
      </c>
      <c r="K71" s="186">
        <f>+IF(FINANCIACION[[#This Row],[$ CAPITAL]]&gt;=0,FINANCIACION[[#This Row],[$ CAPITAL]]+FINANCIACION[[#This Row],[$ INTERESES]],0)</f>
        <v>400000</v>
      </c>
    </row>
    <row r="72" spans="1:11" ht="24" hidden="1" customHeight="1" x14ac:dyDescent="0.25">
      <c r="A72" s="177">
        <v>44753</v>
      </c>
      <c r="B72" s="184" t="s">
        <v>338</v>
      </c>
      <c r="C72" s="179"/>
      <c r="D72" s="179">
        <v>400000</v>
      </c>
      <c r="E72" s="179">
        <f>+IF(FINANCIACION[[#This Row],[$ CAPITAL]]&gt;=0,FINANCIACION[[#This Row],[$ CAPITAL]]+FINANCIACION[[#This Row],[$ INTERESES]],"")</f>
        <v>400000</v>
      </c>
      <c r="F72" s="179">
        <f>+SUMIFS(FINANCIACION[$ CAPITAL],FINANCIACION[Fecha],"&lt;="&amp;FINANCIACION[[#This Row],[Fecha]],FINANCIACION[PRESTAMO],FINANCIACION[[#This Row],[PRESTAMO]])</f>
        <v>-40000000</v>
      </c>
      <c r="G72" s="179"/>
      <c r="I72" s="185"/>
      <c r="J72" s="179" t="b">
        <f>+IF(FINANCIACION[[#This Row],[$ CAPITAL]]&gt;0,FINANCIACION[[#This Row],[$ CAPITAL]])</f>
        <v>0</v>
      </c>
      <c r="K72" s="186">
        <f>+IF(FINANCIACION[[#This Row],[$ CAPITAL]]&gt;=0,FINANCIACION[[#This Row],[$ CAPITAL]]+FINANCIACION[[#This Row],[$ INTERESES]],0)</f>
        <v>400000</v>
      </c>
    </row>
    <row r="73" spans="1:11" ht="24" hidden="1" customHeight="1" x14ac:dyDescent="0.25">
      <c r="A73" s="177">
        <v>44786</v>
      </c>
      <c r="B73" s="184" t="s">
        <v>338</v>
      </c>
      <c r="C73" s="179"/>
      <c r="D73" s="179">
        <v>400000</v>
      </c>
      <c r="E73" s="179">
        <f>+IF(FINANCIACION[[#This Row],[$ CAPITAL]]&gt;=0,FINANCIACION[[#This Row],[$ CAPITAL]]+FINANCIACION[[#This Row],[$ INTERESES]],"")</f>
        <v>400000</v>
      </c>
      <c r="F73" s="179">
        <f>+SUMIFS(FINANCIACION[$ CAPITAL],FINANCIACION[Fecha],"&lt;="&amp;FINANCIACION[[#This Row],[Fecha]],FINANCIACION[PRESTAMO],FINANCIACION[[#This Row],[PRESTAMO]])</f>
        <v>-40000000</v>
      </c>
      <c r="G73" s="179"/>
      <c r="I73" s="185"/>
      <c r="J73" s="179" t="b">
        <f>+IF(FINANCIACION[[#This Row],[$ CAPITAL]]&gt;0,FINANCIACION[[#This Row],[$ CAPITAL]])</f>
        <v>0</v>
      </c>
      <c r="K73" s="186">
        <f>+IF(FINANCIACION[[#This Row],[$ CAPITAL]]&gt;=0,FINANCIACION[[#This Row],[$ CAPITAL]]+FINANCIACION[[#This Row],[$ INTERESES]],0)</f>
        <v>400000</v>
      </c>
    </row>
    <row r="74" spans="1:11" ht="24" hidden="1" customHeight="1" x14ac:dyDescent="0.25">
      <c r="A74" s="177">
        <v>44817</v>
      </c>
      <c r="B74" s="184" t="s">
        <v>338</v>
      </c>
      <c r="C74" s="179"/>
      <c r="D74" s="179">
        <v>400000</v>
      </c>
      <c r="E74" s="179">
        <f>+IF(FINANCIACION[[#This Row],[$ CAPITAL]]&gt;=0,FINANCIACION[[#This Row],[$ CAPITAL]]+FINANCIACION[[#This Row],[$ INTERESES]],"")</f>
        <v>400000</v>
      </c>
      <c r="F74" s="179">
        <f>+SUMIFS(FINANCIACION[$ CAPITAL],FINANCIACION[Fecha],"&lt;="&amp;FINANCIACION[[#This Row],[Fecha]],FINANCIACION[PRESTAMO],FINANCIACION[[#This Row],[PRESTAMO]])</f>
        <v>-40000000</v>
      </c>
      <c r="G74" s="179"/>
      <c r="I74" s="185"/>
      <c r="J74" s="179" t="b">
        <f>+IF(FINANCIACION[[#This Row],[$ CAPITAL]]&gt;0,FINANCIACION[[#This Row],[$ CAPITAL]])</f>
        <v>0</v>
      </c>
      <c r="K74" s="186">
        <f>+IF(FINANCIACION[[#This Row],[$ CAPITAL]]&gt;=0,FINANCIACION[[#This Row],[$ CAPITAL]]+FINANCIACION[[#This Row],[$ INTERESES]],0)</f>
        <v>400000</v>
      </c>
    </row>
    <row r="75" spans="1:11" ht="24" hidden="1" customHeight="1" x14ac:dyDescent="0.25">
      <c r="A75" s="177">
        <v>44846</v>
      </c>
      <c r="B75" s="184" t="s">
        <v>338</v>
      </c>
      <c r="C75" s="179"/>
      <c r="D75" s="179">
        <v>400000</v>
      </c>
      <c r="E75" s="179">
        <f>+IF(FINANCIACION[[#This Row],[$ CAPITAL]]&gt;=0,FINANCIACION[[#This Row],[$ CAPITAL]]+FINANCIACION[[#This Row],[$ INTERESES]],"")</f>
        <v>400000</v>
      </c>
      <c r="F75" s="179">
        <f>+SUMIFS(FINANCIACION[$ CAPITAL],FINANCIACION[Fecha],"&lt;="&amp;FINANCIACION[[#This Row],[Fecha]],FINANCIACION[PRESTAMO],FINANCIACION[[#This Row],[PRESTAMO]])</f>
        <v>-40000000</v>
      </c>
      <c r="G75" s="179"/>
      <c r="I75" s="185"/>
      <c r="J75" s="179" t="b">
        <f>+IF(FINANCIACION[[#This Row],[$ CAPITAL]]&gt;0,FINANCIACION[[#This Row],[$ CAPITAL]])</f>
        <v>0</v>
      </c>
      <c r="K75" s="186">
        <f>+IF(FINANCIACION[[#This Row],[$ CAPITAL]]&gt;=0,FINANCIACION[[#This Row],[$ CAPITAL]]+FINANCIACION[[#This Row],[$ INTERESES]],0)</f>
        <v>400000</v>
      </c>
    </row>
    <row r="76" spans="1:11" ht="24" hidden="1" customHeight="1" x14ac:dyDescent="0.25">
      <c r="A76" s="177">
        <v>44876</v>
      </c>
      <c r="B76" s="184" t="s">
        <v>338</v>
      </c>
      <c r="C76" s="179"/>
      <c r="D76" s="179">
        <v>400000</v>
      </c>
      <c r="E76" s="179">
        <f>+IF(FINANCIACION[[#This Row],[$ CAPITAL]]&gt;=0,FINANCIACION[[#This Row],[$ CAPITAL]]+FINANCIACION[[#This Row],[$ INTERESES]],"")</f>
        <v>400000</v>
      </c>
      <c r="F76" s="179">
        <f>+SUMIFS(FINANCIACION[$ CAPITAL],FINANCIACION[Fecha],"&lt;="&amp;FINANCIACION[[#This Row],[Fecha]],FINANCIACION[PRESTAMO],FINANCIACION[[#This Row],[PRESTAMO]])</f>
        <v>-40000000</v>
      </c>
      <c r="G76" s="179"/>
      <c r="I76" s="185"/>
      <c r="J76" s="179" t="b">
        <f>+IF(FINANCIACION[[#This Row],[$ CAPITAL]]&gt;0,FINANCIACION[[#This Row],[$ CAPITAL]])</f>
        <v>0</v>
      </c>
      <c r="K76" s="186">
        <f>+IF(FINANCIACION[[#This Row],[$ CAPITAL]]&gt;=0,FINANCIACION[[#This Row],[$ CAPITAL]]+FINANCIACION[[#This Row],[$ INTERESES]],0)</f>
        <v>400000</v>
      </c>
    </row>
    <row r="77" spans="1:11" ht="24" hidden="1" customHeight="1" x14ac:dyDescent="0.25">
      <c r="A77" s="177">
        <v>44909</v>
      </c>
      <c r="B77" s="184" t="s">
        <v>338</v>
      </c>
      <c r="C77" s="179"/>
      <c r="D77" s="179">
        <v>400000</v>
      </c>
      <c r="E77" s="179">
        <f>+IF(FINANCIACION[[#This Row],[$ CAPITAL]]&gt;=0,FINANCIACION[[#This Row],[$ CAPITAL]]+FINANCIACION[[#This Row],[$ INTERESES]],"")</f>
        <v>400000</v>
      </c>
      <c r="F77" s="179">
        <f>+SUMIFS(FINANCIACION[$ CAPITAL],FINANCIACION[Fecha],"&lt;="&amp;FINANCIACION[[#This Row],[Fecha]],FINANCIACION[PRESTAMO],FINANCIACION[[#This Row],[PRESTAMO]])</f>
        <v>-40000000</v>
      </c>
      <c r="G77" s="179"/>
      <c r="I77" s="185"/>
      <c r="J77" s="179" t="b">
        <f>+IF(FINANCIACION[[#This Row],[$ CAPITAL]]&gt;0,FINANCIACION[[#This Row],[$ CAPITAL]])</f>
        <v>0</v>
      </c>
      <c r="K77" s="186">
        <f>+IF(FINANCIACION[[#This Row],[$ CAPITAL]]&gt;=0,FINANCIACION[[#This Row],[$ CAPITAL]]+FINANCIACION[[#This Row],[$ INTERESES]],0)</f>
        <v>400000</v>
      </c>
    </row>
    <row r="78" spans="1:11" ht="24" hidden="1" customHeight="1" x14ac:dyDescent="0.25">
      <c r="A78" s="177">
        <v>44938</v>
      </c>
      <c r="B78" s="184" t="s">
        <v>338</v>
      </c>
      <c r="C78" s="179"/>
      <c r="D78" s="179">
        <v>400000</v>
      </c>
      <c r="E78" s="179">
        <f>+IF(FINANCIACION[[#This Row],[$ CAPITAL]]&gt;=0,FINANCIACION[[#This Row],[$ CAPITAL]]+FINANCIACION[[#This Row],[$ INTERESES]],"")</f>
        <v>400000</v>
      </c>
      <c r="F78" s="179">
        <f>+SUMIFS(FINANCIACION[$ CAPITAL],FINANCIACION[Fecha],"&lt;="&amp;FINANCIACION[[#This Row],[Fecha]],FINANCIACION[PRESTAMO],FINANCIACION[[#This Row],[PRESTAMO]])</f>
        <v>-40000000</v>
      </c>
      <c r="G78" s="179"/>
      <c r="I78" s="185"/>
      <c r="J78" s="179" t="b">
        <f>+IF(FINANCIACION[[#This Row],[$ CAPITAL]]&gt;0,FINANCIACION[[#This Row],[$ CAPITAL]])</f>
        <v>0</v>
      </c>
      <c r="K78" s="186">
        <f>+IF(FINANCIACION[[#This Row],[$ CAPITAL]]&gt;=0,FINANCIACION[[#This Row],[$ CAPITAL]]+FINANCIACION[[#This Row],[$ INTERESES]],0)</f>
        <v>400000</v>
      </c>
    </row>
    <row r="79" spans="1:11" ht="24" hidden="1" customHeight="1" x14ac:dyDescent="0.25">
      <c r="A79" s="177">
        <v>44946</v>
      </c>
      <c r="B79" s="184" t="s">
        <v>338</v>
      </c>
      <c r="C79" s="179">
        <v>5000000</v>
      </c>
      <c r="D79" s="179"/>
      <c r="E79" s="179">
        <f>+IF(FINANCIACION[[#This Row],[$ CAPITAL]]&gt;=0,FINANCIACION[[#This Row],[$ CAPITAL]]+FINANCIACION[[#This Row],[$ INTERESES]],"")</f>
        <v>5000000</v>
      </c>
      <c r="F79" s="179">
        <f>+SUMIFS(FINANCIACION[$ CAPITAL],FINANCIACION[Fecha],"&lt;="&amp;FINANCIACION[[#This Row],[Fecha]],FINANCIACION[PRESTAMO],FINANCIACION[[#This Row],[PRESTAMO]])</f>
        <v>-35000000</v>
      </c>
      <c r="G79" s="179"/>
      <c r="I79" s="185"/>
      <c r="J79" s="179">
        <f>+IF(FINANCIACION[[#This Row],[$ CAPITAL]]&gt;0,FINANCIACION[[#This Row],[$ CAPITAL]])</f>
        <v>5000000</v>
      </c>
      <c r="K79" s="186">
        <f>+IF(FINANCIACION[[#This Row],[$ CAPITAL]]&gt;=0,FINANCIACION[[#This Row],[$ CAPITAL]]+FINANCIACION[[#This Row],[$ INTERESES]],0)</f>
        <v>5000000</v>
      </c>
    </row>
    <row r="80" spans="1:11" ht="24" hidden="1" customHeight="1" x14ac:dyDescent="0.25">
      <c r="A80" s="177">
        <v>44970</v>
      </c>
      <c r="B80" s="184" t="s">
        <v>338</v>
      </c>
      <c r="C80" s="179"/>
      <c r="D80" s="179">
        <v>400000</v>
      </c>
      <c r="E80" s="179">
        <f>+IF(FINANCIACION[[#This Row],[$ CAPITAL]]&gt;=0,FINANCIACION[[#This Row],[$ CAPITAL]]+FINANCIACION[[#This Row],[$ INTERESES]],"")</f>
        <v>400000</v>
      </c>
      <c r="F80" s="179">
        <f>+SUMIFS(FINANCIACION[$ CAPITAL],FINANCIACION[Fecha],"&lt;="&amp;FINANCIACION[[#This Row],[Fecha]],FINANCIACION[PRESTAMO],FINANCIACION[[#This Row],[PRESTAMO]])</f>
        <v>-35000000</v>
      </c>
      <c r="G80" s="179"/>
      <c r="I80" s="185"/>
      <c r="J80" s="179" t="b">
        <f>+IF(FINANCIACION[[#This Row],[$ CAPITAL]]&gt;0,FINANCIACION[[#This Row],[$ CAPITAL]])</f>
        <v>0</v>
      </c>
      <c r="K80" s="186">
        <f>+IF(FINANCIACION[[#This Row],[$ CAPITAL]]&gt;=0,FINANCIACION[[#This Row],[$ CAPITAL]]+FINANCIACION[[#This Row],[$ INTERESES]],0)</f>
        <v>400000</v>
      </c>
    </row>
    <row r="81" spans="1:11" ht="24" hidden="1" customHeight="1" x14ac:dyDescent="0.25">
      <c r="A81" s="177">
        <v>44998</v>
      </c>
      <c r="B81" s="184" t="s">
        <v>338</v>
      </c>
      <c r="C81" s="179"/>
      <c r="D81" s="179">
        <v>350000</v>
      </c>
      <c r="E81" s="179">
        <f>+IF(FINANCIACION[[#This Row],[$ CAPITAL]]&gt;=0,FINANCIACION[[#This Row],[$ CAPITAL]]+FINANCIACION[[#This Row],[$ INTERESES]],"")</f>
        <v>350000</v>
      </c>
      <c r="F81" s="179">
        <f>+SUMIFS(FINANCIACION[$ CAPITAL],FINANCIACION[Fecha],"&lt;="&amp;FINANCIACION[[#This Row],[Fecha]],FINANCIACION[PRESTAMO],FINANCIACION[[#This Row],[PRESTAMO]])</f>
        <v>-35000000</v>
      </c>
      <c r="G81" s="179"/>
      <c r="I81" s="185"/>
      <c r="J81" s="179" t="b">
        <f>+IF(FINANCIACION[[#This Row],[$ CAPITAL]]&gt;0,FINANCIACION[[#This Row],[$ CAPITAL]])</f>
        <v>0</v>
      </c>
      <c r="K81" s="186">
        <f>+IF(FINANCIACION[[#This Row],[$ CAPITAL]]&gt;=0,FINANCIACION[[#This Row],[$ CAPITAL]]+FINANCIACION[[#This Row],[$ INTERESES]],0)</f>
        <v>350000</v>
      </c>
    </row>
    <row r="82" spans="1:11" ht="24" hidden="1" customHeight="1" x14ac:dyDescent="0.25">
      <c r="A82" s="177">
        <v>45026</v>
      </c>
      <c r="B82" s="184" t="s">
        <v>338</v>
      </c>
      <c r="C82" s="179"/>
      <c r="D82" s="179">
        <v>350000</v>
      </c>
      <c r="E82" s="179">
        <f>+IF(FINANCIACION[[#This Row],[$ CAPITAL]]&gt;=0,FINANCIACION[[#This Row],[$ CAPITAL]]+FINANCIACION[[#This Row],[$ INTERESES]],"")</f>
        <v>350000</v>
      </c>
      <c r="F82" s="179">
        <f>+SUMIFS(FINANCIACION[$ CAPITAL],FINANCIACION[Fecha],"&lt;="&amp;FINANCIACION[[#This Row],[Fecha]],FINANCIACION[PRESTAMO],FINANCIACION[[#This Row],[PRESTAMO]])</f>
        <v>-35000000</v>
      </c>
      <c r="G82" s="179"/>
      <c r="I82" s="185"/>
      <c r="J82" s="179" t="b">
        <f>+IF(FINANCIACION[[#This Row],[$ CAPITAL]]&gt;0,FINANCIACION[[#This Row],[$ CAPITAL]])</f>
        <v>0</v>
      </c>
      <c r="K82" s="186">
        <f>+IF(FINANCIACION[[#This Row],[$ CAPITAL]]&gt;=0,FINANCIACION[[#This Row],[$ CAPITAL]]+FINANCIACION[[#This Row],[$ INTERESES]],0)</f>
        <v>350000</v>
      </c>
    </row>
    <row r="83" spans="1:11" ht="24" hidden="1" customHeight="1" x14ac:dyDescent="0.25">
      <c r="A83" s="177">
        <v>45054</v>
      </c>
      <c r="B83" s="184" t="s">
        <v>338</v>
      </c>
      <c r="C83" s="179"/>
      <c r="D83" s="179">
        <v>350000</v>
      </c>
      <c r="E83" s="179">
        <f>+IF(FINANCIACION[[#This Row],[$ CAPITAL]]&gt;=0,FINANCIACION[[#This Row],[$ CAPITAL]]+FINANCIACION[[#This Row],[$ INTERESES]],"")</f>
        <v>350000</v>
      </c>
      <c r="F83" s="179">
        <f>+SUMIFS(FINANCIACION[$ CAPITAL],FINANCIACION[Fecha],"&lt;="&amp;FINANCIACION[[#This Row],[Fecha]],FINANCIACION[PRESTAMO],FINANCIACION[[#This Row],[PRESTAMO]])</f>
        <v>-35000000</v>
      </c>
      <c r="G83" s="179"/>
      <c r="I83" s="185"/>
      <c r="J83" s="179" t="b">
        <f>+IF(FINANCIACION[[#This Row],[$ CAPITAL]]&gt;0,FINANCIACION[[#This Row],[$ CAPITAL]])</f>
        <v>0</v>
      </c>
      <c r="K83" s="186">
        <f>+IF(FINANCIACION[[#This Row],[$ CAPITAL]]&gt;=0,FINANCIACION[[#This Row],[$ CAPITAL]]+FINANCIACION[[#This Row],[$ INTERESES]],0)</f>
        <v>350000</v>
      </c>
    </row>
    <row r="84" spans="1:11" ht="24" hidden="1" customHeight="1" x14ac:dyDescent="0.25">
      <c r="A84" s="177">
        <v>45090</v>
      </c>
      <c r="B84" s="184" t="s">
        <v>338</v>
      </c>
      <c r="C84" s="179"/>
      <c r="D84" s="179">
        <v>350000</v>
      </c>
      <c r="E84" s="179">
        <f>+IF(FINANCIACION[[#This Row],[$ CAPITAL]]&gt;=0,FINANCIACION[[#This Row],[$ CAPITAL]]+FINANCIACION[[#This Row],[$ INTERESES]],"")</f>
        <v>350000</v>
      </c>
      <c r="F84" s="179">
        <f>+SUMIFS(FINANCIACION[$ CAPITAL],FINANCIACION[Fecha],"&lt;="&amp;FINANCIACION[[#This Row],[Fecha]],FINANCIACION[PRESTAMO],FINANCIACION[[#This Row],[PRESTAMO]])</f>
        <v>-35000000</v>
      </c>
      <c r="G84" s="179"/>
      <c r="I84" s="185"/>
      <c r="J84" s="179" t="b">
        <f>+IF(FINANCIACION[[#This Row],[$ CAPITAL]]&gt;0,FINANCIACION[[#This Row],[$ CAPITAL]])</f>
        <v>0</v>
      </c>
      <c r="K84" s="186">
        <f>+IF(FINANCIACION[[#This Row],[$ CAPITAL]]&gt;=0,FINANCIACION[[#This Row],[$ CAPITAL]]+FINANCIACION[[#This Row],[$ INTERESES]],0)</f>
        <v>350000</v>
      </c>
    </row>
    <row r="85" spans="1:11" ht="24" hidden="1" customHeight="1" x14ac:dyDescent="0.25">
      <c r="A85" s="177">
        <v>45118</v>
      </c>
      <c r="B85" s="184" t="s">
        <v>338</v>
      </c>
      <c r="C85" s="179"/>
      <c r="D85" s="179">
        <v>350000</v>
      </c>
      <c r="E85" s="179">
        <f>+IF(FINANCIACION[[#This Row],[$ CAPITAL]]&gt;=0,FINANCIACION[[#This Row],[$ CAPITAL]]+FINANCIACION[[#This Row],[$ INTERESES]],"")</f>
        <v>350000</v>
      </c>
      <c r="F85" s="179">
        <f>+SUMIFS(FINANCIACION[$ CAPITAL],FINANCIACION[Fecha],"&lt;="&amp;FINANCIACION[[#This Row],[Fecha]],FINANCIACION[PRESTAMO],FINANCIACION[[#This Row],[PRESTAMO]])</f>
        <v>-35000000</v>
      </c>
      <c r="G85" s="179"/>
      <c r="I85" s="185"/>
      <c r="J85" s="179" t="b">
        <f>+IF(FINANCIACION[[#This Row],[$ CAPITAL]]&gt;0,FINANCIACION[[#This Row],[$ CAPITAL]])</f>
        <v>0</v>
      </c>
      <c r="K85" s="186">
        <f>+IF(FINANCIACION[[#This Row],[$ CAPITAL]]&gt;=0,FINANCIACION[[#This Row],[$ CAPITAL]]+FINANCIACION[[#This Row],[$ INTERESES]],0)</f>
        <v>350000</v>
      </c>
    </row>
    <row r="86" spans="1:11" ht="24" hidden="1" customHeight="1" x14ac:dyDescent="0.25">
      <c r="A86" s="177">
        <v>45149</v>
      </c>
      <c r="B86" s="184" t="s">
        <v>338</v>
      </c>
      <c r="C86" s="179"/>
      <c r="D86" s="179">
        <v>350000</v>
      </c>
      <c r="E86" s="179">
        <f>+IF(FINANCIACION[[#This Row],[$ CAPITAL]]&gt;=0,FINANCIACION[[#This Row],[$ CAPITAL]]+FINANCIACION[[#This Row],[$ INTERESES]],"")</f>
        <v>350000</v>
      </c>
      <c r="F86" s="179">
        <f>+SUMIFS(FINANCIACION[$ CAPITAL],FINANCIACION[Fecha],"&lt;="&amp;FINANCIACION[[#This Row],[Fecha]],FINANCIACION[PRESTAMO],FINANCIACION[[#This Row],[PRESTAMO]])</f>
        <v>-35000000</v>
      </c>
      <c r="G86" s="179"/>
      <c r="I86" s="185"/>
      <c r="J86" s="179" t="b">
        <f>+IF(FINANCIACION[[#This Row],[$ CAPITAL]]&gt;0,FINANCIACION[[#This Row],[$ CAPITAL]])</f>
        <v>0</v>
      </c>
      <c r="K86" s="186">
        <f>+IF(FINANCIACION[[#This Row],[$ CAPITAL]]&gt;=0,FINANCIACION[[#This Row],[$ CAPITAL]]+FINANCIACION[[#This Row],[$ INTERESES]],0)</f>
        <v>350000</v>
      </c>
    </row>
    <row r="87" spans="1:11" ht="24" hidden="1" customHeight="1" x14ac:dyDescent="0.25">
      <c r="A87" s="177">
        <v>45184</v>
      </c>
      <c r="B87" s="184" t="s">
        <v>338</v>
      </c>
      <c r="C87" s="179"/>
      <c r="D87" s="179">
        <v>350000</v>
      </c>
      <c r="E87" s="179">
        <f>+IF(FINANCIACION[[#This Row],[$ CAPITAL]]&gt;=0,FINANCIACION[[#This Row],[$ CAPITAL]]+FINANCIACION[[#This Row],[$ INTERESES]],"")</f>
        <v>350000</v>
      </c>
      <c r="F87" s="179">
        <f>+SUMIFS(FINANCIACION[$ CAPITAL],FINANCIACION[Fecha],"&lt;="&amp;FINANCIACION[[#This Row],[Fecha]],FINANCIACION[PRESTAMO],FINANCIACION[[#This Row],[PRESTAMO]])</f>
        <v>-35000000</v>
      </c>
      <c r="G87" s="179"/>
      <c r="I87" s="185"/>
      <c r="J87" s="179" t="b">
        <f>+IF(FINANCIACION[[#This Row],[$ CAPITAL]]&gt;0,FINANCIACION[[#This Row],[$ CAPITAL]])</f>
        <v>0</v>
      </c>
      <c r="K87" s="186">
        <f>+IF(FINANCIACION[[#This Row],[$ CAPITAL]]&gt;=0,FINANCIACION[[#This Row],[$ CAPITAL]]+FINANCIACION[[#This Row],[$ INTERESES]],0)</f>
        <v>350000</v>
      </c>
    </row>
    <row r="88" spans="1:11" ht="24" hidden="1" customHeight="1" x14ac:dyDescent="0.25">
      <c r="A88" s="177">
        <v>45210</v>
      </c>
      <c r="B88" s="184" t="s">
        <v>338</v>
      </c>
      <c r="C88" s="179"/>
      <c r="D88" s="179">
        <v>350000</v>
      </c>
      <c r="E88" s="179">
        <f>+IF(FINANCIACION[[#This Row],[$ CAPITAL]]&gt;=0,FINANCIACION[[#This Row],[$ CAPITAL]]+FINANCIACION[[#This Row],[$ INTERESES]],"")</f>
        <v>350000</v>
      </c>
      <c r="F88" s="179">
        <f>+SUMIFS(FINANCIACION[$ CAPITAL],FINANCIACION[Fecha],"&lt;="&amp;FINANCIACION[[#This Row],[Fecha]],FINANCIACION[PRESTAMO],FINANCIACION[[#This Row],[PRESTAMO]])</f>
        <v>-35000000</v>
      </c>
      <c r="G88" s="179"/>
      <c r="I88" s="185"/>
      <c r="J88" s="179" t="b">
        <f>+IF(FINANCIACION[[#This Row],[$ CAPITAL]]&gt;0,FINANCIACION[[#This Row],[$ CAPITAL]])</f>
        <v>0</v>
      </c>
      <c r="K88" s="186">
        <f>+IF(FINANCIACION[[#This Row],[$ CAPITAL]]&gt;=0,FINANCIACION[[#This Row],[$ CAPITAL]]+FINANCIACION[[#This Row],[$ INTERESES]],0)</f>
        <v>350000</v>
      </c>
    </row>
    <row r="89" spans="1:11" ht="24" hidden="1" customHeight="1" x14ac:dyDescent="0.25">
      <c r="A89" s="177">
        <v>45244</v>
      </c>
      <c r="B89" s="184" t="s">
        <v>338</v>
      </c>
      <c r="C89" s="179"/>
      <c r="D89" s="179">
        <v>350000</v>
      </c>
      <c r="E89" s="179">
        <f>+IF(FINANCIACION[[#This Row],[$ CAPITAL]]&gt;=0,FINANCIACION[[#This Row],[$ CAPITAL]]+FINANCIACION[[#This Row],[$ INTERESES]],"")</f>
        <v>350000</v>
      </c>
      <c r="F89" s="179">
        <f>+SUMIFS(FINANCIACION[$ CAPITAL],FINANCIACION[Fecha],"&lt;="&amp;FINANCIACION[[#This Row],[Fecha]],FINANCIACION[PRESTAMO],FINANCIACION[[#This Row],[PRESTAMO]])</f>
        <v>-35000000</v>
      </c>
      <c r="G89" s="179"/>
      <c r="I89" s="185"/>
      <c r="J89" s="179" t="b">
        <f>+IF(FINANCIACION[[#This Row],[$ CAPITAL]]&gt;0,FINANCIACION[[#This Row],[$ CAPITAL]])</f>
        <v>0</v>
      </c>
      <c r="K89" s="186">
        <f>+IF(FINANCIACION[[#This Row],[$ CAPITAL]]&gt;=0,FINANCIACION[[#This Row],[$ CAPITAL]]+FINANCIACION[[#This Row],[$ INTERESES]],0)</f>
        <v>350000</v>
      </c>
    </row>
    <row r="90" spans="1:11" ht="24" hidden="1" customHeight="1" x14ac:dyDescent="0.25">
      <c r="A90" s="177">
        <v>45271</v>
      </c>
      <c r="B90" s="184" t="s">
        <v>338</v>
      </c>
      <c r="C90" s="179"/>
      <c r="D90" s="179">
        <v>350000</v>
      </c>
      <c r="E90" s="179">
        <f>+IF(FINANCIACION[[#This Row],[$ CAPITAL]]&gt;=0,FINANCIACION[[#This Row],[$ CAPITAL]]+FINANCIACION[[#This Row],[$ INTERESES]],"")</f>
        <v>350000</v>
      </c>
      <c r="F90" s="179">
        <f>+SUMIFS(FINANCIACION[$ CAPITAL],FINANCIACION[Fecha],"&lt;="&amp;FINANCIACION[[#This Row],[Fecha]],FINANCIACION[PRESTAMO],FINANCIACION[[#This Row],[PRESTAMO]])</f>
        <v>-35000000</v>
      </c>
      <c r="G90" s="179"/>
      <c r="I90" s="185"/>
      <c r="J90" s="179" t="b">
        <f>+IF(FINANCIACION[[#This Row],[$ CAPITAL]]&gt;0,FINANCIACION[[#This Row],[$ CAPITAL]])</f>
        <v>0</v>
      </c>
      <c r="K90" s="186">
        <f>+IF(FINANCIACION[[#This Row],[$ CAPITAL]]&gt;=0,FINANCIACION[[#This Row],[$ CAPITAL]]+FINANCIACION[[#This Row],[$ INTERESES]],0)</f>
        <v>350000</v>
      </c>
    </row>
    <row r="91" spans="1:11" ht="24" hidden="1" customHeight="1" x14ac:dyDescent="0.25">
      <c r="A91" s="177">
        <v>45302</v>
      </c>
      <c r="B91" s="184" t="s">
        <v>338</v>
      </c>
      <c r="C91" s="179">
        <v>0</v>
      </c>
      <c r="D91" s="179">
        <v>350000</v>
      </c>
      <c r="E91" s="179">
        <f>+IF(FINANCIACION[[#This Row],[$ CAPITAL]]&gt;=0,FINANCIACION[[#This Row],[$ CAPITAL]]+FINANCIACION[[#This Row],[$ INTERESES]],"")</f>
        <v>350000</v>
      </c>
      <c r="F91" s="179">
        <f>+SUMIFS(FINANCIACION[$ CAPITAL],FINANCIACION[Fecha],"&lt;="&amp;FINANCIACION[[#This Row],[Fecha]],FINANCIACION[PRESTAMO],FINANCIACION[[#This Row],[PRESTAMO]])</f>
        <v>-35000000</v>
      </c>
      <c r="G91" s="179"/>
      <c r="I91" s="185"/>
      <c r="J91" s="179" t="b">
        <f>+IF(FINANCIACION[[#This Row],[$ CAPITAL]]&gt;0,FINANCIACION[[#This Row],[$ CAPITAL]])</f>
        <v>0</v>
      </c>
      <c r="K91" s="186">
        <f>+IF(FINANCIACION[[#This Row],[$ CAPITAL]]&gt;=0,FINANCIACION[[#This Row],[$ CAPITAL]]+FINANCIACION[[#This Row],[$ INTERESES]],0)</f>
        <v>350000</v>
      </c>
    </row>
    <row r="92" spans="1:11" ht="24" hidden="1" customHeight="1" x14ac:dyDescent="0.25">
      <c r="A92" s="177">
        <v>43074</v>
      </c>
      <c r="B92" s="184" t="s">
        <v>330</v>
      </c>
      <c r="C92" s="179">
        <v>-94935167</v>
      </c>
      <c r="D92" s="179"/>
      <c r="E92" s="179" t="str">
        <f>+IF(FINANCIACION[[#This Row],[$ CAPITAL]]&gt;=0,FINANCIACION[[#This Row],[$ CAPITAL]]+FINANCIACION[[#This Row],[$ INTERESES]],"")</f>
        <v/>
      </c>
      <c r="F92" s="179">
        <f>+SUMIFS(FINANCIACION[$ CAPITAL],FINANCIACION[Fecha],"&lt;="&amp;FINANCIACION[[#This Row],[Fecha]],FINANCIACION[PRESTAMO],FINANCIACION[[#This Row],[PRESTAMO]])</f>
        <v>-94935167</v>
      </c>
      <c r="G92" s="179"/>
      <c r="I92" s="185"/>
      <c r="J92" s="179" t="b">
        <f>IF(FINANCIACION[[#This Row],[$ CAPITAL]]&gt;0,FINANCIACION[[#This Row],[$ CAPITAL]])</f>
        <v>0</v>
      </c>
      <c r="K92" s="186">
        <f>IF(FINANCIACION[[#This Row],[$ CAPITAL]]&gt;=0,FINANCIACION[[#This Row],[$ CAPITAL]]+FINANCIACION[[#This Row],[$ INTERESES]],0)</f>
        <v>0</v>
      </c>
    </row>
    <row r="93" spans="1:11" ht="24" hidden="1" customHeight="1" x14ac:dyDescent="0.25">
      <c r="A93" s="177">
        <v>43475</v>
      </c>
      <c r="B93" s="184" t="s">
        <v>330</v>
      </c>
      <c r="C93" s="179"/>
      <c r="D93" s="179">
        <v>950000</v>
      </c>
      <c r="E93" s="179">
        <f>+IF(FINANCIACION[[#This Row],[$ CAPITAL]]&gt;=0,FINANCIACION[[#This Row],[$ CAPITAL]]+FINANCIACION[[#This Row],[$ INTERESES]],"")</f>
        <v>950000</v>
      </c>
      <c r="F93" s="179">
        <f>+SUMIFS(FINANCIACION[$ CAPITAL],FINANCIACION[Fecha],"&lt;="&amp;FINANCIACION[[#This Row],[Fecha]],FINANCIACION[PRESTAMO],FINANCIACION[[#This Row],[PRESTAMO]])</f>
        <v>-94935167</v>
      </c>
      <c r="G93" s="179"/>
      <c r="H93" s="183"/>
      <c r="I93" s="185"/>
      <c r="J93" s="179" t="b">
        <f>IF(FINANCIACION[[#This Row],[$ CAPITAL]]&gt;0,FINANCIACION[[#This Row],[$ CAPITAL]])</f>
        <v>0</v>
      </c>
      <c r="K93" s="186">
        <f>IF(FINANCIACION[[#This Row],[$ CAPITAL]]&gt;=0,FINANCIACION[[#This Row],[$ CAPITAL]]+FINANCIACION[[#This Row],[$ INTERESES]],0)</f>
        <v>950000</v>
      </c>
    </row>
    <row r="94" spans="1:11" ht="24" hidden="1" customHeight="1" x14ac:dyDescent="0.25">
      <c r="A94" s="177">
        <v>43506</v>
      </c>
      <c r="B94" s="184" t="s">
        <v>330</v>
      </c>
      <c r="C94" s="179"/>
      <c r="D94" s="179">
        <v>950000</v>
      </c>
      <c r="E94" s="179">
        <f>+IF(FINANCIACION[[#This Row],[$ CAPITAL]]&gt;=0,FINANCIACION[[#This Row],[$ CAPITAL]]+FINANCIACION[[#This Row],[$ INTERESES]],"")</f>
        <v>950000</v>
      </c>
      <c r="F94" s="179">
        <f>+SUMIFS(FINANCIACION[$ CAPITAL],FINANCIACION[Fecha],"&lt;="&amp;FINANCIACION[[#This Row],[Fecha]],FINANCIACION[PRESTAMO],FINANCIACION[[#This Row],[PRESTAMO]])</f>
        <v>-94935167</v>
      </c>
      <c r="G94" s="179"/>
      <c r="I94" s="185"/>
      <c r="J94" s="179" t="b">
        <f>IF(FINANCIACION[[#This Row],[$ CAPITAL]]&gt;0,FINANCIACION[[#This Row],[$ CAPITAL]])</f>
        <v>0</v>
      </c>
      <c r="K94" s="186">
        <f>IF(FINANCIACION[[#This Row],[$ CAPITAL]]&gt;=0,FINANCIACION[[#This Row],[$ CAPITAL]]+FINANCIACION[[#This Row],[$ INTERESES]],0)</f>
        <v>950000</v>
      </c>
    </row>
    <row r="95" spans="1:11" ht="24" hidden="1" customHeight="1" x14ac:dyDescent="0.25">
      <c r="A95" s="177">
        <v>43534</v>
      </c>
      <c r="B95" s="184" t="s">
        <v>330</v>
      </c>
      <c r="C95" s="179"/>
      <c r="D95" s="179">
        <v>950000</v>
      </c>
      <c r="E95" s="179">
        <f>+IF(FINANCIACION[[#This Row],[$ CAPITAL]]&gt;=0,FINANCIACION[[#This Row],[$ CAPITAL]]+FINANCIACION[[#This Row],[$ INTERESES]],"")</f>
        <v>950000</v>
      </c>
      <c r="F95" s="179">
        <f>+SUMIFS(FINANCIACION[$ CAPITAL],FINANCIACION[Fecha],"&lt;="&amp;FINANCIACION[[#This Row],[Fecha]],FINANCIACION[PRESTAMO],FINANCIACION[[#This Row],[PRESTAMO]])</f>
        <v>-94935167</v>
      </c>
      <c r="G95" s="179"/>
      <c r="H95" s="183"/>
      <c r="I95" s="185"/>
      <c r="J95" s="179" t="b">
        <f>IF(FINANCIACION[[#This Row],[$ CAPITAL]]&gt;0,FINANCIACION[[#This Row],[$ CAPITAL]])</f>
        <v>0</v>
      </c>
      <c r="K95" s="186">
        <f>IF(FINANCIACION[[#This Row],[$ CAPITAL]]&gt;=0,FINANCIACION[[#This Row],[$ CAPITAL]]+FINANCIACION[[#This Row],[$ INTERESES]],0)</f>
        <v>950000</v>
      </c>
    </row>
    <row r="96" spans="1:11" ht="24" hidden="1" customHeight="1" x14ac:dyDescent="0.25">
      <c r="A96" s="177">
        <v>43565</v>
      </c>
      <c r="B96" s="184" t="s">
        <v>330</v>
      </c>
      <c r="C96" s="179"/>
      <c r="D96" s="179">
        <v>950000</v>
      </c>
      <c r="E96" s="179">
        <f>+IF(FINANCIACION[[#This Row],[$ CAPITAL]]&gt;=0,FINANCIACION[[#This Row],[$ CAPITAL]]+FINANCIACION[[#This Row],[$ INTERESES]],"")</f>
        <v>950000</v>
      </c>
      <c r="F96" s="179">
        <f>+SUMIFS(FINANCIACION[$ CAPITAL],FINANCIACION[Fecha],"&lt;="&amp;FINANCIACION[[#This Row],[Fecha]],FINANCIACION[PRESTAMO],FINANCIACION[[#This Row],[PRESTAMO]])</f>
        <v>-94935167</v>
      </c>
      <c r="G96" s="179"/>
      <c r="H96" s="183"/>
      <c r="I96" s="185"/>
      <c r="J96" s="179" t="b">
        <f>IF(FINANCIACION[[#This Row],[$ CAPITAL]]&gt;0,FINANCIACION[[#This Row],[$ CAPITAL]])</f>
        <v>0</v>
      </c>
      <c r="K96" s="186">
        <f>IF(FINANCIACION[[#This Row],[$ CAPITAL]]&gt;=0,FINANCIACION[[#This Row],[$ CAPITAL]]+FINANCIACION[[#This Row],[$ INTERESES]],0)</f>
        <v>950000</v>
      </c>
    </row>
    <row r="97" spans="1:11" ht="24" hidden="1" customHeight="1" x14ac:dyDescent="0.25">
      <c r="A97" s="177">
        <v>43595</v>
      </c>
      <c r="B97" s="184" t="s">
        <v>330</v>
      </c>
      <c r="C97" s="179"/>
      <c r="D97" s="179">
        <v>950000</v>
      </c>
      <c r="E97" s="179">
        <f>+IF(FINANCIACION[[#This Row],[$ CAPITAL]]&gt;=0,FINANCIACION[[#This Row],[$ CAPITAL]]+FINANCIACION[[#This Row],[$ INTERESES]],"")</f>
        <v>950000</v>
      </c>
      <c r="F97" s="179">
        <f>+SUMIFS(FINANCIACION[$ CAPITAL],FINANCIACION[Fecha],"&lt;="&amp;FINANCIACION[[#This Row],[Fecha]],FINANCIACION[PRESTAMO],FINANCIACION[[#This Row],[PRESTAMO]])</f>
        <v>-94935167</v>
      </c>
      <c r="G97" s="179"/>
      <c r="H97" s="183"/>
      <c r="I97" s="185"/>
      <c r="J97" s="179" t="b">
        <f>IF(FINANCIACION[[#This Row],[$ CAPITAL]]&gt;0,FINANCIACION[[#This Row],[$ CAPITAL]])</f>
        <v>0</v>
      </c>
      <c r="K97" s="186">
        <f>IF(FINANCIACION[[#This Row],[$ CAPITAL]]&gt;=0,FINANCIACION[[#This Row],[$ CAPITAL]]+FINANCIACION[[#This Row],[$ INTERESES]],0)</f>
        <v>950000</v>
      </c>
    </row>
    <row r="98" spans="1:11" ht="24" hidden="1" customHeight="1" x14ac:dyDescent="0.25">
      <c r="A98" s="177">
        <v>43626</v>
      </c>
      <c r="B98" s="184" t="s">
        <v>330</v>
      </c>
      <c r="C98" s="179"/>
      <c r="D98" s="179">
        <v>950000</v>
      </c>
      <c r="E98" s="179">
        <f>+IF(FINANCIACION[[#This Row],[$ CAPITAL]]&gt;=0,FINANCIACION[[#This Row],[$ CAPITAL]]+FINANCIACION[[#This Row],[$ INTERESES]],"")</f>
        <v>950000</v>
      </c>
      <c r="F98" s="179">
        <f>+SUMIFS(FINANCIACION[$ CAPITAL],FINANCIACION[Fecha],"&lt;="&amp;FINANCIACION[[#This Row],[Fecha]],FINANCIACION[PRESTAMO],FINANCIACION[[#This Row],[PRESTAMO]])</f>
        <v>-94935167</v>
      </c>
      <c r="G98" s="179"/>
      <c r="I98" s="185"/>
      <c r="J98" s="179" t="b">
        <f>IF(FINANCIACION[[#This Row],[$ CAPITAL]]&gt;0,FINANCIACION[[#This Row],[$ CAPITAL]])</f>
        <v>0</v>
      </c>
      <c r="K98" s="186">
        <f>IF(FINANCIACION[[#This Row],[$ CAPITAL]]&gt;=0,FINANCIACION[[#This Row],[$ CAPITAL]]+FINANCIACION[[#This Row],[$ INTERESES]],0)</f>
        <v>950000</v>
      </c>
    </row>
    <row r="99" spans="1:11" ht="24" hidden="1" customHeight="1" x14ac:dyDescent="0.25">
      <c r="A99" s="177">
        <v>43656</v>
      </c>
      <c r="B99" s="184" t="s">
        <v>330</v>
      </c>
      <c r="C99" s="179"/>
      <c r="D99" s="179">
        <v>950000</v>
      </c>
      <c r="E99" s="179">
        <f>+IF(FINANCIACION[[#This Row],[$ CAPITAL]]&gt;=0,FINANCIACION[[#This Row],[$ CAPITAL]]+FINANCIACION[[#This Row],[$ INTERESES]],"")</f>
        <v>950000</v>
      </c>
      <c r="F99" s="179">
        <f>+SUMIFS(FINANCIACION[$ CAPITAL],FINANCIACION[Fecha],"&lt;="&amp;FINANCIACION[[#This Row],[Fecha]],FINANCIACION[PRESTAMO],FINANCIACION[[#This Row],[PRESTAMO]])</f>
        <v>-94935167</v>
      </c>
      <c r="G99" s="179"/>
      <c r="H99" s="183"/>
      <c r="I99" s="185"/>
      <c r="J99" s="179" t="b">
        <f>IF(FINANCIACION[[#This Row],[$ CAPITAL]]&gt;0,FINANCIACION[[#This Row],[$ CAPITAL]])</f>
        <v>0</v>
      </c>
      <c r="K99" s="186">
        <f>IF(FINANCIACION[[#This Row],[$ CAPITAL]]&gt;=0,FINANCIACION[[#This Row],[$ CAPITAL]]+FINANCIACION[[#This Row],[$ INTERESES]],0)</f>
        <v>950000</v>
      </c>
    </row>
    <row r="100" spans="1:11" ht="24" hidden="1" customHeight="1" x14ac:dyDescent="0.25">
      <c r="A100" s="177">
        <v>43687</v>
      </c>
      <c r="B100" s="184" t="s">
        <v>330</v>
      </c>
      <c r="C100" s="179"/>
      <c r="D100" s="179">
        <v>950000</v>
      </c>
      <c r="E100" s="179">
        <f>+IF(FINANCIACION[[#This Row],[$ CAPITAL]]&gt;=0,FINANCIACION[[#This Row],[$ CAPITAL]]+FINANCIACION[[#This Row],[$ INTERESES]],"")</f>
        <v>950000</v>
      </c>
      <c r="F100" s="179">
        <f>+SUMIFS(FINANCIACION[$ CAPITAL],FINANCIACION[Fecha],"&lt;="&amp;FINANCIACION[[#This Row],[Fecha]],FINANCIACION[PRESTAMO],FINANCIACION[[#This Row],[PRESTAMO]])</f>
        <v>-94935167</v>
      </c>
      <c r="G100" s="179"/>
      <c r="H100" s="183"/>
      <c r="I100" s="185"/>
      <c r="J100" s="179" t="b">
        <f>IF(FINANCIACION[[#This Row],[$ CAPITAL]]&gt;0,FINANCIACION[[#This Row],[$ CAPITAL]])</f>
        <v>0</v>
      </c>
      <c r="K100" s="186">
        <f>IF(FINANCIACION[[#This Row],[$ CAPITAL]]&gt;=0,FINANCIACION[[#This Row],[$ CAPITAL]]+FINANCIACION[[#This Row],[$ INTERESES]],0)</f>
        <v>950000</v>
      </c>
    </row>
    <row r="101" spans="1:11" ht="24" hidden="1" customHeight="1" x14ac:dyDescent="0.25">
      <c r="A101" s="177">
        <v>43718</v>
      </c>
      <c r="B101" s="184" t="s">
        <v>330</v>
      </c>
      <c r="C101" s="179"/>
      <c r="D101" s="179">
        <v>950000</v>
      </c>
      <c r="E101" s="179">
        <f>+IF(FINANCIACION[[#This Row],[$ CAPITAL]]&gt;=0,FINANCIACION[[#This Row],[$ CAPITAL]]+FINANCIACION[[#This Row],[$ INTERESES]],"")</f>
        <v>950000</v>
      </c>
      <c r="F101" s="179">
        <f>+SUMIFS(FINANCIACION[$ CAPITAL],FINANCIACION[Fecha],"&lt;="&amp;FINANCIACION[[#This Row],[Fecha]],FINANCIACION[PRESTAMO],FINANCIACION[[#This Row],[PRESTAMO]])</f>
        <v>-94935167</v>
      </c>
      <c r="G101" s="179"/>
      <c r="H101" s="183"/>
      <c r="I101" s="185"/>
      <c r="J101" s="179" t="b">
        <f>IF(FINANCIACION[[#This Row],[$ CAPITAL]]&gt;0,FINANCIACION[[#This Row],[$ CAPITAL]])</f>
        <v>0</v>
      </c>
      <c r="K101" s="187">
        <f>IF(FINANCIACION[[#This Row],[$ CAPITAL]]&gt;=0,FINANCIACION[[#This Row],[$ CAPITAL]]+FINANCIACION[[#This Row],[$ INTERESES]],0)</f>
        <v>950000</v>
      </c>
    </row>
    <row r="102" spans="1:11" ht="24" hidden="1" customHeight="1" x14ac:dyDescent="0.25">
      <c r="A102" s="177">
        <v>43748</v>
      </c>
      <c r="B102" s="184" t="s">
        <v>330</v>
      </c>
      <c r="C102" s="179"/>
      <c r="D102" s="179">
        <v>950000</v>
      </c>
      <c r="E102" s="179">
        <f>+IF(FINANCIACION[[#This Row],[$ CAPITAL]]&gt;=0,FINANCIACION[[#This Row],[$ CAPITAL]]+FINANCIACION[[#This Row],[$ INTERESES]],"")</f>
        <v>950000</v>
      </c>
      <c r="F102" s="179">
        <f>+SUMIFS(FINANCIACION[$ CAPITAL],FINANCIACION[Fecha],"&lt;="&amp;FINANCIACION[[#This Row],[Fecha]],FINANCIACION[PRESTAMO],FINANCIACION[[#This Row],[PRESTAMO]])</f>
        <v>-94935167</v>
      </c>
      <c r="G102" s="179"/>
      <c r="H102" s="183"/>
      <c r="I102" s="185"/>
      <c r="J102" s="179" t="b">
        <f>IF(FINANCIACION[[#This Row],[$ CAPITAL]]&gt;0,FINANCIACION[[#This Row],[$ CAPITAL]])</f>
        <v>0</v>
      </c>
      <c r="K102" s="186">
        <f>IF(FINANCIACION[[#This Row],[$ CAPITAL]]&gt;=0,FINANCIACION[[#This Row],[$ CAPITAL]]+FINANCIACION[[#This Row],[$ INTERESES]],0)</f>
        <v>950000</v>
      </c>
    </row>
    <row r="103" spans="1:11" ht="24" hidden="1" customHeight="1" x14ac:dyDescent="0.25">
      <c r="A103" s="177">
        <v>43779</v>
      </c>
      <c r="B103" s="184" t="s">
        <v>330</v>
      </c>
      <c r="C103" s="179"/>
      <c r="D103" s="179">
        <v>950000</v>
      </c>
      <c r="E103" s="179">
        <f>+IF(FINANCIACION[[#This Row],[$ CAPITAL]]&gt;=0,FINANCIACION[[#This Row],[$ CAPITAL]]+FINANCIACION[[#This Row],[$ INTERESES]],"")</f>
        <v>950000</v>
      </c>
      <c r="F103" s="179">
        <f>+SUMIFS(FINANCIACION[$ CAPITAL],FINANCIACION[Fecha],"&lt;="&amp;FINANCIACION[[#This Row],[Fecha]],FINANCIACION[PRESTAMO],FINANCIACION[[#This Row],[PRESTAMO]])</f>
        <v>-94935167</v>
      </c>
      <c r="G103" s="179"/>
      <c r="H103" s="183"/>
      <c r="I103" s="185"/>
      <c r="J103" s="179" t="b">
        <f>IF(FINANCIACION[[#This Row],[$ CAPITAL]]&gt;0,FINANCIACION[[#This Row],[$ CAPITAL]])</f>
        <v>0</v>
      </c>
      <c r="K103" s="187">
        <f>IF(FINANCIACION[[#This Row],[$ CAPITAL]]&gt;=0,FINANCIACION[[#This Row],[$ CAPITAL]]+FINANCIACION[[#This Row],[$ INTERESES]],0)</f>
        <v>950000</v>
      </c>
    </row>
    <row r="104" spans="1:11" ht="24" hidden="1" customHeight="1" x14ac:dyDescent="0.25">
      <c r="A104" s="177">
        <v>43809</v>
      </c>
      <c r="B104" s="184" t="s">
        <v>330</v>
      </c>
      <c r="C104" s="179"/>
      <c r="D104" s="179">
        <v>950000</v>
      </c>
      <c r="E104" s="179">
        <f>+IF(FINANCIACION[[#This Row],[$ CAPITAL]]&gt;=0,FINANCIACION[[#This Row],[$ CAPITAL]]+FINANCIACION[[#This Row],[$ INTERESES]],"")</f>
        <v>950000</v>
      </c>
      <c r="F104" s="179">
        <f>+SUMIFS(FINANCIACION[$ CAPITAL],FINANCIACION[Fecha],"&lt;="&amp;FINANCIACION[[#This Row],[Fecha]],FINANCIACION[PRESTAMO],FINANCIACION[[#This Row],[PRESTAMO]])</f>
        <v>-94935167</v>
      </c>
      <c r="G104" s="179"/>
      <c r="H104" s="183"/>
      <c r="I104" s="185"/>
      <c r="J104" s="179" t="b">
        <f>IF(FINANCIACION[[#This Row],[$ CAPITAL]]&gt;0,FINANCIACION[[#This Row],[$ CAPITAL]])</f>
        <v>0</v>
      </c>
      <c r="K104" s="186">
        <f>IF(FINANCIACION[[#This Row],[$ CAPITAL]]&gt;=0,FINANCIACION[[#This Row],[$ CAPITAL]]+FINANCIACION[[#This Row],[$ INTERESES]],0)</f>
        <v>950000</v>
      </c>
    </row>
    <row r="105" spans="1:11" ht="24" hidden="1" customHeight="1" x14ac:dyDescent="0.25">
      <c r="A105" s="188">
        <v>43840</v>
      </c>
      <c r="B105" s="184" t="s">
        <v>330</v>
      </c>
      <c r="C105" s="179"/>
      <c r="D105" s="179">
        <v>950000</v>
      </c>
      <c r="E105" s="179">
        <f>+IF(FINANCIACION[[#This Row],[$ CAPITAL]]&gt;=0,FINANCIACION[[#This Row],[$ CAPITAL]]+FINANCIACION[[#This Row],[$ INTERESES]],"")</f>
        <v>950000</v>
      </c>
      <c r="F105" s="179">
        <f>+SUMIFS(FINANCIACION[$ CAPITAL],FINANCIACION[Fecha],"&lt;="&amp;FINANCIACION[[#This Row],[Fecha]],FINANCIACION[PRESTAMO],FINANCIACION[[#This Row],[PRESTAMO]])</f>
        <v>-94935167</v>
      </c>
      <c r="G105" s="179"/>
      <c r="I105" s="185"/>
      <c r="J105" s="179" t="b">
        <f>IF(FINANCIACION[[#This Row],[$ CAPITAL]]&gt;0,FINANCIACION[[#This Row],[$ CAPITAL]])</f>
        <v>0</v>
      </c>
      <c r="K105" s="186">
        <f>IF(FINANCIACION[[#This Row],[$ CAPITAL]]&gt;=0,FINANCIACION[[#This Row],[$ CAPITAL]]+FINANCIACION[[#This Row],[$ INTERESES]],0)</f>
        <v>950000</v>
      </c>
    </row>
    <row r="106" spans="1:11" ht="24" hidden="1" customHeight="1" x14ac:dyDescent="0.25">
      <c r="A106" s="188">
        <v>43871</v>
      </c>
      <c r="B106" s="184" t="s">
        <v>330</v>
      </c>
      <c r="C106" s="179"/>
      <c r="D106" s="179">
        <v>950000</v>
      </c>
      <c r="E106" s="179">
        <f>+IF(FINANCIACION[[#This Row],[$ CAPITAL]]&gt;=0,FINANCIACION[[#This Row],[$ CAPITAL]]+FINANCIACION[[#This Row],[$ INTERESES]],"")</f>
        <v>950000</v>
      </c>
      <c r="F106" s="179">
        <f>+SUMIFS(FINANCIACION[$ CAPITAL],FINANCIACION[Fecha],"&lt;="&amp;FINANCIACION[[#This Row],[Fecha]],FINANCIACION[PRESTAMO],FINANCIACION[[#This Row],[PRESTAMO]])</f>
        <v>-94935167</v>
      </c>
      <c r="G106" s="179"/>
      <c r="I106" s="185"/>
      <c r="J106" s="179" t="b">
        <f>IF(FINANCIACION[[#This Row],[$ CAPITAL]]&gt;0,FINANCIACION[[#This Row],[$ CAPITAL]])</f>
        <v>0</v>
      </c>
      <c r="K106" s="186">
        <f>IF(FINANCIACION[[#This Row],[$ CAPITAL]]&gt;=0,FINANCIACION[[#This Row],[$ CAPITAL]]+FINANCIACION[[#This Row],[$ INTERESES]],0)</f>
        <v>950000</v>
      </c>
    </row>
    <row r="107" spans="1:11" ht="24" hidden="1" customHeight="1" x14ac:dyDescent="0.25">
      <c r="A107" s="188">
        <v>44083</v>
      </c>
      <c r="B107" s="184" t="s">
        <v>330</v>
      </c>
      <c r="C107" s="179"/>
      <c r="D107" s="179">
        <v>950000</v>
      </c>
      <c r="E107" s="179">
        <f>+IF(FINANCIACION[[#This Row],[$ CAPITAL]]&gt;=0,FINANCIACION[[#This Row],[$ CAPITAL]]+FINANCIACION[[#This Row],[$ INTERESES]],"")</f>
        <v>950000</v>
      </c>
      <c r="F107" s="179">
        <f>+SUMIFS(FINANCIACION[$ CAPITAL],FINANCIACION[Fecha],"&lt;="&amp;FINANCIACION[[#This Row],[Fecha]],FINANCIACION[PRESTAMO],FINANCIACION[[#This Row],[PRESTAMO]])</f>
        <v>-94935167</v>
      </c>
      <c r="G107" s="179"/>
      <c r="H107" s="183"/>
      <c r="I107" s="185"/>
      <c r="J107" s="179" t="b">
        <f>IF(FINANCIACION[[#This Row],[$ CAPITAL]]&gt;0,FINANCIACION[[#This Row],[$ CAPITAL]])</f>
        <v>0</v>
      </c>
      <c r="K107" s="186">
        <f>IF(FINANCIACION[[#This Row],[$ CAPITAL]]&gt;=0,FINANCIACION[[#This Row],[$ CAPITAL]]+FINANCIACION[[#This Row],[$ INTERESES]],0)</f>
        <v>950000</v>
      </c>
    </row>
    <row r="108" spans="1:11" ht="24" hidden="1" customHeight="1" x14ac:dyDescent="0.25">
      <c r="A108" s="188">
        <v>44109</v>
      </c>
      <c r="B108" s="184" t="s">
        <v>330</v>
      </c>
      <c r="C108" s="179"/>
      <c r="D108" s="179">
        <v>950000</v>
      </c>
      <c r="E108" s="179">
        <f>+IF(FINANCIACION[[#This Row],[$ CAPITAL]]&gt;=0,FINANCIACION[[#This Row],[$ CAPITAL]]+FINANCIACION[[#This Row],[$ INTERESES]],"")</f>
        <v>950000</v>
      </c>
      <c r="F108" s="179">
        <f>+SUMIFS(FINANCIACION[$ CAPITAL],FINANCIACION[Fecha],"&lt;="&amp;FINANCIACION[[#This Row],[Fecha]],FINANCIACION[PRESTAMO],FINANCIACION[[#This Row],[PRESTAMO]])</f>
        <v>-94935167</v>
      </c>
      <c r="G108" s="179"/>
      <c r="H108" s="183"/>
      <c r="I108" s="185"/>
      <c r="J108" s="179" t="b">
        <f>IF(FINANCIACION[[#This Row],[$ CAPITAL]]&gt;0,FINANCIACION[[#This Row],[$ CAPITAL]])</f>
        <v>0</v>
      </c>
      <c r="K108" s="186">
        <f>IF(FINANCIACION[[#This Row],[$ CAPITAL]]&gt;=0,FINANCIACION[[#This Row],[$ CAPITAL]]+FINANCIACION[[#This Row],[$ INTERESES]],0)</f>
        <v>950000</v>
      </c>
    </row>
    <row r="109" spans="1:11" ht="24" hidden="1" customHeight="1" x14ac:dyDescent="0.25">
      <c r="A109" s="188">
        <v>44142</v>
      </c>
      <c r="B109" s="184" t="s">
        <v>330</v>
      </c>
      <c r="C109" s="179"/>
      <c r="D109" s="179">
        <v>950000</v>
      </c>
      <c r="E109" s="179">
        <f>+IF(FINANCIACION[[#This Row],[$ CAPITAL]]&gt;=0,FINANCIACION[[#This Row],[$ CAPITAL]]+FINANCIACION[[#This Row],[$ INTERESES]],"")</f>
        <v>950000</v>
      </c>
      <c r="F109" s="179">
        <f>+SUMIFS(FINANCIACION[$ CAPITAL],FINANCIACION[Fecha],"&lt;="&amp;FINANCIACION[[#This Row],[Fecha]],FINANCIACION[PRESTAMO],FINANCIACION[[#This Row],[PRESTAMO]])</f>
        <v>-94935167</v>
      </c>
      <c r="G109" s="179"/>
      <c r="H109" s="183"/>
      <c r="I109" s="185"/>
      <c r="J109" s="179" t="b">
        <f>IF(FINANCIACION[[#This Row],[$ CAPITAL]]&gt;0,FINANCIACION[[#This Row],[$ CAPITAL]])</f>
        <v>0</v>
      </c>
      <c r="K109" s="186">
        <f>IF(FINANCIACION[[#This Row],[$ CAPITAL]]&gt;=0,FINANCIACION[[#This Row],[$ CAPITAL]]+FINANCIACION[[#This Row],[$ INTERESES]],0)</f>
        <v>950000</v>
      </c>
    </row>
    <row r="110" spans="1:11" ht="24" hidden="1" customHeight="1" x14ac:dyDescent="0.25">
      <c r="A110" s="188">
        <v>44144</v>
      </c>
      <c r="B110" s="184" t="s">
        <v>330</v>
      </c>
      <c r="C110" s="179">
        <v>3917000</v>
      </c>
      <c r="D110" s="179"/>
      <c r="E110" s="179">
        <f>+IF(FINANCIACION[[#This Row],[$ CAPITAL]]&gt;=0,FINANCIACION[[#This Row],[$ CAPITAL]]+FINANCIACION[[#This Row],[$ INTERESES]],"")</f>
        <v>3917000</v>
      </c>
      <c r="F110" s="179">
        <f>+SUMIFS(FINANCIACION[$ CAPITAL],FINANCIACION[Fecha],"&lt;="&amp;FINANCIACION[[#This Row],[Fecha]],FINANCIACION[PRESTAMO],FINANCIACION[[#This Row],[PRESTAMO]])</f>
        <v>-91018167</v>
      </c>
      <c r="G110" s="179"/>
      <c r="H110" s="183"/>
      <c r="I110" s="185"/>
      <c r="J110" s="179">
        <f>IF(FINANCIACION[[#This Row],[$ CAPITAL]]&gt;0,FINANCIACION[[#This Row],[$ CAPITAL]])</f>
        <v>3917000</v>
      </c>
      <c r="K110" s="186">
        <f>IF(FINANCIACION[[#This Row],[$ CAPITAL]]&gt;=0,FINANCIACION[[#This Row],[$ CAPITAL]]+FINANCIACION[[#This Row],[$ INTERESES]],0)</f>
        <v>3917000</v>
      </c>
    </row>
    <row r="111" spans="1:11" ht="24" hidden="1" customHeight="1" x14ac:dyDescent="0.25">
      <c r="A111" s="188">
        <v>44175</v>
      </c>
      <c r="B111" s="184" t="s">
        <v>330</v>
      </c>
      <c r="C111" s="179">
        <v>1655718.33</v>
      </c>
      <c r="D111" s="179">
        <v>910181.67</v>
      </c>
      <c r="E111" s="179">
        <f>+IF(FINANCIACION[[#This Row],[$ CAPITAL]]&gt;=0,FINANCIACION[[#This Row],[$ CAPITAL]]+FINANCIACION[[#This Row],[$ INTERESES]],"")</f>
        <v>2565900</v>
      </c>
      <c r="F111" s="179">
        <f>+SUMIFS(FINANCIACION[$ CAPITAL],FINANCIACION[Fecha],"&lt;="&amp;FINANCIACION[[#This Row],[Fecha]],FINANCIACION[PRESTAMO],FINANCIACION[[#This Row],[PRESTAMO]])</f>
        <v>-89362448.670000002</v>
      </c>
      <c r="G111" s="179"/>
      <c r="H111" s="183"/>
      <c r="I111" s="185"/>
      <c r="J111" s="179">
        <f>IF(FINANCIACION[[#This Row],[$ CAPITAL]]&gt;0,FINANCIACION[[#This Row],[$ CAPITAL]])</f>
        <v>1655718.33</v>
      </c>
      <c r="K111" s="186">
        <f>IF(FINANCIACION[[#This Row],[$ CAPITAL]]&gt;=0,FINANCIACION[[#This Row],[$ CAPITAL]]+FINANCIACION[[#This Row],[$ INTERESES]],0)</f>
        <v>2565900</v>
      </c>
    </row>
    <row r="112" spans="1:11" ht="24" hidden="1" customHeight="1" x14ac:dyDescent="0.25">
      <c r="A112" s="177">
        <v>44204</v>
      </c>
      <c r="B112" s="184" t="s">
        <v>330</v>
      </c>
      <c r="C112" s="179">
        <v>1672275.5133</v>
      </c>
      <c r="D112" s="179">
        <v>893624.48670000001</v>
      </c>
      <c r="E112" s="179">
        <f>+IF(FINANCIACION[[#This Row],[$ CAPITAL]]&gt;=0,FINANCIACION[[#This Row],[$ CAPITAL]]+FINANCIACION[[#This Row],[$ INTERESES]],"")</f>
        <v>2565900</v>
      </c>
      <c r="F112" s="179">
        <f>+SUMIFS(FINANCIACION[$ CAPITAL],FINANCIACION[Fecha],"&lt;="&amp;FINANCIACION[[#This Row],[Fecha]],FINANCIACION[PRESTAMO],FINANCIACION[[#This Row],[PRESTAMO]])</f>
        <v>-87690173.1567</v>
      </c>
      <c r="G112" s="179"/>
      <c r="H112" s="183"/>
      <c r="I112" s="185"/>
      <c r="J112" s="179">
        <f>IF(FINANCIACION[[#This Row],[$ CAPITAL]]&gt;0,FINANCIACION[[#This Row],[$ CAPITAL]])</f>
        <v>1672275.5133</v>
      </c>
      <c r="K112" s="186">
        <f>IF(FINANCIACION[[#This Row],[$ CAPITAL]]&gt;=0,FINANCIACION[[#This Row],[$ CAPITAL]]+FINANCIACION[[#This Row],[$ INTERESES]],0)</f>
        <v>2565900</v>
      </c>
    </row>
    <row r="113" spans="1:11" ht="24" hidden="1" customHeight="1" x14ac:dyDescent="0.25">
      <c r="A113" s="177">
        <v>44237</v>
      </c>
      <c r="B113" s="184" t="s">
        <v>330</v>
      </c>
      <c r="C113" s="179">
        <v>1672275.5133</v>
      </c>
      <c r="D113" s="179">
        <v>893624.48670000001</v>
      </c>
      <c r="E113" s="179">
        <f>+IF(FINANCIACION[[#This Row],[$ CAPITAL]]&gt;=0,FINANCIACION[[#This Row],[$ CAPITAL]]+FINANCIACION[[#This Row],[$ INTERESES]],"")</f>
        <v>2565900</v>
      </c>
      <c r="F113" s="179">
        <f>+SUMIFS(FINANCIACION[$ CAPITAL],FINANCIACION[Fecha],"&lt;="&amp;FINANCIACION[[#This Row],[Fecha]],FINANCIACION[PRESTAMO],FINANCIACION[[#This Row],[PRESTAMO]])</f>
        <v>-86017897.643399999</v>
      </c>
      <c r="G113" s="179"/>
      <c r="H113" s="183"/>
      <c r="I113" s="185"/>
      <c r="J113" s="179">
        <f>IF(FINANCIACION[[#This Row],[$ CAPITAL]]&gt;0,FINANCIACION[[#This Row],[$ CAPITAL]])</f>
        <v>1672275.5133</v>
      </c>
      <c r="K113" s="186">
        <f>IF(FINANCIACION[[#This Row],[$ CAPITAL]]&gt;=0,FINANCIACION[[#This Row],[$ CAPITAL]]+FINANCIACION[[#This Row],[$ INTERESES]],0)</f>
        <v>2565900</v>
      </c>
    </row>
    <row r="114" spans="1:11" ht="24" hidden="1" customHeight="1" x14ac:dyDescent="0.25">
      <c r="A114" s="177">
        <v>44264</v>
      </c>
      <c r="B114" s="184" t="s">
        <v>330</v>
      </c>
      <c r="C114" s="179">
        <v>1705721.0235660002</v>
      </c>
      <c r="D114" s="179">
        <v>860178.97643399995</v>
      </c>
      <c r="E114" s="179">
        <f>+IF(FINANCIACION[[#This Row],[$ CAPITAL]]&gt;=0,FINANCIACION[[#This Row],[$ CAPITAL]]+FINANCIACION[[#This Row],[$ INTERESES]],"")</f>
        <v>2565900</v>
      </c>
      <c r="F114" s="179">
        <f>+SUMIFS(FINANCIACION[$ CAPITAL],FINANCIACION[Fecha],"&lt;="&amp;FINANCIACION[[#This Row],[Fecha]],FINANCIACION[PRESTAMO],FINANCIACION[[#This Row],[PRESTAMO]])</f>
        <v>-84312176.619834006</v>
      </c>
      <c r="G114" s="179"/>
      <c r="H114" s="183"/>
      <c r="I114" s="185"/>
      <c r="J114" s="179">
        <f>IF(FINANCIACION[[#This Row],[$ CAPITAL]]&gt;0,FINANCIACION[[#This Row],[$ CAPITAL]])</f>
        <v>1705721.0235660002</v>
      </c>
      <c r="K114" s="186">
        <f>IF(FINANCIACION[[#This Row],[$ CAPITAL]]&gt;=0,FINANCIACION[[#This Row],[$ CAPITAL]]+FINANCIACION[[#This Row],[$ INTERESES]],0)</f>
        <v>2565900</v>
      </c>
    </row>
    <row r="115" spans="1:11" ht="24" hidden="1" customHeight="1" x14ac:dyDescent="0.25">
      <c r="A115" s="177">
        <v>44299</v>
      </c>
      <c r="B115" s="184" t="s">
        <v>330</v>
      </c>
      <c r="C115" s="179">
        <v>1722778.2338016599</v>
      </c>
      <c r="D115" s="179">
        <v>843121.7661983401</v>
      </c>
      <c r="E115" s="179">
        <f>+IF(FINANCIACION[[#This Row],[$ CAPITAL]]&gt;=0,FINANCIACION[[#This Row],[$ CAPITAL]]+FINANCIACION[[#This Row],[$ INTERESES]],"")</f>
        <v>2565900</v>
      </c>
      <c r="F115" s="179">
        <f>+SUMIFS(FINANCIACION[$ CAPITAL],FINANCIACION[Fecha],"&lt;="&amp;FINANCIACION[[#This Row],[Fecha]],FINANCIACION[PRESTAMO],FINANCIACION[[#This Row],[PRESTAMO]])</f>
        <v>-82589398.386032343</v>
      </c>
      <c r="G115" s="179"/>
      <c r="H115" s="183"/>
      <c r="I115" s="185"/>
      <c r="J115" s="179">
        <f>IF(FINANCIACION[[#This Row],[$ CAPITAL]]&gt;0,FINANCIACION[[#This Row],[$ CAPITAL]])</f>
        <v>1722778.2338016599</v>
      </c>
      <c r="K115" s="186">
        <f>IF(FINANCIACION[[#This Row],[$ CAPITAL]]&gt;=0,FINANCIACION[[#This Row],[$ CAPITAL]]+FINANCIACION[[#This Row],[$ INTERESES]],0)</f>
        <v>2565900</v>
      </c>
    </row>
    <row r="116" spans="1:11" ht="24" hidden="1" customHeight="1" x14ac:dyDescent="0.25">
      <c r="A116" s="177">
        <v>44357</v>
      </c>
      <c r="B116" s="184" t="s">
        <v>330</v>
      </c>
      <c r="C116" s="179">
        <v>1851506.0161396766</v>
      </c>
      <c r="D116" s="179">
        <v>825893.98386032344</v>
      </c>
      <c r="E116" s="179">
        <f>+IF(FINANCIACION[[#This Row],[$ CAPITAL]]&gt;=0,FINANCIACION[[#This Row],[$ CAPITAL]]+FINANCIACION[[#This Row],[$ INTERESES]],"")</f>
        <v>2677400</v>
      </c>
      <c r="F116" s="179">
        <f>+SUMIFS(FINANCIACION[$ CAPITAL],FINANCIACION[Fecha],"&lt;="&amp;FINANCIACION[[#This Row],[Fecha]],FINANCIACION[PRESTAMO],FINANCIACION[[#This Row],[PRESTAMO]])</f>
        <v>-80737892.369892672</v>
      </c>
      <c r="G116" s="179"/>
      <c r="H116" s="183"/>
      <c r="I116" s="185"/>
      <c r="J116" s="179">
        <f>IF(FINANCIACION[[#This Row],[$ CAPITAL]]&gt;0,FINANCIACION[[#This Row],[$ CAPITAL]])</f>
        <v>1851506.0161396766</v>
      </c>
      <c r="K116" s="187">
        <f>IF(FINANCIACION[[#This Row],[$ CAPITAL]]&gt;=0,FINANCIACION[[#This Row],[$ CAPITAL]]+FINANCIACION[[#This Row],[$ INTERESES]],0)</f>
        <v>2677400</v>
      </c>
    </row>
    <row r="117" spans="1:11" ht="24" hidden="1" customHeight="1" x14ac:dyDescent="0.25">
      <c r="A117" s="177">
        <v>44390</v>
      </c>
      <c r="B117" s="184" t="s">
        <v>330</v>
      </c>
      <c r="C117" s="179">
        <v>1859999.0763010732</v>
      </c>
      <c r="D117" s="179">
        <v>807378.92369892669</v>
      </c>
      <c r="E117" s="179">
        <f>+IF(FINANCIACION[[#This Row],[$ CAPITAL]]&gt;=0,FINANCIACION[[#This Row],[$ CAPITAL]]+FINANCIACION[[#This Row],[$ INTERESES]],"")</f>
        <v>2667378</v>
      </c>
      <c r="F117" s="179">
        <f>+SUMIFS(FINANCIACION[$ CAPITAL],FINANCIACION[Fecha],"&lt;="&amp;FINANCIACION[[#This Row],[Fecha]],FINANCIACION[PRESTAMO],FINANCIACION[[#This Row],[PRESTAMO]])</f>
        <v>-78877893.293591604</v>
      </c>
      <c r="G117" s="179"/>
      <c r="H117" s="183"/>
      <c r="I117" s="185"/>
      <c r="J117" s="179">
        <f>IF(FINANCIACION[[#This Row],[$ CAPITAL]]&gt;0,FINANCIACION[[#This Row],[$ CAPITAL]])</f>
        <v>1859999.0763010732</v>
      </c>
      <c r="K117" s="186">
        <f>IF(FINANCIACION[[#This Row],[$ CAPITAL]]&gt;=0,FINANCIACION[[#This Row],[$ CAPITAL]]+FINANCIACION[[#This Row],[$ INTERESES]],0)</f>
        <v>2667378</v>
      </c>
    </row>
    <row r="118" spans="1:11" ht="24" hidden="1" customHeight="1" x14ac:dyDescent="0.25">
      <c r="A118" s="177">
        <v>44422</v>
      </c>
      <c r="B118" s="184" t="s">
        <v>330</v>
      </c>
      <c r="C118" s="179">
        <v>1878599.0670640841</v>
      </c>
      <c r="D118" s="179">
        <v>788778.932935916</v>
      </c>
      <c r="E118" s="179">
        <f>+IF(FINANCIACION[[#This Row],[$ CAPITAL]]&gt;=0,FINANCIACION[[#This Row],[$ CAPITAL]]+FINANCIACION[[#This Row],[$ INTERESES]],"")</f>
        <v>2667378</v>
      </c>
      <c r="F118" s="179">
        <f>+SUMIFS(FINANCIACION[$ CAPITAL],FINANCIACION[Fecha],"&lt;="&amp;FINANCIACION[[#This Row],[Fecha]],FINANCIACION[PRESTAMO],FINANCIACION[[#This Row],[PRESTAMO]])</f>
        <v>-76999294.226527512</v>
      </c>
      <c r="G118" s="179"/>
      <c r="I118" s="185"/>
      <c r="J118" s="179">
        <f>IF(FINANCIACION[[#This Row],[$ CAPITAL]]&gt;0,FINANCIACION[[#This Row],[$ CAPITAL]])</f>
        <v>1878599.0670640841</v>
      </c>
      <c r="K118" s="186">
        <f>IF(FINANCIACION[[#This Row],[$ CAPITAL]]&gt;=0,FINANCIACION[[#This Row],[$ CAPITAL]]+FINANCIACION[[#This Row],[$ INTERESES]],0)</f>
        <v>2667378</v>
      </c>
    </row>
    <row r="119" spans="1:11" ht="24" hidden="1" customHeight="1" x14ac:dyDescent="0.25">
      <c r="A119" s="177">
        <v>44450</v>
      </c>
      <c r="B119" s="184" t="s">
        <v>330</v>
      </c>
      <c r="C119" s="179">
        <v>1907385.0577347248</v>
      </c>
      <c r="D119" s="179">
        <v>769992.94226527517</v>
      </c>
      <c r="E119" s="179">
        <f>+IF(FINANCIACION[[#This Row],[$ CAPITAL]]&gt;=0,FINANCIACION[[#This Row],[$ CAPITAL]]+FINANCIACION[[#This Row],[$ INTERESES]],"")</f>
        <v>2677378</v>
      </c>
      <c r="F119" s="179">
        <f>+SUMIFS(FINANCIACION[$ CAPITAL],FINANCIACION[Fecha],"&lt;="&amp;FINANCIACION[[#This Row],[Fecha]],FINANCIACION[PRESTAMO],FINANCIACION[[#This Row],[PRESTAMO]])</f>
        <v>-75091909.168792784</v>
      </c>
      <c r="G119" s="179"/>
      <c r="I119" s="185"/>
      <c r="J119" s="179">
        <f>IF(FINANCIACION[[#This Row],[$ CAPITAL]]&gt;0,FINANCIACION[[#This Row],[$ CAPITAL]])</f>
        <v>1907385.0577347248</v>
      </c>
      <c r="K119" s="186">
        <f>IF(FINANCIACION[[#This Row],[$ CAPITAL]]&gt;=0,FINANCIACION[[#This Row],[$ CAPITAL]]+FINANCIACION[[#This Row],[$ INTERESES]],0)</f>
        <v>2677378</v>
      </c>
    </row>
    <row r="120" spans="1:11" ht="24" hidden="1" customHeight="1" x14ac:dyDescent="0.25">
      <c r="A120" s="177">
        <v>44477</v>
      </c>
      <c r="B120" s="184" t="s">
        <v>330</v>
      </c>
      <c r="C120" s="179">
        <v>1926458.90831207</v>
      </c>
      <c r="D120" s="179">
        <v>750919.09168792795</v>
      </c>
      <c r="E120" s="179">
        <f>+IF(FINANCIACION[[#This Row],[$ CAPITAL]]&gt;=0,FINANCIACION[[#This Row],[$ CAPITAL]]+FINANCIACION[[#This Row],[$ INTERESES]],"")</f>
        <v>2677377.9999999981</v>
      </c>
      <c r="F120" s="179">
        <f>+SUMIFS(FINANCIACION[$ CAPITAL],FINANCIACION[Fecha],"&lt;="&amp;FINANCIACION[[#This Row],[Fecha]],FINANCIACION[PRESTAMO],FINANCIACION[[#This Row],[PRESTAMO]])</f>
        <v>-73165450.260480717</v>
      </c>
      <c r="G120" s="179"/>
      <c r="H120" s="183"/>
      <c r="I120" s="185"/>
      <c r="J120" s="179">
        <f>IF(FINANCIACION[[#This Row],[$ CAPITAL]]&gt;0,FINANCIACION[[#This Row],[$ CAPITAL]])</f>
        <v>1926458.90831207</v>
      </c>
      <c r="K120" s="186">
        <f>IF(FINANCIACION[[#This Row],[$ CAPITAL]]&gt;=0,FINANCIACION[[#This Row],[$ CAPITAL]]+FINANCIACION[[#This Row],[$ INTERESES]],0)</f>
        <v>2677377.9999999981</v>
      </c>
    </row>
    <row r="121" spans="1:11" ht="24" hidden="1" customHeight="1" x14ac:dyDescent="0.25">
      <c r="A121" s="177">
        <v>44510</v>
      </c>
      <c r="B121" s="184" t="s">
        <v>330</v>
      </c>
      <c r="C121" s="179">
        <v>1945723.4973951909</v>
      </c>
      <c r="D121" s="179">
        <v>731654.50260480714</v>
      </c>
      <c r="E121" s="179">
        <f>+IF(FINANCIACION[[#This Row],[$ CAPITAL]]&gt;=0,FINANCIACION[[#This Row],[$ CAPITAL]]+FINANCIACION[[#This Row],[$ INTERESES]],"")</f>
        <v>2677377.9999999981</v>
      </c>
      <c r="F121" s="179">
        <f>+SUMIFS(FINANCIACION[$ CAPITAL],FINANCIACION[Fecha],"&lt;="&amp;FINANCIACION[[#This Row],[Fecha]],FINANCIACION[PRESTAMO],FINANCIACION[[#This Row],[PRESTAMO]])</f>
        <v>-71219726.763085529</v>
      </c>
      <c r="G121" s="179"/>
      <c r="I121" s="185"/>
      <c r="J121" s="179">
        <f>IF(FINANCIACION[[#This Row],[$ CAPITAL]]&gt;0,FINANCIACION[[#This Row],[$ CAPITAL]])</f>
        <v>1945723.4973951909</v>
      </c>
      <c r="K121" s="186">
        <f>IF(FINANCIACION[[#This Row],[$ CAPITAL]]&gt;=0,FINANCIACION[[#This Row],[$ CAPITAL]]+FINANCIACION[[#This Row],[$ INTERESES]],0)</f>
        <v>2677377.9999999981</v>
      </c>
    </row>
    <row r="122" spans="1:11" ht="24" hidden="1" customHeight="1" x14ac:dyDescent="0.25">
      <c r="A122" s="177">
        <v>44539</v>
      </c>
      <c r="B122" s="184" t="s">
        <v>330</v>
      </c>
      <c r="C122" s="179">
        <v>1965180.7323691447</v>
      </c>
      <c r="D122" s="179">
        <v>712197.26763085532</v>
      </c>
      <c r="E122" s="179">
        <f>+IF(FINANCIACION[[#This Row],[$ CAPITAL]]&gt;=0,FINANCIACION[[#This Row],[$ CAPITAL]]+FINANCIACION[[#This Row],[$ INTERESES]],"")</f>
        <v>2677378</v>
      </c>
      <c r="F122" s="179">
        <f>+SUMIFS(FINANCIACION[$ CAPITAL],FINANCIACION[Fecha],"&lt;="&amp;FINANCIACION[[#This Row],[Fecha]],FINANCIACION[PRESTAMO],FINANCIACION[[#This Row],[PRESTAMO]])</f>
        <v>-69254546.030716389</v>
      </c>
      <c r="G122" s="179"/>
      <c r="I122" s="185"/>
      <c r="J122" s="179">
        <f>IF(FINANCIACION[[#This Row],[$ CAPITAL]]&gt;0,FINANCIACION[[#This Row],[$ CAPITAL]])</f>
        <v>1965180.7323691447</v>
      </c>
      <c r="K122" s="186">
        <f>IF(FINANCIACION[[#This Row],[$ CAPITAL]]&gt;=0,FINANCIACION[[#This Row],[$ CAPITAL]]+FINANCIACION[[#This Row],[$ INTERESES]],0)</f>
        <v>2677378</v>
      </c>
    </row>
    <row r="123" spans="1:11" ht="24" hidden="1" customHeight="1" x14ac:dyDescent="0.25">
      <c r="A123" s="177">
        <v>44572</v>
      </c>
      <c r="B123" s="184" t="s">
        <v>330</v>
      </c>
      <c r="C123" s="179">
        <v>1984832.5396928361</v>
      </c>
      <c r="D123" s="179">
        <v>692545.46030716388</v>
      </c>
      <c r="E123" s="179">
        <f>+IF(FINANCIACION[[#This Row],[$ CAPITAL]]&gt;=0,FINANCIACION[[#This Row],[$ CAPITAL]]+FINANCIACION[[#This Row],[$ INTERESES]],"")</f>
        <v>2677378</v>
      </c>
      <c r="F123" s="179">
        <f>+SUMIFS(FINANCIACION[$ CAPITAL],FINANCIACION[Fecha],"&lt;="&amp;FINANCIACION[[#This Row],[Fecha]],FINANCIACION[PRESTAMO],FINANCIACION[[#This Row],[PRESTAMO]])</f>
        <v>-67269713.491023555</v>
      </c>
      <c r="G123" s="179"/>
      <c r="I123" s="185"/>
      <c r="J123" s="179">
        <f>IF(FINANCIACION[[#This Row],[$ CAPITAL]]&gt;0,FINANCIACION[[#This Row],[$ CAPITAL]])</f>
        <v>1984832.5396928361</v>
      </c>
      <c r="K123" s="186">
        <f>IF(FINANCIACION[[#This Row],[$ CAPITAL]]&gt;=0,FINANCIACION[[#This Row],[$ CAPITAL]]+FINANCIACION[[#This Row],[$ INTERESES]],0)</f>
        <v>2677378</v>
      </c>
    </row>
    <row r="124" spans="1:11" ht="24" hidden="1" customHeight="1" x14ac:dyDescent="0.25">
      <c r="A124" s="177">
        <v>44602</v>
      </c>
      <c r="B124" s="184" t="s">
        <v>330</v>
      </c>
      <c r="C124" s="179">
        <v>2004680.8650897644</v>
      </c>
      <c r="D124" s="179">
        <v>672697.13491023553</v>
      </c>
      <c r="E124" s="179">
        <f>+IF(FINANCIACION[[#This Row],[$ CAPITAL]]&gt;=0,FINANCIACION[[#This Row],[$ CAPITAL]]+FINANCIACION[[#This Row],[$ INTERESES]],"")</f>
        <v>2677378</v>
      </c>
      <c r="F124" s="179">
        <f>+SUMIFS(FINANCIACION[$ CAPITAL],FINANCIACION[Fecha],"&lt;="&amp;FINANCIACION[[#This Row],[Fecha]],FINANCIACION[PRESTAMO],FINANCIACION[[#This Row],[PRESTAMO]])</f>
        <v>-65265032.625933789</v>
      </c>
      <c r="G124" s="179"/>
      <c r="I124" s="185"/>
      <c r="J124" s="179">
        <f>+IF(FINANCIACION[[#This Row],[$ CAPITAL]]&gt;0,FINANCIACION[[#This Row],[$ CAPITAL]])</f>
        <v>2004680.8650897644</v>
      </c>
      <c r="K124" s="186">
        <f>+IF(FINANCIACION[[#This Row],[$ CAPITAL]]&gt;=0,FINANCIACION[[#This Row],[$ CAPITAL]]+FINANCIACION[[#This Row],[$ INTERESES]],0)</f>
        <v>2677378</v>
      </c>
    </row>
    <row r="125" spans="1:11" ht="24" hidden="1" customHeight="1" x14ac:dyDescent="0.25">
      <c r="A125" s="177">
        <v>44630</v>
      </c>
      <c r="B125" s="184" t="s">
        <v>330</v>
      </c>
      <c r="C125" s="179">
        <v>2024727.6737406622</v>
      </c>
      <c r="D125" s="179">
        <v>652650.32625933795</v>
      </c>
      <c r="E125" s="179">
        <f>+IF(FINANCIACION[[#This Row],[$ CAPITAL]]&gt;=0,FINANCIACION[[#This Row],[$ CAPITAL]]+FINANCIACION[[#This Row],[$ INTERESES]],"")</f>
        <v>2677378</v>
      </c>
      <c r="F125" s="179">
        <f>+SUMIFS(FINANCIACION[$ CAPITAL],FINANCIACION[Fecha],"&lt;="&amp;FINANCIACION[[#This Row],[Fecha]],FINANCIACION[PRESTAMO],FINANCIACION[[#This Row],[PRESTAMO]])</f>
        <v>-63240304.952193126</v>
      </c>
      <c r="G125" s="179"/>
      <c r="I125" s="185"/>
      <c r="J125" s="179">
        <f>+IF(FINANCIACION[[#This Row],[$ CAPITAL]]&gt;0,FINANCIACION[[#This Row],[$ CAPITAL]])</f>
        <v>2024727.6737406622</v>
      </c>
      <c r="K125" s="186">
        <f>+IF(FINANCIACION[[#This Row],[$ CAPITAL]]&gt;=0,FINANCIACION[[#This Row],[$ CAPITAL]]+FINANCIACION[[#This Row],[$ INTERESES]],0)</f>
        <v>2677378</v>
      </c>
    </row>
    <row r="126" spans="1:11" ht="24" hidden="1" customHeight="1" x14ac:dyDescent="0.25">
      <c r="A126" s="177">
        <v>44664</v>
      </c>
      <c r="B126" s="184" t="s">
        <v>330</v>
      </c>
      <c r="C126" s="179">
        <v>2044974.9504780686</v>
      </c>
      <c r="D126" s="179">
        <v>632403.04952193133</v>
      </c>
      <c r="E126" s="179">
        <f>+IF(FINANCIACION[[#This Row],[$ CAPITAL]]&gt;=0,FINANCIACION[[#This Row],[$ CAPITAL]]+FINANCIACION[[#This Row],[$ INTERESES]],"")</f>
        <v>2677378</v>
      </c>
      <c r="F126" s="179">
        <f>+SUMIFS(FINANCIACION[$ CAPITAL],FINANCIACION[Fecha],"&lt;="&amp;FINANCIACION[[#This Row],[Fecha]],FINANCIACION[PRESTAMO],FINANCIACION[[#This Row],[PRESTAMO]])</f>
        <v>-61195330.001715057</v>
      </c>
      <c r="G126" s="179"/>
      <c r="I126" s="185"/>
      <c r="J126" s="179">
        <f>+IF(FINANCIACION[[#This Row],[$ CAPITAL]]&gt;0,FINANCIACION[[#This Row],[$ CAPITAL]])</f>
        <v>2044974.9504780686</v>
      </c>
      <c r="K126" s="186">
        <f>+IF(FINANCIACION[[#This Row],[$ CAPITAL]]&gt;=0,FINANCIACION[[#This Row],[$ CAPITAL]]+FINANCIACION[[#This Row],[$ INTERESES]],0)</f>
        <v>2677378</v>
      </c>
    </row>
    <row r="127" spans="1:11" ht="24" hidden="1" customHeight="1" x14ac:dyDescent="0.25">
      <c r="A127" s="177">
        <v>44691</v>
      </c>
      <c r="B127" s="184" t="s">
        <v>330</v>
      </c>
      <c r="C127" s="179">
        <v>2065424.6999828494</v>
      </c>
      <c r="D127" s="179">
        <v>611953.30001715058</v>
      </c>
      <c r="E127" s="179">
        <f>+IF(FINANCIACION[[#This Row],[$ CAPITAL]]&gt;=0,FINANCIACION[[#This Row],[$ CAPITAL]]+FINANCIACION[[#This Row],[$ INTERESES]],"")</f>
        <v>2677378</v>
      </c>
      <c r="F127" s="179">
        <f>+SUMIFS(FINANCIACION[$ CAPITAL],FINANCIACION[Fecha],"&lt;="&amp;FINANCIACION[[#This Row],[Fecha]],FINANCIACION[PRESTAMO],FINANCIACION[[#This Row],[PRESTAMO]])</f>
        <v>-59129905.301732205</v>
      </c>
      <c r="G127" s="179"/>
      <c r="I127" s="185"/>
      <c r="J127" s="179">
        <f>+IF(FINANCIACION[[#This Row],[$ CAPITAL]]&gt;0,FINANCIACION[[#This Row],[$ CAPITAL]])</f>
        <v>2065424.6999828494</v>
      </c>
      <c r="K127" s="186">
        <f>+IF(FINANCIACION[[#This Row],[$ CAPITAL]]&gt;=0,FINANCIACION[[#This Row],[$ CAPITAL]]+FINANCIACION[[#This Row],[$ INTERESES]],0)</f>
        <v>2677378</v>
      </c>
    </row>
    <row r="128" spans="1:11" ht="24" hidden="1" customHeight="1" x14ac:dyDescent="0.25">
      <c r="A128" s="177">
        <v>44723</v>
      </c>
      <c r="B128" s="184" t="s">
        <v>330</v>
      </c>
      <c r="C128" s="179">
        <v>2086078.946982678</v>
      </c>
      <c r="D128" s="179">
        <v>591299.05301732209</v>
      </c>
      <c r="E128" s="179">
        <f>+IF(FINANCIACION[[#This Row],[$ CAPITAL]]&gt;=0,FINANCIACION[[#This Row],[$ CAPITAL]]+FINANCIACION[[#This Row],[$ INTERESES]],"")</f>
        <v>2677378</v>
      </c>
      <c r="F128" s="179">
        <f>+SUMIFS(FINANCIACION[$ CAPITAL],FINANCIACION[Fecha],"&lt;="&amp;FINANCIACION[[#This Row],[Fecha]],FINANCIACION[PRESTAMO],FINANCIACION[[#This Row],[PRESTAMO]])</f>
        <v>-57043826.354749531</v>
      </c>
      <c r="G128" s="179"/>
      <c r="I128" s="185"/>
      <c r="J128" s="179">
        <f>+IF(FINANCIACION[[#This Row],[$ CAPITAL]]&gt;0,FINANCIACION[[#This Row],[$ CAPITAL]])</f>
        <v>2086078.946982678</v>
      </c>
      <c r="K128" s="186">
        <f>+IF(FINANCIACION[[#This Row],[$ CAPITAL]]&gt;=0,FINANCIACION[[#This Row],[$ CAPITAL]]+FINANCIACION[[#This Row],[$ INTERESES]],0)</f>
        <v>2677378</v>
      </c>
    </row>
    <row r="129" spans="1:11" ht="24" hidden="1" customHeight="1" x14ac:dyDescent="0.25">
      <c r="A129" s="177">
        <v>44753</v>
      </c>
      <c r="B129" s="184" t="s">
        <v>330</v>
      </c>
      <c r="C129" s="179">
        <f>2667378-FINANCIACION[[#This Row],[$ INTERESES]]</f>
        <v>2096939.736452505</v>
      </c>
      <c r="D129" s="179">
        <f>0.01*57043826.3547495</f>
        <v>570438.26354749501</v>
      </c>
      <c r="E129" s="179">
        <f>+IF(FINANCIACION[[#This Row],[$ CAPITAL]]&gt;=0,FINANCIACION[[#This Row],[$ CAPITAL]]+FINANCIACION[[#This Row],[$ INTERESES]],"")</f>
        <v>2667378</v>
      </c>
      <c r="F129" s="179">
        <f>+SUMIFS(FINANCIACION[$ CAPITAL],FINANCIACION[Fecha],"&lt;="&amp;FINANCIACION[[#This Row],[Fecha]],FINANCIACION[PRESTAMO],FINANCIACION[[#This Row],[PRESTAMO]])</f>
        <v>-54946886.618297026</v>
      </c>
      <c r="G129" s="179"/>
      <c r="I129" s="185"/>
      <c r="J129" s="179">
        <f>+IF(FINANCIACION[[#This Row],[$ CAPITAL]]&gt;0,FINANCIACION[[#This Row],[$ CAPITAL]])</f>
        <v>2096939.736452505</v>
      </c>
      <c r="K129" s="186">
        <f>+IF(FINANCIACION[[#This Row],[$ CAPITAL]]&gt;=0,FINANCIACION[[#This Row],[$ CAPITAL]]+FINANCIACION[[#This Row],[$ INTERESES]],0)</f>
        <v>2667378</v>
      </c>
    </row>
    <row r="130" spans="1:11" ht="24" hidden="1" customHeight="1" x14ac:dyDescent="0.25">
      <c r="A130" s="177">
        <v>44786</v>
      </c>
      <c r="B130" s="184" t="s">
        <v>330</v>
      </c>
      <c r="C130" s="179">
        <f>2677378-FINANCIACION[[#This Row],[$ INTERESES]]</f>
        <v>2127909.1338170301</v>
      </c>
      <c r="D130" s="179">
        <v>549468.86618297</v>
      </c>
      <c r="E130" s="179">
        <f>+IF(FINANCIACION[[#This Row],[$ CAPITAL]]&gt;=0,FINANCIACION[[#This Row],[$ CAPITAL]]+FINANCIACION[[#This Row],[$ INTERESES]],"")</f>
        <v>2677378</v>
      </c>
      <c r="F130" s="179">
        <f>+SUMIFS(FINANCIACION[$ CAPITAL],FINANCIACION[Fecha],"&lt;="&amp;FINANCIACION[[#This Row],[Fecha]],FINANCIACION[PRESTAMO],FINANCIACION[[#This Row],[PRESTAMO]])</f>
        <v>-52818977.484479994</v>
      </c>
      <c r="G130" s="179"/>
      <c r="I130" s="185"/>
      <c r="J130" s="179">
        <f>+IF(FINANCIACION[[#This Row],[$ CAPITAL]]&gt;0,FINANCIACION[[#This Row],[$ CAPITAL]])</f>
        <v>2127909.1338170301</v>
      </c>
      <c r="K130" s="186">
        <f>+IF(FINANCIACION[[#This Row],[$ CAPITAL]]&gt;=0,FINANCIACION[[#This Row],[$ CAPITAL]]+FINANCIACION[[#This Row],[$ INTERESES]],0)</f>
        <v>2677378</v>
      </c>
    </row>
    <row r="131" spans="1:11" ht="24" hidden="1" customHeight="1" x14ac:dyDescent="0.25">
      <c r="A131" s="177">
        <v>44823</v>
      </c>
      <c r="B131" s="184" t="s">
        <v>330</v>
      </c>
      <c r="C131" s="179">
        <v>2149210</v>
      </c>
      <c r="D131" s="179">
        <v>528190</v>
      </c>
      <c r="E131" s="179">
        <f>+IF(FINANCIACION[[#This Row],[$ CAPITAL]]&gt;=0,FINANCIACION[[#This Row],[$ CAPITAL]]+FINANCIACION[[#This Row],[$ INTERESES]],"")</f>
        <v>2677400</v>
      </c>
      <c r="F131" s="179">
        <f>+SUMIFS(FINANCIACION[$ CAPITAL],FINANCIACION[Fecha],"&lt;="&amp;FINANCIACION[[#This Row],[Fecha]],FINANCIACION[PRESTAMO],FINANCIACION[[#This Row],[PRESTAMO]])</f>
        <v>-50669767.484479994</v>
      </c>
      <c r="G131" s="179"/>
      <c r="I131" s="185"/>
      <c r="J131" s="179">
        <f>+IF(FINANCIACION[[#This Row],[$ CAPITAL]]&gt;0,FINANCIACION[[#This Row],[$ CAPITAL]])</f>
        <v>2149210</v>
      </c>
      <c r="K131" s="186">
        <f>+IF(FINANCIACION[[#This Row],[$ CAPITAL]]&gt;=0,FINANCIACION[[#This Row],[$ CAPITAL]]+FINANCIACION[[#This Row],[$ INTERESES]],0)</f>
        <v>2677400</v>
      </c>
    </row>
    <row r="132" spans="1:11" ht="24" hidden="1" customHeight="1" x14ac:dyDescent="0.25">
      <c r="A132" s="177">
        <v>44846</v>
      </c>
      <c r="B132" s="184" t="s">
        <v>330</v>
      </c>
      <c r="C132" s="179">
        <v>2170702</v>
      </c>
      <c r="D132" s="179">
        <v>506698</v>
      </c>
      <c r="E132" s="179">
        <f>+IF(FINANCIACION[[#This Row],[$ CAPITAL]]&gt;=0,FINANCIACION[[#This Row],[$ CAPITAL]]+FINANCIACION[[#This Row],[$ INTERESES]],"")</f>
        <v>2677400</v>
      </c>
      <c r="F132" s="179">
        <f>+SUMIFS(FINANCIACION[$ CAPITAL],FINANCIACION[Fecha],"&lt;="&amp;FINANCIACION[[#This Row],[Fecha]],FINANCIACION[PRESTAMO],FINANCIACION[[#This Row],[PRESTAMO]])</f>
        <v>-48499065.484479994</v>
      </c>
      <c r="G132" s="179"/>
      <c r="I132" s="185"/>
      <c r="J132" s="179">
        <f>+IF(FINANCIACION[[#This Row],[$ CAPITAL]]&gt;0,FINANCIACION[[#This Row],[$ CAPITAL]])</f>
        <v>2170702</v>
      </c>
      <c r="K132" s="186">
        <f>+IF(FINANCIACION[[#This Row],[$ CAPITAL]]&gt;=0,FINANCIACION[[#This Row],[$ CAPITAL]]+FINANCIACION[[#This Row],[$ INTERESES]],0)</f>
        <v>2677400</v>
      </c>
    </row>
    <row r="133" spans="1:11" ht="24" hidden="1" customHeight="1" x14ac:dyDescent="0.25">
      <c r="A133" s="177">
        <v>44876</v>
      </c>
      <c r="B133" s="184" t="s">
        <v>330</v>
      </c>
      <c r="C133" s="179">
        <v>2192387</v>
      </c>
      <c r="D133" s="179">
        <v>484991</v>
      </c>
      <c r="E133" s="179">
        <f>+IF(FINANCIACION[[#This Row],[$ CAPITAL]]&gt;=0,FINANCIACION[[#This Row],[$ CAPITAL]]+FINANCIACION[[#This Row],[$ INTERESES]],"")</f>
        <v>2677378</v>
      </c>
      <c r="F133" s="179">
        <f>+SUMIFS(FINANCIACION[$ CAPITAL],FINANCIACION[Fecha],"&lt;="&amp;FINANCIACION[[#This Row],[Fecha]],FINANCIACION[PRESTAMO],FINANCIACION[[#This Row],[PRESTAMO]])</f>
        <v>-46306678.484479994</v>
      </c>
      <c r="G133" s="179"/>
      <c r="I133" s="185"/>
      <c r="J133" s="179">
        <f>+IF(FINANCIACION[[#This Row],[$ CAPITAL]]&gt;0,FINANCIACION[[#This Row],[$ CAPITAL]])</f>
        <v>2192387</v>
      </c>
      <c r="K133" s="186">
        <f>+IF(FINANCIACION[[#This Row],[$ CAPITAL]]&gt;=0,FINANCIACION[[#This Row],[$ CAPITAL]]+FINANCIACION[[#This Row],[$ INTERESES]],0)</f>
        <v>2677378</v>
      </c>
    </row>
    <row r="134" spans="1:11" ht="24" hidden="1" customHeight="1" x14ac:dyDescent="0.25">
      <c r="A134" s="177">
        <v>44909</v>
      </c>
      <c r="B134" s="184" t="s">
        <v>330</v>
      </c>
      <c r="C134" s="179">
        <v>2214311</v>
      </c>
      <c r="D134" s="179">
        <v>463067</v>
      </c>
      <c r="E134" s="179">
        <f>+IF(FINANCIACION[[#This Row],[$ CAPITAL]]&gt;=0,FINANCIACION[[#This Row],[$ CAPITAL]]+FINANCIACION[[#This Row],[$ INTERESES]],"")</f>
        <v>2677378</v>
      </c>
      <c r="F134" s="179">
        <f>+SUMIFS(FINANCIACION[$ CAPITAL],FINANCIACION[Fecha],"&lt;="&amp;FINANCIACION[[#This Row],[Fecha]],FINANCIACION[PRESTAMO],FINANCIACION[[#This Row],[PRESTAMO]])</f>
        <v>-44092367.484479994</v>
      </c>
      <c r="G134" s="179"/>
      <c r="I134" s="185"/>
      <c r="J134" s="179">
        <f>+IF(FINANCIACION[[#This Row],[$ CAPITAL]]&gt;0,FINANCIACION[[#This Row],[$ CAPITAL]])</f>
        <v>2214311</v>
      </c>
      <c r="K134" s="186">
        <f>+IF(FINANCIACION[[#This Row],[$ CAPITAL]]&gt;=0,FINANCIACION[[#This Row],[$ CAPITAL]]+FINANCIACION[[#This Row],[$ INTERESES]],0)</f>
        <v>2677378</v>
      </c>
    </row>
    <row r="135" spans="1:11" ht="24" hidden="1" customHeight="1" x14ac:dyDescent="0.25">
      <c r="A135" s="177">
        <v>44938</v>
      </c>
      <c r="B135" s="184" t="s">
        <v>330</v>
      </c>
      <c r="C135" s="179">
        <v>2236454</v>
      </c>
      <c r="D135" s="179">
        <v>440924</v>
      </c>
      <c r="E135" s="179">
        <f>+IF(FINANCIACION[[#This Row],[$ CAPITAL]]&gt;=0,FINANCIACION[[#This Row],[$ CAPITAL]]+FINANCIACION[[#This Row],[$ INTERESES]],"")</f>
        <v>2677378</v>
      </c>
      <c r="F135" s="179">
        <f>+SUMIFS(FINANCIACION[$ CAPITAL],FINANCIACION[Fecha],"&lt;="&amp;FINANCIACION[[#This Row],[Fecha]],FINANCIACION[PRESTAMO],FINANCIACION[[#This Row],[PRESTAMO]])</f>
        <v>-41855913.484479994</v>
      </c>
      <c r="G135" s="179"/>
      <c r="I135" s="185"/>
      <c r="J135" s="179">
        <f>+IF(FINANCIACION[[#This Row],[$ CAPITAL]]&gt;0,FINANCIACION[[#This Row],[$ CAPITAL]])</f>
        <v>2236454</v>
      </c>
      <c r="K135" s="186">
        <f>+IF(FINANCIACION[[#This Row],[$ CAPITAL]]&gt;=0,FINANCIACION[[#This Row],[$ CAPITAL]]+FINANCIACION[[#This Row],[$ INTERESES]],0)</f>
        <v>2677378</v>
      </c>
    </row>
    <row r="136" spans="1:11" ht="24" hidden="1" customHeight="1" x14ac:dyDescent="0.25">
      <c r="A136" s="177">
        <v>44970</v>
      </c>
      <c r="B136" s="184" t="s">
        <v>330</v>
      </c>
      <c r="C136" s="179">
        <v>2258819</v>
      </c>
      <c r="D136" s="179">
        <v>418559</v>
      </c>
      <c r="E136" s="179">
        <f>+IF(FINANCIACION[[#This Row],[$ CAPITAL]]&gt;=0,FINANCIACION[[#This Row],[$ CAPITAL]]+FINANCIACION[[#This Row],[$ INTERESES]],"")</f>
        <v>2677378</v>
      </c>
      <c r="F136" s="179">
        <f>+SUMIFS(FINANCIACION[$ CAPITAL],FINANCIACION[Fecha],"&lt;="&amp;FINANCIACION[[#This Row],[Fecha]],FINANCIACION[PRESTAMO],FINANCIACION[[#This Row],[PRESTAMO]])</f>
        <v>-39597094.484479994</v>
      </c>
      <c r="G136" s="179"/>
      <c r="I136" s="185"/>
      <c r="J136" s="179">
        <f>+IF(FINANCIACION[[#This Row],[$ CAPITAL]]&gt;0,FINANCIACION[[#This Row],[$ CAPITAL]])</f>
        <v>2258819</v>
      </c>
      <c r="K136" s="186">
        <f>+IF(FINANCIACION[[#This Row],[$ CAPITAL]]&gt;=0,FINANCIACION[[#This Row],[$ CAPITAL]]+FINANCIACION[[#This Row],[$ INTERESES]],0)</f>
        <v>2677378</v>
      </c>
    </row>
    <row r="137" spans="1:11" ht="24" hidden="1" customHeight="1" x14ac:dyDescent="0.25">
      <c r="A137" s="177">
        <v>45014</v>
      </c>
      <c r="B137" s="184" t="s">
        <v>330</v>
      </c>
      <c r="C137" s="179">
        <v>2281429</v>
      </c>
      <c r="D137" s="179">
        <v>395971</v>
      </c>
      <c r="E137" s="179">
        <f>+IF(FINANCIACION[[#This Row],[$ CAPITAL]]&gt;=0,FINANCIACION[[#This Row],[$ CAPITAL]]+FINANCIACION[[#This Row],[$ INTERESES]],"")</f>
        <v>2677400</v>
      </c>
      <c r="F137" s="179">
        <f>+SUMIFS(FINANCIACION[$ CAPITAL],FINANCIACION[Fecha],"&lt;="&amp;FINANCIACION[[#This Row],[Fecha]],FINANCIACION[PRESTAMO],FINANCIACION[[#This Row],[PRESTAMO]])</f>
        <v>-37315665.484479994</v>
      </c>
      <c r="G137" s="179"/>
      <c r="I137" s="185"/>
      <c r="J137" s="179">
        <f>+IF(FINANCIACION[[#This Row],[$ CAPITAL]]&gt;0,FINANCIACION[[#This Row],[$ CAPITAL]])</f>
        <v>2281429</v>
      </c>
      <c r="K137" s="186">
        <f>+IF(FINANCIACION[[#This Row],[$ CAPITAL]]&gt;=0,FINANCIACION[[#This Row],[$ CAPITAL]]+FINANCIACION[[#This Row],[$ INTERESES]],0)</f>
        <v>2677400</v>
      </c>
    </row>
    <row r="138" spans="1:11" ht="24" hidden="1" customHeight="1" x14ac:dyDescent="0.25">
      <c r="A138" s="177">
        <v>45026</v>
      </c>
      <c r="B138" s="184" t="s">
        <v>330</v>
      </c>
      <c r="C138" s="179">
        <v>2304243</v>
      </c>
      <c r="D138" s="179">
        <v>373157</v>
      </c>
      <c r="E138" s="179">
        <f>+IF(FINANCIACION[[#This Row],[$ CAPITAL]]&gt;=0,FINANCIACION[[#This Row],[$ CAPITAL]]+FINANCIACION[[#This Row],[$ INTERESES]],"")</f>
        <v>2677400</v>
      </c>
      <c r="F138" s="179">
        <f>+SUMIFS(FINANCIACION[$ CAPITAL],FINANCIACION[Fecha],"&lt;="&amp;FINANCIACION[[#This Row],[Fecha]],FINANCIACION[PRESTAMO],FINANCIACION[[#This Row],[PRESTAMO]])</f>
        <v>-35011422.484479994</v>
      </c>
      <c r="G138" s="179"/>
      <c r="I138" s="185"/>
      <c r="J138" s="179">
        <f>+IF(FINANCIACION[[#This Row],[$ CAPITAL]]&gt;0,FINANCIACION[[#This Row],[$ CAPITAL]])</f>
        <v>2304243</v>
      </c>
      <c r="K138" s="186">
        <f>+IF(FINANCIACION[[#This Row],[$ CAPITAL]]&gt;=0,FINANCIACION[[#This Row],[$ CAPITAL]]+FINANCIACION[[#This Row],[$ INTERESES]],0)</f>
        <v>2677400</v>
      </c>
    </row>
    <row r="139" spans="1:11" ht="24" hidden="1" customHeight="1" x14ac:dyDescent="0.25">
      <c r="A139" s="177">
        <v>45054</v>
      </c>
      <c r="B139" s="184" t="s">
        <v>330</v>
      </c>
      <c r="C139" s="179">
        <v>649886</v>
      </c>
      <c r="D139" s="179">
        <v>350114</v>
      </c>
      <c r="E139" s="179">
        <f>+IF(FINANCIACION[[#This Row],[$ CAPITAL]]&gt;=0,FINANCIACION[[#This Row],[$ CAPITAL]]+FINANCIACION[[#This Row],[$ INTERESES]],"")</f>
        <v>1000000</v>
      </c>
      <c r="F139" s="179">
        <f>+SUMIFS(FINANCIACION[$ CAPITAL],FINANCIACION[Fecha],"&lt;="&amp;FINANCIACION[[#This Row],[Fecha]],FINANCIACION[PRESTAMO],FINANCIACION[[#This Row],[PRESTAMO]])</f>
        <v>-34361536.484479994</v>
      </c>
      <c r="G139" s="179"/>
      <c r="I139" s="185"/>
      <c r="J139" s="179">
        <f>+IF(FINANCIACION[[#This Row],[$ CAPITAL]]&gt;0,FINANCIACION[[#This Row],[$ CAPITAL]])</f>
        <v>649886</v>
      </c>
      <c r="K139" s="186">
        <f>+IF(FINANCIACION[[#This Row],[$ CAPITAL]]&gt;=0,FINANCIACION[[#This Row],[$ CAPITAL]]+FINANCIACION[[#This Row],[$ INTERESES]],0)</f>
        <v>1000000</v>
      </c>
    </row>
    <row r="140" spans="1:11" ht="24" hidden="1" customHeight="1" x14ac:dyDescent="0.25">
      <c r="A140" s="177">
        <v>45098</v>
      </c>
      <c r="B140" s="184" t="s">
        <v>330</v>
      </c>
      <c r="C140" s="179">
        <v>656384</v>
      </c>
      <c r="D140" s="179">
        <v>343616</v>
      </c>
      <c r="E140" s="179">
        <f>+IF(FINANCIACION[[#This Row],[$ CAPITAL]]&gt;=0,FINANCIACION[[#This Row],[$ CAPITAL]]+FINANCIACION[[#This Row],[$ INTERESES]],"")</f>
        <v>1000000</v>
      </c>
      <c r="F140" s="179">
        <f>+SUMIFS(FINANCIACION[$ CAPITAL],FINANCIACION[Fecha],"&lt;="&amp;FINANCIACION[[#This Row],[Fecha]],FINANCIACION[PRESTAMO],FINANCIACION[[#This Row],[PRESTAMO]])</f>
        <v>-33705152.484479994</v>
      </c>
      <c r="G140" s="179"/>
      <c r="I140" s="185"/>
      <c r="J140" s="179">
        <f>+IF(FINANCIACION[[#This Row],[$ CAPITAL]]&gt;0,FINANCIACION[[#This Row],[$ CAPITAL]])</f>
        <v>656384</v>
      </c>
      <c r="K140" s="186">
        <f>+IF(FINANCIACION[[#This Row],[$ CAPITAL]]&gt;=0,FINANCIACION[[#This Row],[$ CAPITAL]]+FINANCIACION[[#This Row],[$ INTERESES]],0)</f>
        <v>1000000</v>
      </c>
    </row>
    <row r="141" spans="1:11" ht="24" hidden="1" customHeight="1" x14ac:dyDescent="0.25">
      <c r="A141" s="177">
        <v>45128</v>
      </c>
      <c r="B141" s="184" t="s">
        <v>330</v>
      </c>
      <c r="C141" s="179">
        <v>662949</v>
      </c>
      <c r="D141" s="179">
        <v>337051</v>
      </c>
      <c r="E141" s="179">
        <f>+IF(FINANCIACION[[#This Row],[$ CAPITAL]]&gt;=0,FINANCIACION[[#This Row],[$ CAPITAL]]+FINANCIACION[[#This Row],[$ INTERESES]],"")</f>
        <v>1000000</v>
      </c>
      <c r="F141" s="179">
        <f>+SUMIFS(FINANCIACION[$ CAPITAL],FINANCIACION[Fecha],"&lt;="&amp;FINANCIACION[[#This Row],[Fecha]],FINANCIACION[PRESTAMO],FINANCIACION[[#This Row],[PRESTAMO]])</f>
        <v>-33042203.484479994</v>
      </c>
      <c r="G141" s="179"/>
      <c r="I141" s="185"/>
      <c r="J141" s="179">
        <f>+IF(FINANCIACION[[#This Row],[$ CAPITAL]]&gt;0,FINANCIACION[[#This Row],[$ CAPITAL]])</f>
        <v>662949</v>
      </c>
      <c r="K141" s="186">
        <f>+IF(FINANCIACION[[#This Row],[$ CAPITAL]]&gt;=0,FINANCIACION[[#This Row],[$ CAPITAL]]+FINANCIACION[[#This Row],[$ INTERESES]],0)</f>
        <v>1000000</v>
      </c>
    </row>
    <row r="142" spans="1:11" ht="24" hidden="1" customHeight="1" x14ac:dyDescent="0.25">
      <c r="A142" s="177">
        <v>45155</v>
      </c>
      <c r="B142" s="184" t="s">
        <v>330</v>
      </c>
      <c r="C142" s="179">
        <v>669577.97</v>
      </c>
      <c r="D142" s="179">
        <v>330422.03000000003</v>
      </c>
      <c r="E142" s="179">
        <f>+IF(FINANCIACION[[#This Row],[$ CAPITAL]]&gt;=0,FINANCIACION[[#This Row],[$ CAPITAL]]+FINANCIACION[[#This Row],[$ INTERESES]],"")</f>
        <v>1000000</v>
      </c>
      <c r="F142" s="179">
        <f>+SUMIFS(FINANCIACION[$ CAPITAL],FINANCIACION[Fecha],"&lt;="&amp;FINANCIACION[[#This Row],[Fecha]],FINANCIACION[PRESTAMO],FINANCIACION[[#This Row],[PRESTAMO]])</f>
        <v>-32372625.514479995</v>
      </c>
      <c r="G142" s="179"/>
      <c r="I142" s="185"/>
      <c r="J142" s="179">
        <f>+IF(FINANCIACION[[#This Row],[$ CAPITAL]]&gt;0,FINANCIACION[[#This Row],[$ CAPITAL]])</f>
        <v>669577.97</v>
      </c>
      <c r="K142" s="186">
        <f>+IF(FINANCIACION[[#This Row],[$ CAPITAL]]&gt;=0,FINANCIACION[[#This Row],[$ CAPITAL]]+FINANCIACION[[#This Row],[$ INTERESES]],0)</f>
        <v>1000000</v>
      </c>
    </row>
    <row r="143" spans="1:11" ht="24" hidden="1" customHeight="1" x14ac:dyDescent="0.25">
      <c r="A143" s="177">
        <v>45194</v>
      </c>
      <c r="B143" s="184" t="s">
        <v>330</v>
      </c>
      <c r="C143" s="179">
        <v>676274</v>
      </c>
      <c r="D143" s="179">
        <v>323726</v>
      </c>
      <c r="E143" s="179">
        <f>+IF(FINANCIACION[[#This Row],[$ CAPITAL]]&gt;=0,FINANCIACION[[#This Row],[$ CAPITAL]]+FINANCIACION[[#This Row],[$ INTERESES]],"")</f>
        <v>1000000</v>
      </c>
      <c r="F143" s="179">
        <f>+SUMIFS(FINANCIACION[$ CAPITAL],FINANCIACION[Fecha],"&lt;="&amp;FINANCIACION[[#This Row],[Fecha]],FINANCIACION[PRESTAMO],FINANCIACION[[#This Row],[PRESTAMO]])</f>
        <v>-31696351.514479995</v>
      </c>
      <c r="G143" s="179"/>
      <c r="I143" s="185"/>
      <c r="J143" s="179">
        <f>+IF(FINANCIACION[[#This Row],[$ CAPITAL]]&gt;0,FINANCIACION[[#This Row],[$ CAPITAL]])</f>
        <v>676274</v>
      </c>
      <c r="K143" s="186">
        <f>+IF(FINANCIACION[[#This Row],[$ CAPITAL]]&gt;=0,FINANCIACION[[#This Row],[$ CAPITAL]]+FINANCIACION[[#This Row],[$ INTERESES]],0)</f>
        <v>1000000</v>
      </c>
    </row>
    <row r="144" spans="1:11" ht="24" hidden="1" customHeight="1" x14ac:dyDescent="0.25">
      <c r="A144" s="177">
        <v>45220</v>
      </c>
      <c r="B144" s="184" t="s">
        <v>330</v>
      </c>
      <c r="C144" s="179">
        <v>683036</v>
      </c>
      <c r="D144" s="179">
        <v>316963</v>
      </c>
      <c r="E144" s="179">
        <f>+IF(FINANCIACION[[#This Row],[$ CAPITAL]]&gt;=0,FINANCIACION[[#This Row],[$ CAPITAL]]+FINANCIACION[[#This Row],[$ INTERESES]],"")</f>
        <v>999999</v>
      </c>
      <c r="F144" s="179">
        <f>+SUMIFS(FINANCIACION[$ CAPITAL],FINANCIACION[Fecha],"&lt;="&amp;FINANCIACION[[#This Row],[Fecha]],FINANCIACION[PRESTAMO],FINANCIACION[[#This Row],[PRESTAMO]])</f>
        <v>-31013315.514479995</v>
      </c>
      <c r="G144" s="179"/>
      <c r="I144" s="185"/>
      <c r="J144" s="179">
        <f>+IF(FINANCIACION[[#This Row],[$ CAPITAL]]&gt;0,FINANCIACION[[#This Row],[$ CAPITAL]])</f>
        <v>683036</v>
      </c>
      <c r="K144" s="186">
        <f>+IF(FINANCIACION[[#This Row],[$ CAPITAL]]&gt;=0,FINANCIACION[[#This Row],[$ CAPITAL]]+FINANCIACION[[#This Row],[$ INTERESES]],0)</f>
        <v>999999</v>
      </c>
    </row>
    <row r="145" spans="1:11" ht="24" hidden="1" customHeight="1" x14ac:dyDescent="0.25">
      <c r="A145" s="177">
        <v>45244</v>
      </c>
      <c r="B145" s="184" t="s">
        <v>330</v>
      </c>
      <c r="C145" s="179">
        <v>689864</v>
      </c>
      <c r="D145" s="179">
        <v>310136</v>
      </c>
      <c r="E145" s="179">
        <f>+IF(FINANCIACION[[#This Row],[$ CAPITAL]]&gt;=0,FINANCIACION[[#This Row],[$ CAPITAL]]+FINANCIACION[[#This Row],[$ INTERESES]],"")</f>
        <v>1000000</v>
      </c>
      <c r="F145" s="179">
        <f>+SUMIFS(FINANCIACION[$ CAPITAL],FINANCIACION[Fecha],"&lt;="&amp;FINANCIACION[[#This Row],[Fecha]],FINANCIACION[PRESTAMO],FINANCIACION[[#This Row],[PRESTAMO]])</f>
        <v>-30323451.514479995</v>
      </c>
      <c r="G145" s="179"/>
      <c r="I145" s="185"/>
      <c r="J145" s="179">
        <f>+IF(FINANCIACION[[#This Row],[$ CAPITAL]]&gt;0,FINANCIACION[[#This Row],[$ CAPITAL]])</f>
        <v>689864</v>
      </c>
      <c r="K145" s="186">
        <f>+IF(FINANCIACION[[#This Row],[$ CAPITAL]]&gt;=0,FINANCIACION[[#This Row],[$ CAPITAL]]+FINANCIACION[[#This Row],[$ INTERESES]],0)</f>
        <v>1000000</v>
      </c>
    </row>
    <row r="146" spans="1:11" ht="24" hidden="1" customHeight="1" x14ac:dyDescent="0.25">
      <c r="A146" s="177">
        <v>45271</v>
      </c>
      <c r="B146" s="184" t="s">
        <v>330</v>
      </c>
      <c r="C146" s="179">
        <v>696765</v>
      </c>
      <c r="D146" s="179">
        <v>303235</v>
      </c>
      <c r="E146" s="179">
        <f>+IF(FINANCIACION[[#This Row],[$ CAPITAL]]&gt;=0,FINANCIACION[[#This Row],[$ CAPITAL]]+FINANCIACION[[#This Row],[$ INTERESES]],"")</f>
        <v>1000000</v>
      </c>
      <c r="F146" s="179">
        <f>+SUMIFS(FINANCIACION[$ CAPITAL],FINANCIACION[Fecha],"&lt;="&amp;FINANCIACION[[#This Row],[Fecha]],FINANCIACION[PRESTAMO],FINANCIACION[[#This Row],[PRESTAMO]])</f>
        <v>-29626686.514479995</v>
      </c>
      <c r="G146" s="179"/>
      <c r="I146" s="185"/>
      <c r="J146" s="179">
        <f>+IF(FINANCIACION[[#This Row],[$ CAPITAL]]&gt;0,FINANCIACION[[#This Row],[$ CAPITAL]])</f>
        <v>696765</v>
      </c>
      <c r="K146" s="186">
        <f>+IF(FINANCIACION[[#This Row],[$ CAPITAL]]&gt;=0,FINANCIACION[[#This Row],[$ CAPITAL]]+FINANCIACION[[#This Row],[$ INTERESES]],0)</f>
        <v>1000000</v>
      </c>
    </row>
    <row r="147" spans="1:11" ht="24" hidden="1" customHeight="1" x14ac:dyDescent="0.25">
      <c r="A147" s="177">
        <v>45302</v>
      </c>
      <c r="B147" s="184" t="s">
        <v>330</v>
      </c>
      <c r="C147" s="179">
        <v>703733.1348552003</v>
      </c>
      <c r="D147" s="179">
        <v>296266.86514479999</v>
      </c>
      <c r="E147" s="179">
        <f>+IF(FINANCIACION[[#This Row],[$ CAPITAL]]&gt;=0,FINANCIACION[[#This Row],[$ CAPITAL]]+FINANCIACION[[#This Row],[$ INTERESES]],"")</f>
        <v>1000000.0000000002</v>
      </c>
      <c r="F147" s="179">
        <f>+SUMIFS(FINANCIACION[$ CAPITAL],FINANCIACION[Fecha],"&lt;="&amp;FINANCIACION[[#This Row],[Fecha]],FINANCIACION[PRESTAMO],FINANCIACION[[#This Row],[PRESTAMO]])</f>
        <v>-28922953.379624795</v>
      </c>
      <c r="G147" s="179"/>
      <c r="I147" s="185"/>
      <c r="J147" s="179">
        <f>+IF(FINANCIACION[[#This Row],[$ CAPITAL]]&gt;0,FINANCIACION[[#This Row],[$ CAPITAL]])</f>
        <v>703733.1348552003</v>
      </c>
      <c r="K147" s="186">
        <f>+IF(FINANCIACION[[#This Row],[$ CAPITAL]]&gt;=0,FINANCIACION[[#This Row],[$ CAPITAL]]+FINANCIACION[[#This Row],[$ INTERESES]],0)</f>
        <v>1000000.0000000002</v>
      </c>
    </row>
    <row r="148" spans="1:11" ht="24" hidden="1" customHeight="1" x14ac:dyDescent="0.25">
      <c r="A148" s="177">
        <v>45232</v>
      </c>
      <c r="B148" s="184" t="s">
        <v>339</v>
      </c>
      <c r="C148" s="179">
        <v>-30000000</v>
      </c>
      <c r="D148" s="179"/>
      <c r="E148" s="179" t="str">
        <f>+IF(FINANCIACION[[#This Row],[$ CAPITAL]]&gt;=0,FINANCIACION[[#This Row],[$ CAPITAL]]+FINANCIACION[[#This Row],[$ INTERESES]],"")</f>
        <v/>
      </c>
      <c r="F148" s="179">
        <f>+SUMIFS(FINANCIACION[$ CAPITAL],FINANCIACION[Fecha],"&lt;="&amp;FINANCIACION[[#This Row],[Fecha]],FINANCIACION[PRESTAMO],FINANCIACION[[#This Row],[PRESTAMO]])</f>
        <v>-30000000</v>
      </c>
      <c r="G148" s="179"/>
      <c r="I148" s="185"/>
      <c r="J148" s="179" t="b">
        <f>+IF(FINANCIACION[[#This Row],[$ CAPITAL]]&gt;0,FINANCIACION[[#This Row],[$ CAPITAL]])</f>
        <v>0</v>
      </c>
      <c r="K148" s="186">
        <f>+IF(FINANCIACION[[#This Row],[$ CAPITAL]]&gt;=0,FINANCIACION[[#This Row],[$ CAPITAL]]+FINANCIACION[[#This Row],[$ INTERESES]],0)</f>
        <v>0</v>
      </c>
    </row>
    <row r="149" spans="1:11" ht="24" hidden="1" customHeight="1" x14ac:dyDescent="0.25">
      <c r="A149" s="177">
        <v>45264</v>
      </c>
      <c r="B149" s="184" t="s">
        <v>339</v>
      </c>
      <c r="C149" s="179"/>
      <c r="D149" s="179">
        <v>300000</v>
      </c>
      <c r="E149" s="179">
        <f>+IF(FINANCIACION[[#This Row],[$ CAPITAL]]&gt;=0,FINANCIACION[[#This Row],[$ CAPITAL]]+FINANCIACION[[#This Row],[$ INTERESES]],"")</f>
        <v>300000</v>
      </c>
      <c r="F149" s="179">
        <f>+SUMIFS(FINANCIACION[$ CAPITAL],FINANCIACION[Fecha],"&lt;="&amp;FINANCIACION[[#This Row],[Fecha]],FINANCIACION[PRESTAMO],FINANCIACION[[#This Row],[PRESTAMO]])</f>
        <v>-30000000</v>
      </c>
      <c r="G149" s="179"/>
      <c r="I149" s="185"/>
      <c r="J149" s="179" t="b">
        <f>+IF(FINANCIACION[[#This Row],[$ CAPITAL]]&gt;0,FINANCIACION[[#This Row],[$ CAPITAL]])</f>
        <v>0</v>
      </c>
      <c r="K149" s="186">
        <f>+IF(FINANCIACION[[#This Row],[$ CAPITAL]]&gt;=0,FINANCIACION[[#This Row],[$ CAPITAL]]+FINANCIACION[[#This Row],[$ INTERESES]],0)</f>
        <v>300000</v>
      </c>
    </row>
    <row r="150" spans="1:11" ht="24" hidden="1" customHeight="1" x14ac:dyDescent="0.25">
      <c r="A150" s="177">
        <v>45293</v>
      </c>
      <c r="B150" s="184" t="s">
        <v>339</v>
      </c>
      <c r="C150" s="179"/>
      <c r="D150" s="179">
        <v>300000</v>
      </c>
      <c r="E150" s="179">
        <f>+IF(FINANCIACION[[#This Row],[$ CAPITAL]]&gt;=0,FINANCIACION[[#This Row],[$ CAPITAL]]+FINANCIACION[[#This Row],[$ INTERESES]],"")</f>
        <v>300000</v>
      </c>
      <c r="F150" s="179">
        <f>+SUMIFS(FINANCIACION[$ CAPITAL],FINANCIACION[Fecha],"&lt;="&amp;FINANCIACION[[#This Row],[Fecha]],FINANCIACION[PRESTAMO],FINANCIACION[[#This Row],[PRESTAMO]])</f>
        <v>-30000000</v>
      </c>
      <c r="G150" s="179"/>
      <c r="I150" s="185"/>
      <c r="J150" s="179" t="b">
        <f>+IF(FINANCIACION[[#This Row],[$ CAPITAL]]&gt;0,FINANCIACION[[#This Row],[$ CAPITAL]])</f>
        <v>0</v>
      </c>
      <c r="K150" s="186">
        <f>+IF(FINANCIACION[[#This Row],[$ CAPITAL]]&gt;=0,FINANCIACION[[#This Row],[$ CAPITAL]]+FINANCIACION[[#This Row],[$ INTERESES]],0)</f>
        <v>300000</v>
      </c>
    </row>
    <row r="151" spans="1:11" ht="24" hidden="1" customHeight="1" x14ac:dyDescent="0.25">
      <c r="A151" s="177">
        <v>43642</v>
      </c>
      <c r="B151" s="184" t="s">
        <v>333</v>
      </c>
      <c r="C151" s="179">
        <v>-28000000</v>
      </c>
      <c r="D151" s="179"/>
      <c r="E151" s="179" t="str">
        <f>+IF(FINANCIACION[[#This Row],[$ CAPITAL]]&gt;=0,FINANCIACION[[#This Row],[$ CAPITAL]]+FINANCIACION[[#This Row],[$ INTERESES]],"")</f>
        <v/>
      </c>
      <c r="F151" s="179">
        <f>+SUMIFS(FINANCIACION[$ CAPITAL],FINANCIACION[Fecha],"&lt;="&amp;FINANCIACION[[#This Row],[Fecha]],FINANCIACION[PRESTAMO],FINANCIACION[[#This Row],[PRESTAMO]])</f>
        <v>-28000000</v>
      </c>
      <c r="G151" s="179"/>
      <c r="I151" s="185"/>
      <c r="J151" s="179" t="b">
        <f>IF(FINANCIACION[[#This Row],[$ CAPITAL]]&gt;0,FINANCIACION[[#This Row],[$ CAPITAL]])</f>
        <v>0</v>
      </c>
      <c r="K151" s="186">
        <f>IF(FINANCIACION[[#This Row],[$ CAPITAL]]&gt;=0,FINANCIACION[[#This Row],[$ CAPITAL]]+FINANCIACION[[#This Row],[$ INTERESES]],0)</f>
        <v>0</v>
      </c>
    </row>
    <row r="152" spans="1:11" ht="24" hidden="1" customHeight="1" x14ac:dyDescent="0.25">
      <c r="A152" s="177">
        <v>43643</v>
      </c>
      <c r="B152" s="184" t="s">
        <v>333</v>
      </c>
      <c r="C152" s="179">
        <v>-10000000</v>
      </c>
      <c r="D152" s="179"/>
      <c r="E152" s="179" t="str">
        <f>+IF(FINANCIACION[[#This Row],[$ CAPITAL]]&gt;=0,FINANCIACION[[#This Row],[$ CAPITAL]]+FINANCIACION[[#This Row],[$ INTERESES]],"")</f>
        <v/>
      </c>
      <c r="F152" s="179">
        <f>+SUMIFS(FINANCIACION[$ CAPITAL],FINANCIACION[Fecha],"&lt;="&amp;FINANCIACION[[#This Row],[Fecha]],FINANCIACION[PRESTAMO],FINANCIACION[[#This Row],[PRESTAMO]])</f>
        <v>-48000000</v>
      </c>
      <c r="G152" s="179"/>
      <c r="I152" s="185"/>
      <c r="J152" s="179" t="b">
        <f>IF(FINANCIACION[[#This Row],[$ CAPITAL]]&gt;0,FINANCIACION[[#This Row],[$ CAPITAL]])</f>
        <v>0</v>
      </c>
      <c r="K152" s="186">
        <f>IF(FINANCIACION[[#This Row],[$ CAPITAL]]&gt;=0,FINANCIACION[[#This Row],[$ CAPITAL]]+FINANCIACION[[#This Row],[$ INTERESES]],0)</f>
        <v>0</v>
      </c>
    </row>
    <row r="153" spans="1:11" ht="24" hidden="1" customHeight="1" x14ac:dyDescent="0.25">
      <c r="A153" s="177">
        <v>43643</v>
      </c>
      <c r="B153" s="184" t="s">
        <v>333</v>
      </c>
      <c r="C153" s="179">
        <v>-5000000</v>
      </c>
      <c r="D153" s="179"/>
      <c r="E153" s="179" t="str">
        <f>+IF(FINANCIACION[[#This Row],[$ CAPITAL]]&gt;=0,FINANCIACION[[#This Row],[$ CAPITAL]]+FINANCIACION[[#This Row],[$ INTERESES]],"")</f>
        <v/>
      </c>
      <c r="F153" s="179">
        <f>+SUMIFS(FINANCIACION[$ CAPITAL],FINANCIACION[Fecha],"&lt;="&amp;FINANCIACION[[#This Row],[Fecha]],FINANCIACION[PRESTAMO],FINANCIACION[[#This Row],[PRESTAMO]])</f>
        <v>-48000000</v>
      </c>
      <c r="G153" s="179"/>
      <c r="I153" s="185"/>
      <c r="J153" s="179" t="b">
        <f>IF(FINANCIACION[[#This Row],[$ CAPITAL]]&gt;0,FINANCIACION[[#This Row],[$ CAPITAL]])</f>
        <v>0</v>
      </c>
      <c r="K153" s="186">
        <f>IF(FINANCIACION[[#This Row],[$ CAPITAL]]&gt;=0,FINANCIACION[[#This Row],[$ CAPITAL]]+FINANCIACION[[#This Row],[$ INTERESES]],0)</f>
        <v>0</v>
      </c>
    </row>
    <row r="154" spans="1:11" ht="24" hidden="1" customHeight="1" x14ac:dyDescent="0.25">
      <c r="A154" s="177">
        <v>43643</v>
      </c>
      <c r="B154" s="184" t="s">
        <v>333</v>
      </c>
      <c r="C154" s="179">
        <v>-5000000</v>
      </c>
      <c r="D154" s="179"/>
      <c r="E154" s="179" t="str">
        <f>+IF(FINANCIACION[[#This Row],[$ CAPITAL]]&gt;=0,FINANCIACION[[#This Row],[$ CAPITAL]]+FINANCIACION[[#This Row],[$ INTERESES]],"")</f>
        <v/>
      </c>
      <c r="F154" s="179">
        <f>+SUMIFS(FINANCIACION[$ CAPITAL],FINANCIACION[Fecha],"&lt;="&amp;FINANCIACION[[#This Row],[Fecha]],FINANCIACION[PRESTAMO],FINANCIACION[[#This Row],[PRESTAMO]])</f>
        <v>-48000000</v>
      </c>
      <c r="G154" s="179"/>
      <c r="H154" s="183"/>
      <c r="I154" s="185"/>
      <c r="J154" s="179" t="b">
        <f>IF(FINANCIACION[[#This Row],[$ CAPITAL]]&gt;0,FINANCIACION[[#This Row],[$ CAPITAL]])</f>
        <v>0</v>
      </c>
      <c r="K154" s="186">
        <f>IF(FINANCIACION[[#This Row],[$ CAPITAL]]&gt;=0,FINANCIACION[[#This Row],[$ CAPITAL]]+FINANCIACION[[#This Row],[$ INTERESES]],0)</f>
        <v>0</v>
      </c>
    </row>
    <row r="155" spans="1:11" ht="24" hidden="1" customHeight="1" x14ac:dyDescent="0.25">
      <c r="A155" s="177">
        <v>43650</v>
      </c>
      <c r="B155" s="184" t="s">
        <v>333</v>
      </c>
      <c r="C155" s="179">
        <v>-3000000</v>
      </c>
      <c r="D155" s="179"/>
      <c r="E155" s="179" t="str">
        <f>+IF(FINANCIACION[[#This Row],[$ CAPITAL]]&gt;=0,FINANCIACION[[#This Row],[$ CAPITAL]]+FINANCIACION[[#This Row],[$ INTERESES]],"")</f>
        <v/>
      </c>
      <c r="F155" s="179">
        <f>+SUMIFS(FINANCIACION[$ CAPITAL],FINANCIACION[Fecha],"&lt;="&amp;FINANCIACION[[#This Row],[Fecha]],FINANCIACION[PRESTAMO],FINANCIACION[[#This Row],[PRESTAMO]])</f>
        <v>-51000000</v>
      </c>
      <c r="G155" s="179"/>
      <c r="H155" s="183"/>
      <c r="I155" s="185"/>
      <c r="J155" s="179" t="b">
        <f>IF(FINANCIACION[[#This Row],[$ CAPITAL]]&gt;0,FINANCIACION[[#This Row],[$ CAPITAL]])</f>
        <v>0</v>
      </c>
      <c r="K155" s="186">
        <f>IF(FINANCIACION[[#This Row],[$ CAPITAL]]&gt;=0,FINANCIACION[[#This Row],[$ CAPITAL]]+FINANCIACION[[#This Row],[$ INTERESES]],0)</f>
        <v>0</v>
      </c>
    </row>
    <row r="156" spans="1:11" ht="24" hidden="1" customHeight="1" x14ac:dyDescent="0.25">
      <c r="A156" s="177">
        <v>43651</v>
      </c>
      <c r="B156" s="184" t="s">
        <v>333</v>
      </c>
      <c r="C156" s="179">
        <v>-5000000</v>
      </c>
      <c r="D156" s="179"/>
      <c r="E156" s="179" t="str">
        <f>+IF(FINANCIACION[[#This Row],[$ CAPITAL]]&gt;=0,FINANCIACION[[#This Row],[$ CAPITAL]]+FINANCIACION[[#This Row],[$ INTERESES]],"")</f>
        <v/>
      </c>
      <c r="F156" s="179">
        <f>+SUMIFS(FINANCIACION[$ CAPITAL],FINANCIACION[Fecha],"&lt;="&amp;FINANCIACION[[#This Row],[Fecha]],FINANCIACION[PRESTAMO],FINANCIACION[[#This Row],[PRESTAMO]])</f>
        <v>-61000000</v>
      </c>
      <c r="G156" s="179"/>
      <c r="H156" s="183"/>
      <c r="I156" s="185"/>
      <c r="J156" s="179" t="b">
        <f>IF(FINANCIACION[[#This Row],[$ CAPITAL]]&gt;0,FINANCIACION[[#This Row],[$ CAPITAL]])</f>
        <v>0</v>
      </c>
      <c r="K156" s="186">
        <f>IF(FINANCIACION[[#This Row],[$ CAPITAL]]&gt;=0,FINANCIACION[[#This Row],[$ CAPITAL]]+FINANCIACION[[#This Row],[$ INTERESES]],0)</f>
        <v>0</v>
      </c>
    </row>
    <row r="157" spans="1:11" ht="24" hidden="1" customHeight="1" x14ac:dyDescent="0.25">
      <c r="A157" s="177">
        <v>43651</v>
      </c>
      <c r="B157" s="184" t="s">
        <v>333</v>
      </c>
      <c r="C157" s="179">
        <v>-5000000</v>
      </c>
      <c r="D157" s="179"/>
      <c r="E157" s="179" t="str">
        <f>+IF(FINANCIACION[[#This Row],[$ CAPITAL]]&gt;=0,FINANCIACION[[#This Row],[$ CAPITAL]]+FINANCIACION[[#This Row],[$ INTERESES]],"")</f>
        <v/>
      </c>
      <c r="F157" s="179">
        <f>+SUMIFS(FINANCIACION[$ CAPITAL],FINANCIACION[Fecha],"&lt;="&amp;FINANCIACION[[#This Row],[Fecha]],FINANCIACION[PRESTAMO],FINANCIACION[[#This Row],[PRESTAMO]])</f>
        <v>-61000000</v>
      </c>
      <c r="G157" s="179"/>
      <c r="H157" s="183"/>
      <c r="I157" s="185"/>
      <c r="J157" s="179" t="b">
        <f>IF(FINANCIACION[[#This Row],[$ CAPITAL]]&gt;0,FINANCIACION[[#This Row],[$ CAPITAL]])</f>
        <v>0</v>
      </c>
      <c r="K157" s="186">
        <f>IF(FINANCIACION[[#This Row],[$ CAPITAL]]&gt;=0,FINANCIACION[[#This Row],[$ CAPITAL]]+FINANCIACION[[#This Row],[$ INTERESES]],0)</f>
        <v>0</v>
      </c>
    </row>
    <row r="158" spans="1:11" ht="24" hidden="1" customHeight="1" x14ac:dyDescent="0.25">
      <c r="A158" s="177">
        <v>43654</v>
      </c>
      <c r="B158" s="184" t="s">
        <v>333</v>
      </c>
      <c r="C158" s="179">
        <v>-5000000</v>
      </c>
      <c r="D158" s="179"/>
      <c r="E158" s="179" t="str">
        <f>+IF(FINANCIACION[[#This Row],[$ CAPITAL]]&gt;=0,FINANCIACION[[#This Row],[$ CAPITAL]]+FINANCIACION[[#This Row],[$ INTERESES]],"")</f>
        <v/>
      </c>
      <c r="F158" s="179">
        <f>+SUMIFS(FINANCIACION[$ CAPITAL],FINANCIACION[Fecha],"&lt;="&amp;FINANCIACION[[#This Row],[Fecha]],FINANCIACION[PRESTAMO],FINANCIACION[[#This Row],[PRESTAMO]])</f>
        <v>-66000000</v>
      </c>
      <c r="G158" s="179"/>
      <c r="H158" s="183"/>
      <c r="I158" s="185"/>
      <c r="J158" s="179" t="b">
        <f>IF(FINANCIACION[[#This Row],[$ CAPITAL]]&gt;0,FINANCIACION[[#This Row],[$ CAPITAL]])</f>
        <v>0</v>
      </c>
      <c r="K158" s="186">
        <f>IF(FINANCIACION[[#This Row],[$ CAPITAL]]&gt;=0,FINANCIACION[[#This Row],[$ CAPITAL]]+FINANCIACION[[#This Row],[$ INTERESES]],0)</f>
        <v>0</v>
      </c>
    </row>
    <row r="159" spans="1:11" ht="24" hidden="1" customHeight="1" x14ac:dyDescent="0.25">
      <c r="A159" s="177">
        <v>43677</v>
      </c>
      <c r="B159" s="184" t="s">
        <v>333</v>
      </c>
      <c r="C159" s="179">
        <v>-8000000</v>
      </c>
      <c r="D159" s="179"/>
      <c r="E159" s="179" t="str">
        <f>+IF(FINANCIACION[[#This Row],[$ CAPITAL]]&gt;=0,FINANCIACION[[#This Row],[$ CAPITAL]]+FINANCIACION[[#This Row],[$ INTERESES]],"")</f>
        <v/>
      </c>
      <c r="F159" s="179">
        <f>+SUMIFS(FINANCIACION[$ CAPITAL],FINANCIACION[Fecha],"&lt;="&amp;FINANCIACION[[#This Row],[Fecha]],FINANCIACION[PRESTAMO],FINANCIACION[[#This Row],[PRESTAMO]])</f>
        <v>-74000000</v>
      </c>
      <c r="G159" s="179"/>
      <c r="H159" s="183"/>
      <c r="I159" s="185"/>
      <c r="J159" s="179" t="b">
        <f>IF(FINANCIACION[[#This Row],[$ CAPITAL]]&gt;0,FINANCIACION[[#This Row],[$ CAPITAL]])</f>
        <v>0</v>
      </c>
      <c r="K159" s="186">
        <f>IF(FINANCIACION[[#This Row],[$ CAPITAL]]&gt;=0,FINANCIACION[[#This Row],[$ CAPITAL]]+FINANCIACION[[#This Row],[$ INTERESES]],0)</f>
        <v>0</v>
      </c>
    </row>
    <row r="160" spans="1:11" ht="24" hidden="1" customHeight="1" x14ac:dyDescent="0.25">
      <c r="A160" s="177">
        <v>43705</v>
      </c>
      <c r="B160" s="184" t="s">
        <v>333</v>
      </c>
      <c r="C160" s="179"/>
      <c r="D160" s="179">
        <v>740000</v>
      </c>
      <c r="E160" s="179">
        <f>+IF(FINANCIACION[[#This Row],[$ CAPITAL]]&gt;=0,FINANCIACION[[#This Row],[$ CAPITAL]]+FINANCIACION[[#This Row],[$ INTERESES]],"")</f>
        <v>740000</v>
      </c>
      <c r="F160" s="179">
        <f>+SUMIFS(FINANCIACION[$ CAPITAL],FINANCIACION[Fecha],"&lt;="&amp;FINANCIACION[[#This Row],[Fecha]],FINANCIACION[PRESTAMO],FINANCIACION[[#This Row],[PRESTAMO]])</f>
        <v>-74000000</v>
      </c>
      <c r="G160" s="179"/>
      <c r="H160" s="183"/>
      <c r="I160" s="185"/>
      <c r="J160" s="179" t="b">
        <f>IF(FINANCIACION[[#This Row],[$ CAPITAL]]&gt;0,FINANCIACION[[#This Row],[$ CAPITAL]])</f>
        <v>0</v>
      </c>
      <c r="K160" s="186">
        <f>IF(FINANCIACION[[#This Row],[$ CAPITAL]]&gt;=0,FINANCIACION[[#This Row],[$ CAPITAL]]+FINANCIACION[[#This Row],[$ INTERESES]],0)</f>
        <v>740000</v>
      </c>
    </row>
    <row r="161" spans="1:11" ht="24" hidden="1" customHeight="1" x14ac:dyDescent="0.25">
      <c r="A161" s="177">
        <v>43717</v>
      </c>
      <c r="B161" s="184" t="s">
        <v>333</v>
      </c>
      <c r="C161" s="179">
        <v>-10000000</v>
      </c>
      <c r="D161" s="179"/>
      <c r="E161" s="179" t="str">
        <f>+IF(FINANCIACION[[#This Row],[$ CAPITAL]]&gt;=0,FINANCIACION[[#This Row],[$ CAPITAL]]+FINANCIACION[[#This Row],[$ INTERESES]],"")</f>
        <v/>
      </c>
      <c r="F161" s="179">
        <f>+SUMIFS(FINANCIACION[$ CAPITAL],FINANCIACION[Fecha],"&lt;="&amp;FINANCIACION[[#This Row],[Fecha]],FINANCIACION[PRESTAMO],FINANCIACION[[#This Row],[PRESTAMO]])</f>
        <v>-84000000</v>
      </c>
      <c r="G161" s="179"/>
      <c r="H161" s="183"/>
      <c r="I161" s="185"/>
      <c r="J161" s="179" t="b">
        <f>IF(FINANCIACION[[#This Row],[$ CAPITAL]]&gt;0,FINANCIACION[[#This Row],[$ CAPITAL]])</f>
        <v>0</v>
      </c>
      <c r="K161" s="187">
        <f>IF(FINANCIACION[[#This Row],[$ CAPITAL]]&gt;=0,FINANCIACION[[#This Row],[$ CAPITAL]]+FINANCIACION[[#This Row],[$ INTERESES]],0)</f>
        <v>0</v>
      </c>
    </row>
    <row r="162" spans="1:11" ht="24" hidden="1" customHeight="1" x14ac:dyDescent="0.25">
      <c r="A162" s="177">
        <v>43769</v>
      </c>
      <c r="B162" s="184" t="s">
        <v>333</v>
      </c>
      <c r="C162" s="179"/>
      <c r="D162" s="179">
        <v>840000</v>
      </c>
      <c r="E162" s="179">
        <f>+IF(FINANCIACION[[#This Row],[$ CAPITAL]]&gt;=0,FINANCIACION[[#This Row],[$ CAPITAL]]+FINANCIACION[[#This Row],[$ INTERESES]],"")</f>
        <v>840000</v>
      </c>
      <c r="F162" s="179">
        <f>+SUMIFS(FINANCIACION[$ CAPITAL],FINANCIACION[Fecha],"&lt;="&amp;FINANCIACION[[#This Row],[Fecha]],FINANCIACION[PRESTAMO],FINANCIACION[[#This Row],[PRESTAMO]])</f>
        <v>-84000000</v>
      </c>
      <c r="G162" s="179"/>
      <c r="H162" s="183"/>
      <c r="I162" s="185"/>
      <c r="J162" s="179" t="b">
        <f>IF(FINANCIACION[[#This Row],[$ CAPITAL]]&gt;0,FINANCIACION[[#This Row],[$ CAPITAL]])</f>
        <v>0</v>
      </c>
      <c r="K162" s="187">
        <f>IF(FINANCIACION[[#This Row],[$ CAPITAL]]&gt;=0,FINANCIACION[[#This Row],[$ CAPITAL]]+FINANCIACION[[#This Row],[$ INTERESES]],0)</f>
        <v>840000</v>
      </c>
    </row>
    <row r="163" spans="1:11" ht="24" hidden="1" customHeight="1" x14ac:dyDescent="0.25">
      <c r="A163" s="177">
        <v>43799</v>
      </c>
      <c r="B163" s="184" t="s">
        <v>333</v>
      </c>
      <c r="C163" s="179"/>
      <c r="D163" s="179">
        <v>840000</v>
      </c>
      <c r="E163" s="179">
        <f>+IF(FINANCIACION[[#This Row],[$ CAPITAL]]&gt;=0,FINANCIACION[[#This Row],[$ CAPITAL]]+FINANCIACION[[#This Row],[$ INTERESES]],"")</f>
        <v>840000</v>
      </c>
      <c r="F163" s="179">
        <f>+SUMIFS(FINANCIACION[$ CAPITAL],FINANCIACION[Fecha],"&lt;="&amp;FINANCIACION[[#This Row],[Fecha]],FINANCIACION[PRESTAMO],FINANCIACION[[#This Row],[PRESTAMO]])</f>
        <v>-84000000</v>
      </c>
      <c r="G163" s="179"/>
      <c r="I163" s="185"/>
      <c r="J163" s="179" t="b">
        <f>IF(FINANCIACION[[#This Row],[$ CAPITAL]]&gt;0,FINANCIACION[[#This Row],[$ CAPITAL]])</f>
        <v>0</v>
      </c>
      <c r="K163" s="186">
        <f>IF(FINANCIACION[[#This Row],[$ CAPITAL]]&gt;=0,FINANCIACION[[#This Row],[$ CAPITAL]]+FINANCIACION[[#This Row],[$ INTERESES]],0)</f>
        <v>840000</v>
      </c>
    </row>
    <row r="164" spans="1:11" ht="24" hidden="1" customHeight="1" x14ac:dyDescent="0.25">
      <c r="A164" s="177">
        <v>43829</v>
      </c>
      <c r="B164" s="184" t="s">
        <v>333</v>
      </c>
      <c r="C164" s="179"/>
      <c r="D164" s="179">
        <v>840000</v>
      </c>
      <c r="E164" s="179">
        <f>+IF(FINANCIACION[[#This Row],[$ CAPITAL]]&gt;=0,FINANCIACION[[#This Row],[$ CAPITAL]]+FINANCIACION[[#This Row],[$ INTERESES]],"")</f>
        <v>840000</v>
      </c>
      <c r="F164" s="179">
        <f>+SUMIFS(FINANCIACION[$ CAPITAL],FINANCIACION[Fecha],"&lt;="&amp;FINANCIACION[[#This Row],[Fecha]],FINANCIACION[PRESTAMO],FINANCIACION[[#This Row],[PRESTAMO]])</f>
        <v>-84000000</v>
      </c>
      <c r="G164" s="179"/>
      <c r="H164" s="183"/>
      <c r="I164" s="185"/>
      <c r="J164" s="179" t="b">
        <f>IF(FINANCIACION[[#This Row],[$ CAPITAL]]&gt;0,FINANCIACION[[#This Row],[$ CAPITAL]])</f>
        <v>0</v>
      </c>
      <c r="K164" s="186">
        <f>IF(FINANCIACION[[#This Row],[$ CAPITAL]]&gt;=0,FINANCIACION[[#This Row],[$ CAPITAL]]+FINANCIACION[[#This Row],[$ INTERESES]],0)</f>
        <v>840000</v>
      </c>
    </row>
    <row r="165" spans="1:11" ht="24" hidden="1" customHeight="1" x14ac:dyDescent="0.25">
      <c r="A165" s="188">
        <v>43840</v>
      </c>
      <c r="B165" s="184" t="s">
        <v>333</v>
      </c>
      <c r="C165" s="179"/>
      <c r="D165" s="179">
        <v>200000</v>
      </c>
      <c r="E165" s="179">
        <f>+IF(FINANCIACION[[#This Row],[$ CAPITAL]]&gt;=0,FINANCIACION[[#This Row],[$ CAPITAL]]+FINANCIACION[[#This Row],[$ INTERESES]],"")</f>
        <v>200000</v>
      </c>
      <c r="F165" s="179">
        <f>+SUMIFS(FINANCIACION[$ CAPITAL],FINANCIACION[Fecha],"&lt;="&amp;FINANCIACION[[#This Row],[Fecha]],FINANCIACION[PRESTAMO],FINANCIACION[[#This Row],[PRESTAMO]])</f>
        <v>-84000000</v>
      </c>
      <c r="G165" s="179"/>
      <c r="I165" s="185"/>
      <c r="J165" s="179" t="b">
        <f>IF(FINANCIACION[[#This Row],[$ CAPITAL]]&gt;0,FINANCIACION[[#This Row],[$ CAPITAL]])</f>
        <v>0</v>
      </c>
      <c r="K165" s="186">
        <f>IF(FINANCIACION[[#This Row],[$ CAPITAL]]&gt;=0,FINANCIACION[[#This Row],[$ CAPITAL]]+FINANCIACION[[#This Row],[$ INTERESES]],0)</f>
        <v>200000</v>
      </c>
    </row>
    <row r="166" spans="1:11" ht="24" hidden="1" customHeight="1" x14ac:dyDescent="0.25">
      <c r="A166" s="188">
        <v>43858</v>
      </c>
      <c r="B166" s="184" t="s">
        <v>333</v>
      </c>
      <c r="C166" s="179"/>
      <c r="D166" s="179">
        <v>640000</v>
      </c>
      <c r="E166" s="179">
        <f>+IF(FINANCIACION[[#This Row],[$ CAPITAL]]&gt;=0,FINANCIACION[[#This Row],[$ CAPITAL]]+FINANCIACION[[#This Row],[$ INTERESES]],"")</f>
        <v>640000</v>
      </c>
      <c r="F166" s="179">
        <f>+SUMIFS(FINANCIACION[$ CAPITAL],FINANCIACION[Fecha],"&lt;="&amp;FINANCIACION[[#This Row],[Fecha]],FINANCIACION[PRESTAMO],FINANCIACION[[#This Row],[PRESTAMO]])</f>
        <v>-84000000</v>
      </c>
      <c r="G166" s="179"/>
      <c r="H166" s="183"/>
      <c r="I166" s="185"/>
      <c r="J166" s="179" t="b">
        <f>IF(FINANCIACION[[#This Row],[$ CAPITAL]]&gt;0,FINANCIACION[[#This Row],[$ CAPITAL]])</f>
        <v>0</v>
      </c>
      <c r="K166" s="186">
        <f>IF(FINANCIACION[[#This Row],[$ CAPITAL]]&gt;=0,FINANCIACION[[#This Row],[$ CAPITAL]]+FINANCIACION[[#This Row],[$ INTERESES]],0)</f>
        <v>640000</v>
      </c>
    </row>
    <row r="167" spans="1:11" ht="24" hidden="1" customHeight="1" x14ac:dyDescent="0.25">
      <c r="A167" s="188">
        <v>43890</v>
      </c>
      <c r="B167" s="184" t="s">
        <v>333</v>
      </c>
      <c r="C167" s="179"/>
      <c r="D167" s="179">
        <v>840000</v>
      </c>
      <c r="E167" s="179">
        <f>+IF(FINANCIACION[[#This Row],[$ CAPITAL]]&gt;=0,FINANCIACION[[#This Row],[$ CAPITAL]]+FINANCIACION[[#This Row],[$ INTERESES]],"")</f>
        <v>840000</v>
      </c>
      <c r="F167" s="179">
        <f>+SUMIFS(FINANCIACION[$ CAPITAL],FINANCIACION[Fecha],"&lt;="&amp;FINANCIACION[[#This Row],[Fecha]],FINANCIACION[PRESTAMO],FINANCIACION[[#This Row],[PRESTAMO]])</f>
        <v>-84000000</v>
      </c>
      <c r="G167" s="179"/>
      <c r="I167" s="185"/>
      <c r="J167" s="179" t="b">
        <f>IF(FINANCIACION[[#This Row],[$ CAPITAL]]&gt;0,FINANCIACION[[#This Row],[$ CAPITAL]])</f>
        <v>0</v>
      </c>
      <c r="K167" s="186">
        <f>IF(FINANCIACION[[#This Row],[$ CAPITAL]]&gt;=0,FINANCIACION[[#This Row],[$ CAPITAL]]+FINANCIACION[[#This Row],[$ INTERESES]],0)</f>
        <v>840000</v>
      </c>
    </row>
    <row r="168" spans="1:11" ht="24" hidden="1" customHeight="1" x14ac:dyDescent="0.25">
      <c r="A168" s="188">
        <v>43971</v>
      </c>
      <c r="B168" s="184" t="s">
        <v>333</v>
      </c>
      <c r="C168" s="179"/>
      <c r="D168" s="179">
        <v>840000</v>
      </c>
      <c r="E168" s="179">
        <f>+IF(FINANCIACION[[#This Row],[$ CAPITAL]]&gt;=0,FINANCIACION[[#This Row],[$ CAPITAL]]+FINANCIACION[[#This Row],[$ INTERESES]],"")</f>
        <v>840000</v>
      </c>
      <c r="F168" s="179">
        <f>+SUMIFS(FINANCIACION[$ CAPITAL],FINANCIACION[Fecha],"&lt;="&amp;FINANCIACION[[#This Row],[Fecha]],FINANCIACION[PRESTAMO],FINANCIACION[[#This Row],[PRESTAMO]])</f>
        <v>-84000000</v>
      </c>
      <c r="G168" s="179"/>
      <c r="H168" s="183"/>
      <c r="I168" s="185"/>
      <c r="J168" s="179" t="b">
        <f>IF(FINANCIACION[[#This Row],[$ CAPITAL]]&gt;0,FINANCIACION[[#This Row],[$ CAPITAL]])</f>
        <v>0</v>
      </c>
      <c r="K168" s="186">
        <f>IF(FINANCIACION[[#This Row],[$ CAPITAL]]&gt;=0,FINANCIACION[[#This Row],[$ CAPITAL]]+FINANCIACION[[#This Row],[$ INTERESES]],0)</f>
        <v>840000</v>
      </c>
    </row>
    <row r="169" spans="1:11" ht="24" hidden="1" customHeight="1" x14ac:dyDescent="0.25">
      <c r="A169" s="188">
        <v>44000</v>
      </c>
      <c r="B169" s="184" t="s">
        <v>333</v>
      </c>
      <c r="C169" s="179"/>
      <c r="D169" s="179">
        <v>840000</v>
      </c>
      <c r="E169" s="179">
        <f>+IF(FINANCIACION[[#This Row],[$ CAPITAL]]&gt;=0,FINANCIACION[[#This Row],[$ CAPITAL]]+FINANCIACION[[#This Row],[$ INTERESES]],"")</f>
        <v>840000</v>
      </c>
      <c r="F169" s="179">
        <f>+SUMIFS(FINANCIACION[$ CAPITAL],FINANCIACION[Fecha],"&lt;="&amp;FINANCIACION[[#This Row],[Fecha]],FINANCIACION[PRESTAMO],FINANCIACION[[#This Row],[PRESTAMO]])</f>
        <v>-84000000</v>
      </c>
      <c r="G169" s="179"/>
      <c r="H169" s="183"/>
      <c r="I169" s="185"/>
      <c r="J169" s="179" t="b">
        <f>IF(FINANCIACION[[#This Row],[$ CAPITAL]]&gt;0,FINANCIACION[[#This Row],[$ CAPITAL]])</f>
        <v>0</v>
      </c>
      <c r="K169" s="186">
        <f>IF(FINANCIACION[[#This Row],[$ CAPITAL]]&gt;=0,FINANCIACION[[#This Row],[$ CAPITAL]]+FINANCIACION[[#This Row],[$ INTERESES]],0)</f>
        <v>840000</v>
      </c>
    </row>
    <row r="170" spans="1:11" ht="24" hidden="1" customHeight="1" x14ac:dyDescent="0.25">
      <c r="A170" s="188">
        <v>44013</v>
      </c>
      <c r="B170" s="184" t="s">
        <v>333</v>
      </c>
      <c r="C170" s="179">
        <v>69000000</v>
      </c>
      <c r="D170" s="179">
        <v>840000</v>
      </c>
      <c r="E170" s="179">
        <f>+IF(FINANCIACION[[#This Row],[$ CAPITAL]]&gt;=0,FINANCIACION[[#This Row],[$ CAPITAL]]+FINANCIACION[[#This Row],[$ INTERESES]],"")</f>
        <v>69840000</v>
      </c>
      <c r="F170" s="179">
        <f>+SUMIFS(FINANCIACION[$ CAPITAL],FINANCIACION[Fecha],"&lt;="&amp;FINANCIACION[[#This Row],[Fecha]],FINANCIACION[PRESTAMO],FINANCIACION[[#This Row],[PRESTAMO]])</f>
        <v>-15000000</v>
      </c>
      <c r="G170" s="179"/>
      <c r="I170" s="185"/>
      <c r="J170" s="179">
        <f>IF(FINANCIACION[[#This Row],[$ CAPITAL]]&gt;0,FINANCIACION[[#This Row],[$ CAPITAL]])</f>
        <v>69000000</v>
      </c>
      <c r="K170" s="186">
        <f>IF(FINANCIACION[[#This Row],[$ CAPITAL]]&gt;=0,FINANCIACION[[#This Row],[$ CAPITAL]]+FINANCIACION[[#This Row],[$ INTERESES]],0)</f>
        <v>69840000</v>
      </c>
    </row>
    <row r="171" spans="1:11" ht="24" hidden="1" customHeight="1" x14ac:dyDescent="0.25">
      <c r="A171" s="188">
        <v>44043</v>
      </c>
      <c r="B171" s="184" t="s">
        <v>333</v>
      </c>
      <c r="C171" s="179"/>
      <c r="D171" s="179">
        <v>150000</v>
      </c>
      <c r="E171" s="179">
        <f>+IF(FINANCIACION[[#This Row],[$ CAPITAL]]&gt;=0,FINANCIACION[[#This Row],[$ CAPITAL]]+FINANCIACION[[#This Row],[$ INTERESES]],"")</f>
        <v>150000</v>
      </c>
      <c r="F171" s="179">
        <f>+SUMIFS(FINANCIACION[$ CAPITAL],FINANCIACION[Fecha],"&lt;="&amp;FINANCIACION[[#This Row],[Fecha]],FINANCIACION[PRESTAMO],FINANCIACION[[#This Row],[PRESTAMO]])</f>
        <v>-15000000</v>
      </c>
      <c r="G171" s="179"/>
      <c r="H171" s="183"/>
      <c r="I171" s="185"/>
      <c r="J171" s="179" t="b">
        <f>IF(FINANCIACION[[#This Row],[$ CAPITAL]]&gt;0,FINANCIACION[[#This Row],[$ CAPITAL]])</f>
        <v>0</v>
      </c>
      <c r="K171" s="186">
        <f>IF(FINANCIACION[[#This Row],[$ CAPITAL]]&gt;=0,FINANCIACION[[#This Row],[$ CAPITAL]]+FINANCIACION[[#This Row],[$ INTERESES]],0)</f>
        <v>150000</v>
      </c>
    </row>
    <row r="172" spans="1:11" ht="24" hidden="1" customHeight="1" x14ac:dyDescent="0.25">
      <c r="A172" s="188">
        <v>44078</v>
      </c>
      <c r="B172" s="184" t="s">
        <v>333</v>
      </c>
      <c r="C172" s="179"/>
      <c r="D172" s="179">
        <v>150000</v>
      </c>
      <c r="E172" s="179">
        <f>+IF(FINANCIACION[[#This Row],[$ CAPITAL]]&gt;=0,FINANCIACION[[#This Row],[$ CAPITAL]]+FINANCIACION[[#This Row],[$ INTERESES]],"")</f>
        <v>150000</v>
      </c>
      <c r="F172" s="179">
        <f>+SUMIFS(FINANCIACION[$ CAPITAL],FINANCIACION[Fecha],"&lt;="&amp;FINANCIACION[[#This Row],[Fecha]],FINANCIACION[PRESTAMO],FINANCIACION[[#This Row],[PRESTAMO]])</f>
        <v>-15000000</v>
      </c>
      <c r="G172" s="179"/>
      <c r="H172" s="183"/>
      <c r="I172" s="185"/>
      <c r="J172" s="179" t="b">
        <f>IF(FINANCIACION[[#This Row],[$ CAPITAL]]&gt;0,FINANCIACION[[#This Row],[$ CAPITAL]])</f>
        <v>0</v>
      </c>
      <c r="K172" s="186">
        <f>IF(FINANCIACION[[#This Row],[$ CAPITAL]]&gt;=0,FINANCIACION[[#This Row],[$ CAPITAL]]+FINANCIACION[[#This Row],[$ INTERESES]],0)</f>
        <v>150000</v>
      </c>
    </row>
    <row r="173" spans="1:11" ht="24" hidden="1" customHeight="1" x14ac:dyDescent="0.25">
      <c r="A173" s="188">
        <v>44106</v>
      </c>
      <c r="B173" s="184" t="s">
        <v>333</v>
      </c>
      <c r="C173" s="179">
        <v>850000</v>
      </c>
      <c r="D173" s="179">
        <v>150000</v>
      </c>
      <c r="E173" s="179">
        <f>+IF(FINANCIACION[[#This Row],[$ CAPITAL]]&gt;=0,FINANCIACION[[#This Row],[$ CAPITAL]]+FINANCIACION[[#This Row],[$ INTERESES]],"")</f>
        <v>1000000</v>
      </c>
      <c r="F173" s="179">
        <f>+SUMIFS(FINANCIACION[$ CAPITAL],FINANCIACION[Fecha],"&lt;="&amp;FINANCIACION[[#This Row],[Fecha]],FINANCIACION[PRESTAMO],FINANCIACION[[#This Row],[PRESTAMO]])</f>
        <v>-14150000</v>
      </c>
      <c r="G173" s="179"/>
      <c r="H173" s="183"/>
      <c r="I173" s="185"/>
      <c r="J173" s="179">
        <f>IF(FINANCIACION[[#This Row],[$ CAPITAL]]&gt;0,FINANCIACION[[#This Row],[$ CAPITAL]])</f>
        <v>850000</v>
      </c>
      <c r="K173" s="186">
        <f>IF(FINANCIACION[[#This Row],[$ CAPITAL]]&gt;=0,FINANCIACION[[#This Row],[$ CAPITAL]]+FINANCIACION[[#This Row],[$ INTERESES]],0)</f>
        <v>1000000</v>
      </c>
    </row>
    <row r="174" spans="1:11" ht="24" hidden="1" customHeight="1" x14ac:dyDescent="0.25">
      <c r="A174" s="188">
        <v>44142</v>
      </c>
      <c r="B174" s="184" t="s">
        <v>333</v>
      </c>
      <c r="C174" s="179">
        <v>858500</v>
      </c>
      <c r="D174" s="179">
        <v>141500</v>
      </c>
      <c r="E174" s="179">
        <f>+IF(FINANCIACION[[#This Row],[$ CAPITAL]]&gt;=0,FINANCIACION[[#This Row],[$ CAPITAL]]+FINANCIACION[[#This Row],[$ INTERESES]],"")</f>
        <v>1000000</v>
      </c>
      <c r="F174" s="179">
        <f>+SUMIFS(FINANCIACION[$ CAPITAL],FINANCIACION[Fecha],"&lt;="&amp;FINANCIACION[[#This Row],[Fecha]],FINANCIACION[PRESTAMO],FINANCIACION[[#This Row],[PRESTAMO]])</f>
        <v>-13291500</v>
      </c>
      <c r="G174" s="179"/>
      <c r="H174" s="183"/>
      <c r="I174" s="185"/>
      <c r="J174" s="179">
        <f>IF(FINANCIACION[[#This Row],[$ CAPITAL]]&gt;0,FINANCIACION[[#This Row],[$ CAPITAL]])</f>
        <v>858500</v>
      </c>
      <c r="K174" s="186">
        <f>IF(FINANCIACION[[#This Row],[$ CAPITAL]]&gt;=0,FINANCIACION[[#This Row],[$ CAPITAL]]+FINANCIACION[[#This Row],[$ INTERESES]],0)</f>
        <v>1000000</v>
      </c>
    </row>
    <row r="175" spans="1:11" ht="24" hidden="1" customHeight="1" x14ac:dyDescent="0.25">
      <c r="A175" s="188">
        <v>44175</v>
      </c>
      <c r="B175" s="184" t="s">
        <v>333</v>
      </c>
      <c r="C175" s="179">
        <v>867085</v>
      </c>
      <c r="D175" s="179">
        <v>132915</v>
      </c>
      <c r="E175" s="179">
        <f>+IF(FINANCIACION[[#This Row],[$ CAPITAL]]&gt;=0,FINANCIACION[[#This Row],[$ CAPITAL]]+FINANCIACION[[#This Row],[$ INTERESES]],"")</f>
        <v>1000000</v>
      </c>
      <c r="F175" s="179">
        <f>+SUMIFS(FINANCIACION[$ CAPITAL],FINANCIACION[Fecha],"&lt;="&amp;FINANCIACION[[#This Row],[Fecha]],FINANCIACION[PRESTAMO],FINANCIACION[[#This Row],[PRESTAMO]])</f>
        <v>-12424415</v>
      </c>
      <c r="G175" s="179"/>
      <c r="H175" s="183"/>
      <c r="I175" s="185"/>
      <c r="J175" s="179">
        <f>IF(FINANCIACION[[#This Row],[$ CAPITAL]]&gt;0,FINANCIACION[[#This Row],[$ CAPITAL]])</f>
        <v>867085</v>
      </c>
      <c r="K175" s="186">
        <f>IF(FINANCIACION[[#This Row],[$ CAPITAL]]&gt;=0,FINANCIACION[[#This Row],[$ CAPITAL]]+FINANCIACION[[#This Row],[$ INTERESES]],0)</f>
        <v>1000000</v>
      </c>
    </row>
    <row r="176" spans="1:11" ht="24" hidden="1" customHeight="1" x14ac:dyDescent="0.25">
      <c r="A176" s="177">
        <v>44208</v>
      </c>
      <c r="B176" s="184" t="s">
        <v>333</v>
      </c>
      <c r="C176" s="179">
        <v>875755.85</v>
      </c>
      <c r="D176" s="179">
        <v>124244.15000000001</v>
      </c>
      <c r="E176" s="179">
        <f>+IF(FINANCIACION[[#This Row],[$ CAPITAL]]&gt;=0,FINANCIACION[[#This Row],[$ CAPITAL]]+FINANCIACION[[#This Row],[$ INTERESES]],"")</f>
        <v>1000000</v>
      </c>
      <c r="F176" s="179">
        <f>+SUMIFS(FINANCIACION[$ CAPITAL],FINANCIACION[Fecha],"&lt;="&amp;FINANCIACION[[#This Row],[Fecha]],FINANCIACION[PRESTAMO],FINANCIACION[[#This Row],[PRESTAMO]])</f>
        <v>-11548659.15</v>
      </c>
      <c r="G176" s="179"/>
      <c r="H176" s="183"/>
      <c r="I176" s="185"/>
      <c r="J176" s="179">
        <f>IF(FINANCIACION[[#This Row],[$ CAPITAL]]&gt;0,FINANCIACION[[#This Row],[$ CAPITAL]])</f>
        <v>875755.85</v>
      </c>
      <c r="K176" s="186">
        <f>IF(FINANCIACION[[#This Row],[$ CAPITAL]]&gt;=0,FINANCIACION[[#This Row],[$ CAPITAL]]+FINANCIACION[[#This Row],[$ INTERESES]],0)</f>
        <v>1000000</v>
      </c>
    </row>
    <row r="177" spans="1:11" ht="24" hidden="1" customHeight="1" x14ac:dyDescent="0.25">
      <c r="A177" s="177">
        <v>44237</v>
      </c>
      <c r="B177" s="184" t="s">
        <v>333</v>
      </c>
      <c r="C177" s="179">
        <v>875755.85</v>
      </c>
      <c r="D177" s="179">
        <v>124244.15000000001</v>
      </c>
      <c r="E177" s="179">
        <f>+IF(FINANCIACION[[#This Row],[$ CAPITAL]]&gt;=0,FINANCIACION[[#This Row],[$ CAPITAL]]+FINANCIACION[[#This Row],[$ INTERESES]],"")</f>
        <v>1000000</v>
      </c>
      <c r="F177" s="179">
        <f>+SUMIFS(FINANCIACION[$ CAPITAL],FINANCIACION[Fecha],"&lt;="&amp;FINANCIACION[[#This Row],[Fecha]],FINANCIACION[PRESTAMO],FINANCIACION[[#This Row],[PRESTAMO]])</f>
        <v>-10672903.300000001</v>
      </c>
      <c r="G177" s="179"/>
      <c r="H177" s="183"/>
      <c r="I177" s="185"/>
      <c r="J177" s="179">
        <f>IF(FINANCIACION[[#This Row],[$ CAPITAL]]&gt;0,FINANCIACION[[#This Row],[$ CAPITAL]])</f>
        <v>875755.85</v>
      </c>
      <c r="K177" s="186">
        <f>IF(FINANCIACION[[#This Row],[$ CAPITAL]]&gt;=0,FINANCIACION[[#This Row],[$ CAPITAL]]+FINANCIACION[[#This Row],[$ INTERESES]],0)</f>
        <v>1000000</v>
      </c>
    </row>
    <row r="178" spans="1:11" ht="24" hidden="1" customHeight="1" x14ac:dyDescent="0.25">
      <c r="A178" s="177">
        <v>44245</v>
      </c>
      <c r="B178" s="184" t="s">
        <v>333</v>
      </c>
      <c r="C178" s="179">
        <v>-50000000</v>
      </c>
      <c r="D178" s="179"/>
      <c r="E178" s="179" t="str">
        <f>+IF(FINANCIACION[[#This Row],[$ CAPITAL]]&gt;=0,FINANCIACION[[#This Row],[$ CAPITAL]]+FINANCIACION[[#This Row],[$ INTERESES]],"")</f>
        <v/>
      </c>
      <c r="F178" s="179">
        <f>+SUMIFS(FINANCIACION[$ CAPITAL],FINANCIACION[Fecha],"&lt;="&amp;FINANCIACION[[#This Row],[Fecha]],FINANCIACION[PRESTAMO],FINANCIACION[[#This Row],[PRESTAMO]])</f>
        <v>-60672903.299999997</v>
      </c>
      <c r="G178" s="179"/>
      <c r="H178" s="183"/>
      <c r="I178" s="185"/>
      <c r="J178" s="179" t="b">
        <f>IF(FINANCIACION[[#This Row],[$ CAPITAL]]&gt;0,FINANCIACION[[#This Row],[$ CAPITAL]])</f>
        <v>0</v>
      </c>
      <c r="K178" s="186">
        <f>IF(FINANCIACION[[#This Row],[$ CAPITAL]]&gt;=0,FINANCIACION[[#This Row],[$ CAPITAL]]+FINANCIACION[[#This Row],[$ INTERESES]],0)</f>
        <v>0</v>
      </c>
    </row>
    <row r="179" spans="1:11" ht="24" hidden="1" customHeight="1" x14ac:dyDescent="0.25">
      <c r="A179" s="177">
        <v>44265</v>
      </c>
      <c r="B179" s="184" t="s">
        <v>333</v>
      </c>
      <c r="C179" s="179">
        <v>277743.10809999995</v>
      </c>
      <c r="D179" s="179">
        <v>922256.89190000005</v>
      </c>
      <c r="E179" s="179">
        <f>+IF(FINANCIACION[[#This Row],[$ CAPITAL]]&gt;=0,FINANCIACION[[#This Row],[$ CAPITAL]]+FINANCIACION[[#This Row],[$ INTERESES]],"")</f>
        <v>1200000</v>
      </c>
      <c r="F179" s="179">
        <f>+SUMIFS(FINANCIACION[$ CAPITAL],FINANCIACION[Fecha],"&lt;="&amp;FINANCIACION[[#This Row],[Fecha]],FINANCIACION[PRESTAMO],FINANCIACION[[#This Row],[PRESTAMO]])</f>
        <v>-60395160.1919</v>
      </c>
      <c r="G179" s="179"/>
      <c r="H179" s="183"/>
      <c r="I179" s="185"/>
      <c r="J179" s="179">
        <f>IF(FINANCIACION[[#This Row],[$ CAPITAL]]&gt;0,FINANCIACION[[#This Row],[$ CAPITAL]])</f>
        <v>277743.10809999995</v>
      </c>
      <c r="K179" s="186">
        <f>IF(FINANCIACION[[#This Row],[$ CAPITAL]]&gt;=0,FINANCIACION[[#This Row],[$ CAPITAL]]+FINANCIACION[[#This Row],[$ INTERESES]],0)</f>
        <v>1200000</v>
      </c>
    </row>
    <row r="180" spans="1:11" ht="24" hidden="1" customHeight="1" x14ac:dyDescent="0.25">
      <c r="A180" s="177">
        <v>44266</v>
      </c>
      <c r="B180" s="184" t="s">
        <v>333</v>
      </c>
      <c r="C180" s="179">
        <v>315160.19189999998</v>
      </c>
      <c r="D180" s="179"/>
      <c r="E180" s="179">
        <f>+IF(FINANCIACION[[#This Row],[$ CAPITAL]]&gt;=0,FINANCIACION[[#This Row],[$ CAPITAL]]+FINANCIACION[[#This Row],[$ INTERESES]],"")</f>
        <v>315160.19189999998</v>
      </c>
      <c r="F180" s="179">
        <f>+SUMIFS(FINANCIACION[$ CAPITAL],FINANCIACION[Fecha],"&lt;="&amp;FINANCIACION[[#This Row],[Fecha]],FINANCIACION[PRESTAMO],FINANCIACION[[#This Row],[PRESTAMO]])</f>
        <v>-60080000</v>
      </c>
      <c r="G180" s="179"/>
      <c r="H180" s="183" t="s">
        <v>135</v>
      </c>
      <c r="I180" s="185"/>
      <c r="J180" s="179">
        <f>IF(FINANCIACION[[#This Row],[$ CAPITAL]]&gt;0,FINANCIACION[[#This Row],[$ CAPITAL]])</f>
        <v>315160.19189999998</v>
      </c>
      <c r="K180" s="186">
        <f>IF(FINANCIACION[[#This Row],[$ CAPITAL]]&gt;=0,FINANCIACION[[#This Row],[$ CAPITAL]]+FINANCIACION[[#This Row],[$ INTERESES]],0)</f>
        <v>315160.19189999998</v>
      </c>
    </row>
    <row r="181" spans="1:11" ht="24" hidden="1" customHeight="1" x14ac:dyDescent="0.25">
      <c r="A181" s="177">
        <v>44299</v>
      </c>
      <c r="B181" s="184" t="s">
        <v>333</v>
      </c>
      <c r="C181" s="179">
        <v>699200</v>
      </c>
      <c r="D181" s="179">
        <v>600800</v>
      </c>
      <c r="E181" s="179">
        <f>+IF(FINANCIACION[[#This Row],[$ CAPITAL]]&gt;=0,FINANCIACION[[#This Row],[$ CAPITAL]]+FINANCIACION[[#This Row],[$ INTERESES]],"")</f>
        <v>1300000</v>
      </c>
      <c r="F181" s="179">
        <f>+SUMIFS(FINANCIACION[$ CAPITAL],FINANCIACION[Fecha],"&lt;="&amp;FINANCIACION[[#This Row],[Fecha]],FINANCIACION[PRESTAMO],FINANCIACION[[#This Row],[PRESTAMO]])</f>
        <v>-59380800</v>
      </c>
      <c r="G181" s="179"/>
      <c r="H181" s="183"/>
      <c r="I181" s="185"/>
      <c r="J181" s="179">
        <f>IF(FINANCIACION[[#This Row],[$ CAPITAL]]&gt;0,FINANCIACION[[#This Row],[$ CAPITAL]])</f>
        <v>699200</v>
      </c>
      <c r="K181" s="186">
        <f>IF(FINANCIACION[[#This Row],[$ CAPITAL]]&gt;=0,FINANCIACION[[#This Row],[$ CAPITAL]]+FINANCIACION[[#This Row],[$ INTERESES]],0)</f>
        <v>1300000</v>
      </c>
    </row>
    <row r="182" spans="1:11" ht="24" hidden="1" customHeight="1" x14ac:dyDescent="0.25">
      <c r="A182" s="177">
        <v>44344</v>
      </c>
      <c r="B182" s="184" t="s">
        <v>333</v>
      </c>
      <c r="C182" s="179">
        <v>706192</v>
      </c>
      <c r="D182" s="179">
        <v>593808</v>
      </c>
      <c r="E182" s="179">
        <f>+IF(FINANCIACION[[#This Row],[$ CAPITAL]]&gt;=0,FINANCIACION[[#This Row],[$ CAPITAL]]+FINANCIACION[[#This Row],[$ INTERESES]],"")</f>
        <v>1300000</v>
      </c>
      <c r="F182" s="179">
        <f>+SUMIFS(FINANCIACION[$ CAPITAL],FINANCIACION[Fecha],"&lt;="&amp;FINANCIACION[[#This Row],[Fecha]],FINANCIACION[PRESTAMO],FINANCIACION[[#This Row],[PRESTAMO]])</f>
        <v>-58674608</v>
      </c>
      <c r="G182" s="179"/>
      <c r="H182" s="183"/>
      <c r="I182" s="185"/>
      <c r="J182" s="179">
        <f>IF(FINANCIACION[[#This Row],[$ CAPITAL]]&gt;0,FINANCIACION[[#This Row],[$ CAPITAL]])</f>
        <v>706192</v>
      </c>
      <c r="K182" s="187">
        <f>IF(FINANCIACION[[#This Row],[$ CAPITAL]]&gt;=0,FINANCIACION[[#This Row],[$ CAPITAL]]+FINANCIACION[[#This Row],[$ INTERESES]],0)</f>
        <v>1300000</v>
      </c>
    </row>
    <row r="183" spans="1:11" ht="24" hidden="1" customHeight="1" x14ac:dyDescent="0.25">
      <c r="A183" s="177">
        <v>44358</v>
      </c>
      <c r="B183" s="184" t="s">
        <v>333</v>
      </c>
      <c r="C183" s="179">
        <v>713253.92</v>
      </c>
      <c r="D183" s="179">
        <v>586746.07999999996</v>
      </c>
      <c r="E183" s="179">
        <f>+IF(FINANCIACION[[#This Row],[$ CAPITAL]]&gt;=0,FINANCIACION[[#This Row],[$ CAPITAL]]+FINANCIACION[[#This Row],[$ INTERESES]],"")</f>
        <v>1300000</v>
      </c>
      <c r="F183" s="179">
        <f>+SUMIFS(FINANCIACION[$ CAPITAL],FINANCIACION[Fecha],"&lt;="&amp;FINANCIACION[[#This Row],[Fecha]],FINANCIACION[PRESTAMO],FINANCIACION[[#This Row],[PRESTAMO]])</f>
        <v>-57961354.079999998</v>
      </c>
      <c r="G183" s="179"/>
      <c r="H183" s="183"/>
      <c r="I183" s="185"/>
      <c r="J183" s="179">
        <f>IF(FINANCIACION[[#This Row],[$ CAPITAL]]&gt;0,FINANCIACION[[#This Row],[$ CAPITAL]])</f>
        <v>713253.92</v>
      </c>
      <c r="K183" s="187">
        <f>IF(FINANCIACION[[#This Row],[$ CAPITAL]]&gt;=0,FINANCIACION[[#This Row],[$ CAPITAL]]+FINANCIACION[[#This Row],[$ INTERESES]],0)</f>
        <v>1300000</v>
      </c>
    </row>
    <row r="184" spans="1:11" ht="24" hidden="1" customHeight="1" x14ac:dyDescent="0.25">
      <c r="A184" s="177">
        <v>44390</v>
      </c>
      <c r="B184" s="184" t="s">
        <v>333</v>
      </c>
      <c r="C184" s="179">
        <v>720386.45920000004</v>
      </c>
      <c r="D184" s="179">
        <v>579613.54079999996</v>
      </c>
      <c r="E184" s="179">
        <f>+IF(FINANCIACION[[#This Row],[$ CAPITAL]]&gt;=0,FINANCIACION[[#This Row],[$ CAPITAL]]+FINANCIACION[[#This Row],[$ INTERESES]],"")</f>
        <v>1300000</v>
      </c>
      <c r="F184" s="179">
        <f>+SUMIFS(FINANCIACION[$ CAPITAL],FINANCIACION[Fecha],"&lt;="&amp;FINANCIACION[[#This Row],[Fecha]],FINANCIACION[PRESTAMO],FINANCIACION[[#This Row],[PRESTAMO]])</f>
        <v>-57240967.620799996</v>
      </c>
      <c r="G184" s="179"/>
      <c r="I184" s="185"/>
      <c r="J184" s="179">
        <f>IF(FINANCIACION[[#This Row],[$ CAPITAL]]&gt;0,FINANCIACION[[#This Row],[$ CAPITAL]])</f>
        <v>720386.45920000004</v>
      </c>
      <c r="K184" s="186">
        <f>IF(FINANCIACION[[#This Row],[$ CAPITAL]]&gt;=0,FINANCIACION[[#This Row],[$ CAPITAL]]+FINANCIACION[[#This Row],[$ INTERESES]],0)</f>
        <v>1300000</v>
      </c>
    </row>
    <row r="185" spans="1:11" ht="24" hidden="1" customHeight="1" x14ac:dyDescent="0.25">
      <c r="A185" s="177">
        <v>44425</v>
      </c>
      <c r="B185" s="184" t="s">
        <v>333</v>
      </c>
      <c r="C185" s="179">
        <v>727590.32379200007</v>
      </c>
      <c r="D185" s="179">
        <v>572409.67620799993</v>
      </c>
      <c r="E185" s="179">
        <f>+IF(FINANCIACION[[#This Row],[$ CAPITAL]]&gt;=0,FINANCIACION[[#This Row],[$ CAPITAL]]+FINANCIACION[[#This Row],[$ INTERESES]],"")</f>
        <v>1300000</v>
      </c>
      <c r="F185" s="179">
        <f>+SUMIFS(FINANCIACION[$ CAPITAL],FINANCIACION[Fecha],"&lt;="&amp;FINANCIACION[[#This Row],[Fecha]],FINANCIACION[PRESTAMO],FINANCIACION[[#This Row],[PRESTAMO]])</f>
        <v>-56513377.297007993</v>
      </c>
      <c r="G185" s="179"/>
      <c r="I185" s="185"/>
      <c r="J185" s="179">
        <f>IF(FINANCIACION[[#This Row],[$ CAPITAL]]&gt;0,FINANCIACION[[#This Row],[$ CAPITAL]])</f>
        <v>727590.32379200007</v>
      </c>
      <c r="K185" s="186">
        <f>IF(FINANCIACION[[#This Row],[$ CAPITAL]]&gt;=0,FINANCIACION[[#This Row],[$ CAPITAL]]+FINANCIACION[[#This Row],[$ INTERESES]],0)</f>
        <v>1300000</v>
      </c>
    </row>
    <row r="186" spans="1:11" ht="24" hidden="1" customHeight="1" x14ac:dyDescent="0.25">
      <c r="A186" s="177">
        <v>44450</v>
      </c>
      <c r="B186" s="184" t="s">
        <v>333</v>
      </c>
      <c r="C186" s="179">
        <v>734866.22702992009</v>
      </c>
      <c r="D186" s="179">
        <v>565133.77297007991</v>
      </c>
      <c r="E186" s="179">
        <f>+IF(FINANCIACION[[#This Row],[$ CAPITAL]]&gt;=0,FINANCIACION[[#This Row],[$ CAPITAL]]+FINANCIACION[[#This Row],[$ INTERESES]],"")</f>
        <v>1300000</v>
      </c>
      <c r="F186" s="179">
        <f>+SUMIFS(FINANCIACION[$ CAPITAL],FINANCIACION[Fecha],"&lt;="&amp;FINANCIACION[[#This Row],[Fecha]],FINANCIACION[PRESTAMO],FINANCIACION[[#This Row],[PRESTAMO]])</f>
        <v>-55778511.069978073</v>
      </c>
      <c r="G186" s="179"/>
      <c r="H186" s="183"/>
      <c r="I186" s="185"/>
      <c r="J186" s="179">
        <f>IF(FINANCIACION[[#This Row],[$ CAPITAL]]&gt;0,FINANCIACION[[#This Row],[$ CAPITAL]])</f>
        <v>734866.22702992009</v>
      </c>
      <c r="K186" s="186">
        <f>IF(FINANCIACION[[#This Row],[$ CAPITAL]]&gt;=0,FINANCIACION[[#This Row],[$ CAPITAL]]+FINANCIACION[[#This Row],[$ INTERESES]],0)</f>
        <v>1300000</v>
      </c>
    </row>
    <row r="187" spans="1:11" ht="24" hidden="1" customHeight="1" x14ac:dyDescent="0.25">
      <c r="A187" s="177">
        <v>44480</v>
      </c>
      <c r="B187" s="184" t="s">
        <v>333</v>
      </c>
      <c r="C187" s="179">
        <v>742214.88930021925</v>
      </c>
      <c r="D187" s="179">
        <v>557785.11069978075</v>
      </c>
      <c r="E187" s="179">
        <f>+IF(FINANCIACION[[#This Row],[$ CAPITAL]]&gt;=0,FINANCIACION[[#This Row],[$ CAPITAL]]+FINANCIACION[[#This Row],[$ INTERESES]],"")</f>
        <v>1300000</v>
      </c>
      <c r="F187" s="179">
        <f>+SUMIFS(FINANCIACION[$ CAPITAL],FINANCIACION[Fecha],"&lt;="&amp;FINANCIACION[[#This Row],[Fecha]],FINANCIACION[PRESTAMO],FINANCIACION[[#This Row],[PRESTAMO]])</f>
        <v>-55036296.180677854</v>
      </c>
      <c r="G187" s="179"/>
      <c r="H187" s="183"/>
      <c r="I187" s="185"/>
      <c r="J187" s="179">
        <f>IF(FINANCIACION[[#This Row],[$ CAPITAL]]&gt;0,FINANCIACION[[#This Row],[$ CAPITAL]])</f>
        <v>742214.88930021925</v>
      </c>
      <c r="K187" s="186">
        <f>IF(FINANCIACION[[#This Row],[$ CAPITAL]]&gt;=0,FINANCIACION[[#This Row],[$ CAPITAL]]+FINANCIACION[[#This Row],[$ INTERESES]],0)</f>
        <v>1300000</v>
      </c>
    </row>
    <row r="188" spans="1:11" ht="24" hidden="1" customHeight="1" x14ac:dyDescent="0.25">
      <c r="A188" s="177">
        <v>44510</v>
      </c>
      <c r="B188" s="184" t="s">
        <v>333</v>
      </c>
      <c r="C188" s="179">
        <v>749637</v>
      </c>
      <c r="D188" s="179">
        <v>550363</v>
      </c>
      <c r="E188" s="179">
        <f>+IF(FINANCIACION[[#This Row],[$ CAPITAL]]&gt;=0,FINANCIACION[[#This Row],[$ CAPITAL]]+FINANCIACION[[#This Row],[$ INTERESES]],"")</f>
        <v>1300000</v>
      </c>
      <c r="F188" s="179">
        <f>+SUMIFS(FINANCIACION[$ CAPITAL],FINANCIACION[Fecha],"&lt;="&amp;FINANCIACION[[#This Row],[Fecha]],FINANCIACION[PRESTAMO],FINANCIACION[[#This Row],[PRESTAMO]])</f>
        <v>-54286659.180677854</v>
      </c>
      <c r="G188" s="179"/>
      <c r="I188" s="185"/>
      <c r="J188" s="179">
        <f>IF(FINANCIACION[[#This Row],[$ CAPITAL]]&gt;0,FINANCIACION[[#This Row],[$ CAPITAL]])</f>
        <v>749637</v>
      </c>
      <c r="K188" s="186">
        <f>IF(FINANCIACION[[#This Row],[$ CAPITAL]]&gt;=0,FINANCIACION[[#This Row],[$ CAPITAL]]+FINANCIACION[[#This Row],[$ INTERESES]],0)</f>
        <v>1300000</v>
      </c>
    </row>
    <row r="189" spans="1:11" ht="24" hidden="1" customHeight="1" x14ac:dyDescent="0.25">
      <c r="A189" s="177">
        <v>44539</v>
      </c>
      <c r="B189" s="184" t="s">
        <v>333</v>
      </c>
      <c r="C189" s="179">
        <v>757133.40857515368</v>
      </c>
      <c r="D189" s="179">
        <v>542866.59142484632</v>
      </c>
      <c r="E189" s="179">
        <f>+IF(FINANCIACION[[#This Row],[$ CAPITAL]]&gt;=0,FINANCIACION[[#This Row],[$ CAPITAL]]+FINANCIACION[[#This Row],[$ INTERESES]],"")</f>
        <v>1300000</v>
      </c>
      <c r="F189" s="179">
        <f>+SUMIFS(FINANCIACION[$ CAPITAL],FINANCIACION[Fecha],"&lt;="&amp;FINANCIACION[[#This Row],[Fecha]],FINANCIACION[PRESTAMO],FINANCIACION[[#This Row],[PRESTAMO]])</f>
        <v>-53529525.772102699</v>
      </c>
      <c r="G189" s="179"/>
      <c r="I189" s="185"/>
      <c r="J189" s="179">
        <f>IF(FINANCIACION[[#This Row],[$ CAPITAL]]&gt;0,FINANCIACION[[#This Row],[$ CAPITAL]])</f>
        <v>757133.40857515368</v>
      </c>
      <c r="K189" s="186">
        <f>IF(FINANCIACION[[#This Row],[$ CAPITAL]]&gt;=0,FINANCIACION[[#This Row],[$ CAPITAL]]+FINANCIACION[[#This Row],[$ INTERESES]],0)</f>
        <v>1300000</v>
      </c>
    </row>
    <row r="190" spans="1:11" ht="24" hidden="1" customHeight="1" x14ac:dyDescent="0.25">
      <c r="A190" s="177">
        <v>44572</v>
      </c>
      <c r="B190" s="184" t="s">
        <v>333</v>
      </c>
      <c r="C190" s="179">
        <v>764704.74227897299</v>
      </c>
      <c r="D190" s="179">
        <v>535295.25772102701</v>
      </c>
      <c r="E190" s="179">
        <f>+IF(FINANCIACION[[#This Row],[$ CAPITAL]]&gt;=0,FINANCIACION[[#This Row],[$ CAPITAL]]+FINANCIACION[[#This Row],[$ INTERESES]],"")</f>
        <v>1300000</v>
      </c>
      <c r="F190" s="179">
        <f>+SUMIFS(FINANCIACION[$ CAPITAL],FINANCIACION[Fecha],"&lt;="&amp;FINANCIACION[[#This Row],[Fecha]],FINANCIACION[PRESTAMO],FINANCIACION[[#This Row],[PRESTAMO]])</f>
        <v>-52764821.029823728</v>
      </c>
      <c r="G190" s="179"/>
      <c r="I190" s="185"/>
      <c r="J190" s="179">
        <f>IF(FINANCIACION[[#This Row],[$ CAPITAL]]&gt;0,FINANCIACION[[#This Row],[$ CAPITAL]])</f>
        <v>764704.74227897299</v>
      </c>
      <c r="K190" s="186">
        <f>IF(FINANCIACION[[#This Row],[$ CAPITAL]]&gt;=0,FINANCIACION[[#This Row],[$ CAPITAL]]+FINANCIACION[[#This Row],[$ INTERESES]],0)</f>
        <v>1300000</v>
      </c>
    </row>
    <row r="191" spans="1:11" ht="24" hidden="1" customHeight="1" x14ac:dyDescent="0.25">
      <c r="A191" s="177">
        <v>44602</v>
      </c>
      <c r="B191" s="184" t="s">
        <v>333</v>
      </c>
      <c r="C191" s="179">
        <v>772351.78970176273</v>
      </c>
      <c r="D191" s="179">
        <v>527648.21029823727</v>
      </c>
      <c r="E191" s="179">
        <f>+IF(FINANCIACION[[#This Row],[$ CAPITAL]]&gt;=0,FINANCIACION[[#This Row],[$ CAPITAL]]+FINANCIACION[[#This Row],[$ INTERESES]],"")</f>
        <v>1300000</v>
      </c>
      <c r="F191" s="179">
        <f>+SUMIFS(FINANCIACION[$ CAPITAL],FINANCIACION[Fecha],"&lt;="&amp;FINANCIACION[[#This Row],[Fecha]],FINANCIACION[PRESTAMO],FINANCIACION[[#This Row],[PRESTAMO]])</f>
        <v>-51992469.240121968</v>
      </c>
      <c r="G191" s="179"/>
      <c r="I191" s="185"/>
      <c r="J191" s="179">
        <f>+IF(FINANCIACION[[#This Row],[$ CAPITAL]]&gt;0,FINANCIACION[[#This Row],[$ CAPITAL]])</f>
        <v>772351.78970176273</v>
      </c>
      <c r="K191" s="186">
        <f>+IF(FINANCIACION[[#This Row],[$ CAPITAL]]&gt;=0,FINANCIACION[[#This Row],[$ CAPITAL]]+FINANCIACION[[#This Row],[$ INTERESES]],0)</f>
        <v>1300000</v>
      </c>
    </row>
    <row r="192" spans="1:11" ht="24" hidden="1" customHeight="1" x14ac:dyDescent="0.25">
      <c r="A192" s="177">
        <v>44629</v>
      </c>
      <c r="B192" s="184" t="s">
        <v>333</v>
      </c>
      <c r="C192" s="179">
        <v>780075.30759878037</v>
      </c>
      <c r="D192" s="179">
        <v>519924.69240121968</v>
      </c>
      <c r="E192" s="179">
        <f>+IF(FINANCIACION[[#This Row],[$ CAPITAL]]&gt;=0,FINANCIACION[[#This Row],[$ CAPITAL]]+FINANCIACION[[#This Row],[$ INTERESES]],"")</f>
        <v>1300000</v>
      </c>
      <c r="F192" s="179">
        <f>+SUMIFS(FINANCIACION[$ CAPITAL],FINANCIACION[Fecha],"&lt;="&amp;FINANCIACION[[#This Row],[Fecha]],FINANCIACION[PRESTAMO],FINANCIACION[[#This Row],[PRESTAMO]])</f>
        <v>-51212393.932523191</v>
      </c>
      <c r="G192" s="179"/>
      <c r="I192" s="185"/>
      <c r="J192" s="179">
        <f>+IF(FINANCIACION[[#This Row],[$ CAPITAL]]&gt;0,FINANCIACION[[#This Row],[$ CAPITAL]])</f>
        <v>780075.30759878037</v>
      </c>
      <c r="K192" s="186">
        <f>+IF(FINANCIACION[[#This Row],[$ CAPITAL]]&gt;=0,FINANCIACION[[#This Row],[$ CAPITAL]]+FINANCIACION[[#This Row],[$ INTERESES]],0)</f>
        <v>1300000</v>
      </c>
    </row>
    <row r="193" spans="1:11" ht="24" hidden="1" customHeight="1" x14ac:dyDescent="0.25">
      <c r="A193" s="177">
        <v>44665</v>
      </c>
      <c r="B193" s="184" t="s">
        <v>333</v>
      </c>
      <c r="C193" s="179">
        <v>787876.06067476806</v>
      </c>
      <c r="D193" s="179">
        <v>512123.93932523194</v>
      </c>
      <c r="E193" s="179">
        <f>+IF(FINANCIACION[[#This Row],[$ CAPITAL]]&gt;=0,FINANCIACION[[#This Row],[$ CAPITAL]]+FINANCIACION[[#This Row],[$ INTERESES]],"")</f>
        <v>1300000</v>
      </c>
      <c r="F193" s="179">
        <f>+SUMIFS(FINANCIACION[$ CAPITAL],FINANCIACION[Fecha],"&lt;="&amp;FINANCIACION[[#This Row],[Fecha]],FINANCIACION[PRESTAMO],FINANCIACION[[#This Row],[PRESTAMO]])</f>
        <v>-50424517.871848419</v>
      </c>
      <c r="G193" s="179"/>
      <c r="I193" s="185"/>
      <c r="J193" s="179">
        <f>+IF(FINANCIACION[[#This Row],[$ CAPITAL]]&gt;0,FINANCIACION[[#This Row],[$ CAPITAL]])</f>
        <v>787876.06067476806</v>
      </c>
      <c r="K193" s="186">
        <f>+IF(FINANCIACION[[#This Row],[$ CAPITAL]]&gt;=0,FINANCIACION[[#This Row],[$ CAPITAL]]+FINANCIACION[[#This Row],[$ INTERESES]],0)</f>
        <v>1300000</v>
      </c>
    </row>
    <row r="194" spans="1:11" ht="24" hidden="1" customHeight="1" x14ac:dyDescent="0.25">
      <c r="A194" s="177">
        <v>44691</v>
      </c>
      <c r="B194" s="184" t="s">
        <v>333</v>
      </c>
      <c r="C194" s="179">
        <v>795754.82128151576</v>
      </c>
      <c r="D194" s="179">
        <v>504245.17871848418</v>
      </c>
      <c r="E194" s="179">
        <f>+IF(FINANCIACION[[#This Row],[$ CAPITAL]]&gt;=0,FINANCIACION[[#This Row],[$ CAPITAL]]+FINANCIACION[[#This Row],[$ INTERESES]],"")</f>
        <v>1300000</v>
      </c>
      <c r="F194" s="179">
        <f>+SUMIFS(FINANCIACION[$ CAPITAL],FINANCIACION[Fecha],"&lt;="&amp;FINANCIACION[[#This Row],[Fecha]],FINANCIACION[PRESTAMO],FINANCIACION[[#This Row],[PRESTAMO]])</f>
        <v>-49628763.050566904</v>
      </c>
      <c r="G194" s="179"/>
      <c r="I194" s="185"/>
      <c r="J194" s="179">
        <f>+IF(FINANCIACION[[#This Row],[$ CAPITAL]]&gt;0,FINANCIACION[[#This Row],[$ CAPITAL]])</f>
        <v>795754.82128151576</v>
      </c>
      <c r="K194" s="186">
        <f>+IF(FINANCIACION[[#This Row],[$ CAPITAL]]&gt;=0,FINANCIACION[[#This Row],[$ CAPITAL]]+FINANCIACION[[#This Row],[$ INTERESES]],0)</f>
        <v>1300000</v>
      </c>
    </row>
    <row r="195" spans="1:11" ht="24" hidden="1" customHeight="1" x14ac:dyDescent="0.25">
      <c r="A195" s="177">
        <v>44722</v>
      </c>
      <c r="B195" s="184" t="s">
        <v>333</v>
      </c>
      <c r="C195" s="179">
        <v>803712.36949433095</v>
      </c>
      <c r="D195" s="179">
        <v>496287.63050566905</v>
      </c>
      <c r="E195" s="179">
        <f>+IF(FINANCIACION[[#This Row],[$ CAPITAL]]&gt;=0,FINANCIACION[[#This Row],[$ CAPITAL]]+FINANCIACION[[#This Row],[$ INTERESES]],"")</f>
        <v>1300000</v>
      </c>
      <c r="F195" s="179">
        <f>+SUMIFS(FINANCIACION[$ CAPITAL],FINANCIACION[Fecha],"&lt;="&amp;FINANCIACION[[#This Row],[Fecha]],FINANCIACION[PRESTAMO],FINANCIACION[[#This Row],[PRESTAMO]])</f>
        <v>-48825050.68107257</v>
      </c>
      <c r="G195" s="179"/>
      <c r="I195" s="185"/>
      <c r="J195" s="179">
        <f>+IF(FINANCIACION[[#This Row],[$ CAPITAL]]&gt;0,FINANCIACION[[#This Row],[$ CAPITAL]])</f>
        <v>803712.36949433095</v>
      </c>
      <c r="K195" s="186">
        <f>+IF(FINANCIACION[[#This Row],[$ CAPITAL]]&gt;=0,FINANCIACION[[#This Row],[$ CAPITAL]]+FINANCIACION[[#This Row],[$ INTERESES]],0)</f>
        <v>1300000</v>
      </c>
    </row>
    <row r="196" spans="1:11" ht="24" hidden="1" customHeight="1" x14ac:dyDescent="0.25">
      <c r="A196" s="177">
        <v>44753</v>
      </c>
      <c r="B196" s="184" t="s">
        <v>333</v>
      </c>
      <c r="C196" s="179">
        <f>1300000-FINANCIACION[[#This Row],[$ INTERESES]]</f>
        <v>811749.49318927398</v>
      </c>
      <c r="D196" s="179">
        <f>-48825050.6810726*-0.01</f>
        <v>488250.50681072602</v>
      </c>
      <c r="E196" s="179">
        <f>+IF(FINANCIACION[[#This Row],[$ CAPITAL]]&gt;=0,FINANCIACION[[#This Row],[$ CAPITAL]]+FINANCIACION[[#This Row],[$ INTERESES]],"")</f>
        <v>1300000</v>
      </c>
      <c r="F196" s="179">
        <f>+SUMIFS(FINANCIACION[$ CAPITAL],FINANCIACION[Fecha],"&lt;="&amp;FINANCIACION[[#This Row],[Fecha]],FINANCIACION[PRESTAMO],FINANCIACION[[#This Row],[PRESTAMO]])</f>
        <v>-48013301.187883295</v>
      </c>
      <c r="G196" s="179"/>
      <c r="I196" s="185"/>
      <c r="J196" s="179">
        <f>+IF(FINANCIACION[[#This Row],[$ CAPITAL]]&gt;0,FINANCIACION[[#This Row],[$ CAPITAL]])</f>
        <v>811749.49318927398</v>
      </c>
      <c r="K196" s="186">
        <f>+IF(FINANCIACION[[#This Row],[$ CAPITAL]]&gt;=0,FINANCIACION[[#This Row],[$ CAPITAL]]+FINANCIACION[[#This Row],[$ INTERESES]],0)</f>
        <v>1300000</v>
      </c>
    </row>
    <row r="197" spans="1:11" ht="24" hidden="1" customHeight="1" x14ac:dyDescent="0.25">
      <c r="A197" s="177">
        <v>44786</v>
      </c>
      <c r="B197" s="184" t="s">
        <v>333</v>
      </c>
      <c r="C197" s="179">
        <f>1300000-FINANCIACION[[#This Row],[$ INTERESES]]</f>
        <v>819866.98812116706</v>
      </c>
      <c r="D197" s="179">
        <v>480133.01187883294</v>
      </c>
      <c r="E197" s="179">
        <f>+IF(FINANCIACION[[#This Row],[$ CAPITAL]]&gt;=0,FINANCIACION[[#This Row],[$ CAPITAL]]+FINANCIACION[[#This Row],[$ INTERESES]],"")</f>
        <v>1300000</v>
      </c>
      <c r="F197" s="179">
        <f>+SUMIFS(FINANCIACION[$ CAPITAL],FINANCIACION[Fecha],"&lt;="&amp;FINANCIACION[[#This Row],[Fecha]],FINANCIACION[PRESTAMO],FINANCIACION[[#This Row],[PRESTAMO]])</f>
        <v>-47193434.199762128</v>
      </c>
      <c r="G197" s="179"/>
      <c r="I197" s="185"/>
      <c r="J197" s="179">
        <f>+IF(FINANCIACION[[#This Row],[$ CAPITAL]]&gt;0,FINANCIACION[[#This Row],[$ CAPITAL]])</f>
        <v>819866.98812116706</v>
      </c>
      <c r="K197" s="186">
        <f>+IF(FINANCIACION[[#This Row],[$ CAPITAL]]&gt;=0,FINANCIACION[[#This Row],[$ CAPITAL]]+FINANCIACION[[#This Row],[$ INTERESES]],0)</f>
        <v>1300000</v>
      </c>
    </row>
    <row r="198" spans="1:11" ht="24" hidden="1" customHeight="1" x14ac:dyDescent="0.25">
      <c r="A198" s="177">
        <v>44817</v>
      </c>
      <c r="B198" s="184" t="s">
        <v>333</v>
      </c>
      <c r="C198" s="179">
        <f>1300000-FINANCIACION[[#This Row],[$ INTERESES]]</f>
        <v>828066</v>
      </c>
      <c r="D198" s="179">
        <v>471934</v>
      </c>
      <c r="E198" s="179">
        <f>+IF(FINANCIACION[[#This Row],[$ CAPITAL]]&gt;=0,FINANCIACION[[#This Row],[$ CAPITAL]]+FINANCIACION[[#This Row],[$ INTERESES]],"")</f>
        <v>1300000</v>
      </c>
      <c r="F198" s="179">
        <f>+SUMIFS(FINANCIACION[$ CAPITAL],FINANCIACION[Fecha],"&lt;="&amp;FINANCIACION[[#This Row],[Fecha]],FINANCIACION[PRESTAMO],FINANCIACION[[#This Row],[PRESTAMO]])</f>
        <v>-46365368.199762128</v>
      </c>
      <c r="G198" s="179"/>
      <c r="I198" s="185"/>
      <c r="J198" s="179">
        <f>+IF(FINANCIACION[[#This Row],[$ CAPITAL]]&gt;0,FINANCIACION[[#This Row],[$ CAPITAL]])</f>
        <v>828066</v>
      </c>
      <c r="K198" s="186">
        <f>+IF(FINANCIACION[[#This Row],[$ CAPITAL]]&gt;=0,FINANCIACION[[#This Row],[$ CAPITAL]]+FINANCIACION[[#This Row],[$ INTERESES]],0)</f>
        <v>1300000</v>
      </c>
    </row>
    <row r="199" spans="1:11" ht="24" hidden="1" customHeight="1" x14ac:dyDescent="0.25">
      <c r="A199" s="177">
        <v>44846</v>
      </c>
      <c r="B199" s="184" t="s">
        <v>333</v>
      </c>
      <c r="C199" s="179">
        <v>836346</v>
      </c>
      <c r="D199" s="179">
        <v>463654</v>
      </c>
      <c r="E199" s="179">
        <f>+IF(FINANCIACION[[#This Row],[$ CAPITAL]]&gt;=0,FINANCIACION[[#This Row],[$ CAPITAL]]+FINANCIACION[[#This Row],[$ INTERESES]],"")</f>
        <v>1300000</v>
      </c>
      <c r="F199" s="179">
        <f>+SUMIFS(FINANCIACION[$ CAPITAL],FINANCIACION[Fecha],"&lt;="&amp;FINANCIACION[[#This Row],[Fecha]],FINANCIACION[PRESTAMO],FINANCIACION[[#This Row],[PRESTAMO]])</f>
        <v>-45529022.199762128</v>
      </c>
      <c r="G199" s="179"/>
      <c r="I199" s="185"/>
      <c r="J199" s="179">
        <f>+IF(FINANCIACION[[#This Row],[$ CAPITAL]]&gt;0,FINANCIACION[[#This Row],[$ CAPITAL]])</f>
        <v>836346</v>
      </c>
      <c r="K199" s="186">
        <f>+IF(FINANCIACION[[#This Row],[$ CAPITAL]]&gt;=0,FINANCIACION[[#This Row],[$ CAPITAL]]+FINANCIACION[[#This Row],[$ INTERESES]],0)</f>
        <v>1300000</v>
      </c>
    </row>
    <row r="200" spans="1:11" ht="24" hidden="1" customHeight="1" x14ac:dyDescent="0.25">
      <c r="A200" s="177">
        <v>44876</v>
      </c>
      <c r="B200" s="184" t="s">
        <v>333</v>
      </c>
      <c r="C200" s="179">
        <v>845000</v>
      </c>
      <c r="D200" s="179">
        <v>455000</v>
      </c>
      <c r="E200" s="179">
        <f>+IF(FINANCIACION[[#This Row],[$ CAPITAL]]&gt;=0,FINANCIACION[[#This Row],[$ CAPITAL]]+FINANCIACION[[#This Row],[$ INTERESES]],"")</f>
        <v>1300000</v>
      </c>
      <c r="F200" s="179">
        <f>+SUMIFS(FINANCIACION[$ CAPITAL],FINANCIACION[Fecha],"&lt;="&amp;FINANCIACION[[#This Row],[Fecha]],FINANCIACION[PRESTAMO],FINANCIACION[[#This Row],[PRESTAMO]])</f>
        <v>-44684022.199762128</v>
      </c>
      <c r="G200" s="179"/>
      <c r="I200" s="185"/>
      <c r="J200" s="179">
        <f>+IF(FINANCIACION[[#This Row],[$ CAPITAL]]&gt;0,FINANCIACION[[#This Row],[$ CAPITAL]])</f>
        <v>845000</v>
      </c>
      <c r="K200" s="186">
        <f>+IF(FINANCIACION[[#This Row],[$ CAPITAL]]&gt;=0,FINANCIACION[[#This Row],[$ CAPITAL]]+FINANCIACION[[#This Row],[$ INTERESES]],0)</f>
        <v>1300000</v>
      </c>
    </row>
    <row r="201" spans="1:11" ht="24" hidden="1" customHeight="1" x14ac:dyDescent="0.25">
      <c r="A201" s="177">
        <v>44909</v>
      </c>
      <c r="B201" s="184" t="s">
        <v>333</v>
      </c>
      <c r="C201" s="179">
        <v>853160</v>
      </c>
      <c r="D201" s="179">
        <v>446840</v>
      </c>
      <c r="E201" s="179">
        <f>+IF(FINANCIACION[[#This Row],[$ CAPITAL]]&gt;=0,FINANCIACION[[#This Row],[$ CAPITAL]]+FINANCIACION[[#This Row],[$ INTERESES]],"")</f>
        <v>1300000</v>
      </c>
      <c r="F201" s="179">
        <f>+SUMIFS(FINANCIACION[$ CAPITAL],FINANCIACION[Fecha],"&lt;="&amp;FINANCIACION[[#This Row],[Fecha]],FINANCIACION[PRESTAMO],FINANCIACION[[#This Row],[PRESTAMO]])</f>
        <v>-43830862.199762128</v>
      </c>
      <c r="G201" s="179"/>
      <c r="I201" s="185"/>
      <c r="J201" s="179">
        <f>+IF(FINANCIACION[[#This Row],[$ CAPITAL]]&gt;0,FINANCIACION[[#This Row],[$ CAPITAL]])</f>
        <v>853160</v>
      </c>
      <c r="K201" s="186">
        <f>+IF(FINANCIACION[[#This Row],[$ CAPITAL]]&gt;=0,FINANCIACION[[#This Row],[$ CAPITAL]]+FINANCIACION[[#This Row],[$ INTERESES]],0)</f>
        <v>1300000</v>
      </c>
    </row>
    <row r="202" spans="1:11" ht="24" hidden="1" customHeight="1" x14ac:dyDescent="0.25">
      <c r="A202" s="177">
        <v>44938</v>
      </c>
      <c r="B202" s="184" t="s">
        <v>333</v>
      </c>
      <c r="C202" s="179">
        <v>861691</v>
      </c>
      <c r="D202" s="179">
        <v>438309</v>
      </c>
      <c r="E202" s="179">
        <f>+IF(FINANCIACION[[#This Row],[$ CAPITAL]]&gt;=0,FINANCIACION[[#This Row],[$ CAPITAL]]+FINANCIACION[[#This Row],[$ INTERESES]],"")</f>
        <v>1300000</v>
      </c>
      <c r="F202" s="179">
        <f>+SUMIFS(FINANCIACION[$ CAPITAL],FINANCIACION[Fecha],"&lt;="&amp;FINANCIACION[[#This Row],[Fecha]],FINANCIACION[PRESTAMO],FINANCIACION[[#This Row],[PRESTAMO]])</f>
        <v>-42969171.199762128</v>
      </c>
      <c r="G202" s="179"/>
      <c r="I202" s="185"/>
      <c r="J202" s="179">
        <f>+IF(FINANCIACION[[#This Row],[$ CAPITAL]]&gt;0,FINANCIACION[[#This Row],[$ CAPITAL]])</f>
        <v>861691</v>
      </c>
      <c r="K202" s="186">
        <f>+IF(FINANCIACION[[#This Row],[$ CAPITAL]]&gt;=0,FINANCIACION[[#This Row],[$ CAPITAL]]+FINANCIACION[[#This Row],[$ INTERESES]],0)</f>
        <v>1300000</v>
      </c>
    </row>
    <row r="203" spans="1:11" ht="24" hidden="1" customHeight="1" x14ac:dyDescent="0.25">
      <c r="A203" s="177">
        <v>44951</v>
      </c>
      <c r="B203" s="184" t="s">
        <v>333</v>
      </c>
      <c r="C203" s="179">
        <v>20000000</v>
      </c>
      <c r="D203" s="179"/>
      <c r="E203" s="179">
        <f>+IF(FINANCIACION[[#This Row],[$ CAPITAL]]&gt;=0,FINANCIACION[[#This Row],[$ CAPITAL]]+FINANCIACION[[#This Row],[$ INTERESES]],"")</f>
        <v>20000000</v>
      </c>
      <c r="F203" s="179">
        <f>+SUMIFS(FINANCIACION[$ CAPITAL],FINANCIACION[Fecha],"&lt;="&amp;FINANCIACION[[#This Row],[Fecha]],FINANCIACION[PRESTAMO],FINANCIACION[[#This Row],[PRESTAMO]])</f>
        <v>-22969171.199762128</v>
      </c>
      <c r="G203" s="179"/>
      <c r="I203" s="185"/>
      <c r="J203" s="179">
        <f>+IF(FINANCIACION[[#This Row],[$ CAPITAL]]&gt;0,FINANCIACION[[#This Row],[$ CAPITAL]])</f>
        <v>20000000</v>
      </c>
      <c r="K203" s="186">
        <f>+IF(FINANCIACION[[#This Row],[$ CAPITAL]]&gt;=0,FINANCIACION[[#This Row],[$ CAPITAL]]+FINANCIACION[[#This Row],[$ INTERESES]],0)</f>
        <v>20000000</v>
      </c>
    </row>
    <row r="204" spans="1:11" ht="24" hidden="1" customHeight="1" x14ac:dyDescent="0.25">
      <c r="A204" s="177">
        <v>44970</v>
      </c>
      <c r="B204" s="184" t="s">
        <v>333</v>
      </c>
      <c r="C204" s="179">
        <v>1070308.2880023788</v>
      </c>
      <c r="D204" s="179">
        <v>229691.71199762129</v>
      </c>
      <c r="E204" s="179">
        <f>+IF(FINANCIACION[[#This Row],[$ CAPITAL]]&gt;=0,FINANCIACION[[#This Row],[$ CAPITAL]]+FINANCIACION[[#This Row],[$ INTERESES]],"")</f>
        <v>1300000</v>
      </c>
      <c r="F204" s="179">
        <f>+SUMIFS(FINANCIACION[$ CAPITAL],FINANCIACION[Fecha],"&lt;="&amp;FINANCIACION[[#This Row],[Fecha]],FINANCIACION[PRESTAMO],FINANCIACION[[#This Row],[PRESTAMO]])</f>
        <v>-21898862.911759749</v>
      </c>
      <c r="G204" s="179"/>
      <c r="I204" s="185"/>
      <c r="J204" s="179">
        <f>+IF(FINANCIACION[[#This Row],[$ CAPITAL]]&gt;0,FINANCIACION[[#This Row],[$ CAPITAL]])</f>
        <v>1070308.2880023788</v>
      </c>
      <c r="K204" s="186">
        <f>+IF(FINANCIACION[[#This Row],[$ CAPITAL]]&gt;=0,FINANCIACION[[#This Row],[$ CAPITAL]]+FINANCIACION[[#This Row],[$ INTERESES]],0)</f>
        <v>1300000</v>
      </c>
    </row>
    <row r="205" spans="1:11" ht="24" hidden="1" customHeight="1" x14ac:dyDescent="0.25">
      <c r="A205" s="177">
        <v>45000</v>
      </c>
      <c r="B205" s="184" t="s">
        <v>333</v>
      </c>
      <c r="C205" s="179">
        <v>1081011</v>
      </c>
      <c r="D205" s="179">
        <v>218989</v>
      </c>
      <c r="E205" s="179">
        <f>+IF(FINANCIACION[[#This Row],[$ CAPITAL]]&gt;=0,FINANCIACION[[#This Row],[$ CAPITAL]]+FINANCIACION[[#This Row],[$ INTERESES]],"")</f>
        <v>1300000</v>
      </c>
      <c r="F205" s="179">
        <f>+SUMIFS(FINANCIACION[$ CAPITAL],FINANCIACION[Fecha],"&lt;="&amp;FINANCIACION[[#This Row],[Fecha]],FINANCIACION[PRESTAMO],FINANCIACION[[#This Row],[PRESTAMO]])</f>
        <v>-21148999.911759749</v>
      </c>
      <c r="G205" s="179"/>
      <c r="I205" s="185"/>
      <c r="J205" s="179">
        <f>+IF(FINANCIACION[[#This Row],[$ CAPITAL]]&gt;0,FINANCIACION[[#This Row],[$ CAPITAL]])</f>
        <v>1081011</v>
      </c>
      <c r="K205" s="186">
        <f>+IF(FINANCIACION[[#This Row],[$ CAPITAL]]&gt;=0,FINANCIACION[[#This Row],[$ CAPITAL]]+FINANCIACION[[#This Row],[$ INTERESES]],0)</f>
        <v>1300000</v>
      </c>
    </row>
    <row r="206" spans="1:11" ht="24" hidden="1" customHeight="1" x14ac:dyDescent="0.25">
      <c r="A206" s="177">
        <v>45000</v>
      </c>
      <c r="B206" s="184" t="s">
        <v>333</v>
      </c>
      <c r="C206" s="179">
        <v>-331148</v>
      </c>
      <c r="D206" s="179"/>
      <c r="E206" s="179" t="str">
        <f>+IF(FINANCIACION[[#This Row],[$ CAPITAL]]&gt;=0,FINANCIACION[[#This Row],[$ CAPITAL]]+FINANCIACION[[#This Row],[$ INTERESES]],"")</f>
        <v/>
      </c>
      <c r="F206" s="179">
        <f>+SUMIFS(FINANCIACION[$ CAPITAL],FINANCIACION[Fecha],"&lt;="&amp;FINANCIACION[[#This Row],[Fecha]],FINANCIACION[PRESTAMO],FINANCIACION[[#This Row],[PRESTAMO]])</f>
        <v>-21148999.911759749</v>
      </c>
      <c r="G206" s="179"/>
      <c r="H206" s="185" t="s">
        <v>669</v>
      </c>
      <c r="I206" s="185"/>
      <c r="J206" s="179" t="b">
        <f>+IF(FINANCIACION[[#This Row],[$ CAPITAL]]&gt;0,FINANCIACION[[#This Row],[$ CAPITAL]])</f>
        <v>0</v>
      </c>
      <c r="K206" s="186">
        <f>+IF(FINANCIACION[[#This Row],[$ CAPITAL]]&gt;=0,FINANCIACION[[#This Row],[$ CAPITAL]]+FINANCIACION[[#This Row],[$ INTERESES]],0)</f>
        <v>0</v>
      </c>
    </row>
    <row r="207" spans="1:11" ht="24" hidden="1" customHeight="1" x14ac:dyDescent="0.25">
      <c r="A207" s="177">
        <v>45026</v>
      </c>
      <c r="B207" s="184" t="s">
        <v>333</v>
      </c>
      <c r="C207" s="179">
        <v>1088510</v>
      </c>
      <c r="D207" s="179">
        <v>211490</v>
      </c>
      <c r="E207" s="179">
        <f>+IF(FINANCIACION[[#This Row],[$ CAPITAL]]&gt;=0,FINANCIACION[[#This Row],[$ CAPITAL]]+FINANCIACION[[#This Row],[$ INTERESES]],"")</f>
        <v>1300000</v>
      </c>
      <c r="F207" s="179">
        <f>+SUMIFS(FINANCIACION[$ CAPITAL],FINANCIACION[Fecha],"&lt;="&amp;FINANCIACION[[#This Row],[Fecha]],FINANCIACION[PRESTAMO],FINANCIACION[[#This Row],[PRESTAMO]])</f>
        <v>-20060489.911759749</v>
      </c>
      <c r="G207" s="179"/>
      <c r="I207" s="185"/>
      <c r="J207" s="179">
        <f>+IF(FINANCIACION[[#This Row],[$ CAPITAL]]&gt;0,FINANCIACION[[#This Row],[$ CAPITAL]])</f>
        <v>1088510</v>
      </c>
      <c r="K207" s="186">
        <f>+IF(FINANCIACION[[#This Row],[$ CAPITAL]]&gt;=0,FINANCIACION[[#This Row],[$ CAPITAL]]+FINANCIACION[[#This Row],[$ INTERESES]],0)</f>
        <v>1300000</v>
      </c>
    </row>
    <row r="208" spans="1:11" ht="24" hidden="1" customHeight="1" x14ac:dyDescent="0.25">
      <c r="A208" s="177">
        <v>45054</v>
      </c>
      <c r="B208" s="184" t="s">
        <v>333</v>
      </c>
      <c r="C208" s="179">
        <v>1099395</v>
      </c>
      <c r="D208" s="179">
        <v>200605</v>
      </c>
      <c r="E208" s="179">
        <f>+IF(FINANCIACION[[#This Row],[$ CAPITAL]]&gt;=0,FINANCIACION[[#This Row],[$ CAPITAL]]+FINANCIACION[[#This Row],[$ INTERESES]],"")</f>
        <v>1300000</v>
      </c>
      <c r="F208" s="179">
        <f>+SUMIFS(FINANCIACION[$ CAPITAL],FINANCIACION[Fecha],"&lt;="&amp;FINANCIACION[[#This Row],[Fecha]],FINANCIACION[PRESTAMO],FINANCIACION[[#This Row],[PRESTAMO]])</f>
        <v>-18961094.911759749</v>
      </c>
      <c r="G208" s="179"/>
      <c r="I208" s="185"/>
      <c r="J208" s="179">
        <f>+IF(FINANCIACION[[#This Row],[$ CAPITAL]]&gt;0,FINANCIACION[[#This Row],[$ CAPITAL]])</f>
        <v>1099395</v>
      </c>
      <c r="K208" s="186">
        <f>+IF(FINANCIACION[[#This Row],[$ CAPITAL]]&gt;=0,FINANCIACION[[#This Row],[$ CAPITAL]]+FINANCIACION[[#This Row],[$ INTERESES]],0)</f>
        <v>1300000</v>
      </c>
    </row>
    <row r="209" spans="1:11" ht="24" hidden="1" customHeight="1" x14ac:dyDescent="0.25">
      <c r="A209" s="177">
        <v>45090</v>
      </c>
      <c r="B209" s="184" t="s">
        <v>333</v>
      </c>
      <c r="C209" s="179">
        <v>1110389</v>
      </c>
      <c r="D209" s="179">
        <v>189611</v>
      </c>
      <c r="E209" s="179">
        <f>+IF(FINANCIACION[[#This Row],[$ CAPITAL]]&gt;=0,FINANCIACION[[#This Row],[$ CAPITAL]]+FINANCIACION[[#This Row],[$ INTERESES]],"")</f>
        <v>1300000</v>
      </c>
      <c r="F209" s="179">
        <f>+SUMIFS(FINANCIACION[$ CAPITAL],FINANCIACION[Fecha],"&lt;="&amp;FINANCIACION[[#This Row],[Fecha]],FINANCIACION[PRESTAMO],FINANCIACION[[#This Row],[PRESTAMO]])</f>
        <v>-17850705.911759749</v>
      </c>
      <c r="G209" s="179"/>
      <c r="I209" s="185"/>
      <c r="J209" s="179">
        <f>+IF(FINANCIACION[[#This Row],[$ CAPITAL]]&gt;0,FINANCIACION[[#This Row],[$ CAPITAL]])</f>
        <v>1110389</v>
      </c>
      <c r="K209" s="186">
        <f>+IF(FINANCIACION[[#This Row],[$ CAPITAL]]&gt;=0,FINANCIACION[[#This Row],[$ CAPITAL]]+FINANCIACION[[#This Row],[$ INTERESES]],0)</f>
        <v>1300000</v>
      </c>
    </row>
    <row r="210" spans="1:11" ht="24" hidden="1" customHeight="1" x14ac:dyDescent="0.25">
      <c r="A210" s="177">
        <v>45118</v>
      </c>
      <c r="B210" s="184" t="s">
        <v>333</v>
      </c>
      <c r="C210" s="179">
        <v>1121492</v>
      </c>
      <c r="D210" s="179">
        <v>178508</v>
      </c>
      <c r="E210" s="179">
        <f>+IF(FINANCIACION[[#This Row],[$ CAPITAL]]&gt;=0,FINANCIACION[[#This Row],[$ CAPITAL]]+FINANCIACION[[#This Row],[$ INTERESES]],"")</f>
        <v>1300000</v>
      </c>
      <c r="F210" s="179">
        <f>+SUMIFS(FINANCIACION[$ CAPITAL],FINANCIACION[Fecha],"&lt;="&amp;FINANCIACION[[#This Row],[Fecha]],FINANCIACION[PRESTAMO],FINANCIACION[[#This Row],[PRESTAMO]])</f>
        <v>-16729213.911759749</v>
      </c>
      <c r="G210" s="179"/>
      <c r="I210" s="185"/>
      <c r="J210" s="179">
        <f>+IF(FINANCIACION[[#This Row],[$ CAPITAL]]&gt;0,FINANCIACION[[#This Row],[$ CAPITAL]])</f>
        <v>1121492</v>
      </c>
      <c r="K210" s="186">
        <f>+IF(FINANCIACION[[#This Row],[$ CAPITAL]]&gt;=0,FINANCIACION[[#This Row],[$ CAPITAL]]+FINANCIACION[[#This Row],[$ INTERESES]],0)</f>
        <v>1300000</v>
      </c>
    </row>
    <row r="211" spans="1:11" ht="24" hidden="1" customHeight="1" x14ac:dyDescent="0.25">
      <c r="A211" s="177">
        <v>45149</v>
      </c>
      <c r="B211" s="184" t="s">
        <v>333</v>
      </c>
      <c r="C211" s="179">
        <v>1132107.8600000001</v>
      </c>
      <c r="D211" s="179">
        <v>167892.14</v>
      </c>
      <c r="E211" s="179">
        <f>+IF(FINANCIACION[[#This Row],[$ CAPITAL]]&gt;=0,FINANCIACION[[#This Row],[$ CAPITAL]]+FINANCIACION[[#This Row],[$ INTERESES]],"")</f>
        <v>1300000</v>
      </c>
      <c r="F211" s="179">
        <f>+SUMIFS(FINANCIACION[$ CAPITAL],FINANCIACION[Fecha],"&lt;="&amp;FINANCIACION[[#This Row],[Fecha]],FINANCIACION[PRESTAMO],FINANCIACION[[#This Row],[PRESTAMO]])</f>
        <v>-15597106.05175975</v>
      </c>
      <c r="G211" s="179"/>
      <c r="I211" s="185"/>
      <c r="J211" s="179">
        <f>+IF(FINANCIACION[[#This Row],[$ CAPITAL]]&gt;0,FINANCIACION[[#This Row],[$ CAPITAL]])</f>
        <v>1132107.8600000001</v>
      </c>
      <c r="K211" s="186">
        <f>+IF(FINANCIACION[[#This Row],[$ CAPITAL]]&gt;=0,FINANCIACION[[#This Row],[$ CAPITAL]]+FINANCIACION[[#This Row],[$ INTERESES]],0)</f>
        <v>1300000</v>
      </c>
    </row>
    <row r="212" spans="1:11" ht="24" hidden="1" customHeight="1" x14ac:dyDescent="0.25">
      <c r="A212" s="177">
        <v>45182</v>
      </c>
      <c r="B212" s="184" t="s">
        <v>333</v>
      </c>
      <c r="C212" s="179">
        <v>1144029</v>
      </c>
      <c r="D212" s="179">
        <v>155971</v>
      </c>
      <c r="E212" s="179">
        <f>+IF(FINANCIACION[[#This Row],[$ CAPITAL]]&gt;=0,FINANCIACION[[#This Row],[$ CAPITAL]]+FINANCIACION[[#This Row],[$ INTERESES]],"")</f>
        <v>1300000</v>
      </c>
      <c r="F212" s="179">
        <f>+SUMIFS(FINANCIACION[$ CAPITAL],FINANCIACION[Fecha],"&lt;="&amp;FINANCIACION[[#This Row],[Fecha]],FINANCIACION[PRESTAMO],FINANCIACION[[#This Row],[PRESTAMO]])</f>
        <v>-14453077.05175975</v>
      </c>
      <c r="G212" s="179"/>
      <c r="I212" s="185"/>
      <c r="J212" s="179">
        <f>+IF(FINANCIACION[[#This Row],[$ CAPITAL]]&gt;0,FINANCIACION[[#This Row],[$ CAPITAL]])</f>
        <v>1144029</v>
      </c>
      <c r="K212" s="186">
        <f>+IF(FINANCIACION[[#This Row],[$ CAPITAL]]&gt;=0,FINANCIACION[[#This Row],[$ CAPITAL]]+FINANCIACION[[#This Row],[$ INTERESES]],0)</f>
        <v>1300000</v>
      </c>
    </row>
    <row r="213" spans="1:11" ht="24" hidden="1" customHeight="1" x14ac:dyDescent="0.25">
      <c r="A213" s="177">
        <v>45210</v>
      </c>
      <c r="B213" s="184" t="s">
        <v>333</v>
      </c>
      <c r="C213" s="179">
        <v>1155469</v>
      </c>
      <c r="D213" s="179">
        <v>144531</v>
      </c>
      <c r="E213" s="179">
        <f>+IF(FINANCIACION[[#This Row],[$ CAPITAL]]&gt;=0,FINANCIACION[[#This Row],[$ CAPITAL]]+FINANCIACION[[#This Row],[$ INTERESES]],"")</f>
        <v>1300000</v>
      </c>
      <c r="F213" s="179">
        <f>+SUMIFS(FINANCIACION[$ CAPITAL],FINANCIACION[Fecha],"&lt;="&amp;FINANCIACION[[#This Row],[Fecha]],FINANCIACION[PRESTAMO],FINANCIACION[[#This Row],[PRESTAMO]])</f>
        <v>-13297608.05175975</v>
      </c>
      <c r="G213" s="179"/>
      <c r="I213" s="185"/>
      <c r="J213" s="179">
        <f>+IF(FINANCIACION[[#This Row],[$ CAPITAL]]&gt;0,FINANCIACION[[#This Row],[$ CAPITAL]])</f>
        <v>1155469</v>
      </c>
      <c r="K213" s="186">
        <f>+IF(FINANCIACION[[#This Row],[$ CAPITAL]]&gt;=0,FINANCIACION[[#This Row],[$ CAPITAL]]+FINANCIACION[[#This Row],[$ INTERESES]],0)</f>
        <v>1300000</v>
      </c>
    </row>
    <row r="214" spans="1:11" ht="24" hidden="1" customHeight="1" x14ac:dyDescent="0.25">
      <c r="A214" s="177">
        <v>45244</v>
      </c>
      <c r="B214" s="184" t="s">
        <v>333</v>
      </c>
      <c r="C214" s="179">
        <v>1167024</v>
      </c>
      <c r="D214" s="179">
        <v>132976</v>
      </c>
      <c r="E214" s="179">
        <f>+IF(FINANCIACION[[#This Row],[$ CAPITAL]]&gt;=0,FINANCIACION[[#This Row],[$ CAPITAL]]+FINANCIACION[[#This Row],[$ INTERESES]],"")</f>
        <v>1300000</v>
      </c>
      <c r="F214" s="179">
        <f>+SUMIFS(FINANCIACION[$ CAPITAL],FINANCIACION[Fecha],"&lt;="&amp;FINANCIACION[[#This Row],[Fecha]],FINANCIACION[PRESTAMO],FINANCIACION[[#This Row],[PRESTAMO]])</f>
        <v>-12130584.05175975</v>
      </c>
      <c r="G214" s="179"/>
      <c r="I214" s="185"/>
      <c r="J214" s="179">
        <f>+IF(FINANCIACION[[#This Row],[$ CAPITAL]]&gt;0,FINANCIACION[[#This Row],[$ CAPITAL]])</f>
        <v>1167024</v>
      </c>
      <c r="K214" s="186">
        <f>+IF(FINANCIACION[[#This Row],[$ CAPITAL]]&gt;=0,FINANCIACION[[#This Row],[$ CAPITAL]]+FINANCIACION[[#This Row],[$ INTERESES]],0)</f>
        <v>1300000</v>
      </c>
    </row>
    <row r="215" spans="1:11" ht="24" hidden="1" customHeight="1" x14ac:dyDescent="0.25">
      <c r="A215" s="177">
        <v>45271</v>
      </c>
      <c r="B215" s="184" t="s">
        <v>333</v>
      </c>
      <c r="C215" s="179">
        <v>1178694</v>
      </c>
      <c r="D215" s="179">
        <v>121306</v>
      </c>
      <c r="E215" s="179">
        <f>+IF(FINANCIACION[[#This Row],[$ CAPITAL]]&gt;=0,FINANCIACION[[#This Row],[$ CAPITAL]]+FINANCIACION[[#This Row],[$ INTERESES]],"")</f>
        <v>1300000</v>
      </c>
      <c r="F215" s="179">
        <f>+SUMIFS(FINANCIACION[$ CAPITAL],FINANCIACION[Fecha],"&lt;="&amp;FINANCIACION[[#This Row],[Fecha]],FINANCIACION[PRESTAMO],FINANCIACION[[#This Row],[PRESTAMO]])</f>
        <v>-10951890.05175975</v>
      </c>
      <c r="G215" s="179"/>
      <c r="I215" s="185"/>
      <c r="J215" s="179">
        <f>+IF(FINANCIACION[[#This Row],[$ CAPITAL]]&gt;0,FINANCIACION[[#This Row],[$ CAPITAL]])</f>
        <v>1178694</v>
      </c>
      <c r="K215" s="186">
        <f>+IF(FINANCIACION[[#This Row],[$ CAPITAL]]&gt;=0,FINANCIACION[[#This Row],[$ CAPITAL]]+FINANCIACION[[#This Row],[$ INTERESES]],0)</f>
        <v>1300000</v>
      </c>
    </row>
    <row r="216" spans="1:11" ht="24" hidden="1" customHeight="1" x14ac:dyDescent="0.25">
      <c r="A216" s="177">
        <v>45302</v>
      </c>
      <c r="B216" s="184" t="s">
        <v>333</v>
      </c>
      <c r="C216" s="179">
        <v>1190481.0994824022</v>
      </c>
      <c r="D216" s="179">
        <v>109518.90051759779</v>
      </c>
      <c r="E216" s="179">
        <f>+IF(FINANCIACION[[#This Row],[$ CAPITAL]]&gt;=0,FINANCIACION[[#This Row],[$ CAPITAL]]+FINANCIACION[[#This Row],[$ INTERESES]],"")</f>
        <v>1300000</v>
      </c>
      <c r="F216" s="179">
        <f>+SUMIFS(FINANCIACION[$ CAPITAL],FINANCIACION[Fecha],"&lt;="&amp;FINANCIACION[[#This Row],[Fecha]],FINANCIACION[PRESTAMO],FINANCIACION[[#This Row],[PRESTAMO]])</f>
        <v>-9761408.9522773474</v>
      </c>
      <c r="G216" s="179"/>
      <c r="I216" s="185"/>
      <c r="J216" s="179">
        <f>+IF(FINANCIACION[[#This Row],[$ CAPITAL]]&gt;0,FINANCIACION[[#This Row],[$ CAPITAL]])</f>
        <v>1190481.0994824022</v>
      </c>
      <c r="K216" s="186">
        <f>+IF(FINANCIACION[[#This Row],[$ CAPITAL]]&gt;=0,FINANCIACION[[#This Row],[$ CAPITAL]]+FINANCIACION[[#This Row],[$ INTERESES]],0)</f>
        <v>1300000</v>
      </c>
    </row>
    <row r="217" spans="1:11" ht="24" hidden="1" customHeight="1" x14ac:dyDescent="0.25">
      <c r="A217" s="177">
        <v>43084</v>
      </c>
      <c r="B217" s="184" t="s">
        <v>331</v>
      </c>
      <c r="C217" s="179">
        <v>-61629154</v>
      </c>
      <c r="D217" s="179"/>
      <c r="E217" s="179" t="str">
        <f>+IF(FINANCIACION[[#This Row],[$ CAPITAL]]&gt;=0,FINANCIACION[[#This Row],[$ CAPITAL]]+FINANCIACION[[#This Row],[$ INTERESES]],"")</f>
        <v/>
      </c>
      <c r="F217" s="179">
        <f>+SUMIFS(FINANCIACION[$ CAPITAL],FINANCIACION[Fecha],"&lt;="&amp;FINANCIACION[[#This Row],[Fecha]],FINANCIACION[PRESTAMO],FINANCIACION[[#This Row],[PRESTAMO]])</f>
        <v>-61629154</v>
      </c>
      <c r="G217" s="179"/>
      <c r="I217" s="185"/>
      <c r="J217" s="179" t="b">
        <f>IF(FINANCIACION[[#This Row],[$ CAPITAL]]&gt;0,FINANCIACION[[#This Row],[$ CAPITAL]])</f>
        <v>0</v>
      </c>
      <c r="K217" s="186">
        <f>IF(FINANCIACION[[#This Row],[$ CAPITAL]]&gt;=0,FINANCIACION[[#This Row],[$ CAPITAL]]+FINANCIACION[[#This Row],[$ INTERESES]],0)</f>
        <v>0</v>
      </c>
    </row>
    <row r="218" spans="1:11" ht="24" hidden="1" customHeight="1" x14ac:dyDescent="0.25">
      <c r="A218" s="177">
        <v>43485</v>
      </c>
      <c r="B218" s="184" t="s">
        <v>331</v>
      </c>
      <c r="C218" s="179">
        <v>260000</v>
      </c>
      <c r="D218" s="179">
        <v>740000</v>
      </c>
      <c r="E218" s="179">
        <f>+IF(FINANCIACION[[#This Row],[$ CAPITAL]]&gt;=0,FINANCIACION[[#This Row],[$ CAPITAL]]+FINANCIACION[[#This Row],[$ INTERESES]],"")</f>
        <v>1000000</v>
      </c>
      <c r="F218" s="179">
        <f>+SUMIFS(FINANCIACION[$ CAPITAL],FINANCIACION[Fecha],"&lt;="&amp;FINANCIACION[[#This Row],[Fecha]],FINANCIACION[PRESTAMO],FINANCIACION[[#This Row],[PRESTAMO]])</f>
        <v>-61369154</v>
      </c>
      <c r="G218" s="179"/>
      <c r="I218" s="185"/>
      <c r="J218" s="179">
        <f>IF(FINANCIACION[[#This Row],[$ CAPITAL]]&gt;0,FINANCIACION[[#This Row],[$ CAPITAL]])</f>
        <v>260000</v>
      </c>
      <c r="K218" s="186">
        <f>IF(FINANCIACION[[#This Row],[$ CAPITAL]]&gt;=0,FINANCIACION[[#This Row],[$ CAPITAL]]+FINANCIACION[[#This Row],[$ INTERESES]],0)</f>
        <v>1000000</v>
      </c>
    </row>
    <row r="219" spans="1:11" ht="24" hidden="1" customHeight="1" x14ac:dyDescent="0.25">
      <c r="A219" s="177">
        <v>43516</v>
      </c>
      <c r="B219" s="184" t="s">
        <v>331</v>
      </c>
      <c r="C219" s="179">
        <v>260000</v>
      </c>
      <c r="D219" s="179">
        <v>740000</v>
      </c>
      <c r="E219" s="179">
        <f>+IF(FINANCIACION[[#This Row],[$ CAPITAL]]&gt;=0,FINANCIACION[[#This Row],[$ CAPITAL]]+FINANCIACION[[#This Row],[$ INTERESES]],"")</f>
        <v>1000000</v>
      </c>
      <c r="F219" s="179">
        <f>+SUMIFS(FINANCIACION[$ CAPITAL],FINANCIACION[Fecha],"&lt;="&amp;FINANCIACION[[#This Row],[Fecha]],FINANCIACION[PRESTAMO],FINANCIACION[[#This Row],[PRESTAMO]])</f>
        <v>-61109154</v>
      </c>
      <c r="G219" s="179"/>
      <c r="H219" s="183"/>
      <c r="I219" s="185"/>
      <c r="J219" s="179">
        <f>IF(FINANCIACION[[#This Row],[$ CAPITAL]]&gt;0,FINANCIACION[[#This Row],[$ CAPITAL]])</f>
        <v>260000</v>
      </c>
      <c r="K219" s="186">
        <f>IF(FINANCIACION[[#This Row],[$ CAPITAL]]&gt;=0,FINANCIACION[[#This Row],[$ CAPITAL]]+FINANCIACION[[#This Row],[$ INTERESES]],0)</f>
        <v>1000000</v>
      </c>
    </row>
    <row r="220" spans="1:11" ht="24" hidden="1" customHeight="1" x14ac:dyDescent="0.25">
      <c r="A220" s="177">
        <v>43544</v>
      </c>
      <c r="B220" s="184" t="s">
        <v>331</v>
      </c>
      <c r="C220" s="179">
        <v>260000</v>
      </c>
      <c r="D220" s="179">
        <v>740000</v>
      </c>
      <c r="E220" s="179">
        <f>+IF(FINANCIACION[[#This Row],[$ CAPITAL]]&gt;=0,FINANCIACION[[#This Row],[$ CAPITAL]]+FINANCIACION[[#This Row],[$ INTERESES]],"")</f>
        <v>1000000</v>
      </c>
      <c r="F220" s="179">
        <f>+SUMIFS(FINANCIACION[$ CAPITAL],FINANCIACION[Fecha],"&lt;="&amp;FINANCIACION[[#This Row],[Fecha]],FINANCIACION[PRESTAMO],FINANCIACION[[#This Row],[PRESTAMO]])</f>
        <v>-60849154</v>
      </c>
      <c r="G220" s="179"/>
      <c r="H220" s="183"/>
      <c r="I220" s="185"/>
      <c r="J220" s="179">
        <f>IF(FINANCIACION[[#This Row],[$ CAPITAL]]&gt;0,FINANCIACION[[#This Row],[$ CAPITAL]])</f>
        <v>260000</v>
      </c>
      <c r="K220" s="186">
        <f>IF(FINANCIACION[[#This Row],[$ CAPITAL]]&gt;=0,FINANCIACION[[#This Row],[$ CAPITAL]]+FINANCIACION[[#This Row],[$ INTERESES]],0)</f>
        <v>1000000</v>
      </c>
    </row>
    <row r="221" spans="1:11" ht="24" hidden="1" customHeight="1" x14ac:dyDescent="0.25">
      <c r="A221" s="177">
        <v>43575</v>
      </c>
      <c r="B221" s="184" t="s">
        <v>331</v>
      </c>
      <c r="C221" s="179">
        <v>260000</v>
      </c>
      <c r="D221" s="179">
        <v>740000</v>
      </c>
      <c r="E221" s="179">
        <f>+IF(FINANCIACION[[#This Row],[$ CAPITAL]]&gt;=0,FINANCIACION[[#This Row],[$ CAPITAL]]+FINANCIACION[[#This Row],[$ INTERESES]],"")</f>
        <v>1000000</v>
      </c>
      <c r="F221" s="179">
        <f>+SUMIFS(FINANCIACION[$ CAPITAL],FINANCIACION[Fecha],"&lt;="&amp;FINANCIACION[[#This Row],[Fecha]],FINANCIACION[PRESTAMO],FINANCIACION[[#This Row],[PRESTAMO]])</f>
        <v>-60589154</v>
      </c>
      <c r="G221" s="179"/>
      <c r="H221" s="183"/>
      <c r="I221" s="185"/>
      <c r="J221" s="179">
        <f>IF(FINANCIACION[[#This Row],[$ CAPITAL]]&gt;0,FINANCIACION[[#This Row],[$ CAPITAL]])</f>
        <v>260000</v>
      </c>
      <c r="K221" s="186">
        <f>IF(FINANCIACION[[#This Row],[$ CAPITAL]]&gt;=0,FINANCIACION[[#This Row],[$ CAPITAL]]+FINANCIACION[[#This Row],[$ INTERESES]],0)</f>
        <v>1000000</v>
      </c>
    </row>
    <row r="222" spans="1:11" ht="24" hidden="1" customHeight="1" x14ac:dyDescent="0.25">
      <c r="A222" s="177">
        <v>43605</v>
      </c>
      <c r="B222" s="184" t="s">
        <v>331</v>
      </c>
      <c r="C222" s="179">
        <v>260000</v>
      </c>
      <c r="D222" s="179">
        <v>740000</v>
      </c>
      <c r="E222" s="179">
        <f>+IF(FINANCIACION[[#This Row],[$ CAPITAL]]&gt;=0,FINANCIACION[[#This Row],[$ CAPITAL]]+FINANCIACION[[#This Row],[$ INTERESES]],"")</f>
        <v>1000000</v>
      </c>
      <c r="F222" s="179">
        <f>+SUMIFS(FINANCIACION[$ CAPITAL],FINANCIACION[Fecha],"&lt;="&amp;FINANCIACION[[#This Row],[Fecha]],FINANCIACION[PRESTAMO],FINANCIACION[[#This Row],[PRESTAMO]])</f>
        <v>-60329154</v>
      </c>
      <c r="G222" s="179"/>
      <c r="H222" s="183"/>
      <c r="I222" s="185"/>
      <c r="J222" s="179">
        <f>IF(FINANCIACION[[#This Row],[$ CAPITAL]]&gt;0,FINANCIACION[[#This Row],[$ CAPITAL]])</f>
        <v>260000</v>
      </c>
      <c r="K222" s="186">
        <f>IF(FINANCIACION[[#This Row],[$ CAPITAL]]&gt;=0,FINANCIACION[[#This Row],[$ CAPITAL]]+FINANCIACION[[#This Row],[$ INTERESES]],0)</f>
        <v>1000000</v>
      </c>
    </row>
    <row r="223" spans="1:11" ht="24" hidden="1" customHeight="1" x14ac:dyDescent="0.25">
      <c r="A223" s="177">
        <v>43636</v>
      </c>
      <c r="B223" s="184" t="s">
        <v>331</v>
      </c>
      <c r="C223" s="179">
        <v>260000</v>
      </c>
      <c r="D223" s="179">
        <v>740000</v>
      </c>
      <c r="E223" s="179">
        <f>+IF(FINANCIACION[[#This Row],[$ CAPITAL]]&gt;=0,FINANCIACION[[#This Row],[$ CAPITAL]]+FINANCIACION[[#This Row],[$ INTERESES]],"")</f>
        <v>1000000</v>
      </c>
      <c r="F223" s="179">
        <f>+SUMIFS(FINANCIACION[$ CAPITAL],FINANCIACION[Fecha],"&lt;="&amp;FINANCIACION[[#This Row],[Fecha]],FINANCIACION[PRESTAMO],FINANCIACION[[#This Row],[PRESTAMO]])</f>
        <v>-60069154</v>
      </c>
      <c r="G223" s="179"/>
      <c r="I223" s="185"/>
      <c r="J223" s="179">
        <f>IF(FINANCIACION[[#This Row],[$ CAPITAL]]&gt;0,FINANCIACION[[#This Row],[$ CAPITAL]])</f>
        <v>260000</v>
      </c>
      <c r="K223" s="186">
        <f>IF(FINANCIACION[[#This Row],[$ CAPITAL]]&gt;=0,FINANCIACION[[#This Row],[$ CAPITAL]]+FINANCIACION[[#This Row],[$ INTERESES]],0)</f>
        <v>1000000</v>
      </c>
    </row>
    <row r="224" spans="1:11" ht="24" hidden="1" customHeight="1" x14ac:dyDescent="0.25">
      <c r="A224" s="177">
        <v>43666</v>
      </c>
      <c r="B224" s="184" t="s">
        <v>331</v>
      </c>
      <c r="C224" s="179">
        <v>260000</v>
      </c>
      <c r="D224" s="179">
        <v>740000</v>
      </c>
      <c r="E224" s="179">
        <f>+IF(FINANCIACION[[#This Row],[$ CAPITAL]]&gt;=0,FINANCIACION[[#This Row],[$ CAPITAL]]+FINANCIACION[[#This Row],[$ INTERESES]],"")</f>
        <v>1000000</v>
      </c>
      <c r="F224" s="179">
        <f>+SUMIFS(FINANCIACION[$ CAPITAL],FINANCIACION[Fecha],"&lt;="&amp;FINANCIACION[[#This Row],[Fecha]],FINANCIACION[PRESTAMO],FINANCIACION[[#This Row],[PRESTAMO]])</f>
        <v>-59809154</v>
      </c>
      <c r="G224" s="179"/>
      <c r="H224" s="183"/>
      <c r="I224" s="185"/>
      <c r="J224" s="179">
        <f>IF(FINANCIACION[[#This Row],[$ CAPITAL]]&gt;0,FINANCIACION[[#This Row],[$ CAPITAL]])</f>
        <v>260000</v>
      </c>
      <c r="K224" s="186">
        <f>IF(FINANCIACION[[#This Row],[$ CAPITAL]]&gt;=0,FINANCIACION[[#This Row],[$ CAPITAL]]+FINANCIACION[[#This Row],[$ INTERESES]],0)</f>
        <v>1000000</v>
      </c>
    </row>
    <row r="225" spans="1:11" ht="24" hidden="1" customHeight="1" x14ac:dyDescent="0.25">
      <c r="A225" s="177">
        <v>43697</v>
      </c>
      <c r="B225" s="184" t="s">
        <v>331</v>
      </c>
      <c r="C225" s="179">
        <v>260000</v>
      </c>
      <c r="D225" s="179">
        <v>740000</v>
      </c>
      <c r="E225" s="179">
        <f>+IF(FINANCIACION[[#This Row],[$ CAPITAL]]&gt;=0,FINANCIACION[[#This Row],[$ CAPITAL]]+FINANCIACION[[#This Row],[$ INTERESES]],"")</f>
        <v>1000000</v>
      </c>
      <c r="F225" s="179">
        <f>+SUMIFS(FINANCIACION[$ CAPITAL],FINANCIACION[Fecha],"&lt;="&amp;FINANCIACION[[#This Row],[Fecha]],FINANCIACION[PRESTAMO],FINANCIACION[[#This Row],[PRESTAMO]])</f>
        <v>-59549154</v>
      </c>
      <c r="G225" s="179"/>
      <c r="H225" s="183"/>
      <c r="I225" s="185"/>
      <c r="J225" s="179">
        <f>IF(FINANCIACION[[#This Row],[$ CAPITAL]]&gt;0,FINANCIACION[[#This Row],[$ CAPITAL]])</f>
        <v>260000</v>
      </c>
      <c r="K225" s="186">
        <f>IF(FINANCIACION[[#This Row],[$ CAPITAL]]&gt;=0,FINANCIACION[[#This Row],[$ CAPITAL]]+FINANCIACION[[#This Row],[$ INTERESES]],0)</f>
        <v>1000000</v>
      </c>
    </row>
    <row r="226" spans="1:11" ht="24" hidden="1" customHeight="1" x14ac:dyDescent="0.25">
      <c r="A226" s="177">
        <v>43728</v>
      </c>
      <c r="B226" s="184" t="s">
        <v>331</v>
      </c>
      <c r="C226" s="179">
        <v>260000</v>
      </c>
      <c r="D226" s="179">
        <v>740000</v>
      </c>
      <c r="E226" s="179">
        <f>+IF(FINANCIACION[[#This Row],[$ CAPITAL]]&gt;=0,FINANCIACION[[#This Row],[$ CAPITAL]]+FINANCIACION[[#This Row],[$ INTERESES]],"")</f>
        <v>1000000</v>
      </c>
      <c r="F226" s="179">
        <f>+SUMIFS(FINANCIACION[$ CAPITAL],FINANCIACION[Fecha],"&lt;="&amp;FINANCIACION[[#This Row],[Fecha]],FINANCIACION[PRESTAMO],FINANCIACION[[#This Row],[PRESTAMO]])</f>
        <v>-59289154</v>
      </c>
      <c r="G226" s="179"/>
      <c r="H226" s="183"/>
      <c r="I226" s="185"/>
      <c r="J226" s="179">
        <f>IF(FINANCIACION[[#This Row],[$ CAPITAL]]&gt;0,FINANCIACION[[#This Row],[$ CAPITAL]])</f>
        <v>260000</v>
      </c>
      <c r="K226" s="186">
        <f>IF(FINANCIACION[[#This Row],[$ CAPITAL]]&gt;=0,FINANCIACION[[#This Row],[$ CAPITAL]]+FINANCIACION[[#This Row],[$ INTERESES]],0)</f>
        <v>1000000</v>
      </c>
    </row>
    <row r="227" spans="1:11" ht="24" hidden="1" customHeight="1" x14ac:dyDescent="0.25">
      <c r="A227" s="177">
        <v>43759</v>
      </c>
      <c r="B227" s="184" t="s">
        <v>331</v>
      </c>
      <c r="C227" s="179">
        <v>260000</v>
      </c>
      <c r="D227" s="179">
        <v>740000</v>
      </c>
      <c r="E227" s="179">
        <f>+IF(FINANCIACION[[#This Row],[$ CAPITAL]]&gt;=0,FINANCIACION[[#This Row],[$ CAPITAL]]+FINANCIACION[[#This Row],[$ INTERESES]],"")</f>
        <v>1000000</v>
      </c>
      <c r="F227" s="179">
        <f>+SUMIFS(FINANCIACION[$ CAPITAL],FINANCIACION[Fecha],"&lt;="&amp;FINANCIACION[[#This Row],[Fecha]],FINANCIACION[PRESTAMO],FINANCIACION[[#This Row],[PRESTAMO]])</f>
        <v>-59029154</v>
      </c>
      <c r="G227" s="179"/>
      <c r="H227" s="183"/>
      <c r="I227" s="185"/>
      <c r="J227" s="179">
        <f>IF(FINANCIACION[[#This Row],[$ CAPITAL]]&gt;0,FINANCIACION[[#This Row],[$ CAPITAL]])</f>
        <v>260000</v>
      </c>
      <c r="K227" s="186">
        <f>IF(FINANCIACION[[#This Row],[$ CAPITAL]]&gt;=0,FINANCIACION[[#This Row],[$ CAPITAL]]+FINANCIACION[[#This Row],[$ INTERESES]],0)</f>
        <v>1000000</v>
      </c>
    </row>
    <row r="228" spans="1:11" ht="24" hidden="1" customHeight="1" x14ac:dyDescent="0.25">
      <c r="A228" s="177">
        <v>43789</v>
      </c>
      <c r="B228" s="184" t="s">
        <v>331</v>
      </c>
      <c r="C228" s="179">
        <v>260000</v>
      </c>
      <c r="D228" s="179">
        <v>740000</v>
      </c>
      <c r="E228" s="179">
        <f>+IF(FINANCIACION[[#This Row],[$ CAPITAL]]&gt;=0,FINANCIACION[[#This Row],[$ CAPITAL]]+FINANCIACION[[#This Row],[$ INTERESES]],"")</f>
        <v>1000000</v>
      </c>
      <c r="F228" s="179">
        <f>+SUMIFS(FINANCIACION[$ CAPITAL],FINANCIACION[Fecha],"&lt;="&amp;FINANCIACION[[#This Row],[Fecha]],FINANCIACION[PRESTAMO],FINANCIACION[[#This Row],[PRESTAMO]])</f>
        <v>-58769154</v>
      </c>
      <c r="G228" s="179"/>
      <c r="I228" s="185"/>
      <c r="J228" s="179">
        <f>IF(FINANCIACION[[#This Row],[$ CAPITAL]]&gt;0,FINANCIACION[[#This Row],[$ CAPITAL]])</f>
        <v>260000</v>
      </c>
      <c r="K228" s="186">
        <f>IF(FINANCIACION[[#This Row],[$ CAPITAL]]&gt;=0,FINANCIACION[[#This Row],[$ CAPITAL]]+FINANCIACION[[#This Row],[$ INTERESES]],0)</f>
        <v>1000000</v>
      </c>
    </row>
    <row r="229" spans="1:11" ht="24" hidden="1" customHeight="1" x14ac:dyDescent="0.25">
      <c r="A229" s="177">
        <v>43805</v>
      </c>
      <c r="B229" s="184" t="s">
        <v>331</v>
      </c>
      <c r="C229" s="179">
        <v>-9000000</v>
      </c>
      <c r="D229" s="179"/>
      <c r="E229" s="179" t="str">
        <f>+IF(FINANCIACION[[#This Row],[$ CAPITAL]]&gt;=0,FINANCIACION[[#This Row],[$ CAPITAL]]+FINANCIACION[[#This Row],[$ INTERESES]],"")</f>
        <v/>
      </c>
      <c r="F229" s="179">
        <f>+SUMIFS(FINANCIACION[$ CAPITAL],FINANCIACION[Fecha],"&lt;="&amp;FINANCIACION[[#This Row],[Fecha]],FINANCIACION[PRESTAMO],FINANCIACION[[#This Row],[PRESTAMO]])</f>
        <v>-67769154</v>
      </c>
      <c r="G229" s="179"/>
      <c r="I229" s="185"/>
      <c r="J229" s="179" t="b">
        <f>IF(FINANCIACION[[#This Row],[$ CAPITAL]]&gt;0,FINANCIACION[[#This Row],[$ CAPITAL]])</f>
        <v>0</v>
      </c>
      <c r="K229" s="186">
        <f>IF(FINANCIACION[[#This Row],[$ CAPITAL]]&gt;=0,FINANCIACION[[#This Row],[$ CAPITAL]]+FINANCIACION[[#This Row],[$ INTERESES]],0)</f>
        <v>0</v>
      </c>
    </row>
    <row r="230" spans="1:11" ht="24" hidden="1" customHeight="1" x14ac:dyDescent="0.25">
      <c r="A230" s="177">
        <v>43819</v>
      </c>
      <c r="B230" s="184" t="s">
        <v>331</v>
      </c>
      <c r="C230" s="179">
        <v>260000</v>
      </c>
      <c r="D230" s="179">
        <v>740000</v>
      </c>
      <c r="E230" s="179">
        <f>+IF(FINANCIACION[[#This Row],[$ CAPITAL]]&gt;=0,FINANCIACION[[#This Row],[$ CAPITAL]]+FINANCIACION[[#This Row],[$ INTERESES]],"")</f>
        <v>1000000</v>
      </c>
      <c r="F230" s="179">
        <f>+SUMIFS(FINANCIACION[$ CAPITAL],FINANCIACION[Fecha],"&lt;="&amp;FINANCIACION[[#This Row],[Fecha]],FINANCIACION[PRESTAMO],FINANCIACION[[#This Row],[PRESTAMO]])</f>
        <v>-67509154</v>
      </c>
      <c r="G230" s="179"/>
      <c r="H230" s="183"/>
      <c r="I230" s="185"/>
      <c r="J230" s="179">
        <f>IF(FINANCIACION[[#This Row],[$ CAPITAL]]&gt;0,FINANCIACION[[#This Row],[$ CAPITAL]])</f>
        <v>260000</v>
      </c>
      <c r="K230" s="186">
        <f>IF(FINANCIACION[[#This Row],[$ CAPITAL]]&gt;=0,FINANCIACION[[#This Row],[$ CAPITAL]]+FINANCIACION[[#This Row],[$ INTERESES]],0)</f>
        <v>1000000</v>
      </c>
    </row>
    <row r="231" spans="1:11" ht="24" hidden="1" customHeight="1" x14ac:dyDescent="0.25">
      <c r="A231" s="188">
        <v>43844</v>
      </c>
      <c r="B231" s="184" t="s">
        <v>331</v>
      </c>
      <c r="C231" s="179">
        <v>310000</v>
      </c>
      <c r="D231" s="179">
        <v>90000</v>
      </c>
      <c r="E231" s="179">
        <f>+IF(FINANCIACION[[#This Row],[$ CAPITAL]]&gt;=0,FINANCIACION[[#This Row],[$ CAPITAL]]+FINANCIACION[[#This Row],[$ INTERESES]],"")</f>
        <v>400000</v>
      </c>
      <c r="F231" s="179">
        <f>+SUMIFS(FINANCIACION[$ CAPITAL],FINANCIACION[Fecha],"&lt;="&amp;FINANCIACION[[#This Row],[Fecha]],FINANCIACION[PRESTAMO],FINANCIACION[[#This Row],[PRESTAMO]])</f>
        <v>-67199154</v>
      </c>
      <c r="G231" s="179"/>
      <c r="I231" s="185"/>
      <c r="J231" s="179">
        <f>IF(FINANCIACION[[#This Row],[$ CAPITAL]]&gt;0,FINANCIACION[[#This Row],[$ CAPITAL]])</f>
        <v>310000</v>
      </c>
      <c r="K231" s="186">
        <f>IF(FINANCIACION[[#This Row],[$ CAPITAL]]&gt;=0,FINANCIACION[[#This Row],[$ CAPITAL]]+FINANCIACION[[#This Row],[$ INTERESES]],0)</f>
        <v>400000</v>
      </c>
    </row>
    <row r="232" spans="1:11" ht="24" hidden="1" customHeight="1" x14ac:dyDescent="0.25">
      <c r="A232" s="188">
        <v>43850</v>
      </c>
      <c r="B232" s="184" t="s">
        <v>331</v>
      </c>
      <c r="C232" s="179">
        <v>260000</v>
      </c>
      <c r="D232" s="179">
        <v>740000</v>
      </c>
      <c r="E232" s="179">
        <f>+IF(FINANCIACION[[#This Row],[$ CAPITAL]]&gt;=0,FINANCIACION[[#This Row],[$ CAPITAL]]+FINANCIACION[[#This Row],[$ INTERESES]],"")</f>
        <v>1000000</v>
      </c>
      <c r="F232" s="179">
        <f>+SUMIFS(FINANCIACION[$ CAPITAL],FINANCIACION[Fecha],"&lt;="&amp;FINANCIACION[[#This Row],[Fecha]],FINANCIACION[PRESTAMO],FINANCIACION[[#This Row],[PRESTAMO]])</f>
        <v>-66939154</v>
      </c>
      <c r="G232" s="179"/>
      <c r="H232" s="183"/>
      <c r="I232" s="185"/>
      <c r="J232" s="179">
        <f>IF(FINANCIACION[[#This Row],[$ CAPITAL]]&gt;0,FINANCIACION[[#This Row],[$ CAPITAL]])</f>
        <v>260000</v>
      </c>
      <c r="K232" s="186">
        <f>IF(FINANCIACION[[#This Row],[$ CAPITAL]]&gt;=0,FINANCIACION[[#This Row],[$ CAPITAL]]+FINANCIACION[[#This Row],[$ INTERESES]],0)</f>
        <v>1000000</v>
      </c>
    </row>
    <row r="233" spans="1:11" ht="24" hidden="1" customHeight="1" x14ac:dyDescent="0.25">
      <c r="A233" s="188">
        <v>43881</v>
      </c>
      <c r="B233" s="184" t="s">
        <v>331</v>
      </c>
      <c r="C233" s="179">
        <v>260000</v>
      </c>
      <c r="D233" s="179">
        <v>740000</v>
      </c>
      <c r="E233" s="179">
        <f>+IF(FINANCIACION[[#This Row],[$ CAPITAL]]&gt;=0,FINANCIACION[[#This Row],[$ CAPITAL]]+FINANCIACION[[#This Row],[$ INTERESES]],"")</f>
        <v>1000000</v>
      </c>
      <c r="F233" s="179">
        <f>+SUMIFS(FINANCIACION[$ CAPITAL],FINANCIACION[Fecha],"&lt;="&amp;FINANCIACION[[#This Row],[Fecha]],FINANCIACION[PRESTAMO],FINANCIACION[[#This Row],[PRESTAMO]])</f>
        <v>-66369154</v>
      </c>
      <c r="G233" s="179"/>
      <c r="H233" s="183"/>
      <c r="I233" s="185"/>
      <c r="J233" s="179">
        <f>IF(FINANCIACION[[#This Row],[$ CAPITAL]]&gt;0,FINANCIACION[[#This Row],[$ CAPITAL]])</f>
        <v>260000</v>
      </c>
      <c r="K233" s="186">
        <f>IF(FINANCIACION[[#This Row],[$ CAPITAL]]&gt;=0,FINANCIACION[[#This Row],[$ CAPITAL]]+FINANCIACION[[#This Row],[$ INTERESES]],0)</f>
        <v>1000000</v>
      </c>
    </row>
    <row r="234" spans="1:11" ht="24" hidden="1" customHeight="1" x14ac:dyDescent="0.25">
      <c r="A234" s="188">
        <v>43881</v>
      </c>
      <c r="B234" s="184" t="s">
        <v>331</v>
      </c>
      <c r="C234" s="179">
        <v>310000</v>
      </c>
      <c r="D234" s="179">
        <v>86900</v>
      </c>
      <c r="E234" s="179">
        <f>+IF(FINANCIACION[[#This Row],[$ CAPITAL]]&gt;=0,FINANCIACION[[#This Row],[$ CAPITAL]]+FINANCIACION[[#This Row],[$ INTERESES]],"")</f>
        <v>396900</v>
      </c>
      <c r="F234" s="179">
        <f>+SUMIFS(FINANCIACION[$ CAPITAL],FINANCIACION[Fecha],"&lt;="&amp;FINANCIACION[[#This Row],[Fecha]],FINANCIACION[PRESTAMO],FINANCIACION[[#This Row],[PRESTAMO]])</f>
        <v>-66369154</v>
      </c>
      <c r="G234" s="179"/>
      <c r="H234" s="183"/>
      <c r="I234" s="185"/>
      <c r="J234" s="179">
        <f>IF(FINANCIACION[[#This Row],[$ CAPITAL]]&gt;0,FINANCIACION[[#This Row],[$ CAPITAL]])</f>
        <v>310000</v>
      </c>
      <c r="K234" s="187">
        <f>IF(FINANCIACION[[#This Row],[$ CAPITAL]]&gt;=0,FINANCIACION[[#This Row],[$ CAPITAL]]+FINANCIACION[[#This Row],[$ INTERESES]],0)</f>
        <v>396900</v>
      </c>
    </row>
    <row r="235" spans="1:11" ht="24" hidden="1" customHeight="1" x14ac:dyDescent="0.25">
      <c r="A235" s="188">
        <v>43890</v>
      </c>
      <c r="B235" s="184" t="s">
        <v>331</v>
      </c>
      <c r="C235" s="179">
        <v>-829906</v>
      </c>
      <c r="D235" s="179"/>
      <c r="E235" s="179" t="str">
        <f>+IF(FINANCIACION[[#This Row],[$ CAPITAL]]&gt;=0,FINANCIACION[[#This Row],[$ CAPITAL]]+FINANCIACION[[#This Row],[$ INTERESES]],"")</f>
        <v/>
      </c>
      <c r="F235" s="179">
        <f>+SUMIFS(FINANCIACION[$ CAPITAL],FINANCIACION[Fecha],"&lt;="&amp;FINANCIACION[[#This Row],[Fecha]],FINANCIACION[PRESTAMO],FINANCIACION[[#This Row],[PRESTAMO]])</f>
        <v>-67199060</v>
      </c>
      <c r="G235" s="179"/>
      <c r="I235" s="185"/>
      <c r="J235" s="179" t="b">
        <f>IF(FINANCIACION[[#This Row],[$ CAPITAL]]&gt;0,FINANCIACION[[#This Row],[$ CAPITAL]])</f>
        <v>0</v>
      </c>
      <c r="K235" s="186">
        <f>IF(FINANCIACION[[#This Row],[$ CAPITAL]]&gt;=0,FINANCIACION[[#This Row],[$ CAPITAL]]+FINANCIACION[[#This Row],[$ INTERESES]],0)</f>
        <v>0</v>
      </c>
    </row>
    <row r="236" spans="1:11" ht="24" hidden="1" customHeight="1" x14ac:dyDescent="0.25">
      <c r="A236" s="188">
        <v>44000</v>
      </c>
      <c r="B236" s="184" t="s">
        <v>331</v>
      </c>
      <c r="C236" s="179">
        <v>260000</v>
      </c>
      <c r="D236" s="179">
        <v>740000</v>
      </c>
      <c r="E236" s="179">
        <f>+IF(FINANCIACION[[#This Row],[$ CAPITAL]]&gt;=0,FINANCIACION[[#This Row],[$ CAPITAL]]+FINANCIACION[[#This Row],[$ INTERESES]],"")</f>
        <v>1000000</v>
      </c>
      <c r="F236" s="179">
        <f>+SUMIFS(FINANCIACION[$ CAPITAL],FINANCIACION[Fecha],"&lt;="&amp;FINANCIACION[[#This Row],[Fecha]],FINANCIACION[PRESTAMO],FINANCIACION[[#This Row],[PRESTAMO]])</f>
        <v>-66939060</v>
      </c>
      <c r="G236" s="179"/>
      <c r="H236" s="183"/>
      <c r="I236" s="185"/>
      <c r="J236" s="179">
        <f>IF(FINANCIACION[[#This Row],[$ CAPITAL]]&gt;0,FINANCIACION[[#This Row],[$ CAPITAL]])</f>
        <v>260000</v>
      </c>
      <c r="K236" s="186">
        <f>IF(FINANCIACION[[#This Row],[$ CAPITAL]]&gt;=0,FINANCIACION[[#This Row],[$ CAPITAL]]+FINANCIACION[[#This Row],[$ INTERESES]],0)</f>
        <v>1000000</v>
      </c>
    </row>
    <row r="237" spans="1:11" ht="24" hidden="1" customHeight="1" x14ac:dyDescent="0.25">
      <c r="A237" s="188">
        <v>44041</v>
      </c>
      <c r="B237" s="184" t="s">
        <v>331</v>
      </c>
      <c r="C237" s="179">
        <v>360000</v>
      </c>
      <c r="D237" s="179">
        <v>740000</v>
      </c>
      <c r="E237" s="179">
        <f>+IF(FINANCIACION[[#This Row],[$ CAPITAL]]&gt;=0,FINANCIACION[[#This Row],[$ CAPITAL]]+FINANCIACION[[#This Row],[$ INTERESES]],"")</f>
        <v>1100000</v>
      </c>
      <c r="F237" s="179">
        <f>+SUMIFS(FINANCIACION[$ CAPITAL],FINANCIACION[Fecha],"&lt;="&amp;FINANCIACION[[#This Row],[Fecha]],FINANCIACION[PRESTAMO],FINANCIACION[[#This Row],[PRESTAMO]])</f>
        <v>-66579060</v>
      </c>
      <c r="G237" s="179"/>
      <c r="H237" s="183"/>
      <c r="I237" s="185"/>
      <c r="J237" s="179">
        <f>IF(FINANCIACION[[#This Row],[$ CAPITAL]]&gt;0,FINANCIACION[[#This Row],[$ CAPITAL]])</f>
        <v>360000</v>
      </c>
      <c r="K237" s="186">
        <f>IF(FINANCIACION[[#This Row],[$ CAPITAL]]&gt;=0,FINANCIACION[[#This Row],[$ CAPITAL]]+FINANCIACION[[#This Row],[$ INTERESES]],0)</f>
        <v>1100000</v>
      </c>
    </row>
    <row r="238" spans="1:11" ht="24" hidden="1" customHeight="1" x14ac:dyDescent="0.25">
      <c r="A238" s="188">
        <v>44078</v>
      </c>
      <c r="B238" s="184" t="s">
        <v>331</v>
      </c>
      <c r="C238" s="179">
        <v>334200</v>
      </c>
      <c r="D238" s="179">
        <v>665800</v>
      </c>
      <c r="E238" s="179">
        <f>+IF(FINANCIACION[[#This Row],[$ CAPITAL]]&gt;=0,FINANCIACION[[#This Row],[$ CAPITAL]]+FINANCIACION[[#This Row],[$ INTERESES]],"")</f>
        <v>1000000</v>
      </c>
      <c r="F238" s="179">
        <f>+SUMIFS(FINANCIACION[$ CAPITAL],FINANCIACION[Fecha],"&lt;="&amp;FINANCIACION[[#This Row],[Fecha]],FINANCIACION[PRESTAMO],FINANCIACION[[#This Row],[PRESTAMO]])</f>
        <v>-66244860</v>
      </c>
      <c r="G238" s="179"/>
      <c r="H238" s="183"/>
      <c r="I238" s="185"/>
      <c r="J238" s="179">
        <f>IF(FINANCIACION[[#This Row],[$ CAPITAL]]&gt;0,FINANCIACION[[#This Row],[$ CAPITAL]])</f>
        <v>334200</v>
      </c>
      <c r="K238" s="186">
        <f>IF(FINANCIACION[[#This Row],[$ CAPITAL]]&gt;=0,FINANCIACION[[#This Row],[$ CAPITAL]]+FINANCIACION[[#This Row],[$ INTERESES]],0)</f>
        <v>1000000</v>
      </c>
    </row>
    <row r="239" spans="1:11" ht="24" hidden="1" customHeight="1" x14ac:dyDescent="0.25">
      <c r="A239" s="188">
        <v>44106</v>
      </c>
      <c r="B239" s="184" t="s">
        <v>331</v>
      </c>
      <c r="C239" s="179">
        <v>537550</v>
      </c>
      <c r="D239" s="179">
        <v>662450</v>
      </c>
      <c r="E239" s="179">
        <f>+IF(FINANCIACION[[#This Row],[$ CAPITAL]]&gt;=0,FINANCIACION[[#This Row],[$ CAPITAL]]+FINANCIACION[[#This Row],[$ INTERESES]],"")</f>
        <v>1200000</v>
      </c>
      <c r="F239" s="179">
        <f>+SUMIFS(FINANCIACION[$ CAPITAL],FINANCIACION[Fecha],"&lt;="&amp;FINANCIACION[[#This Row],[Fecha]],FINANCIACION[PRESTAMO],FINANCIACION[[#This Row],[PRESTAMO]])</f>
        <v>-65707310</v>
      </c>
      <c r="G239" s="179"/>
      <c r="H239" s="183"/>
      <c r="I239" s="185"/>
      <c r="J239" s="179">
        <f>IF(FINANCIACION[[#This Row],[$ CAPITAL]]&gt;0,FINANCIACION[[#This Row],[$ CAPITAL]])</f>
        <v>537550</v>
      </c>
      <c r="K239" s="186">
        <f>IF(FINANCIACION[[#This Row],[$ CAPITAL]]&gt;=0,FINANCIACION[[#This Row],[$ CAPITAL]]+FINANCIACION[[#This Row],[$ INTERESES]],0)</f>
        <v>1200000</v>
      </c>
    </row>
    <row r="240" spans="1:11" ht="24" hidden="1" customHeight="1" x14ac:dyDescent="0.25">
      <c r="A240" s="188">
        <v>44142</v>
      </c>
      <c r="B240" s="184" t="s">
        <v>331</v>
      </c>
      <c r="C240" s="179">
        <v>542926.9</v>
      </c>
      <c r="D240" s="179">
        <v>657073.1</v>
      </c>
      <c r="E240" s="179">
        <f>+IF(FINANCIACION[[#This Row],[$ CAPITAL]]&gt;=0,FINANCIACION[[#This Row],[$ CAPITAL]]+FINANCIACION[[#This Row],[$ INTERESES]],"")</f>
        <v>1200000</v>
      </c>
      <c r="F240" s="179">
        <f>+SUMIFS(FINANCIACION[$ CAPITAL],FINANCIACION[Fecha],"&lt;="&amp;FINANCIACION[[#This Row],[Fecha]],FINANCIACION[PRESTAMO],FINANCIACION[[#This Row],[PRESTAMO]])</f>
        <v>-65164383.100000001</v>
      </c>
      <c r="G240" s="179"/>
      <c r="H240" s="183"/>
      <c r="I240" s="185"/>
      <c r="J240" s="179">
        <f>IF(FINANCIACION[[#This Row],[$ CAPITAL]]&gt;0,FINANCIACION[[#This Row],[$ CAPITAL]])</f>
        <v>542926.9</v>
      </c>
      <c r="K240" s="186">
        <f>IF(FINANCIACION[[#This Row],[$ CAPITAL]]&gt;=0,FINANCIACION[[#This Row],[$ CAPITAL]]+FINANCIACION[[#This Row],[$ INTERESES]],0)</f>
        <v>1200000</v>
      </c>
    </row>
    <row r="241" spans="1:11" ht="24" hidden="1" customHeight="1" x14ac:dyDescent="0.25">
      <c r="A241" s="188">
        <v>44175</v>
      </c>
      <c r="B241" s="184" t="s">
        <v>331</v>
      </c>
      <c r="C241" s="179">
        <v>548356.17000000004</v>
      </c>
      <c r="D241" s="179">
        <v>651643.82999999996</v>
      </c>
      <c r="E241" s="179">
        <f>+IF(FINANCIACION[[#This Row],[$ CAPITAL]]&gt;=0,FINANCIACION[[#This Row],[$ CAPITAL]]+FINANCIACION[[#This Row],[$ INTERESES]],"")</f>
        <v>1200000</v>
      </c>
      <c r="F241" s="179">
        <f>+SUMIFS(FINANCIACION[$ CAPITAL],FINANCIACION[Fecha],"&lt;="&amp;FINANCIACION[[#This Row],[Fecha]],FINANCIACION[PRESTAMO],FINANCIACION[[#This Row],[PRESTAMO]])</f>
        <v>-64616026.93</v>
      </c>
      <c r="G241" s="179"/>
      <c r="H241" s="183"/>
      <c r="I241" s="185"/>
      <c r="J241" s="179">
        <f>IF(FINANCIACION[[#This Row],[$ CAPITAL]]&gt;0,FINANCIACION[[#This Row],[$ CAPITAL]])</f>
        <v>548356.17000000004</v>
      </c>
      <c r="K241" s="186">
        <f>IF(FINANCIACION[[#This Row],[$ CAPITAL]]&gt;=0,FINANCIACION[[#This Row],[$ CAPITAL]]+FINANCIACION[[#This Row],[$ INTERESES]],0)</f>
        <v>1200000</v>
      </c>
    </row>
    <row r="242" spans="1:11" ht="24" hidden="1" customHeight="1" x14ac:dyDescent="0.25">
      <c r="A242" s="188">
        <v>44196</v>
      </c>
      <c r="B242" s="184" t="s">
        <v>331</v>
      </c>
      <c r="C242" s="179">
        <v>-2349404.9287070036</v>
      </c>
      <c r="D242" s="179"/>
      <c r="E242" s="179" t="str">
        <f>+IF(FINANCIACION[[#This Row],[$ CAPITAL]]&gt;=0,FINANCIACION[[#This Row],[$ CAPITAL]]+FINANCIACION[[#This Row],[$ INTERESES]],"")</f>
        <v/>
      </c>
      <c r="F242" s="179">
        <f>+SUMIFS(FINANCIACION[$ CAPITAL],FINANCIACION[Fecha],"&lt;="&amp;FINANCIACION[[#This Row],[Fecha]],FINANCIACION[PRESTAMO],FINANCIACION[[#This Row],[PRESTAMO]])</f>
        <v>-66965431.858707003</v>
      </c>
      <c r="G242" s="179"/>
      <c r="H242" s="183" t="s">
        <v>134</v>
      </c>
      <c r="I242" s="185"/>
      <c r="J242" s="179" t="b">
        <f>IF(FINANCIACION[[#This Row],[$ CAPITAL]]&gt;0,FINANCIACION[[#This Row],[$ CAPITAL]])</f>
        <v>0</v>
      </c>
      <c r="K242" s="186">
        <f>IF(FINANCIACION[[#This Row],[$ CAPITAL]]&gt;=0,FINANCIACION[[#This Row],[$ CAPITAL]]+FINANCIACION[[#This Row],[$ INTERESES]],0)</f>
        <v>0</v>
      </c>
    </row>
    <row r="243" spans="1:11" ht="24" hidden="1" customHeight="1" x14ac:dyDescent="0.25">
      <c r="A243" s="177">
        <v>44208</v>
      </c>
      <c r="B243" s="184" t="s">
        <v>331</v>
      </c>
      <c r="C243" s="179">
        <v>553839.73069999996</v>
      </c>
      <c r="D243" s="179">
        <v>646160.26930000004</v>
      </c>
      <c r="E243" s="179">
        <f>+IF(FINANCIACION[[#This Row],[$ CAPITAL]]&gt;=0,FINANCIACION[[#This Row],[$ CAPITAL]]+FINANCIACION[[#This Row],[$ INTERESES]],"")</f>
        <v>1200000</v>
      </c>
      <c r="F243" s="179">
        <f>+SUMIFS(FINANCIACION[$ CAPITAL],FINANCIACION[Fecha],"&lt;="&amp;FINANCIACION[[#This Row],[Fecha]],FINANCIACION[PRESTAMO],FINANCIACION[[#This Row],[PRESTAMO]])</f>
        <v>-66411592.128007002</v>
      </c>
      <c r="G243" s="179"/>
      <c r="H243" s="183"/>
      <c r="I243" s="185"/>
      <c r="J243" s="179">
        <f>IF(FINANCIACION[[#This Row],[$ CAPITAL]]&gt;0,FINANCIACION[[#This Row],[$ CAPITAL]])</f>
        <v>553839.73069999996</v>
      </c>
      <c r="K243" s="186">
        <f>IF(FINANCIACION[[#This Row],[$ CAPITAL]]&gt;=0,FINANCIACION[[#This Row],[$ CAPITAL]]+FINANCIACION[[#This Row],[$ INTERESES]],0)</f>
        <v>1200000</v>
      </c>
    </row>
    <row r="244" spans="1:11" ht="24" hidden="1" customHeight="1" x14ac:dyDescent="0.25">
      <c r="A244" s="177">
        <v>44237</v>
      </c>
      <c r="B244" s="184" t="s">
        <v>331</v>
      </c>
      <c r="C244" s="179">
        <v>559378.12800699996</v>
      </c>
      <c r="D244" s="179">
        <v>640621.87199300004</v>
      </c>
      <c r="E244" s="179">
        <f>+IF(FINANCIACION[[#This Row],[$ CAPITAL]]&gt;=0,FINANCIACION[[#This Row],[$ CAPITAL]]+FINANCIACION[[#This Row],[$ INTERESES]],"")</f>
        <v>1200000</v>
      </c>
      <c r="F244" s="179">
        <f>+SUMIFS(FINANCIACION[$ CAPITAL],FINANCIACION[Fecha],"&lt;="&amp;FINANCIACION[[#This Row],[Fecha]],FINANCIACION[PRESTAMO],FINANCIACION[[#This Row],[PRESTAMO]])</f>
        <v>-65852214</v>
      </c>
      <c r="G244" s="179"/>
      <c r="H244" s="183"/>
      <c r="I244" s="185"/>
      <c r="J244" s="179">
        <f>IF(FINANCIACION[[#This Row],[$ CAPITAL]]&gt;0,FINANCIACION[[#This Row],[$ CAPITAL]])</f>
        <v>559378.12800699996</v>
      </c>
      <c r="K244" s="186">
        <f>IF(FINANCIACION[[#This Row],[$ CAPITAL]]&gt;=0,FINANCIACION[[#This Row],[$ CAPITAL]]+FINANCIACION[[#This Row],[$ INTERESES]],0)</f>
        <v>1200000</v>
      </c>
    </row>
    <row r="245" spans="1:11" ht="24" hidden="1" customHeight="1" x14ac:dyDescent="0.25">
      <c r="A245" s="177">
        <v>44248</v>
      </c>
      <c r="B245" s="184" t="s">
        <v>331</v>
      </c>
      <c r="C245" s="179">
        <v>-8879000</v>
      </c>
      <c r="D245" s="179"/>
      <c r="E245" s="179" t="str">
        <f>+IF(FINANCIACION[[#This Row],[$ CAPITAL]]&gt;=0,FINANCIACION[[#This Row],[$ CAPITAL]]+FINANCIACION[[#This Row],[$ INTERESES]],"")</f>
        <v/>
      </c>
      <c r="F245" s="179">
        <f>+SUMIFS(FINANCIACION[$ CAPITAL],FINANCIACION[Fecha],"&lt;="&amp;FINANCIACION[[#This Row],[Fecha]],FINANCIACION[PRESTAMO],FINANCIACION[[#This Row],[PRESTAMO]])</f>
        <v>-74731214</v>
      </c>
      <c r="G245" s="179"/>
      <c r="H245" s="183"/>
      <c r="I245" s="185"/>
      <c r="J245" s="179" t="b">
        <f>IF(FINANCIACION[[#This Row],[$ CAPITAL]]&gt;0,FINANCIACION[[#This Row],[$ CAPITAL]])</f>
        <v>0</v>
      </c>
      <c r="K245" s="186">
        <f>IF(FINANCIACION[[#This Row],[$ CAPITAL]]&gt;=0,FINANCIACION[[#This Row],[$ CAPITAL]]+FINANCIACION[[#This Row],[$ INTERESES]],0)</f>
        <v>0</v>
      </c>
    </row>
    <row r="246" spans="1:11" ht="24" hidden="1" customHeight="1" x14ac:dyDescent="0.25">
      <c r="A246" s="177">
        <v>44265</v>
      </c>
      <c r="B246" s="184" t="s">
        <v>331</v>
      </c>
      <c r="C246" s="179">
        <v>552687.86</v>
      </c>
      <c r="D246" s="179">
        <v>747312.14</v>
      </c>
      <c r="E246" s="179">
        <f>+IF(FINANCIACION[[#This Row],[$ CAPITAL]]&gt;=0,FINANCIACION[[#This Row],[$ CAPITAL]]+FINANCIACION[[#This Row],[$ INTERESES]],"")</f>
        <v>1300000</v>
      </c>
      <c r="F246" s="179">
        <f>+SUMIFS(FINANCIACION[$ CAPITAL],FINANCIACION[Fecha],"&lt;="&amp;FINANCIACION[[#This Row],[Fecha]],FINANCIACION[PRESTAMO],FINANCIACION[[#This Row],[PRESTAMO]])</f>
        <v>-74349214</v>
      </c>
      <c r="G246" s="179"/>
      <c r="H246" s="183"/>
      <c r="I246" s="185"/>
      <c r="J246" s="179">
        <f>IF(FINANCIACION[[#This Row],[$ CAPITAL]]&gt;0,FINANCIACION[[#This Row],[$ CAPITAL]])</f>
        <v>552687.86</v>
      </c>
      <c r="K246" s="186">
        <f>IF(FINANCIACION[[#This Row],[$ CAPITAL]]&gt;=0,FINANCIACION[[#This Row],[$ CAPITAL]]+FINANCIACION[[#This Row],[$ INTERESES]],0)</f>
        <v>1300000</v>
      </c>
    </row>
    <row r="247" spans="1:11" ht="24" hidden="1" customHeight="1" x14ac:dyDescent="0.25">
      <c r="A247" s="177">
        <v>44265</v>
      </c>
      <c r="B247" s="184" t="s">
        <v>331</v>
      </c>
      <c r="C247" s="179">
        <v>-170687.859999999</v>
      </c>
      <c r="D247" s="179"/>
      <c r="E247" s="179" t="str">
        <f>+IF(FINANCIACION[[#This Row],[$ CAPITAL]]&gt;=0,FINANCIACION[[#This Row],[$ CAPITAL]]+FINANCIACION[[#This Row],[$ INTERESES]],"")</f>
        <v/>
      </c>
      <c r="F247" s="179">
        <f>+SUMIFS(FINANCIACION[$ CAPITAL],FINANCIACION[Fecha],"&lt;="&amp;FINANCIACION[[#This Row],[Fecha]],FINANCIACION[PRESTAMO],FINANCIACION[[#This Row],[PRESTAMO]])</f>
        <v>-74349214</v>
      </c>
      <c r="G247" s="179"/>
      <c r="H247" s="183" t="s">
        <v>449</v>
      </c>
      <c r="I247" s="185"/>
      <c r="J247" s="179" t="b">
        <f>+IF(FINANCIACION[[#This Row],[$ CAPITAL]]&gt;0,FINANCIACION[[#This Row],[$ CAPITAL]])</f>
        <v>0</v>
      </c>
      <c r="K247" s="186">
        <f>+IF(FINANCIACION[[#This Row],[$ CAPITAL]]&gt;=0,FINANCIACION[[#This Row],[$ CAPITAL]]+FINANCIACION[[#This Row],[$ INTERESES]],0)</f>
        <v>0</v>
      </c>
    </row>
    <row r="248" spans="1:11" ht="24" hidden="1" customHeight="1" x14ac:dyDescent="0.25">
      <c r="A248" s="177">
        <v>44340</v>
      </c>
      <c r="B248" s="184" t="s">
        <v>331</v>
      </c>
      <c r="C248" s="179">
        <v>458214.73859999992</v>
      </c>
      <c r="D248" s="179">
        <v>741785.26140000008</v>
      </c>
      <c r="E248" s="179">
        <f>+IF(FINANCIACION[[#This Row],[$ CAPITAL]]&gt;=0,FINANCIACION[[#This Row],[$ CAPITAL]]+FINANCIACION[[#This Row],[$ INTERESES]],"")</f>
        <v>1200000</v>
      </c>
      <c r="F248" s="179">
        <f>+SUMIFS(FINANCIACION[$ CAPITAL],FINANCIACION[Fecha],"&lt;="&amp;FINANCIACION[[#This Row],[Fecha]],FINANCIACION[PRESTAMO],FINANCIACION[[#This Row],[PRESTAMO]])</f>
        <v>-73890999.261399999</v>
      </c>
      <c r="G248" s="179"/>
      <c r="H248" s="183"/>
      <c r="I248" s="185"/>
      <c r="J248" s="179">
        <f>IF(FINANCIACION[[#This Row],[$ CAPITAL]]&gt;0,FINANCIACION[[#This Row],[$ CAPITAL]])</f>
        <v>458214.73859999992</v>
      </c>
      <c r="K248" s="186">
        <f>IF(FINANCIACION[[#This Row],[$ CAPITAL]]&gt;=0,FINANCIACION[[#This Row],[$ CAPITAL]]+FINANCIACION[[#This Row],[$ INTERESES]],0)</f>
        <v>1200000</v>
      </c>
    </row>
    <row r="249" spans="1:11" ht="24" hidden="1" customHeight="1" x14ac:dyDescent="0.25">
      <c r="A249" s="177">
        <v>44358</v>
      </c>
      <c r="B249" s="184" t="s">
        <v>331</v>
      </c>
      <c r="C249" s="179">
        <v>462796.88598599995</v>
      </c>
      <c r="D249" s="179">
        <v>737203.11401400005</v>
      </c>
      <c r="E249" s="179">
        <f>+IF(FINANCIACION[[#This Row],[$ CAPITAL]]&gt;=0,FINANCIACION[[#This Row],[$ CAPITAL]]+FINANCIACION[[#This Row],[$ INTERESES]],"")</f>
        <v>1200000</v>
      </c>
      <c r="F249" s="179">
        <f>+SUMIFS(FINANCIACION[$ CAPITAL],FINANCIACION[Fecha],"&lt;="&amp;FINANCIACION[[#This Row],[Fecha]],FINANCIACION[PRESTAMO],FINANCIACION[[#This Row],[PRESTAMO]])</f>
        <v>-73428202.375413999</v>
      </c>
      <c r="G249" s="179"/>
      <c r="H249" s="183"/>
      <c r="I249" s="185"/>
      <c r="J249" s="179">
        <f>IF(FINANCIACION[[#This Row],[$ CAPITAL]]&gt;0,FINANCIACION[[#This Row],[$ CAPITAL]])</f>
        <v>462796.88598599995</v>
      </c>
      <c r="K249" s="187">
        <f>IF(FINANCIACION[[#This Row],[$ CAPITAL]]&gt;=0,FINANCIACION[[#This Row],[$ CAPITAL]]+FINANCIACION[[#This Row],[$ INTERESES]],0)</f>
        <v>1200000</v>
      </c>
    </row>
    <row r="250" spans="1:11" ht="24" hidden="1" customHeight="1" x14ac:dyDescent="0.25">
      <c r="A250" s="177">
        <v>44362</v>
      </c>
      <c r="B250" s="184" t="s">
        <v>331</v>
      </c>
      <c r="C250" s="179">
        <v>-3000000</v>
      </c>
      <c r="D250" s="179"/>
      <c r="E250" s="179" t="str">
        <f>+IF(FINANCIACION[[#This Row],[$ CAPITAL]]&gt;=0,FINANCIACION[[#This Row],[$ CAPITAL]]+FINANCIACION[[#This Row],[$ INTERESES]],"")</f>
        <v/>
      </c>
      <c r="F250" s="179">
        <f>+SUMIFS(FINANCIACION[$ CAPITAL],FINANCIACION[Fecha],"&lt;="&amp;FINANCIACION[[#This Row],[Fecha]],FINANCIACION[PRESTAMO],FINANCIACION[[#This Row],[PRESTAMO]])</f>
        <v>-76428202.375413999</v>
      </c>
      <c r="G250" s="179"/>
      <c r="H250" s="185" t="s">
        <v>185</v>
      </c>
      <c r="I250" s="185"/>
      <c r="J250" s="179" t="b">
        <f>IF(FINANCIACION[[#This Row],[$ CAPITAL]]&gt;0,FINANCIACION[[#This Row],[$ CAPITAL]])</f>
        <v>0</v>
      </c>
      <c r="K250" s="186">
        <f>IF(FINANCIACION[[#This Row],[$ CAPITAL]]&gt;=0,FINANCIACION[[#This Row],[$ CAPITAL]]+FINANCIACION[[#This Row],[$ INTERESES]],0)</f>
        <v>0</v>
      </c>
    </row>
    <row r="251" spans="1:11" ht="24" hidden="1" customHeight="1" x14ac:dyDescent="0.25">
      <c r="A251" s="177">
        <v>44389</v>
      </c>
      <c r="B251" s="184" t="s">
        <v>331</v>
      </c>
      <c r="C251" s="179">
        <v>3000000</v>
      </c>
      <c r="D251" s="179"/>
      <c r="E251" s="179">
        <f>+IF(FINANCIACION[[#This Row],[$ CAPITAL]]&gt;=0,FINANCIACION[[#This Row],[$ CAPITAL]]+FINANCIACION[[#This Row],[$ INTERESES]],"")</f>
        <v>3000000</v>
      </c>
      <c r="F251" s="179">
        <f>+SUMIFS(FINANCIACION[$ CAPITAL],FINANCIACION[Fecha],"&lt;="&amp;FINANCIACION[[#This Row],[Fecha]],FINANCIACION[PRESTAMO],FINANCIACION[[#This Row],[PRESTAMO]])</f>
        <v>-73428202.375413999</v>
      </c>
      <c r="G251" s="179"/>
      <c r="I251" s="185"/>
      <c r="J251" s="179">
        <f>IF(FINANCIACION[[#This Row],[$ CAPITAL]]&gt;0,FINANCIACION[[#This Row],[$ CAPITAL]])</f>
        <v>3000000</v>
      </c>
      <c r="K251" s="186">
        <f>IF(FINANCIACION[[#This Row],[$ CAPITAL]]&gt;=0,FINANCIACION[[#This Row],[$ CAPITAL]]+FINANCIACION[[#This Row],[$ INTERESES]],0)</f>
        <v>3000000</v>
      </c>
    </row>
    <row r="252" spans="1:11" ht="24" hidden="1" customHeight="1" x14ac:dyDescent="0.25">
      <c r="A252" s="177">
        <v>44390</v>
      </c>
      <c r="B252" s="184" t="s">
        <v>331</v>
      </c>
      <c r="C252" s="179">
        <v>467424.85484586004</v>
      </c>
      <c r="D252" s="179">
        <v>732575.14515413996</v>
      </c>
      <c r="E252" s="179">
        <f>+IF(FINANCIACION[[#This Row],[$ CAPITAL]]&gt;=0,FINANCIACION[[#This Row],[$ CAPITAL]]+FINANCIACION[[#This Row],[$ INTERESES]],"")</f>
        <v>1200000</v>
      </c>
      <c r="F252" s="179">
        <f>+SUMIFS(FINANCIACION[$ CAPITAL],FINANCIACION[Fecha],"&lt;="&amp;FINANCIACION[[#This Row],[Fecha]],FINANCIACION[PRESTAMO],FINANCIACION[[#This Row],[PRESTAMO]])</f>
        <v>-72960777.520568132</v>
      </c>
      <c r="G252" s="179"/>
      <c r="I252" s="185"/>
      <c r="J252" s="179">
        <f>IF(FINANCIACION[[#This Row],[$ CAPITAL]]&gt;0,FINANCIACION[[#This Row],[$ CAPITAL]])</f>
        <v>467424.85484586004</v>
      </c>
      <c r="K252" s="186">
        <f>IF(FINANCIACION[[#This Row],[$ CAPITAL]]&gt;=0,FINANCIACION[[#This Row],[$ CAPITAL]]+FINANCIACION[[#This Row],[$ INTERESES]],0)</f>
        <v>1200000</v>
      </c>
    </row>
    <row r="253" spans="1:11" ht="24" hidden="1" customHeight="1" x14ac:dyDescent="0.25">
      <c r="A253" s="177">
        <v>44425</v>
      </c>
      <c r="B253" s="184" t="s">
        <v>331</v>
      </c>
      <c r="C253" s="179">
        <v>472099.1033943186</v>
      </c>
      <c r="D253" s="179">
        <v>727900.8966056814</v>
      </c>
      <c r="E253" s="179">
        <f>+IF(FINANCIACION[[#This Row],[$ CAPITAL]]&gt;=0,FINANCIACION[[#This Row],[$ CAPITAL]]+FINANCIACION[[#This Row],[$ INTERESES]],"")</f>
        <v>1200000</v>
      </c>
      <c r="F253" s="179">
        <f>+SUMIFS(FINANCIACION[$ CAPITAL],FINANCIACION[Fecha],"&lt;="&amp;FINANCIACION[[#This Row],[Fecha]],FINANCIACION[PRESTAMO],FINANCIACION[[#This Row],[PRESTAMO]])</f>
        <v>-72488678.417173818</v>
      </c>
      <c r="G253" s="179"/>
      <c r="I253" s="185"/>
      <c r="J253" s="179">
        <f>IF(FINANCIACION[[#This Row],[$ CAPITAL]]&gt;0,FINANCIACION[[#This Row],[$ CAPITAL]])</f>
        <v>472099.1033943186</v>
      </c>
      <c r="K253" s="186">
        <f>IF(FINANCIACION[[#This Row],[$ CAPITAL]]&gt;=0,FINANCIACION[[#This Row],[$ CAPITAL]]+FINANCIACION[[#This Row],[$ INTERESES]],0)</f>
        <v>1200000</v>
      </c>
    </row>
    <row r="254" spans="1:11" ht="24" hidden="1" customHeight="1" x14ac:dyDescent="0.25">
      <c r="A254" s="177">
        <v>44450</v>
      </c>
      <c r="B254" s="184" t="s">
        <v>331</v>
      </c>
      <c r="C254" s="179">
        <v>476820.09442826186</v>
      </c>
      <c r="D254" s="179">
        <v>723179.90557173814</v>
      </c>
      <c r="E254" s="179">
        <f>+IF(FINANCIACION[[#This Row],[$ CAPITAL]]&gt;=0,FINANCIACION[[#This Row],[$ CAPITAL]]+FINANCIACION[[#This Row],[$ INTERESES]],"")</f>
        <v>1200000</v>
      </c>
      <c r="F254" s="179">
        <f>+SUMIFS(FINANCIACION[$ CAPITAL],FINANCIACION[Fecha],"&lt;="&amp;FINANCIACION[[#This Row],[Fecha]],FINANCIACION[PRESTAMO],FINANCIACION[[#This Row],[PRESTAMO]])</f>
        <v>-72011858.322745562</v>
      </c>
      <c r="G254" s="179"/>
      <c r="H254" s="183"/>
      <c r="I254" s="185"/>
      <c r="J254" s="179">
        <f>IF(FINANCIACION[[#This Row],[$ CAPITAL]]&gt;0,FINANCIACION[[#This Row],[$ CAPITAL]])</f>
        <v>476820.09442826186</v>
      </c>
      <c r="K254" s="186">
        <f>IF(FINANCIACION[[#This Row],[$ CAPITAL]]&gt;=0,FINANCIACION[[#This Row],[$ CAPITAL]]+FINANCIACION[[#This Row],[$ INTERESES]],0)</f>
        <v>1200000</v>
      </c>
    </row>
    <row r="255" spans="1:11" ht="24" hidden="1" customHeight="1" x14ac:dyDescent="0.25">
      <c r="A255" s="177">
        <v>44480</v>
      </c>
      <c r="B255" s="184" t="s">
        <v>331</v>
      </c>
      <c r="C255" s="179">
        <v>481588.29537254432</v>
      </c>
      <c r="D255" s="179">
        <v>718411.70462745568</v>
      </c>
      <c r="E255" s="179">
        <f>+IF(FINANCIACION[[#This Row],[$ CAPITAL]]&gt;=0,FINANCIACION[[#This Row],[$ CAPITAL]]+FINANCIACION[[#This Row],[$ INTERESES]],"")</f>
        <v>1200000</v>
      </c>
      <c r="F255" s="179">
        <f>+SUMIFS(FINANCIACION[$ CAPITAL],FINANCIACION[Fecha],"&lt;="&amp;FINANCIACION[[#This Row],[Fecha]],FINANCIACION[PRESTAMO],FINANCIACION[[#This Row],[PRESTAMO]])</f>
        <v>-71530270.027373016</v>
      </c>
      <c r="G255" s="179"/>
      <c r="H255" s="183"/>
      <c r="I255" s="185"/>
      <c r="J255" s="179">
        <f>IF(FINANCIACION[[#This Row],[$ CAPITAL]]&gt;0,FINANCIACION[[#This Row],[$ CAPITAL]])</f>
        <v>481588.29537254432</v>
      </c>
      <c r="K255" s="186">
        <f>IF(FINANCIACION[[#This Row],[$ CAPITAL]]&gt;=0,FINANCIACION[[#This Row],[$ CAPITAL]]+FINANCIACION[[#This Row],[$ INTERESES]],0)</f>
        <v>1200000</v>
      </c>
    </row>
    <row r="256" spans="1:11" ht="24" hidden="1" customHeight="1" x14ac:dyDescent="0.25">
      <c r="A256" s="177">
        <v>44510</v>
      </c>
      <c r="B256" s="184" t="s">
        <v>331</v>
      </c>
      <c r="C256" s="179">
        <v>486404.17832626984</v>
      </c>
      <c r="D256" s="179">
        <v>713595.82167373016</v>
      </c>
      <c r="E256" s="179">
        <f>+IF(FINANCIACION[[#This Row],[$ CAPITAL]]&gt;=0,FINANCIACION[[#This Row],[$ CAPITAL]]+FINANCIACION[[#This Row],[$ INTERESES]],"")</f>
        <v>1200000</v>
      </c>
      <c r="F256" s="179">
        <f>+SUMIFS(FINANCIACION[$ CAPITAL],FINANCIACION[Fecha],"&lt;="&amp;FINANCIACION[[#This Row],[Fecha]],FINANCIACION[PRESTAMO],FINANCIACION[[#This Row],[PRESTAMO]])</f>
        <v>-71043865.849046752</v>
      </c>
      <c r="G256" s="179"/>
      <c r="I256" s="185"/>
      <c r="J256" s="179">
        <f>IF(FINANCIACION[[#This Row],[$ CAPITAL]]&gt;0,FINANCIACION[[#This Row],[$ CAPITAL]])</f>
        <v>486404.17832626984</v>
      </c>
      <c r="K256" s="186">
        <f>IF(FINANCIACION[[#This Row],[$ CAPITAL]]&gt;=0,FINANCIACION[[#This Row],[$ CAPITAL]]+FINANCIACION[[#This Row],[$ INTERESES]],0)</f>
        <v>1200000</v>
      </c>
    </row>
    <row r="257" spans="1:11" ht="24" hidden="1" customHeight="1" x14ac:dyDescent="0.25">
      <c r="A257" s="177">
        <v>44539</v>
      </c>
      <c r="B257" s="184" t="s">
        <v>331</v>
      </c>
      <c r="C257" s="179">
        <v>491268.22010953247</v>
      </c>
      <c r="D257" s="179">
        <v>708731.77989046753</v>
      </c>
      <c r="E257" s="179">
        <f>+IF(FINANCIACION[[#This Row],[$ CAPITAL]]&gt;=0,FINANCIACION[[#This Row],[$ CAPITAL]]+FINANCIACION[[#This Row],[$ INTERESES]],"")</f>
        <v>1200000</v>
      </c>
      <c r="F257" s="179">
        <f>+SUMIFS(FINANCIACION[$ CAPITAL],FINANCIACION[Fecha],"&lt;="&amp;FINANCIACION[[#This Row],[Fecha]],FINANCIACION[PRESTAMO],FINANCIACION[[#This Row],[PRESTAMO]])</f>
        <v>-70552597.628937215</v>
      </c>
      <c r="G257" s="179"/>
      <c r="I257" s="185"/>
      <c r="J257" s="179">
        <f>IF(FINANCIACION[[#This Row],[$ CAPITAL]]&gt;0,FINANCIACION[[#This Row],[$ CAPITAL]])</f>
        <v>491268.22010953247</v>
      </c>
      <c r="K257" s="186">
        <f>IF(FINANCIACION[[#This Row],[$ CAPITAL]]&gt;=0,FINANCIACION[[#This Row],[$ CAPITAL]]+FINANCIACION[[#This Row],[$ INTERESES]],0)</f>
        <v>1200000</v>
      </c>
    </row>
    <row r="258" spans="1:11" ht="24" hidden="1" customHeight="1" x14ac:dyDescent="0.25">
      <c r="A258" s="177">
        <v>44572</v>
      </c>
      <c r="B258" s="184" t="s">
        <v>331</v>
      </c>
      <c r="C258" s="179">
        <v>496180.90231062786</v>
      </c>
      <c r="D258" s="179">
        <v>703819.09768937214</v>
      </c>
      <c r="E258" s="179">
        <f>+IF(FINANCIACION[[#This Row],[$ CAPITAL]]&gt;=0,FINANCIACION[[#This Row],[$ CAPITAL]]+FINANCIACION[[#This Row],[$ INTERESES]],"")</f>
        <v>1200000</v>
      </c>
      <c r="F258" s="179">
        <f>+SUMIFS(FINANCIACION[$ CAPITAL],FINANCIACION[Fecha],"&lt;="&amp;FINANCIACION[[#This Row],[Fecha]],FINANCIACION[PRESTAMO],FINANCIACION[[#This Row],[PRESTAMO]])</f>
        <v>-70056416.72662659</v>
      </c>
      <c r="G258" s="179"/>
      <c r="I258" s="185"/>
      <c r="J258" s="179">
        <f>IF(FINANCIACION[[#This Row],[$ CAPITAL]]&gt;0,FINANCIACION[[#This Row],[$ CAPITAL]])</f>
        <v>496180.90231062786</v>
      </c>
      <c r="K258" s="186">
        <f>IF(FINANCIACION[[#This Row],[$ CAPITAL]]&gt;=0,FINANCIACION[[#This Row],[$ CAPITAL]]+FINANCIACION[[#This Row],[$ INTERESES]],0)</f>
        <v>1200000</v>
      </c>
    </row>
    <row r="259" spans="1:11" ht="24" hidden="1" customHeight="1" x14ac:dyDescent="0.25">
      <c r="A259" s="177">
        <v>44602</v>
      </c>
      <c r="B259" s="184" t="s">
        <v>331</v>
      </c>
      <c r="C259" s="179">
        <v>501142.7113337341</v>
      </c>
      <c r="D259" s="179">
        <v>698857.2886662659</v>
      </c>
      <c r="E259" s="179">
        <f>+IF(FINANCIACION[[#This Row],[$ CAPITAL]]&gt;=0,FINANCIACION[[#This Row],[$ CAPITAL]]+FINANCIACION[[#This Row],[$ INTERESES]],"")</f>
        <v>1200000</v>
      </c>
      <c r="F259" s="179">
        <f>+SUMIFS(FINANCIACION[$ CAPITAL],FINANCIACION[Fecha],"&lt;="&amp;FINANCIACION[[#This Row],[Fecha]],FINANCIACION[PRESTAMO],FINANCIACION[[#This Row],[PRESTAMO]])</f>
        <v>-69555274.015292853</v>
      </c>
      <c r="G259" s="179"/>
      <c r="I259" s="185"/>
      <c r="J259" s="179">
        <f>+IF(FINANCIACION[[#This Row],[$ CAPITAL]]&gt;0,FINANCIACION[[#This Row],[$ CAPITAL]])</f>
        <v>501142.7113337341</v>
      </c>
      <c r="K259" s="186">
        <f>+IF(FINANCIACION[[#This Row],[$ CAPITAL]]&gt;=0,FINANCIACION[[#This Row],[$ CAPITAL]]+FINANCIACION[[#This Row],[$ INTERESES]],0)</f>
        <v>1200000</v>
      </c>
    </row>
    <row r="260" spans="1:11" ht="24" hidden="1" customHeight="1" x14ac:dyDescent="0.25">
      <c r="A260" s="177">
        <v>44629</v>
      </c>
      <c r="B260" s="184" t="s">
        <v>331</v>
      </c>
      <c r="C260" s="179">
        <v>506154.13844707143</v>
      </c>
      <c r="D260" s="179">
        <v>693845.86155292857</v>
      </c>
      <c r="E260" s="179">
        <f>+IF(FINANCIACION[[#This Row],[$ CAPITAL]]&gt;=0,FINANCIACION[[#This Row],[$ CAPITAL]]+FINANCIACION[[#This Row],[$ INTERESES]],"")</f>
        <v>1200000</v>
      </c>
      <c r="F260" s="179">
        <f>+SUMIFS(FINANCIACION[$ CAPITAL],FINANCIACION[Fecha],"&lt;="&amp;FINANCIACION[[#This Row],[Fecha]],FINANCIACION[PRESTAMO],FINANCIACION[[#This Row],[PRESTAMO]])</f>
        <v>-69049119.876845777</v>
      </c>
      <c r="G260" s="179"/>
      <c r="I260" s="185"/>
      <c r="J260" s="179">
        <f>+IF(FINANCIACION[[#This Row],[$ CAPITAL]]&gt;0,FINANCIACION[[#This Row],[$ CAPITAL]])</f>
        <v>506154.13844707143</v>
      </c>
      <c r="K260" s="186">
        <f>+IF(FINANCIACION[[#This Row],[$ CAPITAL]]&gt;=0,FINANCIACION[[#This Row],[$ CAPITAL]]+FINANCIACION[[#This Row],[$ INTERESES]],0)</f>
        <v>1200000</v>
      </c>
    </row>
    <row r="261" spans="1:11" ht="24" hidden="1" customHeight="1" x14ac:dyDescent="0.25">
      <c r="A261" s="177">
        <v>44666</v>
      </c>
      <c r="B261" s="184" t="s">
        <v>331</v>
      </c>
      <c r="C261" s="179">
        <v>511215.67983154219</v>
      </c>
      <c r="D261" s="179">
        <v>688784.32016845781</v>
      </c>
      <c r="E261" s="179">
        <f>+IF(FINANCIACION[[#This Row],[$ CAPITAL]]&gt;=0,FINANCIACION[[#This Row],[$ CAPITAL]]+FINANCIACION[[#This Row],[$ INTERESES]],"")</f>
        <v>1200000</v>
      </c>
      <c r="F261" s="179">
        <f>+SUMIFS(FINANCIACION[$ CAPITAL],FINANCIACION[Fecha],"&lt;="&amp;FINANCIACION[[#This Row],[Fecha]],FINANCIACION[PRESTAMO],FINANCIACION[[#This Row],[PRESTAMO]])</f>
        <v>-68537904.197014228</v>
      </c>
      <c r="G261" s="179"/>
      <c r="I261" s="185"/>
      <c r="J261" s="179">
        <f>+IF(FINANCIACION[[#This Row],[$ CAPITAL]]&gt;0,FINANCIACION[[#This Row],[$ CAPITAL]])</f>
        <v>511215.67983154219</v>
      </c>
      <c r="K261" s="186">
        <f>+IF(FINANCIACION[[#This Row],[$ CAPITAL]]&gt;=0,FINANCIACION[[#This Row],[$ CAPITAL]]+FINANCIACION[[#This Row],[$ INTERESES]],0)</f>
        <v>1200000</v>
      </c>
    </row>
    <row r="262" spans="1:11" ht="24" hidden="1" customHeight="1" x14ac:dyDescent="0.25">
      <c r="A262" s="177">
        <v>44691</v>
      </c>
      <c r="B262" s="184" t="s">
        <v>331</v>
      </c>
      <c r="C262" s="179">
        <v>516327.83662985766</v>
      </c>
      <c r="D262" s="179">
        <v>683672.16337014234</v>
      </c>
      <c r="E262" s="179">
        <f>+IF(FINANCIACION[[#This Row],[$ CAPITAL]]&gt;=0,FINANCIACION[[#This Row],[$ CAPITAL]]+FINANCIACION[[#This Row],[$ INTERESES]],"")</f>
        <v>1200000</v>
      </c>
      <c r="F262" s="179">
        <f>+SUMIFS(FINANCIACION[$ CAPITAL],FINANCIACION[Fecha],"&lt;="&amp;FINANCIACION[[#This Row],[Fecha]],FINANCIACION[PRESTAMO],FINANCIACION[[#This Row],[PRESTAMO]])</f>
        <v>-68021576.360384375</v>
      </c>
      <c r="G262" s="179"/>
      <c r="I262" s="185"/>
      <c r="J262" s="179">
        <f>+IF(FINANCIACION[[#This Row],[$ CAPITAL]]&gt;0,FINANCIACION[[#This Row],[$ CAPITAL]])</f>
        <v>516327.83662985766</v>
      </c>
      <c r="K262" s="186">
        <f>+IF(FINANCIACION[[#This Row],[$ CAPITAL]]&gt;=0,FINANCIACION[[#This Row],[$ CAPITAL]]+FINANCIACION[[#This Row],[$ INTERESES]],0)</f>
        <v>1200000</v>
      </c>
    </row>
    <row r="263" spans="1:11" ht="24" hidden="1" customHeight="1" x14ac:dyDescent="0.25">
      <c r="A263" s="177">
        <v>44722</v>
      </c>
      <c r="B263" s="184" t="s">
        <v>331</v>
      </c>
      <c r="C263" s="179">
        <v>1321491.1149961562</v>
      </c>
      <c r="D263" s="179">
        <v>678508.88500384381</v>
      </c>
      <c r="E263" s="179">
        <f>+IF(FINANCIACION[[#This Row],[$ CAPITAL]]&gt;=0,FINANCIACION[[#This Row],[$ CAPITAL]]+FINANCIACION[[#This Row],[$ INTERESES]],"")</f>
        <v>2000000</v>
      </c>
      <c r="F263" s="179">
        <f>+SUMIFS(FINANCIACION[$ CAPITAL],FINANCIACION[Fecha],"&lt;="&amp;FINANCIACION[[#This Row],[Fecha]],FINANCIACION[PRESTAMO],FINANCIACION[[#This Row],[PRESTAMO]])</f>
        <v>-66700085.245388217</v>
      </c>
      <c r="G263" s="179"/>
      <c r="I263" s="185"/>
      <c r="J263" s="179">
        <f>+IF(FINANCIACION[[#This Row],[$ CAPITAL]]&gt;0,FINANCIACION[[#This Row],[$ CAPITAL]])</f>
        <v>1321491.1149961562</v>
      </c>
      <c r="K263" s="186">
        <f>+IF(FINANCIACION[[#This Row],[$ CAPITAL]]&gt;=0,FINANCIACION[[#This Row],[$ CAPITAL]]+FINANCIACION[[#This Row],[$ INTERESES]],0)</f>
        <v>2000000</v>
      </c>
    </row>
    <row r="264" spans="1:11" ht="24" hidden="1" customHeight="1" x14ac:dyDescent="0.25">
      <c r="A264" s="177">
        <v>44753</v>
      </c>
      <c r="B264" s="184" t="s">
        <v>331</v>
      </c>
      <c r="C264" s="179">
        <v>1334706.0261461178</v>
      </c>
      <c r="D264" s="179">
        <v>665293.97385388217</v>
      </c>
      <c r="E264" s="179">
        <f>+IF(FINANCIACION[[#This Row],[$ CAPITAL]]&gt;=0,FINANCIACION[[#This Row],[$ CAPITAL]]+FINANCIACION[[#This Row],[$ INTERESES]],"")</f>
        <v>2000000</v>
      </c>
      <c r="F264" s="179">
        <f>+SUMIFS(FINANCIACION[$ CAPITAL],FINANCIACION[Fecha],"&lt;="&amp;FINANCIACION[[#This Row],[Fecha]],FINANCIACION[PRESTAMO],FINANCIACION[[#This Row],[PRESTAMO]])</f>
        <v>-65365379.219242096</v>
      </c>
      <c r="G264" s="179"/>
      <c r="I264" s="185"/>
      <c r="J264" s="179">
        <f>+IF(FINANCIACION[[#This Row],[$ CAPITAL]]&gt;0,FINANCIACION[[#This Row],[$ CAPITAL]])</f>
        <v>1334706.0261461178</v>
      </c>
      <c r="K264" s="186">
        <f>+IF(FINANCIACION[[#This Row],[$ CAPITAL]]&gt;=0,FINANCIACION[[#This Row],[$ CAPITAL]]+FINANCIACION[[#This Row],[$ INTERESES]],0)</f>
        <v>2000000</v>
      </c>
    </row>
    <row r="265" spans="1:11" ht="24" hidden="1" customHeight="1" x14ac:dyDescent="0.25">
      <c r="A265" s="177">
        <v>44786</v>
      </c>
      <c r="B265" s="184" t="s">
        <v>331</v>
      </c>
      <c r="C265" s="179">
        <v>1348053.086407579</v>
      </c>
      <c r="D265" s="179">
        <v>651946.91359242098</v>
      </c>
      <c r="E265" s="179">
        <f>+IF(FINANCIACION[[#This Row],[$ CAPITAL]]&gt;=0,FINANCIACION[[#This Row],[$ CAPITAL]]+FINANCIACION[[#This Row],[$ INTERESES]],"")</f>
        <v>2000000</v>
      </c>
      <c r="F265" s="179">
        <f>+SUMIFS(FINANCIACION[$ CAPITAL],FINANCIACION[Fecha],"&lt;="&amp;FINANCIACION[[#This Row],[Fecha]],FINANCIACION[PRESTAMO],FINANCIACION[[#This Row],[PRESTAMO]])</f>
        <v>-64017326.132834516</v>
      </c>
      <c r="G265" s="179"/>
      <c r="I265" s="185"/>
      <c r="J265" s="179">
        <f>+IF(FINANCIACION[[#This Row],[$ CAPITAL]]&gt;0,FINANCIACION[[#This Row],[$ CAPITAL]])</f>
        <v>1348053.086407579</v>
      </c>
      <c r="K265" s="186">
        <f>+IF(FINANCIACION[[#This Row],[$ CAPITAL]]&gt;=0,FINANCIACION[[#This Row],[$ CAPITAL]]+FINANCIACION[[#This Row],[$ INTERESES]],0)</f>
        <v>2000000</v>
      </c>
    </row>
    <row r="266" spans="1:11" ht="24" hidden="1" customHeight="1" x14ac:dyDescent="0.25">
      <c r="A266" s="177">
        <v>44823</v>
      </c>
      <c r="B266" s="184" t="s">
        <v>331</v>
      </c>
      <c r="C266" s="179">
        <v>1359827</v>
      </c>
      <c r="D266" s="179">
        <v>640173</v>
      </c>
      <c r="E266" s="179">
        <f>+IF(FINANCIACION[[#This Row],[$ CAPITAL]]&gt;=0,FINANCIACION[[#This Row],[$ CAPITAL]]+FINANCIACION[[#This Row],[$ INTERESES]],"")</f>
        <v>2000000</v>
      </c>
      <c r="F266" s="179">
        <f>+SUMIFS(FINANCIACION[$ CAPITAL],FINANCIACION[Fecha],"&lt;="&amp;FINANCIACION[[#This Row],[Fecha]],FINANCIACION[PRESTAMO],FINANCIACION[[#This Row],[PRESTAMO]])</f>
        <v>-62657499.132834516</v>
      </c>
      <c r="G266" s="179"/>
      <c r="I266" s="185"/>
      <c r="J266" s="179">
        <f>+IF(FINANCIACION[[#This Row],[$ CAPITAL]]&gt;0,FINANCIACION[[#This Row],[$ CAPITAL]])</f>
        <v>1359827</v>
      </c>
      <c r="K266" s="186">
        <f>+IF(FINANCIACION[[#This Row],[$ CAPITAL]]&gt;=0,FINANCIACION[[#This Row],[$ CAPITAL]]+FINANCIACION[[#This Row],[$ INTERESES]],0)</f>
        <v>2000000</v>
      </c>
    </row>
    <row r="267" spans="1:11" ht="24" hidden="1" customHeight="1" x14ac:dyDescent="0.25">
      <c r="A267" s="177">
        <v>44855</v>
      </c>
      <c r="B267" s="184" t="s">
        <v>331</v>
      </c>
      <c r="C267" s="179">
        <v>1373425</v>
      </c>
      <c r="D267" s="179">
        <v>626575</v>
      </c>
      <c r="E267" s="179">
        <f>+IF(FINANCIACION[[#This Row],[$ CAPITAL]]&gt;=0,FINANCIACION[[#This Row],[$ CAPITAL]]+FINANCIACION[[#This Row],[$ INTERESES]],"")</f>
        <v>2000000</v>
      </c>
      <c r="F267" s="179">
        <f>+SUMIFS(FINANCIACION[$ CAPITAL],FINANCIACION[Fecha],"&lt;="&amp;FINANCIACION[[#This Row],[Fecha]],FINANCIACION[PRESTAMO],FINANCIACION[[#This Row],[PRESTAMO]])</f>
        <v>-61284074.132834516</v>
      </c>
      <c r="G267" s="179"/>
      <c r="I267" s="185"/>
      <c r="J267" s="179">
        <f>+IF(FINANCIACION[[#This Row],[$ CAPITAL]]&gt;0,FINANCIACION[[#This Row],[$ CAPITAL]])</f>
        <v>1373425</v>
      </c>
      <c r="K267" s="186">
        <f>+IF(FINANCIACION[[#This Row],[$ CAPITAL]]&gt;=0,FINANCIACION[[#This Row],[$ CAPITAL]]+FINANCIACION[[#This Row],[$ INTERESES]],0)</f>
        <v>2000000</v>
      </c>
    </row>
    <row r="268" spans="1:11" ht="24" hidden="1" customHeight="1" x14ac:dyDescent="0.25">
      <c r="A268" s="177">
        <v>44876</v>
      </c>
      <c r="B268" s="184" t="s">
        <v>331</v>
      </c>
      <c r="C268" s="179">
        <v>1387159</v>
      </c>
      <c r="D268" s="179">
        <v>612841</v>
      </c>
      <c r="E268" s="179">
        <f>+IF(FINANCIACION[[#This Row],[$ CAPITAL]]&gt;=0,FINANCIACION[[#This Row],[$ CAPITAL]]+FINANCIACION[[#This Row],[$ INTERESES]],"")</f>
        <v>2000000</v>
      </c>
      <c r="F268" s="179">
        <f>+SUMIFS(FINANCIACION[$ CAPITAL],FINANCIACION[Fecha],"&lt;="&amp;FINANCIACION[[#This Row],[Fecha]],FINANCIACION[PRESTAMO],FINANCIACION[[#This Row],[PRESTAMO]])</f>
        <v>-59896915.132834516</v>
      </c>
      <c r="G268" s="179"/>
      <c r="I268" s="185"/>
      <c r="J268" s="179">
        <f>+IF(FINANCIACION[[#This Row],[$ CAPITAL]]&gt;0,FINANCIACION[[#This Row],[$ CAPITAL]])</f>
        <v>1387159</v>
      </c>
      <c r="K268" s="186">
        <f>+IF(FINANCIACION[[#This Row],[$ CAPITAL]]&gt;=0,FINANCIACION[[#This Row],[$ CAPITAL]]+FINANCIACION[[#This Row],[$ INTERESES]],0)</f>
        <v>2000000</v>
      </c>
    </row>
    <row r="269" spans="1:11" ht="24" hidden="1" customHeight="1" x14ac:dyDescent="0.25">
      <c r="A269" s="177">
        <v>44909</v>
      </c>
      <c r="B269" s="184" t="s">
        <v>331</v>
      </c>
      <c r="C269" s="179">
        <v>1401030</v>
      </c>
      <c r="D269" s="179">
        <v>598970</v>
      </c>
      <c r="E269" s="179">
        <f>+IF(FINANCIACION[[#This Row],[$ CAPITAL]]&gt;=0,FINANCIACION[[#This Row],[$ CAPITAL]]+FINANCIACION[[#This Row],[$ INTERESES]],"")</f>
        <v>2000000</v>
      </c>
      <c r="F269" s="179">
        <f>+SUMIFS(FINANCIACION[$ CAPITAL],FINANCIACION[Fecha],"&lt;="&amp;FINANCIACION[[#This Row],[Fecha]],FINANCIACION[PRESTAMO],FINANCIACION[[#This Row],[PRESTAMO]])</f>
        <v>-58495885.132834516</v>
      </c>
      <c r="G269" s="179"/>
      <c r="I269" s="185"/>
      <c r="J269" s="179">
        <f>+IF(FINANCIACION[[#This Row],[$ CAPITAL]]&gt;0,FINANCIACION[[#This Row],[$ CAPITAL]])</f>
        <v>1401030</v>
      </c>
      <c r="K269" s="186">
        <f>+IF(FINANCIACION[[#This Row],[$ CAPITAL]]&gt;=0,FINANCIACION[[#This Row],[$ CAPITAL]]+FINANCIACION[[#This Row],[$ INTERESES]],0)</f>
        <v>2000000</v>
      </c>
    </row>
    <row r="270" spans="1:11" ht="24" hidden="1" customHeight="1" x14ac:dyDescent="0.25">
      <c r="A270" s="177">
        <v>44925</v>
      </c>
      <c r="B270" s="184" t="s">
        <v>331</v>
      </c>
      <c r="C270" s="179">
        <v>1415041</v>
      </c>
      <c r="D270" s="179">
        <v>584959</v>
      </c>
      <c r="E270" s="179">
        <f>+IF(FINANCIACION[[#This Row],[$ CAPITAL]]&gt;=0,FINANCIACION[[#This Row],[$ CAPITAL]]+FINANCIACION[[#This Row],[$ INTERESES]],"")</f>
        <v>2000000</v>
      </c>
      <c r="F270" s="179">
        <f>+SUMIFS(FINANCIACION[$ CAPITAL],FINANCIACION[Fecha],"&lt;="&amp;FINANCIACION[[#This Row],[Fecha]],FINANCIACION[PRESTAMO],FINANCIACION[[#This Row],[PRESTAMO]])</f>
        <v>-57080844.132834516</v>
      </c>
      <c r="G270" s="179"/>
      <c r="I270" s="185"/>
      <c r="J270" s="179">
        <f>+IF(FINANCIACION[[#This Row],[$ CAPITAL]]&gt;0,FINANCIACION[[#This Row],[$ CAPITAL]])</f>
        <v>1415041</v>
      </c>
      <c r="K270" s="186">
        <f>+IF(FINANCIACION[[#This Row],[$ CAPITAL]]&gt;=0,FINANCIACION[[#This Row],[$ CAPITAL]]+FINANCIACION[[#This Row],[$ INTERESES]],0)</f>
        <v>2000000</v>
      </c>
    </row>
    <row r="271" spans="1:11" ht="24" hidden="1" customHeight="1" x14ac:dyDescent="0.25">
      <c r="A271" s="177">
        <v>44938</v>
      </c>
      <c r="B271" s="184" t="s">
        <v>331</v>
      </c>
      <c r="C271" s="179">
        <v>1429192</v>
      </c>
      <c r="D271" s="179">
        <v>570808</v>
      </c>
      <c r="E271" s="179">
        <f>+IF(FINANCIACION[[#This Row],[$ CAPITAL]]&gt;=0,FINANCIACION[[#This Row],[$ CAPITAL]]+FINANCIACION[[#This Row],[$ INTERESES]],"")</f>
        <v>2000000</v>
      </c>
      <c r="F271" s="179">
        <f>+SUMIFS(FINANCIACION[$ CAPITAL],FINANCIACION[Fecha],"&lt;="&amp;FINANCIACION[[#This Row],[Fecha]],FINANCIACION[PRESTAMO],FINANCIACION[[#This Row],[PRESTAMO]])</f>
        <v>-55651652.132834516</v>
      </c>
      <c r="G271" s="179"/>
      <c r="I271" s="185"/>
      <c r="J271" s="179">
        <f>+IF(FINANCIACION[[#This Row],[$ CAPITAL]]&gt;0,FINANCIACION[[#This Row],[$ CAPITAL]])</f>
        <v>1429192</v>
      </c>
      <c r="K271" s="186">
        <f>+IF(FINANCIACION[[#This Row],[$ CAPITAL]]&gt;=0,FINANCIACION[[#This Row],[$ CAPITAL]]+FINANCIACION[[#This Row],[$ INTERESES]],0)</f>
        <v>2000000</v>
      </c>
    </row>
    <row r="272" spans="1:11" ht="24" hidden="1" customHeight="1" x14ac:dyDescent="0.25">
      <c r="A272" s="177">
        <v>44970</v>
      </c>
      <c r="B272" s="184" t="s">
        <v>331</v>
      </c>
      <c r="C272" s="179">
        <v>1443483</v>
      </c>
      <c r="D272" s="179">
        <v>556517</v>
      </c>
      <c r="E272" s="179">
        <f>+IF(FINANCIACION[[#This Row],[$ CAPITAL]]&gt;=0,FINANCIACION[[#This Row],[$ CAPITAL]]+FINANCIACION[[#This Row],[$ INTERESES]],"")</f>
        <v>2000000</v>
      </c>
      <c r="F272" s="179">
        <f>+SUMIFS(FINANCIACION[$ CAPITAL],FINANCIACION[Fecha],"&lt;="&amp;FINANCIACION[[#This Row],[Fecha]],FINANCIACION[PRESTAMO],FINANCIACION[[#This Row],[PRESTAMO]])</f>
        <v>-54208169.132834516</v>
      </c>
      <c r="G272" s="179"/>
      <c r="I272" s="185"/>
      <c r="J272" s="179">
        <f>+IF(FINANCIACION[[#This Row],[$ CAPITAL]]&gt;0,FINANCIACION[[#This Row],[$ CAPITAL]])</f>
        <v>1443483</v>
      </c>
      <c r="K272" s="186">
        <f>+IF(FINANCIACION[[#This Row],[$ CAPITAL]]&gt;=0,FINANCIACION[[#This Row],[$ CAPITAL]]+FINANCIACION[[#This Row],[$ INTERESES]],0)</f>
        <v>2000000</v>
      </c>
    </row>
    <row r="273" spans="1:11" ht="24" hidden="1" customHeight="1" x14ac:dyDescent="0.25">
      <c r="A273" s="177">
        <v>45016</v>
      </c>
      <c r="B273" s="184" t="s">
        <v>331</v>
      </c>
      <c r="C273" s="179">
        <v>0</v>
      </c>
      <c r="D273" s="179">
        <v>0</v>
      </c>
      <c r="E273" s="179">
        <f>+IF(FINANCIACION[[#This Row],[$ CAPITAL]]&gt;=0,FINANCIACION[[#This Row],[$ CAPITAL]]+FINANCIACION[[#This Row],[$ INTERESES]],"")</f>
        <v>0</v>
      </c>
      <c r="F273" s="179">
        <f>+SUMIFS(FINANCIACION[$ CAPITAL],FINANCIACION[Fecha],"&lt;="&amp;FINANCIACION[[#This Row],[Fecha]],FINANCIACION[PRESTAMO],FINANCIACION[[#This Row],[PRESTAMO]])</f>
        <v>-54208169.132834516</v>
      </c>
      <c r="G273" s="179"/>
      <c r="I273" s="185"/>
      <c r="J273" s="179" t="b">
        <f>+IF(FINANCIACION[[#This Row],[$ CAPITAL]]&gt;0,FINANCIACION[[#This Row],[$ CAPITAL]])</f>
        <v>0</v>
      </c>
      <c r="K273" s="186">
        <f>+IF(FINANCIACION[[#This Row],[$ CAPITAL]]&gt;=0,FINANCIACION[[#This Row],[$ CAPITAL]]+FINANCIACION[[#This Row],[$ INTERESES]],0)</f>
        <v>0</v>
      </c>
    </row>
    <row r="274" spans="1:11" ht="24" hidden="1" customHeight="1" x14ac:dyDescent="0.25">
      <c r="A274" s="177">
        <v>45020</v>
      </c>
      <c r="B274" s="184" t="s">
        <v>331</v>
      </c>
      <c r="C274" s="179">
        <v>1457918</v>
      </c>
      <c r="D274" s="179">
        <v>542082</v>
      </c>
      <c r="E274" s="179">
        <f>+IF(FINANCIACION[[#This Row],[$ CAPITAL]]&gt;=0,FINANCIACION[[#This Row],[$ CAPITAL]]+FINANCIACION[[#This Row],[$ INTERESES]],"")</f>
        <v>2000000</v>
      </c>
      <c r="F274" s="179">
        <f>+SUMIFS(FINANCIACION[$ CAPITAL],FINANCIACION[Fecha],"&lt;="&amp;FINANCIACION[[#This Row],[Fecha]],FINANCIACION[PRESTAMO],FINANCIACION[[#This Row],[PRESTAMO]])</f>
        <v>-52750251.132834516</v>
      </c>
      <c r="G274" s="179"/>
      <c r="H274" s="185" t="s">
        <v>684</v>
      </c>
      <c r="I274" s="185"/>
      <c r="J274" s="179">
        <f>+IF(FINANCIACION[[#This Row],[$ CAPITAL]]&gt;0,FINANCIACION[[#This Row],[$ CAPITAL]])</f>
        <v>1457918</v>
      </c>
      <c r="K274" s="186">
        <f>+IF(FINANCIACION[[#This Row],[$ CAPITAL]]&gt;=0,FINANCIACION[[#This Row],[$ CAPITAL]]+FINANCIACION[[#This Row],[$ INTERESES]],0)</f>
        <v>2000000</v>
      </c>
    </row>
    <row r="275" spans="1:11" ht="24" hidden="1" customHeight="1" x14ac:dyDescent="0.25">
      <c r="A275" s="177">
        <v>45033</v>
      </c>
      <c r="B275" s="184" t="s">
        <v>331</v>
      </c>
      <c r="C275" s="179">
        <v>1472497</v>
      </c>
      <c r="D275" s="179">
        <v>527503</v>
      </c>
      <c r="E275" s="179">
        <f>+IF(FINANCIACION[[#This Row],[$ CAPITAL]]&gt;=0,FINANCIACION[[#This Row],[$ CAPITAL]]+FINANCIACION[[#This Row],[$ INTERESES]],"")</f>
        <v>2000000</v>
      </c>
      <c r="F275" s="179">
        <f>+SUMIFS(FINANCIACION[$ CAPITAL],FINANCIACION[Fecha],"&lt;="&amp;FINANCIACION[[#This Row],[Fecha]],FINANCIACION[PRESTAMO],FINANCIACION[[#This Row],[PRESTAMO]])</f>
        <v>-51277754.132834516</v>
      </c>
      <c r="G275" s="179"/>
      <c r="I275" s="185"/>
      <c r="J275" s="179">
        <f>+IF(FINANCIACION[[#This Row],[$ CAPITAL]]&gt;0,FINANCIACION[[#This Row],[$ CAPITAL]])</f>
        <v>1472497</v>
      </c>
      <c r="K275" s="186">
        <f>+IF(FINANCIACION[[#This Row],[$ CAPITAL]]&gt;=0,FINANCIACION[[#This Row],[$ CAPITAL]]+FINANCIACION[[#This Row],[$ INTERESES]],0)</f>
        <v>2000000</v>
      </c>
    </row>
    <row r="276" spans="1:11" ht="24" hidden="1" customHeight="1" x14ac:dyDescent="0.25">
      <c r="A276" s="177">
        <v>45054</v>
      </c>
      <c r="B276" s="184" t="s">
        <v>331</v>
      </c>
      <c r="C276" s="179">
        <v>1487222</v>
      </c>
      <c r="D276" s="179">
        <v>512778</v>
      </c>
      <c r="E276" s="179">
        <f>+IF(FINANCIACION[[#This Row],[$ CAPITAL]]&gt;=0,FINANCIACION[[#This Row],[$ CAPITAL]]+FINANCIACION[[#This Row],[$ INTERESES]],"")</f>
        <v>2000000</v>
      </c>
      <c r="F276" s="179">
        <f>+SUMIFS(FINANCIACION[$ CAPITAL],FINANCIACION[Fecha],"&lt;="&amp;FINANCIACION[[#This Row],[Fecha]],FINANCIACION[PRESTAMO],FINANCIACION[[#This Row],[PRESTAMO]])</f>
        <v>-49790532.132834516</v>
      </c>
      <c r="G276" s="179"/>
      <c r="I276" s="185"/>
      <c r="J276" s="179">
        <f>+IF(FINANCIACION[[#This Row],[$ CAPITAL]]&gt;0,FINANCIACION[[#This Row],[$ CAPITAL]])</f>
        <v>1487222</v>
      </c>
      <c r="K276" s="186">
        <f>+IF(FINANCIACION[[#This Row],[$ CAPITAL]]&gt;=0,FINANCIACION[[#This Row],[$ CAPITAL]]+FINANCIACION[[#This Row],[$ INTERESES]],0)</f>
        <v>2000000</v>
      </c>
    </row>
    <row r="277" spans="1:11" ht="24" hidden="1" customHeight="1" x14ac:dyDescent="0.25">
      <c r="A277" s="177">
        <v>45098</v>
      </c>
      <c r="B277" s="184" t="s">
        <v>331</v>
      </c>
      <c r="C277" s="179">
        <v>1502095</v>
      </c>
      <c r="D277" s="179">
        <v>497905</v>
      </c>
      <c r="E277" s="179">
        <f>+IF(FINANCIACION[[#This Row],[$ CAPITAL]]&gt;=0,FINANCIACION[[#This Row],[$ CAPITAL]]+FINANCIACION[[#This Row],[$ INTERESES]],"")</f>
        <v>2000000</v>
      </c>
      <c r="F277" s="179">
        <f>+SUMIFS(FINANCIACION[$ CAPITAL],FINANCIACION[Fecha],"&lt;="&amp;FINANCIACION[[#This Row],[Fecha]],FINANCIACION[PRESTAMO],FINANCIACION[[#This Row],[PRESTAMO]])</f>
        <v>-48288437.132834516</v>
      </c>
      <c r="G277" s="179"/>
      <c r="I277" s="185"/>
      <c r="J277" s="179">
        <f>+IF(FINANCIACION[[#This Row],[$ CAPITAL]]&gt;0,FINANCIACION[[#This Row],[$ CAPITAL]])</f>
        <v>1502095</v>
      </c>
      <c r="K277" s="186">
        <f>+IF(FINANCIACION[[#This Row],[$ CAPITAL]]&gt;=0,FINANCIACION[[#This Row],[$ CAPITAL]]+FINANCIACION[[#This Row],[$ INTERESES]],0)</f>
        <v>2000000</v>
      </c>
    </row>
    <row r="278" spans="1:11" ht="24" hidden="1" customHeight="1" x14ac:dyDescent="0.25">
      <c r="A278" s="177">
        <v>45107</v>
      </c>
      <c r="B278" s="184" t="s">
        <v>331</v>
      </c>
      <c r="C278" s="179">
        <v>-1364220</v>
      </c>
      <c r="D278" s="179"/>
      <c r="E278" s="179" t="str">
        <f>+IF(FINANCIACION[[#This Row],[$ CAPITAL]]&gt;=0,FINANCIACION[[#This Row],[$ CAPITAL]]+FINANCIACION[[#This Row],[$ INTERESES]],"")</f>
        <v/>
      </c>
      <c r="F278" s="179">
        <f>+SUMIFS(FINANCIACION[$ CAPITAL],FINANCIACION[Fecha],"&lt;="&amp;FINANCIACION[[#This Row],[Fecha]],FINANCIACION[PRESTAMO],FINANCIACION[[#This Row],[PRESTAMO]])</f>
        <v>-49652657.132834516</v>
      </c>
      <c r="G278" s="179"/>
      <c r="H278" s="185" t="s">
        <v>888</v>
      </c>
      <c r="I278" s="185"/>
      <c r="J278" s="179" t="b">
        <f>+IF(FINANCIACION[[#This Row],[$ CAPITAL]]&gt;0,FINANCIACION[[#This Row],[$ CAPITAL]])</f>
        <v>0</v>
      </c>
      <c r="K278" s="186">
        <f>+IF(FINANCIACION[[#This Row],[$ CAPITAL]]&gt;=0,FINANCIACION[[#This Row],[$ CAPITAL]]+FINANCIACION[[#This Row],[$ INTERESES]],0)</f>
        <v>0</v>
      </c>
    </row>
    <row r="279" spans="1:11" ht="24" hidden="1" customHeight="1" x14ac:dyDescent="0.25">
      <c r="A279" s="177">
        <v>45126</v>
      </c>
      <c r="B279" s="184" t="s">
        <v>331</v>
      </c>
      <c r="C279" s="179">
        <v>1503473</v>
      </c>
      <c r="D279" s="179">
        <v>496527</v>
      </c>
      <c r="E279" s="179">
        <f>+IF(FINANCIACION[[#This Row],[$ CAPITAL]]&gt;=0,FINANCIACION[[#This Row],[$ CAPITAL]]+FINANCIACION[[#This Row],[$ INTERESES]],"")</f>
        <v>2000000</v>
      </c>
      <c r="F279" s="179">
        <f>+SUMIFS(FINANCIACION[$ CAPITAL],FINANCIACION[Fecha],"&lt;="&amp;FINANCIACION[[#This Row],[Fecha]],FINANCIACION[PRESTAMO],FINANCIACION[[#This Row],[PRESTAMO]])</f>
        <v>-48149184.132834516</v>
      </c>
      <c r="G279" s="179"/>
      <c r="I279" s="185"/>
      <c r="J279" s="179">
        <f>+IF(FINANCIACION[[#This Row],[$ CAPITAL]]&gt;0,FINANCIACION[[#This Row],[$ CAPITAL]])</f>
        <v>1503473</v>
      </c>
      <c r="K279" s="186">
        <f>+IF(FINANCIACION[[#This Row],[$ CAPITAL]]&gt;=0,FINANCIACION[[#This Row],[$ CAPITAL]]+FINANCIACION[[#This Row],[$ INTERESES]],0)</f>
        <v>2000000</v>
      </c>
    </row>
    <row r="280" spans="1:11" ht="24" hidden="1" customHeight="1" x14ac:dyDescent="0.25">
      <c r="A280" s="177">
        <v>45155</v>
      </c>
      <c r="B280" s="184" t="s">
        <v>331</v>
      </c>
      <c r="C280" s="179">
        <v>1518508.16</v>
      </c>
      <c r="D280" s="179">
        <v>481491.84</v>
      </c>
      <c r="E280" s="179">
        <f>+IF(FINANCIACION[[#This Row],[$ CAPITAL]]&gt;=0,FINANCIACION[[#This Row],[$ CAPITAL]]+FINANCIACION[[#This Row],[$ INTERESES]],"")</f>
        <v>2000000</v>
      </c>
      <c r="F280" s="179">
        <f>+SUMIFS(FINANCIACION[$ CAPITAL],FINANCIACION[Fecha],"&lt;="&amp;FINANCIACION[[#This Row],[Fecha]],FINANCIACION[PRESTAMO],FINANCIACION[[#This Row],[PRESTAMO]])</f>
        <v>-46630675.97283452</v>
      </c>
      <c r="G280" s="179"/>
      <c r="I280" s="185"/>
      <c r="J280" s="179">
        <f>+IF(FINANCIACION[[#This Row],[$ CAPITAL]]&gt;0,FINANCIACION[[#This Row],[$ CAPITAL]])</f>
        <v>1518508.16</v>
      </c>
      <c r="K280" s="186">
        <f>+IF(FINANCIACION[[#This Row],[$ CAPITAL]]&gt;=0,FINANCIACION[[#This Row],[$ CAPITAL]]+FINANCIACION[[#This Row],[$ INTERESES]],0)</f>
        <v>2000000</v>
      </c>
    </row>
    <row r="281" spans="1:11" ht="24" hidden="1" customHeight="1" x14ac:dyDescent="0.25">
      <c r="A281" s="177">
        <v>45194</v>
      </c>
      <c r="B281" s="184" t="s">
        <v>331</v>
      </c>
      <c r="C281" s="179">
        <v>1533693</v>
      </c>
      <c r="D281" s="179">
        <v>466307</v>
      </c>
      <c r="E281" s="179">
        <f>+IF(FINANCIACION[[#This Row],[$ CAPITAL]]&gt;=0,FINANCIACION[[#This Row],[$ CAPITAL]]+FINANCIACION[[#This Row],[$ INTERESES]],"")</f>
        <v>2000000</v>
      </c>
      <c r="F281" s="179">
        <f>+SUMIFS(FINANCIACION[$ CAPITAL],FINANCIACION[Fecha],"&lt;="&amp;FINANCIACION[[#This Row],[Fecha]],FINANCIACION[PRESTAMO],FINANCIACION[[#This Row],[PRESTAMO]])</f>
        <v>-45096982.97283452</v>
      </c>
      <c r="G281" s="179"/>
      <c r="I281" s="185"/>
      <c r="J281" s="179">
        <f>+IF(FINANCIACION[[#This Row],[$ CAPITAL]]&gt;0,FINANCIACION[[#This Row],[$ CAPITAL]])</f>
        <v>1533693</v>
      </c>
      <c r="K281" s="186">
        <f>+IF(FINANCIACION[[#This Row],[$ CAPITAL]]&gt;=0,FINANCIACION[[#This Row],[$ CAPITAL]]+FINANCIACION[[#This Row],[$ INTERESES]],0)</f>
        <v>2000000</v>
      </c>
    </row>
    <row r="282" spans="1:11" ht="24" hidden="1" customHeight="1" x14ac:dyDescent="0.25">
      <c r="A282" s="177">
        <v>45220</v>
      </c>
      <c r="B282" s="184" t="s">
        <v>331</v>
      </c>
      <c r="C282" s="179">
        <v>1549030</v>
      </c>
      <c r="D282" s="179">
        <v>450970</v>
      </c>
      <c r="E282" s="179">
        <f>+IF(FINANCIACION[[#This Row],[$ CAPITAL]]&gt;=0,FINANCIACION[[#This Row],[$ CAPITAL]]+FINANCIACION[[#This Row],[$ INTERESES]],"")</f>
        <v>2000000</v>
      </c>
      <c r="F282" s="179">
        <f>+SUMIFS(FINANCIACION[$ CAPITAL],FINANCIACION[Fecha],"&lt;="&amp;FINANCIACION[[#This Row],[Fecha]],FINANCIACION[PRESTAMO],FINANCIACION[[#This Row],[PRESTAMO]])</f>
        <v>-43547952.97283452</v>
      </c>
      <c r="G282" s="179"/>
      <c r="I282" s="185"/>
      <c r="J282" s="179">
        <f>+IF(FINANCIACION[[#This Row],[$ CAPITAL]]&gt;0,FINANCIACION[[#This Row],[$ CAPITAL]])</f>
        <v>1549030</v>
      </c>
      <c r="K282" s="186">
        <f>+IF(FINANCIACION[[#This Row],[$ CAPITAL]]&gt;=0,FINANCIACION[[#This Row],[$ CAPITAL]]+FINANCIACION[[#This Row],[$ INTERESES]],0)</f>
        <v>2000000</v>
      </c>
    </row>
    <row r="283" spans="1:11" ht="24" hidden="1" customHeight="1" x14ac:dyDescent="0.25">
      <c r="A283" s="177">
        <v>45244</v>
      </c>
      <c r="B283" s="184" t="s">
        <v>331</v>
      </c>
      <c r="C283" s="179">
        <v>1564521</v>
      </c>
      <c r="D283" s="179">
        <v>435479</v>
      </c>
      <c r="E283" s="179">
        <f>+IF(FINANCIACION[[#This Row],[$ CAPITAL]]&gt;=0,FINANCIACION[[#This Row],[$ CAPITAL]]+FINANCIACION[[#This Row],[$ INTERESES]],"")</f>
        <v>2000000</v>
      </c>
      <c r="F283" s="179">
        <f>+SUMIFS(FINANCIACION[$ CAPITAL],FINANCIACION[Fecha],"&lt;="&amp;FINANCIACION[[#This Row],[Fecha]],FINANCIACION[PRESTAMO],FINANCIACION[[#This Row],[PRESTAMO]])</f>
        <v>-41983431.97283452</v>
      </c>
      <c r="G283" s="179"/>
      <c r="I283" s="185"/>
      <c r="J283" s="179">
        <f>+IF(FINANCIACION[[#This Row],[$ CAPITAL]]&gt;0,FINANCIACION[[#This Row],[$ CAPITAL]])</f>
        <v>1564521</v>
      </c>
      <c r="K283" s="186">
        <f>+IF(FINANCIACION[[#This Row],[$ CAPITAL]]&gt;=0,FINANCIACION[[#This Row],[$ CAPITAL]]+FINANCIACION[[#This Row],[$ INTERESES]],0)</f>
        <v>2000000</v>
      </c>
    </row>
    <row r="284" spans="1:11" ht="24" hidden="1" customHeight="1" x14ac:dyDescent="0.25">
      <c r="A284" s="177">
        <v>45271</v>
      </c>
      <c r="B284" s="184" t="s">
        <v>331</v>
      </c>
      <c r="C284" s="179">
        <v>1580166</v>
      </c>
      <c r="D284" s="179">
        <v>419834</v>
      </c>
      <c r="E284" s="179">
        <f>+IF(FINANCIACION[[#This Row],[$ CAPITAL]]&gt;=0,FINANCIACION[[#This Row],[$ CAPITAL]]+FINANCIACION[[#This Row],[$ INTERESES]],"")</f>
        <v>2000000</v>
      </c>
      <c r="F284" s="179">
        <f>+SUMIFS(FINANCIACION[$ CAPITAL],FINANCIACION[Fecha],"&lt;="&amp;FINANCIACION[[#This Row],[Fecha]],FINANCIACION[PRESTAMO],FINANCIACION[[#This Row],[PRESTAMO]])</f>
        <v>-40403265.97283452</v>
      </c>
      <c r="G284" s="179"/>
      <c r="I284" s="185"/>
      <c r="J284" s="179">
        <f>+IF(FINANCIACION[[#This Row],[$ CAPITAL]]&gt;0,FINANCIACION[[#This Row],[$ CAPITAL]])</f>
        <v>1580166</v>
      </c>
      <c r="K284" s="186">
        <f>+IF(FINANCIACION[[#This Row],[$ CAPITAL]]&gt;=0,FINANCIACION[[#This Row],[$ CAPITAL]]+FINANCIACION[[#This Row],[$ INTERESES]],0)</f>
        <v>2000000</v>
      </c>
    </row>
    <row r="285" spans="1:11" ht="24" hidden="1" customHeight="1" x14ac:dyDescent="0.25">
      <c r="A285" s="177">
        <v>45302</v>
      </c>
      <c r="B285" s="184" t="s">
        <v>331</v>
      </c>
      <c r="C285" s="179">
        <v>1595967.3402716548</v>
      </c>
      <c r="D285" s="179">
        <v>404032.65972834529</v>
      </c>
      <c r="E285" s="179">
        <f>+IF(FINANCIACION[[#This Row],[$ CAPITAL]]&gt;=0,FINANCIACION[[#This Row],[$ CAPITAL]]+FINANCIACION[[#This Row],[$ INTERESES]],"")</f>
        <v>2000000</v>
      </c>
      <c r="F285" s="179">
        <f>+SUMIFS(FINANCIACION[$ CAPITAL],FINANCIACION[Fecha],"&lt;="&amp;FINANCIACION[[#This Row],[Fecha]],FINANCIACION[PRESTAMO],FINANCIACION[[#This Row],[PRESTAMO]])</f>
        <v>-38807298.632562868</v>
      </c>
      <c r="G285" s="179"/>
      <c r="I285" s="185"/>
      <c r="J285" s="179">
        <f>+IF(FINANCIACION[[#This Row],[$ CAPITAL]]&gt;0,FINANCIACION[[#This Row],[$ CAPITAL]])</f>
        <v>1595967.3402716548</v>
      </c>
      <c r="K285" s="186">
        <f>+IF(FINANCIACION[[#This Row],[$ CAPITAL]]&gt;=0,FINANCIACION[[#This Row],[$ CAPITAL]]+FINANCIACION[[#This Row],[$ INTERESES]],0)</f>
        <v>2000000</v>
      </c>
    </row>
    <row r="286" spans="1:11" ht="24" hidden="1" customHeight="1" x14ac:dyDescent="0.25">
      <c r="A286" s="177">
        <v>44729</v>
      </c>
      <c r="B286" s="184" t="s">
        <v>341</v>
      </c>
      <c r="C286" s="179">
        <v>-50000000</v>
      </c>
      <c r="D286" s="179"/>
      <c r="E286" s="179" t="str">
        <f>+IF(FINANCIACION[[#This Row],[$ CAPITAL]]&gt;=0,FINANCIACION[[#This Row],[$ CAPITAL]]+FINANCIACION[[#This Row],[$ INTERESES]],"")</f>
        <v/>
      </c>
      <c r="F286" s="179">
        <f>+SUMIFS(FINANCIACION[$ CAPITAL],FINANCIACION[Fecha],"&lt;="&amp;FINANCIACION[[#This Row],[Fecha]],FINANCIACION[PRESTAMO],FINANCIACION[[#This Row],[PRESTAMO]])</f>
        <v>-50000000</v>
      </c>
      <c r="G286" s="179"/>
      <c r="H286" s="185" t="s">
        <v>415</v>
      </c>
      <c r="I286" s="185"/>
      <c r="J286" s="179" t="b">
        <f>+IF(FINANCIACION[[#This Row],[$ CAPITAL]]&gt;0,FINANCIACION[[#This Row],[$ CAPITAL]])</f>
        <v>0</v>
      </c>
      <c r="K286" s="186">
        <f>+IF(FINANCIACION[[#This Row],[$ CAPITAL]]&gt;=0,FINANCIACION[[#This Row],[$ CAPITAL]]+FINANCIACION[[#This Row],[$ INTERESES]],0)</f>
        <v>0</v>
      </c>
    </row>
    <row r="287" spans="1:11" ht="24" hidden="1" customHeight="1" x14ac:dyDescent="0.25">
      <c r="A287" s="177">
        <v>44762</v>
      </c>
      <c r="B287" s="184" t="s">
        <v>341</v>
      </c>
      <c r="C287" s="179"/>
      <c r="D287" s="179">
        <v>500000</v>
      </c>
      <c r="E287" s="179">
        <f>+IF(FINANCIACION[[#This Row],[$ CAPITAL]]&gt;=0,FINANCIACION[[#This Row],[$ CAPITAL]]+FINANCIACION[[#This Row],[$ INTERESES]],"")</f>
        <v>500000</v>
      </c>
      <c r="F287" s="179">
        <f>+SUMIFS(FINANCIACION[$ CAPITAL],FINANCIACION[Fecha],"&lt;="&amp;FINANCIACION[[#This Row],[Fecha]],FINANCIACION[PRESTAMO],FINANCIACION[[#This Row],[PRESTAMO]])</f>
        <v>-50000000</v>
      </c>
      <c r="G287" s="179"/>
      <c r="I287" s="185"/>
      <c r="J287" s="179" t="b">
        <f>+IF(FINANCIACION[[#This Row],[$ CAPITAL]]&gt;0,FINANCIACION[[#This Row],[$ CAPITAL]])</f>
        <v>0</v>
      </c>
      <c r="K287" s="186">
        <f>+IF(FINANCIACION[[#This Row],[$ CAPITAL]]&gt;=0,FINANCIACION[[#This Row],[$ CAPITAL]]+FINANCIACION[[#This Row],[$ INTERESES]],0)</f>
        <v>500000</v>
      </c>
    </row>
    <row r="288" spans="1:11" ht="24" hidden="1" customHeight="1" x14ac:dyDescent="0.25">
      <c r="A288" s="177">
        <v>44783</v>
      </c>
      <c r="B288" s="184" t="s">
        <v>341</v>
      </c>
      <c r="C288" s="179"/>
      <c r="D288" s="179">
        <v>500000</v>
      </c>
      <c r="E288" s="179">
        <f>+IF(FINANCIACION[[#This Row],[$ CAPITAL]]&gt;=0,FINANCIACION[[#This Row],[$ CAPITAL]]+FINANCIACION[[#This Row],[$ INTERESES]],"")</f>
        <v>500000</v>
      </c>
      <c r="F288" s="179">
        <f>+SUMIFS(FINANCIACION[$ CAPITAL],FINANCIACION[Fecha],"&lt;="&amp;FINANCIACION[[#This Row],[Fecha]],FINANCIACION[PRESTAMO],FINANCIACION[[#This Row],[PRESTAMO]])</f>
        <v>-50000000</v>
      </c>
      <c r="G288" s="179"/>
      <c r="I288" s="185"/>
      <c r="J288" s="179" t="b">
        <f>+IF(FINANCIACION[[#This Row],[$ CAPITAL]]&gt;0,FINANCIACION[[#This Row],[$ CAPITAL]])</f>
        <v>0</v>
      </c>
      <c r="K288" s="186">
        <f>+IF(FINANCIACION[[#This Row],[$ CAPITAL]]&gt;=0,FINANCIACION[[#This Row],[$ CAPITAL]]+FINANCIACION[[#This Row],[$ INTERESES]],0)</f>
        <v>500000</v>
      </c>
    </row>
    <row r="289" spans="1:11" ht="24" hidden="1" customHeight="1" x14ac:dyDescent="0.25">
      <c r="A289" s="177">
        <v>44823</v>
      </c>
      <c r="B289" s="184" t="s">
        <v>341</v>
      </c>
      <c r="C289" s="179"/>
      <c r="D289" s="179">
        <v>500000</v>
      </c>
      <c r="E289" s="179">
        <f>+IF(FINANCIACION[[#This Row],[$ CAPITAL]]&gt;=0,FINANCIACION[[#This Row],[$ CAPITAL]]+FINANCIACION[[#This Row],[$ INTERESES]],"")</f>
        <v>500000</v>
      </c>
      <c r="F289" s="179">
        <f>+SUMIFS(FINANCIACION[$ CAPITAL],FINANCIACION[Fecha],"&lt;="&amp;FINANCIACION[[#This Row],[Fecha]],FINANCIACION[PRESTAMO],FINANCIACION[[#This Row],[PRESTAMO]])</f>
        <v>-50000000</v>
      </c>
      <c r="G289" s="179"/>
      <c r="I289" s="185"/>
      <c r="J289" s="179" t="b">
        <f>+IF(FINANCIACION[[#This Row],[$ CAPITAL]]&gt;0,FINANCIACION[[#This Row],[$ CAPITAL]])</f>
        <v>0</v>
      </c>
      <c r="K289" s="186">
        <f>+IF(FINANCIACION[[#This Row],[$ CAPITAL]]&gt;=0,FINANCIACION[[#This Row],[$ CAPITAL]]+FINANCIACION[[#This Row],[$ INTERESES]],0)</f>
        <v>500000</v>
      </c>
    </row>
    <row r="290" spans="1:11" ht="24" hidden="1" customHeight="1" x14ac:dyDescent="0.25">
      <c r="A290" s="177">
        <v>44844</v>
      </c>
      <c r="B290" s="184" t="s">
        <v>341</v>
      </c>
      <c r="C290" s="179">
        <v>-25000000</v>
      </c>
      <c r="D290" s="179"/>
      <c r="E290" s="179" t="str">
        <f>+IF(FINANCIACION[[#This Row],[$ CAPITAL]]&gt;=0,FINANCIACION[[#This Row],[$ CAPITAL]]+FINANCIACION[[#This Row],[$ INTERESES]],"")</f>
        <v/>
      </c>
      <c r="F290" s="179">
        <f>+SUMIFS(FINANCIACION[$ CAPITAL],FINANCIACION[Fecha],"&lt;="&amp;FINANCIACION[[#This Row],[Fecha]],FINANCIACION[PRESTAMO],FINANCIACION[[#This Row],[PRESTAMO]])</f>
        <v>-75000000</v>
      </c>
      <c r="G290" s="179"/>
      <c r="H290" s="185" t="s">
        <v>490</v>
      </c>
      <c r="I290" s="185"/>
      <c r="J290" s="179" t="b">
        <f>+IF(FINANCIACION[[#This Row],[$ CAPITAL]]&gt;0,FINANCIACION[[#This Row],[$ CAPITAL]])</f>
        <v>0</v>
      </c>
      <c r="K290" s="186">
        <f>+IF(FINANCIACION[[#This Row],[$ CAPITAL]]&gt;=0,FINANCIACION[[#This Row],[$ CAPITAL]]+FINANCIACION[[#This Row],[$ INTERESES]],0)</f>
        <v>0</v>
      </c>
    </row>
    <row r="291" spans="1:11" ht="24" hidden="1" customHeight="1" x14ac:dyDescent="0.25">
      <c r="A291" s="177">
        <v>44846</v>
      </c>
      <c r="B291" s="184" t="s">
        <v>341</v>
      </c>
      <c r="C291" s="179"/>
      <c r="D291" s="179">
        <v>500000</v>
      </c>
      <c r="E291" s="179">
        <f>+IF(FINANCIACION[[#This Row],[$ CAPITAL]]&gt;=0,FINANCIACION[[#This Row],[$ CAPITAL]]+FINANCIACION[[#This Row],[$ INTERESES]],"")</f>
        <v>500000</v>
      </c>
      <c r="F291" s="179">
        <f>+SUMIFS(FINANCIACION[$ CAPITAL],FINANCIACION[Fecha],"&lt;="&amp;FINANCIACION[[#This Row],[Fecha]],FINANCIACION[PRESTAMO],FINANCIACION[[#This Row],[PRESTAMO]])</f>
        <v>-75000000</v>
      </c>
      <c r="G291" s="179"/>
      <c r="I291" s="185"/>
      <c r="J291" s="179" t="b">
        <f>+IF(FINANCIACION[[#This Row],[$ CAPITAL]]&gt;0,FINANCIACION[[#This Row],[$ CAPITAL]])</f>
        <v>0</v>
      </c>
      <c r="K291" s="186">
        <f>+IF(FINANCIACION[[#This Row],[$ CAPITAL]]&gt;=0,FINANCIACION[[#This Row],[$ CAPITAL]]+FINANCIACION[[#This Row],[$ INTERESES]],0)</f>
        <v>500000</v>
      </c>
    </row>
    <row r="292" spans="1:11" ht="24" hidden="1" customHeight="1" x14ac:dyDescent="0.25">
      <c r="A292" s="177">
        <v>44876</v>
      </c>
      <c r="B292" s="184" t="s">
        <v>341</v>
      </c>
      <c r="C292" s="179"/>
      <c r="D292" s="179">
        <v>750000</v>
      </c>
      <c r="E292" s="179">
        <f>+IF(FINANCIACION[[#This Row],[$ CAPITAL]]&gt;=0,FINANCIACION[[#This Row],[$ CAPITAL]]+FINANCIACION[[#This Row],[$ INTERESES]],"")</f>
        <v>750000</v>
      </c>
      <c r="F292" s="179">
        <f>+SUMIFS(FINANCIACION[$ CAPITAL],FINANCIACION[Fecha],"&lt;="&amp;FINANCIACION[[#This Row],[Fecha]],FINANCIACION[PRESTAMO],FINANCIACION[[#This Row],[PRESTAMO]])</f>
        <v>-75000000</v>
      </c>
      <c r="G292" s="179"/>
      <c r="I292" s="185"/>
      <c r="J292" s="179" t="b">
        <f>+IF(FINANCIACION[[#This Row],[$ CAPITAL]]&gt;0,FINANCIACION[[#This Row],[$ CAPITAL]])</f>
        <v>0</v>
      </c>
      <c r="K292" s="186">
        <f>+IF(FINANCIACION[[#This Row],[$ CAPITAL]]&gt;=0,FINANCIACION[[#This Row],[$ CAPITAL]]+FINANCIACION[[#This Row],[$ INTERESES]],0)</f>
        <v>750000</v>
      </c>
    </row>
    <row r="293" spans="1:11" ht="24" hidden="1" customHeight="1" x14ac:dyDescent="0.25">
      <c r="A293" s="177">
        <v>44909</v>
      </c>
      <c r="B293" s="184" t="s">
        <v>341</v>
      </c>
      <c r="C293" s="179"/>
      <c r="D293" s="179">
        <v>750000</v>
      </c>
      <c r="E293" s="179">
        <f>+IF(FINANCIACION[[#This Row],[$ CAPITAL]]&gt;=0,FINANCIACION[[#This Row],[$ CAPITAL]]+FINANCIACION[[#This Row],[$ INTERESES]],"")</f>
        <v>750000</v>
      </c>
      <c r="F293" s="179">
        <f>+SUMIFS(FINANCIACION[$ CAPITAL],FINANCIACION[Fecha],"&lt;="&amp;FINANCIACION[[#This Row],[Fecha]],FINANCIACION[PRESTAMO],FINANCIACION[[#This Row],[PRESTAMO]])</f>
        <v>-75000000</v>
      </c>
      <c r="G293" s="179"/>
      <c r="I293" s="185"/>
      <c r="J293" s="179" t="b">
        <f>+IF(FINANCIACION[[#This Row],[$ CAPITAL]]&gt;0,FINANCIACION[[#This Row],[$ CAPITAL]])</f>
        <v>0</v>
      </c>
      <c r="K293" s="186">
        <f>+IF(FINANCIACION[[#This Row],[$ CAPITAL]]&gt;=0,FINANCIACION[[#This Row],[$ CAPITAL]]+FINANCIACION[[#This Row],[$ INTERESES]],0)</f>
        <v>750000</v>
      </c>
    </row>
    <row r="294" spans="1:11" ht="24" hidden="1" customHeight="1" x14ac:dyDescent="0.25">
      <c r="A294" s="177">
        <v>44938</v>
      </c>
      <c r="B294" s="184" t="s">
        <v>341</v>
      </c>
      <c r="C294" s="179"/>
      <c r="D294" s="179">
        <v>750000</v>
      </c>
      <c r="E294" s="179">
        <f>+IF(FINANCIACION[[#This Row],[$ CAPITAL]]&gt;=0,FINANCIACION[[#This Row],[$ CAPITAL]]+FINANCIACION[[#This Row],[$ INTERESES]],"")</f>
        <v>750000</v>
      </c>
      <c r="F294" s="179">
        <f>+SUMIFS(FINANCIACION[$ CAPITAL],FINANCIACION[Fecha],"&lt;="&amp;FINANCIACION[[#This Row],[Fecha]],FINANCIACION[PRESTAMO],FINANCIACION[[#This Row],[PRESTAMO]])</f>
        <v>-75000000</v>
      </c>
      <c r="G294" s="179"/>
      <c r="I294" s="185"/>
      <c r="J294" s="179" t="b">
        <f>+IF(FINANCIACION[[#This Row],[$ CAPITAL]]&gt;0,FINANCIACION[[#This Row],[$ CAPITAL]])</f>
        <v>0</v>
      </c>
      <c r="K294" s="186">
        <f>+IF(FINANCIACION[[#This Row],[$ CAPITAL]]&gt;=0,FINANCIACION[[#This Row],[$ CAPITAL]]+FINANCIACION[[#This Row],[$ INTERESES]],0)</f>
        <v>750000</v>
      </c>
    </row>
    <row r="295" spans="1:11" ht="24" hidden="1" customHeight="1" x14ac:dyDescent="0.25">
      <c r="A295" s="177">
        <v>44970</v>
      </c>
      <c r="B295" s="184" t="s">
        <v>341</v>
      </c>
      <c r="C295" s="179"/>
      <c r="D295" s="179">
        <v>750000</v>
      </c>
      <c r="E295" s="179">
        <f>+IF(FINANCIACION[[#This Row],[$ CAPITAL]]&gt;=0,FINANCIACION[[#This Row],[$ CAPITAL]]+FINANCIACION[[#This Row],[$ INTERESES]],"")</f>
        <v>750000</v>
      </c>
      <c r="F295" s="179">
        <f>+SUMIFS(FINANCIACION[$ CAPITAL],FINANCIACION[Fecha],"&lt;="&amp;FINANCIACION[[#This Row],[Fecha]],FINANCIACION[PRESTAMO],FINANCIACION[[#This Row],[PRESTAMO]])</f>
        <v>-75000000</v>
      </c>
      <c r="G295" s="179"/>
      <c r="I295" s="185"/>
      <c r="J295" s="179" t="b">
        <f>+IF(FINANCIACION[[#This Row],[$ CAPITAL]]&gt;0,FINANCIACION[[#This Row],[$ CAPITAL]])</f>
        <v>0</v>
      </c>
      <c r="K295" s="186">
        <f>+IF(FINANCIACION[[#This Row],[$ CAPITAL]]&gt;=0,FINANCIACION[[#This Row],[$ CAPITAL]]+FINANCIACION[[#This Row],[$ INTERESES]],0)</f>
        <v>750000</v>
      </c>
    </row>
    <row r="296" spans="1:11" ht="24" hidden="1" customHeight="1" x14ac:dyDescent="0.25">
      <c r="A296" s="177">
        <v>45012</v>
      </c>
      <c r="B296" s="184" t="s">
        <v>341</v>
      </c>
      <c r="C296" s="179"/>
      <c r="D296" s="179">
        <v>750000</v>
      </c>
      <c r="E296" s="179">
        <f>+IF(FINANCIACION[[#This Row],[$ CAPITAL]]&gt;=0,FINANCIACION[[#This Row],[$ CAPITAL]]+FINANCIACION[[#This Row],[$ INTERESES]],"")</f>
        <v>750000</v>
      </c>
      <c r="F296" s="179">
        <f>+SUMIFS(FINANCIACION[$ CAPITAL],FINANCIACION[Fecha],"&lt;="&amp;FINANCIACION[[#This Row],[Fecha]],FINANCIACION[PRESTAMO],FINANCIACION[[#This Row],[PRESTAMO]])</f>
        <v>-75000000</v>
      </c>
      <c r="G296" s="179"/>
      <c r="I296" s="185"/>
      <c r="J296" s="179" t="b">
        <f>+IF(FINANCIACION[[#This Row],[$ CAPITAL]]&gt;0,FINANCIACION[[#This Row],[$ CAPITAL]])</f>
        <v>0</v>
      </c>
      <c r="K296" s="186">
        <f>+IF(FINANCIACION[[#This Row],[$ CAPITAL]]&gt;=0,FINANCIACION[[#This Row],[$ CAPITAL]]+FINANCIACION[[#This Row],[$ INTERESES]],0)</f>
        <v>750000</v>
      </c>
    </row>
    <row r="297" spans="1:11" ht="24" hidden="1" customHeight="1" x14ac:dyDescent="0.25">
      <c r="A297" s="177">
        <v>45026</v>
      </c>
      <c r="B297" s="184" t="s">
        <v>341</v>
      </c>
      <c r="C297" s="179"/>
      <c r="D297" s="179">
        <v>750000</v>
      </c>
      <c r="E297" s="179">
        <f>+IF(FINANCIACION[[#This Row],[$ CAPITAL]]&gt;=0,FINANCIACION[[#This Row],[$ CAPITAL]]+FINANCIACION[[#This Row],[$ INTERESES]],"")</f>
        <v>750000</v>
      </c>
      <c r="F297" s="179">
        <f>+SUMIFS(FINANCIACION[$ CAPITAL],FINANCIACION[Fecha],"&lt;="&amp;FINANCIACION[[#This Row],[Fecha]],FINANCIACION[PRESTAMO],FINANCIACION[[#This Row],[PRESTAMO]])</f>
        <v>-75000000</v>
      </c>
      <c r="G297" s="179"/>
      <c r="I297" s="185"/>
      <c r="J297" s="179" t="b">
        <f>+IF(FINANCIACION[[#This Row],[$ CAPITAL]]&gt;0,FINANCIACION[[#This Row],[$ CAPITAL]])</f>
        <v>0</v>
      </c>
      <c r="K297" s="186">
        <f>+IF(FINANCIACION[[#This Row],[$ CAPITAL]]&gt;=0,FINANCIACION[[#This Row],[$ CAPITAL]]+FINANCIACION[[#This Row],[$ INTERESES]],0)</f>
        <v>750000</v>
      </c>
    </row>
    <row r="298" spans="1:11" ht="24" hidden="1" customHeight="1" x14ac:dyDescent="0.25">
      <c r="A298" s="177">
        <v>45055</v>
      </c>
      <c r="B298" s="184" t="s">
        <v>341</v>
      </c>
      <c r="C298" s="179"/>
      <c r="D298" s="179">
        <v>750000</v>
      </c>
      <c r="E298" s="179">
        <f>+IF(FINANCIACION[[#This Row],[$ CAPITAL]]&gt;=0,FINANCIACION[[#This Row],[$ CAPITAL]]+FINANCIACION[[#This Row],[$ INTERESES]],"")</f>
        <v>750000</v>
      </c>
      <c r="F298" s="179">
        <f>+SUMIFS(FINANCIACION[$ CAPITAL],FINANCIACION[Fecha],"&lt;="&amp;FINANCIACION[[#This Row],[Fecha]],FINANCIACION[PRESTAMO],FINANCIACION[[#This Row],[PRESTAMO]])</f>
        <v>-75000000</v>
      </c>
      <c r="G298" s="179"/>
      <c r="I298" s="185"/>
      <c r="J298" s="179" t="b">
        <f>+IF(FINANCIACION[[#This Row],[$ CAPITAL]]&gt;0,FINANCIACION[[#This Row],[$ CAPITAL]])</f>
        <v>0</v>
      </c>
      <c r="K298" s="186">
        <f>+IF(FINANCIACION[[#This Row],[$ CAPITAL]]&gt;=0,FINANCIACION[[#This Row],[$ CAPITAL]]+FINANCIACION[[#This Row],[$ INTERESES]],0)</f>
        <v>750000</v>
      </c>
    </row>
    <row r="299" spans="1:11" ht="24" hidden="1" customHeight="1" x14ac:dyDescent="0.25">
      <c r="A299" s="177">
        <v>45100</v>
      </c>
      <c r="B299" s="184" t="s">
        <v>341</v>
      </c>
      <c r="C299" s="179"/>
      <c r="D299" s="179">
        <v>750000</v>
      </c>
      <c r="E299" s="179">
        <f>+IF(FINANCIACION[[#This Row],[$ CAPITAL]]&gt;=0,FINANCIACION[[#This Row],[$ CAPITAL]]+FINANCIACION[[#This Row],[$ INTERESES]],"")</f>
        <v>750000</v>
      </c>
      <c r="F299" s="179">
        <f>+SUMIFS(FINANCIACION[$ CAPITAL],FINANCIACION[Fecha],"&lt;="&amp;FINANCIACION[[#This Row],[Fecha]],FINANCIACION[PRESTAMO],FINANCIACION[[#This Row],[PRESTAMO]])</f>
        <v>-75000000</v>
      </c>
      <c r="G299" s="179"/>
      <c r="I299" s="185"/>
      <c r="J299" s="179" t="b">
        <f>+IF(FINANCIACION[[#This Row],[$ CAPITAL]]&gt;0,FINANCIACION[[#This Row],[$ CAPITAL]])</f>
        <v>0</v>
      </c>
      <c r="K299" s="186">
        <f>+IF(FINANCIACION[[#This Row],[$ CAPITAL]]&gt;=0,FINANCIACION[[#This Row],[$ CAPITAL]]+FINANCIACION[[#This Row],[$ INTERESES]],0)</f>
        <v>750000</v>
      </c>
    </row>
    <row r="300" spans="1:11" ht="24" hidden="1" customHeight="1" x14ac:dyDescent="0.25">
      <c r="A300" s="177">
        <v>45125</v>
      </c>
      <c r="B300" s="184" t="s">
        <v>341</v>
      </c>
      <c r="C300" s="179"/>
      <c r="D300" s="179">
        <v>750000</v>
      </c>
      <c r="E300" s="179">
        <f>+IF(FINANCIACION[[#This Row],[$ CAPITAL]]&gt;=0,FINANCIACION[[#This Row],[$ CAPITAL]]+FINANCIACION[[#This Row],[$ INTERESES]],"")</f>
        <v>750000</v>
      </c>
      <c r="F300" s="179">
        <f>+SUMIFS(FINANCIACION[$ CAPITAL],FINANCIACION[Fecha],"&lt;="&amp;FINANCIACION[[#This Row],[Fecha]],FINANCIACION[PRESTAMO],FINANCIACION[[#This Row],[PRESTAMO]])</f>
        <v>-75000000</v>
      </c>
      <c r="G300" s="179"/>
      <c r="I300" s="185"/>
      <c r="J300" s="179" t="b">
        <f>+IF(FINANCIACION[[#This Row],[$ CAPITAL]]&gt;0,FINANCIACION[[#This Row],[$ CAPITAL]])</f>
        <v>0</v>
      </c>
      <c r="K300" s="186">
        <f>+IF(FINANCIACION[[#This Row],[$ CAPITAL]]&gt;=0,FINANCIACION[[#This Row],[$ CAPITAL]]+FINANCIACION[[#This Row],[$ INTERESES]],0)</f>
        <v>750000</v>
      </c>
    </row>
    <row r="301" spans="1:11" ht="24" hidden="1" customHeight="1" x14ac:dyDescent="0.25">
      <c r="A301" s="177">
        <v>45155</v>
      </c>
      <c r="B301" s="184" t="s">
        <v>341</v>
      </c>
      <c r="C301" s="179"/>
      <c r="D301" s="179">
        <v>750000</v>
      </c>
      <c r="E301" s="179">
        <f>+IF(FINANCIACION[[#This Row],[$ CAPITAL]]&gt;=0,FINANCIACION[[#This Row],[$ CAPITAL]]+FINANCIACION[[#This Row],[$ INTERESES]],"")</f>
        <v>750000</v>
      </c>
      <c r="F301" s="179">
        <f>+SUMIFS(FINANCIACION[$ CAPITAL],FINANCIACION[Fecha],"&lt;="&amp;FINANCIACION[[#This Row],[Fecha]],FINANCIACION[PRESTAMO],FINANCIACION[[#This Row],[PRESTAMO]])</f>
        <v>-75000000</v>
      </c>
      <c r="G301" s="179"/>
      <c r="I301" s="185"/>
      <c r="J301" s="179" t="b">
        <f>+IF(FINANCIACION[[#This Row],[$ CAPITAL]]&gt;0,FINANCIACION[[#This Row],[$ CAPITAL]])</f>
        <v>0</v>
      </c>
      <c r="K301" s="186">
        <f>+IF(FINANCIACION[[#This Row],[$ CAPITAL]]&gt;=0,FINANCIACION[[#This Row],[$ CAPITAL]]+FINANCIACION[[#This Row],[$ INTERESES]],0)</f>
        <v>750000</v>
      </c>
    </row>
    <row r="302" spans="1:11" ht="24" hidden="1" customHeight="1" x14ac:dyDescent="0.25">
      <c r="A302" s="177">
        <v>45190</v>
      </c>
      <c r="B302" s="184" t="s">
        <v>341</v>
      </c>
      <c r="C302" s="179"/>
      <c r="D302" s="179">
        <v>750000</v>
      </c>
      <c r="E302" s="179">
        <f>+IF(FINANCIACION[[#This Row],[$ CAPITAL]]&gt;=0,FINANCIACION[[#This Row],[$ CAPITAL]]+FINANCIACION[[#This Row],[$ INTERESES]],"")</f>
        <v>750000</v>
      </c>
      <c r="F302" s="179">
        <f>+SUMIFS(FINANCIACION[$ CAPITAL],FINANCIACION[Fecha],"&lt;="&amp;FINANCIACION[[#This Row],[Fecha]],FINANCIACION[PRESTAMO],FINANCIACION[[#This Row],[PRESTAMO]])</f>
        <v>-75000000</v>
      </c>
      <c r="G302" s="179"/>
      <c r="I302" s="185"/>
      <c r="J302" s="179" t="b">
        <f>+IF(FINANCIACION[[#This Row],[$ CAPITAL]]&gt;0,FINANCIACION[[#This Row],[$ CAPITAL]])</f>
        <v>0</v>
      </c>
      <c r="K302" s="186">
        <f>+IF(FINANCIACION[[#This Row],[$ CAPITAL]]&gt;=0,FINANCIACION[[#This Row],[$ CAPITAL]]+FINANCIACION[[#This Row],[$ INTERESES]],0)</f>
        <v>750000</v>
      </c>
    </row>
    <row r="303" spans="1:11" ht="24" hidden="1" customHeight="1" x14ac:dyDescent="0.25">
      <c r="A303" s="177">
        <v>45197</v>
      </c>
      <c r="B303" s="184" t="s">
        <v>341</v>
      </c>
      <c r="C303" s="179">
        <v>-65000000</v>
      </c>
      <c r="D303" s="179"/>
      <c r="E303" s="179" t="str">
        <f>+IF(FINANCIACION[[#This Row],[$ CAPITAL]]&gt;=0,FINANCIACION[[#This Row],[$ CAPITAL]]+FINANCIACION[[#This Row],[$ INTERESES]],"")</f>
        <v/>
      </c>
      <c r="F303" s="179">
        <f>+SUMIFS(FINANCIACION[$ CAPITAL],FINANCIACION[Fecha],"&lt;="&amp;FINANCIACION[[#This Row],[Fecha]],FINANCIACION[PRESTAMO],FINANCIACION[[#This Row],[PRESTAMO]])</f>
        <v>-140000000</v>
      </c>
      <c r="G303" s="179"/>
      <c r="I303" s="185"/>
      <c r="J303" s="179" t="b">
        <f>+IF(FINANCIACION[[#This Row],[$ CAPITAL]]&gt;0,FINANCIACION[[#This Row],[$ CAPITAL]])</f>
        <v>0</v>
      </c>
      <c r="K303" s="186">
        <f>+IF(FINANCIACION[[#This Row],[$ CAPITAL]]&gt;=0,FINANCIACION[[#This Row],[$ CAPITAL]]+FINANCIACION[[#This Row],[$ INTERESES]],0)</f>
        <v>0</v>
      </c>
    </row>
    <row r="304" spans="1:11" ht="24" hidden="1" customHeight="1" x14ac:dyDescent="0.25">
      <c r="A304" s="177">
        <v>45222</v>
      </c>
      <c r="B304" s="184" t="s">
        <v>341</v>
      </c>
      <c r="C304" s="179"/>
      <c r="D304" s="179">
        <v>1400000</v>
      </c>
      <c r="E304" s="179">
        <f>+IF(FINANCIACION[[#This Row],[$ CAPITAL]]&gt;=0,FINANCIACION[[#This Row],[$ CAPITAL]]+FINANCIACION[[#This Row],[$ INTERESES]],"")</f>
        <v>1400000</v>
      </c>
      <c r="F304" s="179">
        <f>+SUMIFS(FINANCIACION[$ CAPITAL],FINANCIACION[Fecha],"&lt;="&amp;FINANCIACION[[#This Row],[Fecha]],FINANCIACION[PRESTAMO],FINANCIACION[[#This Row],[PRESTAMO]])</f>
        <v>-140000000</v>
      </c>
      <c r="G304" s="179"/>
      <c r="I304" s="185"/>
      <c r="J304" s="179" t="b">
        <f>+IF(FINANCIACION[[#This Row],[$ CAPITAL]]&gt;0,FINANCIACION[[#This Row],[$ CAPITAL]])</f>
        <v>0</v>
      </c>
      <c r="K304" s="186">
        <f>+IF(FINANCIACION[[#This Row],[$ CAPITAL]]&gt;=0,FINANCIACION[[#This Row],[$ CAPITAL]]+FINANCIACION[[#This Row],[$ INTERESES]],0)</f>
        <v>1400000</v>
      </c>
    </row>
    <row r="305" spans="1:11" ht="24" hidden="1" customHeight="1" x14ac:dyDescent="0.25">
      <c r="A305" s="177">
        <v>45251</v>
      </c>
      <c r="B305" s="184" t="s">
        <v>341</v>
      </c>
      <c r="C305" s="179"/>
      <c r="D305" s="179">
        <v>1400000</v>
      </c>
      <c r="E305" s="179">
        <f>+IF(FINANCIACION[[#This Row],[$ CAPITAL]]&gt;=0,FINANCIACION[[#This Row],[$ CAPITAL]]+FINANCIACION[[#This Row],[$ INTERESES]],"")</f>
        <v>1400000</v>
      </c>
      <c r="F305" s="179">
        <f>+SUMIFS(FINANCIACION[$ CAPITAL],FINANCIACION[Fecha],"&lt;="&amp;FINANCIACION[[#This Row],[Fecha]],FINANCIACION[PRESTAMO],FINANCIACION[[#This Row],[PRESTAMO]])</f>
        <v>-140000000</v>
      </c>
      <c r="G305" s="179"/>
      <c r="I305" s="185"/>
      <c r="J305" s="179" t="b">
        <f>+IF(FINANCIACION[[#This Row],[$ CAPITAL]]&gt;0,FINANCIACION[[#This Row],[$ CAPITAL]])</f>
        <v>0</v>
      </c>
      <c r="K305" s="186">
        <f>+IF(FINANCIACION[[#This Row],[$ CAPITAL]]&gt;=0,FINANCIACION[[#This Row],[$ CAPITAL]]+FINANCIACION[[#This Row],[$ INTERESES]],0)</f>
        <v>1400000</v>
      </c>
    </row>
    <row r="306" spans="1:11" ht="24" hidden="1" customHeight="1" x14ac:dyDescent="0.25">
      <c r="A306" s="177">
        <v>45281</v>
      </c>
      <c r="B306" s="184" t="s">
        <v>341</v>
      </c>
      <c r="C306" s="179"/>
      <c r="D306" s="179">
        <v>1400000</v>
      </c>
      <c r="E306" s="179">
        <f>+IF(FINANCIACION[[#This Row],[$ CAPITAL]]&gt;=0,FINANCIACION[[#This Row],[$ CAPITAL]]+FINANCIACION[[#This Row],[$ INTERESES]],"")</f>
        <v>1400000</v>
      </c>
      <c r="F306" s="179">
        <f>+SUMIFS(FINANCIACION[$ CAPITAL],FINANCIACION[Fecha],"&lt;="&amp;FINANCIACION[[#This Row],[Fecha]],FINANCIACION[PRESTAMO],FINANCIACION[[#This Row],[PRESTAMO]])</f>
        <v>-140000000</v>
      </c>
      <c r="G306" s="179"/>
      <c r="I306" s="185"/>
      <c r="J306" s="179" t="b">
        <f>+IF(FINANCIACION[[#This Row],[$ CAPITAL]]&gt;0,FINANCIACION[[#This Row],[$ CAPITAL]])</f>
        <v>0</v>
      </c>
      <c r="K306" s="186">
        <f>+IF(FINANCIACION[[#This Row],[$ CAPITAL]]&gt;=0,FINANCIACION[[#This Row],[$ CAPITAL]]+FINANCIACION[[#This Row],[$ INTERESES]],0)</f>
        <v>1400000</v>
      </c>
    </row>
    <row r="307" spans="1:11" ht="24" hidden="1" customHeight="1" x14ac:dyDescent="0.25">
      <c r="A307" s="188">
        <v>44073</v>
      </c>
      <c r="B307" s="184" t="s">
        <v>335</v>
      </c>
      <c r="C307" s="179">
        <v>-8000000</v>
      </c>
      <c r="D307" s="179"/>
      <c r="E307" s="179" t="str">
        <f>+IF(FINANCIACION[[#This Row],[$ CAPITAL]]&gt;=0,FINANCIACION[[#This Row],[$ CAPITAL]]+FINANCIACION[[#This Row],[$ INTERESES]],"")</f>
        <v/>
      </c>
      <c r="F307" s="179">
        <f>+SUMIFS(FINANCIACION[$ CAPITAL],FINANCIACION[Fecha],"&lt;="&amp;FINANCIACION[[#This Row],[Fecha]],FINANCIACION[PRESTAMO],FINANCIACION[[#This Row],[PRESTAMO]])</f>
        <v>-8000000</v>
      </c>
      <c r="G307" s="179"/>
      <c r="H307" s="183"/>
      <c r="I307" s="185"/>
      <c r="J307" s="179" t="b">
        <f>IF(FINANCIACION[[#This Row],[$ CAPITAL]]&gt;0,FINANCIACION[[#This Row],[$ CAPITAL]])</f>
        <v>0</v>
      </c>
      <c r="K307" s="187">
        <f>IF(FINANCIACION[[#This Row],[$ CAPITAL]]&gt;=0,FINANCIACION[[#This Row],[$ CAPITAL]]+FINANCIACION[[#This Row],[$ INTERESES]],0)</f>
        <v>0</v>
      </c>
    </row>
    <row r="308" spans="1:11" ht="24" hidden="1" customHeight="1" x14ac:dyDescent="0.25">
      <c r="A308" s="177">
        <v>44475</v>
      </c>
      <c r="B308" s="184" t="s">
        <v>335</v>
      </c>
      <c r="C308" s="179"/>
      <c r="D308" s="179">
        <v>640000</v>
      </c>
      <c r="E308" s="179">
        <f>+IF(FINANCIACION[[#This Row],[$ CAPITAL]]&gt;=0,FINANCIACION[[#This Row],[$ CAPITAL]]+FINANCIACION[[#This Row],[$ INTERESES]],"")</f>
        <v>640000</v>
      </c>
      <c r="F308" s="179">
        <f>+SUMIFS(FINANCIACION[$ CAPITAL],FINANCIACION[Fecha],"&lt;="&amp;FINANCIACION[[#This Row],[Fecha]],FINANCIACION[PRESTAMO],FINANCIACION[[#This Row],[PRESTAMO]])</f>
        <v>-8000000</v>
      </c>
      <c r="G308" s="179"/>
      <c r="H308" s="183"/>
      <c r="I308" s="185"/>
      <c r="J308" s="179" t="b">
        <f>IF(FINANCIACION[[#This Row],[$ CAPITAL]]&gt;0,FINANCIACION[[#This Row],[$ CAPITAL]])</f>
        <v>0</v>
      </c>
      <c r="K308" s="186">
        <f>IF(FINANCIACION[[#This Row],[$ CAPITAL]]&gt;=0,FINANCIACION[[#This Row],[$ CAPITAL]]+FINANCIACION[[#This Row],[$ INTERESES]],0)</f>
        <v>640000</v>
      </c>
    </row>
    <row r="309" spans="1:11" ht="24" hidden="1" customHeight="1" x14ac:dyDescent="0.25">
      <c r="A309" s="177">
        <v>44722</v>
      </c>
      <c r="B309" s="184" t="s">
        <v>335</v>
      </c>
      <c r="C309" s="179"/>
      <c r="D309" s="179">
        <f>80000*12</f>
        <v>960000</v>
      </c>
      <c r="E309" s="179">
        <f>+IF(FINANCIACION[[#This Row],[$ CAPITAL]]&gt;=0,FINANCIACION[[#This Row],[$ CAPITAL]]+FINANCIACION[[#This Row],[$ INTERESES]],"")</f>
        <v>960000</v>
      </c>
      <c r="F309" s="179">
        <f>+SUMIFS(FINANCIACION[$ CAPITAL],FINANCIACION[Fecha],"&lt;="&amp;FINANCIACION[[#This Row],[Fecha]],FINANCIACION[PRESTAMO],FINANCIACION[[#This Row],[PRESTAMO]])</f>
        <v>-8000000</v>
      </c>
      <c r="G309" s="179"/>
      <c r="I309" s="185"/>
      <c r="J309" s="179" t="b">
        <f>+IF(FINANCIACION[[#This Row],[$ CAPITAL]]&gt;0,FINANCIACION[[#This Row],[$ CAPITAL]])</f>
        <v>0</v>
      </c>
      <c r="K309" s="186">
        <f>+IF(FINANCIACION[[#This Row],[$ CAPITAL]]&gt;=0,FINANCIACION[[#This Row],[$ CAPITAL]]+FINANCIACION[[#This Row],[$ INTERESES]],0)</f>
        <v>960000</v>
      </c>
    </row>
    <row r="310" spans="1:11" ht="24" hidden="1" customHeight="1" x14ac:dyDescent="0.25">
      <c r="A310" s="177">
        <v>45149</v>
      </c>
      <c r="B310" s="184" t="s">
        <v>335</v>
      </c>
      <c r="C310" s="179"/>
      <c r="D310" s="179">
        <v>960000</v>
      </c>
      <c r="E310" s="179">
        <f>+IF(FINANCIACION[[#This Row],[$ CAPITAL]]&gt;=0,FINANCIACION[[#This Row],[$ CAPITAL]]+FINANCIACION[[#This Row],[$ INTERESES]],"")</f>
        <v>960000</v>
      </c>
      <c r="F310" s="179">
        <f>+SUMIFS(FINANCIACION[$ CAPITAL],FINANCIACION[Fecha],"&lt;="&amp;FINANCIACION[[#This Row],[Fecha]],FINANCIACION[PRESTAMO],FINANCIACION[[#This Row],[PRESTAMO]])</f>
        <v>-8000000</v>
      </c>
      <c r="G310" s="179"/>
      <c r="H310" s="185" t="s">
        <v>1041</v>
      </c>
      <c r="I310" s="185"/>
      <c r="J310" s="179" t="b">
        <f>+IF(FINANCIACION[[#This Row],[$ CAPITAL]]&gt;0,FINANCIACION[[#This Row],[$ CAPITAL]])</f>
        <v>0</v>
      </c>
      <c r="K310" s="186">
        <f>+IF(FINANCIACION[[#This Row],[$ CAPITAL]]&gt;=0,FINANCIACION[[#This Row],[$ CAPITAL]]+FINANCIACION[[#This Row],[$ INTERESES]],0)</f>
        <v>960000</v>
      </c>
    </row>
    <row r="311" spans="1:11" ht="24" hidden="1" customHeight="1" x14ac:dyDescent="0.25">
      <c r="A311" s="177">
        <v>44301</v>
      </c>
      <c r="B311" s="184" t="s">
        <v>337</v>
      </c>
      <c r="C311" s="179">
        <v>-12000000</v>
      </c>
      <c r="D311" s="179"/>
      <c r="E311" s="179" t="str">
        <f>+IF(FINANCIACION[[#This Row],[$ CAPITAL]]&gt;=0,FINANCIACION[[#This Row],[$ CAPITAL]]+FINANCIACION[[#This Row],[$ INTERESES]],"")</f>
        <v/>
      </c>
      <c r="F311" s="179">
        <f>+SUMIFS(FINANCIACION[$ CAPITAL],FINANCIACION[Fecha],"&lt;="&amp;FINANCIACION[[#This Row],[Fecha]],FINANCIACION[PRESTAMO],FINANCIACION[[#This Row],[PRESTAMO]])</f>
        <v>-12000000</v>
      </c>
      <c r="G311" s="179"/>
      <c r="H311" s="183"/>
      <c r="I311" s="185"/>
      <c r="J311" s="179" t="b">
        <f>IF(FINANCIACION[[#This Row],[$ CAPITAL]]&gt;0,FINANCIACION[[#This Row],[$ CAPITAL]])</f>
        <v>0</v>
      </c>
      <c r="K311" s="186">
        <f>IF(FINANCIACION[[#This Row],[$ CAPITAL]]&gt;=0,FINANCIACION[[#This Row],[$ CAPITAL]]+FINANCIACION[[#This Row],[$ INTERESES]],0)</f>
        <v>0</v>
      </c>
    </row>
    <row r="312" spans="1:11" ht="24" hidden="1" customHeight="1" x14ac:dyDescent="0.25">
      <c r="A312" s="177">
        <v>44340</v>
      </c>
      <c r="B312" s="184" t="s">
        <v>337</v>
      </c>
      <c r="C312" s="179"/>
      <c r="D312" s="179">
        <v>120000</v>
      </c>
      <c r="E312" s="179">
        <f>+IF(FINANCIACION[[#This Row],[$ CAPITAL]]&gt;=0,FINANCIACION[[#This Row],[$ CAPITAL]]+FINANCIACION[[#This Row],[$ INTERESES]],"")</f>
        <v>120000</v>
      </c>
      <c r="F312" s="179">
        <f>+SUMIFS(FINANCIACION[$ CAPITAL],FINANCIACION[Fecha],"&lt;="&amp;FINANCIACION[[#This Row],[Fecha]],FINANCIACION[PRESTAMO],FINANCIACION[[#This Row],[PRESTAMO]])</f>
        <v>-12000000</v>
      </c>
      <c r="G312" s="179"/>
      <c r="H312" s="183"/>
      <c r="I312" s="185"/>
      <c r="J312" s="179" t="b">
        <f>IF(FINANCIACION[[#This Row],[$ CAPITAL]]&gt;0,FINANCIACION[[#This Row],[$ CAPITAL]])</f>
        <v>0</v>
      </c>
      <c r="K312" s="186">
        <f>IF(FINANCIACION[[#This Row],[$ CAPITAL]]&gt;=0,FINANCIACION[[#This Row],[$ CAPITAL]]+FINANCIACION[[#This Row],[$ INTERESES]],0)</f>
        <v>120000</v>
      </c>
    </row>
    <row r="313" spans="1:11" ht="24" hidden="1" customHeight="1" x14ac:dyDescent="0.25">
      <c r="A313" s="177">
        <v>44358</v>
      </c>
      <c r="B313" s="184" t="s">
        <v>337</v>
      </c>
      <c r="C313" s="179"/>
      <c r="D313" s="179">
        <v>120000</v>
      </c>
      <c r="E313" s="179">
        <f>+IF(FINANCIACION[[#This Row],[$ CAPITAL]]&gt;=0,FINANCIACION[[#This Row],[$ CAPITAL]]+FINANCIACION[[#This Row],[$ INTERESES]],"")</f>
        <v>120000</v>
      </c>
      <c r="F313" s="179">
        <f>+SUMIFS(FINANCIACION[$ CAPITAL],FINANCIACION[Fecha],"&lt;="&amp;FINANCIACION[[#This Row],[Fecha]],FINANCIACION[PRESTAMO],FINANCIACION[[#This Row],[PRESTAMO]])</f>
        <v>-12000000</v>
      </c>
      <c r="G313" s="179"/>
      <c r="H313" s="183"/>
      <c r="I313" s="185"/>
      <c r="J313" s="179" t="b">
        <f>IF(FINANCIACION[[#This Row],[$ CAPITAL]]&gt;0,FINANCIACION[[#This Row],[$ CAPITAL]])</f>
        <v>0</v>
      </c>
      <c r="K313" s="187">
        <f>IF(FINANCIACION[[#This Row],[$ CAPITAL]]&gt;=0,FINANCIACION[[#This Row],[$ CAPITAL]]+FINANCIACION[[#This Row],[$ INTERESES]],0)</f>
        <v>120000</v>
      </c>
    </row>
    <row r="314" spans="1:11" ht="24" hidden="1" customHeight="1" x14ac:dyDescent="0.25">
      <c r="A314" s="177">
        <v>44390</v>
      </c>
      <c r="B314" s="184" t="s">
        <v>337</v>
      </c>
      <c r="C314" s="179"/>
      <c r="D314" s="179">
        <v>120000</v>
      </c>
      <c r="E314" s="179">
        <f>+IF(FINANCIACION[[#This Row],[$ CAPITAL]]&gt;=0,FINANCIACION[[#This Row],[$ CAPITAL]]+FINANCIACION[[#This Row],[$ INTERESES]],"")</f>
        <v>120000</v>
      </c>
      <c r="F314" s="179">
        <f>+SUMIFS(FINANCIACION[$ CAPITAL],FINANCIACION[Fecha],"&lt;="&amp;FINANCIACION[[#This Row],[Fecha]],FINANCIACION[PRESTAMO],FINANCIACION[[#This Row],[PRESTAMO]])</f>
        <v>-12000000</v>
      </c>
      <c r="G314" s="179"/>
      <c r="I314" s="185"/>
      <c r="J314" s="179" t="b">
        <f>IF(FINANCIACION[[#This Row],[$ CAPITAL]]&gt;0,FINANCIACION[[#This Row],[$ CAPITAL]])</f>
        <v>0</v>
      </c>
      <c r="K314" s="186">
        <f>IF(FINANCIACION[[#This Row],[$ CAPITAL]]&gt;=0,FINANCIACION[[#This Row],[$ CAPITAL]]+FINANCIACION[[#This Row],[$ INTERESES]],0)</f>
        <v>120000</v>
      </c>
    </row>
    <row r="315" spans="1:11" ht="24" hidden="1" customHeight="1" x14ac:dyDescent="0.25">
      <c r="A315" s="177">
        <v>44425</v>
      </c>
      <c r="B315" s="184" t="s">
        <v>337</v>
      </c>
      <c r="C315" s="179"/>
      <c r="D315" s="179">
        <v>120000</v>
      </c>
      <c r="E315" s="179">
        <f>+IF(FINANCIACION[[#This Row],[$ CAPITAL]]&gt;=0,FINANCIACION[[#This Row],[$ CAPITAL]]+FINANCIACION[[#This Row],[$ INTERESES]],"")</f>
        <v>120000</v>
      </c>
      <c r="F315" s="179">
        <f>+SUMIFS(FINANCIACION[$ CAPITAL],FINANCIACION[Fecha],"&lt;="&amp;FINANCIACION[[#This Row],[Fecha]],FINANCIACION[PRESTAMO],FINANCIACION[[#This Row],[PRESTAMO]])</f>
        <v>-12000000</v>
      </c>
      <c r="G315" s="179"/>
      <c r="H315" s="183"/>
      <c r="I315" s="185"/>
      <c r="J315" s="179" t="b">
        <f>IF(FINANCIACION[[#This Row],[$ CAPITAL]]&gt;0,FINANCIACION[[#This Row],[$ CAPITAL]])</f>
        <v>0</v>
      </c>
      <c r="K315" s="186">
        <f>IF(FINANCIACION[[#This Row],[$ CAPITAL]]&gt;=0,FINANCIACION[[#This Row],[$ CAPITAL]]+FINANCIACION[[#This Row],[$ INTERESES]],0)</f>
        <v>120000</v>
      </c>
    </row>
    <row r="316" spans="1:11" ht="24" hidden="1" customHeight="1" x14ac:dyDescent="0.25">
      <c r="A316" s="177">
        <v>44450</v>
      </c>
      <c r="B316" s="184" t="s">
        <v>337</v>
      </c>
      <c r="C316" s="179"/>
      <c r="D316" s="179">
        <v>120000</v>
      </c>
      <c r="E316" s="179">
        <f>+IF(FINANCIACION[[#This Row],[$ CAPITAL]]&gt;=0,FINANCIACION[[#This Row],[$ CAPITAL]]+FINANCIACION[[#This Row],[$ INTERESES]],"")</f>
        <v>120000</v>
      </c>
      <c r="F316" s="179">
        <f>+SUMIFS(FINANCIACION[$ CAPITAL],FINANCIACION[Fecha],"&lt;="&amp;FINANCIACION[[#This Row],[Fecha]],FINANCIACION[PRESTAMO],FINANCIACION[[#This Row],[PRESTAMO]])</f>
        <v>-12000000</v>
      </c>
      <c r="G316" s="179"/>
      <c r="H316" s="183"/>
      <c r="I316" s="185"/>
      <c r="J316" s="179" t="b">
        <f>IF(FINANCIACION[[#This Row],[$ CAPITAL]]&gt;0,FINANCIACION[[#This Row],[$ CAPITAL]])</f>
        <v>0</v>
      </c>
      <c r="K316" s="186">
        <f>IF(FINANCIACION[[#This Row],[$ CAPITAL]]&gt;=0,FINANCIACION[[#This Row],[$ CAPITAL]]+FINANCIACION[[#This Row],[$ INTERESES]],0)</f>
        <v>120000</v>
      </c>
    </row>
    <row r="317" spans="1:11" ht="24" hidden="1" customHeight="1" x14ac:dyDescent="0.25">
      <c r="A317" s="177">
        <v>44480</v>
      </c>
      <c r="B317" s="184" t="s">
        <v>337</v>
      </c>
      <c r="C317" s="179"/>
      <c r="D317" s="179">
        <v>120000</v>
      </c>
      <c r="E317" s="179">
        <f>+IF(FINANCIACION[[#This Row],[$ CAPITAL]]&gt;=0,FINANCIACION[[#This Row],[$ CAPITAL]]+FINANCIACION[[#This Row],[$ INTERESES]],"")</f>
        <v>120000</v>
      </c>
      <c r="F317" s="179">
        <f>+SUMIFS(FINANCIACION[$ CAPITAL],FINANCIACION[Fecha],"&lt;="&amp;FINANCIACION[[#This Row],[Fecha]],FINANCIACION[PRESTAMO],FINANCIACION[[#This Row],[PRESTAMO]])</f>
        <v>-12000000</v>
      </c>
      <c r="G317" s="179"/>
      <c r="H317" s="183"/>
      <c r="I317" s="185"/>
      <c r="J317" s="179" t="b">
        <f>IF(FINANCIACION[[#This Row],[$ CAPITAL]]&gt;0,FINANCIACION[[#This Row],[$ CAPITAL]])</f>
        <v>0</v>
      </c>
      <c r="K317" s="186">
        <f>IF(FINANCIACION[[#This Row],[$ CAPITAL]]&gt;=0,FINANCIACION[[#This Row],[$ CAPITAL]]+FINANCIACION[[#This Row],[$ INTERESES]],0)</f>
        <v>120000</v>
      </c>
    </row>
    <row r="318" spans="1:11" ht="24" hidden="1" customHeight="1" x14ac:dyDescent="0.25">
      <c r="A318" s="177">
        <v>44510</v>
      </c>
      <c r="B318" s="184" t="s">
        <v>337</v>
      </c>
      <c r="C318" s="179"/>
      <c r="D318" s="179">
        <v>120000</v>
      </c>
      <c r="E318" s="179">
        <f>+IF(FINANCIACION[[#This Row],[$ CAPITAL]]&gt;=0,FINANCIACION[[#This Row],[$ CAPITAL]]+FINANCIACION[[#This Row],[$ INTERESES]],"")</f>
        <v>120000</v>
      </c>
      <c r="F318" s="179">
        <f>+SUMIFS(FINANCIACION[$ CAPITAL],FINANCIACION[Fecha],"&lt;="&amp;FINANCIACION[[#This Row],[Fecha]],FINANCIACION[PRESTAMO],FINANCIACION[[#This Row],[PRESTAMO]])</f>
        <v>-12000000</v>
      </c>
      <c r="G318" s="179"/>
      <c r="I318" s="185"/>
      <c r="J318" s="179" t="b">
        <f>IF(FINANCIACION[[#This Row],[$ CAPITAL]]&gt;0,FINANCIACION[[#This Row],[$ CAPITAL]])</f>
        <v>0</v>
      </c>
      <c r="K318" s="186">
        <f>IF(FINANCIACION[[#This Row],[$ CAPITAL]]&gt;=0,FINANCIACION[[#This Row],[$ CAPITAL]]+FINANCIACION[[#This Row],[$ INTERESES]],0)</f>
        <v>120000</v>
      </c>
    </row>
    <row r="319" spans="1:11" ht="24" hidden="1" customHeight="1" x14ac:dyDescent="0.25">
      <c r="A319" s="177">
        <v>44539</v>
      </c>
      <c r="B319" s="184" t="s">
        <v>337</v>
      </c>
      <c r="C319" s="179"/>
      <c r="D319" s="179">
        <v>120000</v>
      </c>
      <c r="E319" s="179">
        <f>+IF(FINANCIACION[[#This Row],[$ CAPITAL]]&gt;=0,FINANCIACION[[#This Row],[$ CAPITAL]]+FINANCIACION[[#This Row],[$ INTERESES]],"")</f>
        <v>120000</v>
      </c>
      <c r="F319" s="179">
        <f>+SUMIFS(FINANCIACION[$ CAPITAL],FINANCIACION[Fecha],"&lt;="&amp;FINANCIACION[[#This Row],[Fecha]],FINANCIACION[PRESTAMO],FINANCIACION[[#This Row],[PRESTAMO]])</f>
        <v>-12000000</v>
      </c>
      <c r="G319" s="179"/>
      <c r="I319" s="185"/>
      <c r="J319" s="179" t="b">
        <f>IF(FINANCIACION[[#This Row],[$ CAPITAL]]&gt;0,FINANCIACION[[#This Row],[$ CAPITAL]])</f>
        <v>0</v>
      </c>
      <c r="K319" s="186">
        <f>IF(FINANCIACION[[#This Row],[$ CAPITAL]]&gt;=0,FINANCIACION[[#This Row],[$ CAPITAL]]+FINANCIACION[[#This Row],[$ INTERESES]],0)</f>
        <v>120000</v>
      </c>
    </row>
    <row r="320" spans="1:11" ht="24" hidden="1" customHeight="1" x14ac:dyDescent="0.25">
      <c r="A320" s="177">
        <v>44572</v>
      </c>
      <c r="B320" s="184" t="s">
        <v>337</v>
      </c>
      <c r="C320" s="179"/>
      <c r="D320" s="179">
        <v>120000</v>
      </c>
      <c r="E320" s="179">
        <f>+IF(FINANCIACION[[#This Row],[$ CAPITAL]]&gt;=0,FINANCIACION[[#This Row],[$ CAPITAL]]+FINANCIACION[[#This Row],[$ INTERESES]],"")</f>
        <v>120000</v>
      </c>
      <c r="F320" s="179">
        <f>+SUMIFS(FINANCIACION[$ CAPITAL],FINANCIACION[Fecha],"&lt;="&amp;FINANCIACION[[#This Row],[Fecha]],FINANCIACION[PRESTAMO],FINANCIACION[[#This Row],[PRESTAMO]])</f>
        <v>-12000000</v>
      </c>
      <c r="G320" s="179"/>
      <c r="I320" s="185"/>
      <c r="J320" s="179" t="b">
        <f>IF(FINANCIACION[[#This Row],[$ CAPITAL]]&gt;0,FINANCIACION[[#This Row],[$ CAPITAL]])</f>
        <v>0</v>
      </c>
      <c r="K320" s="186">
        <f>IF(FINANCIACION[[#This Row],[$ CAPITAL]]&gt;=0,FINANCIACION[[#This Row],[$ CAPITAL]]+FINANCIACION[[#This Row],[$ INTERESES]],0)</f>
        <v>120000</v>
      </c>
    </row>
    <row r="321" spans="1:11" ht="24" hidden="1" customHeight="1" x14ac:dyDescent="0.25">
      <c r="A321" s="177">
        <v>44602</v>
      </c>
      <c r="B321" s="184" t="s">
        <v>337</v>
      </c>
      <c r="C321" s="179"/>
      <c r="D321" s="179">
        <v>120000</v>
      </c>
      <c r="E321" s="179">
        <f>+IF(FINANCIACION[[#This Row],[$ CAPITAL]]&gt;=0,FINANCIACION[[#This Row],[$ CAPITAL]]+FINANCIACION[[#This Row],[$ INTERESES]],"")</f>
        <v>120000</v>
      </c>
      <c r="F321" s="179">
        <f>+SUMIFS(FINANCIACION[$ CAPITAL],FINANCIACION[Fecha],"&lt;="&amp;FINANCIACION[[#This Row],[Fecha]],FINANCIACION[PRESTAMO],FINANCIACION[[#This Row],[PRESTAMO]])</f>
        <v>-12000000</v>
      </c>
      <c r="G321" s="179"/>
      <c r="I321" s="185"/>
      <c r="J321" s="179" t="b">
        <f>+IF(FINANCIACION[[#This Row],[$ CAPITAL]]&gt;0,FINANCIACION[[#This Row],[$ CAPITAL]])</f>
        <v>0</v>
      </c>
      <c r="K321" s="186">
        <f>+IF(FINANCIACION[[#This Row],[$ CAPITAL]]&gt;=0,FINANCIACION[[#This Row],[$ CAPITAL]]+FINANCIACION[[#This Row],[$ INTERESES]],0)</f>
        <v>120000</v>
      </c>
    </row>
    <row r="322" spans="1:11" ht="24" hidden="1" customHeight="1" x14ac:dyDescent="0.25">
      <c r="A322" s="177">
        <v>44629</v>
      </c>
      <c r="B322" s="184" t="s">
        <v>337</v>
      </c>
      <c r="C322" s="179"/>
      <c r="D322" s="179">
        <v>120000</v>
      </c>
      <c r="E322" s="179">
        <f>+IF(FINANCIACION[[#This Row],[$ CAPITAL]]&gt;=0,FINANCIACION[[#This Row],[$ CAPITAL]]+FINANCIACION[[#This Row],[$ INTERESES]],"")</f>
        <v>120000</v>
      </c>
      <c r="F322" s="179">
        <f>+SUMIFS(FINANCIACION[$ CAPITAL],FINANCIACION[Fecha],"&lt;="&amp;FINANCIACION[[#This Row],[Fecha]],FINANCIACION[PRESTAMO],FINANCIACION[[#This Row],[PRESTAMO]])</f>
        <v>-12000000</v>
      </c>
      <c r="G322" s="179"/>
      <c r="I322" s="185"/>
      <c r="J322" s="179" t="b">
        <f>+IF(FINANCIACION[[#This Row],[$ CAPITAL]]&gt;0,FINANCIACION[[#This Row],[$ CAPITAL]])</f>
        <v>0</v>
      </c>
      <c r="K322" s="186">
        <f>+IF(FINANCIACION[[#This Row],[$ CAPITAL]]&gt;=0,FINANCIACION[[#This Row],[$ CAPITAL]]+FINANCIACION[[#This Row],[$ INTERESES]],0)</f>
        <v>120000</v>
      </c>
    </row>
    <row r="323" spans="1:11" ht="24" hidden="1" customHeight="1" x14ac:dyDescent="0.25">
      <c r="A323" s="177">
        <v>44668</v>
      </c>
      <c r="B323" s="184" t="s">
        <v>337</v>
      </c>
      <c r="C323" s="179"/>
      <c r="D323" s="179">
        <v>120000</v>
      </c>
      <c r="E323" s="179">
        <f>+IF(FINANCIACION[[#This Row],[$ CAPITAL]]&gt;=0,FINANCIACION[[#This Row],[$ CAPITAL]]+FINANCIACION[[#This Row],[$ INTERESES]],"")</f>
        <v>120000</v>
      </c>
      <c r="F323" s="179">
        <f>+SUMIFS(FINANCIACION[$ CAPITAL],FINANCIACION[Fecha],"&lt;="&amp;FINANCIACION[[#This Row],[Fecha]],FINANCIACION[PRESTAMO],FINANCIACION[[#This Row],[PRESTAMO]])</f>
        <v>-12000000</v>
      </c>
      <c r="G323" s="179"/>
      <c r="I323" s="185"/>
      <c r="J323" s="179" t="b">
        <f>+IF(FINANCIACION[[#This Row],[$ CAPITAL]]&gt;0,FINANCIACION[[#This Row],[$ CAPITAL]])</f>
        <v>0</v>
      </c>
      <c r="K323" s="186">
        <f>+IF(FINANCIACION[[#This Row],[$ CAPITAL]]&gt;=0,FINANCIACION[[#This Row],[$ CAPITAL]]+FINANCIACION[[#This Row],[$ INTERESES]],0)</f>
        <v>120000</v>
      </c>
    </row>
    <row r="324" spans="1:11" ht="24" hidden="1" customHeight="1" x14ac:dyDescent="0.25">
      <c r="A324" s="177">
        <v>44691</v>
      </c>
      <c r="B324" s="184" t="s">
        <v>337</v>
      </c>
      <c r="C324" s="179"/>
      <c r="D324" s="179">
        <v>120000</v>
      </c>
      <c r="E324" s="179">
        <f>+IF(FINANCIACION[[#This Row],[$ CAPITAL]]&gt;=0,FINANCIACION[[#This Row],[$ CAPITAL]]+FINANCIACION[[#This Row],[$ INTERESES]],"")</f>
        <v>120000</v>
      </c>
      <c r="F324" s="179">
        <f>+SUMIFS(FINANCIACION[$ CAPITAL],FINANCIACION[Fecha],"&lt;="&amp;FINANCIACION[[#This Row],[Fecha]],FINANCIACION[PRESTAMO],FINANCIACION[[#This Row],[PRESTAMO]])</f>
        <v>-12000000</v>
      </c>
      <c r="G324" s="179"/>
      <c r="I324" s="185"/>
      <c r="J324" s="179" t="b">
        <f>+IF(FINANCIACION[[#This Row],[$ CAPITAL]]&gt;0,FINANCIACION[[#This Row],[$ CAPITAL]])</f>
        <v>0</v>
      </c>
      <c r="K324" s="186">
        <f>+IF(FINANCIACION[[#This Row],[$ CAPITAL]]&gt;=0,FINANCIACION[[#This Row],[$ CAPITAL]]+FINANCIACION[[#This Row],[$ INTERESES]],0)</f>
        <v>120000</v>
      </c>
    </row>
    <row r="325" spans="1:11" ht="24" hidden="1" customHeight="1" x14ac:dyDescent="0.25">
      <c r="A325" s="177">
        <v>44722</v>
      </c>
      <c r="B325" s="184" t="s">
        <v>337</v>
      </c>
      <c r="C325" s="179"/>
      <c r="D325" s="179">
        <v>120000</v>
      </c>
      <c r="E325" s="179">
        <f>+IF(FINANCIACION[[#This Row],[$ CAPITAL]]&gt;=0,FINANCIACION[[#This Row],[$ CAPITAL]]+FINANCIACION[[#This Row],[$ INTERESES]],"")</f>
        <v>120000</v>
      </c>
      <c r="F325" s="179">
        <f>+SUMIFS(FINANCIACION[$ CAPITAL],FINANCIACION[Fecha],"&lt;="&amp;FINANCIACION[[#This Row],[Fecha]],FINANCIACION[PRESTAMO],FINANCIACION[[#This Row],[PRESTAMO]])</f>
        <v>-12000000</v>
      </c>
      <c r="G325" s="179"/>
      <c r="I325" s="185"/>
      <c r="J325" s="179" t="b">
        <f>+IF(FINANCIACION[[#This Row],[$ CAPITAL]]&gt;0,FINANCIACION[[#This Row],[$ CAPITAL]])</f>
        <v>0</v>
      </c>
      <c r="K325" s="186">
        <f>+IF(FINANCIACION[[#This Row],[$ CAPITAL]]&gt;=0,FINANCIACION[[#This Row],[$ CAPITAL]]+FINANCIACION[[#This Row],[$ INTERESES]],0)</f>
        <v>120000</v>
      </c>
    </row>
    <row r="326" spans="1:11" ht="24" hidden="1" customHeight="1" x14ac:dyDescent="0.25">
      <c r="A326" s="177">
        <v>44753</v>
      </c>
      <c r="B326" s="184" t="s">
        <v>337</v>
      </c>
      <c r="C326" s="179"/>
      <c r="D326" s="179">
        <v>120000</v>
      </c>
      <c r="E326" s="179">
        <f>+IF(FINANCIACION[[#This Row],[$ CAPITAL]]&gt;=0,FINANCIACION[[#This Row],[$ CAPITAL]]+FINANCIACION[[#This Row],[$ INTERESES]],"")</f>
        <v>120000</v>
      </c>
      <c r="F326" s="179">
        <f>+SUMIFS(FINANCIACION[$ CAPITAL],FINANCIACION[Fecha],"&lt;="&amp;FINANCIACION[[#This Row],[Fecha]],FINANCIACION[PRESTAMO],FINANCIACION[[#This Row],[PRESTAMO]])</f>
        <v>-12000000</v>
      </c>
      <c r="G326" s="179"/>
      <c r="I326" s="185"/>
      <c r="J326" s="179" t="b">
        <f>+IF(FINANCIACION[[#This Row],[$ CAPITAL]]&gt;0,FINANCIACION[[#This Row],[$ CAPITAL]])</f>
        <v>0</v>
      </c>
      <c r="K326" s="186">
        <f>+IF(FINANCIACION[[#This Row],[$ CAPITAL]]&gt;=0,FINANCIACION[[#This Row],[$ CAPITAL]]+FINANCIACION[[#This Row],[$ INTERESES]],0)</f>
        <v>120000</v>
      </c>
    </row>
    <row r="327" spans="1:11" ht="24" hidden="1" customHeight="1" x14ac:dyDescent="0.25">
      <c r="A327" s="177">
        <v>44786</v>
      </c>
      <c r="B327" s="184" t="s">
        <v>337</v>
      </c>
      <c r="C327" s="179"/>
      <c r="D327" s="179">
        <v>120000</v>
      </c>
      <c r="E327" s="179">
        <f>+IF(FINANCIACION[[#This Row],[$ CAPITAL]]&gt;=0,FINANCIACION[[#This Row],[$ CAPITAL]]+FINANCIACION[[#This Row],[$ INTERESES]],"")</f>
        <v>120000</v>
      </c>
      <c r="F327" s="179">
        <f>+SUMIFS(FINANCIACION[$ CAPITAL],FINANCIACION[Fecha],"&lt;="&amp;FINANCIACION[[#This Row],[Fecha]],FINANCIACION[PRESTAMO],FINANCIACION[[#This Row],[PRESTAMO]])</f>
        <v>-12000000</v>
      </c>
      <c r="G327" s="179"/>
      <c r="I327" s="185"/>
      <c r="J327" s="179" t="b">
        <f>+IF(FINANCIACION[[#This Row],[$ CAPITAL]]&gt;0,FINANCIACION[[#This Row],[$ CAPITAL]])</f>
        <v>0</v>
      </c>
      <c r="K327" s="186">
        <f>+IF(FINANCIACION[[#This Row],[$ CAPITAL]]&gt;=0,FINANCIACION[[#This Row],[$ CAPITAL]]+FINANCIACION[[#This Row],[$ INTERESES]],0)</f>
        <v>120000</v>
      </c>
    </row>
    <row r="328" spans="1:11" ht="24" hidden="1" customHeight="1" x14ac:dyDescent="0.25">
      <c r="A328" s="177">
        <v>44817</v>
      </c>
      <c r="B328" s="184" t="s">
        <v>337</v>
      </c>
      <c r="C328" s="179"/>
      <c r="D328" s="179">
        <v>120000</v>
      </c>
      <c r="E328" s="179">
        <f>+IF(FINANCIACION[[#This Row],[$ CAPITAL]]&gt;=0,FINANCIACION[[#This Row],[$ CAPITAL]]+FINANCIACION[[#This Row],[$ INTERESES]],"")</f>
        <v>120000</v>
      </c>
      <c r="F328" s="179">
        <f>+SUMIFS(FINANCIACION[$ CAPITAL],FINANCIACION[Fecha],"&lt;="&amp;FINANCIACION[[#This Row],[Fecha]],FINANCIACION[PRESTAMO],FINANCIACION[[#This Row],[PRESTAMO]])</f>
        <v>-12000000</v>
      </c>
      <c r="G328" s="179"/>
      <c r="I328" s="185"/>
      <c r="J328" s="179" t="b">
        <f>+IF(FINANCIACION[[#This Row],[$ CAPITAL]]&gt;0,FINANCIACION[[#This Row],[$ CAPITAL]])</f>
        <v>0</v>
      </c>
      <c r="K328" s="186">
        <f>+IF(FINANCIACION[[#This Row],[$ CAPITAL]]&gt;=0,FINANCIACION[[#This Row],[$ CAPITAL]]+FINANCIACION[[#This Row],[$ INTERESES]],0)</f>
        <v>120000</v>
      </c>
    </row>
    <row r="329" spans="1:11" ht="24" hidden="1" customHeight="1" x14ac:dyDescent="0.25">
      <c r="A329" s="177">
        <v>44846</v>
      </c>
      <c r="B329" s="184" t="s">
        <v>337</v>
      </c>
      <c r="C329" s="179"/>
      <c r="D329" s="179">
        <v>120000</v>
      </c>
      <c r="E329" s="179">
        <f>+IF(FINANCIACION[[#This Row],[$ CAPITAL]]&gt;=0,FINANCIACION[[#This Row],[$ CAPITAL]]+FINANCIACION[[#This Row],[$ INTERESES]],"")</f>
        <v>120000</v>
      </c>
      <c r="F329" s="179">
        <f>+SUMIFS(FINANCIACION[$ CAPITAL],FINANCIACION[Fecha],"&lt;="&amp;FINANCIACION[[#This Row],[Fecha]],FINANCIACION[PRESTAMO],FINANCIACION[[#This Row],[PRESTAMO]])</f>
        <v>-12000000</v>
      </c>
      <c r="G329" s="179"/>
      <c r="I329" s="185"/>
      <c r="J329" s="179" t="b">
        <f>+IF(FINANCIACION[[#This Row],[$ CAPITAL]]&gt;0,FINANCIACION[[#This Row],[$ CAPITAL]])</f>
        <v>0</v>
      </c>
      <c r="K329" s="186">
        <f>+IF(FINANCIACION[[#This Row],[$ CAPITAL]]&gt;=0,FINANCIACION[[#This Row],[$ CAPITAL]]+FINANCIACION[[#This Row],[$ INTERESES]],0)</f>
        <v>120000</v>
      </c>
    </row>
    <row r="330" spans="1:11" ht="24" hidden="1" customHeight="1" x14ac:dyDescent="0.25">
      <c r="A330" s="177">
        <v>44876</v>
      </c>
      <c r="B330" s="184" t="s">
        <v>337</v>
      </c>
      <c r="C330" s="179"/>
      <c r="D330" s="179">
        <v>120000</v>
      </c>
      <c r="E330" s="179">
        <f>+IF(FINANCIACION[[#This Row],[$ CAPITAL]]&gt;=0,FINANCIACION[[#This Row],[$ CAPITAL]]+FINANCIACION[[#This Row],[$ INTERESES]],"")</f>
        <v>120000</v>
      </c>
      <c r="F330" s="179">
        <f>+SUMIFS(FINANCIACION[$ CAPITAL],FINANCIACION[Fecha],"&lt;="&amp;FINANCIACION[[#This Row],[Fecha]],FINANCIACION[PRESTAMO],FINANCIACION[[#This Row],[PRESTAMO]])</f>
        <v>-12000000</v>
      </c>
      <c r="G330" s="179"/>
      <c r="I330" s="185"/>
      <c r="J330" s="179" t="b">
        <f>+IF(FINANCIACION[[#This Row],[$ CAPITAL]]&gt;0,FINANCIACION[[#This Row],[$ CAPITAL]])</f>
        <v>0</v>
      </c>
      <c r="K330" s="186">
        <f>+IF(FINANCIACION[[#This Row],[$ CAPITAL]]&gt;=0,FINANCIACION[[#This Row],[$ CAPITAL]]+FINANCIACION[[#This Row],[$ INTERESES]],0)</f>
        <v>120000</v>
      </c>
    </row>
    <row r="331" spans="1:11" ht="24" hidden="1" customHeight="1" x14ac:dyDescent="0.25">
      <c r="A331" s="177">
        <v>44909</v>
      </c>
      <c r="B331" s="184" t="s">
        <v>337</v>
      </c>
      <c r="C331" s="179"/>
      <c r="D331" s="179">
        <v>120000</v>
      </c>
      <c r="E331" s="179">
        <f>+IF(FINANCIACION[[#This Row],[$ CAPITAL]]&gt;=0,FINANCIACION[[#This Row],[$ CAPITAL]]+FINANCIACION[[#This Row],[$ INTERESES]],"")</f>
        <v>120000</v>
      </c>
      <c r="F331" s="179">
        <f>+SUMIFS(FINANCIACION[$ CAPITAL],FINANCIACION[Fecha],"&lt;="&amp;FINANCIACION[[#This Row],[Fecha]],FINANCIACION[PRESTAMO],FINANCIACION[[#This Row],[PRESTAMO]])</f>
        <v>-12000000</v>
      </c>
      <c r="G331" s="179"/>
      <c r="I331" s="185"/>
      <c r="J331" s="179" t="b">
        <f>+IF(FINANCIACION[[#This Row],[$ CAPITAL]]&gt;0,FINANCIACION[[#This Row],[$ CAPITAL]])</f>
        <v>0</v>
      </c>
      <c r="K331" s="186">
        <f>+IF(FINANCIACION[[#This Row],[$ CAPITAL]]&gt;=0,FINANCIACION[[#This Row],[$ CAPITAL]]+FINANCIACION[[#This Row],[$ INTERESES]],0)</f>
        <v>120000</v>
      </c>
    </row>
    <row r="332" spans="1:11" ht="24" hidden="1" customHeight="1" x14ac:dyDescent="0.25">
      <c r="A332" s="177">
        <v>44938</v>
      </c>
      <c r="B332" s="184" t="s">
        <v>337</v>
      </c>
      <c r="C332" s="179"/>
      <c r="D332" s="179">
        <v>120000</v>
      </c>
      <c r="E332" s="179">
        <f>+IF(FINANCIACION[[#This Row],[$ CAPITAL]]&gt;=0,FINANCIACION[[#This Row],[$ CAPITAL]]+FINANCIACION[[#This Row],[$ INTERESES]],"")</f>
        <v>120000</v>
      </c>
      <c r="F332" s="179">
        <f>+SUMIFS(FINANCIACION[$ CAPITAL],FINANCIACION[Fecha],"&lt;="&amp;FINANCIACION[[#This Row],[Fecha]],FINANCIACION[PRESTAMO],FINANCIACION[[#This Row],[PRESTAMO]])</f>
        <v>-12000000</v>
      </c>
      <c r="G332" s="179"/>
      <c r="I332" s="185"/>
      <c r="J332" s="179" t="b">
        <f>+IF(FINANCIACION[[#This Row],[$ CAPITAL]]&gt;0,FINANCIACION[[#This Row],[$ CAPITAL]])</f>
        <v>0</v>
      </c>
      <c r="K332" s="186">
        <f>+IF(FINANCIACION[[#This Row],[$ CAPITAL]]&gt;=0,FINANCIACION[[#This Row],[$ CAPITAL]]+FINANCIACION[[#This Row],[$ INTERESES]],0)</f>
        <v>120000</v>
      </c>
    </row>
    <row r="333" spans="1:11" ht="24" hidden="1" customHeight="1" x14ac:dyDescent="0.25">
      <c r="A333" s="177">
        <v>44970</v>
      </c>
      <c r="B333" s="184" t="s">
        <v>337</v>
      </c>
      <c r="C333" s="179"/>
      <c r="D333" s="179">
        <v>120000</v>
      </c>
      <c r="E333" s="179">
        <f>+IF(FINANCIACION[[#This Row],[$ CAPITAL]]&gt;=0,FINANCIACION[[#This Row],[$ CAPITAL]]+FINANCIACION[[#This Row],[$ INTERESES]],"")</f>
        <v>120000</v>
      </c>
      <c r="F333" s="179">
        <f>+SUMIFS(FINANCIACION[$ CAPITAL],FINANCIACION[Fecha],"&lt;="&amp;FINANCIACION[[#This Row],[Fecha]],FINANCIACION[PRESTAMO],FINANCIACION[[#This Row],[PRESTAMO]])</f>
        <v>-12000000</v>
      </c>
      <c r="G333" s="179"/>
      <c r="I333" s="185"/>
      <c r="J333" s="179" t="b">
        <f>+IF(FINANCIACION[[#This Row],[$ CAPITAL]]&gt;0,FINANCIACION[[#This Row],[$ CAPITAL]])</f>
        <v>0</v>
      </c>
      <c r="K333" s="186">
        <f>+IF(FINANCIACION[[#This Row],[$ CAPITAL]]&gt;=0,FINANCIACION[[#This Row],[$ CAPITAL]]+FINANCIACION[[#This Row],[$ INTERESES]],0)</f>
        <v>120000</v>
      </c>
    </row>
    <row r="334" spans="1:11" ht="24" hidden="1" customHeight="1" x14ac:dyDescent="0.25">
      <c r="A334" s="177">
        <v>44999</v>
      </c>
      <c r="B334" s="184" t="s">
        <v>337</v>
      </c>
      <c r="C334" s="179"/>
      <c r="D334" s="179">
        <v>120000</v>
      </c>
      <c r="E334" s="179">
        <f>+IF(FINANCIACION[[#This Row],[$ CAPITAL]]&gt;=0,FINANCIACION[[#This Row],[$ CAPITAL]]+FINANCIACION[[#This Row],[$ INTERESES]],"")</f>
        <v>120000</v>
      </c>
      <c r="F334" s="179">
        <f>+SUMIFS(FINANCIACION[$ CAPITAL],FINANCIACION[Fecha],"&lt;="&amp;FINANCIACION[[#This Row],[Fecha]],FINANCIACION[PRESTAMO],FINANCIACION[[#This Row],[PRESTAMO]])</f>
        <v>-12000000</v>
      </c>
      <c r="G334" s="179"/>
      <c r="I334" s="185"/>
      <c r="J334" s="179" t="b">
        <f>+IF(FINANCIACION[[#This Row],[$ CAPITAL]]&gt;0,FINANCIACION[[#This Row],[$ CAPITAL]])</f>
        <v>0</v>
      </c>
      <c r="K334" s="186">
        <f>+IF(FINANCIACION[[#This Row],[$ CAPITAL]]&gt;=0,FINANCIACION[[#This Row],[$ CAPITAL]]+FINANCIACION[[#This Row],[$ INTERESES]],0)</f>
        <v>120000</v>
      </c>
    </row>
    <row r="335" spans="1:11" ht="24" hidden="1" customHeight="1" x14ac:dyDescent="0.25">
      <c r="A335" s="177">
        <v>45026</v>
      </c>
      <c r="B335" s="184" t="s">
        <v>337</v>
      </c>
      <c r="C335" s="179"/>
      <c r="D335" s="179">
        <v>120000</v>
      </c>
      <c r="E335" s="179">
        <f>+IF(FINANCIACION[[#This Row],[$ CAPITAL]]&gt;=0,FINANCIACION[[#This Row],[$ CAPITAL]]+FINANCIACION[[#This Row],[$ INTERESES]],"")</f>
        <v>120000</v>
      </c>
      <c r="F335" s="179">
        <f>+SUMIFS(FINANCIACION[$ CAPITAL],FINANCIACION[Fecha],"&lt;="&amp;FINANCIACION[[#This Row],[Fecha]],FINANCIACION[PRESTAMO],FINANCIACION[[#This Row],[PRESTAMO]])</f>
        <v>-12000000</v>
      </c>
      <c r="G335" s="179"/>
      <c r="I335" s="185"/>
      <c r="J335" s="179" t="b">
        <f>+IF(FINANCIACION[[#This Row],[$ CAPITAL]]&gt;0,FINANCIACION[[#This Row],[$ CAPITAL]])</f>
        <v>0</v>
      </c>
      <c r="K335" s="186">
        <f>+IF(FINANCIACION[[#This Row],[$ CAPITAL]]&gt;=0,FINANCIACION[[#This Row],[$ CAPITAL]]+FINANCIACION[[#This Row],[$ INTERESES]],0)</f>
        <v>120000</v>
      </c>
    </row>
    <row r="336" spans="1:11" ht="24" hidden="1" customHeight="1" x14ac:dyDescent="0.25">
      <c r="A336" s="177">
        <v>45054</v>
      </c>
      <c r="B336" s="184" t="s">
        <v>337</v>
      </c>
      <c r="C336" s="179"/>
      <c r="D336" s="179">
        <v>120000</v>
      </c>
      <c r="E336" s="179">
        <f>+IF(FINANCIACION[[#This Row],[$ CAPITAL]]&gt;=0,FINANCIACION[[#This Row],[$ CAPITAL]]+FINANCIACION[[#This Row],[$ INTERESES]],"")</f>
        <v>120000</v>
      </c>
      <c r="F336" s="179">
        <f>+SUMIFS(FINANCIACION[$ CAPITAL],FINANCIACION[Fecha],"&lt;="&amp;FINANCIACION[[#This Row],[Fecha]],FINANCIACION[PRESTAMO],FINANCIACION[[#This Row],[PRESTAMO]])</f>
        <v>-12000000</v>
      </c>
      <c r="G336" s="179"/>
      <c r="I336" s="185"/>
      <c r="J336" s="179" t="b">
        <f>+IF(FINANCIACION[[#This Row],[$ CAPITAL]]&gt;0,FINANCIACION[[#This Row],[$ CAPITAL]])</f>
        <v>0</v>
      </c>
      <c r="K336" s="186">
        <f>+IF(FINANCIACION[[#This Row],[$ CAPITAL]]&gt;=0,FINANCIACION[[#This Row],[$ CAPITAL]]+FINANCIACION[[#This Row],[$ INTERESES]],0)</f>
        <v>120000</v>
      </c>
    </row>
    <row r="337" spans="1:17" ht="24" hidden="1" customHeight="1" x14ac:dyDescent="0.25">
      <c r="A337" s="177">
        <v>45091</v>
      </c>
      <c r="B337" s="184" t="s">
        <v>337</v>
      </c>
      <c r="C337" s="179"/>
      <c r="D337" s="179">
        <v>120000</v>
      </c>
      <c r="E337" s="179">
        <f>+IF(FINANCIACION[[#This Row],[$ CAPITAL]]&gt;=0,FINANCIACION[[#This Row],[$ CAPITAL]]+FINANCIACION[[#This Row],[$ INTERESES]],"")</f>
        <v>120000</v>
      </c>
      <c r="F337" s="179">
        <f>+SUMIFS(FINANCIACION[$ CAPITAL],FINANCIACION[Fecha],"&lt;="&amp;FINANCIACION[[#This Row],[Fecha]],FINANCIACION[PRESTAMO],FINANCIACION[[#This Row],[PRESTAMO]])</f>
        <v>-12000000</v>
      </c>
      <c r="G337" s="179"/>
      <c r="I337" s="185"/>
      <c r="J337" s="179" t="b">
        <f>+IF(FINANCIACION[[#This Row],[$ CAPITAL]]&gt;0,FINANCIACION[[#This Row],[$ CAPITAL]])</f>
        <v>0</v>
      </c>
      <c r="K337" s="186">
        <f>+IF(FINANCIACION[[#This Row],[$ CAPITAL]]&gt;=0,FINANCIACION[[#This Row],[$ CAPITAL]]+FINANCIACION[[#This Row],[$ INTERESES]],0)</f>
        <v>120000</v>
      </c>
    </row>
    <row r="338" spans="1:17" ht="24" hidden="1" customHeight="1" x14ac:dyDescent="0.25">
      <c r="A338" s="177">
        <v>45118</v>
      </c>
      <c r="B338" s="184" t="s">
        <v>337</v>
      </c>
      <c r="C338" s="179"/>
      <c r="D338" s="179">
        <v>120000</v>
      </c>
      <c r="E338" s="179">
        <f>+IF(FINANCIACION[[#This Row],[$ CAPITAL]]&gt;=0,FINANCIACION[[#This Row],[$ CAPITAL]]+FINANCIACION[[#This Row],[$ INTERESES]],"")</f>
        <v>120000</v>
      </c>
      <c r="F338" s="179">
        <f>+SUMIFS(FINANCIACION[$ CAPITAL],FINANCIACION[Fecha],"&lt;="&amp;FINANCIACION[[#This Row],[Fecha]],FINANCIACION[PRESTAMO],FINANCIACION[[#This Row],[PRESTAMO]])</f>
        <v>-12000000</v>
      </c>
      <c r="G338" s="179"/>
      <c r="I338" s="185"/>
      <c r="J338" s="179" t="b">
        <f>+IF(FINANCIACION[[#This Row],[$ CAPITAL]]&gt;0,FINANCIACION[[#This Row],[$ CAPITAL]])</f>
        <v>0</v>
      </c>
      <c r="K338" s="186">
        <f>+IF(FINANCIACION[[#This Row],[$ CAPITAL]]&gt;=0,FINANCIACION[[#This Row],[$ CAPITAL]]+FINANCIACION[[#This Row],[$ INTERESES]],0)</f>
        <v>120000</v>
      </c>
    </row>
    <row r="339" spans="1:17" ht="24" hidden="1" customHeight="1" x14ac:dyDescent="0.25">
      <c r="A339" s="177">
        <v>45149</v>
      </c>
      <c r="B339" s="184" t="s">
        <v>337</v>
      </c>
      <c r="C339" s="179"/>
      <c r="D339" s="179">
        <v>120000</v>
      </c>
      <c r="E339" s="179">
        <f>+IF(FINANCIACION[[#This Row],[$ CAPITAL]]&gt;=0,FINANCIACION[[#This Row],[$ CAPITAL]]+FINANCIACION[[#This Row],[$ INTERESES]],"")</f>
        <v>120000</v>
      </c>
      <c r="F339" s="179">
        <f>+SUMIFS(FINANCIACION[$ CAPITAL],FINANCIACION[Fecha],"&lt;="&amp;FINANCIACION[[#This Row],[Fecha]],FINANCIACION[PRESTAMO],FINANCIACION[[#This Row],[PRESTAMO]])</f>
        <v>-12000000</v>
      </c>
      <c r="G339" s="179"/>
      <c r="I339" s="185"/>
      <c r="J339" s="179" t="b">
        <f>+IF(FINANCIACION[[#This Row],[$ CAPITAL]]&gt;0,FINANCIACION[[#This Row],[$ CAPITAL]])</f>
        <v>0</v>
      </c>
      <c r="K339" s="186">
        <f>+IF(FINANCIACION[[#This Row],[$ CAPITAL]]&gt;=0,FINANCIACION[[#This Row],[$ CAPITAL]]+FINANCIACION[[#This Row],[$ INTERESES]],0)</f>
        <v>120000</v>
      </c>
    </row>
    <row r="340" spans="1:17" ht="24" hidden="1" customHeight="1" x14ac:dyDescent="0.25">
      <c r="A340" s="177">
        <v>45187</v>
      </c>
      <c r="B340" s="184" t="s">
        <v>337</v>
      </c>
      <c r="C340" s="179"/>
      <c r="D340" s="179">
        <v>120000</v>
      </c>
      <c r="E340" s="179">
        <f>+IF(FINANCIACION[[#This Row],[$ CAPITAL]]&gt;=0,FINANCIACION[[#This Row],[$ CAPITAL]]+FINANCIACION[[#This Row],[$ INTERESES]],"")</f>
        <v>120000</v>
      </c>
      <c r="F340" s="179">
        <f>+SUMIFS(FINANCIACION[$ CAPITAL],FINANCIACION[Fecha],"&lt;="&amp;FINANCIACION[[#This Row],[Fecha]],FINANCIACION[PRESTAMO],FINANCIACION[[#This Row],[PRESTAMO]])</f>
        <v>-12000000</v>
      </c>
      <c r="G340" s="179"/>
      <c r="I340" s="185"/>
      <c r="J340" s="179" t="b">
        <f>+IF(FINANCIACION[[#This Row],[$ CAPITAL]]&gt;0,FINANCIACION[[#This Row],[$ CAPITAL]])</f>
        <v>0</v>
      </c>
      <c r="K340" s="186">
        <f>+IF(FINANCIACION[[#This Row],[$ CAPITAL]]&gt;=0,FINANCIACION[[#This Row],[$ CAPITAL]]+FINANCIACION[[#This Row],[$ INTERESES]],0)</f>
        <v>120000</v>
      </c>
    </row>
    <row r="341" spans="1:17" ht="24" hidden="1" customHeight="1" x14ac:dyDescent="0.25">
      <c r="A341" s="177">
        <v>45210</v>
      </c>
      <c r="B341" s="184" t="s">
        <v>337</v>
      </c>
      <c r="C341" s="179"/>
      <c r="D341" s="179">
        <v>120000</v>
      </c>
      <c r="E341" s="179">
        <f>+IF(FINANCIACION[[#This Row],[$ CAPITAL]]&gt;=0,FINANCIACION[[#This Row],[$ CAPITAL]]+FINANCIACION[[#This Row],[$ INTERESES]],"")</f>
        <v>120000</v>
      </c>
      <c r="F341" s="179">
        <f>+SUMIFS(FINANCIACION[$ CAPITAL],FINANCIACION[Fecha],"&lt;="&amp;FINANCIACION[[#This Row],[Fecha]],FINANCIACION[PRESTAMO],FINANCIACION[[#This Row],[PRESTAMO]])</f>
        <v>-12000000</v>
      </c>
      <c r="G341" s="179"/>
      <c r="I341" s="185"/>
      <c r="J341" s="179" t="b">
        <f>+IF(FINANCIACION[[#This Row],[$ CAPITAL]]&gt;0,FINANCIACION[[#This Row],[$ CAPITAL]])</f>
        <v>0</v>
      </c>
      <c r="K341" s="186">
        <f>+IF(FINANCIACION[[#This Row],[$ CAPITAL]]&gt;=0,FINANCIACION[[#This Row],[$ CAPITAL]]+FINANCIACION[[#This Row],[$ INTERESES]],0)</f>
        <v>120000</v>
      </c>
    </row>
    <row r="342" spans="1:17" ht="24" hidden="1" customHeight="1" x14ac:dyDescent="0.25">
      <c r="A342" s="177">
        <v>45237</v>
      </c>
      <c r="B342" s="184" t="s">
        <v>337</v>
      </c>
      <c r="C342" s="179"/>
      <c r="D342" s="179">
        <v>120000</v>
      </c>
      <c r="E342" s="179">
        <f>+IF(FINANCIACION[[#This Row],[$ CAPITAL]]&gt;=0,FINANCIACION[[#This Row],[$ CAPITAL]]+FINANCIACION[[#This Row],[$ INTERESES]],"")</f>
        <v>120000</v>
      </c>
      <c r="F342" s="179">
        <f>+SUMIFS(FINANCIACION[$ CAPITAL],FINANCIACION[Fecha],"&lt;="&amp;FINANCIACION[[#This Row],[Fecha]],FINANCIACION[PRESTAMO],FINANCIACION[[#This Row],[PRESTAMO]])</f>
        <v>0</v>
      </c>
      <c r="G342" s="179"/>
      <c r="I342" s="185"/>
      <c r="J342" s="179" t="b">
        <f>+IF(FINANCIACION[[#This Row],[$ CAPITAL]]&gt;0,FINANCIACION[[#This Row],[$ CAPITAL]])</f>
        <v>0</v>
      </c>
      <c r="K342" s="186">
        <f>+IF(FINANCIACION[[#This Row],[$ CAPITAL]]&gt;=0,FINANCIACION[[#This Row],[$ CAPITAL]]+FINANCIACION[[#This Row],[$ INTERESES]],0)</f>
        <v>120000</v>
      </c>
    </row>
    <row r="343" spans="1:17" ht="24" hidden="1" customHeight="1" x14ac:dyDescent="0.25">
      <c r="A343" s="177">
        <v>45237</v>
      </c>
      <c r="B343" s="184" t="s">
        <v>337</v>
      </c>
      <c r="C343" s="179">
        <v>12000000</v>
      </c>
      <c r="D343" s="179"/>
      <c r="E343" s="179">
        <f>+IF(FINANCIACION[[#This Row],[$ CAPITAL]]&gt;=0,FINANCIACION[[#This Row],[$ CAPITAL]]+FINANCIACION[[#This Row],[$ INTERESES]],"")</f>
        <v>12000000</v>
      </c>
      <c r="F343" s="179">
        <f>+SUMIFS(FINANCIACION[$ CAPITAL],FINANCIACION[Fecha],"&lt;="&amp;FINANCIACION[[#This Row],[Fecha]],FINANCIACION[PRESTAMO],FINANCIACION[[#This Row],[PRESTAMO]])</f>
        <v>0</v>
      </c>
      <c r="G343" s="179"/>
      <c r="I343" s="185"/>
      <c r="J343" s="179">
        <f>+IF(FINANCIACION[[#This Row],[$ CAPITAL]]&gt;0,FINANCIACION[[#This Row],[$ CAPITAL]])</f>
        <v>12000000</v>
      </c>
      <c r="K343" s="186">
        <f>+IF(FINANCIACION[[#This Row],[$ CAPITAL]]&gt;=0,FINANCIACION[[#This Row],[$ CAPITAL]]+FINANCIACION[[#This Row],[$ INTERESES]],0)</f>
        <v>12000000</v>
      </c>
    </row>
    <row r="344" spans="1:17" ht="24" hidden="1" customHeight="1" x14ac:dyDescent="0.25">
      <c r="A344" s="177">
        <v>43398</v>
      </c>
      <c r="B344" s="184" t="s">
        <v>1450</v>
      </c>
      <c r="C344" s="179">
        <v>-45000000</v>
      </c>
      <c r="D344" s="179"/>
      <c r="E344" s="179" t="str">
        <f>+IF(FINANCIACION[[#This Row],[$ CAPITAL]]&gt;=0,FINANCIACION[[#This Row],[$ CAPITAL]]+FINANCIACION[[#This Row],[$ INTERESES]],"")</f>
        <v/>
      </c>
      <c r="F344" s="179">
        <f>+SUMIFS(FINANCIACION[$ CAPITAL],FINANCIACION[Fecha],"&lt;="&amp;FINANCIACION[[#This Row],[Fecha]],FINANCIACION[PRESTAMO],FINANCIACION[[#This Row],[PRESTAMO]])</f>
        <v>-45000000</v>
      </c>
      <c r="G344" s="82"/>
      <c r="I344" s="185"/>
      <c r="J344" s="179" t="b">
        <f>IF(FINANCIACION[[#This Row],[$ CAPITAL]]&gt;0,FINANCIACION[[#This Row],[$ CAPITAL]])</f>
        <v>0</v>
      </c>
      <c r="K344" s="186">
        <f>IF(FINANCIACION[[#This Row],[$ CAPITAL]]&gt;=0,FINANCIACION[[#This Row],[$ CAPITAL]]+FINANCIACION[[#This Row],[$ INTERESES]],0)</f>
        <v>0</v>
      </c>
      <c r="L344" s="189"/>
      <c r="O344" s="183"/>
      <c r="P344" s="185"/>
      <c r="Q344" s="187"/>
    </row>
    <row r="345" spans="1:17" ht="24" hidden="1" customHeight="1" x14ac:dyDescent="0.25">
      <c r="A345" s="177">
        <v>43465</v>
      </c>
      <c r="B345" s="184" t="s">
        <v>1450</v>
      </c>
      <c r="C345" s="179">
        <v>2500000</v>
      </c>
      <c r="D345" s="179"/>
      <c r="E345" s="179">
        <f>+IF(FINANCIACION[[#This Row],[$ CAPITAL]]&gt;=0,FINANCIACION[[#This Row],[$ CAPITAL]]+FINANCIACION[[#This Row],[$ INTERESES]],"")</f>
        <v>2500000</v>
      </c>
      <c r="F345" s="179">
        <f>+SUMIFS(FINANCIACION[$ CAPITAL],FINANCIACION[Fecha],"&lt;="&amp;FINANCIACION[[#This Row],[Fecha]],FINANCIACION[PRESTAMO],FINANCIACION[[#This Row],[PRESTAMO]])</f>
        <v>-42500000</v>
      </c>
      <c r="G345" s="82"/>
      <c r="I345" s="185"/>
      <c r="J345" s="179">
        <f>IF(FINANCIACION[[#This Row],[$ CAPITAL]]&gt;0,FINANCIACION[[#This Row],[$ CAPITAL]])</f>
        <v>2500000</v>
      </c>
      <c r="K345" s="186">
        <f>IF(FINANCIACION[[#This Row],[$ CAPITAL]]&gt;=0,FINANCIACION[[#This Row],[$ CAPITAL]]+FINANCIACION[[#This Row],[$ INTERESES]],0)</f>
        <v>2500000</v>
      </c>
      <c r="L345" s="189"/>
      <c r="O345" s="183"/>
      <c r="P345" s="185"/>
      <c r="Q345" s="187"/>
    </row>
    <row r="346" spans="1:17" ht="24" hidden="1" customHeight="1" x14ac:dyDescent="0.25">
      <c r="A346" s="177">
        <v>43490</v>
      </c>
      <c r="B346" s="184" t="s">
        <v>1450</v>
      </c>
      <c r="C346" s="179">
        <v>1250000</v>
      </c>
      <c r="D346" s="179">
        <v>522218</v>
      </c>
      <c r="E346" s="179">
        <f>+IF(FINANCIACION[[#This Row],[$ CAPITAL]]&gt;=0,FINANCIACION[[#This Row],[$ CAPITAL]]+FINANCIACION[[#This Row],[$ INTERESES]],"")</f>
        <v>1772218</v>
      </c>
      <c r="F346" s="179">
        <f>+SUMIFS(FINANCIACION[$ CAPITAL],FINANCIACION[Fecha],"&lt;="&amp;FINANCIACION[[#This Row],[Fecha]],FINANCIACION[PRESTAMO],FINANCIACION[[#This Row],[PRESTAMO]])</f>
        <v>-41250000</v>
      </c>
      <c r="G346" s="82"/>
      <c r="I346" s="185"/>
      <c r="J346" s="179">
        <f>IF(FINANCIACION[[#This Row],[$ CAPITAL]]&gt;0,FINANCIACION[[#This Row],[$ CAPITAL]])</f>
        <v>1250000</v>
      </c>
      <c r="K346" s="186">
        <f>IF(FINANCIACION[[#This Row],[$ CAPITAL]]&gt;=0,FINANCIACION[[#This Row],[$ CAPITAL]]+FINANCIACION[[#This Row],[$ INTERESES]],0)</f>
        <v>1772218</v>
      </c>
      <c r="L346" s="189"/>
      <c r="O346" s="183"/>
      <c r="P346" s="185"/>
      <c r="Q346" s="187"/>
    </row>
    <row r="347" spans="1:17" ht="24" hidden="1" customHeight="1" x14ac:dyDescent="0.25">
      <c r="A347" s="177">
        <v>43521</v>
      </c>
      <c r="B347" s="184" t="s">
        <v>1450</v>
      </c>
      <c r="C347" s="179">
        <v>1250000</v>
      </c>
      <c r="D347" s="179">
        <v>508307</v>
      </c>
      <c r="E347" s="179">
        <f>+IF(FINANCIACION[[#This Row],[$ CAPITAL]]&gt;=0,FINANCIACION[[#This Row],[$ CAPITAL]]+FINANCIACION[[#This Row],[$ INTERESES]],"")</f>
        <v>1758307</v>
      </c>
      <c r="F347" s="179">
        <f>+SUMIFS(FINANCIACION[$ CAPITAL],FINANCIACION[Fecha],"&lt;="&amp;FINANCIACION[[#This Row],[Fecha]],FINANCIACION[PRESTAMO],FINANCIACION[[#This Row],[PRESTAMO]])</f>
        <v>-40000000</v>
      </c>
      <c r="G347" s="82"/>
      <c r="H347" s="183"/>
      <c r="I347" s="185"/>
      <c r="J347" s="179">
        <f>IF(FINANCIACION[[#This Row],[$ CAPITAL]]&gt;0,FINANCIACION[[#This Row],[$ CAPITAL]])</f>
        <v>1250000</v>
      </c>
      <c r="K347" s="186">
        <f>IF(FINANCIACION[[#This Row],[$ CAPITAL]]&gt;=0,FINANCIACION[[#This Row],[$ CAPITAL]]+FINANCIACION[[#This Row],[$ INTERESES]],0)</f>
        <v>1758307</v>
      </c>
      <c r="L347" s="189"/>
      <c r="O347" s="183"/>
      <c r="P347" s="185"/>
      <c r="Q347" s="187"/>
    </row>
    <row r="348" spans="1:17" ht="24" hidden="1" customHeight="1" x14ac:dyDescent="0.25">
      <c r="A348" s="177">
        <v>43549</v>
      </c>
      <c r="B348" s="184" t="s">
        <v>1450</v>
      </c>
      <c r="C348" s="179">
        <v>1250000</v>
      </c>
      <c r="D348" s="179">
        <v>493253</v>
      </c>
      <c r="E348" s="179">
        <f>+IF(FINANCIACION[[#This Row],[$ CAPITAL]]&gt;=0,FINANCIACION[[#This Row],[$ CAPITAL]]+FINANCIACION[[#This Row],[$ INTERESES]],"")</f>
        <v>1743253</v>
      </c>
      <c r="F348" s="179">
        <f>+SUMIFS(FINANCIACION[$ CAPITAL],FINANCIACION[Fecha],"&lt;="&amp;FINANCIACION[[#This Row],[Fecha]],FINANCIACION[PRESTAMO],FINANCIACION[[#This Row],[PRESTAMO]])</f>
        <v>-38750000</v>
      </c>
      <c r="G348" s="82"/>
      <c r="H348" s="183"/>
      <c r="I348" s="185"/>
      <c r="J348" s="179">
        <f>IF(FINANCIACION[[#This Row],[$ CAPITAL]]&gt;0,FINANCIACION[[#This Row],[$ CAPITAL]])</f>
        <v>1250000</v>
      </c>
      <c r="K348" s="186">
        <f>IF(FINANCIACION[[#This Row],[$ CAPITAL]]&gt;=0,FINANCIACION[[#This Row],[$ CAPITAL]]+FINANCIACION[[#This Row],[$ INTERESES]],0)</f>
        <v>1743253</v>
      </c>
      <c r="L348" s="189"/>
      <c r="O348" s="183"/>
      <c r="P348" s="185"/>
      <c r="Q348" s="187"/>
    </row>
    <row r="349" spans="1:17" ht="24" hidden="1" customHeight="1" x14ac:dyDescent="0.25">
      <c r="A349" s="177">
        <v>43580</v>
      </c>
      <c r="B349" s="184" t="s">
        <v>1450</v>
      </c>
      <c r="C349" s="179">
        <v>1250000</v>
      </c>
      <c r="D349" s="179">
        <v>476141</v>
      </c>
      <c r="E349" s="179">
        <f>+IF(FINANCIACION[[#This Row],[$ CAPITAL]]&gt;=0,FINANCIACION[[#This Row],[$ CAPITAL]]+FINANCIACION[[#This Row],[$ INTERESES]],"")</f>
        <v>1726141</v>
      </c>
      <c r="F349" s="179">
        <f>+SUMIFS(FINANCIACION[$ CAPITAL],FINANCIACION[Fecha],"&lt;="&amp;FINANCIACION[[#This Row],[Fecha]],FINANCIACION[PRESTAMO],FINANCIACION[[#This Row],[PRESTAMO]])</f>
        <v>-37500000</v>
      </c>
      <c r="G349" s="82"/>
      <c r="H349" s="183"/>
      <c r="I349" s="185"/>
      <c r="J349" s="179">
        <f>IF(FINANCIACION[[#This Row],[$ CAPITAL]]&gt;0,FINANCIACION[[#This Row],[$ CAPITAL]])</f>
        <v>1250000</v>
      </c>
      <c r="K349" s="186">
        <f>IF(FINANCIACION[[#This Row],[$ CAPITAL]]&gt;=0,FINANCIACION[[#This Row],[$ CAPITAL]]+FINANCIACION[[#This Row],[$ INTERESES]],0)</f>
        <v>1726141</v>
      </c>
      <c r="L349" s="189"/>
      <c r="O349" s="183"/>
      <c r="P349" s="185"/>
      <c r="Q349" s="187"/>
    </row>
    <row r="350" spans="1:17" ht="24" hidden="1" customHeight="1" x14ac:dyDescent="0.25">
      <c r="A350" s="177">
        <v>43593</v>
      </c>
      <c r="B350" s="184" t="s">
        <v>1450</v>
      </c>
      <c r="C350" s="179">
        <v>7500000</v>
      </c>
      <c r="D350" s="179"/>
      <c r="E350" s="179">
        <f>+IF(FINANCIACION[[#This Row],[$ CAPITAL]]&gt;=0,FINANCIACION[[#This Row],[$ CAPITAL]]+FINANCIACION[[#This Row],[$ INTERESES]],"")</f>
        <v>7500000</v>
      </c>
      <c r="F350" s="179">
        <f>+SUMIFS(FINANCIACION[$ CAPITAL],FINANCIACION[Fecha],"&lt;="&amp;FINANCIACION[[#This Row],[Fecha]],FINANCIACION[PRESTAMO],FINANCIACION[[#This Row],[PRESTAMO]])</f>
        <v>-30000000</v>
      </c>
      <c r="G350" s="82"/>
      <c r="H350" s="183"/>
      <c r="I350" s="185"/>
      <c r="J350" s="179">
        <f>IF(FINANCIACION[[#This Row],[$ CAPITAL]]&gt;0,FINANCIACION[[#This Row],[$ CAPITAL]])</f>
        <v>7500000</v>
      </c>
      <c r="K350" s="186">
        <f>IF(FINANCIACION[[#This Row],[$ CAPITAL]]&gt;=0,FINANCIACION[[#This Row],[$ CAPITAL]]+FINANCIACION[[#This Row],[$ INTERESES]],0)</f>
        <v>7500000</v>
      </c>
      <c r="L350" s="189"/>
      <c r="O350" s="183"/>
      <c r="P350" s="185"/>
      <c r="Q350" s="187"/>
    </row>
    <row r="351" spans="1:17" ht="24" hidden="1" customHeight="1" x14ac:dyDescent="0.25">
      <c r="A351" s="177">
        <v>43612</v>
      </c>
      <c r="B351" s="184" t="s">
        <v>1450</v>
      </c>
      <c r="C351" s="179">
        <v>1250000</v>
      </c>
      <c r="D351" s="179">
        <v>461769</v>
      </c>
      <c r="E351" s="179">
        <f>+IF(FINANCIACION[[#This Row],[$ CAPITAL]]&gt;=0,FINANCIACION[[#This Row],[$ CAPITAL]]+FINANCIACION[[#This Row],[$ INTERESES]],"")</f>
        <v>1711769</v>
      </c>
      <c r="F351" s="179">
        <f>+SUMIFS(FINANCIACION[$ CAPITAL],FINANCIACION[Fecha],"&lt;="&amp;FINANCIACION[[#This Row],[Fecha]],FINANCIACION[PRESTAMO],FINANCIACION[[#This Row],[PRESTAMO]])</f>
        <v>-28750000</v>
      </c>
      <c r="G351" s="82"/>
      <c r="H351" s="183"/>
      <c r="I351" s="185"/>
      <c r="J351" s="179">
        <f>IF(FINANCIACION[[#This Row],[$ CAPITAL]]&gt;0,FINANCIACION[[#This Row],[$ CAPITAL]])</f>
        <v>1250000</v>
      </c>
      <c r="K351" s="186">
        <f>IF(FINANCIACION[[#This Row],[$ CAPITAL]]&gt;=0,FINANCIACION[[#This Row],[$ CAPITAL]]+FINANCIACION[[#This Row],[$ INTERESES]],0)</f>
        <v>1711769</v>
      </c>
      <c r="L351" s="189"/>
      <c r="O351" s="183"/>
      <c r="P351" s="185"/>
      <c r="Q351" s="187"/>
    </row>
    <row r="352" spans="1:17" ht="24" hidden="1" customHeight="1" x14ac:dyDescent="0.25">
      <c r="A352" s="177">
        <v>43641</v>
      </c>
      <c r="B352" s="184" t="s">
        <v>1450</v>
      </c>
      <c r="C352" s="179">
        <v>1250000</v>
      </c>
      <c r="D352" s="179">
        <v>353517</v>
      </c>
      <c r="E352" s="179">
        <f>+IF(FINANCIACION[[#This Row],[$ CAPITAL]]&gt;=0,FINANCIACION[[#This Row],[$ CAPITAL]]+FINANCIACION[[#This Row],[$ INTERESES]],"")</f>
        <v>1603517</v>
      </c>
      <c r="F352" s="179">
        <f>+SUMIFS(FINANCIACION[$ CAPITAL],FINANCIACION[Fecha],"&lt;="&amp;FINANCIACION[[#This Row],[Fecha]],FINANCIACION[PRESTAMO],FINANCIACION[[#This Row],[PRESTAMO]])</f>
        <v>-27500000</v>
      </c>
      <c r="G352" s="82"/>
      <c r="I352" s="185"/>
      <c r="J352" s="179">
        <f>IF(FINANCIACION[[#This Row],[$ CAPITAL]]&gt;0,FINANCIACION[[#This Row],[$ CAPITAL]])</f>
        <v>1250000</v>
      </c>
      <c r="K352" s="186">
        <f>IF(FINANCIACION[[#This Row],[$ CAPITAL]]&gt;=0,FINANCIACION[[#This Row],[$ CAPITAL]]+FINANCIACION[[#This Row],[$ INTERESES]],0)</f>
        <v>1603517</v>
      </c>
      <c r="L352" s="189"/>
      <c r="O352" s="183"/>
      <c r="P352" s="185"/>
      <c r="Q352" s="187"/>
    </row>
    <row r="353" spans="1:17" ht="24" hidden="1" customHeight="1" x14ac:dyDescent="0.25">
      <c r="A353" s="177">
        <v>43671</v>
      </c>
      <c r="B353" s="184" t="s">
        <v>1450</v>
      </c>
      <c r="C353" s="179">
        <v>1250000</v>
      </c>
      <c r="D353" s="179">
        <v>335262</v>
      </c>
      <c r="E353" s="179">
        <f>+IF(FINANCIACION[[#This Row],[$ CAPITAL]]&gt;=0,FINANCIACION[[#This Row],[$ CAPITAL]]+FINANCIACION[[#This Row],[$ INTERESES]],"")</f>
        <v>1585262</v>
      </c>
      <c r="F353" s="179">
        <f>+SUMIFS(FINANCIACION[$ CAPITAL],FINANCIACION[Fecha],"&lt;="&amp;FINANCIACION[[#This Row],[Fecha]],FINANCIACION[PRESTAMO],FINANCIACION[[#This Row],[PRESTAMO]])</f>
        <v>-26250000</v>
      </c>
      <c r="G353" s="82"/>
      <c r="H353" s="183"/>
      <c r="I353" s="185"/>
      <c r="J353" s="179">
        <f>IF(FINANCIACION[[#This Row],[$ CAPITAL]]&gt;0,FINANCIACION[[#This Row],[$ CAPITAL]])</f>
        <v>1250000</v>
      </c>
      <c r="K353" s="186">
        <f>IF(FINANCIACION[[#This Row],[$ CAPITAL]]&gt;=0,FINANCIACION[[#This Row],[$ CAPITAL]]+FINANCIACION[[#This Row],[$ INTERESES]],0)</f>
        <v>1585262</v>
      </c>
      <c r="L353" s="189"/>
      <c r="O353" s="183"/>
      <c r="P353" s="185"/>
      <c r="Q353" s="187"/>
    </row>
    <row r="354" spans="1:17" ht="24" hidden="1" customHeight="1" x14ac:dyDescent="0.25">
      <c r="A354" s="177">
        <v>43703</v>
      </c>
      <c r="B354" s="184" t="s">
        <v>1450</v>
      </c>
      <c r="C354" s="179">
        <v>1250000</v>
      </c>
      <c r="D354" s="179">
        <v>320711</v>
      </c>
      <c r="E354" s="179">
        <f>+IF(FINANCIACION[[#This Row],[$ CAPITAL]]&gt;=0,FINANCIACION[[#This Row],[$ CAPITAL]]+FINANCIACION[[#This Row],[$ INTERESES]],"")</f>
        <v>1570711</v>
      </c>
      <c r="F354" s="179">
        <f>+SUMIFS(FINANCIACION[$ CAPITAL],FINANCIACION[Fecha],"&lt;="&amp;FINANCIACION[[#This Row],[Fecha]],FINANCIACION[PRESTAMO],FINANCIACION[[#This Row],[PRESTAMO]])</f>
        <v>-25000000</v>
      </c>
      <c r="G354" s="82"/>
      <c r="H354" s="183"/>
      <c r="I354" s="185"/>
      <c r="J354" s="179">
        <f>IF(FINANCIACION[[#This Row],[$ CAPITAL]]&gt;0,FINANCIACION[[#This Row],[$ CAPITAL]])</f>
        <v>1250000</v>
      </c>
      <c r="K354" s="186">
        <f>IF(FINANCIACION[[#This Row],[$ CAPITAL]]&gt;=0,FINANCIACION[[#This Row],[$ CAPITAL]]+FINANCIACION[[#This Row],[$ INTERESES]],0)</f>
        <v>1570711</v>
      </c>
      <c r="L354" s="189"/>
      <c r="O354" s="183"/>
      <c r="P354" s="185"/>
      <c r="Q354" s="187"/>
    </row>
    <row r="355" spans="1:17" ht="24" hidden="1" customHeight="1" x14ac:dyDescent="0.25">
      <c r="A355" s="177">
        <v>43733</v>
      </c>
      <c r="B355" s="184" t="s">
        <v>1450</v>
      </c>
      <c r="C355" s="179">
        <v>1250000</v>
      </c>
      <c r="D355" s="179">
        <v>305659</v>
      </c>
      <c r="E355" s="179">
        <f>+IF(FINANCIACION[[#This Row],[$ CAPITAL]]&gt;=0,FINANCIACION[[#This Row],[$ CAPITAL]]+FINANCIACION[[#This Row],[$ INTERESES]],"")</f>
        <v>1555659</v>
      </c>
      <c r="F355" s="179">
        <f>+SUMIFS(FINANCIACION[$ CAPITAL],FINANCIACION[Fecha],"&lt;="&amp;FINANCIACION[[#This Row],[Fecha]],FINANCIACION[PRESTAMO],FINANCIACION[[#This Row],[PRESTAMO]])</f>
        <v>-23750000</v>
      </c>
      <c r="G355" s="82"/>
      <c r="H355" s="183"/>
      <c r="I355" s="185"/>
      <c r="J355" s="179">
        <f>IF(FINANCIACION[[#This Row],[$ CAPITAL]]&gt;0,FINANCIACION[[#This Row],[$ CAPITAL]])</f>
        <v>1250000</v>
      </c>
      <c r="K355" s="186">
        <f>IF(FINANCIACION[[#This Row],[$ CAPITAL]]&gt;=0,FINANCIACION[[#This Row],[$ CAPITAL]]+FINANCIACION[[#This Row],[$ INTERESES]],0)</f>
        <v>1555659</v>
      </c>
      <c r="L355" s="189"/>
      <c r="O355" s="183"/>
      <c r="P355" s="185"/>
      <c r="Q355" s="187"/>
    </row>
    <row r="356" spans="1:17" ht="24" hidden="1" customHeight="1" x14ac:dyDescent="0.25">
      <c r="A356" s="177">
        <v>43763</v>
      </c>
      <c r="B356" s="184" t="s">
        <v>1450</v>
      </c>
      <c r="C356" s="179">
        <v>1250000</v>
      </c>
      <c r="D356" s="179">
        <v>289544</v>
      </c>
      <c r="E356" s="179">
        <f>+IF(FINANCIACION[[#This Row],[$ CAPITAL]]&gt;=0,FINANCIACION[[#This Row],[$ CAPITAL]]+FINANCIACION[[#This Row],[$ INTERESES]],"")</f>
        <v>1539544</v>
      </c>
      <c r="F356" s="179">
        <f>+SUMIFS(FINANCIACION[$ CAPITAL],FINANCIACION[Fecha],"&lt;="&amp;FINANCIACION[[#This Row],[Fecha]],FINANCIACION[PRESTAMO],FINANCIACION[[#This Row],[PRESTAMO]])</f>
        <v>-22500000</v>
      </c>
      <c r="G356" s="82"/>
      <c r="H356" s="183"/>
      <c r="I356" s="185"/>
      <c r="J356" s="179">
        <f>IF(FINANCIACION[[#This Row],[$ CAPITAL]]&gt;0,FINANCIACION[[#This Row],[$ CAPITAL]])</f>
        <v>1250000</v>
      </c>
      <c r="K356" s="186">
        <f>IF(FINANCIACION[[#This Row],[$ CAPITAL]]&gt;=0,FINANCIACION[[#This Row],[$ CAPITAL]]+FINANCIACION[[#This Row],[$ INTERESES]],0)</f>
        <v>1539544</v>
      </c>
      <c r="L356" s="189"/>
      <c r="O356" s="183"/>
      <c r="P356" s="185"/>
      <c r="Q356" s="187"/>
    </row>
    <row r="357" spans="1:17" ht="24" hidden="1" customHeight="1" x14ac:dyDescent="0.25">
      <c r="A357" s="177">
        <v>43794</v>
      </c>
      <c r="B357" s="184" t="s">
        <v>1450</v>
      </c>
      <c r="C357" s="179">
        <v>1250000</v>
      </c>
      <c r="D357" s="179">
        <v>1130711</v>
      </c>
      <c r="E357" s="179">
        <f>+IF(FINANCIACION[[#This Row],[$ CAPITAL]]&gt;=0,FINANCIACION[[#This Row],[$ CAPITAL]]+FINANCIACION[[#This Row],[$ INTERESES]],"")</f>
        <v>2380711</v>
      </c>
      <c r="F357" s="179">
        <f>+SUMIFS(FINANCIACION[$ CAPITAL],FINANCIACION[Fecha],"&lt;="&amp;FINANCIACION[[#This Row],[Fecha]],FINANCIACION[PRESTAMO],FINANCIACION[[#This Row],[PRESTAMO]])</f>
        <v>-21250000</v>
      </c>
      <c r="G357" s="82"/>
      <c r="I357" s="185"/>
      <c r="J357" s="179">
        <f>IF(FINANCIACION[[#This Row],[$ CAPITAL]]&gt;0,FINANCIACION[[#This Row],[$ CAPITAL]])</f>
        <v>1250000</v>
      </c>
      <c r="K357" s="186">
        <f>IF(FINANCIACION[[#This Row],[$ CAPITAL]]&gt;=0,FINANCIACION[[#This Row],[$ CAPITAL]]+FINANCIACION[[#This Row],[$ INTERESES]],0)</f>
        <v>2380711</v>
      </c>
      <c r="L357" s="189"/>
      <c r="O357" s="183"/>
      <c r="P357" s="185"/>
      <c r="Q357" s="187"/>
    </row>
    <row r="358" spans="1:17" ht="24" hidden="1" customHeight="1" x14ac:dyDescent="0.25">
      <c r="A358" s="177">
        <v>43825</v>
      </c>
      <c r="B358" s="184" t="s">
        <v>1450</v>
      </c>
      <c r="C358" s="179">
        <v>1250000</v>
      </c>
      <c r="D358" s="179">
        <v>260739</v>
      </c>
      <c r="E358" s="179">
        <f>+IF(FINANCIACION[[#This Row],[$ CAPITAL]]&gt;=0,FINANCIACION[[#This Row],[$ CAPITAL]]+FINANCIACION[[#This Row],[$ INTERESES]],"")</f>
        <v>1510739</v>
      </c>
      <c r="F358" s="179">
        <f>+SUMIFS(FINANCIACION[$ CAPITAL],FINANCIACION[Fecha],"&lt;="&amp;FINANCIACION[[#This Row],[Fecha]],FINANCIACION[PRESTAMO],FINANCIACION[[#This Row],[PRESTAMO]])</f>
        <v>-20000000</v>
      </c>
      <c r="G358" s="82"/>
      <c r="H358" s="183"/>
      <c r="I358" s="185"/>
      <c r="J358" s="179">
        <f>IF(FINANCIACION[[#This Row],[$ CAPITAL]]&gt;0,FINANCIACION[[#This Row],[$ CAPITAL]])</f>
        <v>1250000</v>
      </c>
      <c r="K358" s="186">
        <f>IF(FINANCIACION[[#This Row],[$ CAPITAL]]&gt;=0,FINANCIACION[[#This Row],[$ CAPITAL]]+FINANCIACION[[#This Row],[$ INTERESES]],0)</f>
        <v>1510739</v>
      </c>
      <c r="L358" s="189"/>
      <c r="O358" s="183"/>
      <c r="P358" s="185"/>
      <c r="Q358" s="187"/>
    </row>
    <row r="359" spans="1:17" ht="24" hidden="1" customHeight="1" x14ac:dyDescent="0.25">
      <c r="A359" s="188">
        <v>43855</v>
      </c>
      <c r="B359" s="184" t="s">
        <v>1450</v>
      </c>
      <c r="C359" s="179">
        <v>1250000</v>
      </c>
      <c r="D359" s="179">
        <v>244877</v>
      </c>
      <c r="E359" s="179">
        <f>+IF(FINANCIACION[[#This Row],[$ CAPITAL]]&gt;=0,FINANCIACION[[#This Row],[$ CAPITAL]]+FINANCIACION[[#This Row],[$ INTERESES]],"")</f>
        <v>1494877</v>
      </c>
      <c r="F359" s="179">
        <f>+SUMIFS(FINANCIACION[$ CAPITAL],FINANCIACION[Fecha],"&lt;="&amp;FINANCIACION[[#This Row],[Fecha]],FINANCIACION[PRESTAMO],FINANCIACION[[#This Row],[PRESTAMO]])</f>
        <v>-18750000</v>
      </c>
      <c r="G359" s="82"/>
      <c r="H359" s="183"/>
      <c r="I359" s="185"/>
      <c r="J359" s="179">
        <f>IF(FINANCIACION[[#This Row],[$ CAPITAL]]&gt;0,FINANCIACION[[#This Row],[$ CAPITAL]])</f>
        <v>1250000</v>
      </c>
      <c r="K359" s="186">
        <f>IF(FINANCIACION[[#This Row],[$ CAPITAL]]&gt;=0,FINANCIACION[[#This Row],[$ CAPITAL]]+FINANCIACION[[#This Row],[$ INTERESES]],0)</f>
        <v>1494877</v>
      </c>
      <c r="L359" s="189"/>
      <c r="O359" s="183"/>
      <c r="P359" s="185"/>
      <c r="Q359" s="187"/>
    </row>
    <row r="360" spans="1:17" ht="24" hidden="1" customHeight="1" x14ac:dyDescent="0.25">
      <c r="A360" s="188">
        <v>43886</v>
      </c>
      <c r="B360" s="184" t="s">
        <v>1450</v>
      </c>
      <c r="C360" s="179">
        <v>1250000</v>
      </c>
      <c r="D360" s="179">
        <v>229080</v>
      </c>
      <c r="E360" s="179">
        <f>+IF(FINANCIACION[[#This Row],[$ CAPITAL]]&gt;=0,FINANCIACION[[#This Row],[$ CAPITAL]]+FINANCIACION[[#This Row],[$ INTERESES]],"")</f>
        <v>1479080</v>
      </c>
      <c r="F360" s="179">
        <f>+SUMIFS(FINANCIACION[$ CAPITAL],FINANCIACION[Fecha],"&lt;="&amp;FINANCIACION[[#This Row],[Fecha]],FINANCIACION[PRESTAMO],FINANCIACION[[#This Row],[PRESTAMO]])</f>
        <v>-17500000</v>
      </c>
      <c r="G360" s="82"/>
      <c r="I360" s="185"/>
      <c r="J360" s="179">
        <f>IF(FINANCIACION[[#This Row],[$ CAPITAL]]&gt;0,FINANCIACION[[#This Row],[$ CAPITAL]])</f>
        <v>1250000</v>
      </c>
      <c r="K360" s="186">
        <f>IF(FINANCIACION[[#This Row],[$ CAPITAL]]&gt;=0,FINANCIACION[[#This Row],[$ CAPITAL]]+FINANCIACION[[#This Row],[$ INTERESES]],0)</f>
        <v>1479080</v>
      </c>
      <c r="L360" s="189"/>
      <c r="O360" s="183"/>
      <c r="P360" s="185"/>
      <c r="Q360" s="187"/>
    </row>
    <row r="361" spans="1:17" ht="24" hidden="1" customHeight="1" x14ac:dyDescent="0.25">
      <c r="A361" s="188">
        <v>43915</v>
      </c>
      <c r="B361" s="184" t="s">
        <v>1450</v>
      </c>
      <c r="C361" s="179">
        <v>1250000</v>
      </c>
      <c r="D361" s="179">
        <v>214114</v>
      </c>
      <c r="E361" s="179">
        <f>+IF(FINANCIACION[[#This Row],[$ CAPITAL]]&gt;=0,FINANCIACION[[#This Row],[$ CAPITAL]]+FINANCIACION[[#This Row],[$ INTERESES]],"")</f>
        <v>1464114</v>
      </c>
      <c r="F361" s="179">
        <f>+SUMIFS(FINANCIACION[$ CAPITAL],FINANCIACION[Fecha],"&lt;="&amp;FINANCIACION[[#This Row],[Fecha]],FINANCIACION[PRESTAMO],FINANCIACION[[#This Row],[PRESTAMO]])</f>
        <v>-16250000</v>
      </c>
      <c r="G361" s="82"/>
      <c r="I361" s="185"/>
      <c r="J361" s="179">
        <f>IF(FINANCIACION[[#This Row],[$ CAPITAL]]&gt;0,FINANCIACION[[#This Row],[$ CAPITAL]])</f>
        <v>1250000</v>
      </c>
      <c r="K361" s="186">
        <f>IF(FINANCIACION[[#This Row],[$ CAPITAL]]&gt;=0,FINANCIACION[[#This Row],[$ CAPITAL]]+FINANCIACION[[#This Row],[$ INTERESES]],0)</f>
        <v>1464114</v>
      </c>
      <c r="L361" s="189"/>
      <c r="O361" s="183"/>
      <c r="P361" s="185"/>
      <c r="Q361" s="187"/>
    </row>
    <row r="362" spans="1:17" ht="24" hidden="1" customHeight="1" x14ac:dyDescent="0.25">
      <c r="A362" s="188">
        <v>44081</v>
      </c>
      <c r="B362" s="184" t="s">
        <v>1450</v>
      </c>
      <c r="C362" s="179"/>
      <c r="D362" s="179">
        <v>31575</v>
      </c>
      <c r="E362" s="179">
        <f>+IF(FINANCIACION[[#This Row],[$ CAPITAL]]&gt;=0,FINANCIACION[[#This Row],[$ CAPITAL]]+FINANCIACION[[#This Row],[$ INTERESES]],"")</f>
        <v>31575</v>
      </c>
      <c r="F362" s="179">
        <f>+SUMIFS(FINANCIACION[$ CAPITAL],FINANCIACION[Fecha],"&lt;="&amp;FINANCIACION[[#This Row],[Fecha]],FINANCIACION[PRESTAMO],FINANCIACION[[#This Row],[PRESTAMO]])</f>
        <v>-16250000</v>
      </c>
      <c r="G362" s="82"/>
      <c r="H362" s="183"/>
      <c r="I362" s="185"/>
      <c r="J362" s="179" t="b">
        <f>IF(FINANCIACION[[#This Row],[$ CAPITAL]]&gt;0,FINANCIACION[[#This Row],[$ CAPITAL]])</f>
        <v>0</v>
      </c>
      <c r="K362" s="186">
        <f>IF(FINANCIACION[[#This Row],[$ CAPITAL]]&gt;=0,FINANCIACION[[#This Row],[$ CAPITAL]]+FINANCIACION[[#This Row],[$ INTERESES]],0)</f>
        <v>31575</v>
      </c>
      <c r="L362" s="189"/>
      <c r="O362" s="183"/>
      <c r="P362" s="185"/>
      <c r="Q362" s="187"/>
    </row>
    <row r="363" spans="1:17" ht="24" hidden="1" customHeight="1" x14ac:dyDescent="0.25">
      <c r="A363" s="188">
        <v>44104</v>
      </c>
      <c r="B363" s="184" t="s">
        <v>1450</v>
      </c>
      <c r="C363" s="179">
        <v>-38080833</v>
      </c>
      <c r="D363" s="179"/>
      <c r="E363" s="179" t="str">
        <f>+IF(FINANCIACION[[#This Row],[$ CAPITAL]]&gt;=0,FINANCIACION[[#This Row],[$ CAPITAL]]+FINANCIACION[[#This Row],[$ INTERESES]],"")</f>
        <v/>
      </c>
      <c r="F363" s="179">
        <f>+SUMIFS(FINANCIACION[$ CAPITAL],FINANCIACION[Fecha],"&lt;="&amp;FINANCIACION[[#This Row],[Fecha]],FINANCIACION[PRESTAMO],FINANCIACION[[#This Row],[PRESTAMO]])</f>
        <v>-54330833</v>
      </c>
      <c r="G363" s="82"/>
      <c r="H363" s="183"/>
      <c r="I363" s="185"/>
      <c r="J363" s="179" t="b">
        <f>IF(FINANCIACION[[#This Row],[$ CAPITAL]]&gt;0,FINANCIACION[[#This Row],[$ CAPITAL]])</f>
        <v>0</v>
      </c>
      <c r="K363" s="186">
        <f>IF(FINANCIACION[[#This Row],[$ CAPITAL]]&gt;=0,FINANCIACION[[#This Row],[$ CAPITAL]]+FINANCIACION[[#This Row],[$ INTERESES]],0)</f>
        <v>0</v>
      </c>
      <c r="L363" s="189"/>
      <c r="O363" s="183"/>
      <c r="P363" s="185"/>
      <c r="Q363" s="187"/>
    </row>
    <row r="364" spans="1:17" ht="24" hidden="1" customHeight="1" x14ac:dyDescent="0.25">
      <c r="A364" s="188">
        <v>44138</v>
      </c>
      <c r="B364" s="184" t="s">
        <v>1450</v>
      </c>
      <c r="C364" s="179"/>
      <c r="D364" s="179">
        <v>76830</v>
      </c>
      <c r="E364" s="179">
        <f>+IF(FINANCIACION[[#This Row],[$ CAPITAL]]&gt;=0,FINANCIACION[[#This Row],[$ CAPITAL]]+FINANCIACION[[#This Row],[$ INTERESES]],"")</f>
        <v>76830</v>
      </c>
      <c r="F364" s="179">
        <f>+SUMIFS(FINANCIACION[$ CAPITAL],FINANCIACION[Fecha],"&lt;="&amp;FINANCIACION[[#This Row],[Fecha]],FINANCIACION[PRESTAMO],FINANCIACION[[#This Row],[PRESTAMO]])</f>
        <v>-54330833</v>
      </c>
      <c r="G364" s="82"/>
      <c r="H364" s="183"/>
      <c r="I364" s="185"/>
      <c r="J364" s="179" t="b">
        <f>IF(FINANCIACION[[#This Row],[$ CAPITAL]]&gt;0,FINANCIACION[[#This Row],[$ CAPITAL]])</f>
        <v>0</v>
      </c>
      <c r="K364" s="186">
        <f>IF(FINANCIACION[[#This Row],[$ CAPITAL]]&gt;=0,FINANCIACION[[#This Row],[$ CAPITAL]]+FINANCIACION[[#This Row],[$ INTERESES]],0)</f>
        <v>76830</v>
      </c>
      <c r="L364" s="189"/>
      <c r="O364" s="183"/>
      <c r="P364" s="185"/>
      <c r="Q364" s="187"/>
    </row>
    <row r="365" spans="1:17" ht="24" hidden="1" customHeight="1" x14ac:dyDescent="0.25">
      <c r="A365" s="188">
        <v>44165</v>
      </c>
      <c r="B365" s="184" t="s">
        <v>1450</v>
      </c>
      <c r="C365" s="179"/>
      <c r="D365" s="179">
        <v>76791</v>
      </c>
      <c r="E365" s="179">
        <f>+IF(FINANCIACION[[#This Row],[$ CAPITAL]]&gt;=0,FINANCIACION[[#This Row],[$ CAPITAL]]+FINANCIACION[[#This Row],[$ INTERESES]],"")</f>
        <v>76791</v>
      </c>
      <c r="F365" s="179">
        <f>+SUMIFS(FINANCIACION[$ CAPITAL],FINANCIACION[Fecha],"&lt;="&amp;FINANCIACION[[#This Row],[Fecha]],FINANCIACION[PRESTAMO],FINANCIACION[[#This Row],[PRESTAMO]])</f>
        <v>-54330833</v>
      </c>
      <c r="G365" s="82"/>
      <c r="H365" s="183"/>
      <c r="I365" s="185"/>
      <c r="J365" s="179" t="b">
        <f>IF(FINANCIACION[[#This Row],[$ CAPITAL]]&gt;0,FINANCIACION[[#This Row],[$ CAPITAL]])</f>
        <v>0</v>
      </c>
      <c r="K365" s="186">
        <f>IF(FINANCIACION[[#This Row],[$ CAPITAL]]&gt;=0,FINANCIACION[[#This Row],[$ CAPITAL]]+FINANCIACION[[#This Row],[$ INTERESES]],0)</f>
        <v>76791</v>
      </c>
      <c r="L365" s="189"/>
      <c r="O365" s="183"/>
      <c r="P365" s="185"/>
      <c r="Q365" s="187"/>
    </row>
    <row r="366" spans="1:17" ht="24" hidden="1" customHeight="1" x14ac:dyDescent="0.25">
      <c r="A366" s="188">
        <v>44196</v>
      </c>
      <c r="B366" s="184" t="s">
        <v>1450</v>
      </c>
      <c r="C366" s="179"/>
      <c r="D366" s="179">
        <v>76791</v>
      </c>
      <c r="E366" s="179">
        <f>+IF(FINANCIACION[[#This Row],[$ CAPITAL]]&gt;=0,FINANCIACION[[#This Row],[$ CAPITAL]]+FINANCIACION[[#This Row],[$ INTERESES]],"")</f>
        <v>76791</v>
      </c>
      <c r="F366" s="179">
        <f>+SUMIFS(FINANCIACION[$ CAPITAL],FINANCIACION[Fecha],"&lt;="&amp;FINANCIACION[[#This Row],[Fecha]],FINANCIACION[PRESTAMO],FINANCIACION[[#This Row],[PRESTAMO]])</f>
        <v>-54330833</v>
      </c>
      <c r="G366" s="82"/>
      <c r="H366" s="183"/>
      <c r="I366" s="185"/>
      <c r="J366" s="179" t="b">
        <f>IF(FINANCIACION[[#This Row],[$ CAPITAL]]&gt;0,FINANCIACION[[#This Row],[$ CAPITAL]])</f>
        <v>0</v>
      </c>
      <c r="K366" s="186">
        <f>IF(FINANCIACION[[#This Row],[$ CAPITAL]]&gt;=0,FINANCIACION[[#This Row],[$ CAPITAL]]+FINANCIACION[[#This Row],[$ INTERESES]],0)</f>
        <v>76791</v>
      </c>
      <c r="L366" s="189"/>
      <c r="O366" s="183"/>
      <c r="P366" s="185"/>
      <c r="Q366" s="187"/>
    </row>
    <row r="367" spans="1:17" ht="24" hidden="1" customHeight="1" x14ac:dyDescent="0.25">
      <c r="A367" s="177">
        <v>44228</v>
      </c>
      <c r="B367" s="184" t="s">
        <v>1450</v>
      </c>
      <c r="C367" s="179"/>
      <c r="D367" s="179">
        <v>76791</v>
      </c>
      <c r="E367" s="179">
        <f>+IF(FINANCIACION[[#This Row],[$ CAPITAL]]&gt;=0,FINANCIACION[[#This Row],[$ CAPITAL]]+FINANCIACION[[#This Row],[$ INTERESES]],"")</f>
        <v>76791</v>
      </c>
      <c r="F367" s="179">
        <f>+SUMIFS(FINANCIACION[$ CAPITAL],FINANCIACION[Fecha],"&lt;="&amp;FINANCIACION[[#This Row],[Fecha]],FINANCIACION[PRESTAMO],FINANCIACION[[#This Row],[PRESTAMO]])</f>
        <v>-54330833</v>
      </c>
      <c r="G367" s="82"/>
      <c r="H367" s="183"/>
      <c r="I367" s="185"/>
      <c r="J367" s="179" t="b">
        <f>IF(FINANCIACION[[#This Row],[$ CAPITAL]]&gt;0,FINANCIACION[[#This Row],[$ CAPITAL]])</f>
        <v>0</v>
      </c>
      <c r="K367" s="186">
        <f>IF(FINANCIACION[[#This Row],[$ CAPITAL]]&gt;=0,FINANCIACION[[#This Row],[$ CAPITAL]]+FINANCIACION[[#This Row],[$ INTERESES]],0)</f>
        <v>76791</v>
      </c>
      <c r="L367" s="189"/>
      <c r="O367" s="183"/>
      <c r="P367" s="185"/>
      <c r="Q367" s="187"/>
    </row>
    <row r="368" spans="1:17" ht="24" hidden="1" customHeight="1" x14ac:dyDescent="0.25">
      <c r="A368" s="177">
        <v>44256</v>
      </c>
      <c r="B368" s="184" t="s">
        <v>1450</v>
      </c>
      <c r="C368" s="179"/>
      <c r="D368" s="179">
        <v>462578</v>
      </c>
      <c r="E368" s="179">
        <f>+IF(FINANCIACION[[#This Row],[$ CAPITAL]]&gt;=0,FINANCIACION[[#This Row],[$ CAPITAL]]+FINANCIACION[[#This Row],[$ INTERESES]],"")</f>
        <v>462578</v>
      </c>
      <c r="F368" s="179">
        <f>+SUMIFS(FINANCIACION[$ CAPITAL],FINANCIACION[Fecha],"&lt;="&amp;FINANCIACION[[#This Row],[Fecha]],FINANCIACION[PRESTAMO],FINANCIACION[[#This Row],[PRESTAMO]])</f>
        <v>-54330833</v>
      </c>
      <c r="G368" s="82"/>
      <c r="H368" s="183"/>
      <c r="I368" s="185"/>
      <c r="J368" s="179" t="b">
        <f>IF(FINANCIACION[[#This Row],[$ CAPITAL]]&gt;0,FINANCIACION[[#This Row],[$ CAPITAL]])</f>
        <v>0</v>
      </c>
      <c r="K368" s="186">
        <f>IF(FINANCIACION[[#This Row],[$ CAPITAL]]&gt;=0,FINANCIACION[[#This Row],[$ CAPITAL]]+FINANCIACION[[#This Row],[$ INTERESES]],0)</f>
        <v>462578</v>
      </c>
      <c r="L368" s="189"/>
      <c r="O368" s="183"/>
      <c r="P368" s="185"/>
      <c r="Q368" s="187"/>
    </row>
    <row r="369" spans="1:17" ht="24" hidden="1" customHeight="1" x14ac:dyDescent="0.25">
      <c r="A369" s="177">
        <v>44286</v>
      </c>
      <c r="B369" s="184" t="s">
        <v>1450</v>
      </c>
      <c r="C369" s="179">
        <v>1468400</v>
      </c>
      <c r="D369" s="179">
        <v>506320</v>
      </c>
      <c r="E369" s="179">
        <f>+IF(FINANCIACION[[#This Row],[$ CAPITAL]]&gt;=0,FINANCIACION[[#This Row],[$ CAPITAL]]+FINANCIACION[[#This Row],[$ INTERESES]],"")</f>
        <v>1974720</v>
      </c>
      <c r="F369" s="179">
        <f>+SUMIFS(FINANCIACION[$ CAPITAL],FINANCIACION[Fecha],"&lt;="&amp;FINANCIACION[[#This Row],[Fecha]],FINANCIACION[PRESTAMO],FINANCIACION[[#This Row],[PRESTAMO]])</f>
        <v>-52862433</v>
      </c>
      <c r="G369" s="82"/>
      <c r="H369" s="183"/>
      <c r="I369" s="185"/>
      <c r="J369" s="179">
        <f>IF(FINANCIACION[[#This Row],[$ CAPITAL]]&gt;0,FINANCIACION[[#This Row],[$ CAPITAL]])</f>
        <v>1468400</v>
      </c>
      <c r="K369" s="186">
        <f>IF(FINANCIACION[[#This Row],[$ CAPITAL]]&gt;=0,FINANCIACION[[#This Row],[$ CAPITAL]]+FINANCIACION[[#This Row],[$ INTERESES]],0)</f>
        <v>1974720</v>
      </c>
      <c r="L369" s="189"/>
      <c r="O369" s="183"/>
      <c r="P369" s="185"/>
      <c r="Q369" s="187"/>
    </row>
    <row r="370" spans="1:17" ht="24" hidden="1" customHeight="1" x14ac:dyDescent="0.25">
      <c r="A370" s="177">
        <v>44316</v>
      </c>
      <c r="B370" s="184" t="s">
        <v>1450</v>
      </c>
      <c r="C370" s="179">
        <v>1468400</v>
      </c>
      <c r="D370" s="179">
        <v>506320</v>
      </c>
      <c r="E370" s="179">
        <f>+IF(FINANCIACION[[#This Row],[$ CAPITAL]]&gt;=0,FINANCIACION[[#This Row],[$ CAPITAL]]+FINANCIACION[[#This Row],[$ INTERESES]],"")</f>
        <v>1974720</v>
      </c>
      <c r="F370" s="179">
        <f>+SUMIFS(FINANCIACION[$ CAPITAL],FINANCIACION[Fecha],"&lt;="&amp;FINANCIACION[[#This Row],[Fecha]],FINANCIACION[PRESTAMO],FINANCIACION[[#This Row],[PRESTAMO]])</f>
        <v>-51394000</v>
      </c>
      <c r="G370" s="82"/>
      <c r="H370" s="183"/>
      <c r="I370" s="185"/>
      <c r="J370" s="179">
        <f>IF(FINANCIACION[[#This Row],[$ CAPITAL]]&gt;0,FINANCIACION[[#This Row],[$ CAPITAL]])</f>
        <v>1468400</v>
      </c>
      <c r="K370" s="186">
        <f>IF(FINANCIACION[[#This Row],[$ CAPITAL]]&gt;=0,FINANCIACION[[#This Row],[$ CAPITAL]]+FINANCIACION[[#This Row],[$ INTERESES]],0)</f>
        <v>1974720</v>
      </c>
      <c r="L370" s="189"/>
      <c r="O370" s="183"/>
      <c r="P370" s="185"/>
      <c r="Q370" s="187"/>
    </row>
    <row r="371" spans="1:17" ht="24" hidden="1" customHeight="1" x14ac:dyDescent="0.25">
      <c r="A371" s="177">
        <v>44316</v>
      </c>
      <c r="B371" s="184" t="s">
        <v>1450</v>
      </c>
      <c r="C371" s="179">
        <v>33</v>
      </c>
      <c r="D371" s="179"/>
      <c r="E371" s="179">
        <f>+IF(FINANCIACION[[#This Row],[$ CAPITAL]]&gt;=0,FINANCIACION[[#This Row],[$ CAPITAL]]+FINANCIACION[[#This Row],[$ INTERESES]],"")</f>
        <v>33</v>
      </c>
      <c r="F371" s="179">
        <f>+SUMIFS(FINANCIACION[$ CAPITAL],FINANCIACION[Fecha],"&lt;="&amp;FINANCIACION[[#This Row],[Fecha]],FINANCIACION[PRESTAMO],FINANCIACION[[#This Row],[PRESTAMO]])</f>
        <v>-51394000</v>
      </c>
      <c r="G371" s="82"/>
      <c r="H371" s="183" t="s">
        <v>133</v>
      </c>
      <c r="I371" s="185"/>
      <c r="J371" s="179">
        <f>IF(FINANCIACION[[#This Row],[$ CAPITAL]]&gt;0,FINANCIACION[[#This Row],[$ CAPITAL]])</f>
        <v>33</v>
      </c>
      <c r="K371" s="186">
        <f>IF(FINANCIACION[[#This Row],[$ CAPITAL]]&gt;=0,FINANCIACION[[#This Row],[$ CAPITAL]]+FINANCIACION[[#This Row],[$ INTERESES]],0)</f>
        <v>33</v>
      </c>
      <c r="L371" s="189"/>
      <c r="O371" s="183"/>
      <c r="P371" s="185"/>
      <c r="Q371" s="187"/>
    </row>
    <row r="372" spans="1:17" ht="24" hidden="1" customHeight="1" x14ac:dyDescent="0.25">
      <c r="A372" s="177">
        <v>44347</v>
      </c>
      <c r="B372" s="184" t="s">
        <v>1450</v>
      </c>
      <c r="C372" s="179">
        <v>1468400</v>
      </c>
      <c r="D372" s="179">
        <v>477575</v>
      </c>
      <c r="E372" s="179">
        <f>+IF(FINANCIACION[[#This Row],[$ CAPITAL]]&gt;=0,FINANCIACION[[#This Row],[$ CAPITAL]]+FINANCIACION[[#This Row],[$ INTERESES]],"")</f>
        <v>1945975</v>
      </c>
      <c r="F372" s="179">
        <f>+SUMIFS(FINANCIACION[$ CAPITAL],FINANCIACION[Fecha],"&lt;="&amp;FINANCIACION[[#This Row],[Fecha]],FINANCIACION[PRESTAMO],FINANCIACION[[#This Row],[PRESTAMO]])</f>
        <v>-49925600</v>
      </c>
      <c r="G372" s="82"/>
      <c r="H372" s="183"/>
      <c r="I372" s="185"/>
      <c r="J372" s="179">
        <f>IF(FINANCIACION[[#This Row],[$ CAPITAL]]&gt;0,FINANCIACION[[#This Row],[$ CAPITAL]])</f>
        <v>1468400</v>
      </c>
      <c r="K372" s="187">
        <f>IF(FINANCIACION[[#This Row],[$ CAPITAL]]&gt;=0,FINANCIACION[[#This Row],[$ CAPITAL]]+FINANCIACION[[#This Row],[$ INTERESES]],0)</f>
        <v>1945975</v>
      </c>
      <c r="L372" s="189"/>
      <c r="O372" s="183"/>
      <c r="P372" s="185"/>
      <c r="Q372" s="187"/>
    </row>
    <row r="373" spans="1:17" ht="24" hidden="1" customHeight="1" x14ac:dyDescent="0.25">
      <c r="A373" s="177">
        <v>44377</v>
      </c>
      <c r="B373" s="184" t="s">
        <v>1450</v>
      </c>
      <c r="C373" s="179">
        <v>1468400</v>
      </c>
      <c r="D373" s="179">
        <v>453711</v>
      </c>
      <c r="E373" s="179">
        <f>+IF(FINANCIACION[[#This Row],[$ CAPITAL]]&gt;=0,FINANCIACION[[#This Row],[$ CAPITAL]]+FINANCIACION[[#This Row],[$ INTERESES]],"")</f>
        <v>1922111</v>
      </c>
      <c r="F373" s="179">
        <f>+SUMIFS(FINANCIACION[$ CAPITAL],FINANCIACION[Fecha],"&lt;="&amp;FINANCIACION[[#This Row],[Fecha]],FINANCIACION[PRESTAMO],FINANCIACION[[#This Row],[PRESTAMO]])</f>
        <v>-48457200</v>
      </c>
      <c r="G373" s="82"/>
      <c r="I373" s="185"/>
      <c r="J373" s="179">
        <f>IF(FINANCIACION[[#This Row],[$ CAPITAL]]&gt;0,FINANCIACION[[#This Row],[$ CAPITAL]])</f>
        <v>1468400</v>
      </c>
      <c r="K373" s="186">
        <f>IF(FINANCIACION[[#This Row],[$ CAPITAL]]&gt;=0,FINANCIACION[[#This Row],[$ CAPITAL]]+FINANCIACION[[#This Row],[$ INTERESES]],0)</f>
        <v>1922111</v>
      </c>
      <c r="L373" s="189"/>
      <c r="O373" s="183"/>
      <c r="P373" s="185"/>
      <c r="Q373" s="187"/>
    </row>
    <row r="374" spans="1:17" ht="24" hidden="1" customHeight="1" x14ac:dyDescent="0.25">
      <c r="A374" s="177">
        <v>44410</v>
      </c>
      <c r="B374" s="184" t="s">
        <v>1450</v>
      </c>
      <c r="C374" s="179">
        <v>1468400</v>
      </c>
      <c r="D374" s="179">
        <v>455909</v>
      </c>
      <c r="E374" s="179">
        <f>+IF(FINANCIACION[[#This Row],[$ CAPITAL]]&gt;=0,FINANCIACION[[#This Row],[$ CAPITAL]]+FINANCIACION[[#This Row],[$ INTERESES]],"")</f>
        <v>1924309</v>
      </c>
      <c r="F374" s="179">
        <f>+SUMIFS(FINANCIACION[$ CAPITAL],FINANCIACION[Fecha],"&lt;="&amp;FINANCIACION[[#This Row],[Fecha]],FINANCIACION[PRESTAMO],FINANCIACION[[#This Row],[PRESTAMO]])</f>
        <v>-46988800</v>
      </c>
      <c r="G374" s="82"/>
      <c r="H374" s="183"/>
      <c r="I374" s="185"/>
      <c r="J374" s="179">
        <f>IF(FINANCIACION[[#This Row],[$ CAPITAL]]&gt;0,FINANCIACION[[#This Row],[$ CAPITAL]])</f>
        <v>1468400</v>
      </c>
      <c r="K374" s="187">
        <f>IF(FINANCIACION[[#This Row],[$ CAPITAL]]&gt;=0,FINANCIACION[[#This Row],[$ CAPITAL]]+FINANCIACION[[#This Row],[$ INTERESES]],0)</f>
        <v>1924309</v>
      </c>
      <c r="L374" s="189"/>
      <c r="O374" s="183"/>
      <c r="P374" s="185"/>
      <c r="Q374" s="187"/>
    </row>
    <row r="375" spans="1:17" ht="24" hidden="1" customHeight="1" x14ac:dyDescent="0.25">
      <c r="A375" s="177">
        <v>44439</v>
      </c>
      <c r="B375" s="184" t="s">
        <v>1450</v>
      </c>
      <c r="C375" s="179">
        <v>1468400</v>
      </c>
      <c r="D375" s="179">
        <v>442095</v>
      </c>
      <c r="E375" s="179">
        <f>+IF(FINANCIACION[[#This Row],[$ CAPITAL]]&gt;=0,FINANCIACION[[#This Row],[$ CAPITAL]]+FINANCIACION[[#This Row],[$ INTERESES]],"")</f>
        <v>1910495</v>
      </c>
      <c r="F375" s="179">
        <f>+SUMIFS(FINANCIACION[$ CAPITAL],FINANCIACION[Fecha],"&lt;="&amp;FINANCIACION[[#This Row],[Fecha]],FINANCIACION[PRESTAMO],FINANCIACION[[#This Row],[PRESTAMO]])</f>
        <v>-45520400</v>
      </c>
      <c r="G375" s="82"/>
      <c r="H375" s="183"/>
      <c r="I375" s="185"/>
      <c r="J375" s="179">
        <f>IF(FINANCIACION[[#This Row],[$ CAPITAL]]&gt;0,FINANCIACION[[#This Row],[$ CAPITAL]])</f>
        <v>1468400</v>
      </c>
      <c r="K375" s="187">
        <f>IF(FINANCIACION[[#This Row],[$ CAPITAL]]&gt;=0,FINANCIACION[[#This Row],[$ CAPITAL]]+FINANCIACION[[#This Row],[$ INTERESES]],0)</f>
        <v>1910495</v>
      </c>
      <c r="L375" s="189"/>
      <c r="O375" s="183"/>
      <c r="P375" s="185"/>
      <c r="Q375" s="187"/>
    </row>
    <row r="376" spans="1:17" ht="24" hidden="1" customHeight="1" x14ac:dyDescent="0.25">
      <c r="A376" s="177">
        <v>44469</v>
      </c>
      <c r="B376" s="184" t="s">
        <v>1450</v>
      </c>
      <c r="C376" s="179">
        <v>1468400</v>
      </c>
      <c r="D376" s="179">
        <v>418397</v>
      </c>
      <c r="E376" s="179">
        <f>+IF(FINANCIACION[[#This Row],[$ CAPITAL]]&gt;=0,FINANCIACION[[#This Row],[$ CAPITAL]]+FINANCIACION[[#This Row],[$ INTERESES]],"")</f>
        <v>1886797</v>
      </c>
      <c r="F376" s="179">
        <f>+SUMIFS(FINANCIACION[$ CAPITAL],FINANCIACION[Fecha],"&lt;="&amp;FINANCIACION[[#This Row],[Fecha]],FINANCIACION[PRESTAMO],FINANCIACION[[#This Row],[PRESTAMO]])</f>
        <v>-44052000</v>
      </c>
      <c r="G376" s="82"/>
      <c r="H376" s="183"/>
      <c r="I376" s="185"/>
      <c r="J376" s="179">
        <f>IF(FINANCIACION[[#This Row],[$ CAPITAL]]&gt;0,FINANCIACION[[#This Row],[$ CAPITAL]])</f>
        <v>1468400</v>
      </c>
      <c r="K376" s="187">
        <f>IF(FINANCIACION[[#This Row],[$ CAPITAL]]&gt;=0,FINANCIACION[[#This Row],[$ CAPITAL]]+FINANCIACION[[#This Row],[$ INTERESES]],0)</f>
        <v>1886797</v>
      </c>
      <c r="L376" s="189"/>
      <c r="O376" s="183"/>
      <c r="P376" s="185"/>
      <c r="Q376" s="187"/>
    </row>
    <row r="377" spans="1:17" ht="24" hidden="1" customHeight="1" x14ac:dyDescent="0.25">
      <c r="A377" s="177">
        <v>44502</v>
      </c>
      <c r="B377" s="184" t="s">
        <v>1450</v>
      </c>
      <c r="C377" s="179">
        <v>1468400</v>
      </c>
      <c r="D377" s="179">
        <v>418397</v>
      </c>
      <c r="E377" s="179">
        <f>+IF(FINANCIACION[[#This Row],[$ CAPITAL]]&gt;=0,FINANCIACION[[#This Row],[$ CAPITAL]]+FINANCIACION[[#This Row],[$ INTERESES]],"")</f>
        <v>1886797</v>
      </c>
      <c r="F377" s="179">
        <f>+SUMIFS(FINANCIACION[$ CAPITAL],FINANCIACION[Fecha],"&lt;="&amp;FINANCIACION[[#This Row],[Fecha]],FINANCIACION[PRESTAMO],FINANCIACION[[#This Row],[PRESTAMO]])</f>
        <v>-42583600</v>
      </c>
      <c r="G377" s="82"/>
      <c r="I377" s="185"/>
      <c r="J377" s="179">
        <f>IF(FINANCIACION[[#This Row],[$ CAPITAL]]&gt;0,FINANCIACION[[#This Row],[$ CAPITAL]])</f>
        <v>1468400</v>
      </c>
      <c r="K377" s="186">
        <f>IF(FINANCIACION[[#This Row],[$ CAPITAL]]&gt;=0,FINANCIACION[[#This Row],[$ CAPITAL]]+FINANCIACION[[#This Row],[$ INTERESES]],0)</f>
        <v>1886797</v>
      </c>
      <c r="L377" s="189"/>
      <c r="O377" s="183"/>
      <c r="P377" s="185"/>
      <c r="Q377" s="187"/>
    </row>
    <row r="378" spans="1:17" ht="24" hidden="1" customHeight="1" x14ac:dyDescent="0.25">
      <c r="A378" s="177">
        <v>44530</v>
      </c>
      <c r="B378" s="184" t="s">
        <v>1450</v>
      </c>
      <c r="C378" s="179">
        <v>1468400</v>
      </c>
      <c r="D378" s="179">
        <v>419971</v>
      </c>
      <c r="E378" s="179">
        <f>+IF(FINANCIACION[[#This Row],[$ CAPITAL]]&gt;=0,FINANCIACION[[#This Row],[$ CAPITAL]]+FINANCIACION[[#This Row],[$ INTERESES]],"")</f>
        <v>1888371</v>
      </c>
      <c r="F378" s="179">
        <f>+SUMIFS(FINANCIACION[$ CAPITAL],FINANCIACION[Fecha],"&lt;="&amp;FINANCIACION[[#This Row],[Fecha]],FINANCIACION[PRESTAMO],FINANCIACION[[#This Row],[PRESTAMO]])</f>
        <v>-41115200</v>
      </c>
      <c r="G378" s="82"/>
      <c r="I378" s="185"/>
      <c r="J378" s="179">
        <f>IF(FINANCIACION[[#This Row],[$ CAPITAL]]&gt;0,FINANCIACION[[#This Row],[$ CAPITAL]])</f>
        <v>1468400</v>
      </c>
      <c r="K378" s="186">
        <f>IF(FINANCIACION[[#This Row],[$ CAPITAL]]&gt;=0,FINANCIACION[[#This Row],[$ CAPITAL]]+FINANCIACION[[#This Row],[$ INTERESES]],0)</f>
        <v>1888371</v>
      </c>
      <c r="L378" s="189"/>
      <c r="O378" s="183"/>
      <c r="P378" s="185"/>
      <c r="Q378" s="187"/>
    </row>
    <row r="379" spans="1:17" ht="24" hidden="1" customHeight="1" x14ac:dyDescent="0.25">
      <c r="A379" s="177">
        <v>44564</v>
      </c>
      <c r="B379" s="184" t="s">
        <v>1450</v>
      </c>
      <c r="C379" s="179">
        <v>1468400</v>
      </c>
      <c r="D379" s="179">
        <v>417344</v>
      </c>
      <c r="E379" s="179">
        <f>+IF(FINANCIACION[[#This Row],[$ CAPITAL]]&gt;=0,FINANCIACION[[#This Row],[$ CAPITAL]]+FINANCIACION[[#This Row],[$ INTERESES]],"")</f>
        <v>1885744</v>
      </c>
      <c r="F379" s="179">
        <f>+SUMIFS(FINANCIACION[$ CAPITAL],FINANCIACION[Fecha],"&lt;="&amp;FINANCIACION[[#This Row],[Fecha]],FINANCIACION[PRESTAMO],FINANCIACION[[#This Row],[PRESTAMO]])</f>
        <v>-39646800</v>
      </c>
      <c r="G379" s="82"/>
      <c r="I379" s="185"/>
      <c r="J379" s="179">
        <f>IF(FINANCIACION[[#This Row],[$ CAPITAL]]&gt;0,FINANCIACION[[#This Row],[$ CAPITAL]])</f>
        <v>1468400</v>
      </c>
      <c r="K379" s="186">
        <f>IF(FINANCIACION[[#This Row],[$ CAPITAL]]&gt;=0,FINANCIACION[[#This Row],[$ CAPITAL]]+FINANCIACION[[#This Row],[$ INTERESES]],0)</f>
        <v>1885744</v>
      </c>
      <c r="L379" s="189"/>
      <c r="O379" s="183"/>
      <c r="P379" s="185"/>
      <c r="Q379" s="187"/>
    </row>
    <row r="380" spans="1:17" ht="24" hidden="1" customHeight="1" x14ac:dyDescent="0.25">
      <c r="A380" s="177">
        <v>44592</v>
      </c>
      <c r="B380" s="184" t="s">
        <v>1450</v>
      </c>
      <c r="C380" s="179">
        <v>1468400</v>
      </c>
      <c r="D380" s="179">
        <v>417717</v>
      </c>
      <c r="E380" s="179">
        <f>+IF(FINANCIACION[[#This Row],[$ CAPITAL]]&gt;=0,FINANCIACION[[#This Row],[$ CAPITAL]]+FINANCIACION[[#This Row],[$ INTERESES]],"")</f>
        <v>1886117</v>
      </c>
      <c r="F380" s="179">
        <f>+SUMIFS(FINANCIACION[$ CAPITAL],FINANCIACION[Fecha],"&lt;="&amp;FINANCIACION[[#This Row],[Fecha]],FINANCIACION[PRESTAMO],FINANCIACION[[#This Row],[PRESTAMO]])</f>
        <v>-38178400</v>
      </c>
      <c r="G380" s="82"/>
      <c r="I380" s="185">
        <v>-14434.36</v>
      </c>
      <c r="J380" s="179">
        <f>+IF(FINANCIACION[[#This Row],[$ CAPITAL]]&gt;0,FINANCIACION[[#This Row],[$ CAPITAL]])</f>
        <v>1468400</v>
      </c>
      <c r="K380" s="186">
        <f>+IF(FINANCIACION[[#This Row],[$ CAPITAL]]&gt;=0,FINANCIACION[[#This Row],[$ CAPITAL]]+FINANCIACION[[#This Row],[$ INTERESES]],0)</f>
        <v>1886117</v>
      </c>
      <c r="L380" s="189"/>
      <c r="O380" s="183"/>
      <c r="P380" s="185"/>
      <c r="Q380" s="187"/>
    </row>
    <row r="381" spans="1:17" ht="24" hidden="1" customHeight="1" x14ac:dyDescent="0.25">
      <c r="A381" s="177">
        <v>44620</v>
      </c>
      <c r="B381" s="184" t="s">
        <v>1450</v>
      </c>
      <c r="C381" s="179">
        <v>1468400</v>
      </c>
      <c r="D381" s="179">
        <v>372910</v>
      </c>
      <c r="E381" s="179">
        <f>+IF(FINANCIACION[[#This Row],[$ CAPITAL]]&gt;=0,FINANCIACION[[#This Row],[$ CAPITAL]]+FINANCIACION[[#This Row],[$ INTERESES]],"")</f>
        <v>1841310</v>
      </c>
      <c r="F381" s="179">
        <f>+SUMIFS(FINANCIACION[$ CAPITAL],FINANCIACION[Fecha],"&lt;="&amp;FINANCIACION[[#This Row],[Fecha]],FINANCIACION[PRESTAMO],FINANCIACION[[#This Row],[PRESTAMO]])</f>
        <v>-36710000</v>
      </c>
      <c r="G381" s="82"/>
      <c r="I381" s="185"/>
      <c r="J381" s="179">
        <f>+IF(FINANCIACION[[#This Row],[$ CAPITAL]]&gt;0,FINANCIACION[[#This Row],[$ CAPITAL]])</f>
        <v>1468400</v>
      </c>
      <c r="K381" s="186">
        <f>+IF(FINANCIACION[[#This Row],[$ CAPITAL]]&gt;=0,FINANCIACION[[#This Row],[$ CAPITAL]]+FINANCIACION[[#This Row],[$ INTERESES]],0)</f>
        <v>1841310</v>
      </c>
      <c r="L381" s="189"/>
      <c r="O381" s="183"/>
      <c r="P381" s="185"/>
      <c r="Q381" s="187"/>
    </row>
    <row r="382" spans="1:17" ht="24" hidden="1" customHeight="1" x14ac:dyDescent="0.25">
      <c r="A382" s="177">
        <v>44651</v>
      </c>
      <c r="B382" s="184" t="s">
        <v>1450</v>
      </c>
      <c r="C382" s="179">
        <v>1468400</v>
      </c>
      <c r="D382" s="179">
        <v>424048</v>
      </c>
      <c r="E382" s="179">
        <f>+IF(FINANCIACION[[#This Row],[$ CAPITAL]]&gt;=0,FINANCIACION[[#This Row],[$ CAPITAL]]+FINANCIACION[[#This Row],[$ INTERESES]],"")</f>
        <v>1892448</v>
      </c>
      <c r="F382" s="179">
        <f>+SUMIFS(FINANCIACION[$ CAPITAL],FINANCIACION[Fecha],"&lt;="&amp;FINANCIACION[[#This Row],[Fecha]],FINANCIACION[PRESTAMO],FINANCIACION[[#This Row],[PRESTAMO]])</f>
        <v>-35241600</v>
      </c>
      <c r="G382" s="82"/>
      <c r="I382" s="185"/>
      <c r="J382" s="179">
        <f>+IF(FINANCIACION[[#This Row],[$ CAPITAL]]&gt;0,FINANCIACION[[#This Row],[$ CAPITAL]])</f>
        <v>1468400</v>
      </c>
      <c r="K382" s="186">
        <f>+IF(FINANCIACION[[#This Row],[$ CAPITAL]]&gt;=0,FINANCIACION[[#This Row],[$ CAPITAL]]+FINANCIACION[[#This Row],[$ INTERESES]],0)</f>
        <v>1892448</v>
      </c>
      <c r="L382" s="189"/>
      <c r="O382" s="183"/>
      <c r="P382" s="185"/>
      <c r="Q382" s="187"/>
    </row>
    <row r="383" spans="1:17" ht="24" hidden="1" customHeight="1" x14ac:dyDescent="0.25">
      <c r="A383" s="177">
        <v>44683</v>
      </c>
      <c r="B383" s="184" t="s">
        <v>1450</v>
      </c>
      <c r="C383" s="179">
        <v>1468400</v>
      </c>
      <c r="D383" s="179">
        <f>1884180-FINANCIACION[[#This Row],[$ CAPITAL]]</f>
        <v>415780</v>
      </c>
      <c r="E383" s="179">
        <f>+IF(FINANCIACION[[#This Row],[$ CAPITAL]]&gt;=0,FINANCIACION[[#This Row],[$ CAPITAL]]+FINANCIACION[[#This Row],[$ INTERESES]],"")</f>
        <v>1884180</v>
      </c>
      <c r="F383" s="179">
        <f>+SUMIFS(FINANCIACION[$ CAPITAL],FINANCIACION[Fecha],"&lt;="&amp;FINANCIACION[[#This Row],[Fecha]],FINANCIACION[PRESTAMO],FINANCIACION[[#This Row],[PRESTAMO]])</f>
        <v>-33773200</v>
      </c>
      <c r="G383" s="82"/>
      <c r="I383" s="185"/>
      <c r="J383" s="179">
        <f>+IF(FINANCIACION[[#This Row],[$ CAPITAL]]&gt;0,FINANCIACION[[#This Row],[$ CAPITAL]])</f>
        <v>1468400</v>
      </c>
      <c r="K383" s="186">
        <f>+IF(FINANCIACION[[#This Row],[$ CAPITAL]]&gt;=0,FINANCIACION[[#This Row],[$ CAPITAL]]+FINANCIACION[[#This Row],[$ INTERESES]],0)</f>
        <v>1884180</v>
      </c>
      <c r="L383" s="189"/>
      <c r="O383" s="183"/>
      <c r="P383" s="185"/>
      <c r="Q383" s="187"/>
    </row>
    <row r="384" spans="1:17" ht="24" hidden="1" customHeight="1" x14ac:dyDescent="0.25">
      <c r="A384" s="177">
        <v>44712</v>
      </c>
      <c r="B384" s="184" t="s">
        <v>1450</v>
      </c>
      <c r="C384" s="179">
        <v>1468400</v>
      </c>
      <c r="D384" s="179">
        <f>1901499-FINANCIACION[[#This Row],[$ CAPITAL]]</f>
        <v>433099</v>
      </c>
      <c r="E384" s="179">
        <f>+IF(FINANCIACION[[#This Row],[$ CAPITAL]]&gt;=0,FINANCIACION[[#This Row],[$ CAPITAL]]+FINANCIACION[[#This Row],[$ INTERESES]],"")</f>
        <v>1901499</v>
      </c>
      <c r="F384" s="179">
        <f>+SUMIFS(FINANCIACION[$ CAPITAL],FINANCIACION[Fecha],"&lt;="&amp;FINANCIACION[[#This Row],[Fecha]],FINANCIACION[PRESTAMO],FINANCIACION[[#This Row],[PRESTAMO]])</f>
        <v>-32304800</v>
      </c>
      <c r="G384" s="82"/>
      <c r="I384" s="185"/>
      <c r="J384" s="179">
        <f>+IF(FINANCIACION[[#This Row],[$ CAPITAL]]&gt;0,FINANCIACION[[#This Row],[$ CAPITAL]])</f>
        <v>1468400</v>
      </c>
      <c r="K384" s="186">
        <f>+IF(FINANCIACION[[#This Row],[$ CAPITAL]]&gt;=0,FINANCIACION[[#This Row],[$ CAPITAL]]+FINANCIACION[[#This Row],[$ INTERESES]],0)</f>
        <v>1901499</v>
      </c>
      <c r="L384" s="189"/>
      <c r="O384" s="183"/>
      <c r="P384" s="185"/>
      <c r="Q384" s="187"/>
    </row>
    <row r="385" spans="1:17" ht="24" hidden="1" customHeight="1" x14ac:dyDescent="0.25">
      <c r="A385" s="177">
        <v>44742</v>
      </c>
      <c r="B385" s="184" t="s">
        <v>1450</v>
      </c>
      <c r="C385" s="179">
        <v>1468400</v>
      </c>
      <c r="D385" s="179">
        <v>440312</v>
      </c>
      <c r="E385" s="179">
        <f>+IF(FINANCIACION[[#This Row],[$ CAPITAL]]&gt;=0,FINANCIACION[[#This Row],[$ CAPITAL]]+FINANCIACION[[#This Row],[$ INTERESES]],"")</f>
        <v>1908712</v>
      </c>
      <c r="F385" s="179">
        <f>+SUMIFS(FINANCIACION[$ CAPITAL],FINANCIACION[Fecha],"&lt;="&amp;FINANCIACION[[#This Row],[Fecha]],FINANCIACION[PRESTAMO],FINANCIACION[[#This Row],[PRESTAMO]])</f>
        <v>-30836400</v>
      </c>
      <c r="G385" s="82"/>
      <c r="I385" s="185"/>
      <c r="J385" s="179">
        <f>+IF(FINANCIACION[[#This Row],[$ CAPITAL]]&gt;0,FINANCIACION[[#This Row],[$ CAPITAL]])</f>
        <v>1468400</v>
      </c>
      <c r="K385" s="186">
        <f>+IF(FINANCIACION[[#This Row],[$ CAPITAL]]&gt;=0,FINANCIACION[[#This Row],[$ CAPITAL]]+FINANCIACION[[#This Row],[$ INTERESES]],0)</f>
        <v>1908712</v>
      </c>
      <c r="L385" s="189"/>
      <c r="O385" s="183"/>
      <c r="P385" s="185"/>
      <c r="Q385" s="187"/>
    </row>
    <row r="386" spans="1:17" ht="24" hidden="1" customHeight="1" x14ac:dyDescent="0.25">
      <c r="A386" s="177">
        <v>44774</v>
      </c>
      <c r="B386" s="184" t="s">
        <v>1450</v>
      </c>
      <c r="C386" s="179">
        <v>1468400</v>
      </c>
      <c r="D386" s="179">
        <v>444966</v>
      </c>
      <c r="E386" s="179">
        <f>+IF(FINANCIACION[[#This Row],[$ CAPITAL]]&gt;=0,FINANCIACION[[#This Row],[$ CAPITAL]]+FINANCIACION[[#This Row],[$ INTERESES]],"")</f>
        <v>1913366</v>
      </c>
      <c r="F386" s="179">
        <f>+SUMIFS(FINANCIACION[$ CAPITAL],FINANCIACION[Fecha],"&lt;="&amp;FINANCIACION[[#This Row],[Fecha]],FINANCIACION[PRESTAMO],FINANCIACION[[#This Row],[PRESTAMO]])</f>
        <v>-29368000</v>
      </c>
      <c r="G386" s="82"/>
      <c r="I386" s="185"/>
      <c r="J386" s="179">
        <f>+IF(FINANCIACION[[#This Row],[$ CAPITAL]]&gt;0,FINANCIACION[[#This Row],[$ CAPITAL]])</f>
        <v>1468400</v>
      </c>
      <c r="K386" s="186">
        <f>+IF(FINANCIACION[[#This Row],[$ CAPITAL]]&gt;=0,FINANCIACION[[#This Row],[$ CAPITAL]]+FINANCIACION[[#This Row],[$ INTERESES]],0)</f>
        <v>1913366</v>
      </c>
      <c r="L386" s="189"/>
      <c r="O386" s="183"/>
      <c r="P386" s="185"/>
      <c r="Q386" s="187"/>
    </row>
    <row r="387" spans="1:17" ht="24" hidden="1" customHeight="1" x14ac:dyDescent="0.25">
      <c r="A387" s="177">
        <v>44804</v>
      </c>
      <c r="B387" s="184" t="s">
        <v>1450</v>
      </c>
      <c r="C387" s="179">
        <v>1468400</v>
      </c>
      <c r="D387" s="179">
        <v>459144</v>
      </c>
      <c r="E387" s="179">
        <f>+IF(FINANCIACION[[#This Row],[$ CAPITAL]]&gt;=0,FINANCIACION[[#This Row],[$ CAPITAL]]+FINANCIACION[[#This Row],[$ INTERESES]],"")</f>
        <v>1927544</v>
      </c>
      <c r="F387" s="179">
        <f>+SUMIFS(FINANCIACION[$ CAPITAL],FINANCIACION[Fecha],"&lt;="&amp;FINANCIACION[[#This Row],[Fecha]],FINANCIACION[PRESTAMO],FINANCIACION[[#This Row],[PRESTAMO]])</f>
        <v>-27899600</v>
      </c>
      <c r="G387" s="82"/>
      <c r="I387" s="185"/>
      <c r="J387" s="179">
        <f>+IF(FINANCIACION[[#This Row],[$ CAPITAL]]&gt;0,FINANCIACION[[#This Row],[$ CAPITAL]])</f>
        <v>1468400</v>
      </c>
      <c r="K387" s="186">
        <f>+IF(FINANCIACION[[#This Row],[$ CAPITAL]]&gt;=0,FINANCIACION[[#This Row],[$ CAPITAL]]+FINANCIACION[[#This Row],[$ INTERESES]],0)</f>
        <v>1927544</v>
      </c>
      <c r="L387" s="189"/>
      <c r="O387" s="183"/>
      <c r="P387" s="185"/>
      <c r="Q387" s="187"/>
    </row>
    <row r="388" spans="1:17" ht="24" hidden="1" customHeight="1" x14ac:dyDescent="0.25">
      <c r="A388" s="177">
        <v>44834</v>
      </c>
      <c r="B388" s="184" t="s">
        <v>1450</v>
      </c>
      <c r="C388" s="179">
        <v>1468400</v>
      </c>
      <c r="D388" s="179">
        <v>1586824</v>
      </c>
      <c r="E388" s="179">
        <f>+IF(FINANCIACION[[#This Row],[$ CAPITAL]]&gt;=0,FINANCIACION[[#This Row],[$ CAPITAL]]+FINANCIACION[[#This Row],[$ INTERESES]],"")</f>
        <v>3055224</v>
      </c>
      <c r="F388" s="179">
        <f>+SUMIFS(FINANCIACION[$ CAPITAL],FINANCIACION[Fecha],"&lt;="&amp;FINANCIACION[[#This Row],[Fecha]],FINANCIACION[PRESTAMO],FINANCIACION[[#This Row],[PRESTAMO]])</f>
        <v>-26431200</v>
      </c>
      <c r="G388" s="82"/>
      <c r="I388" s="185"/>
      <c r="J388" s="179">
        <f>+IF(FINANCIACION[[#This Row],[$ CAPITAL]]&gt;0,FINANCIACION[[#This Row],[$ CAPITAL]])</f>
        <v>1468400</v>
      </c>
      <c r="K388" s="186">
        <f>+IF(FINANCIACION[[#This Row],[$ CAPITAL]]&gt;=0,FINANCIACION[[#This Row],[$ CAPITAL]]+FINANCIACION[[#This Row],[$ INTERESES]],0)</f>
        <v>3055224</v>
      </c>
      <c r="L388" s="189"/>
      <c r="O388" s="183"/>
      <c r="P388" s="185"/>
      <c r="Q388" s="187"/>
    </row>
    <row r="389" spans="1:17" ht="24" hidden="1" customHeight="1" x14ac:dyDescent="0.25">
      <c r="A389" s="177">
        <v>44865</v>
      </c>
      <c r="B389" s="184" t="s">
        <v>1450</v>
      </c>
      <c r="C389" s="179">
        <v>1916280</v>
      </c>
      <c r="D389" s="179">
        <v>447880</v>
      </c>
      <c r="E389" s="179">
        <f>+IF(FINANCIACION[[#This Row],[$ CAPITAL]]&gt;=0,FINANCIACION[[#This Row],[$ CAPITAL]]+FINANCIACION[[#This Row],[$ INTERESES]],"")</f>
        <v>2364160</v>
      </c>
      <c r="F389" s="179">
        <f>+SUMIFS(FINANCIACION[$ CAPITAL],FINANCIACION[Fecha],"&lt;="&amp;FINANCIACION[[#This Row],[Fecha]],FINANCIACION[PRESTAMO],FINANCIACION[[#This Row],[PRESTAMO]])</f>
        <v>-24514920</v>
      </c>
      <c r="G389" s="82"/>
      <c r="I389" s="185"/>
      <c r="J389" s="179">
        <f>+IF(FINANCIACION[[#This Row],[$ CAPITAL]]&gt;0,FINANCIACION[[#This Row],[$ CAPITAL]])</f>
        <v>1916280</v>
      </c>
      <c r="K389" s="186">
        <f>+IF(FINANCIACION[[#This Row],[$ CAPITAL]]&gt;=0,FINANCIACION[[#This Row],[$ CAPITAL]]+FINANCIACION[[#This Row],[$ INTERESES]],0)</f>
        <v>2364160</v>
      </c>
      <c r="L389" s="189"/>
      <c r="O389" s="183"/>
      <c r="P389" s="185"/>
      <c r="Q389" s="187"/>
    </row>
    <row r="390" spans="1:17" ht="24" hidden="1" customHeight="1" x14ac:dyDescent="0.25">
      <c r="A390" s="177">
        <v>44895</v>
      </c>
      <c r="B390" s="184" t="s">
        <v>1450</v>
      </c>
      <c r="C390" s="179">
        <v>1468400</v>
      </c>
      <c r="D390" s="179">
        <v>437833</v>
      </c>
      <c r="E390" s="179">
        <f>+IF(FINANCIACION[[#This Row],[$ CAPITAL]]&gt;=0,FINANCIACION[[#This Row],[$ CAPITAL]]+FINANCIACION[[#This Row],[$ INTERESES]],"")</f>
        <v>1906233</v>
      </c>
      <c r="F390" s="179">
        <f>+SUMIFS(FINANCIACION[$ CAPITAL],FINANCIACION[Fecha],"&lt;="&amp;FINANCIACION[[#This Row],[Fecha]],FINANCIACION[PRESTAMO],FINANCIACION[[#This Row],[PRESTAMO]])</f>
        <v>-23046520</v>
      </c>
      <c r="G390" s="82"/>
      <c r="I390" s="185"/>
      <c r="J390" s="179">
        <f>+IF(FINANCIACION[[#This Row],[$ CAPITAL]]&gt;0,FINANCIACION[[#This Row],[$ CAPITAL]])</f>
        <v>1468400</v>
      </c>
      <c r="K390" s="186">
        <f>+IF(FINANCIACION[[#This Row],[$ CAPITAL]]&gt;=0,FINANCIACION[[#This Row],[$ CAPITAL]]+FINANCIACION[[#This Row],[$ INTERESES]],0)</f>
        <v>1906233</v>
      </c>
      <c r="L390" s="189"/>
      <c r="O390" s="183"/>
      <c r="P390" s="185"/>
      <c r="Q390" s="187"/>
    </row>
    <row r="391" spans="1:17" ht="24" hidden="1" customHeight="1" x14ac:dyDescent="0.25">
      <c r="A391" s="177">
        <v>44926</v>
      </c>
      <c r="B391" s="184" t="s">
        <v>1450</v>
      </c>
      <c r="C391" s="179">
        <v>0</v>
      </c>
      <c r="D391" s="179">
        <v>0</v>
      </c>
      <c r="E391" s="179">
        <f>+IF(FINANCIACION[[#This Row],[$ CAPITAL]]&gt;=0,FINANCIACION[[#This Row],[$ CAPITAL]]+FINANCIACION[[#This Row],[$ INTERESES]],"")</f>
        <v>0</v>
      </c>
      <c r="F391" s="179">
        <f>+SUMIFS(FINANCIACION[$ CAPITAL],FINANCIACION[Fecha],"&lt;="&amp;FINANCIACION[[#This Row],[Fecha]],FINANCIACION[PRESTAMO],FINANCIACION[[#This Row],[PRESTAMO]])</f>
        <v>-23046520</v>
      </c>
      <c r="G391" s="82"/>
      <c r="I391" s="185"/>
      <c r="J391" s="179" t="b">
        <f>+IF(FINANCIACION[[#This Row],[$ CAPITAL]]&gt;0,FINANCIACION[[#This Row],[$ CAPITAL]])</f>
        <v>0</v>
      </c>
      <c r="K391" s="186">
        <f>+IF(FINANCIACION[[#This Row],[$ CAPITAL]]&gt;=0,FINANCIACION[[#This Row],[$ CAPITAL]]+FINANCIACION[[#This Row],[$ INTERESES]],0)</f>
        <v>0</v>
      </c>
      <c r="L391" s="189"/>
      <c r="O391" s="183"/>
      <c r="P391" s="185"/>
      <c r="Q391" s="187"/>
    </row>
    <row r="392" spans="1:17" ht="24" hidden="1" customHeight="1" x14ac:dyDescent="0.25">
      <c r="A392" s="177">
        <v>44928</v>
      </c>
      <c r="B392" s="184" t="s">
        <v>1450</v>
      </c>
      <c r="C392" s="179">
        <v>1468400</v>
      </c>
      <c r="D392" s="179">
        <v>435146</v>
      </c>
      <c r="E392" s="179">
        <f>+IF(FINANCIACION[[#This Row],[$ CAPITAL]]&gt;=0,FINANCIACION[[#This Row],[$ CAPITAL]]+FINANCIACION[[#This Row],[$ INTERESES]],"")</f>
        <v>1903546</v>
      </c>
      <c r="F392" s="179">
        <f>+SUMIFS(FINANCIACION[$ CAPITAL],FINANCIACION[Fecha],"&lt;="&amp;FINANCIACION[[#This Row],[Fecha]],FINANCIACION[PRESTAMO],FINANCIACION[[#This Row],[PRESTAMO]])</f>
        <v>-21578120</v>
      </c>
      <c r="G392" s="82"/>
      <c r="I392" s="185"/>
      <c r="J392" s="179">
        <f>+IF(FINANCIACION[[#This Row],[$ CAPITAL]]&gt;0,FINANCIACION[[#This Row],[$ CAPITAL]])</f>
        <v>1468400</v>
      </c>
      <c r="K392" s="186">
        <f>+IF(FINANCIACION[[#This Row],[$ CAPITAL]]&gt;=0,FINANCIACION[[#This Row],[$ CAPITAL]]+FINANCIACION[[#This Row],[$ INTERESES]],0)</f>
        <v>1903546</v>
      </c>
      <c r="L392" s="189"/>
      <c r="O392" s="183"/>
      <c r="P392" s="185"/>
      <c r="Q392" s="187"/>
    </row>
    <row r="393" spans="1:17" ht="24" hidden="1" customHeight="1" x14ac:dyDescent="0.25">
      <c r="A393" s="177">
        <v>44928</v>
      </c>
      <c r="B393" s="184" t="s">
        <v>120</v>
      </c>
      <c r="C393" s="179">
        <v>76791</v>
      </c>
      <c r="D393" s="179"/>
      <c r="E393" s="179">
        <f>+IF(FINANCIACION[[#This Row],[$ CAPITAL]]&gt;=0,FINANCIACION[[#This Row],[$ CAPITAL]]+FINANCIACION[[#This Row],[$ INTERESES]],"")</f>
        <v>76791</v>
      </c>
      <c r="F393" s="179">
        <f>+SUMIFS(FINANCIACION[$ CAPITAL],FINANCIACION[Fecha],"&lt;="&amp;FINANCIACION[[#This Row],[Fecha]],FINANCIACION[PRESTAMO],FINANCIACION[[#This Row],[PRESTAMO]])</f>
        <v>76791</v>
      </c>
      <c r="G393" s="179"/>
      <c r="I393" s="185"/>
      <c r="J393" s="179">
        <f>+IF(FINANCIACION[[#This Row],[$ CAPITAL]]&gt;0,FINANCIACION[[#This Row],[$ CAPITAL]])</f>
        <v>76791</v>
      </c>
      <c r="K393" s="186">
        <f>+IF(FINANCIACION[[#This Row],[$ CAPITAL]]&gt;=0,FINANCIACION[[#This Row],[$ CAPITAL]]+FINANCIACION[[#This Row],[$ INTERESES]],0)</f>
        <v>76791</v>
      </c>
      <c r="L393" s="189"/>
      <c r="O393" s="183"/>
      <c r="P393" s="185"/>
      <c r="Q393" s="187"/>
    </row>
    <row r="394" spans="1:17" ht="24" hidden="1" customHeight="1" x14ac:dyDescent="0.25">
      <c r="A394" s="177">
        <v>44957</v>
      </c>
      <c r="B394" s="184" t="s">
        <v>1450</v>
      </c>
      <c r="C394" s="179">
        <v>1468400</v>
      </c>
      <c r="D394" s="179">
        <v>422631</v>
      </c>
      <c r="E394" s="179">
        <f>+IF(FINANCIACION[[#This Row],[$ CAPITAL]]&gt;=0,FINANCIACION[[#This Row],[$ CAPITAL]]+FINANCIACION[[#This Row],[$ INTERESES]],"")</f>
        <v>1891031</v>
      </c>
      <c r="F394" s="179">
        <f>+SUMIFS(FINANCIACION[$ CAPITAL],FINANCIACION[Fecha],"&lt;="&amp;FINANCIACION[[#This Row],[Fecha]],FINANCIACION[PRESTAMO],FINANCIACION[[#This Row],[PRESTAMO]])</f>
        <v>-20109720</v>
      </c>
      <c r="G394" s="82"/>
      <c r="I394" s="185"/>
      <c r="J394" s="179">
        <f>+IF(FINANCIACION[[#This Row],[$ CAPITAL]]&gt;0,FINANCIACION[[#This Row],[$ CAPITAL]])</f>
        <v>1468400</v>
      </c>
      <c r="K394" s="186">
        <f>+IF(FINANCIACION[[#This Row],[$ CAPITAL]]&gt;=0,FINANCIACION[[#This Row],[$ CAPITAL]]+FINANCIACION[[#This Row],[$ INTERESES]],0)</f>
        <v>1891031</v>
      </c>
      <c r="L394" s="189"/>
      <c r="O394" s="183"/>
      <c r="P394" s="185"/>
      <c r="Q394" s="187"/>
    </row>
    <row r="395" spans="1:17" ht="24" hidden="1" customHeight="1" x14ac:dyDescent="0.25">
      <c r="A395" s="177">
        <v>44957</v>
      </c>
      <c r="B395" s="184" t="s">
        <v>120</v>
      </c>
      <c r="C395" s="179">
        <v>76791</v>
      </c>
      <c r="D395" s="179"/>
      <c r="E395" s="179">
        <f>+IF(FINANCIACION[[#This Row],[$ CAPITAL]]&gt;=0,FINANCIACION[[#This Row],[$ CAPITAL]]+FINANCIACION[[#This Row],[$ INTERESES]],"")</f>
        <v>76791</v>
      </c>
      <c r="F395" s="179">
        <f>+SUMIFS(FINANCIACION[$ CAPITAL],FINANCIACION[Fecha],"&lt;="&amp;FINANCIACION[[#This Row],[Fecha]],FINANCIACION[PRESTAMO],FINANCIACION[[#This Row],[PRESTAMO]])</f>
        <v>153582</v>
      </c>
      <c r="G395" s="179"/>
      <c r="I395" s="185"/>
      <c r="J395" s="179">
        <f>+IF(FINANCIACION[[#This Row],[$ CAPITAL]]&gt;0,FINANCIACION[[#This Row],[$ CAPITAL]])</f>
        <v>76791</v>
      </c>
      <c r="K395" s="186">
        <f>+IF(FINANCIACION[[#This Row],[$ CAPITAL]]&gt;=0,FINANCIACION[[#This Row],[$ CAPITAL]]+FINANCIACION[[#This Row],[$ INTERESES]],0)</f>
        <v>76791</v>
      </c>
      <c r="L395" s="189"/>
      <c r="O395" s="183"/>
      <c r="P395" s="185"/>
      <c r="Q395" s="187"/>
    </row>
    <row r="396" spans="1:17" ht="24" hidden="1" customHeight="1" x14ac:dyDescent="0.25">
      <c r="A396" s="177">
        <v>44985</v>
      </c>
      <c r="B396" s="184" t="s">
        <v>1450</v>
      </c>
      <c r="C396" s="179">
        <v>1468400</v>
      </c>
      <c r="D396" s="179">
        <v>364033</v>
      </c>
      <c r="E396" s="179">
        <f>+IF(FINANCIACION[[#This Row],[$ CAPITAL]]&gt;=0,FINANCIACION[[#This Row],[$ CAPITAL]]+FINANCIACION[[#This Row],[$ INTERESES]],"")</f>
        <v>1832433</v>
      </c>
      <c r="F396" s="179">
        <f>+SUMIFS(FINANCIACION[$ CAPITAL],FINANCIACION[Fecha],"&lt;="&amp;FINANCIACION[[#This Row],[Fecha]],FINANCIACION[PRESTAMO],FINANCIACION[[#This Row],[PRESTAMO]])</f>
        <v>-18641320</v>
      </c>
      <c r="G396" s="82"/>
      <c r="I396" s="185"/>
      <c r="J396" s="179">
        <f>+IF(FINANCIACION[[#This Row],[$ CAPITAL]]&gt;0,FINANCIACION[[#This Row],[$ CAPITAL]])</f>
        <v>1468400</v>
      </c>
      <c r="K396" s="186">
        <f>+IF(FINANCIACION[[#This Row],[$ CAPITAL]]&gt;=0,FINANCIACION[[#This Row],[$ CAPITAL]]+FINANCIACION[[#This Row],[$ INTERESES]],0)</f>
        <v>1832433</v>
      </c>
      <c r="L396" s="189"/>
      <c r="O396" s="183"/>
      <c r="P396" s="185"/>
      <c r="Q396" s="187"/>
    </row>
    <row r="397" spans="1:17" ht="24" hidden="1" customHeight="1" x14ac:dyDescent="0.25">
      <c r="A397" s="177">
        <v>44985</v>
      </c>
      <c r="B397" s="184" t="s">
        <v>120</v>
      </c>
      <c r="C397" s="179">
        <v>76791</v>
      </c>
      <c r="D397" s="179"/>
      <c r="E397" s="179">
        <f>+IF(FINANCIACION[[#This Row],[$ CAPITAL]]&gt;=0,FINANCIACION[[#This Row],[$ CAPITAL]]+FINANCIACION[[#This Row],[$ INTERESES]],"")</f>
        <v>76791</v>
      </c>
      <c r="F397" s="179">
        <f>+SUMIFS(FINANCIACION[$ CAPITAL],FINANCIACION[Fecha],"&lt;="&amp;FINANCIACION[[#This Row],[Fecha]],FINANCIACION[PRESTAMO],FINANCIACION[[#This Row],[PRESTAMO]])</f>
        <v>230373</v>
      </c>
      <c r="G397" s="179"/>
      <c r="I397" s="185"/>
      <c r="J397" s="179">
        <f>+IF(FINANCIACION[[#This Row],[$ CAPITAL]]&gt;0,FINANCIACION[[#This Row],[$ CAPITAL]])</f>
        <v>76791</v>
      </c>
      <c r="K397" s="186">
        <f>+IF(FINANCIACION[[#This Row],[$ CAPITAL]]&gt;=0,FINANCIACION[[#This Row],[$ CAPITAL]]+FINANCIACION[[#This Row],[$ INTERESES]],0)</f>
        <v>76791</v>
      </c>
      <c r="L397" s="189"/>
      <c r="O397" s="183"/>
      <c r="P397" s="185"/>
      <c r="Q397" s="187"/>
    </row>
    <row r="398" spans="1:17" ht="24" hidden="1" customHeight="1" x14ac:dyDescent="0.25">
      <c r="A398" s="177">
        <v>45016</v>
      </c>
      <c r="B398" s="184" t="s">
        <v>1450</v>
      </c>
      <c r="C398" s="179">
        <v>1468400</v>
      </c>
      <c r="D398" s="179">
        <v>424098</v>
      </c>
      <c r="E398" s="179">
        <f>+IF(FINANCIACION[[#This Row],[$ CAPITAL]]&gt;=0,FINANCIACION[[#This Row],[$ CAPITAL]]+FINANCIACION[[#This Row],[$ INTERESES]],"")</f>
        <v>1892498</v>
      </c>
      <c r="F398" s="179">
        <f>+SUMIFS(FINANCIACION[$ CAPITAL],FINANCIACION[Fecha],"&lt;="&amp;FINANCIACION[[#This Row],[Fecha]],FINANCIACION[PRESTAMO],FINANCIACION[[#This Row],[PRESTAMO]])</f>
        <v>-17172920</v>
      </c>
      <c r="G398" s="82"/>
      <c r="I398" s="185"/>
      <c r="J398" s="179">
        <f>+IF(FINANCIACION[[#This Row],[$ CAPITAL]]&gt;0,FINANCIACION[[#This Row],[$ CAPITAL]])</f>
        <v>1468400</v>
      </c>
      <c r="K398" s="186">
        <f>+IF(FINANCIACION[[#This Row],[$ CAPITAL]]&gt;=0,FINANCIACION[[#This Row],[$ CAPITAL]]+FINANCIACION[[#This Row],[$ INTERESES]],0)</f>
        <v>1892498</v>
      </c>
      <c r="L398" s="189"/>
      <c r="O398" s="183"/>
      <c r="P398" s="185"/>
      <c r="Q398" s="187"/>
    </row>
    <row r="399" spans="1:17" ht="24" hidden="1" customHeight="1" x14ac:dyDescent="0.25">
      <c r="A399" s="177">
        <v>45016</v>
      </c>
      <c r="B399" s="184" t="s">
        <v>120</v>
      </c>
      <c r="C399" s="179">
        <v>76791</v>
      </c>
      <c r="D399" s="179"/>
      <c r="E399" s="179">
        <f>+IF(FINANCIACION[[#This Row],[$ CAPITAL]]&gt;=0,FINANCIACION[[#This Row],[$ CAPITAL]]+FINANCIACION[[#This Row],[$ INTERESES]],"")</f>
        <v>76791</v>
      </c>
      <c r="F399" s="179">
        <f>+SUMIFS(FINANCIACION[$ CAPITAL],FINANCIACION[Fecha],"&lt;="&amp;FINANCIACION[[#This Row],[Fecha]],FINANCIACION[PRESTAMO],FINANCIACION[[#This Row],[PRESTAMO]])</f>
        <v>307164</v>
      </c>
      <c r="G399" s="179"/>
      <c r="I399" s="185"/>
      <c r="J399" s="179">
        <f>+IF(FINANCIACION[[#This Row],[$ CAPITAL]]&gt;0,FINANCIACION[[#This Row],[$ CAPITAL]])</f>
        <v>76791</v>
      </c>
      <c r="K399" s="186">
        <f>+IF(FINANCIACION[[#This Row],[$ CAPITAL]]&gt;=0,FINANCIACION[[#This Row],[$ CAPITAL]]+FINANCIACION[[#This Row],[$ INTERESES]],0)</f>
        <v>76791</v>
      </c>
      <c r="L399" s="189"/>
      <c r="O399" s="183"/>
      <c r="P399" s="185"/>
      <c r="Q399" s="187"/>
    </row>
    <row r="400" spans="1:17" ht="24" hidden="1" customHeight="1" x14ac:dyDescent="0.25">
      <c r="A400" s="177">
        <v>45046</v>
      </c>
      <c r="B400" s="184" t="s">
        <v>1450</v>
      </c>
      <c r="C400" s="179">
        <v>0</v>
      </c>
      <c r="D400" s="179">
        <v>0</v>
      </c>
      <c r="E400" s="179">
        <f>+IF(FINANCIACION[[#This Row],[$ CAPITAL]]&gt;=0,FINANCIACION[[#This Row],[$ CAPITAL]]+FINANCIACION[[#This Row],[$ INTERESES]],"")</f>
        <v>0</v>
      </c>
      <c r="F400" s="179">
        <f>+SUMIFS(FINANCIACION[$ CAPITAL],FINANCIACION[Fecha],"&lt;="&amp;FINANCIACION[[#This Row],[Fecha]],FINANCIACION[PRESTAMO],FINANCIACION[[#This Row],[PRESTAMO]])</f>
        <v>-17172920</v>
      </c>
      <c r="G400" s="82"/>
      <c r="I400" s="185"/>
      <c r="J400" s="179" t="b">
        <f>+IF(FINANCIACION[[#This Row],[$ CAPITAL]]&gt;0,FINANCIACION[[#This Row],[$ CAPITAL]])</f>
        <v>0</v>
      </c>
      <c r="K400" s="186">
        <f>+IF(FINANCIACION[[#This Row],[$ CAPITAL]]&gt;=0,FINANCIACION[[#This Row],[$ CAPITAL]]+FINANCIACION[[#This Row],[$ INTERESES]],0)</f>
        <v>0</v>
      </c>
      <c r="L400" s="189"/>
      <c r="O400" s="183"/>
      <c r="P400" s="185"/>
      <c r="Q400" s="187"/>
    </row>
    <row r="401" spans="1:17" ht="24" hidden="1" customHeight="1" x14ac:dyDescent="0.25">
      <c r="A401" s="177">
        <v>45046</v>
      </c>
      <c r="B401" s="184" t="s">
        <v>120</v>
      </c>
      <c r="C401" s="179">
        <v>0</v>
      </c>
      <c r="D401" s="179">
        <v>0</v>
      </c>
      <c r="E401" s="179">
        <f>+IF(FINANCIACION[[#This Row],[$ CAPITAL]]&gt;=0,FINANCIACION[[#This Row],[$ CAPITAL]]+FINANCIACION[[#This Row],[$ INTERESES]],"")</f>
        <v>0</v>
      </c>
      <c r="F401" s="179">
        <f>+SUMIFS(FINANCIACION[$ CAPITAL],FINANCIACION[Fecha],"&lt;="&amp;FINANCIACION[[#This Row],[Fecha]],FINANCIACION[PRESTAMO],FINANCIACION[[#This Row],[PRESTAMO]])</f>
        <v>307164</v>
      </c>
      <c r="G401" s="179"/>
      <c r="I401" s="185"/>
      <c r="J401" s="179" t="b">
        <f>+IF(FINANCIACION[[#This Row],[$ CAPITAL]]&gt;0,FINANCIACION[[#This Row],[$ CAPITAL]])</f>
        <v>0</v>
      </c>
      <c r="K401" s="186">
        <f>+IF(FINANCIACION[[#This Row],[$ CAPITAL]]&gt;=0,FINANCIACION[[#This Row],[$ CAPITAL]]+FINANCIACION[[#This Row],[$ INTERESES]],0)</f>
        <v>0</v>
      </c>
      <c r="L401" s="189"/>
      <c r="O401" s="183"/>
      <c r="P401" s="185"/>
      <c r="Q401" s="187"/>
    </row>
    <row r="402" spans="1:17" ht="24" hidden="1" customHeight="1" x14ac:dyDescent="0.25">
      <c r="A402" s="177">
        <v>45048</v>
      </c>
      <c r="B402" s="184" t="s">
        <v>1450</v>
      </c>
      <c r="C402" s="179">
        <v>1468400</v>
      </c>
      <c r="D402" s="179">
        <v>317725</v>
      </c>
      <c r="E402" s="179">
        <f>+IF(FINANCIACION[[#This Row],[$ CAPITAL]]&gt;=0,FINANCIACION[[#This Row],[$ CAPITAL]]+FINANCIACION[[#This Row],[$ INTERESES]],"")</f>
        <v>1786125</v>
      </c>
      <c r="F402" s="179">
        <f>+SUMIFS(FINANCIACION[$ CAPITAL],FINANCIACION[Fecha],"&lt;="&amp;FINANCIACION[[#This Row],[Fecha]],FINANCIACION[PRESTAMO],FINANCIACION[[#This Row],[PRESTAMO]])</f>
        <v>-15704520</v>
      </c>
      <c r="G402" s="82"/>
      <c r="I402" s="185"/>
      <c r="J402" s="179">
        <f>+IF(FINANCIACION[[#This Row],[$ CAPITAL]]&gt;0,FINANCIACION[[#This Row],[$ CAPITAL]])</f>
        <v>1468400</v>
      </c>
      <c r="K402" s="186">
        <f>+IF(FINANCIACION[[#This Row],[$ CAPITAL]]&gt;=0,FINANCIACION[[#This Row],[$ CAPITAL]]+FINANCIACION[[#This Row],[$ INTERESES]],0)</f>
        <v>1786125</v>
      </c>
      <c r="L402" s="189"/>
      <c r="O402" s="183"/>
      <c r="P402" s="185"/>
      <c r="Q402" s="187"/>
    </row>
    <row r="403" spans="1:17" ht="24" hidden="1" customHeight="1" x14ac:dyDescent="0.25">
      <c r="A403" s="177">
        <v>45048</v>
      </c>
      <c r="B403" s="184" t="s">
        <v>120</v>
      </c>
      <c r="C403" s="179">
        <v>76791</v>
      </c>
      <c r="D403" s="179"/>
      <c r="E403" s="179">
        <f>+IF(FINANCIACION[[#This Row],[$ CAPITAL]]&gt;=0,FINANCIACION[[#This Row],[$ CAPITAL]]+FINANCIACION[[#This Row],[$ INTERESES]],"")</f>
        <v>76791</v>
      </c>
      <c r="F403" s="179">
        <f>+SUMIFS(FINANCIACION[$ CAPITAL],FINANCIACION[Fecha],"&lt;="&amp;FINANCIACION[[#This Row],[Fecha]],FINANCIACION[PRESTAMO],FINANCIACION[[#This Row],[PRESTAMO]])</f>
        <v>383955</v>
      </c>
      <c r="G403" s="179"/>
      <c r="I403" s="185"/>
      <c r="J403" s="179">
        <f>+IF(FINANCIACION[[#This Row],[$ CAPITAL]]&gt;0,FINANCIACION[[#This Row],[$ CAPITAL]])</f>
        <v>76791</v>
      </c>
      <c r="K403" s="186">
        <f>+IF(FINANCIACION[[#This Row],[$ CAPITAL]]&gt;=0,FINANCIACION[[#This Row],[$ CAPITAL]]+FINANCIACION[[#This Row],[$ INTERESES]],0)</f>
        <v>76791</v>
      </c>
      <c r="L403" s="189"/>
      <c r="O403" s="183"/>
      <c r="P403" s="185"/>
      <c r="Q403" s="187"/>
    </row>
    <row r="404" spans="1:17" ht="24" hidden="1" customHeight="1" x14ac:dyDescent="0.25">
      <c r="A404" s="177">
        <v>45077</v>
      </c>
      <c r="B404" s="184" t="s">
        <v>1450</v>
      </c>
      <c r="C404" s="179">
        <v>1468400</v>
      </c>
      <c r="D404" s="179">
        <v>292448</v>
      </c>
      <c r="E404" s="179">
        <f>+IF(FINANCIACION[[#This Row],[$ CAPITAL]]&gt;=0,FINANCIACION[[#This Row],[$ CAPITAL]]+FINANCIACION[[#This Row],[$ INTERESES]],"")</f>
        <v>1760848</v>
      </c>
      <c r="F404" s="179">
        <f>+SUMIFS(FINANCIACION[$ CAPITAL],FINANCIACION[Fecha],"&lt;="&amp;FINANCIACION[[#This Row],[Fecha]],FINANCIACION[PRESTAMO],FINANCIACION[[#This Row],[PRESTAMO]])</f>
        <v>-14236120</v>
      </c>
      <c r="G404" s="82"/>
      <c r="I404" s="185"/>
      <c r="J404" s="179">
        <f>+IF(FINANCIACION[[#This Row],[$ CAPITAL]]&gt;0,FINANCIACION[[#This Row],[$ CAPITAL]])</f>
        <v>1468400</v>
      </c>
      <c r="K404" s="186">
        <f>+IF(FINANCIACION[[#This Row],[$ CAPITAL]]&gt;=0,FINANCIACION[[#This Row],[$ CAPITAL]]+FINANCIACION[[#This Row],[$ INTERESES]],0)</f>
        <v>1760848</v>
      </c>
    </row>
    <row r="405" spans="1:17" ht="24" hidden="1" customHeight="1" x14ac:dyDescent="0.25">
      <c r="A405" s="177">
        <v>45077</v>
      </c>
      <c r="B405" s="184" t="s">
        <v>120</v>
      </c>
      <c r="C405" s="179">
        <v>76791</v>
      </c>
      <c r="D405" s="179"/>
      <c r="E405" s="179">
        <f>+IF(FINANCIACION[[#This Row],[$ CAPITAL]]&gt;=0,FINANCIACION[[#This Row],[$ CAPITAL]]+FINANCIACION[[#This Row],[$ INTERESES]],"")</f>
        <v>76791</v>
      </c>
      <c r="F405" s="179">
        <f>+SUMIFS(FINANCIACION[$ CAPITAL],FINANCIACION[Fecha],"&lt;="&amp;FINANCIACION[[#This Row],[Fecha]],FINANCIACION[PRESTAMO],FINANCIACION[[#This Row],[PRESTAMO]])</f>
        <v>460746</v>
      </c>
      <c r="G405" s="179"/>
      <c r="I405" s="185"/>
      <c r="J405" s="179">
        <f>+IF(FINANCIACION[[#This Row],[$ CAPITAL]]&gt;0,FINANCIACION[[#This Row],[$ CAPITAL]])</f>
        <v>76791</v>
      </c>
      <c r="K405" s="186">
        <f>+IF(FINANCIACION[[#This Row],[$ CAPITAL]]&gt;=0,FINANCIACION[[#This Row],[$ CAPITAL]]+FINANCIACION[[#This Row],[$ INTERESES]],0)</f>
        <v>76791</v>
      </c>
    </row>
    <row r="406" spans="1:17" ht="24" hidden="1" customHeight="1" x14ac:dyDescent="0.25">
      <c r="A406" s="177">
        <v>45107</v>
      </c>
      <c r="B406" s="184" t="s">
        <v>1450</v>
      </c>
      <c r="C406" s="179">
        <v>1468400</v>
      </c>
      <c r="D406" s="179">
        <v>260830</v>
      </c>
      <c r="E406" s="179">
        <f>+IF(FINANCIACION[[#This Row],[$ CAPITAL]]&gt;=0,FINANCIACION[[#This Row],[$ CAPITAL]]+FINANCIACION[[#This Row],[$ INTERESES]],"")</f>
        <v>1729230</v>
      </c>
      <c r="F406" s="179">
        <f>+SUMIFS(FINANCIACION[$ CAPITAL],FINANCIACION[Fecha],"&lt;="&amp;FINANCIACION[[#This Row],[Fecha]],FINANCIACION[PRESTAMO],FINANCIACION[[#This Row],[PRESTAMO]])</f>
        <v>-13215600</v>
      </c>
      <c r="G406" s="82"/>
      <c r="I406" s="185"/>
      <c r="J406" s="179">
        <f>+IF(FINANCIACION[[#This Row],[$ CAPITAL]]&gt;0,FINANCIACION[[#This Row],[$ CAPITAL]])</f>
        <v>1468400</v>
      </c>
      <c r="K406" s="186">
        <f>+IF(FINANCIACION[[#This Row],[$ CAPITAL]]&gt;=0,FINANCIACION[[#This Row],[$ CAPITAL]]+FINANCIACION[[#This Row],[$ INTERESES]],0)</f>
        <v>1729230</v>
      </c>
    </row>
    <row r="407" spans="1:17" ht="24" hidden="1" customHeight="1" x14ac:dyDescent="0.25">
      <c r="A407" s="177">
        <v>45107</v>
      </c>
      <c r="B407" s="184" t="s">
        <v>1450</v>
      </c>
      <c r="C407" s="179">
        <v>-447880</v>
      </c>
      <c r="D407" s="179"/>
      <c r="E407" s="179" t="str">
        <f>+IF(FINANCIACION[[#This Row],[$ CAPITAL]]&gt;=0,FINANCIACION[[#This Row],[$ CAPITAL]]+FINANCIACION[[#This Row],[$ INTERESES]],"")</f>
        <v/>
      </c>
      <c r="F407" s="179">
        <f>+SUMIFS(FINANCIACION[$ CAPITAL],FINANCIACION[Fecha],"&lt;="&amp;FINANCIACION[[#This Row],[Fecha]],FINANCIACION[PRESTAMO],FINANCIACION[[#This Row],[PRESTAMO]])</f>
        <v>-13215600</v>
      </c>
      <c r="G407" s="82"/>
      <c r="H407" s="185" t="s">
        <v>888</v>
      </c>
      <c r="I407" s="185"/>
      <c r="J407" s="179" t="b">
        <f>+IF(FINANCIACION[[#This Row],[$ CAPITAL]]&gt;0,FINANCIACION[[#This Row],[$ CAPITAL]])</f>
        <v>0</v>
      </c>
      <c r="K407" s="186">
        <f>+IF(FINANCIACION[[#This Row],[$ CAPITAL]]&gt;=0,FINANCIACION[[#This Row],[$ CAPITAL]]+FINANCIACION[[#This Row],[$ INTERESES]],0)</f>
        <v>0</v>
      </c>
    </row>
    <row r="408" spans="1:17" ht="24" hidden="1" customHeight="1" x14ac:dyDescent="0.25">
      <c r="A408" s="177">
        <v>45107</v>
      </c>
      <c r="B408" s="184" t="s">
        <v>120</v>
      </c>
      <c r="C408" s="179">
        <v>76791</v>
      </c>
      <c r="D408" s="179"/>
      <c r="E408" s="179">
        <f>+IF(FINANCIACION[[#This Row],[$ CAPITAL]]&gt;=0,FINANCIACION[[#This Row],[$ CAPITAL]]+FINANCIACION[[#This Row],[$ INTERESES]],"")</f>
        <v>76791</v>
      </c>
      <c r="F408" s="179">
        <f>+SUMIFS(FINANCIACION[$ CAPITAL],FINANCIACION[Fecha],"&lt;="&amp;FINANCIACION[[#This Row],[Fecha]],FINANCIACION[PRESTAMO],FINANCIACION[[#This Row],[PRESTAMO]])</f>
        <v>537537</v>
      </c>
      <c r="G408" s="179"/>
      <c r="I408" s="185"/>
      <c r="J408" s="179">
        <f>+IF(FINANCIACION[[#This Row],[$ CAPITAL]]&gt;0,FINANCIACION[[#This Row],[$ CAPITAL]])</f>
        <v>76791</v>
      </c>
      <c r="K408" s="186">
        <f>+IF(FINANCIACION[[#This Row],[$ CAPITAL]]&gt;=0,FINANCIACION[[#This Row],[$ CAPITAL]]+FINANCIACION[[#This Row],[$ INTERESES]],0)</f>
        <v>76791</v>
      </c>
    </row>
    <row r="409" spans="1:17" ht="24" hidden="1" customHeight="1" x14ac:dyDescent="0.25">
      <c r="A409" s="177">
        <v>45138</v>
      </c>
      <c r="B409" s="184" t="s">
        <v>1450</v>
      </c>
      <c r="C409" s="179">
        <v>1468400</v>
      </c>
      <c r="D409" s="179">
        <v>246236</v>
      </c>
      <c r="E409" s="179">
        <f>+IF(FINANCIACION[[#This Row],[$ CAPITAL]]&gt;=0,FINANCIACION[[#This Row],[$ CAPITAL]]+FINANCIACION[[#This Row],[$ INTERESES]],"")</f>
        <v>1714636</v>
      </c>
      <c r="F409" s="179">
        <f>+SUMIFS(FINANCIACION[$ CAPITAL],FINANCIACION[Fecha],"&lt;="&amp;FINANCIACION[[#This Row],[Fecha]],FINANCIACION[PRESTAMO],FINANCIACION[[#This Row],[PRESTAMO]])</f>
        <v>-11747200</v>
      </c>
      <c r="G409" s="82"/>
      <c r="I409" s="185"/>
      <c r="J409" s="179">
        <f>+IF(FINANCIACION[[#This Row],[$ CAPITAL]]&gt;0,FINANCIACION[[#This Row],[$ CAPITAL]])</f>
        <v>1468400</v>
      </c>
      <c r="K409" s="186">
        <f>+IF(FINANCIACION[[#This Row],[$ CAPITAL]]&gt;=0,FINANCIACION[[#This Row],[$ CAPITAL]]+FINANCIACION[[#This Row],[$ INTERESES]],0)</f>
        <v>1714636</v>
      </c>
    </row>
    <row r="410" spans="1:17" ht="24" hidden="1" customHeight="1" x14ac:dyDescent="0.25">
      <c r="A410" s="177">
        <v>45138</v>
      </c>
      <c r="B410" s="184" t="s">
        <v>120</v>
      </c>
      <c r="C410" s="179">
        <v>76791</v>
      </c>
      <c r="D410" s="179"/>
      <c r="E410" s="179">
        <f>+IF(FINANCIACION[[#This Row],[$ CAPITAL]]&gt;=0,FINANCIACION[[#This Row],[$ CAPITAL]]+FINANCIACION[[#This Row],[$ INTERESES]],"")</f>
        <v>76791</v>
      </c>
      <c r="F410" s="179">
        <f>+SUMIFS(FINANCIACION[$ CAPITAL],FINANCIACION[Fecha],"&lt;="&amp;FINANCIACION[[#This Row],[Fecha]],FINANCIACION[PRESTAMO],FINANCIACION[[#This Row],[PRESTAMO]])</f>
        <v>614328</v>
      </c>
      <c r="G410" s="179"/>
      <c r="I410" s="185"/>
      <c r="J410" s="179">
        <f>+IF(FINANCIACION[[#This Row],[$ CAPITAL]]&gt;0,FINANCIACION[[#This Row],[$ CAPITAL]])</f>
        <v>76791</v>
      </c>
      <c r="K410" s="186">
        <f>+IF(FINANCIACION[[#This Row],[$ CAPITAL]]&gt;=0,FINANCIACION[[#This Row],[$ CAPITAL]]+FINANCIACION[[#This Row],[$ INTERESES]],0)</f>
        <v>76791</v>
      </c>
    </row>
    <row r="411" spans="1:17" ht="24" hidden="1" customHeight="1" x14ac:dyDescent="0.25">
      <c r="A411" s="177">
        <v>45169</v>
      </c>
      <c r="B411" s="184" t="s">
        <v>1450</v>
      </c>
      <c r="C411" s="179">
        <v>1468400</v>
      </c>
      <c r="D411" s="179">
        <v>260830</v>
      </c>
      <c r="E411" s="179">
        <f>+IF(FINANCIACION[[#This Row],[$ CAPITAL]]&gt;=0,FINANCIACION[[#This Row],[$ CAPITAL]]+FINANCIACION[[#This Row],[$ INTERESES]],"")</f>
        <v>1729230</v>
      </c>
      <c r="F411" s="179">
        <f>+SUMIFS(FINANCIACION[$ CAPITAL],FINANCIACION[Fecha],"&lt;="&amp;FINANCIACION[[#This Row],[Fecha]],FINANCIACION[PRESTAMO],FINANCIACION[[#This Row],[PRESTAMO]])</f>
        <v>-10278800</v>
      </c>
      <c r="G411" s="82"/>
      <c r="I411" s="185"/>
      <c r="J411" s="179">
        <f>+IF(FINANCIACION[[#This Row],[$ CAPITAL]]&gt;0,FINANCIACION[[#This Row],[$ CAPITAL]])</f>
        <v>1468400</v>
      </c>
      <c r="K411" s="186">
        <f>+IF(FINANCIACION[[#This Row],[$ CAPITAL]]&gt;=0,FINANCIACION[[#This Row],[$ CAPITAL]]+FINANCIACION[[#This Row],[$ INTERESES]],0)</f>
        <v>1729230</v>
      </c>
    </row>
    <row r="412" spans="1:17" ht="24" hidden="1" customHeight="1" x14ac:dyDescent="0.25">
      <c r="A412" s="177">
        <v>45169</v>
      </c>
      <c r="B412" s="184" t="s">
        <v>120</v>
      </c>
      <c r="C412" s="179">
        <v>76791</v>
      </c>
      <c r="D412" s="179"/>
      <c r="E412" s="179">
        <f>+IF(FINANCIACION[[#This Row],[$ CAPITAL]]&gt;=0,FINANCIACION[[#This Row],[$ CAPITAL]]+FINANCIACION[[#This Row],[$ INTERESES]],"")</f>
        <v>76791</v>
      </c>
      <c r="F412" s="179">
        <f>+SUMIFS(FINANCIACION[$ CAPITAL],FINANCIACION[Fecha],"&lt;="&amp;FINANCIACION[[#This Row],[Fecha]],FINANCIACION[PRESTAMO],FINANCIACION[[#This Row],[PRESTAMO]])</f>
        <v>691119</v>
      </c>
      <c r="G412" s="179"/>
      <c r="I412" s="185"/>
      <c r="J412" s="179">
        <f>+IF(FINANCIACION[[#This Row],[$ CAPITAL]]&gt;0,FINANCIACION[[#This Row],[$ CAPITAL]])</f>
        <v>76791</v>
      </c>
      <c r="K412" s="186">
        <f>+IF(FINANCIACION[[#This Row],[$ CAPITAL]]&gt;=0,FINANCIACION[[#This Row],[$ CAPITAL]]+FINANCIACION[[#This Row],[$ INTERESES]],0)</f>
        <v>76791</v>
      </c>
    </row>
    <row r="413" spans="1:17" ht="24" hidden="1" customHeight="1" x14ac:dyDescent="0.25">
      <c r="A413" s="177">
        <v>45199</v>
      </c>
      <c r="B413" s="184" t="s">
        <v>1450</v>
      </c>
      <c r="C413" s="179">
        <v>0</v>
      </c>
      <c r="D413" s="179">
        <v>0</v>
      </c>
      <c r="E413" s="179">
        <f>+IF(FINANCIACION[[#This Row],[$ CAPITAL]]&gt;=0,FINANCIACION[[#This Row],[$ CAPITAL]]+FINANCIACION[[#This Row],[$ INTERESES]],"")</f>
        <v>0</v>
      </c>
      <c r="F413" s="179">
        <f>+SUMIFS(FINANCIACION[$ CAPITAL],FINANCIACION[Fecha],"&lt;="&amp;FINANCIACION[[#This Row],[Fecha]],FINANCIACION[PRESTAMO],FINANCIACION[[#This Row],[PRESTAMO]])</f>
        <v>-10278800</v>
      </c>
      <c r="G413" s="82"/>
      <c r="I413" s="185"/>
      <c r="J413" s="179" t="b">
        <f>+IF(FINANCIACION[[#This Row],[$ CAPITAL]]&gt;0,FINANCIACION[[#This Row],[$ CAPITAL]])</f>
        <v>0</v>
      </c>
      <c r="K413" s="186">
        <f>+IF(FINANCIACION[[#This Row],[$ CAPITAL]]&gt;=0,FINANCIACION[[#This Row],[$ CAPITAL]]+FINANCIACION[[#This Row],[$ INTERESES]],0)</f>
        <v>0</v>
      </c>
    </row>
    <row r="414" spans="1:17" ht="24" hidden="1" customHeight="1" x14ac:dyDescent="0.25">
      <c r="A414" s="177">
        <v>45199</v>
      </c>
      <c r="B414" s="184" t="s">
        <v>120</v>
      </c>
      <c r="C414" s="179">
        <v>0</v>
      </c>
      <c r="D414" s="179">
        <v>0</v>
      </c>
      <c r="E414" s="179">
        <f>+IF(FINANCIACION[[#This Row],[$ CAPITAL]]&gt;=0,FINANCIACION[[#This Row],[$ CAPITAL]]+FINANCIACION[[#This Row],[$ INTERESES]],"")</f>
        <v>0</v>
      </c>
      <c r="F414" s="179">
        <f>+SUMIFS(FINANCIACION[$ CAPITAL],FINANCIACION[Fecha],"&lt;="&amp;FINANCIACION[[#This Row],[Fecha]],FINANCIACION[PRESTAMO],FINANCIACION[[#This Row],[PRESTAMO]])</f>
        <v>691119</v>
      </c>
      <c r="G414" s="179"/>
      <c r="I414" s="185"/>
      <c r="J414" s="179" t="b">
        <f>+IF(FINANCIACION[[#This Row],[$ CAPITAL]]&gt;0,FINANCIACION[[#This Row],[$ CAPITAL]])</f>
        <v>0</v>
      </c>
      <c r="K414" s="186">
        <f>+IF(FINANCIACION[[#This Row],[$ CAPITAL]]&gt;=0,FINANCIACION[[#This Row],[$ CAPITAL]]+FINANCIACION[[#This Row],[$ INTERESES]],0)</f>
        <v>0</v>
      </c>
    </row>
    <row r="415" spans="1:17" ht="24" hidden="1" customHeight="1" x14ac:dyDescent="0.25">
      <c r="A415" s="177">
        <v>45201</v>
      </c>
      <c r="B415" s="184" t="s">
        <v>1450</v>
      </c>
      <c r="C415" s="179">
        <v>1468400</v>
      </c>
      <c r="D415" s="179">
        <v>164239</v>
      </c>
      <c r="E415" s="179">
        <f>+IF(FINANCIACION[[#This Row],[$ CAPITAL]]&gt;=0,FINANCIACION[[#This Row],[$ CAPITAL]]+FINANCIACION[[#This Row],[$ INTERESES]],"")</f>
        <v>1632639</v>
      </c>
      <c r="F415" s="179">
        <f>+SUMIFS(FINANCIACION[$ CAPITAL],FINANCIACION[Fecha],"&lt;="&amp;FINANCIACION[[#This Row],[Fecha]],FINANCIACION[PRESTAMO],FINANCIACION[[#This Row],[PRESTAMO]])</f>
        <v>-8810400</v>
      </c>
      <c r="G415" s="82"/>
      <c r="I415" s="185"/>
      <c r="J415" s="179">
        <f>+IF(FINANCIACION[[#This Row],[$ CAPITAL]]&gt;0,FINANCIACION[[#This Row],[$ CAPITAL]])</f>
        <v>1468400</v>
      </c>
      <c r="K415" s="186">
        <f>+IF(FINANCIACION[[#This Row],[$ CAPITAL]]&gt;=0,FINANCIACION[[#This Row],[$ CAPITAL]]+FINANCIACION[[#This Row],[$ INTERESES]],0)</f>
        <v>1632639</v>
      </c>
    </row>
    <row r="416" spans="1:17" ht="24" hidden="1" customHeight="1" x14ac:dyDescent="0.25">
      <c r="A416" s="177">
        <v>45202</v>
      </c>
      <c r="B416" s="184" t="s">
        <v>120</v>
      </c>
      <c r="C416" s="179">
        <v>77002</v>
      </c>
      <c r="D416" s="179"/>
      <c r="E416" s="179">
        <f>+IF(FINANCIACION[[#This Row],[$ CAPITAL]]&gt;=0,FINANCIACION[[#This Row],[$ CAPITAL]]+FINANCIACION[[#This Row],[$ INTERESES]],"")</f>
        <v>77002</v>
      </c>
      <c r="F416" s="179">
        <f>+SUMIFS(FINANCIACION[$ CAPITAL],FINANCIACION[Fecha],"&lt;="&amp;FINANCIACION[[#This Row],[Fecha]],FINANCIACION[PRESTAMO],FINANCIACION[[#This Row],[PRESTAMO]])</f>
        <v>768121</v>
      </c>
      <c r="G416" s="179"/>
      <c r="I416" s="185"/>
      <c r="J416" s="179">
        <f>+IF(FINANCIACION[[#This Row],[$ CAPITAL]]&gt;0,FINANCIACION[[#This Row],[$ CAPITAL]])</f>
        <v>77002</v>
      </c>
      <c r="K416" s="186">
        <f>+IF(FINANCIACION[[#This Row],[$ CAPITAL]]&gt;=0,FINANCIACION[[#This Row],[$ CAPITAL]]+FINANCIACION[[#This Row],[$ INTERESES]],0)</f>
        <v>77002</v>
      </c>
    </row>
    <row r="417" spans="1:11" ht="24" hidden="1" customHeight="1" x14ac:dyDescent="0.25">
      <c r="A417" s="177">
        <v>45205</v>
      </c>
      <c r="B417" s="184" t="s">
        <v>120</v>
      </c>
      <c r="C417" s="179">
        <v>460535</v>
      </c>
      <c r="D417" s="179"/>
      <c r="E417" s="179">
        <f>+IF(FINANCIACION[[#This Row],[$ CAPITAL]]&gt;=0,FINANCIACION[[#This Row],[$ CAPITAL]]+FINANCIACION[[#This Row],[$ INTERESES]],"")</f>
        <v>460535</v>
      </c>
      <c r="F417" s="179">
        <f>+SUMIFS(FINANCIACION[$ CAPITAL],FINANCIACION[Fecha],"&lt;="&amp;FINANCIACION[[#This Row],[Fecha]],FINANCIACION[PRESTAMO],FINANCIACION[[#This Row],[PRESTAMO]])</f>
        <v>1228656</v>
      </c>
      <c r="G417" s="179"/>
      <c r="H417" s="185" t="s">
        <v>1190</v>
      </c>
      <c r="I417" s="185"/>
      <c r="J417" s="179">
        <f>+IF(FINANCIACION[[#This Row],[$ CAPITAL]]&gt;0,FINANCIACION[[#This Row],[$ CAPITAL]])</f>
        <v>460535</v>
      </c>
      <c r="K417" s="186">
        <f>+IF(FINANCIACION[[#This Row],[$ CAPITAL]]&gt;=0,FINANCIACION[[#This Row],[$ CAPITAL]]+FINANCIACION[[#This Row],[$ INTERESES]],0)</f>
        <v>460535</v>
      </c>
    </row>
    <row r="418" spans="1:11" ht="24" hidden="1" customHeight="1" x14ac:dyDescent="0.25">
      <c r="A418" s="177">
        <v>45230</v>
      </c>
      <c r="B418" s="184" t="s">
        <v>1450</v>
      </c>
      <c r="C418" s="179">
        <v>1468400</v>
      </c>
      <c r="D418" s="179">
        <v>164239</v>
      </c>
      <c r="E418" s="179">
        <f>+IF(FINANCIACION[[#This Row],[$ CAPITAL]]&gt;=0,FINANCIACION[[#This Row],[$ CAPITAL]]+FINANCIACION[[#This Row],[$ INTERESES]],"")</f>
        <v>1632639</v>
      </c>
      <c r="F418" s="179">
        <f>+SUMIFS(FINANCIACION[$ CAPITAL],FINANCIACION[Fecha],"&lt;="&amp;FINANCIACION[[#This Row],[Fecha]],FINANCIACION[PRESTAMO],FINANCIACION[[#This Row],[PRESTAMO]])</f>
        <v>-7342000</v>
      </c>
      <c r="G418" s="82"/>
      <c r="I418" s="185"/>
      <c r="J418" s="179">
        <f>+IF(FINANCIACION[[#This Row],[$ CAPITAL]]&gt;0,FINANCIACION[[#This Row],[$ CAPITAL]])</f>
        <v>1468400</v>
      </c>
      <c r="K418" s="186">
        <f>+IF(FINANCIACION[[#This Row],[$ CAPITAL]]&gt;=0,FINANCIACION[[#This Row],[$ CAPITAL]]+FINANCIACION[[#This Row],[$ INTERESES]],0)</f>
        <v>1632639</v>
      </c>
    </row>
    <row r="419" spans="1:11" ht="24" hidden="1" customHeight="1" x14ac:dyDescent="0.25">
      <c r="A419" s="177">
        <v>45237</v>
      </c>
      <c r="B419" s="184" t="s">
        <v>120</v>
      </c>
      <c r="C419" s="179">
        <v>-1228656</v>
      </c>
      <c r="D419" s="179"/>
      <c r="E419" s="179" t="str">
        <f>+IF(FINANCIACION[[#This Row],[$ CAPITAL]]&gt;=0,FINANCIACION[[#This Row],[$ CAPITAL]]+FINANCIACION[[#This Row],[$ INTERESES]],"")</f>
        <v/>
      </c>
      <c r="F419" s="179">
        <f>+SUMIFS(FINANCIACION[$ CAPITAL],FINANCIACION[Fecha],"&lt;="&amp;FINANCIACION[[#This Row],[Fecha]],FINANCIACION[PRESTAMO],FINANCIACION[[#This Row],[PRESTAMO]])</f>
        <v>0</v>
      </c>
      <c r="G419" s="179"/>
      <c r="H419" s="185" t="s">
        <v>133</v>
      </c>
      <c r="I419" s="185"/>
      <c r="J419" s="179" t="b">
        <f>+IF(FINANCIACION[[#This Row],[$ CAPITAL]]&gt;0,FINANCIACION[[#This Row],[$ CAPITAL]])</f>
        <v>0</v>
      </c>
      <c r="K419" s="186">
        <f>+IF(FINANCIACION[[#This Row],[$ CAPITAL]]&gt;=0,FINANCIACION[[#This Row],[$ CAPITAL]]+FINANCIACION[[#This Row],[$ INTERESES]],0)</f>
        <v>0</v>
      </c>
    </row>
    <row r="420" spans="1:11" ht="24" hidden="1" customHeight="1" x14ac:dyDescent="0.25">
      <c r="A420" s="177">
        <v>45260</v>
      </c>
      <c r="B420" s="184" t="s">
        <v>1450</v>
      </c>
      <c r="C420" s="179">
        <v>1468400</v>
      </c>
      <c r="D420" s="179">
        <v>134819</v>
      </c>
      <c r="E420" s="179">
        <f>+IF(FINANCIACION[[#This Row],[$ CAPITAL]]&gt;=0,FINANCIACION[[#This Row],[$ CAPITAL]]+FINANCIACION[[#This Row],[$ INTERESES]],"")</f>
        <v>1603219</v>
      </c>
      <c r="F420" s="179">
        <f>+SUMIFS(FINANCIACION[$ CAPITAL],FINANCIACION[Fecha],"&lt;="&amp;FINANCIACION[[#This Row],[Fecha]],FINANCIACION[PRESTAMO],FINANCIACION[[#This Row],[PRESTAMO]])</f>
        <v>-5873600</v>
      </c>
      <c r="G420" s="82"/>
      <c r="I420" s="185"/>
      <c r="J420" s="179">
        <f>+IF(FINANCIACION[[#This Row],[$ CAPITAL]]&gt;0,FINANCIACION[[#This Row],[$ CAPITAL]])</f>
        <v>1468400</v>
      </c>
      <c r="K420" s="186">
        <f>+IF(FINANCIACION[[#This Row],[$ CAPITAL]]&gt;=0,FINANCIACION[[#This Row],[$ CAPITAL]]+FINANCIACION[[#This Row],[$ INTERESES]],0)</f>
        <v>1603219</v>
      </c>
    </row>
    <row r="421" spans="1:11" ht="24" hidden="1" customHeight="1" x14ac:dyDescent="0.25">
      <c r="A421" s="177">
        <v>44966</v>
      </c>
      <c r="B421" s="184" t="s">
        <v>607</v>
      </c>
      <c r="C421" s="179">
        <v>-22673725</v>
      </c>
      <c r="D421" s="179"/>
      <c r="E421" s="179" t="str">
        <f>+IF(FINANCIACION[[#This Row],[$ CAPITAL]]&gt;=0,FINANCIACION[[#This Row],[$ CAPITAL]]+FINANCIACION[[#This Row],[$ INTERESES]],"")</f>
        <v/>
      </c>
      <c r="F421" s="179">
        <f>+SUMIFS(FINANCIACION[$ CAPITAL],FINANCIACION[Fecha],"&lt;="&amp;FINANCIACION[[#This Row],[Fecha]],FINANCIACION[PRESTAMO],FINANCIACION[[#This Row],[PRESTAMO]])</f>
        <v>-22673725</v>
      </c>
      <c r="G421" s="82"/>
      <c r="I421" s="185"/>
      <c r="J421" s="179" t="b">
        <f>+IF(FINANCIACION[[#This Row],[$ CAPITAL]]&gt;0,FINANCIACION[[#This Row],[$ CAPITAL]])</f>
        <v>0</v>
      </c>
      <c r="K421" s="186">
        <f>+IF(FINANCIACION[[#This Row],[$ CAPITAL]]&gt;=0,FINANCIACION[[#This Row],[$ CAPITAL]]+FINANCIACION[[#This Row],[$ INTERESES]],0)</f>
        <v>0</v>
      </c>
    </row>
    <row r="422" spans="1:11" ht="24" hidden="1" customHeight="1" x14ac:dyDescent="0.25">
      <c r="A422" s="177">
        <v>44994</v>
      </c>
      <c r="B422" s="184" t="s">
        <v>607</v>
      </c>
      <c r="C422" s="179">
        <v>1889478</v>
      </c>
      <c r="D422" s="179">
        <v>377197</v>
      </c>
      <c r="E422" s="179">
        <f>+IF(FINANCIACION[[#This Row],[$ CAPITAL]]&gt;=0,FINANCIACION[[#This Row],[$ CAPITAL]]+FINANCIACION[[#This Row],[$ INTERESES]],"")</f>
        <v>2266675</v>
      </c>
      <c r="F422" s="179">
        <f>+SUMIFS(FINANCIACION[$ CAPITAL],FINANCIACION[Fecha],"&lt;="&amp;FINANCIACION[[#This Row],[Fecha]],FINANCIACION[PRESTAMO],FINANCIACION[[#This Row],[PRESTAMO]])</f>
        <v>-20784247</v>
      </c>
      <c r="G422" s="82"/>
      <c r="I422" s="185"/>
      <c r="J422" s="179">
        <f>+IF(FINANCIACION[[#This Row],[$ CAPITAL]]&gt;0,FINANCIACION[[#This Row],[$ CAPITAL]])</f>
        <v>1889478</v>
      </c>
      <c r="K422" s="186">
        <f>+IF(FINANCIACION[[#This Row],[$ CAPITAL]]&gt;=0,FINANCIACION[[#This Row],[$ CAPITAL]]+FINANCIACION[[#This Row],[$ INTERESES]],0)</f>
        <v>2266675</v>
      </c>
    </row>
    <row r="423" spans="1:11" ht="24" hidden="1" customHeight="1" x14ac:dyDescent="0.25">
      <c r="A423" s="177">
        <v>45026</v>
      </c>
      <c r="B423" s="184" t="s">
        <v>607</v>
      </c>
      <c r="C423" s="179">
        <v>1889477</v>
      </c>
      <c r="D423" s="179">
        <v>384332</v>
      </c>
      <c r="E423" s="179">
        <f>+IF(FINANCIACION[[#This Row],[$ CAPITAL]]&gt;=0,FINANCIACION[[#This Row],[$ CAPITAL]]+FINANCIACION[[#This Row],[$ INTERESES]],"")</f>
        <v>2273809</v>
      </c>
      <c r="F423" s="179">
        <f>+SUMIFS(FINANCIACION[$ CAPITAL],FINANCIACION[Fecha],"&lt;="&amp;FINANCIACION[[#This Row],[Fecha]],FINANCIACION[PRESTAMO],FINANCIACION[[#This Row],[PRESTAMO]])</f>
        <v>-18894770</v>
      </c>
      <c r="G423" s="82"/>
      <c r="I423" s="185"/>
      <c r="J423" s="179">
        <f>+IF(FINANCIACION[[#This Row],[$ CAPITAL]]&gt;0,FINANCIACION[[#This Row],[$ CAPITAL]])</f>
        <v>1889477</v>
      </c>
      <c r="K423" s="186">
        <f>+IF(FINANCIACION[[#This Row],[$ CAPITAL]]&gt;=0,FINANCIACION[[#This Row],[$ CAPITAL]]+FINANCIACION[[#This Row],[$ INTERESES]],0)</f>
        <v>2273809</v>
      </c>
    </row>
    <row r="424" spans="1:11" ht="24" hidden="1" customHeight="1" x14ac:dyDescent="0.25">
      <c r="A424" s="177">
        <v>45055</v>
      </c>
      <c r="B424" s="184" t="s">
        <v>607</v>
      </c>
      <c r="C424" s="179">
        <v>1889477</v>
      </c>
      <c r="D424" s="179">
        <v>340074</v>
      </c>
      <c r="E424" s="179">
        <f>+IF(FINANCIACION[[#This Row],[$ CAPITAL]]&gt;=0,FINANCIACION[[#This Row],[$ CAPITAL]]+FINANCIACION[[#This Row],[$ INTERESES]],"")</f>
        <v>2229551</v>
      </c>
      <c r="F424" s="179">
        <f>+SUMIFS(FINANCIACION[$ CAPITAL],FINANCIACION[Fecha],"&lt;="&amp;FINANCIACION[[#This Row],[Fecha]],FINANCIACION[PRESTAMO],FINANCIACION[[#This Row],[PRESTAMO]])</f>
        <v>-17005293</v>
      </c>
      <c r="G424" s="82"/>
      <c r="I424" s="185"/>
      <c r="J424" s="179">
        <f>+IF(FINANCIACION[[#This Row],[$ CAPITAL]]&gt;0,FINANCIACION[[#This Row],[$ CAPITAL]])</f>
        <v>1889477</v>
      </c>
      <c r="K424" s="186">
        <f>+IF(FINANCIACION[[#This Row],[$ CAPITAL]]&gt;=0,FINANCIACION[[#This Row],[$ CAPITAL]]+FINANCIACION[[#This Row],[$ INTERESES]],0)</f>
        <v>2229551</v>
      </c>
    </row>
    <row r="425" spans="1:11" ht="24" hidden="1" customHeight="1" x14ac:dyDescent="0.25">
      <c r="A425" s="177">
        <v>45086</v>
      </c>
      <c r="B425" s="184" t="s">
        <v>607</v>
      </c>
      <c r="C425" s="179">
        <v>1889477</v>
      </c>
      <c r="D425" s="179">
        <v>319564</v>
      </c>
      <c r="E425" s="179">
        <f>+IF(FINANCIACION[[#This Row],[$ CAPITAL]]&gt;=0,FINANCIACION[[#This Row],[$ CAPITAL]]+FINANCIACION[[#This Row],[$ INTERESES]],"")</f>
        <v>2209041</v>
      </c>
      <c r="F425" s="179">
        <f>+SUMIFS(FINANCIACION[$ CAPITAL],FINANCIACION[Fecha],"&lt;="&amp;FINANCIACION[[#This Row],[Fecha]],FINANCIACION[PRESTAMO],FINANCIACION[[#This Row],[PRESTAMO]])</f>
        <v>-15115816</v>
      </c>
      <c r="G425" s="82"/>
      <c r="I425" s="185"/>
      <c r="J425" s="179">
        <f>+IF(FINANCIACION[[#This Row],[$ CAPITAL]]&gt;0,FINANCIACION[[#This Row],[$ CAPITAL]])</f>
        <v>1889477</v>
      </c>
      <c r="K425" s="186">
        <f>+IF(FINANCIACION[[#This Row],[$ CAPITAL]]&gt;=0,FINANCIACION[[#This Row],[$ CAPITAL]]+FINANCIACION[[#This Row],[$ INTERESES]],0)</f>
        <v>2209041</v>
      </c>
    </row>
    <row r="426" spans="1:11" ht="24" hidden="1" customHeight="1" x14ac:dyDescent="0.25">
      <c r="A426" s="177">
        <v>45117</v>
      </c>
      <c r="B426" s="184" t="s">
        <v>607</v>
      </c>
      <c r="C426" s="179">
        <v>1889477</v>
      </c>
      <c r="D426" s="179">
        <v>275070</v>
      </c>
      <c r="E426" s="179">
        <f>+IF(FINANCIACION[[#This Row],[$ CAPITAL]]&gt;=0,FINANCIACION[[#This Row],[$ CAPITAL]]+FINANCIACION[[#This Row],[$ INTERESES]],"")</f>
        <v>2164547</v>
      </c>
      <c r="F426" s="179">
        <f>+SUMIFS(FINANCIACION[$ CAPITAL],FINANCIACION[Fecha],"&lt;="&amp;FINANCIACION[[#This Row],[Fecha]],FINANCIACION[PRESTAMO],FINANCIACION[[#This Row],[PRESTAMO]])</f>
        <v>-13226339</v>
      </c>
      <c r="G426" s="82"/>
      <c r="I426" s="185"/>
      <c r="J426" s="179">
        <f>+IF(FINANCIACION[[#This Row],[$ CAPITAL]]&gt;0,FINANCIACION[[#This Row],[$ CAPITAL]])</f>
        <v>1889477</v>
      </c>
      <c r="K426" s="186">
        <f>+IF(FINANCIACION[[#This Row],[$ CAPITAL]]&gt;=0,FINANCIACION[[#This Row],[$ CAPITAL]]+FINANCIACION[[#This Row],[$ INTERESES]],0)</f>
        <v>2164547</v>
      </c>
    </row>
    <row r="427" spans="1:11" ht="24" hidden="1" customHeight="1" x14ac:dyDescent="0.25">
      <c r="A427" s="177">
        <v>45147</v>
      </c>
      <c r="B427" s="184" t="s">
        <v>607</v>
      </c>
      <c r="C427" s="179">
        <v>1889477</v>
      </c>
      <c r="D427" s="179">
        <v>275070</v>
      </c>
      <c r="E427" s="179">
        <f>+IF(FINANCIACION[[#This Row],[$ CAPITAL]]&gt;=0,FINANCIACION[[#This Row],[$ CAPITAL]]+FINANCIACION[[#This Row],[$ INTERESES]],"")</f>
        <v>2164547</v>
      </c>
      <c r="F427" s="179">
        <f>+SUMIFS(FINANCIACION[$ CAPITAL],FINANCIACION[Fecha],"&lt;="&amp;FINANCIACION[[#This Row],[Fecha]],FINANCIACION[PRESTAMO],FINANCIACION[[#This Row],[PRESTAMO]])</f>
        <v>-11336862</v>
      </c>
      <c r="G427" s="82"/>
      <c r="I427" s="185"/>
      <c r="J427" s="179">
        <f>+IF(FINANCIACION[[#This Row],[$ CAPITAL]]&gt;0,FINANCIACION[[#This Row],[$ CAPITAL]])</f>
        <v>1889477</v>
      </c>
      <c r="K427" s="186">
        <f>+IF(FINANCIACION[[#This Row],[$ CAPITAL]]&gt;=0,FINANCIACION[[#This Row],[$ CAPITAL]]+FINANCIACION[[#This Row],[$ INTERESES]],0)</f>
        <v>2164547</v>
      </c>
    </row>
    <row r="428" spans="1:11" ht="24" hidden="1" customHeight="1" x14ac:dyDescent="0.25">
      <c r="A428" s="177">
        <v>45178</v>
      </c>
      <c r="B428" s="184" t="s">
        <v>607</v>
      </c>
      <c r="C428" s="179">
        <v>1889477</v>
      </c>
      <c r="D428" s="179">
        <v>171736</v>
      </c>
      <c r="E428" s="179">
        <f>+IF(FINANCIACION[[#This Row],[$ CAPITAL]]&gt;=0,FINANCIACION[[#This Row],[$ CAPITAL]]+FINANCIACION[[#This Row],[$ INTERESES]],"")</f>
        <v>2061213</v>
      </c>
      <c r="F428" s="179">
        <f>+SUMIFS(FINANCIACION[$ CAPITAL],FINANCIACION[Fecha],"&lt;="&amp;FINANCIACION[[#This Row],[Fecha]],FINANCIACION[PRESTAMO],FINANCIACION[[#This Row],[PRESTAMO]])</f>
        <v>-9447385</v>
      </c>
      <c r="G428" s="82"/>
      <c r="I428" s="185"/>
      <c r="J428" s="179">
        <f>+IF(FINANCIACION[[#This Row],[$ CAPITAL]]&gt;0,FINANCIACION[[#This Row],[$ CAPITAL]])</f>
        <v>1889477</v>
      </c>
      <c r="K428" s="186">
        <f>+IF(FINANCIACION[[#This Row],[$ CAPITAL]]&gt;=0,FINANCIACION[[#This Row],[$ CAPITAL]]+FINANCIACION[[#This Row],[$ INTERESES]],0)</f>
        <v>2061213</v>
      </c>
    </row>
    <row r="429" spans="1:11" ht="24" hidden="1" customHeight="1" x14ac:dyDescent="0.25">
      <c r="A429" s="177">
        <v>45208</v>
      </c>
      <c r="B429" s="184" t="s">
        <v>607</v>
      </c>
      <c r="C429" s="179">
        <v>1889477</v>
      </c>
      <c r="D429" s="179">
        <v>171736</v>
      </c>
      <c r="E429" s="179">
        <f>+IF(FINANCIACION[[#This Row],[$ CAPITAL]]&gt;=0,FINANCIACION[[#This Row],[$ CAPITAL]]+FINANCIACION[[#This Row],[$ INTERESES]],"")</f>
        <v>2061213</v>
      </c>
      <c r="F429" s="179">
        <f>+SUMIFS(FINANCIACION[$ CAPITAL],FINANCIACION[Fecha],"&lt;="&amp;FINANCIACION[[#This Row],[Fecha]],FINANCIACION[PRESTAMO],FINANCIACION[[#This Row],[PRESTAMO]])</f>
        <v>-7557908</v>
      </c>
      <c r="G429" s="82"/>
      <c r="I429" s="185"/>
      <c r="J429" s="179">
        <f>+IF(FINANCIACION[[#This Row],[$ CAPITAL]]&gt;0,FINANCIACION[[#This Row],[$ CAPITAL]])</f>
        <v>1889477</v>
      </c>
      <c r="K429" s="186">
        <f>+IF(FINANCIACION[[#This Row],[$ CAPITAL]]&gt;=0,FINANCIACION[[#This Row],[$ CAPITAL]]+FINANCIACION[[#This Row],[$ INTERESES]],0)</f>
        <v>2061213</v>
      </c>
    </row>
    <row r="430" spans="1:11" ht="24" hidden="1" customHeight="1" x14ac:dyDescent="0.25">
      <c r="A430" s="177">
        <v>45239</v>
      </c>
      <c r="B430" s="184" t="s">
        <v>607</v>
      </c>
      <c r="C430" s="179">
        <v>1889477</v>
      </c>
      <c r="D430" s="179">
        <v>103156</v>
      </c>
      <c r="E430" s="179">
        <f>+IF(FINANCIACION[[#This Row],[$ CAPITAL]]&gt;=0,FINANCIACION[[#This Row],[$ CAPITAL]]+FINANCIACION[[#This Row],[$ INTERESES]],"")</f>
        <v>1992633</v>
      </c>
      <c r="F430" s="179">
        <f>+SUMIFS(FINANCIACION[$ CAPITAL],FINANCIACION[Fecha],"&lt;="&amp;FINANCIACION[[#This Row],[Fecha]],FINANCIACION[PRESTAMO],FINANCIACION[[#This Row],[PRESTAMO]])</f>
        <v>-5668431</v>
      </c>
      <c r="G430" s="82"/>
      <c r="I430" s="185"/>
      <c r="J430" s="179">
        <f>+IF(FINANCIACION[[#This Row],[$ CAPITAL]]&gt;0,FINANCIACION[[#This Row],[$ CAPITAL]])</f>
        <v>1889477</v>
      </c>
      <c r="K430" s="186">
        <f>+IF(FINANCIACION[[#This Row],[$ CAPITAL]]&gt;=0,FINANCIACION[[#This Row],[$ CAPITAL]]+FINANCIACION[[#This Row],[$ INTERESES]],0)</f>
        <v>1992633</v>
      </c>
    </row>
    <row r="431" spans="1:11" ht="24" hidden="1" customHeight="1" x14ac:dyDescent="0.25">
      <c r="A431" s="177">
        <v>45271</v>
      </c>
      <c r="B431" s="184" t="s">
        <v>607</v>
      </c>
      <c r="C431" s="179">
        <v>1889477</v>
      </c>
      <c r="D431" s="179">
        <v>103156</v>
      </c>
      <c r="E431" s="179">
        <f>+IF(FINANCIACION[[#This Row],[$ CAPITAL]]&gt;=0,FINANCIACION[[#This Row],[$ CAPITAL]]+FINANCIACION[[#This Row],[$ INTERESES]],"")</f>
        <v>1992633</v>
      </c>
      <c r="F431" s="179">
        <f>+SUMIFS(FINANCIACION[$ CAPITAL],FINANCIACION[Fecha],"&lt;="&amp;FINANCIACION[[#This Row],[Fecha]],FINANCIACION[PRESTAMO],FINANCIACION[[#This Row],[PRESTAMO]])</f>
        <v>-3778954</v>
      </c>
      <c r="G431" s="82"/>
      <c r="I431" s="185"/>
      <c r="J431" s="179">
        <f>+IF(FINANCIACION[[#This Row],[$ CAPITAL]]&gt;0,FINANCIACION[[#This Row],[$ CAPITAL]])</f>
        <v>1889477</v>
      </c>
      <c r="K431" s="186">
        <f>+IF(FINANCIACION[[#This Row],[$ CAPITAL]]&gt;=0,FINANCIACION[[#This Row],[$ CAPITAL]]+FINANCIACION[[#This Row],[$ INTERESES]],0)</f>
        <v>1992633</v>
      </c>
    </row>
    <row r="432" spans="1:11" ht="24" hidden="1" customHeight="1" x14ac:dyDescent="0.25">
      <c r="A432" s="177">
        <v>45316</v>
      </c>
      <c r="B432" s="184" t="s">
        <v>341</v>
      </c>
      <c r="C432" s="179"/>
      <c r="D432" s="179">
        <v>1400000</v>
      </c>
      <c r="E432" s="179">
        <f>+IF(FINANCIACION[[#This Row],[$ CAPITAL]]&gt;=0,FINANCIACION[[#This Row],[$ CAPITAL]]+FINANCIACION[[#This Row],[$ INTERESES]],"")</f>
        <v>1400000</v>
      </c>
      <c r="F432" s="179">
        <f>+SUMIFS(FINANCIACION[$ CAPITAL],FINANCIACION[Fecha],"&lt;="&amp;FINANCIACION[[#This Row],[Fecha]],FINANCIACION[PRESTAMO],FINANCIACION[[#This Row],[PRESTAMO]])</f>
        <v>-140000000</v>
      </c>
      <c r="G432" s="179"/>
      <c r="I432" s="185"/>
      <c r="J432" s="179" t="b">
        <f>+IF(FINANCIACION[[#This Row],[$ CAPITAL]]&gt;0,FINANCIACION[[#This Row],[$ CAPITAL]])</f>
        <v>0</v>
      </c>
      <c r="K432" s="186">
        <f>+IF(FINANCIACION[[#This Row],[$ CAPITAL]]&gt;=0,FINANCIACION[[#This Row],[$ CAPITAL]]+FINANCIACION[[#This Row],[$ INTERESES]],0)</f>
        <v>1400000</v>
      </c>
    </row>
    <row r="433" spans="1:11" ht="24" hidden="1" customHeight="1" x14ac:dyDescent="0.25">
      <c r="A433" s="177">
        <v>44930</v>
      </c>
      <c r="B433" s="184" t="s">
        <v>121</v>
      </c>
      <c r="C433" s="179"/>
      <c r="D433" s="179">
        <v>61060</v>
      </c>
      <c r="E433" s="179">
        <f>+IF(FINANCIACION[[#This Row],[$ CAPITAL]]&gt;=0,FINANCIACION[[#This Row],[$ CAPITAL]]+FINANCIACION[[#This Row],[$ INTERESES]],"")</f>
        <v>61060</v>
      </c>
      <c r="F433" s="179">
        <f>+SUMIFS(FINANCIACION[$ CAPITAL],FINANCIACION[Fecha],"&lt;="&amp;FINANCIACION[[#This Row],[Fecha]],FINANCIACION[PRESTAMO],FINANCIACION[[#This Row],[PRESTAMO]])</f>
        <v>0</v>
      </c>
      <c r="G433" s="179"/>
      <c r="I433" s="185"/>
      <c r="J433" s="179" t="b">
        <f>+IF(FINANCIACION[[#This Row],[$ CAPITAL]]&gt;0,FINANCIACION[[#This Row],[$ CAPITAL]])</f>
        <v>0</v>
      </c>
      <c r="K433" s="186">
        <f>+IF(FINANCIACION[[#This Row],[$ CAPITAL]]&gt;=0,FINANCIACION[[#This Row],[$ CAPITAL]]+FINANCIACION[[#This Row],[$ INTERESES]],0)</f>
        <v>61060</v>
      </c>
    </row>
    <row r="434" spans="1:11" ht="24" hidden="1" customHeight="1" x14ac:dyDescent="0.25">
      <c r="A434" s="177">
        <v>44931</v>
      </c>
      <c r="B434" s="184" t="s">
        <v>121</v>
      </c>
      <c r="C434" s="179"/>
      <c r="D434" s="179">
        <v>665872</v>
      </c>
      <c r="E434" s="179">
        <f>+IF(FINANCIACION[[#This Row],[$ CAPITAL]]&gt;=0,FINANCIACION[[#This Row],[$ CAPITAL]]+FINANCIACION[[#This Row],[$ INTERESES]],"")</f>
        <v>665872</v>
      </c>
      <c r="F434" s="179">
        <f>+SUMIFS(FINANCIACION[$ CAPITAL],FINANCIACION[Fecha],"&lt;="&amp;FINANCIACION[[#This Row],[Fecha]],FINANCIACION[PRESTAMO],FINANCIACION[[#This Row],[PRESTAMO]])</f>
        <v>0</v>
      </c>
      <c r="G434" s="179"/>
      <c r="I434" s="185"/>
      <c r="J434" s="179" t="b">
        <f>+IF(FINANCIACION[[#This Row],[$ CAPITAL]]&gt;0,FINANCIACION[[#This Row],[$ CAPITAL]])</f>
        <v>0</v>
      </c>
      <c r="K434" s="186">
        <f>+IF(FINANCIACION[[#This Row],[$ CAPITAL]]&gt;=0,FINANCIACION[[#This Row],[$ CAPITAL]]+FINANCIACION[[#This Row],[$ INTERESES]],0)</f>
        <v>665872</v>
      </c>
    </row>
    <row r="435" spans="1:11" ht="24" hidden="1" customHeight="1" x14ac:dyDescent="0.25">
      <c r="A435" s="177">
        <v>44936</v>
      </c>
      <c r="B435" s="184" t="s">
        <v>121</v>
      </c>
      <c r="C435" s="179"/>
      <c r="D435" s="179">
        <v>41283</v>
      </c>
      <c r="E435" s="179">
        <f>+IF(FINANCIACION[[#This Row],[$ CAPITAL]]&gt;=0,FINANCIACION[[#This Row],[$ CAPITAL]]+FINANCIACION[[#This Row],[$ INTERESES]],"")</f>
        <v>41283</v>
      </c>
      <c r="F435" s="179">
        <f>+SUMIFS(FINANCIACION[$ CAPITAL],FINANCIACION[Fecha],"&lt;="&amp;FINANCIACION[[#This Row],[Fecha]],FINANCIACION[PRESTAMO],FINANCIACION[[#This Row],[PRESTAMO]])</f>
        <v>0</v>
      </c>
      <c r="G435" s="179"/>
      <c r="I435" s="185"/>
      <c r="J435" s="179" t="b">
        <f>+IF(FINANCIACION[[#This Row],[$ CAPITAL]]&gt;0,FINANCIACION[[#This Row],[$ CAPITAL]])</f>
        <v>0</v>
      </c>
      <c r="K435" s="186">
        <f>+IF(FINANCIACION[[#This Row],[$ CAPITAL]]&gt;=0,FINANCIACION[[#This Row],[$ CAPITAL]]+FINANCIACION[[#This Row],[$ INTERESES]],0)</f>
        <v>41283</v>
      </c>
    </row>
    <row r="436" spans="1:11" ht="24" hidden="1" customHeight="1" x14ac:dyDescent="0.25">
      <c r="A436" s="177">
        <v>44963</v>
      </c>
      <c r="B436" s="184" t="s">
        <v>121</v>
      </c>
      <c r="C436" s="179"/>
      <c r="D436" s="179">
        <v>641575</v>
      </c>
      <c r="E436" s="179">
        <f>+IF(FINANCIACION[[#This Row],[$ CAPITAL]]&gt;=0,FINANCIACION[[#This Row],[$ CAPITAL]]+FINANCIACION[[#This Row],[$ INTERESES]],"")</f>
        <v>641575</v>
      </c>
      <c r="F436" s="179">
        <f>+SUMIFS(FINANCIACION[$ CAPITAL],FINANCIACION[Fecha],"&lt;="&amp;FINANCIACION[[#This Row],[Fecha]],FINANCIACION[PRESTAMO],FINANCIACION[[#This Row],[PRESTAMO]])</f>
        <v>0</v>
      </c>
      <c r="G436" s="179"/>
      <c r="I436" s="185"/>
      <c r="J436" s="179" t="b">
        <f>+IF(FINANCIACION[[#This Row],[$ CAPITAL]]&gt;0,FINANCIACION[[#This Row],[$ CAPITAL]])</f>
        <v>0</v>
      </c>
      <c r="K436" s="186">
        <f>+IF(FINANCIACION[[#This Row],[$ CAPITAL]]&gt;=0,FINANCIACION[[#This Row],[$ CAPITAL]]+FINANCIACION[[#This Row],[$ INTERESES]],0)</f>
        <v>641575</v>
      </c>
    </row>
    <row r="437" spans="1:11" ht="24" hidden="1" customHeight="1" x14ac:dyDescent="0.25">
      <c r="A437" s="177">
        <v>44965</v>
      </c>
      <c r="B437" s="184" t="s">
        <v>121</v>
      </c>
      <c r="C437" s="179"/>
      <c r="D437" s="179">
        <v>318176</v>
      </c>
      <c r="E437" s="179">
        <f>+IF(FINANCIACION[[#This Row],[$ CAPITAL]]&gt;=0,FINANCIACION[[#This Row],[$ CAPITAL]]+FINANCIACION[[#This Row],[$ INTERESES]],"")</f>
        <v>318176</v>
      </c>
      <c r="F437" s="179">
        <f>+SUMIFS(FINANCIACION[$ CAPITAL],FINANCIACION[Fecha],"&lt;="&amp;FINANCIACION[[#This Row],[Fecha]],FINANCIACION[PRESTAMO],FINANCIACION[[#This Row],[PRESTAMO]])</f>
        <v>0</v>
      </c>
      <c r="G437" s="179"/>
      <c r="I437" s="185"/>
      <c r="J437" s="179" t="b">
        <f>+IF(FINANCIACION[[#This Row],[$ CAPITAL]]&gt;0,FINANCIACION[[#This Row],[$ CAPITAL]])</f>
        <v>0</v>
      </c>
      <c r="K437" s="186">
        <f>+IF(FINANCIACION[[#This Row],[$ CAPITAL]]&gt;=0,FINANCIACION[[#This Row],[$ CAPITAL]]+FINANCIACION[[#This Row],[$ INTERESES]],0)</f>
        <v>318176</v>
      </c>
    </row>
    <row r="438" spans="1:11" ht="24" hidden="1" customHeight="1" x14ac:dyDescent="0.25">
      <c r="A438" s="177">
        <v>44967</v>
      </c>
      <c r="B438" s="184" t="s">
        <v>121</v>
      </c>
      <c r="C438" s="179"/>
      <c r="D438" s="179">
        <v>20700</v>
      </c>
      <c r="E438" s="179">
        <f>+IF(FINANCIACION[[#This Row],[$ CAPITAL]]&gt;=0,FINANCIACION[[#This Row],[$ CAPITAL]]+FINANCIACION[[#This Row],[$ INTERESES]],"")</f>
        <v>20700</v>
      </c>
      <c r="F438" s="179">
        <f>+SUMIFS(FINANCIACION[$ CAPITAL],FINANCIACION[Fecha],"&lt;="&amp;FINANCIACION[[#This Row],[Fecha]],FINANCIACION[PRESTAMO],FINANCIACION[[#This Row],[PRESTAMO]])</f>
        <v>0</v>
      </c>
      <c r="G438" s="179"/>
      <c r="I438" s="185"/>
      <c r="J438" s="179" t="b">
        <f>+IF(FINANCIACION[[#This Row],[$ CAPITAL]]&gt;0,FINANCIACION[[#This Row],[$ CAPITAL]])</f>
        <v>0</v>
      </c>
      <c r="K438" s="186">
        <f>+IF(FINANCIACION[[#This Row],[$ CAPITAL]]&gt;=0,FINANCIACION[[#This Row],[$ CAPITAL]]+FINANCIACION[[#This Row],[$ INTERESES]],0)</f>
        <v>20700</v>
      </c>
    </row>
    <row r="439" spans="1:11" ht="24" hidden="1" customHeight="1" x14ac:dyDescent="0.25">
      <c r="A439" s="177">
        <v>44971</v>
      </c>
      <c r="B439" s="184" t="s">
        <v>121</v>
      </c>
      <c r="C439" s="179"/>
      <c r="D439" s="179">
        <v>847788</v>
      </c>
      <c r="E439" s="179">
        <f>+IF(FINANCIACION[[#This Row],[$ CAPITAL]]&gt;=0,FINANCIACION[[#This Row],[$ CAPITAL]]+FINANCIACION[[#This Row],[$ INTERESES]],"")</f>
        <v>847788</v>
      </c>
      <c r="F439" s="179">
        <f>+SUMIFS(FINANCIACION[$ CAPITAL],FINANCIACION[Fecha],"&lt;="&amp;FINANCIACION[[#This Row],[Fecha]],FINANCIACION[PRESTAMO],FINANCIACION[[#This Row],[PRESTAMO]])</f>
        <v>0</v>
      </c>
      <c r="G439" s="179"/>
      <c r="I439" s="185"/>
      <c r="J439" s="179" t="b">
        <f>+IF(FINANCIACION[[#This Row],[$ CAPITAL]]&gt;0,FINANCIACION[[#This Row],[$ CAPITAL]])</f>
        <v>0</v>
      </c>
      <c r="K439" s="186">
        <f>+IF(FINANCIACION[[#This Row],[$ CAPITAL]]&gt;=0,FINANCIACION[[#This Row],[$ CAPITAL]]+FINANCIACION[[#This Row],[$ INTERESES]],0)</f>
        <v>847788</v>
      </c>
    </row>
    <row r="440" spans="1:11" ht="24" hidden="1" customHeight="1" x14ac:dyDescent="0.25">
      <c r="A440" s="177">
        <v>44991</v>
      </c>
      <c r="B440" s="184" t="s">
        <v>121</v>
      </c>
      <c r="C440" s="179"/>
      <c r="D440" s="179">
        <v>315490</v>
      </c>
      <c r="E440" s="179">
        <f>+IF(FINANCIACION[[#This Row],[$ CAPITAL]]&gt;=0,FINANCIACION[[#This Row],[$ CAPITAL]]+FINANCIACION[[#This Row],[$ INTERESES]],"")</f>
        <v>315490</v>
      </c>
      <c r="F440" s="179">
        <f>+SUMIFS(FINANCIACION[$ CAPITAL],FINANCIACION[Fecha],"&lt;="&amp;FINANCIACION[[#This Row],[Fecha]],FINANCIACION[PRESTAMO],FINANCIACION[[#This Row],[PRESTAMO]])</f>
        <v>0</v>
      </c>
      <c r="G440" s="179"/>
      <c r="I440" s="185"/>
      <c r="J440" s="179" t="b">
        <f>+IF(FINANCIACION[[#This Row],[$ CAPITAL]]&gt;0,FINANCIACION[[#This Row],[$ CAPITAL]])</f>
        <v>0</v>
      </c>
      <c r="K440" s="186">
        <f>+IF(FINANCIACION[[#This Row],[$ CAPITAL]]&gt;=0,FINANCIACION[[#This Row],[$ CAPITAL]]+FINANCIACION[[#This Row],[$ INTERESES]],0)</f>
        <v>315490</v>
      </c>
    </row>
    <row r="441" spans="1:11" ht="24" hidden="1" customHeight="1" x14ac:dyDescent="0.25">
      <c r="A441" s="177">
        <v>44999</v>
      </c>
      <c r="B441" s="184" t="s">
        <v>121</v>
      </c>
      <c r="C441" s="179"/>
      <c r="D441" s="179">
        <v>764020</v>
      </c>
      <c r="E441" s="179">
        <f>+IF(FINANCIACION[[#This Row],[$ CAPITAL]]&gt;=0,FINANCIACION[[#This Row],[$ CAPITAL]]+FINANCIACION[[#This Row],[$ INTERESES]],"")</f>
        <v>764020</v>
      </c>
      <c r="F441" s="179">
        <f>+SUMIFS(FINANCIACION[$ CAPITAL],FINANCIACION[Fecha],"&lt;="&amp;FINANCIACION[[#This Row],[Fecha]],FINANCIACION[PRESTAMO],FINANCIACION[[#This Row],[PRESTAMO]])</f>
        <v>0</v>
      </c>
      <c r="G441" s="179"/>
      <c r="I441" s="185"/>
      <c r="J441" s="179" t="b">
        <f>+IF(FINANCIACION[[#This Row],[$ CAPITAL]]&gt;0,FINANCIACION[[#This Row],[$ CAPITAL]])</f>
        <v>0</v>
      </c>
      <c r="K441" s="186">
        <f>+IF(FINANCIACION[[#This Row],[$ CAPITAL]]&gt;=0,FINANCIACION[[#This Row],[$ CAPITAL]]+FINANCIACION[[#This Row],[$ INTERESES]],0)</f>
        <v>764020</v>
      </c>
    </row>
    <row r="442" spans="1:11" ht="24" hidden="1" customHeight="1" x14ac:dyDescent="0.25">
      <c r="A442" s="177">
        <v>45000</v>
      </c>
      <c r="B442" s="184" t="s">
        <v>121</v>
      </c>
      <c r="C442" s="179"/>
      <c r="D442" s="179">
        <v>528019</v>
      </c>
      <c r="E442" s="179">
        <f>+IF(FINANCIACION[[#This Row],[$ CAPITAL]]&gt;=0,FINANCIACION[[#This Row],[$ CAPITAL]]+FINANCIACION[[#This Row],[$ INTERESES]],"")</f>
        <v>528019</v>
      </c>
      <c r="F442" s="179">
        <f>+SUMIFS(FINANCIACION[$ CAPITAL],FINANCIACION[Fecha],"&lt;="&amp;FINANCIACION[[#This Row],[Fecha]],FINANCIACION[PRESTAMO],FINANCIACION[[#This Row],[PRESTAMO]])</f>
        <v>0</v>
      </c>
      <c r="G442" s="179"/>
      <c r="I442" s="185"/>
      <c r="J442" s="179" t="b">
        <f>+IF(FINANCIACION[[#This Row],[$ CAPITAL]]&gt;0,FINANCIACION[[#This Row],[$ CAPITAL]])</f>
        <v>0</v>
      </c>
      <c r="K442" s="186">
        <f>+IF(FINANCIACION[[#This Row],[$ CAPITAL]]&gt;=0,FINANCIACION[[#This Row],[$ CAPITAL]]+FINANCIACION[[#This Row],[$ INTERESES]],0)</f>
        <v>528019</v>
      </c>
    </row>
    <row r="443" spans="1:11" ht="24" hidden="1" customHeight="1" x14ac:dyDescent="0.25">
      <c r="A443" s="177">
        <v>45021</v>
      </c>
      <c r="B443" s="184" t="s">
        <v>121</v>
      </c>
      <c r="C443" s="179"/>
      <c r="D443" s="179">
        <v>412995</v>
      </c>
      <c r="E443" s="179">
        <f>+IF(FINANCIACION[[#This Row],[$ CAPITAL]]&gt;=0,FINANCIACION[[#This Row],[$ CAPITAL]]+FINANCIACION[[#This Row],[$ INTERESES]],"")</f>
        <v>412995</v>
      </c>
      <c r="F443" s="179">
        <f>+SUMIFS(FINANCIACION[$ CAPITAL],FINANCIACION[Fecha],"&lt;="&amp;FINANCIACION[[#This Row],[Fecha]],FINANCIACION[PRESTAMO],FINANCIACION[[#This Row],[PRESTAMO]])</f>
        <v>0</v>
      </c>
      <c r="G443" s="179"/>
      <c r="I443" s="185"/>
      <c r="J443" s="179" t="b">
        <f>+IF(FINANCIACION[[#This Row],[$ CAPITAL]]&gt;0,FINANCIACION[[#This Row],[$ CAPITAL]])</f>
        <v>0</v>
      </c>
      <c r="K443" s="186">
        <f>+IF(FINANCIACION[[#This Row],[$ CAPITAL]]&gt;=0,FINANCIACION[[#This Row],[$ CAPITAL]]+FINANCIACION[[#This Row],[$ INTERESES]],0)</f>
        <v>412995</v>
      </c>
    </row>
    <row r="444" spans="1:11" ht="24" hidden="1" customHeight="1" x14ac:dyDescent="0.25">
      <c r="A444" s="177">
        <v>45028</v>
      </c>
      <c r="B444" s="184" t="s">
        <v>121</v>
      </c>
      <c r="C444" s="179"/>
      <c r="D444" s="179">
        <v>823676</v>
      </c>
      <c r="E444" s="179">
        <f>+IF(FINANCIACION[[#This Row],[$ CAPITAL]]&gt;=0,FINANCIACION[[#This Row],[$ CAPITAL]]+FINANCIACION[[#This Row],[$ INTERESES]],"")</f>
        <v>823676</v>
      </c>
      <c r="F444" s="179">
        <f>+SUMIFS(FINANCIACION[$ CAPITAL],FINANCIACION[Fecha],"&lt;="&amp;FINANCIACION[[#This Row],[Fecha]],FINANCIACION[PRESTAMO],FINANCIACION[[#This Row],[PRESTAMO]])</f>
        <v>0</v>
      </c>
      <c r="G444" s="179"/>
      <c r="I444" s="185"/>
      <c r="J444" s="179" t="b">
        <f>+IF(FINANCIACION[[#This Row],[$ CAPITAL]]&gt;0,FINANCIACION[[#This Row],[$ CAPITAL]])</f>
        <v>0</v>
      </c>
      <c r="K444" s="186">
        <f>+IF(FINANCIACION[[#This Row],[$ CAPITAL]]&gt;=0,FINANCIACION[[#This Row],[$ CAPITAL]]+FINANCIACION[[#This Row],[$ INTERESES]],0)</f>
        <v>823676</v>
      </c>
    </row>
    <row r="445" spans="1:11" ht="24" hidden="1" customHeight="1" x14ac:dyDescent="0.25">
      <c r="A445" s="177">
        <v>45033</v>
      </c>
      <c r="B445" s="184" t="s">
        <v>121</v>
      </c>
      <c r="C445" s="179"/>
      <c r="D445" s="179">
        <v>554707</v>
      </c>
      <c r="E445" s="179">
        <f>+IF(FINANCIACION[[#This Row],[$ CAPITAL]]&gt;=0,FINANCIACION[[#This Row],[$ CAPITAL]]+FINANCIACION[[#This Row],[$ INTERESES]],"")</f>
        <v>554707</v>
      </c>
      <c r="F445" s="179">
        <f>+SUMIFS(FINANCIACION[$ CAPITAL],FINANCIACION[Fecha],"&lt;="&amp;FINANCIACION[[#This Row],[Fecha]],FINANCIACION[PRESTAMO],FINANCIACION[[#This Row],[PRESTAMO]])</f>
        <v>0</v>
      </c>
      <c r="G445" s="179"/>
      <c r="I445" s="185"/>
      <c r="J445" s="179" t="b">
        <f>+IF(FINANCIACION[[#This Row],[$ CAPITAL]]&gt;0,FINANCIACION[[#This Row],[$ CAPITAL]])</f>
        <v>0</v>
      </c>
      <c r="K445" s="186">
        <f>+IF(FINANCIACION[[#This Row],[$ CAPITAL]]&gt;=0,FINANCIACION[[#This Row],[$ CAPITAL]]+FINANCIACION[[#This Row],[$ INTERESES]],0)</f>
        <v>554707</v>
      </c>
    </row>
    <row r="446" spans="1:11" ht="24" hidden="1" customHeight="1" x14ac:dyDescent="0.25">
      <c r="A446" s="177">
        <v>45051</v>
      </c>
      <c r="B446" s="184" t="s">
        <v>121</v>
      </c>
      <c r="C446" s="179"/>
      <c r="D446" s="179">
        <v>406397</v>
      </c>
      <c r="E446" s="179">
        <f>+IF(FINANCIACION[[#This Row],[$ CAPITAL]]&gt;=0,FINANCIACION[[#This Row],[$ CAPITAL]]+FINANCIACION[[#This Row],[$ INTERESES]],"")</f>
        <v>406397</v>
      </c>
      <c r="F446" s="179">
        <f>+SUMIFS(FINANCIACION[$ CAPITAL],FINANCIACION[Fecha],"&lt;="&amp;FINANCIACION[[#This Row],[Fecha]],FINANCIACION[PRESTAMO],FINANCIACION[[#This Row],[PRESTAMO]])</f>
        <v>0</v>
      </c>
      <c r="G446" s="179"/>
      <c r="I446" s="185"/>
      <c r="J446" s="179" t="b">
        <f>+IF(FINANCIACION[[#This Row],[$ CAPITAL]]&gt;0,FINANCIACION[[#This Row],[$ CAPITAL]])</f>
        <v>0</v>
      </c>
      <c r="K446" s="186">
        <f>+IF(FINANCIACION[[#This Row],[$ CAPITAL]]&gt;=0,FINANCIACION[[#This Row],[$ CAPITAL]]+FINANCIACION[[#This Row],[$ INTERESES]],0)</f>
        <v>406397</v>
      </c>
    </row>
    <row r="447" spans="1:11" ht="24" hidden="1" customHeight="1" x14ac:dyDescent="0.25">
      <c r="A447" s="177">
        <v>45058</v>
      </c>
      <c r="B447" s="184" t="s">
        <v>121</v>
      </c>
      <c r="C447" s="179"/>
      <c r="D447" s="179">
        <v>813575</v>
      </c>
      <c r="E447" s="179">
        <f>+IF(FINANCIACION[[#This Row],[$ CAPITAL]]&gt;=0,FINANCIACION[[#This Row],[$ CAPITAL]]+FINANCIACION[[#This Row],[$ INTERESES]],"")</f>
        <v>813575</v>
      </c>
      <c r="F447" s="179">
        <f>+SUMIFS(FINANCIACION[$ CAPITAL],FINANCIACION[Fecha],"&lt;="&amp;FINANCIACION[[#This Row],[Fecha]],FINANCIACION[PRESTAMO],FINANCIACION[[#This Row],[PRESTAMO]])</f>
        <v>0</v>
      </c>
      <c r="G447" s="179"/>
      <c r="I447" s="185"/>
      <c r="J447" s="179" t="b">
        <f>+IF(FINANCIACION[[#This Row],[$ CAPITAL]]&gt;0,FINANCIACION[[#This Row],[$ CAPITAL]])</f>
        <v>0</v>
      </c>
      <c r="K447" s="186">
        <f>+IF(FINANCIACION[[#This Row],[$ CAPITAL]]&gt;=0,FINANCIACION[[#This Row],[$ CAPITAL]]+FINANCIACION[[#This Row],[$ INTERESES]],0)</f>
        <v>813575</v>
      </c>
    </row>
    <row r="448" spans="1:11" ht="24" hidden="1" customHeight="1" x14ac:dyDescent="0.25">
      <c r="A448" s="177">
        <v>45061</v>
      </c>
      <c r="B448" s="184" t="s">
        <v>121</v>
      </c>
      <c r="C448" s="179"/>
      <c r="D448" s="179">
        <v>560695</v>
      </c>
      <c r="E448" s="179">
        <f>+IF(FINANCIACION[[#This Row],[$ CAPITAL]]&gt;=0,FINANCIACION[[#This Row],[$ CAPITAL]]+FINANCIACION[[#This Row],[$ INTERESES]],"")</f>
        <v>560695</v>
      </c>
      <c r="F448" s="179">
        <f>+SUMIFS(FINANCIACION[$ CAPITAL],FINANCIACION[Fecha],"&lt;="&amp;FINANCIACION[[#This Row],[Fecha]],FINANCIACION[PRESTAMO],FINANCIACION[[#This Row],[PRESTAMO]])</f>
        <v>0</v>
      </c>
      <c r="G448" s="179"/>
      <c r="I448" s="185"/>
      <c r="J448" s="179" t="b">
        <f>+IF(FINANCIACION[[#This Row],[$ CAPITAL]]&gt;0,FINANCIACION[[#This Row],[$ CAPITAL]])</f>
        <v>0</v>
      </c>
      <c r="K448" s="186">
        <f>+IF(FINANCIACION[[#This Row],[$ CAPITAL]]&gt;=0,FINANCIACION[[#This Row],[$ CAPITAL]]+FINANCIACION[[#This Row],[$ INTERESES]],0)</f>
        <v>560695</v>
      </c>
    </row>
    <row r="449" spans="1:11" ht="24" hidden="1" customHeight="1" x14ac:dyDescent="0.25">
      <c r="A449" s="177">
        <v>45082</v>
      </c>
      <c r="B449" s="184" t="s">
        <v>121</v>
      </c>
      <c r="C449" s="179"/>
      <c r="D449" s="179">
        <v>403608</v>
      </c>
      <c r="E449" s="179">
        <f>+IF(FINANCIACION[[#This Row],[$ CAPITAL]]&gt;=0,FINANCIACION[[#This Row],[$ CAPITAL]]+FINANCIACION[[#This Row],[$ INTERESES]],"")</f>
        <v>403608</v>
      </c>
      <c r="F449" s="179">
        <f>+SUMIFS(FINANCIACION[$ CAPITAL],FINANCIACION[Fecha],"&lt;="&amp;FINANCIACION[[#This Row],[Fecha]],FINANCIACION[PRESTAMO],FINANCIACION[[#This Row],[PRESTAMO]])</f>
        <v>0</v>
      </c>
      <c r="G449" s="179"/>
      <c r="I449" s="185"/>
      <c r="J449" s="179" t="b">
        <f>+IF(FINANCIACION[[#This Row],[$ CAPITAL]]&gt;0,FINANCIACION[[#This Row],[$ CAPITAL]])</f>
        <v>0</v>
      </c>
      <c r="K449" s="186">
        <f>+IF(FINANCIACION[[#This Row],[$ CAPITAL]]&gt;=0,FINANCIACION[[#This Row],[$ CAPITAL]]+FINANCIACION[[#This Row],[$ INTERESES]],0)</f>
        <v>403608</v>
      </c>
    </row>
    <row r="450" spans="1:11" ht="24" hidden="1" customHeight="1" x14ac:dyDescent="0.25">
      <c r="A450" s="177">
        <v>45090</v>
      </c>
      <c r="B450" s="184" t="s">
        <v>121</v>
      </c>
      <c r="C450" s="179"/>
      <c r="D450" s="179">
        <v>774923</v>
      </c>
      <c r="E450" s="179">
        <f>+IF(FINANCIACION[[#This Row],[$ CAPITAL]]&gt;=0,FINANCIACION[[#This Row],[$ CAPITAL]]+FINANCIACION[[#This Row],[$ INTERESES]],"")</f>
        <v>774923</v>
      </c>
      <c r="F450" s="179">
        <f>+SUMIFS(FINANCIACION[$ CAPITAL],FINANCIACION[Fecha],"&lt;="&amp;FINANCIACION[[#This Row],[Fecha]],FINANCIACION[PRESTAMO],FINANCIACION[[#This Row],[PRESTAMO]])</f>
        <v>0</v>
      </c>
      <c r="G450" s="179"/>
      <c r="I450" s="185"/>
      <c r="J450" s="179" t="b">
        <f>+IF(FINANCIACION[[#This Row],[$ CAPITAL]]&gt;0,FINANCIACION[[#This Row],[$ CAPITAL]])</f>
        <v>0</v>
      </c>
      <c r="K450" s="186">
        <f>+IF(FINANCIACION[[#This Row],[$ CAPITAL]]&gt;=0,FINANCIACION[[#This Row],[$ CAPITAL]]+FINANCIACION[[#This Row],[$ INTERESES]],0)</f>
        <v>774923</v>
      </c>
    </row>
    <row r="451" spans="1:11" ht="24" hidden="1" customHeight="1" x14ac:dyDescent="0.25">
      <c r="A451" s="177">
        <v>45092</v>
      </c>
      <c r="B451" s="184" t="s">
        <v>121</v>
      </c>
      <c r="C451" s="179"/>
      <c r="D451" s="179">
        <v>538600</v>
      </c>
      <c r="E451" s="179">
        <f>+IF(FINANCIACION[[#This Row],[$ CAPITAL]]&gt;=0,FINANCIACION[[#This Row],[$ CAPITAL]]+FINANCIACION[[#This Row],[$ INTERESES]],"")</f>
        <v>538600</v>
      </c>
      <c r="F451" s="179">
        <f>+SUMIFS(FINANCIACION[$ CAPITAL],FINANCIACION[Fecha],"&lt;="&amp;FINANCIACION[[#This Row],[Fecha]],FINANCIACION[PRESTAMO],FINANCIACION[[#This Row],[PRESTAMO]])</f>
        <v>0</v>
      </c>
      <c r="G451" s="179"/>
      <c r="I451" s="185"/>
      <c r="J451" s="179" t="b">
        <f>+IF(FINANCIACION[[#This Row],[$ CAPITAL]]&gt;0,FINANCIACION[[#This Row],[$ CAPITAL]])</f>
        <v>0</v>
      </c>
      <c r="K451" s="186">
        <f>+IF(FINANCIACION[[#This Row],[$ CAPITAL]]&gt;=0,FINANCIACION[[#This Row],[$ CAPITAL]]+FINANCIACION[[#This Row],[$ INTERESES]],0)</f>
        <v>538600</v>
      </c>
    </row>
    <row r="452" spans="1:11" ht="24" hidden="1" customHeight="1" x14ac:dyDescent="0.25">
      <c r="A452" s="177">
        <v>45112</v>
      </c>
      <c r="B452" s="184" t="s">
        <v>121</v>
      </c>
      <c r="C452" s="179"/>
      <c r="D452" s="179">
        <v>377695</v>
      </c>
      <c r="E452" s="179">
        <f>+IF(FINANCIACION[[#This Row],[$ CAPITAL]]&gt;=0,FINANCIACION[[#This Row],[$ CAPITAL]]+FINANCIACION[[#This Row],[$ INTERESES]],"")</f>
        <v>377695</v>
      </c>
      <c r="F452" s="179">
        <f>+SUMIFS(FINANCIACION[$ CAPITAL],FINANCIACION[Fecha],"&lt;="&amp;FINANCIACION[[#This Row],[Fecha]],FINANCIACION[PRESTAMO],FINANCIACION[[#This Row],[PRESTAMO]])</f>
        <v>0</v>
      </c>
      <c r="G452" s="179"/>
      <c r="I452" s="185"/>
      <c r="J452" s="179" t="b">
        <f>+IF(FINANCIACION[[#This Row],[$ CAPITAL]]&gt;0,FINANCIACION[[#This Row],[$ CAPITAL]])</f>
        <v>0</v>
      </c>
      <c r="K452" s="186">
        <f>+IF(FINANCIACION[[#This Row],[$ CAPITAL]]&gt;=0,FINANCIACION[[#This Row],[$ CAPITAL]]+FINANCIACION[[#This Row],[$ INTERESES]],0)</f>
        <v>377695</v>
      </c>
    </row>
    <row r="453" spans="1:11" ht="24" hidden="1" customHeight="1" x14ac:dyDescent="0.25">
      <c r="A453" s="177">
        <v>45119</v>
      </c>
      <c r="B453" s="184" t="s">
        <v>121</v>
      </c>
      <c r="C453" s="179"/>
      <c r="D453" s="179">
        <v>759501</v>
      </c>
      <c r="E453" s="179">
        <f>+IF(FINANCIACION[[#This Row],[$ CAPITAL]]&gt;=0,FINANCIACION[[#This Row],[$ CAPITAL]]+FINANCIACION[[#This Row],[$ INTERESES]],"")</f>
        <v>759501</v>
      </c>
      <c r="F453" s="179">
        <f>+SUMIFS(FINANCIACION[$ CAPITAL],FINANCIACION[Fecha],"&lt;="&amp;FINANCIACION[[#This Row],[Fecha]],FINANCIACION[PRESTAMO],FINANCIACION[[#This Row],[PRESTAMO]])</f>
        <v>0</v>
      </c>
      <c r="G453" s="179"/>
      <c r="I453" s="185"/>
      <c r="J453" s="179" t="b">
        <f>+IF(FINANCIACION[[#This Row],[$ CAPITAL]]&gt;0,FINANCIACION[[#This Row],[$ CAPITAL]])</f>
        <v>0</v>
      </c>
      <c r="K453" s="186">
        <f>+IF(FINANCIACION[[#This Row],[$ CAPITAL]]&gt;=0,FINANCIACION[[#This Row],[$ CAPITAL]]+FINANCIACION[[#This Row],[$ INTERESES]],0)</f>
        <v>759501</v>
      </c>
    </row>
    <row r="454" spans="1:11" ht="24" hidden="1" customHeight="1" x14ac:dyDescent="0.25">
      <c r="A454" s="177">
        <v>45124</v>
      </c>
      <c r="B454" s="184" t="s">
        <v>121</v>
      </c>
      <c r="C454" s="179"/>
      <c r="D454" s="179">
        <v>510671</v>
      </c>
      <c r="E454" s="179">
        <f>+IF(FINANCIACION[[#This Row],[$ CAPITAL]]&gt;=0,FINANCIACION[[#This Row],[$ CAPITAL]]+FINANCIACION[[#This Row],[$ INTERESES]],"")</f>
        <v>510671</v>
      </c>
      <c r="F454" s="179">
        <f>+SUMIFS(FINANCIACION[$ CAPITAL],FINANCIACION[Fecha],"&lt;="&amp;FINANCIACION[[#This Row],[Fecha]],FINANCIACION[PRESTAMO],FINANCIACION[[#This Row],[PRESTAMO]])</f>
        <v>0</v>
      </c>
      <c r="G454" s="179"/>
      <c r="I454" s="185"/>
      <c r="J454" s="179" t="b">
        <f>+IF(FINANCIACION[[#This Row],[$ CAPITAL]]&gt;0,FINANCIACION[[#This Row],[$ CAPITAL]])</f>
        <v>0</v>
      </c>
      <c r="K454" s="186">
        <f>+IF(FINANCIACION[[#This Row],[$ CAPITAL]]&gt;=0,FINANCIACION[[#This Row],[$ CAPITAL]]+FINANCIACION[[#This Row],[$ INTERESES]],0)</f>
        <v>510671</v>
      </c>
    </row>
    <row r="455" spans="1:11" ht="24" hidden="1" customHeight="1" x14ac:dyDescent="0.25">
      <c r="A455" s="177">
        <v>45146</v>
      </c>
      <c r="B455" s="184" t="s">
        <v>121</v>
      </c>
      <c r="C455" s="179"/>
      <c r="D455" s="179">
        <v>380835</v>
      </c>
      <c r="E455" s="179">
        <f>+IF(FINANCIACION[[#This Row],[$ CAPITAL]]&gt;=0,FINANCIACION[[#This Row],[$ CAPITAL]]+FINANCIACION[[#This Row],[$ INTERESES]],"")</f>
        <v>380835</v>
      </c>
      <c r="F455" s="179">
        <f>+SUMIFS(FINANCIACION[$ CAPITAL],FINANCIACION[Fecha],"&lt;="&amp;FINANCIACION[[#This Row],[Fecha]],FINANCIACION[PRESTAMO],FINANCIACION[[#This Row],[PRESTAMO]])</f>
        <v>0</v>
      </c>
      <c r="G455" s="179"/>
      <c r="I455" s="185"/>
      <c r="J455" s="179" t="b">
        <f>+IF(FINANCIACION[[#This Row],[$ CAPITAL]]&gt;0,FINANCIACION[[#This Row],[$ CAPITAL]])</f>
        <v>0</v>
      </c>
      <c r="K455" s="186">
        <f>+IF(FINANCIACION[[#This Row],[$ CAPITAL]]&gt;=0,FINANCIACION[[#This Row],[$ CAPITAL]]+FINANCIACION[[#This Row],[$ INTERESES]],0)</f>
        <v>380835</v>
      </c>
    </row>
    <row r="456" spans="1:11" ht="24" hidden="1" customHeight="1" x14ac:dyDescent="0.25">
      <c r="A456" s="177">
        <v>45152</v>
      </c>
      <c r="B456" s="184" t="s">
        <v>121</v>
      </c>
      <c r="C456" s="179"/>
      <c r="D456" s="179">
        <v>747438</v>
      </c>
      <c r="E456" s="179">
        <f>+IF(FINANCIACION[[#This Row],[$ CAPITAL]]&gt;=0,FINANCIACION[[#This Row],[$ CAPITAL]]+FINANCIACION[[#This Row],[$ INTERESES]],"")</f>
        <v>747438</v>
      </c>
      <c r="F456" s="179">
        <f>+SUMIFS(FINANCIACION[$ CAPITAL],FINANCIACION[Fecha],"&lt;="&amp;FINANCIACION[[#This Row],[Fecha]],FINANCIACION[PRESTAMO],FINANCIACION[[#This Row],[PRESTAMO]])</f>
        <v>0</v>
      </c>
      <c r="G456" s="179"/>
      <c r="I456" s="185"/>
      <c r="J456" s="179" t="b">
        <f>+IF(FINANCIACION[[#This Row],[$ CAPITAL]]&gt;0,FINANCIACION[[#This Row],[$ CAPITAL]])</f>
        <v>0</v>
      </c>
      <c r="K456" s="186">
        <f>+IF(FINANCIACION[[#This Row],[$ CAPITAL]]&gt;=0,FINANCIACION[[#This Row],[$ CAPITAL]]+FINANCIACION[[#This Row],[$ INTERESES]],0)</f>
        <v>747438</v>
      </c>
    </row>
    <row r="457" spans="1:11" ht="24" hidden="1" customHeight="1" x14ac:dyDescent="0.25">
      <c r="A457" s="177">
        <v>45153</v>
      </c>
      <c r="B457" s="184" t="s">
        <v>121</v>
      </c>
      <c r="C457" s="179"/>
      <c r="D457" s="179">
        <v>525989</v>
      </c>
      <c r="E457" s="179">
        <f>+IF(FINANCIACION[[#This Row],[$ CAPITAL]]&gt;=0,FINANCIACION[[#This Row],[$ CAPITAL]]+FINANCIACION[[#This Row],[$ INTERESES]],"")</f>
        <v>525989</v>
      </c>
      <c r="F457" s="179">
        <f>+SUMIFS(FINANCIACION[$ CAPITAL],FINANCIACION[Fecha],"&lt;="&amp;FINANCIACION[[#This Row],[Fecha]],FINANCIACION[PRESTAMO],FINANCIACION[[#This Row],[PRESTAMO]])</f>
        <v>0</v>
      </c>
      <c r="G457" s="179"/>
      <c r="I457" s="185"/>
      <c r="J457" s="179" t="b">
        <f>+IF(FINANCIACION[[#This Row],[$ CAPITAL]]&gt;0,FINANCIACION[[#This Row],[$ CAPITAL]])</f>
        <v>0</v>
      </c>
      <c r="K457" s="186">
        <f>+IF(FINANCIACION[[#This Row],[$ CAPITAL]]&gt;=0,FINANCIACION[[#This Row],[$ CAPITAL]]+FINANCIACION[[#This Row],[$ INTERESES]],0)</f>
        <v>525989</v>
      </c>
    </row>
    <row r="458" spans="1:11" ht="24" hidden="1" customHeight="1" x14ac:dyDescent="0.25">
      <c r="A458" s="177">
        <v>45174</v>
      </c>
      <c r="B458" s="184" t="s">
        <v>121</v>
      </c>
      <c r="C458" s="179"/>
      <c r="D458" s="179">
        <v>384840</v>
      </c>
      <c r="E458" s="179">
        <f>+IF(FINANCIACION[[#This Row],[$ CAPITAL]]&gt;=0,FINANCIACION[[#This Row],[$ CAPITAL]]+FINANCIACION[[#This Row],[$ INTERESES]],"")</f>
        <v>384840</v>
      </c>
      <c r="F458" s="179">
        <f>+SUMIFS(FINANCIACION[$ CAPITAL],FINANCIACION[Fecha],"&lt;="&amp;FINANCIACION[[#This Row],[Fecha]],FINANCIACION[PRESTAMO],FINANCIACION[[#This Row],[PRESTAMO]])</f>
        <v>0</v>
      </c>
      <c r="G458" s="179"/>
      <c r="I458" s="185"/>
      <c r="J458" s="179" t="b">
        <f>+IF(FINANCIACION[[#This Row],[$ CAPITAL]]&gt;0,FINANCIACION[[#This Row],[$ CAPITAL]])</f>
        <v>0</v>
      </c>
      <c r="K458" s="186">
        <f>+IF(FINANCIACION[[#This Row],[$ CAPITAL]]&gt;=0,FINANCIACION[[#This Row],[$ CAPITAL]]+FINANCIACION[[#This Row],[$ INTERESES]],0)</f>
        <v>384840</v>
      </c>
    </row>
    <row r="459" spans="1:11" ht="24" hidden="1" customHeight="1" x14ac:dyDescent="0.25">
      <c r="A459" s="177">
        <v>45181</v>
      </c>
      <c r="B459" s="184" t="s">
        <v>121</v>
      </c>
      <c r="C459" s="179"/>
      <c r="D459" s="179">
        <v>759250</v>
      </c>
      <c r="E459" s="179">
        <f>+IF(FINANCIACION[[#This Row],[$ CAPITAL]]&gt;=0,FINANCIACION[[#This Row],[$ CAPITAL]]+FINANCIACION[[#This Row],[$ INTERESES]],"")</f>
        <v>759250</v>
      </c>
      <c r="F459" s="179">
        <f>+SUMIFS(FINANCIACION[$ CAPITAL],FINANCIACION[Fecha],"&lt;="&amp;FINANCIACION[[#This Row],[Fecha]],FINANCIACION[PRESTAMO],FINANCIACION[[#This Row],[PRESTAMO]])</f>
        <v>0</v>
      </c>
      <c r="G459" s="179"/>
      <c r="I459" s="185"/>
      <c r="J459" s="179" t="b">
        <f>+IF(FINANCIACION[[#This Row],[$ CAPITAL]]&gt;0,FINANCIACION[[#This Row],[$ CAPITAL]])</f>
        <v>0</v>
      </c>
      <c r="K459" s="186">
        <f>+IF(FINANCIACION[[#This Row],[$ CAPITAL]]&gt;=0,FINANCIACION[[#This Row],[$ CAPITAL]]+FINANCIACION[[#This Row],[$ INTERESES]],0)</f>
        <v>759250</v>
      </c>
    </row>
    <row r="460" spans="1:11" ht="24" hidden="1" customHeight="1" x14ac:dyDescent="0.25">
      <c r="A460" s="177">
        <v>45184</v>
      </c>
      <c r="B460" s="184" t="s">
        <v>121</v>
      </c>
      <c r="C460" s="179"/>
      <c r="D460" s="179">
        <v>515993</v>
      </c>
      <c r="E460" s="179">
        <f>+IF(FINANCIACION[[#This Row],[$ CAPITAL]]&gt;=0,FINANCIACION[[#This Row],[$ CAPITAL]]+FINANCIACION[[#This Row],[$ INTERESES]],"")</f>
        <v>515993</v>
      </c>
      <c r="F460" s="179">
        <f>+SUMIFS(FINANCIACION[$ CAPITAL],FINANCIACION[Fecha],"&lt;="&amp;FINANCIACION[[#This Row],[Fecha]],FINANCIACION[PRESTAMO],FINANCIACION[[#This Row],[PRESTAMO]])</f>
        <v>0</v>
      </c>
      <c r="G460" s="179"/>
      <c r="I460" s="185"/>
      <c r="J460" s="179" t="b">
        <f>+IF(FINANCIACION[[#This Row],[$ CAPITAL]]&gt;0,FINANCIACION[[#This Row],[$ CAPITAL]])</f>
        <v>0</v>
      </c>
      <c r="K460" s="186">
        <f>+IF(FINANCIACION[[#This Row],[$ CAPITAL]]&gt;=0,FINANCIACION[[#This Row],[$ CAPITAL]]+FINANCIACION[[#This Row],[$ INTERESES]],0)</f>
        <v>515993</v>
      </c>
    </row>
    <row r="461" spans="1:11" ht="24" hidden="1" customHeight="1" x14ac:dyDescent="0.25">
      <c r="A461" s="177">
        <v>45198</v>
      </c>
      <c r="B461" s="184" t="s">
        <v>121</v>
      </c>
      <c r="C461" s="179"/>
      <c r="D461" s="179">
        <v>299839</v>
      </c>
      <c r="E461" s="179">
        <f>+IF(FINANCIACION[[#This Row],[$ CAPITAL]]&gt;=0,FINANCIACION[[#This Row],[$ CAPITAL]]+FINANCIACION[[#This Row],[$ INTERESES]],"")</f>
        <v>299839</v>
      </c>
      <c r="F461" s="179">
        <f>+SUMIFS(FINANCIACION[$ CAPITAL],FINANCIACION[Fecha],"&lt;="&amp;FINANCIACION[[#This Row],[Fecha]],FINANCIACION[PRESTAMO],FINANCIACION[[#This Row],[PRESTAMO]])</f>
        <v>0</v>
      </c>
      <c r="G461" s="179"/>
      <c r="H461" s="185" t="s">
        <v>1114</v>
      </c>
      <c r="I461" s="185"/>
      <c r="J461" s="179" t="b">
        <f>+IF(FINANCIACION[[#This Row],[$ CAPITAL]]&gt;0,FINANCIACION[[#This Row],[$ CAPITAL]])</f>
        <v>0</v>
      </c>
      <c r="K461" s="186">
        <f>+IF(FINANCIACION[[#This Row],[$ CAPITAL]]&gt;=0,FINANCIACION[[#This Row],[$ CAPITAL]]+FINANCIACION[[#This Row],[$ INTERESES]],0)</f>
        <v>299839</v>
      </c>
    </row>
    <row r="462" spans="1:11" ht="24" hidden="1" customHeight="1" x14ac:dyDescent="0.25">
      <c r="A462" s="177">
        <v>45212</v>
      </c>
      <c r="B462" s="184" t="s">
        <v>121</v>
      </c>
      <c r="C462" s="179"/>
      <c r="D462" s="179">
        <v>779151</v>
      </c>
      <c r="E462" s="179">
        <f>+IF(FINANCIACION[[#This Row],[$ CAPITAL]]&gt;=0,FINANCIACION[[#This Row],[$ CAPITAL]]+FINANCIACION[[#This Row],[$ INTERESES]],"")</f>
        <v>779151</v>
      </c>
      <c r="F462" s="179">
        <f>+SUMIFS(FINANCIACION[$ CAPITAL],FINANCIACION[Fecha],"&lt;="&amp;FINANCIACION[[#This Row],[Fecha]],FINANCIACION[PRESTAMO],FINANCIACION[[#This Row],[PRESTAMO]])</f>
        <v>0</v>
      </c>
      <c r="G462" s="179"/>
      <c r="I462" s="185"/>
      <c r="J462" s="179" t="b">
        <f>+IF(FINANCIACION[[#This Row],[$ CAPITAL]]&gt;0,FINANCIACION[[#This Row],[$ CAPITAL]])</f>
        <v>0</v>
      </c>
      <c r="K462" s="186">
        <f>+IF(FINANCIACION[[#This Row],[$ CAPITAL]]&gt;=0,FINANCIACION[[#This Row],[$ CAPITAL]]+FINANCIACION[[#This Row],[$ INTERESES]],0)</f>
        <v>779151</v>
      </c>
    </row>
    <row r="463" spans="1:11" ht="24" hidden="1" customHeight="1" x14ac:dyDescent="0.25">
      <c r="A463" s="177">
        <v>45216</v>
      </c>
      <c r="B463" s="184" t="s">
        <v>121</v>
      </c>
      <c r="C463" s="179"/>
      <c r="D463" s="179">
        <v>540897</v>
      </c>
      <c r="E463" s="179">
        <f>+IF(FINANCIACION[[#This Row],[$ CAPITAL]]&gt;=0,FINANCIACION[[#This Row],[$ CAPITAL]]+FINANCIACION[[#This Row],[$ INTERESES]],"")</f>
        <v>540897</v>
      </c>
      <c r="F463" s="179">
        <f>+SUMIFS(FINANCIACION[$ CAPITAL],FINANCIACION[Fecha],"&lt;="&amp;FINANCIACION[[#This Row],[Fecha]],FINANCIACION[PRESTAMO],FINANCIACION[[#This Row],[PRESTAMO]])</f>
        <v>0</v>
      </c>
      <c r="G463" s="179"/>
      <c r="I463" s="185"/>
      <c r="J463" s="179" t="b">
        <f>+IF(FINANCIACION[[#This Row],[$ CAPITAL]]&gt;0,FINANCIACION[[#This Row],[$ CAPITAL]])</f>
        <v>0</v>
      </c>
      <c r="K463" s="186">
        <f>+IF(FINANCIACION[[#This Row],[$ CAPITAL]]&gt;=0,FINANCIACION[[#This Row],[$ CAPITAL]]+FINANCIACION[[#This Row],[$ INTERESES]],0)</f>
        <v>540897</v>
      </c>
    </row>
    <row r="464" spans="1:11" ht="24" hidden="1" customHeight="1" x14ac:dyDescent="0.25">
      <c r="A464" s="177">
        <v>45244</v>
      </c>
      <c r="B464" s="184" t="s">
        <v>121</v>
      </c>
      <c r="C464" s="179"/>
      <c r="D464" s="179">
        <v>768358</v>
      </c>
      <c r="E464" s="179">
        <f>+IF(FINANCIACION[[#This Row],[$ CAPITAL]]&gt;=0,FINANCIACION[[#This Row],[$ CAPITAL]]+FINANCIACION[[#This Row],[$ INTERESES]],"")</f>
        <v>768358</v>
      </c>
      <c r="F464" s="179">
        <f>+SUMIFS(FINANCIACION[$ CAPITAL],FINANCIACION[Fecha],"&lt;="&amp;FINANCIACION[[#This Row],[Fecha]],FINANCIACION[PRESTAMO],FINANCIACION[[#This Row],[PRESTAMO]])</f>
        <v>0</v>
      </c>
      <c r="G464" s="179"/>
      <c r="I464" s="185"/>
      <c r="J464" s="179" t="b">
        <f>+IF(FINANCIACION[[#This Row],[$ CAPITAL]]&gt;0,FINANCIACION[[#This Row],[$ CAPITAL]])</f>
        <v>0</v>
      </c>
      <c r="K464" s="186">
        <f>+IF(FINANCIACION[[#This Row],[$ CAPITAL]]&gt;=0,FINANCIACION[[#This Row],[$ CAPITAL]]+FINANCIACION[[#This Row],[$ INTERESES]],0)</f>
        <v>768358</v>
      </c>
    </row>
    <row r="465" spans="1:11" ht="24" hidden="1" customHeight="1" x14ac:dyDescent="0.25">
      <c r="A465" s="177">
        <v>45245</v>
      </c>
      <c r="B465" s="184" t="s">
        <v>121</v>
      </c>
      <c r="C465" s="179"/>
      <c r="D465" s="179">
        <v>521764</v>
      </c>
      <c r="E465" s="179">
        <f>+IF(FINANCIACION[[#This Row],[$ CAPITAL]]&gt;=0,FINANCIACION[[#This Row],[$ CAPITAL]]+FINANCIACION[[#This Row],[$ INTERESES]],"")</f>
        <v>521764</v>
      </c>
      <c r="F465" s="179">
        <f>+SUMIFS(FINANCIACION[$ CAPITAL],FINANCIACION[Fecha],"&lt;="&amp;FINANCIACION[[#This Row],[Fecha]],FINANCIACION[PRESTAMO],FINANCIACION[[#This Row],[PRESTAMO]])</f>
        <v>0</v>
      </c>
      <c r="G465" s="179"/>
      <c r="I465" s="185"/>
      <c r="J465" s="179" t="b">
        <f>+IF(FINANCIACION[[#This Row],[$ CAPITAL]]&gt;0,FINANCIACION[[#This Row],[$ CAPITAL]])</f>
        <v>0</v>
      </c>
      <c r="K465" s="186">
        <f>+IF(FINANCIACION[[#This Row],[$ CAPITAL]]&gt;=0,FINANCIACION[[#This Row],[$ CAPITAL]]+FINANCIACION[[#This Row],[$ INTERESES]],0)</f>
        <v>521764</v>
      </c>
    </row>
    <row r="466" spans="1:11" ht="24" hidden="1" customHeight="1" x14ac:dyDescent="0.25">
      <c r="A466" s="177">
        <v>45272</v>
      </c>
      <c r="B466" s="184" t="s">
        <v>121</v>
      </c>
      <c r="C466" s="179"/>
      <c r="D466" s="179">
        <v>732740</v>
      </c>
      <c r="E466" s="179">
        <f>+IF(FINANCIACION[[#This Row],[$ CAPITAL]]&gt;=0,FINANCIACION[[#This Row],[$ CAPITAL]]+FINANCIACION[[#This Row],[$ INTERESES]],"")</f>
        <v>732740</v>
      </c>
      <c r="F466" s="179">
        <f>+SUMIFS(FINANCIACION[$ CAPITAL],FINANCIACION[Fecha],"&lt;="&amp;FINANCIACION[[#This Row],[Fecha]],FINANCIACION[PRESTAMO],FINANCIACION[[#This Row],[PRESTAMO]])</f>
        <v>0</v>
      </c>
      <c r="G466" s="179"/>
      <c r="I466" s="185"/>
      <c r="J466" s="179" t="b">
        <f>+IF(FINANCIACION[[#This Row],[$ CAPITAL]]&gt;0,FINANCIACION[[#This Row],[$ CAPITAL]])</f>
        <v>0</v>
      </c>
      <c r="K466" s="186">
        <f>+IF(FINANCIACION[[#This Row],[$ CAPITAL]]&gt;=0,FINANCIACION[[#This Row],[$ CAPITAL]]+FINANCIACION[[#This Row],[$ INTERESES]],0)</f>
        <v>732740</v>
      </c>
    </row>
    <row r="467" spans="1:11" ht="24" hidden="1" customHeight="1" x14ac:dyDescent="0.25">
      <c r="A467" s="177">
        <v>45275</v>
      </c>
      <c r="B467" s="184" t="s">
        <v>121</v>
      </c>
      <c r="C467" s="179"/>
      <c r="D467" s="179">
        <v>503741</v>
      </c>
      <c r="E467" s="179">
        <f>+IF(FINANCIACION[[#This Row],[$ CAPITAL]]&gt;=0,FINANCIACION[[#This Row],[$ CAPITAL]]+FINANCIACION[[#This Row],[$ INTERESES]],"")</f>
        <v>503741</v>
      </c>
      <c r="F467" s="179">
        <f>+SUMIFS(FINANCIACION[$ CAPITAL],FINANCIACION[Fecha],"&lt;="&amp;FINANCIACION[[#This Row],[Fecha]],FINANCIACION[PRESTAMO],FINANCIACION[[#This Row],[PRESTAMO]])</f>
        <v>0</v>
      </c>
      <c r="G467" s="179"/>
      <c r="I467" s="185"/>
      <c r="J467" s="179" t="b">
        <f>+IF(FINANCIACION[[#This Row],[$ CAPITAL]]&gt;0,FINANCIACION[[#This Row],[$ CAPITAL]])</f>
        <v>0</v>
      </c>
      <c r="K467" s="186">
        <f>+IF(FINANCIACION[[#This Row],[$ CAPITAL]]&gt;=0,FINANCIACION[[#This Row],[$ CAPITAL]]+FINANCIACION[[#This Row],[$ INTERESES]],0)</f>
        <v>503741</v>
      </c>
    </row>
    <row r="468" spans="1:11" ht="24" hidden="1" customHeight="1" x14ac:dyDescent="0.25">
      <c r="A468" s="177">
        <v>45286</v>
      </c>
      <c r="B468" s="184" t="s">
        <v>121</v>
      </c>
      <c r="C468" s="179"/>
      <c r="D468" s="179">
        <v>183163</v>
      </c>
      <c r="E468" s="179">
        <f>+IF(FINANCIACION[[#This Row],[$ CAPITAL]]&gt;=0,FINANCIACION[[#This Row],[$ CAPITAL]]+FINANCIACION[[#This Row],[$ INTERESES]],"")</f>
        <v>183163</v>
      </c>
      <c r="F468" s="179">
        <f>+SUMIFS(FINANCIACION[$ CAPITAL],FINANCIACION[Fecha],"&lt;="&amp;FINANCIACION[[#This Row],[Fecha]],FINANCIACION[PRESTAMO],FINANCIACION[[#This Row],[PRESTAMO]])</f>
        <v>0</v>
      </c>
      <c r="G468" s="179"/>
      <c r="I468" s="185"/>
      <c r="J468" s="179" t="b">
        <f>+IF(FINANCIACION[[#This Row],[$ CAPITAL]]&gt;0,FINANCIACION[[#This Row],[$ CAPITAL]])</f>
        <v>0</v>
      </c>
      <c r="K468" s="186">
        <f>+IF(FINANCIACION[[#This Row],[$ CAPITAL]]&gt;=0,FINANCIACION[[#This Row],[$ CAPITAL]]+FINANCIACION[[#This Row],[$ INTERESES]],0)</f>
        <v>183163</v>
      </c>
    </row>
    <row r="469" spans="1:11" ht="24" hidden="1" customHeight="1" x14ac:dyDescent="0.25">
      <c r="A469" s="177">
        <v>44938</v>
      </c>
      <c r="B469" s="184" t="s">
        <v>507</v>
      </c>
      <c r="C469" s="179">
        <v>-94165500</v>
      </c>
      <c r="D469" s="179"/>
      <c r="E469" s="179" t="str">
        <f>+IF(FINANCIACION[[#This Row],[$ CAPITAL]]&gt;=0,FINANCIACION[[#This Row],[$ CAPITAL]]+FINANCIACION[[#This Row],[$ INTERESES]],"")</f>
        <v/>
      </c>
      <c r="F469" s="179">
        <f>+SUMIFS(FINANCIACION[$ CAPITAL],FINANCIACION[Fecha],"&lt;="&amp;FINANCIACION[[#This Row],[Fecha]],FINANCIACION[PRESTAMO],FINANCIACION[[#This Row],[PRESTAMO]])</f>
        <v>-94165500</v>
      </c>
      <c r="G469" s="179"/>
      <c r="H469" s="185" t="s">
        <v>508</v>
      </c>
      <c r="I469" s="185">
        <v>19500</v>
      </c>
      <c r="J469" s="179" t="b">
        <f>+IF(FINANCIACION[[#This Row],[$ CAPITAL]]&gt;0,FINANCIACION[[#This Row],[$ CAPITAL]])</f>
        <v>0</v>
      </c>
      <c r="K469" s="186">
        <f>+IF(FINANCIACION[[#This Row],[$ CAPITAL]]&gt;=0,FINANCIACION[[#This Row],[$ CAPITAL]]+FINANCIACION[[#This Row],[$ INTERESES]],0)</f>
        <v>0</v>
      </c>
    </row>
    <row r="470" spans="1:11" ht="24" hidden="1" customHeight="1" x14ac:dyDescent="0.25">
      <c r="A470" s="177">
        <v>44957</v>
      </c>
      <c r="B470" s="184" t="s">
        <v>507</v>
      </c>
      <c r="C470" s="179">
        <v>2905000</v>
      </c>
      <c r="D470" s="179"/>
      <c r="E470" s="179">
        <f>+IF(FINANCIACION[[#This Row],[$ CAPITAL]]&gt;=0,FINANCIACION[[#This Row],[$ CAPITAL]]+FINANCIACION[[#This Row],[$ INTERESES]],"")</f>
        <v>2905000</v>
      </c>
      <c r="F470" s="179">
        <f>+SUMIFS(FINANCIACION[$ CAPITAL],FINANCIACION[Fecha],"&lt;="&amp;FINANCIACION[[#This Row],[Fecha]],FINANCIACION[PRESTAMO],FINANCIACION[[#This Row],[PRESTAMO]])</f>
        <v>-91260500</v>
      </c>
      <c r="G470" s="179"/>
      <c r="I470" s="185"/>
      <c r="J470" s="179">
        <f>+IF(FINANCIACION[[#This Row],[$ CAPITAL]]&gt;0,FINANCIACION[[#This Row],[$ CAPITAL]])</f>
        <v>2905000</v>
      </c>
      <c r="K470" s="186">
        <f>+IF(FINANCIACION[[#This Row],[$ CAPITAL]]&gt;=0,FINANCIACION[[#This Row],[$ CAPITAL]]+FINANCIACION[[#This Row],[$ INTERESES]],0)</f>
        <v>2905000</v>
      </c>
    </row>
    <row r="471" spans="1:11" ht="24" hidden="1" customHeight="1" x14ac:dyDescent="0.25">
      <c r="A471" s="177">
        <v>44985</v>
      </c>
      <c r="B471" s="184" t="s">
        <v>507</v>
      </c>
      <c r="C471" s="179">
        <v>-3899500</v>
      </c>
      <c r="D471" s="179"/>
      <c r="E471" s="179" t="str">
        <f>+IF(FINANCIACION[[#This Row],[$ CAPITAL]]&gt;=0,FINANCIACION[[#This Row],[$ CAPITAL]]+FINANCIACION[[#This Row],[$ INTERESES]],"")</f>
        <v/>
      </c>
      <c r="F471" s="179">
        <f>+SUMIFS(FINANCIACION[$ CAPITAL],FINANCIACION[Fecha],"&lt;="&amp;FINANCIACION[[#This Row],[Fecha]],FINANCIACION[PRESTAMO],FINANCIACION[[#This Row],[PRESTAMO]])</f>
        <v>-95160000</v>
      </c>
      <c r="G471" s="179"/>
      <c r="I471" s="185"/>
      <c r="J471" s="179" t="b">
        <f>+IF(FINANCIACION[[#This Row],[$ CAPITAL]]&gt;0,FINANCIACION[[#This Row],[$ CAPITAL]])</f>
        <v>0</v>
      </c>
      <c r="K471" s="186">
        <f>+IF(FINANCIACION[[#This Row],[$ CAPITAL]]&gt;=0,FINANCIACION[[#This Row],[$ CAPITAL]]+FINANCIACION[[#This Row],[$ INTERESES]],0)</f>
        <v>0</v>
      </c>
    </row>
    <row r="472" spans="1:11" ht="24" hidden="1" customHeight="1" x14ac:dyDescent="0.25">
      <c r="A472" s="177">
        <v>45016</v>
      </c>
      <c r="B472" s="184" t="s">
        <v>507</v>
      </c>
      <c r="C472" s="179">
        <v>3510000</v>
      </c>
      <c r="D472" s="179"/>
      <c r="E472" s="179">
        <f>+IF(FINANCIACION[[#This Row],[$ CAPITAL]]&gt;=0,FINANCIACION[[#This Row],[$ CAPITAL]]+FINANCIACION[[#This Row],[$ INTERESES]],"")</f>
        <v>3510000</v>
      </c>
      <c r="F472" s="179">
        <f>+SUMIFS(FINANCIACION[$ CAPITAL],FINANCIACION[Fecha],"&lt;="&amp;FINANCIACION[[#This Row],[Fecha]],FINANCIACION[PRESTAMO],FINANCIACION[[#This Row],[PRESTAMO]])</f>
        <v>-91650000</v>
      </c>
      <c r="G472" s="179"/>
      <c r="I472" s="185"/>
      <c r="J472" s="179">
        <f>+IF(FINANCIACION[[#This Row],[$ CAPITAL]]&gt;0,FINANCIACION[[#This Row],[$ CAPITAL]])</f>
        <v>3510000</v>
      </c>
      <c r="K472" s="186">
        <f>+IF(FINANCIACION[[#This Row],[$ CAPITAL]]&gt;=0,FINANCIACION[[#This Row],[$ CAPITAL]]+FINANCIACION[[#This Row],[$ INTERESES]],0)</f>
        <v>3510000</v>
      </c>
    </row>
    <row r="473" spans="1:11" ht="24" hidden="1" customHeight="1" x14ac:dyDescent="0.25">
      <c r="A473" s="177">
        <v>45046</v>
      </c>
      <c r="B473" s="184" t="s">
        <v>507</v>
      </c>
      <c r="C473" s="179">
        <v>0</v>
      </c>
      <c r="D473" s="179"/>
      <c r="E473" s="179">
        <f>+IF(FINANCIACION[[#This Row],[$ CAPITAL]]&gt;=0,FINANCIACION[[#This Row],[$ CAPITAL]]+FINANCIACION[[#This Row],[$ INTERESES]],"")</f>
        <v>0</v>
      </c>
      <c r="F473" s="179">
        <f>+SUMIFS(FINANCIACION[$ CAPITAL],FINANCIACION[Fecha],"&lt;="&amp;FINANCIACION[[#This Row],[Fecha]],FINANCIACION[PRESTAMO],FINANCIACION[[#This Row],[PRESTAMO]])</f>
        <v>-91650000</v>
      </c>
      <c r="G473" s="179"/>
      <c r="I473" s="185"/>
      <c r="J473" s="179" t="b">
        <f>+IF(FINANCIACION[[#This Row],[$ CAPITAL]]&gt;0,FINANCIACION[[#This Row],[$ CAPITAL]])</f>
        <v>0</v>
      </c>
      <c r="K473" s="186">
        <f>+IF(FINANCIACION[[#This Row],[$ CAPITAL]]&gt;=0,FINANCIACION[[#This Row],[$ CAPITAL]]+FINANCIACION[[#This Row],[$ INTERESES]],0)</f>
        <v>0</v>
      </c>
    </row>
    <row r="474" spans="1:11" ht="24" hidden="1" customHeight="1" x14ac:dyDescent="0.25">
      <c r="A474" s="177">
        <v>45077</v>
      </c>
      <c r="B474" s="184" t="s">
        <v>507</v>
      </c>
      <c r="C474" s="179">
        <v>2730000</v>
      </c>
      <c r="D474" s="179"/>
      <c r="E474" s="179">
        <f>+IF(FINANCIACION[[#This Row],[$ CAPITAL]]&gt;=0,FINANCIACION[[#This Row],[$ CAPITAL]]+FINANCIACION[[#This Row],[$ INTERESES]],"")</f>
        <v>2730000</v>
      </c>
      <c r="F474" s="179">
        <f>+SUMIFS(FINANCIACION[$ CAPITAL],FINANCIACION[Fecha],"&lt;="&amp;FINANCIACION[[#This Row],[Fecha]],FINANCIACION[PRESTAMO],FINANCIACION[[#This Row],[PRESTAMO]])</f>
        <v>-88920000</v>
      </c>
      <c r="G474" s="179"/>
      <c r="I474" s="185"/>
      <c r="J474" s="179">
        <f>+IF(FINANCIACION[[#This Row],[$ CAPITAL]]&gt;0,FINANCIACION[[#This Row],[$ CAPITAL]])</f>
        <v>2730000</v>
      </c>
      <c r="K474" s="186">
        <f>+IF(FINANCIACION[[#This Row],[$ CAPITAL]]&gt;=0,FINANCIACION[[#This Row],[$ CAPITAL]]+FINANCIACION[[#This Row],[$ INTERESES]],0)</f>
        <v>2730000</v>
      </c>
    </row>
    <row r="475" spans="1:11" ht="24" hidden="1" customHeight="1" x14ac:dyDescent="0.25">
      <c r="A475" s="177">
        <v>45107</v>
      </c>
      <c r="B475" s="184" t="s">
        <v>507</v>
      </c>
      <c r="C475" s="179">
        <v>4095000</v>
      </c>
      <c r="D475" s="179"/>
      <c r="E475" s="179">
        <f>+IF(FINANCIACION[[#This Row],[$ CAPITAL]]&gt;=0,FINANCIACION[[#This Row],[$ CAPITAL]]+FINANCIACION[[#This Row],[$ INTERESES]],"")</f>
        <v>4095000</v>
      </c>
      <c r="F475" s="179">
        <f>+SUMIFS(FINANCIACION[$ CAPITAL],FINANCIACION[Fecha],"&lt;="&amp;FINANCIACION[[#This Row],[Fecha]],FINANCIACION[PRESTAMO],FINANCIACION[[#This Row],[PRESTAMO]])</f>
        <v>-84825000</v>
      </c>
      <c r="G475" s="179"/>
      <c r="I475" s="185"/>
      <c r="J475" s="179">
        <f>+IF(FINANCIACION[[#This Row],[$ CAPITAL]]&gt;0,FINANCIACION[[#This Row],[$ CAPITAL]])</f>
        <v>4095000</v>
      </c>
      <c r="K475" s="186">
        <f>+IF(FINANCIACION[[#This Row],[$ CAPITAL]]&gt;=0,FINANCIACION[[#This Row],[$ CAPITAL]]+FINANCIACION[[#This Row],[$ INTERESES]],0)</f>
        <v>4095000</v>
      </c>
    </row>
    <row r="476" spans="1:11" ht="24" hidden="1" customHeight="1" x14ac:dyDescent="0.25">
      <c r="A476" s="177">
        <v>45138</v>
      </c>
      <c r="B476" s="184" t="s">
        <v>507</v>
      </c>
      <c r="C476" s="179">
        <v>0</v>
      </c>
      <c r="D476" s="179"/>
      <c r="E476" s="179">
        <f>+IF(FINANCIACION[[#This Row],[$ CAPITAL]]&gt;=0,FINANCIACION[[#This Row],[$ CAPITAL]]+FINANCIACION[[#This Row],[$ INTERESES]],"")</f>
        <v>0</v>
      </c>
      <c r="F476" s="179">
        <f>+SUMIFS(FINANCIACION[$ CAPITAL],FINANCIACION[Fecha],"&lt;="&amp;FINANCIACION[[#This Row],[Fecha]],FINANCIACION[PRESTAMO],FINANCIACION[[#This Row],[PRESTAMO]])</f>
        <v>-84825000</v>
      </c>
      <c r="G476" s="179"/>
      <c r="I476" s="185"/>
      <c r="J476" s="179" t="b">
        <f>+IF(FINANCIACION[[#This Row],[$ CAPITAL]]&gt;0,FINANCIACION[[#This Row],[$ CAPITAL]])</f>
        <v>0</v>
      </c>
      <c r="K476" s="186">
        <f>+IF(FINANCIACION[[#This Row],[$ CAPITAL]]&gt;=0,FINANCIACION[[#This Row],[$ CAPITAL]]+FINANCIACION[[#This Row],[$ INTERESES]],0)</f>
        <v>0</v>
      </c>
    </row>
    <row r="477" spans="1:11" ht="24" hidden="1" customHeight="1" x14ac:dyDescent="0.25">
      <c r="A477" s="177">
        <v>45169</v>
      </c>
      <c r="B477" s="184" t="s">
        <v>507</v>
      </c>
      <c r="C477" s="179">
        <v>0</v>
      </c>
      <c r="D477" s="179">
        <v>0</v>
      </c>
      <c r="E477" s="179">
        <f>+IF(FINANCIACION[[#This Row],[$ CAPITAL]]&gt;=0,FINANCIACION[[#This Row],[$ CAPITAL]]+FINANCIACION[[#This Row],[$ INTERESES]],"")</f>
        <v>0</v>
      </c>
      <c r="F477" s="179">
        <f>+SUMIFS(FINANCIACION[$ CAPITAL],FINANCIACION[Fecha],"&lt;="&amp;FINANCIACION[[#This Row],[Fecha]],FINANCIACION[PRESTAMO],FINANCIACION[[#This Row],[PRESTAMO]])</f>
        <v>-84825000</v>
      </c>
      <c r="G477" s="179"/>
      <c r="I477" s="185"/>
      <c r="J477" s="179" t="b">
        <f>+IF(FINANCIACION[[#This Row],[$ CAPITAL]]&gt;0,FINANCIACION[[#This Row],[$ CAPITAL]])</f>
        <v>0</v>
      </c>
      <c r="K477" s="186">
        <f>+IF(FINANCIACION[[#This Row],[$ CAPITAL]]&gt;=0,FINANCIACION[[#This Row],[$ CAPITAL]]+FINANCIACION[[#This Row],[$ INTERESES]],0)</f>
        <v>0</v>
      </c>
    </row>
    <row r="478" spans="1:11" ht="24" hidden="1" customHeight="1" x14ac:dyDescent="0.25">
      <c r="A478" s="177">
        <v>45199</v>
      </c>
      <c r="B478" s="184" t="s">
        <v>507</v>
      </c>
      <c r="C478" s="179">
        <v>0</v>
      </c>
      <c r="D478" s="179">
        <v>0</v>
      </c>
      <c r="E478" s="179">
        <f>+IF(FINANCIACION[[#This Row],[$ CAPITAL]]&gt;=0,FINANCIACION[[#This Row],[$ CAPITAL]]+FINANCIACION[[#This Row],[$ INTERESES]],"")</f>
        <v>0</v>
      </c>
      <c r="F478" s="179">
        <f>+SUMIFS(FINANCIACION[$ CAPITAL],FINANCIACION[Fecha],"&lt;="&amp;FINANCIACION[[#This Row],[Fecha]],FINANCIACION[PRESTAMO],FINANCIACION[[#This Row],[PRESTAMO]])</f>
        <v>-84825000</v>
      </c>
      <c r="G478" s="179"/>
      <c r="H478" s="185" t="s">
        <v>889</v>
      </c>
      <c r="I478" s="185"/>
      <c r="J478" s="179" t="b">
        <f>+IF(FINANCIACION[[#This Row],[$ CAPITAL]]&gt;0,FINANCIACION[[#This Row],[$ CAPITAL]])</f>
        <v>0</v>
      </c>
      <c r="K478" s="186">
        <f>+IF(FINANCIACION[[#This Row],[$ CAPITAL]]&gt;=0,FINANCIACION[[#This Row],[$ CAPITAL]]+FINANCIACION[[#This Row],[$ INTERESES]],0)</f>
        <v>0</v>
      </c>
    </row>
    <row r="479" spans="1:11" ht="24" hidden="1" customHeight="1" x14ac:dyDescent="0.25">
      <c r="A479" s="177">
        <v>45230</v>
      </c>
      <c r="B479" s="184" t="s">
        <v>507</v>
      </c>
      <c r="C479" s="179">
        <v>0</v>
      </c>
      <c r="D479" s="179"/>
      <c r="E479" s="179">
        <f>+IF(FINANCIACION[[#This Row],[$ CAPITAL]]&gt;=0,FINANCIACION[[#This Row],[$ CAPITAL]]+FINANCIACION[[#This Row],[$ INTERESES]],"")</f>
        <v>0</v>
      </c>
      <c r="F479" s="179">
        <f>+SUMIFS(FINANCIACION[$ CAPITAL],FINANCIACION[Fecha],"&lt;="&amp;FINANCIACION[[#This Row],[Fecha]],FINANCIACION[PRESTAMO],FINANCIACION[[#This Row],[PRESTAMO]])</f>
        <v>-84825000</v>
      </c>
      <c r="G479" s="179"/>
      <c r="H479" s="185" t="s">
        <v>958</v>
      </c>
      <c r="I479" s="185"/>
      <c r="J479" s="179" t="b">
        <f>+IF(FINANCIACION[[#This Row],[$ CAPITAL]]&gt;0,FINANCIACION[[#This Row],[$ CAPITAL]])</f>
        <v>0</v>
      </c>
      <c r="K479" s="186">
        <f>+IF(FINANCIACION[[#This Row],[$ CAPITAL]]&gt;=0,FINANCIACION[[#This Row],[$ CAPITAL]]+FINANCIACION[[#This Row],[$ INTERESES]],0)</f>
        <v>0</v>
      </c>
    </row>
    <row r="480" spans="1:11" ht="24" hidden="1" customHeight="1" x14ac:dyDescent="0.25">
      <c r="A480" s="177">
        <v>45260</v>
      </c>
      <c r="B480" s="184" t="s">
        <v>507</v>
      </c>
      <c r="C480" s="179">
        <v>0</v>
      </c>
      <c r="D480" s="179"/>
      <c r="E480" s="179">
        <f>+IF(FINANCIACION[[#This Row],[$ CAPITAL]]&gt;=0,FINANCIACION[[#This Row],[$ CAPITAL]]+FINANCIACION[[#This Row],[$ INTERESES]],"")</f>
        <v>0</v>
      </c>
      <c r="F480" s="179">
        <f>+SUMIFS(FINANCIACION[$ CAPITAL],FINANCIACION[Fecha],"&lt;="&amp;FINANCIACION[[#This Row],[Fecha]],FINANCIACION[PRESTAMO],FINANCIACION[[#This Row],[PRESTAMO]])</f>
        <v>-84825000</v>
      </c>
      <c r="G480" s="179"/>
      <c r="H480" s="185" t="s">
        <v>958</v>
      </c>
      <c r="I480" s="185"/>
      <c r="J480" s="179" t="b">
        <f>+IF(FINANCIACION[[#This Row],[$ CAPITAL]]&gt;0,FINANCIACION[[#This Row],[$ CAPITAL]])</f>
        <v>0</v>
      </c>
      <c r="K480" s="186">
        <f>+IF(FINANCIACION[[#This Row],[$ CAPITAL]]&gt;=0,FINANCIACION[[#This Row],[$ CAPITAL]]+FINANCIACION[[#This Row],[$ INTERESES]],0)</f>
        <v>0</v>
      </c>
    </row>
    <row r="481" spans="1:11" ht="24" hidden="1" customHeight="1" x14ac:dyDescent="0.25">
      <c r="A481" s="177">
        <v>45291</v>
      </c>
      <c r="B481" s="184" t="s">
        <v>507</v>
      </c>
      <c r="C481" s="179">
        <v>0</v>
      </c>
      <c r="D481" s="179">
        <v>0</v>
      </c>
      <c r="E481" s="179">
        <f>+IF(FINANCIACION[[#This Row],[$ CAPITAL]]&gt;=0,FINANCIACION[[#This Row],[$ CAPITAL]]+FINANCIACION[[#This Row],[$ INTERESES]],"")</f>
        <v>0</v>
      </c>
      <c r="F481" s="179">
        <f>+SUMIFS(FINANCIACION[$ CAPITAL],FINANCIACION[Fecha],"&lt;="&amp;FINANCIACION[[#This Row],[Fecha]],FINANCIACION[PRESTAMO],FINANCIACION[[#This Row],[PRESTAMO]])</f>
        <v>-84825000</v>
      </c>
      <c r="G481" s="179"/>
      <c r="H481" s="185" t="s">
        <v>958</v>
      </c>
      <c r="I481" s="185"/>
      <c r="J481" s="179" t="b">
        <f>+IF(FINANCIACION[[#This Row],[$ CAPITAL]]&gt;0,FINANCIACION[[#This Row],[$ CAPITAL]])</f>
        <v>0</v>
      </c>
      <c r="K481" s="186">
        <f>+IF(FINANCIACION[[#This Row],[$ CAPITAL]]&gt;=0,FINANCIACION[[#This Row],[$ CAPITAL]]+FINANCIACION[[#This Row],[$ INTERESES]],0)</f>
        <v>0</v>
      </c>
    </row>
    <row r="482" spans="1:11" ht="24" hidden="1" customHeight="1" x14ac:dyDescent="0.25">
      <c r="A482" s="177">
        <v>44967</v>
      </c>
      <c r="B482" s="184" t="s">
        <v>605</v>
      </c>
      <c r="C482" s="179">
        <v>-60233450</v>
      </c>
      <c r="D482" s="179"/>
      <c r="E482" s="179" t="str">
        <f>+IF(FINANCIACION[[#This Row],[$ CAPITAL]]&gt;=0,FINANCIACION[[#This Row],[$ CAPITAL]]+FINANCIACION[[#This Row],[$ INTERESES]],"")</f>
        <v/>
      </c>
      <c r="F482" s="179">
        <f>+SUMIFS(FINANCIACION[$ CAPITAL],FINANCIACION[Fecha],"&lt;="&amp;FINANCIACION[[#This Row],[Fecha]],FINANCIACION[PRESTAMO],FINANCIACION[[#This Row],[PRESTAMO]])</f>
        <v>-60233450</v>
      </c>
      <c r="G482" s="179"/>
      <c r="H482" s="185" t="s">
        <v>606</v>
      </c>
      <c r="I482" s="185">
        <v>12342.92</v>
      </c>
      <c r="J482" s="179" t="b">
        <f>+IF(FINANCIACION[[#This Row],[$ CAPITAL]]&gt;0,FINANCIACION[[#This Row],[$ CAPITAL]])</f>
        <v>0</v>
      </c>
      <c r="K482" s="186">
        <f>+IF(FINANCIACION[[#This Row],[$ CAPITAL]]&gt;=0,FINANCIACION[[#This Row],[$ CAPITAL]]+FINANCIACION[[#This Row],[$ INTERESES]],0)</f>
        <v>0</v>
      </c>
    </row>
    <row r="483" spans="1:11" ht="24" hidden="1" customHeight="1" x14ac:dyDescent="0.25">
      <c r="A483" s="177">
        <v>45016</v>
      </c>
      <c r="B483" s="184" t="s">
        <v>605</v>
      </c>
      <c r="C483" s="179">
        <v>2221726</v>
      </c>
      <c r="D483" s="179"/>
      <c r="E483" s="179">
        <f>+IF(FINANCIACION[[#This Row],[$ CAPITAL]]&gt;=0,FINANCIACION[[#This Row],[$ CAPITAL]]+FINANCIACION[[#This Row],[$ INTERESES]],"")</f>
        <v>2221726</v>
      </c>
      <c r="F483" s="179">
        <f>+SUMIFS(FINANCIACION[$ CAPITAL],FINANCIACION[Fecha],"&lt;="&amp;FINANCIACION[[#This Row],[Fecha]],FINANCIACION[PRESTAMO],FINANCIACION[[#This Row],[PRESTAMO]])</f>
        <v>-58011724</v>
      </c>
      <c r="G483" s="179"/>
      <c r="H483" s="185" t="s">
        <v>683</v>
      </c>
      <c r="I483" s="185"/>
      <c r="J483" s="179">
        <f>+IF(FINANCIACION[[#This Row],[$ CAPITAL]]&gt;0,FINANCIACION[[#This Row],[$ CAPITAL]])</f>
        <v>2221726</v>
      </c>
      <c r="K483" s="186">
        <f>+IF(FINANCIACION[[#This Row],[$ CAPITAL]]&gt;=0,FINANCIACION[[#This Row],[$ CAPITAL]]+FINANCIACION[[#This Row],[$ INTERESES]],0)</f>
        <v>2221726</v>
      </c>
    </row>
    <row r="484" spans="1:11" ht="24" hidden="1" customHeight="1" x14ac:dyDescent="0.25">
      <c r="A484" s="177">
        <v>45046</v>
      </c>
      <c r="B484" s="184" t="s">
        <v>605</v>
      </c>
      <c r="C484" s="179">
        <v>0</v>
      </c>
      <c r="D484" s="179"/>
      <c r="E484" s="179">
        <f>+IF(FINANCIACION[[#This Row],[$ CAPITAL]]&gt;=0,FINANCIACION[[#This Row],[$ CAPITAL]]+FINANCIACION[[#This Row],[$ INTERESES]],"")</f>
        <v>0</v>
      </c>
      <c r="F484" s="179">
        <f>+SUMIFS(FINANCIACION[$ CAPITAL],FINANCIACION[Fecha],"&lt;="&amp;FINANCIACION[[#This Row],[Fecha]],FINANCIACION[PRESTAMO],FINANCIACION[[#This Row],[PRESTAMO]])</f>
        <v>-58011724</v>
      </c>
      <c r="G484" s="179"/>
      <c r="H484" s="185" t="s">
        <v>763</v>
      </c>
      <c r="I484" s="185"/>
      <c r="J484" s="179" t="b">
        <f>+IF(FINANCIACION[[#This Row],[$ CAPITAL]]&gt;0,FINANCIACION[[#This Row],[$ CAPITAL]])</f>
        <v>0</v>
      </c>
      <c r="K484" s="186">
        <f>+IF(FINANCIACION[[#This Row],[$ CAPITAL]]&gt;=0,FINANCIACION[[#This Row],[$ CAPITAL]]+FINANCIACION[[#This Row],[$ INTERESES]],0)</f>
        <v>0</v>
      </c>
    </row>
    <row r="485" spans="1:11" ht="24" hidden="1" customHeight="1" x14ac:dyDescent="0.25">
      <c r="A485" s="177">
        <v>45077</v>
      </c>
      <c r="B485" s="184" t="s">
        <v>605</v>
      </c>
      <c r="C485" s="179">
        <v>1728009</v>
      </c>
      <c r="D485" s="179"/>
      <c r="E485" s="179">
        <f>+IF(FINANCIACION[[#This Row],[$ CAPITAL]]&gt;=0,FINANCIACION[[#This Row],[$ CAPITAL]]+FINANCIACION[[#This Row],[$ INTERESES]],"")</f>
        <v>1728009</v>
      </c>
      <c r="F485" s="179">
        <f>+SUMIFS(FINANCIACION[$ CAPITAL],FINANCIACION[Fecha],"&lt;="&amp;FINANCIACION[[#This Row],[Fecha]],FINANCIACION[PRESTAMO],FINANCIACION[[#This Row],[PRESTAMO]])</f>
        <v>-56283715</v>
      </c>
      <c r="G485" s="179"/>
      <c r="I485" s="185"/>
      <c r="J485" s="179">
        <f>+IF(FINANCIACION[[#This Row],[$ CAPITAL]]&gt;0,FINANCIACION[[#This Row],[$ CAPITAL]])</f>
        <v>1728009</v>
      </c>
      <c r="K485" s="186">
        <f>+IF(FINANCIACION[[#This Row],[$ CAPITAL]]&gt;=0,FINANCIACION[[#This Row],[$ CAPITAL]]+FINANCIACION[[#This Row],[$ INTERESES]],0)</f>
        <v>1728009</v>
      </c>
    </row>
    <row r="486" spans="1:11" ht="24" hidden="1" customHeight="1" x14ac:dyDescent="0.25">
      <c r="A486" s="177">
        <v>45107</v>
      </c>
      <c r="B486" s="184" t="s">
        <v>605</v>
      </c>
      <c r="C486" s="179">
        <v>2592013</v>
      </c>
      <c r="D486" s="179"/>
      <c r="E486" s="179">
        <f>+IF(FINANCIACION[[#This Row],[$ CAPITAL]]&gt;=0,FINANCIACION[[#This Row],[$ CAPITAL]]+FINANCIACION[[#This Row],[$ INTERESES]],"")</f>
        <v>2592013</v>
      </c>
      <c r="F486" s="179">
        <f>+SUMIFS(FINANCIACION[$ CAPITAL],FINANCIACION[Fecha],"&lt;="&amp;FINANCIACION[[#This Row],[Fecha]],FINANCIACION[PRESTAMO],FINANCIACION[[#This Row],[PRESTAMO]])</f>
        <v>-53691702</v>
      </c>
      <c r="G486" s="179"/>
      <c r="I486" s="185"/>
      <c r="J486" s="179">
        <f>+IF(FINANCIACION[[#This Row],[$ CAPITAL]]&gt;0,FINANCIACION[[#This Row],[$ CAPITAL]])</f>
        <v>2592013</v>
      </c>
      <c r="K486" s="186">
        <f>+IF(FINANCIACION[[#This Row],[$ CAPITAL]]&gt;=0,FINANCIACION[[#This Row],[$ CAPITAL]]+FINANCIACION[[#This Row],[$ INTERESES]],0)</f>
        <v>2592013</v>
      </c>
    </row>
    <row r="487" spans="1:11" ht="24" hidden="1" customHeight="1" x14ac:dyDescent="0.25">
      <c r="A487" s="177">
        <v>45138</v>
      </c>
      <c r="B487" s="184" t="s">
        <v>605</v>
      </c>
      <c r="C487" s="179">
        <v>0</v>
      </c>
      <c r="D487" s="179"/>
      <c r="E487" s="179">
        <f>+IF(FINANCIACION[[#This Row],[$ CAPITAL]]&gt;=0,FINANCIACION[[#This Row],[$ CAPITAL]]+FINANCIACION[[#This Row],[$ INTERESES]],"")</f>
        <v>0</v>
      </c>
      <c r="F487" s="179">
        <f>+SUMIFS(FINANCIACION[$ CAPITAL],FINANCIACION[Fecha],"&lt;="&amp;FINANCIACION[[#This Row],[Fecha]],FINANCIACION[PRESTAMO],FINANCIACION[[#This Row],[PRESTAMO]])</f>
        <v>-53691702</v>
      </c>
      <c r="G487" s="179"/>
      <c r="I487" s="185"/>
      <c r="J487" s="179" t="b">
        <f>+IF(FINANCIACION[[#This Row],[$ CAPITAL]]&gt;0,FINANCIACION[[#This Row],[$ CAPITAL]])</f>
        <v>0</v>
      </c>
      <c r="K487" s="186">
        <f>+IF(FINANCIACION[[#This Row],[$ CAPITAL]]&gt;=0,FINANCIACION[[#This Row],[$ CAPITAL]]+FINANCIACION[[#This Row],[$ INTERESES]],0)</f>
        <v>0</v>
      </c>
    </row>
    <row r="488" spans="1:11" ht="24" hidden="1" customHeight="1" x14ac:dyDescent="0.25">
      <c r="A488" s="177">
        <v>45169</v>
      </c>
      <c r="B488" s="184" t="s">
        <v>605</v>
      </c>
      <c r="C488" s="179">
        <v>0</v>
      </c>
      <c r="D488" s="179">
        <v>0</v>
      </c>
      <c r="E488" s="179">
        <f>+IF(FINANCIACION[[#This Row],[$ CAPITAL]]&gt;=0,FINANCIACION[[#This Row],[$ CAPITAL]]+FINANCIACION[[#This Row],[$ INTERESES]],"")</f>
        <v>0</v>
      </c>
      <c r="F488" s="179">
        <f>+SUMIFS(FINANCIACION[$ CAPITAL],FINANCIACION[Fecha],"&lt;="&amp;FINANCIACION[[#This Row],[Fecha]],FINANCIACION[PRESTAMO],FINANCIACION[[#This Row],[PRESTAMO]])</f>
        <v>-53691702</v>
      </c>
      <c r="G488" s="179"/>
      <c r="I488" s="185"/>
      <c r="J488" s="179" t="b">
        <f>+IF(FINANCIACION[[#This Row],[$ CAPITAL]]&gt;0,FINANCIACION[[#This Row],[$ CAPITAL]])</f>
        <v>0</v>
      </c>
      <c r="K488" s="186">
        <f>+IF(FINANCIACION[[#This Row],[$ CAPITAL]]&gt;=0,FINANCIACION[[#This Row],[$ CAPITAL]]+FINANCIACION[[#This Row],[$ INTERESES]],0)</f>
        <v>0</v>
      </c>
    </row>
    <row r="489" spans="1:11" ht="24" hidden="1" customHeight="1" x14ac:dyDescent="0.25">
      <c r="A489" s="177">
        <v>45199</v>
      </c>
      <c r="B489" s="184" t="s">
        <v>605</v>
      </c>
      <c r="C489" s="179">
        <v>0</v>
      </c>
      <c r="D489" s="179">
        <v>0</v>
      </c>
      <c r="E489" s="179">
        <f>+IF(FINANCIACION[[#This Row],[$ CAPITAL]]&gt;=0,FINANCIACION[[#This Row],[$ CAPITAL]]+FINANCIACION[[#This Row],[$ INTERESES]],"")</f>
        <v>0</v>
      </c>
      <c r="F489" s="179">
        <f>+SUMIFS(FINANCIACION[$ CAPITAL],FINANCIACION[Fecha],"&lt;="&amp;FINANCIACION[[#This Row],[Fecha]],FINANCIACION[PRESTAMO],FINANCIACION[[#This Row],[PRESTAMO]])</f>
        <v>-53691702</v>
      </c>
      <c r="G489" s="179"/>
      <c r="I489" s="185"/>
      <c r="J489" s="179" t="b">
        <f>+IF(FINANCIACION[[#This Row],[$ CAPITAL]]&gt;0,FINANCIACION[[#This Row],[$ CAPITAL]])</f>
        <v>0</v>
      </c>
      <c r="K489" s="186">
        <f>+IF(FINANCIACION[[#This Row],[$ CAPITAL]]&gt;=0,FINANCIACION[[#This Row],[$ CAPITAL]]+FINANCIACION[[#This Row],[$ INTERESES]],0)</f>
        <v>0</v>
      </c>
    </row>
    <row r="490" spans="1:11" ht="24" hidden="1" customHeight="1" x14ac:dyDescent="0.25">
      <c r="A490" s="177">
        <v>45230</v>
      </c>
      <c r="B490" s="184" t="s">
        <v>605</v>
      </c>
      <c r="C490" s="179">
        <v>0</v>
      </c>
      <c r="D490" s="179"/>
      <c r="E490" s="179">
        <f>+IF(FINANCIACION[[#This Row],[$ CAPITAL]]&gt;=0,FINANCIACION[[#This Row],[$ CAPITAL]]+FINANCIACION[[#This Row],[$ INTERESES]],"")</f>
        <v>0</v>
      </c>
      <c r="F490" s="179">
        <f>+SUMIFS(FINANCIACION[$ CAPITAL],FINANCIACION[Fecha],"&lt;="&amp;FINANCIACION[[#This Row],[Fecha]],FINANCIACION[PRESTAMO],FINANCIACION[[#This Row],[PRESTAMO]])</f>
        <v>-53691702</v>
      </c>
      <c r="G490" s="179"/>
      <c r="I490" s="185"/>
      <c r="J490" s="179" t="b">
        <f>+IF(FINANCIACION[[#This Row],[$ CAPITAL]]&gt;0,FINANCIACION[[#This Row],[$ CAPITAL]])</f>
        <v>0</v>
      </c>
      <c r="K490" s="186">
        <f>+IF(FINANCIACION[[#This Row],[$ CAPITAL]]&gt;=0,FINANCIACION[[#This Row],[$ CAPITAL]]+FINANCIACION[[#This Row],[$ INTERESES]],0)</f>
        <v>0</v>
      </c>
    </row>
    <row r="491" spans="1:11" ht="24" hidden="1" customHeight="1" x14ac:dyDescent="0.25">
      <c r="A491" s="177">
        <v>45260</v>
      </c>
      <c r="B491" s="184" t="s">
        <v>605</v>
      </c>
      <c r="C491" s="179">
        <v>0</v>
      </c>
      <c r="D491" s="179"/>
      <c r="E491" s="179">
        <f>+IF(FINANCIACION[[#This Row],[$ CAPITAL]]&gt;=0,FINANCIACION[[#This Row],[$ CAPITAL]]+FINANCIACION[[#This Row],[$ INTERESES]],"")</f>
        <v>0</v>
      </c>
      <c r="F491" s="179">
        <f>+SUMIFS(FINANCIACION[$ CAPITAL],FINANCIACION[Fecha],"&lt;="&amp;FINANCIACION[[#This Row],[Fecha]],FINANCIACION[PRESTAMO],FINANCIACION[[#This Row],[PRESTAMO]])</f>
        <v>-53691702</v>
      </c>
      <c r="G491" s="179"/>
      <c r="I491" s="185"/>
      <c r="J491" s="179" t="b">
        <f>+IF(FINANCIACION[[#This Row],[$ CAPITAL]]&gt;0,FINANCIACION[[#This Row],[$ CAPITAL]])</f>
        <v>0</v>
      </c>
      <c r="K491" s="186">
        <f>+IF(FINANCIACION[[#This Row],[$ CAPITAL]]&gt;=0,FINANCIACION[[#This Row],[$ CAPITAL]]+FINANCIACION[[#This Row],[$ INTERESES]],0)</f>
        <v>0</v>
      </c>
    </row>
    <row r="492" spans="1:11" ht="24" hidden="1" customHeight="1" x14ac:dyDescent="0.25">
      <c r="A492" s="177">
        <v>45286</v>
      </c>
      <c r="B492" s="184" t="s">
        <v>605</v>
      </c>
      <c r="C492" s="179">
        <v>47942987</v>
      </c>
      <c r="D492" s="179"/>
      <c r="E492" s="179">
        <f>+IF(FINANCIACION[[#This Row],[$ CAPITAL]]&gt;=0,FINANCIACION[[#This Row],[$ CAPITAL]]+FINANCIACION[[#This Row],[$ INTERESES]],"")</f>
        <v>47942987</v>
      </c>
      <c r="F492" s="179">
        <f>+SUMIFS(FINANCIACION[$ CAPITAL],FINANCIACION[Fecha],"&lt;="&amp;FINANCIACION[[#This Row],[Fecha]],FINANCIACION[PRESTAMO],FINANCIACION[[#This Row],[PRESTAMO]])</f>
        <v>-5748715</v>
      </c>
      <c r="G492" s="179"/>
      <c r="I492" s="185"/>
      <c r="J492" s="179">
        <f>+IF(FINANCIACION[[#This Row],[$ CAPITAL]]&gt;0,FINANCIACION[[#This Row],[$ CAPITAL]])</f>
        <v>47942987</v>
      </c>
      <c r="K492" s="186">
        <f>+IF(FINANCIACION[[#This Row],[$ CAPITAL]]&gt;=0,FINANCIACION[[#This Row],[$ CAPITAL]]+FINANCIACION[[#This Row],[$ INTERESES]],0)</f>
        <v>47942987</v>
      </c>
    </row>
    <row r="493" spans="1:11" ht="24" hidden="1" customHeight="1" x14ac:dyDescent="0.25">
      <c r="A493" s="177">
        <v>45291</v>
      </c>
      <c r="B493" s="184" t="s">
        <v>605</v>
      </c>
      <c r="C493" s="179">
        <v>5748715</v>
      </c>
      <c r="D493" s="179"/>
      <c r="E493" s="179">
        <f>+IF(FINANCIACION[[#This Row],[$ CAPITAL]]&gt;=0,FINANCIACION[[#This Row],[$ CAPITAL]]+FINANCIACION[[#This Row],[$ INTERESES]],"")</f>
        <v>5748715</v>
      </c>
      <c r="F493" s="179">
        <f>+SUMIFS(FINANCIACION[$ CAPITAL],FINANCIACION[Fecha],"&lt;="&amp;FINANCIACION[[#This Row],[Fecha]],FINANCIACION[PRESTAMO],FINANCIACION[[#This Row],[PRESTAMO]])</f>
        <v>0</v>
      </c>
      <c r="G493" s="179"/>
      <c r="H493" s="185" t="s">
        <v>604</v>
      </c>
      <c r="I493" s="185"/>
      <c r="J493" s="179">
        <f>+IF(FINANCIACION[[#This Row],[$ CAPITAL]]&gt;0,FINANCIACION[[#This Row],[$ CAPITAL]])</f>
        <v>5748715</v>
      </c>
      <c r="K493" s="186">
        <f>+IF(FINANCIACION[[#This Row],[$ CAPITAL]]&gt;=0,FINANCIACION[[#This Row],[$ CAPITAL]]+FINANCIACION[[#This Row],[$ INTERESES]],0)</f>
        <v>5748715</v>
      </c>
    </row>
    <row r="494" spans="1:11" ht="24" hidden="1" customHeight="1" x14ac:dyDescent="0.25">
      <c r="A494" s="177">
        <v>44727</v>
      </c>
      <c r="B494" s="184" t="s">
        <v>122</v>
      </c>
      <c r="C494" s="179">
        <v>-15000000</v>
      </c>
      <c r="D494" s="179">
        <f>15000000-14530545</f>
        <v>469455</v>
      </c>
      <c r="E494" s="179" t="str">
        <f>+IF(FINANCIACION[[#This Row],[$ CAPITAL]]&gt;=0,FINANCIACION[[#This Row],[$ CAPITAL]]+FINANCIACION[[#This Row],[$ INTERESES]],"")</f>
        <v/>
      </c>
      <c r="F494" s="179">
        <f>+SUMIFS(FINANCIACION[$ CAPITAL],FINANCIACION[Fecha],"&lt;="&amp;FINANCIACION[[#This Row],[Fecha]],FINANCIACION[PRESTAMO],FINANCIACION[[#This Row],[PRESTAMO]])</f>
        <v>-15000000</v>
      </c>
      <c r="G494" s="179"/>
      <c r="H494" s="185" t="s">
        <v>418</v>
      </c>
      <c r="I494" s="185"/>
      <c r="J494" s="179" t="b">
        <f>+IF(FINANCIACION[[#This Row],[$ CAPITAL]]&gt;0,FINANCIACION[[#This Row],[$ CAPITAL]])</f>
        <v>0</v>
      </c>
      <c r="K494" s="186">
        <f>+IF(FINANCIACION[[#This Row],[$ CAPITAL]]&gt;=0,FINANCIACION[[#This Row],[$ CAPITAL]]+FINANCIACION[[#This Row],[$ INTERESES]],0)</f>
        <v>0</v>
      </c>
    </row>
    <row r="495" spans="1:11" ht="24" hidden="1" customHeight="1" x14ac:dyDescent="0.25">
      <c r="A495" s="177">
        <v>44761</v>
      </c>
      <c r="B495" s="184" t="s">
        <v>122</v>
      </c>
      <c r="C495" s="179">
        <v>417000</v>
      </c>
      <c r="D495" s="179">
        <f>627251.99-FINANCIACION[[#This Row],[$ CAPITAL]]</f>
        <v>210251.99</v>
      </c>
      <c r="E495" s="179">
        <f>+IF(FINANCIACION[[#This Row],[$ CAPITAL]]&gt;=0,FINANCIACION[[#This Row],[$ CAPITAL]]+FINANCIACION[[#This Row],[$ INTERESES]],"")</f>
        <v>627251.99</v>
      </c>
      <c r="F495" s="179">
        <f>+SUMIFS(FINANCIACION[$ CAPITAL],FINANCIACION[Fecha],"&lt;="&amp;FINANCIACION[[#This Row],[Fecha]],FINANCIACION[PRESTAMO],FINANCIACION[[#This Row],[PRESTAMO]])</f>
        <v>-14583000</v>
      </c>
      <c r="G495" s="179"/>
      <c r="I495" s="185"/>
      <c r="J495" s="179">
        <f>+IF(FINANCIACION[[#This Row],[$ CAPITAL]]&gt;0,FINANCIACION[[#This Row],[$ CAPITAL]])</f>
        <v>417000</v>
      </c>
      <c r="K495" s="186">
        <f>+IF(FINANCIACION[[#This Row],[$ CAPITAL]]&gt;=0,FINANCIACION[[#This Row],[$ CAPITAL]]+FINANCIACION[[#This Row],[$ INTERESES]],0)</f>
        <v>627251.99</v>
      </c>
    </row>
    <row r="496" spans="1:11" ht="24" hidden="1" customHeight="1" x14ac:dyDescent="0.25">
      <c r="A496" s="177">
        <v>44784</v>
      </c>
      <c r="B496" s="184" t="s">
        <v>122</v>
      </c>
      <c r="C496" s="179">
        <v>417000</v>
      </c>
      <c r="D496" s="179">
        <v>208327</v>
      </c>
      <c r="E496" s="179">
        <f>+IF(FINANCIACION[[#This Row],[$ CAPITAL]]&gt;=0,FINANCIACION[[#This Row],[$ CAPITAL]]+FINANCIACION[[#This Row],[$ INTERESES]],"")</f>
        <v>625327</v>
      </c>
      <c r="F496" s="179">
        <f>+SUMIFS(FINANCIACION[$ CAPITAL],FINANCIACION[Fecha],"&lt;="&amp;FINANCIACION[[#This Row],[Fecha]],FINANCIACION[PRESTAMO],FINANCIACION[[#This Row],[PRESTAMO]])</f>
        <v>-14166000</v>
      </c>
      <c r="G496" s="179"/>
      <c r="I496" s="185"/>
      <c r="J496" s="179">
        <f>+IF(FINANCIACION[[#This Row],[$ CAPITAL]]&gt;0,FINANCIACION[[#This Row],[$ CAPITAL]])</f>
        <v>417000</v>
      </c>
      <c r="K496" s="186">
        <f>+IF(FINANCIACION[[#This Row],[$ CAPITAL]]&gt;=0,FINANCIACION[[#This Row],[$ CAPITAL]]+FINANCIACION[[#This Row],[$ INTERESES]],0)</f>
        <v>625327</v>
      </c>
    </row>
    <row r="497" spans="1:11" ht="24" hidden="1" customHeight="1" x14ac:dyDescent="0.25">
      <c r="A497" s="177">
        <v>44804</v>
      </c>
      <c r="B497" s="184" t="s">
        <v>122</v>
      </c>
      <c r="C497" s="179"/>
      <c r="D497" s="179"/>
      <c r="E497" s="179">
        <f>+IF(FINANCIACION[[#This Row],[$ CAPITAL]]&gt;=0,FINANCIACION[[#This Row],[$ CAPITAL]]+FINANCIACION[[#This Row],[$ INTERESES]],"")</f>
        <v>0</v>
      </c>
      <c r="F497" s="179">
        <f>+SUMIFS(FINANCIACION[$ CAPITAL],FINANCIACION[Fecha],"&lt;="&amp;FINANCIACION[[#This Row],[Fecha]],FINANCIACION[PRESTAMO],FINANCIACION[[#This Row],[PRESTAMO]])</f>
        <v>-14166000</v>
      </c>
      <c r="G497" s="179"/>
      <c r="H497" s="185" t="s">
        <v>133</v>
      </c>
      <c r="I497" s="185"/>
      <c r="J497" s="179" t="b">
        <f>+IF(FINANCIACION[[#This Row],[$ CAPITAL]]&gt;0,FINANCIACION[[#This Row],[$ CAPITAL]])</f>
        <v>0</v>
      </c>
      <c r="K497" s="186">
        <f>+IF(FINANCIACION[[#This Row],[$ CAPITAL]]&gt;=0,FINANCIACION[[#This Row],[$ CAPITAL]]+FINANCIACION[[#This Row],[$ INTERESES]],0)</f>
        <v>0</v>
      </c>
    </row>
    <row r="498" spans="1:11" ht="24" hidden="1" customHeight="1" x14ac:dyDescent="0.25">
      <c r="A498" s="177">
        <v>44819</v>
      </c>
      <c r="B498" s="184" t="s">
        <v>122</v>
      </c>
      <c r="C498" s="179">
        <v>417000</v>
      </c>
      <c r="D498" s="179">
        <v>227121.46</v>
      </c>
      <c r="E498" s="179">
        <f>+IF(FINANCIACION[[#This Row],[$ CAPITAL]]&gt;=0,FINANCIACION[[#This Row],[$ CAPITAL]]+FINANCIACION[[#This Row],[$ INTERESES]],"")</f>
        <v>644121.46</v>
      </c>
      <c r="F498" s="179">
        <f>+SUMIFS(FINANCIACION[$ CAPITAL],FINANCIACION[Fecha],"&lt;="&amp;FINANCIACION[[#This Row],[Fecha]],FINANCIACION[PRESTAMO],FINANCIACION[[#This Row],[PRESTAMO]])</f>
        <v>-13749000</v>
      </c>
      <c r="G498" s="179"/>
      <c r="I498" s="185"/>
      <c r="J498" s="179">
        <f>+IF(FINANCIACION[[#This Row],[$ CAPITAL]]&gt;0,FINANCIACION[[#This Row],[$ CAPITAL]])</f>
        <v>417000</v>
      </c>
      <c r="K498" s="186">
        <f>+IF(FINANCIACION[[#This Row],[$ CAPITAL]]&gt;=0,FINANCIACION[[#This Row],[$ CAPITAL]]+FINANCIACION[[#This Row],[$ INTERESES]],0)</f>
        <v>644121.46</v>
      </c>
    </row>
    <row r="499" spans="1:11" ht="24" hidden="1" customHeight="1" x14ac:dyDescent="0.25">
      <c r="A499" s="177">
        <v>44852</v>
      </c>
      <c r="B499" s="184" t="s">
        <v>122</v>
      </c>
      <c r="C499" s="179">
        <v>417000</v>
      </c>
      <c r="D499" s="179">
        <v>226863.81</v>
      </c>
      <c r="E499" s="179">
        <f>+IF(FINANCIACION[[#This Row],[$ CAPITAL]]&gt;=0,FINANCIACION[[#This Row],[$ CAPITAL]]+FINANCIACION[[#This Row],[$ INTERESES]],"")</f>
        <v>643863.81000000006</v>
      </c>
      <c r="F499" s="179">
        <f>+SUMIFS(FINANCIACION[$ CAPITAL],FINANCIACION[Fecha],"&lt;="&amp;FINANCIACION[[#This Row],[Fecha]],FINANCIACION[PRESTAMO],FINANCIACION[[#This Row],[PRESTAMO]])</f>
        <v>-13332000</v>
      </c>
      <c r="G499" s="179"/>
      <c r="I499" s="185"/>
      <c r="J499" s="179">
        <f>+IF(FINANCIACION[[#This Row],[$ CAPITAL]]&gt;0,FINANCIACION[[#This Row],[$ CAPITAL]])</f>
        <v>417000</v>
      </c>
      <c r="K499" s="186">
        <f>+IF(FINANCIACION[[#This Row],[$ CAPITAL]]&gt;=0,FINANCIACION[[#This Row],[$ CAPITAL]]+FINANCIACION[[#This Row],[$ INTERESES]],0)</f>
        <v>643863.81000000006</v>
      </c>
    </row>
    <row r="500" spans="1:11" ht="24" hidden="1" customHeight="1" x14ac:dyDescent="0.25">
      <c r="A500" s="177">
        <v>44880</v>
      </c>
      <c r="B500" s="184" t="s">
        <v>122</v>
      </c>
      <c r="C500" s="179">
        <v>417000</v>
      </c>
      <c r="D500" s="179">
        <v>219054</v>
      </c>
      <c r="E500" s="179">
        <f>+IF(FINANCIACION[[#This Row],[$ CAPITAL]]&gt;=0,FINANCIACION[[#This Row],[$ CAPITAL]]+FINANCIACION[[#This Row],[$ INTERESES]],"")</f>
        <v>636054</v>
      </c>
      <c r="F500" s="179">
        <f>+SUMIFS(FINANCIACION[$ CAPITAL],FINANCIACION[Fecha],"&lt;="&amp;FINANCIACION[[#This Row],[Fecha]],FINANCIACION[PRESTAMO],FINANCIACION[[#This Row],[PRESTAMO]])</f>
        <v>-12915000</v>
      </c>
      <c r="G500" s="179"/>
      <c r="I500" s="185"/>
      <c r="J500" s="179">
        <f>+IF(FINANCIACION[[#This Row],[$ CAPITAL]]&gt;0,FINANCIACION[[#This Row],[$ CAPITAL]])</f>
        <v>417000</v>
      </c>
      <c r="K500" s="186">
        <f>+IF(FINANCIACION[[#This Row],[$ CAPITAL]]&gt;=0,FINANCIACION[[#This Row],[$ CAPITAL]]+FINANCIACION[[#This Row],[$ INTERESES]],0)</f>
        <v>636054</v>
      </c>
    </row>
    <row r="501" spans="1:11" ht="24" hidden="1" customHeight="1" x14ac:dyDescent="0.25">
      <c r="A501" s="177">
        <v>44910</v>
      </c>
      <c r="B501" s="184" t="s">
        <v>122</v>
      </c>
      <c r="C501" s="179">
        <v>417000</v>
      </c>
      <c r="D501" s="179">
        <v>227044</v>
      </c>
      <c r="E501" s="179">
        <f>+IF(FINANCIACION[[#This Row],[$ CAPITAL]]&gt;=0,FINANCIACION[[#This Row],[$ CAPITAL]]+FINANCIACION[[#This Row],[$ INTERESES]],"")</f>
        <v>644044</v>
      </c>
      <c r="F501" s="179">
        <f>+SUMIFS(FINANCIACION[$ CAPITAL],FINANCIACION[Fecha],"&lt;="&amp;FINANCIACION[[#This Row],[Fecha]],FINANCIACION[PRESTAMO],FINANCIACION[[#This Row],[PRESTAMO]])</f>
        <v>-12498000</v>
      </c>
      <c r="G501" s="179"/>
      <c r="I501" s="185"/>
      <c r="J501" s="179">
        <f>+IF(FINANCIACION[[#This Row],[$ CAPITAL]]&gt;0,FINANCIACION[[#This Row],[$ CAPITAL]])</f>
        <v>417000</v>
      </c>
      <c r="K501" s="186">
        <f>+IF(FINANCIACION[[#This Row],[$ CAPITAL]]&gt;=0,FINANCIACION[[#This Row],[$ CAPITAL]]+FINANCIACION[[#This Row],[$ INTERESES]],0)</f>
        <v>644044</v>
      </c>
    </row>
    <row r="502" spans="1:11" ht="24" hidden="1" customHeight="1" x14ac:dyDescent="0.25">
      <c r="A502" s="177">
        <v>44945</v>
      </c>
      <c r="B502" s="184" t="s">
        <v>122</v>
      </c>
      <c r="C502" s="179">
        <v>417000</v>
      </c>
      <c r="D502" s="179">
        <v>224894</v>
      </c>
      <c r="E502" s="179">
        <f>+IF(FINANCIACION[[#This Row],[$ CAPITAL]]&gt;=0,FINANCIACION[[#This Row],[$ CAPITAL]]+FINANCIACION[[#This Row],[$ INTERESES]],"")</f>
        <v>641894</v>
      </c>
      <c r="F502" s="179">
        <f>+SUMIFS(FINANCIACION[$ CAPITAL],FINANCIACION[Fecha],"&lt;="&amp;FINANCIACION[[#This Row],[Fecha]],FINANCIACION[PRESTAMO],FINANCIACION[[#This Row],[PRESTAMO]])</f>
        <v>-12081000</v>
      </c>
      <c r="G502" s="179"/>
      <c r="I502" s="185"/>
      <c r="J502" s="179">
        <f>+IF(FINANCIACION[[#This Row],[$ CAPITAL]]&gt;0,FINANCIACION[[#This Row],[$ CAPITAL]])</f>
        <v>417000</v>
      </c>
      <c r="K502" s="186">
        <f>+IF(FINANCIACION[[#This Row],[$ CAPITAL]]&gt;=0,FINANCIACION[[#This Row],[$ CAPITAL]]+FINANCIACION[[#This Row],[$ INTERESES]],0)</f>
        <v>641894</v>
      </c>
    </row>
    <row r="503" spans="1:11" ht="24" hidden="1" customHeight="1" x14ac:dyDescent="0.25">
      <c r="A503" s="177">
        <v>44972</v>
      </c>
      <c r="B503" s="184" t="s">
        <v>122</v>
      </c>
      <c r="C503" s="179">
        <v>417000</v>
      </c>
      <c r="D503" s="179">
        <v>221773</v>
      </c>
      <c r="E503" s="179">
        <f>+IF(FINANCIACION[[#This Row],[$ CAPITAL]]&gt;=0,FINANCIACION[[#This Row],[$ CAPITAL]]+FINANCIACION[[#This Row],[$ INTERESES]],"")</f>
        <v>638773</v>
      </c>
      <c r="F503" s="179">
        <f>+SUMIFS(FINANCIACION[$ CAPITAL],FINANCIACION[Fecha],"&lt;="&amp;FINANCIACION[[#This Row],[Fecha]],FINANCIACION[PRESTAMO],FINANCIACION[[#This Row],[PRESTAMO]])</f>
        <v>-11664000</v>
      </c>
      <c r="G503" s="179"/>
      <c r="I503" s="185"/>
      <c r="J503" s="179">
        <f>+IF(FINANCIACION[[#This Row],[$ CAPITAL]]&gt;0,FINANCIACION[[#This Row],[$ CAPITAL]])</f>
        <v>417000</v>
      </c>
      <c r="K503" s="186">
        <f>+IF(FINANCIACION[[#This Row],[$ CAPITAL]]&gt;=0,FINANCIACION[[#This Row],[$ CAPITAL]]+FINANCIACION[[#This Row],[$ INTERESES]],0)</f>
        <v>638773</v>
      </c>
    </row>
    <row r="504" spans="1:11" ht="24" hidden="1" customHeight="1" x14ac:dyDescent="0.25">
      <c r="A504" s="177">
        <v>45000</v>
      </c>
      <c r="B504" s="184" t="s">
        <v>122</v>
      </c>
      <c r="C504" s="179">
        <v>417000</v>
      </c>
      <c r="D504" s="179">
        <v>221772</v>
      </c>
      <c r="E504" s="179">
        <f>+IF(FINANCIACION[[#This Row],[$ CAPITAL]]&gt;=0,FINANCIACION[[#This Row],[$ CAPITAL]]+FINANCIACION[[#This Row],[$ INTERESES]],"")</f>
        <v>638772</v>
      </c>
      <c r="F504" s="179">
        <f>+SUMIFS(FINANCIACION[$ CAPITAL],FINANCIACION[Fecha],"&lt;="&amp;FINANCIACION[[#This Row],[Fecha]],FINANCIACION[PRESTAMO],FINANCIACION[[#This Row],[PRESTAMO]])</f>
        <v>-11247000</v>
      </c>
      <c r="G504" s="179"/>
      <c r="I504" s="185"/>
      <c r="J504" s="179">
        <f>+IF(FINANCIACION[[#This Row],[$ CAPITAL]]&gt;0,FINANCIACION[[#This Row],[$ CAPITAL]])</f>
        <v>417000</v>
      </c>
      <c r="K504" s="186">
        <f>+IF(FINANCIACION[[#This Row],[$ CAPITAL]]&gt;=0,FINANCIACION[[#This Row],[$ CAPITAL]]+FINANCIACION[[#This Row],[$ INTERESES]],0)</f>
        <v>638772</v>
      </c>
    </row>
    <row r="505" spans="1:11" ht="24" hidden="1" customHeight="1" x14ac:dyDescent="0.25">
      <c r="A505" s="177">
        <v>45031</v>
      </c>
      <c r="B505" s="184" t="s">
        <v>122</v>
      </c>
      <c r="C505" s="179">
        <v>417000</v>
      </c>
      <c r="D505" s="179">
        <v>203486</v>
      </c>
      <c r="E505" s="179">
        <f>+IF(FINANCIACION[[#This Row],[$ CAPITAL]]&gt;=0,FINANCIACION[[#This Row],[$ CAPITAL]]+FINANCIACION[[#This Row],[$ INTERESES]],"")</f>
        <v>620486</v>
      </c>
      <c r="F505" s="179">
        <f>+SUMIFS(FINANCIACION[$ CAPITAL],FINANCIACION[Fecha],"&lt;="&amp;FINANCIACION[[#This Row],[Fecha]],FINANCIACION[PRESTAMO],FINANCIACION[[#This Row],[PRESTAMO]])</f>
        <v>-10830000</v>
      </c>
      <c r="G505" s="179"/>
      <c r="I505" s="185"/>
      <c r="J505" s="179">
        <f>+IF(FINANCIACION[[#This Row],[$ CAPITAL]]&gt;0,FINANCIACION[[#This Row],[$ CAPITAL]])</f>
        <v>417000</v>
      </c>
      <c r="K505" s="186">
        <f>+IF(FINANCIACION[[#This Row],[$ CAPITAL]]&gt;=0,FINANCIACION[[#This Row],[$ CAPITAL]]+FINANCIACION[[#This Row],[$ INTERESES]],0)</f>
        <v>620486</v>
      </c>
    </row>
    <row r="506" spans="1:11" ht="24" hidden="1" customHeight="1" x14ac:dyDescent="0.25">
      <c r="A506" s="177">
        <v>45061</v>
      </c>
      <c r="B506" s="184" t="s">
        <v>122</v>
      </c>
      <c r="C506" s="179">
        <v>417000</v>
      </c>
      <c r="D506" s="179">
        <v>186494</v>
      </c>
      <c r="E506" s="179">
        <f>+IF(FINANCIACION[[#This Row],[$ CAPITAL]]&gt;=0,FINANCIACION[[#This Row],[$ CAPITAL]]+FINANCIACION[[#This Row],[$ INTERESES]],"")</f>
        <v>603494</v>
      </c>
      <c r="F506" s="179">
        <f>+SUMIFS(FINANCIACION[$ CAPITAL],FINANCIACION[Fecha],"&lt;="&amp;FINANCIACION[[#This Row],[Fecha]],FINANCIACION[PRESTAMO],FINANCIACION[[#This Row],[PRESTAMO]])</f>
        <v>-10413000</v>
      </c>
      <c r="G506" s="179"/>
      <c r="I506" s="185"/>
      <c r="J506" s="179">
        <f>+IF(FINANCIACION[[#This Row],[$ CAPITAL]]&gt;0,FINANCIACION[[#This Row],[$ CAPITAL]])</f>
        <v>417000</v>
      </c>
      <c r="K506" s="186">
        <f>+IF(FINANCIACION[[#This Row],[$ CAPITAL]]&gt;=0,FINANCIACION[[#This Row],[$ CAPITAL]]+FINANCIACION[[#This Row],[$ INTERESES]],0)</f>
        <v>603494</v>
      </c>
    </row>
    <row r="507" spans="1:11" ht="24" hidden="1" customHeight="1" x14ac:dyDescent="0.25">
      <c r="A507" s="177">
        <v>45093</v>
      </c>
      <c r="B507" s="184" t="s">
        <v>122</v>
      </c>
      <c r="C507" s="179">
        <v>417000</v>
      </c>
      <c r="D507" s="179">
        <v>495747</v>
      </c>
      <c r="E507" s="179">
        <f>+IF(FINANCIACION[[#This Row],[$ CAPITAL]]&gt;=0,FINANCIACION[[#This Row],[$ CAPITAL]]+FINANCIACION[[#This Row],[$ INTERESES]],"")</f>
        <v>912747</v>
      </c>
      <c r="F507" s="179">
        <f>+SUMIFS(FINANCIACION[$ CAPITAL],FINANCIACION[Fecha],"&lt;="&amp;FINANCIACION[[#This Row],[Fecha]],FINANCIACION[PRESTAMO],FINANCIACION[[#This Row],[PRESTAMO]])</f>
        <v>-9996000</v>
      </c>
      <c r="G507" s="179"/>
      <c r="I507" s="185"/>
      <c r="J507" s="179">
        <f>+IF(FINANCIACION[[#This Row],[$ CAPITAL]]&gt;0,FINANCIACION[[#This Row],[$ CAPITAL]])</f>
        <v>417000</v>
      </c>
      <c r="K507" s="186">
        <f>+IF(FINANCIACION[[#This Row],[$ CAPITAL]]&gt;=0,FINANCIACION[[#This Row],[$ CAPITAL]]+FINANCIACION[[#This Row],[$ INTERESES]],0)</f>
        <v>912747</v>
      </c>
    </row>
    <row r="508" spans="1:11" ht="24" hidden="1" customHeight="1" x14ac:dyDescent="0.25">
      <c r="A508" s="177">
        <v>45107</v>
      </c>
      <c r="B508" s="184" t="s">
        <v>122</v>
      </c>
      <c r="C508" s="179">
        <v>-94820</v>
      </c>
      <c r="D508" s="179"/>
      <c r="E508" s="179" t="str">
        <f>+IF(FINANCIACION[[#This Row],[$ CAPITAL]]&gt;=0,FINANCIACION[[#This Row],[$ CAPITAL]]+FINANCIACION[[#This Row],[$ INTERESES]],"")</f>
        <v/>
      </c>
      <c r="F508" s="179">
        <f>+SUMIFS(FINANCIACION[$ CAPITAL],FINANCIACION[Fecha],"&lt;="&amp;FINANCIACION[[#This Row],[Fecha]],FINANCIACION[PRESTAMO],FINANCIACION[[#This Row],[PRESTAMO]])</f>
        <v>-10090820</v>
      </c>
      <c r="G508" s="179"/>
      <c r="H508" s="185" t="s">
        <v>888</v>
      </c>
      <c r="I508" s="185"/>
      <c r="J508" s="179" t="b">
        <f>+IF(FINANCIACION[[#This Row],[$ CAPITAL]]&gt;0,FINANCIACION[[#This Row],[$ CAPITAL]])</f>
        <v>0</v>
      </c>
      <c r="K508" s="186">
        <f>+IF(FINANCIACION[[#This Row],[$ CAPITAL]]&gt;=0,FINANCIACION[[#This Row],[$ CAPITAL]]+FINANCIACION[[#This Row],[$ INTERESES]],0)</f>
        <v>0</v>
      </c>
    </row>
    <row r="509" spans="1:11" ht="24" hidden="1" customHeight="1" x14ac:dyDescent="0.25">
      <c r="A509" s="177">
        <v>45122</v>
      </c>
      <c r="B509" s="184" t="s">
        <v>122</v>
      </c>
      <c r="C509" s="179">
        <v>417000</v>
      </c>
      <c r="D509" s="179">
        <v>177789</v>
      </c>
      <c r="E509" s="179">
        <f>+IF(FINANCIACION[[#This Row],[$ CAPITAL]]&gt;=0,FINANCIACION[[#This Row],[$ CAPITAL]]+FINANCIACION[[#This Row],[$ INTERESES]],"")</f>
        <v>594789</v>
      </c>
      <c r="F509" s="179">
        <f>+SUMIFS(FINANCIACION[$ CAPITAL],FINANCIACION[Fecha],"&lt;="&amp;FINANCIACION[[#This Row],[Fecha]],FINANCIACION[PRESTAMO],FINANCIACION[[#This Row],[PRESTAMO]])</f>
        <v>-9673820</v>
      </c>
      <c r="G509" s="179"/>
      <c r="I509" s="185"/>
      <c r="J509" s="179">
        <f>+IF(FINANCIACION[[#This Row],[$ CAPITAL]]&gt;0,FINANCIACION[[#This Row],[$ CAPITAL]])</f>
        <v>417000</v>
      </c>
      <c r="K509" s="186">
        <f>+IF(FINANCIACION[[#This Row],[$ CAPITAL]]&gt;=0,FINANCIACION[[#This Row],[$ CAPITAL]]+FINANCIACION[[#This Row],[$ INTERESES]],0)</f>
        <v>594789</v>
      </c>
    </row>
    <row r="510" spans="1:11" ht="24" hidden="1" customHeight="1" x14ac:dyDescent="0.25">
      <c r="A510" s="177">
        <v>45160</v>
      </c>
      <c r="B510" s="184" t="s">
        <v>122</v>
      </c>
      <c r="C510" s="179">
        <v>417000</v>
      </c>
      <c r="D510" s="179">
        <v>177542</v>
      </c>
      <c r="E510" s="179">
        <f>+IF(FINANCIACION[[#This Row],[$ CAPITAL]]&gt;=0,FINANCIACION[[#This Row],[$ CAPITAL]]+FINANCIACION[[#This Row],[$ INTERESES]],"")</f>
        <v>594542</v>
      </c>
      <c r="F510" s="179">
        <f>+SUMIFS(FINANCIACION[$ CAPITAL],FINANCIACION[Fecha],"&lt;="&amp;FINANCIACION[[#This Row],[Fecha]],FINANCIACION[PRESTAMO],FINANCIACION[[#This Row],[PRESTAMO]])</f>
        <v>-9256820</v>
      </c>
      <c r="G510" s="179"/>
      <c r="I510" s="185"/>
      <c r="J510" s="179">
        <f>+IF(FINANCIACION[[#This Row],[$ CAPITAL]]&gt;0,FINANCIACION[[#This Row],[$ CAPITAL]])</f>
        <v>417000</v>
      </c>
      <c r="K510" s="186">
        <f>+IF(FINANCIACION[[#This Row],[$ CAPITAL]]&gt;=0,FINANCIACION[[#This Row],[$ CAPITAL]]+FINANCIACION[[#This Row],[$ INTERESES]],0)</f>
        <v>594542</v>
      </c>
    </row>
    <row r="511" spans="1:11" ht="24" hidden="1" customHeight="1" x14ac:dyDescent="0.25">
      <c r="A511" s="177">
        <v>45184</v>
      </c>
      <c r="B511" s="184" t="s">
        <v>122</v>
      </c>
      <c r="C511" s="179">
        <v>417000</v>
      </c>
      <c r="D511" s="179">
        <v>167722</v>
      </c>
      <c r="E511" s="179">
        <f>+IF(FINANCIACION[[#This Row],[$ CAPITAL]]&gt;=0,FINANCIACION[[#This Row],[$ CAPITAL]]+FINANCIACION[[#This Row],[$ INTERESES]],"")</f>
        <v>584722</v>
      </c>
      <c r="F511" s="179">
        <f>+SUMIFS(FINANCIACION[$ CAPITAL],FINANCIACION[Fecha],"&lt;="&amp;FINANCIACION[[#This Row],[Fecha]],FINANCIACION[PRESTAMO],FINANCIACION[[#This Row],[PRESTAMO]])</f>
        <v>-8839820</v>
      </c>
      <c r="G511" s="179"/>
      <c r="I511" s="185"/>
      <c r="J511" s="179">
        <f>+IF(FINANCIACION[[#This Row],[$ CAPITAL]]&gt;0,FINANCIACION[[#This Row],[$ CAPITAL]])</f>
        <v>417000</v>
      </c>
      <c r="K511" s="186">
        <f>+IF(FINANCIACION[[#This Row],[$ CAPITAL]]&gt;=0,FINANCIACION[[#This Row],[$ CAPITAL]]+FINANCIACION[[#This Row],[$ INTERESES]],0)</f>
        <v>584722</v>
      </c>
    </row>
    <row r="512" spans="1:11" ht="24" hidden="1" customHeight="1" x14ac:dyDescent="0.25">
      <c r="A512" s="177">
        <v>45214</v>
      </c>
      <c r="B512" s="184" t="s">
        <v>122</v>
      </c>
      <c r="C512" s="179">
        <v>417000</v>
      </c>
      <c r="D512" s="179">
        <v>158355</v>
      </c>
      <c r="E512" s="179">
        <f>+IF(FINANCIACION[[#This Row],[$ CAPITAL]]&gt;=0,FINANCIACION[[#This Row],[$ CAPITAL]]+FINANCIACION[[#This Row],[$ INTERESES]],"")</f>
        <v>575355</v>
      </c>
      <c r="F512" s="179">
        <f>+SUMIFS(FINANCIACION[$ CAPITAL],FINANCIACION[Fecha],"&lt;="&amp;FINANCIACION[[#This Row],[Fecha]],FINANCIACION[PRESTAMO],FINANCIACION[[#This Row],[PRESTAMO]])</f>
        <v>-8422820</v>
      </c>
      <c r="G512" s="179"/>
      <c r="I512" s="185"/>
      <c r="J512" s="179">
        <f>+IF(FINANCIACION[[#This Row],[$ CAPITAL]]&gt;0,FINANCIACION[[#This Row],[$ CAPITAL]])</f>
        <v>417000</v>
      </c>
      <c r="K512" s="186">
        <f>+IF(FINANCIACION[[#This Row],[$ CAPITAL]]&gt;=0,FINANCIACION[[#This Row],[$ CAPITAL]]+FINANCIACION[[#This Row],[$ INTERESES]],0)</f>
        <v>575355</v>
      </c>
    </row>
    <row r="513" spans="1:11" ht="24" hidden="1" customHeight="1" x14ac:dyDescent="0.25">
      <c r="A513" s="177">
        <v>45245</v>
      </c>
      <c r="B513" s="184" t="s">
        <v>122</v>
      </c>
      <c r="C513" s="179">
        <v>422000</v>
      </c>
      <c r="D513" s="179">
        <v>141890</v>
      </c>
      <c r="E513" s="179">
        <f>+IF(FINANCIACION[[#This Row],[$ CAPITAL]]&gt;=0,FINANCIACION[[#This Row],[$ CAPITAL]]+FINANCIACION[[#This Row],[$ INTERESES]],"")</f>
        <v>563890</v>
      </c>
      <c r="F513" s="179">
        <f>+SUMIFS(FINANCIACION[$ CAPITAL],FINANCIACION[Fecha],"&lt;="&amp;FINANCIACION[[#This Row],[Fecha]],FINANCIACION[PRESTAMO],FINANCIACION[[#This Row],[PRESTAMO]])</f>
        <v>-8000820</v>
      </c>
      <c r="G513" s="179"/>
      <c r="I513" s="185"/>
      <c r="J513" s="179">
        <f>+IF(FINANCIACION[[#This Row],[$ CAPITAL]]&gt;0,FINANCIACION[[#This Row],[$ CAPITAL]])</f>
        <v>422000</v>
      </c>
      <c r="K513" s="186">
        <f>+IF(FINANCIACION[[#This Row],[$ CAPITAL]]&gt;=0,FINANCIACION[[#This Row],[$ CAPITAL]]+FINANCIACION[[#This Row],[$ INTERESES]],0)</f>
        <v>563890</v>
      </c>
    </row>
    <row r="514" spans="1:11" ht="24" hidden="1" customHeight="1" x14ac:dyDescent="0.25">
      <c r="A514" s="177">
        <v>45258</v>
      </c>
      <c r="B514" s="184" t="s">
        <v>122</v>
      </c>
      <c r="C514" s="179">
        <v>7911000</v>
      </c>
      <c r="D514" s="179"/>
      <c r="E514" s="179">
        <f>+IF(FINANCIACION[[#This Row],[$ CAPITAL]]&gt;=0,FINANCIACION[[#This Row],[$ CAPITAL]]+FINANCIACION[[#This Row],[$ INTERESES]],"")</f>
        <v>7911000</v>
      </c>
      <c r="F514" s="179">
        <f>+SUMIFS(FINANCIACION[$ CAPITAL],FINANCIACION[Fecha],"&lt;="&amp;FINANCIACION[[#This Row],[Fecha]],FINANCIACION[PRESTAMO],FINANCIACION[[#This Row],[PRESTAMO]])</f>
        <v>-89820</v>
      </c>
      <c r="G514" s="179"/>
      <c r="I514" s="185"/>
      <c r="J514" s="179">
        <f>+IF(FINANCIACION[[#This Row],[$ CAPITAL]]&gt;0,FINANCIACION[[#This Row],[$ CAPITAL]])</f>
        <v>7911000</v>
      </c>
      <c r="K514" s="186">
        <f>+IF(FINANCIACION[[#This Row],[$ CAPITAL]]&gt;=0,FINANCIACION[[#This Row],[$ CAPITAL]]+FINANCIACION[[#This Row],[$ INTERESES]],0)</f>
        <v>7911000</v>
      </c>
    </row>
    <row r="515" spans="1:11" ht="24" hidden="1" customHeight="1" x14ac:dyDescent="0.25">
      <c r="A515" s="177">
        <v>45260</v>
      </c>
      <c r="B515" s="184" t="s">
        <v>122</v>
      </c>
      <c r="C515" s="179">
        <v>89820</v>
      </c>
      <c r="D515" s="179"/>
      <c r="E515" s="179">
        <f>+IF(FINANCIACION[[#This Row],[$ CAPITAL]]&gt;=0,FINANCIACION[[#This Row],[$ CAPITAL]]+FINANCIACION[[#This Row],[$ INTERESES]],"")</f>
        <v>89820</v>
      </c>
      <c r="F515" s="179">
        <f>+SUMIFS(FINANCIACION[$ CAPITAL],FINANCIACION[Fecha],"&lt;="&amp;FINANCIACION[[#This Row],[Fecha]],FINANCIACION[PRESTAMO],FINANCIACION[[#This Row],[PRESTAMO]])</f>
        <v>0</v>
      </c>
      <c r="G515" s="179"/>
      <c r="H515" s="185" t="s">
        <v>1290</v>
      </c>
      <c r="I515" s="185"/>
      <c r="J515" s="179">
        <f>+IF(FINANCIACION[[#This Row],[$ CAPITAL]]&gt;0,FINANCIACION[[#This Row],[$ CAPITAL]])</f>
        <v>89820</v>
      </c>
      <c r="K515" s="186">
        <f>+IF(FINANCIACION[[#This Row],[$ CAPITAL]]&gt;=0,FINANCIACION[[#This Row],[$ CAPITAL]]+FINANCIACION[[#This Row],[$ INTERESES]],0)</f>
        <v>89820</v>
      </c>
    </row>
    <row r="516" spans="1:11" ht="24" hidden="1" customHeight="1" x14ac:dyDescent="0.25">
      <c r="A516" s="177">
        <v>45270</v>
      </c>
      <c r="B516" s="184" t="s">
        <v>1291</v>
      </c>
      <c r="C516" s="179">
        <v>-100000000</v>
      </c>
      <c r="D516" s="179"/>
      <c r="E516" s="179" t="str">
        <f>+IF(FINANCIACION[[#This Row],[$ CAPITAL]]&gt;=0,FINANCIACION[[#This Row],[$ CAPITAL]]+FINANCIACION[[#This Row],[$ INTERESES]],"")</f>
        <v/>
      </c>
      <c r="F516" s="179">
        <f>+SUMIFS(FINANCIACION[$ CAPITAL],FINANCIACION[Fecha],"&lt;="&amp;FINANCIACION[[#This Row],[Fecha]],FINANCIACION[PRESTAMO],FINANCIACION[[#This Row],[PRESTAMO]])</f>
        <v>-100000000</v>
      </c>
      <c r="G516" s="82"/>
      <c r="I516" s="185"/>
      <c r="J516" s="179" t="b">
        <f>+IF(FINANCIACION[[#This Row],[$ CAPITAL]]&gt;0,FINANCIACION[[#This Row],[$ CAPITAL]])</f>
        <v>0</v>
      </c>
      <c r="K516" s="186">
        <f>+IF(FINANCIACION[[#This Row],[$ CAPITAL]]&gt;=0,FINANCIACION[[#This Row],[$ CAPITAL]]+FINANCIACION[[#This Row],[$ INTERESES]],0)</f>
        <v>0</v>
      </c>
    </row>
    <row r="517" spans="1:11" ht="24" hidden="1" customHeight="1" x14ac:dyDescent="0.25">
      <c r="A517" s="177">
        <v>44988</v>
      </c>
      <c r="B517" s="184" t="s">
        <v>608</v>
      </c>
      <c r="C517" s="179">
        <v>-140000000</v>
      </c>
      <c r="D517" s="179"/>
      <c r="E517" s="179" t="str">
        <f>+IF(FINANCIACION[[#This Row],[$ CAPITAL]]&gt;=0,FINANCIACION[[#This Row],[$ CAPITAL]]+FINANCIACION[[#This Row],[$ INTERESES]],"")</f>
        <v/>
      </c>
      <c r="F517" s="179">
        <f>+SUMIFS(FINANCIACION[$ CAPITAL],FINANCIACION[Fecha],"&lt;="&amp;FINANCIACION[[#This Row],[Fecha]],FINANCIACION[PRESTAMO],FINANCIACION[[#This Row],[PRESTAMO]])</f>
        <v>-140000000</v>
      </c>
      <c r="G517" s="82"/>
      <c r="I517" s="185"/>
      <c r="J517" s="179" t="b">
        <f>+IF(FINANCIACION[[#This Row],[$ CAPITAL]]&gt;0,FINANCIACION[[#This Row],[$ CAPITAL]])</f>
        <v>0</v>
      </c>
      <c r="K517" s="186">
        <f>+IF(FINANCIACION[[#This Row],[$ CAPITAL]]&gt;=0,FINANCIACION[[#This Row],[$ CAPITAL]]+FINANCIACION[[#This Row],[$ INTERESES]],0)</f>
        <v>0</v>
      </c>
    </row>
    <row r="518" spans="1:11" ht="24" hidden="1" customHeight="1" x14ac:dyDescent="0.25">
      <c r="A518" s="177">
        <v>45018</v>
      </c>
      <c r="B518" s="184" t="s">
        <v>608</v>
      </c>
      <c r="C518" s="179">
        <v>0</v>
      </c>
      <c r="D518" s="179">
        <v>0</v>
      </c>
      <c r="E518" s="179">
        <f>+IF(FINANCIACION[[#This Row],[$ CAPITAL]]&gt;=0,FINANCIACION[[#This Row],[$ CAPITAL]]+FINANCIACION[[#This Row],[$ INTERESES]],"")</f>
        <v>0</v>
      </c>
      <c r="F518" s="179">
        <f>+SUMIFS(FINANCIACION[$ CAPITAL],FINANCIACION[Fecha],"&lt;="&amp;FINANCIACION[[#This Row],[Fecha]],FINANCIACION[PRESTAMO],FINANCIACION[[#This Row],[PRESTAMO]])</f>
        <v>-140000000</v>
      </c>
      <c r="G518" s="82"/>
      <c r="I518" s="185"/>
      <c r="J518" s="179" t="b">
        <f>+IF(FINANCIACION[[#This Row],[$ CAPITAL]]&gt;0,FINANCIACION[[#This Row],[$ CAPITAL]])</f>
        <v>0</v>
      </c>
      <c r="K518" s="186">
        <f>+IF(FINANCIACION[[#This Row],[$ CAPITAL]]&gt;=0,FINANCIACION[[#This Row],[$ CAPITAL]]+FINANCIACION[[#This Row],[$ INTERESES]],0)</f>
        <v>0</v>
      </c>
    </row>
    <row r="519" spans="1:11" ht="24" hidden="1" customHeight="1" x14ac:dyDescent="0.25">
      <c r="A519" s="177">
        <v>45048</v>
      </c>
      <c r="B519" s="184" t="s">
        <v>608</v>
      </c>
      <c r="C519" s="179">
        <v>3315898</v>
      </c>
      <c r="D519" s="179">
        <v>6518092</v>
      </c>
      <c r="E519" s="179">
        <f>+IF(FINANCIACION[[#This Row],[$ CAPITAL]]&gt;=0,FINANCIACION[[#This Row],[$ CAPITAL]]+FINANCIACION[[#This Row],[$ INTERESES]],"")</f>
        <v>9833990</v>
      </c>
      <c r="F519" s="179">
        <f>+SUMIFS(FINANCIACION[$ CAPITAL],FINANCIACION[Fecha],"&lt;="&amp;FINANCIACION[[#This Row],[Fecha]],FINANCIACION[PRESTAMO],FINANCIACION[[#This Row],[PRESTAMO]])</f>
        <v>-136684102</v>
      </c>
      <c r="G519" s="82"/>
      <c r="I519" s="185"/>
      <c r="J519" s="179">
        <f>+IF(FINANCIACION[[#This Row],[$ CAPITAL]]&gt;0,FINANCIACION[[#This Row],[$ CAPITAL]])</f>
        <v>3315898</v>
      </c>
      <c r="K519" s="186">
        <f>+IF(FINANCIACION[[#This Row],[$ CAPITAL]]&gt;=0,FINANCIACION[[#This Row],[$ CAPITAL]]+FINANCIACION[[#This Row],[$ INTERESES]],0)</f>
        <v>9833990</v>
      </c>
    </row>
    <row r="520" spans="1:11" ht="24" hidden="1" customHeight="1" x14ac:dyDescent="0.25">
      <c r="A520" s="177">
        <v>45082</v>
      </c>
      <c r="B520" s="184" t="s">
        <v>608</v>
      </c>
      <c r="C520" s="179">
        <v>1586752</v>
      </c>
      <c r="D520" s="179">
        <v>5432950</v>
      </c>
      <c r="E520" s="179">
        <f>+IF(FINANCIACION[[#This Row],[$ CAPITAL]]&gt;=0,FINANCIACION[[#This Row],[$ CAPITAL]]+FINANCIACION[[#This Row],[$ INTERESES]],"")</f>
        <v>7019702</v>
      </c>
      <c r="F520" s="179">
        <f>+SUMIFS(FINANCIACION[$ CAPITAL],FINANCIACION[Fecha],"&lt;="&amp;FINANCIACION[[#This Row],[Fecha]],FINANCIACION[PRESTAMO],FINANCIACION[[#This Row],[PRESTAMO]])</f>
        <v>-135097350</v>
      </c>
      <c r="G520" s="82"/>
      <c r="I520" s="185"/>
      <c r="J520" s="179">
        <f>+IF(FINANCIACION[[#This Row],[$ CAPITAL]]&gt;0,FINANCIACION[[#This Row],[$ CAPITAL]])</f>
        <v>1586752</v>
      </c>
      <c r="K520" s="186">
        <f>+IF(FINANCIACION[[#This Row],[$ CAPITAL]]&gt;=0,FINANCIACION[[#This Row],[$ CAPITAL]]+FINANCIACION[[#This Row],[$ INTERESES]],0)</f>
        <v>7019702</v>
      </c>
    </row>
    <row r="521" spans="1:11" ht="24" hidden="1" customHeight="1" x14ac:dyDescent="0.25">
      <c r="A521" s="177">
        <v>45111</v>
      </c>
      <c r="B521" s="184" t="s">
        <v>608</v>
      </c>
      <c r="C521" s="179">
        <v>3794920</v>
      </c>
      <c r="D521" s="179">
        <v>3130802</v>
      </c>
      <c r="E521" s="179">
        <f>+IF(FINANCIACION[[#This Row],[$ CAPITAL]]&gt;=0,FINANCIACION[[#This Row],[$ CAPITAL]]+FINANCIACION[[#This Row],[$ INTERESES]],"")</f>
        <v>6925722</v>
      </c>
      <c r="F521" s="179">
        <f>+SUMIFS(FINANCIACION[$ CAPITAL],FINANCIACION[Fecha],"&lt;="&amp;FINANCIACION[[#This Row],[Fecha]],FINANCIACION[PRESTAMO],FINANCIACION[[#This Row],[PRESTAMO]])</f>
        <v>-131302430</v>
      </c>
      <c r="G521" s="82"/>
      <c r="I521" s="185"/>
      <c r="J521" s="179">
        <f>+IF(FINANCIACION[[#This Row],[$ CAPITAL]]&gt;0,FINANCIACION[[#This Row],[$ CAPITAL]])</f>
        <v>3794920</v>
      </c>
      <c r="K521" s="186">
        <f>+IF(FINANCIACION[[#This Row],[$ CAPITAL]]&gt;=0,FINANCIACION[[#This Row],[$ CAPITAL]]+FINANCIACION[[#This Row],[$ INTERESES]],0)</f>
        <v>6925722</v>
      </c>
    </row>
    <row r="522" spans="1:11" ht="24" hidden="1" customHeight="1" x14ac:dyDescent="0.25">
      <c r="A522" s="177">
        <v>45120</v>
      </c>
      <c r="B522" s="184" t="s">
        <v>608</v>
      </c>
      <c r="C522" s="179">
        <v>17000000</v>
      </c>
      <c r="D522" s="179">
        <v>3000000</v>
      </c>
      <c r="E522" s="179">
        <f>+IF(FINANCIACION[[#This Row],[$ CAPITAL]]&gt;=0,FINANCIACION[[#This Row],[$ CAPITAL]]+FINANCIACION[[#This Row],[$ INTERESES]],"")</f>
        <v>20000000</v>
      </c>
      <c r="F522" s="179">
        <f>+SUMIFS(FINANCIACION[$ CAPITAL],FINANCIACION[Fecha],"&lt;="&amp;FINANCIACION[[#This Row],[Fecha]],FINANCIACION[PRESTAMO],FINANCIACION[[#This Row],[PRESTAMO]])</f>
        <v>-114302430</v>
      </c>
      <c r="G522" s="82"/>
      <c r="I522" s="185"/>
      <c r="J522" s="179">
        <f>+IF(FINANCIACION[[#This Row],[$ CAPITAL]]&gt;0,FINANCIACION[[#This Row],[$ CAPITAL]])</f>
        <v>17000000</v>
      </c>
      <c r="K522" s="186">
        <f>+IF(FINANCIACION[[#This Row],[$ CAPITAL]]&gt;=0,FINANCIACION[[#This Row],[$ CAPITAL]]+FINANCIACION[[#This Row],[$ INTERESES]],0)</f>
        <v>20000000</v>
      </c>
    </row>
    <row r="523" spans="1:11" ht="24" hidden="1" customHeight="1" x14ac:dyDescent="0.25">
      <c r="A523" s="177">
        <v>45121</v>
      </c>
      <c r="B523" s="184" t="s">
        <v>608</v>
      </c>
      <c r="C523" s="179">
        <v>30000000</v>
      </c>
      <c r="D523" s="179"/>
      <c r="E523" s="179">
        <f>+IF(FINANCIACION[[#This Row],[$ CAPITAL]]&gt;=0,FINANCIACION[[#This Row],[$ CAPITAL]]+FINANCIACION[[#This Row],[$ INTERESES]],"")</f>
        <v>30000000</v>
      </c>
      <c r="F523" s="179">
        <f>+SUMIFS(FINANCIACION[$ CAPITAL],FINANCIACION[Fecha],"&lt;="&amp;FINANCIACION[[#This Row],[Fecha]],FINANCIACION[PRESTAMO],FINANCIACION[[#This Row],[PRESTAMO]])</f>
        <v>-84302430</v>
      </c>
      <c r="G523" s="82"/>
      <c r="I523" s="185"/>
      <c r="J523" s="179">
        <f>+IF(FINANCIACION[[#This Row],[$ CAPITAL]]&gt;0,FINANCIACION[[#This Row],[$ CAPITAL]])</f>
        <v>30000000</v>
      </c>
      <c r="K523" s="186">
        <f>+IF(FINANCIACION[[#This Row],[$ CAPITAL]]&gt;=0,FINANCIACION[[#This Row],[$ CAPITAL]]+FINANCIACION[[#This Row],[$ INTERESES]],0)</f>
        <v>30000000</v>
      </c>
    </row>
    <row r="524" spans="1:11" ht="24" hidden="1" customHeight="1" x14ac:dyDescent="0.25">
      <c r="A524" s="177">
        <v>45140</v>
      </c>
      <c r="B524" s="184" t="s">
        <v>608</v>
      </c>
      <c r="C524" s="179">
        <v>0</v>
      </c>
      <c r="D524" s="179">
        <v>0</v>
      </c>
      <c r="E524" s="179">
        <f>+IF(FINANCIACION[[#This Row],[$ CAPITAL]]&gt;=0,FINANCIACION[[#This Row],[$ CAPITAL]]+FINANCIACION[[#This Row],[$ INTERESES]],"")</f>
        <v>0</v>
      </c>
      <c r="F524" s="179">
        <f>+SUMIFS(FINANCIACION[$ CAPITAL],FINANCIACION[Fecha],"&lt;="&amp;FINANCIACION[[#This Row],[Fecha]],FINANCIACION[PRESTAMO],FINANCIACION[[#This Row],[PRESTAMO]])</f>
        <v>-84302430</v>
      </c>
      <c r="G524" s="82"/>
      <c r="I524" s="185"/>
      <c r="J524" s="179" t="b">
        <f>+IF(FINANCIACION[[#This Row],[$ CAPITAL]]&gt;0,FINANCIACION[[#This Row],[$ CAPITAL]])</f>
        <v>0</v>
      </c>
      <c r="K524" s="186">
        <f>+IF(FINANCIACION[[#This Row],[$ CAPITAL]]&gt;=0,FINANCIACION[[#This Row],[$ CAPITAL]]+FINANCIACION[[#This Row],[$ INTERESES]],0)</f>
        <v>0</v>
      </c>
    </row>
    <row r="525" spans="1:11" ht="24" hidden="1" customHeight="1" x14ac:dyDescent="0.25">
      <c r="A525" s="177">
        <v>45170</v>
      </c>
      <c r="B525" s="184" t="s">
        <v>608</v>
      </c>
      <c r="C525" s="179">
        <v>3626885</v>
      </c>
      <c r="D525" s="179">
        <f>1797434+374651</f>
        <v>2172085</v>
      </c>
      <c r="E525" s="179">
        <f>+IF(FINANCIACION[[#This Row],[$ CAPITAL]]&gt;=0,FINANCIACION[[#This Row],[$ CAPITAL]]+FINANCIACION[[#This Row],[$ INTERESES]],"")</f>
        <v>5798970</v>
      </c>
      <c r="F525" s="179">
        <f>+SUMIFS(FINANCIACION[$ CAPITAL],FINANCIACION[Fecha],"&lt;="&amp;FINANCIACION[[#This Row],[Fecha]],FINANCIACION[PRESTAMO],FINANCIACION[[#This Row],[PRESTAMO]])</f>
        <v>-80675545</v>
      </c>
      <c r="G525" s="82"/>
      <c r="I525" s="185"/>
      <c r="J525" s="179">
        <f>+IF(FINANCIACION[[#This Row],[$ CAPITAL]]&gt;0,FINANCIACION[[#This Row],[$ CAPITAL]])</f>
        <v>3626885</v>
      </c>
      <c r="K525" s="186">
        <f>+IF(FINANCIACION[[#This Row],[$ CAPITAL]]&gt;=0,FINANCIACION[[#This Row],[$ CAPITAL]]+FINANCIACION[[#This Row],[$ INTERESES]],0)</f>
        <v>5798970</v>
      </c>
    </row>
    <row r="526" spans="1:11" ht="24" hidden="1" customHeight="1" x14ac:dyDescent="0.25">
      <c r="A526" s="177">
        <v>45201</v>
      </c>
      <c r="B526" s="184" t="s">
        <v>608</v>
      </c>
      <c r="C526" s="179">
        <v>3806000</v>
      </c>
      <c r="D526" s="179">
        <f>1532131+356587</f>
        <v>1888718</v>
      </c>
      <c r="E526" s="179">
        <f>+IF(FINANCIACION[[#This Row],[$ CAPITAL]]&gt;=0,FINANCIACION[[#This Row],[$ CAPITAL]]+FINANCIACION[[#This Row],[$ INTERESES]],"")</f>
        <v>5694718</v>
      </c>
      <c r="F526" s="179">
        <f>+SUMIFS(FINANCIACION[$ CAPITAL],FINANCIACION[Fecha],"&lt;="&amp;FINANCIACION[[#This Row],[Fecha]],FINANCIACION[PRESTAMO],FINANCIACION[[#This Row],[PRESTAMO]])</f>
        <v>-76869545</v>
      </c>
      <c r="G526" s="82"/>
      <c r="I526" s="185"/>
      <c r="J526" s="179">
        <f>+IF(FINANCIACION[[#This Row],[$ CAPITAL]]&gt;0,FINANCIACION[[#This Row],[$ CAPITAL]])</f>
        <v>3806000</v>
      </c>
      <c r="K526" s="186">
        <f>+IF(FINANCIACION[[#This Row],[$ CAPITAL]]&gt;=0,FINANCIACION[[#This Row],[$ CAPITAL]]+FINANCIACION[[#This Row],[$ INTERESES]],0)</f>
        <v>5694718</v>
      </c>
    </row>
    <row r="527" spans="1:11" ht="24" hidden="1" customHeight="1" x14ac:dyDescent="0.25">
      <c r="A527" s="177">
        <v>45232</v>
      </c>
      <c r="B527" s="184" t="s">
        <v>608</v>
      </c>
      <c r="C527" s="179">
        <v>3769874</v>
      </c>
      <c r="D527" s="179">
        <f>1448896+338538</f>
        <v>1787434</v>
      </c>
      <c r="E527" s="179">
        <f>+IF(FINANCIACION[[#This Row],[$ CAPITAL]]&gt;=0,FINANCIACION[[#This Row],[$ CAPITAL]]+FINANCIACION[[#This Row],[$ INTERESES]],"")</f>
        <v>5557308</v>
      </c>
      <c r="F527" s="179">
        <f>+SUMIFS(FINANCIACION[$ CAPITAL],FINANCIACION[Fecha],"&lt;="&amp;FINANCIACION[[#This Row],[Fecha]],FINANCIACION[PRESTAMO],FINANCIACION[[#This Row],[PRESTAMO]])</f>
        <v>-73099671</v>
      </c>
      <c r="G527" s="82"/>
      <c r="I527" s="185"/>
      <c r="J527" s="179">
        <f>+IF(FINANCIACION[[#This Row],[$ CAPITAL]]&gt;0,FINANCIACION[[#This Row],[$ CAPITAL]])</f>
        <v>3769874</v>
      </c>
      <c r="K527" s="186">
        <f>+IF(FINANCIACION[[#This Row],[$ CAPITAL]]&gt;=0,FINANCIACION[[#This Row],[$ CAPITAL]]+FINANCIACION[[#This Row],[$ INTERESES]],0)</f>
        <v>5557308</v>
      </c>
    </row>
    <row r="528" spans="1:11" ht="24" hidden="1" customHeight="1" x14ac:dyDescent="0.25">
      <c r="A528" s="177">
        <v>45260</v>
      </c>
      <c r="B528" s="184" t="s">
        <v>608</v>
      </c>
      <c r="C528" s="179">
        <v>50000000</v>
      </c>
      <c r="D528" s="179"/>
      <c r="E528" s="179">
        <f>+IF(FINANCIACION[[#This Row],[$ CAPITAL]]&gt;=0,FINANCIACION[[#This Row],[$ CAPITAL]]+FINANCIACION[[#This Row],[$ INTERESES]],"")</f>
        <v>50000000</v>
      </c>
      <c r="F528" s="179">
        <f>+SUMIFS(FINANCIACION[$ CAPITAL],FINANCIACION[Fecha],"&lt;="&amp;FINANCIACION[[#This Row],[Fecha]],FINANCIACION[PRESTAMO],FINANCIACION[[#This Row],[PRESTAMO]])</f>
        <v>-23099671</v>
      </c>
      <c r="G528" s="82"/>
      <c r="H528" s="185" t="s">
        <v>1289</v>
      </c>
      <c r="I528" s="185"/>
      <c r="J528" s="179">
        <f>+IF(FINANCIACION[[#This Row],[$ CAPITAL]]&gt;0,FINANCIACION[[#This Row],[$ CAPITAL]])</f>
        <v>50000000</v>
      </c>
      <c r="K528" s="186">
        <f>+IF(FINANCIACION[[#This Row],[$ CAPITAL]]&gt;=0,FINANCIACION[[#This Row],[$ CAPITAL]]+FINANCIACION[[#This Row],[$ INTERESES]],0)</f>
        <v>50000000</v>
      </c>
    </row>
    <row r="529" spans="1:11" ht="24" hidden="1" customHeight="1" x14ac:dyDescent="0.25">
      <c r="A529" s="177">
        <v>45262</v>
      </c>
      <c r="B529" s="184" t="s">
        <v>608</v>
      </c>
      <c r="C529" s="179">
        <v>0</v>
      </c>
      <c r="D529" s="179">
        <v>0</v>
      </c>
      <c r="E529" s="179">
        <f>+IF(FINANCIACION[[#This Row],[$ CAPITAL]]&gt;=0,FINANCIACION[[#This Row],[$ CAPITAL]]+FINANCIACION[[#This Row],[$ INTERESES]],"")</f>
        <v>0</v>
      </c>
      <c r="F529" s="179">
        <f>+SUMIFS(FINANCIACION[$ CAPITAL],FINANCIACION[Fecha],"&lt;="&amp;FINANCIACION[[#This Row],[Fecha]],FINANCIACION[PRESTAMO],FINANCIACION[[#This Row],[PRESTAMO]])</f>
        <v>-23099671</v>
      </c>
      <c r="G529" s="82"/>
      <c r="I529" s="185"/>
      <c r="J529" s="179" t="b">
        <f>+IF(FINANCIACION[[#This Row],[$ CAPITAL]]&gt;0,FINANCIACION[[#This Row],[$ CAPITAL]])</f>
        <v>0</v>
      </c>
      <c r="K529" s="186">
        <f>+IF(FINANCIACION[[#This Row],[$ CAPITAL]]&gt;=0,FINANCIACION[[#This Row],[$ CAPITAL]]+FINANCIACION[[#This Row],[$ INTERESES]],0)</f>
        <v>0</v>
      </c>
    </row>
    <row r="530" spans="1:11" ht="24" hidden="1" customHeight="1" x14ac:dyDescent="0.25">
      <c r="A530" s="177">
        <v>45280</v>
      </c>
      <c r="B530" s="184" t="s">
        <v>608</v>
      </c>
      <c r="C530" s="179">
        <v>20920810</v>
      </c>
      <c r="D530" s="179"/>
      <c r="E530" s="179">
        <f>+IF(FINANCIACION[[#This Row],[$ CAPITAL]]&gt;=0,FINANCIACION[[#This Row],[$ CAPITAL]]+FINANCIACION[[#This Row],[$ INTERESES]],"")</f>
        <v>20920810</v>
      </c>
      <c r="F530" s="179">
        <f>+SUMIFS(FINANCIACION[$ CAPITAL],FINANCIACION[Fecha],"&lt;="&amp;FINANCIACION[[#This Row],[Fecha]],FINANCIACION[PRESTAMO],FINANCIACION[[#This Row],[PRESTAMO]])</f>
        <v>-2178861</v>
      </c>
      <c r="G530" s="82"/>
      <c r="I530" s="185"/>
      <c r="J530" s="179">
        <f>+IF(FINANCIACION[[#This Row],[$ CAPITAL]]&gt;0,FINANCIACION[[#This Row],[$ CAPITAL]])</f>
        <v>20920810</v>
      </c>
      <c r="K530" s="186">
        <f>+IF(FINANCIACION[[#This Row],[$ CAPITAL]]&gt;=0,FINANCIACION[[#This Row],[$ CAPITAL]]+FINANCIACION[[#This Row],[$ INTERESES]],0)</f>
        <v>20920810</v>
      </c>
    </row>
    <row r="531" spans="1:11" ht="24" hidden="1" customHeight="1" x14ac:dyDescent="0.25">
      <c r="A531" s="177">
        <v>45291</v>
      </c>
      <c r="B531" s="184" t="s">
        <v>608</v>
      </c>
      <c r="C531" s="179">
        <v>2178861</v>
      </c>
      <c r="D531" s="179"/>
      <c r="E531" s="179">
        <f>+IF(FINANCIACION[[#This Row],[$ CAPITAL]]&gt;=0,FINANCIACION[[#This Row],[$ CAPITAL]]+FINANCIACION[[#This Row],[$ INTERESES]],"")</f>
        <v>2178861</v>
      </c>
      <c r="F531" s="179">
        <f>+SUMIFS(FINANCIACION[$ CAPITAL],FINANCIACION[Fecha],"&lt;="&amp;FINANCIACION[[#This Row],[Fecha]],FINANCIACION[PRESTAMO],FINANCIACION[[#This Row],[PRESTAMO]])</f>
        <v>0</v>
      </c>
      <c r="G531" s="82"/>
      <c r="H531" s="185" t="s">
        <v>604</v>
      </c>
      <c r="I531" s="185"/>
      <c r="J531" s="179">
        <f>+IF(FINANCIACION[[#This Row],[$ CAPITAL]]&gt;0,FINANCIACION[[#This Row],[$ CAPITAL]])</f>
        <v>2178861</v>
      </c>
      <c r="K531" s="186">
        <f>+IF(FINANCIACION[[#This Row],[$ CAPITAL]]&gt;=0,FINANCIACION[[#This Row],[$ CAPITAL]]+FINANCIACION[[#This Row],[$ INTERESES]],0)</f>
        <v>2178861</v>
      </c>
    </row>
    <row r="532" spans="1:11" ht="24" hidden="1" customHeight="1" x14ac:dyDescent="0.25">
      <c r="A532" s="177">
        <v>43118</v>
      </c>
      <c r="B532" s="184" t="s">
        <v>332</v>
      </c>
      <c r="C532" s="179">
        <v>-382491081</v>
      </c>
      <c r="D532" s="179"/>
      <c r="E532" s="179" t="str">
        <f>+IF(FINANCIACION[[#This Row],[$ CAPITAL]]&gt;=0,FINANCIACION[[#This Row],[$ CAPITAL]]+FINANCIACION[[#This Row],[$ INTERESES]],"")</f>
        <v/>
      </c>
      <c r="F532" s="179">
        <f>+SUMIFS(FINANCIACION[$ CAPITAL],FINANCIACION[Fecha],"&lt;="&amp;FINANCIACION[[#This Row],[Fecha]],FINANCIACION[PRESTAMO],FINANCIACION[[#This Row],[PRESTAMO]])</f>
        <v>-382491081</v>
      </c>
      <c r="G532" s="82"/>
      <c r="I532" s="185"/>
      <c r="J532" s="179" t="b">
        <f>IF(FINANCIACION[[#This Row],[$ CAPITAL]]&gt;0,FINANCIACION[[#This Row],[$ CAPITAL]])</f>
        <v>0</v>
      </c>
      <c r="K532" s="186">
        <f>IF(FINANCIACION[[#This Row],[$ CAPITAL]]&gt;=0,FINANCIACION[[#This Row],[$ CAPITAL]]+FINANCIACION[[#This Row],[$ INTERESES]],0)</f>
        <v>0</v>
      </c>
    </row>
    <row r="533" spans="1:11" ht="24" hidden="1" customHeight="1" x14ac:dyDescent="0.25">
      <c r="A533" s="177">
        <v>43483</v>
      </c>
      <c r="B533" s="184" t="s">
        <v>332</v>
      </c>
      <c r="C533" s="179">
        <v>1268533</v>
      </c>
      <c r="D533" s="179">
        <v>12694590</v>
      </c>
      <c r="E533" s="179">
        <f>+IF(FINANCIACION[[#This Row],[$ CAPITAL]]&gt;=0,FINANCIACION[[#This Row],[$ CAPITAL]]+FINANCIACION[[#This Row],[$ INTERESES]],"")</f>
        <v>13963123</v>
      </c>
      <c r="F533" s="179">
        <f>+SUMIFS(FINANCIACION[$ CAPITAL],FINANCIACION[Fecha],"&lt;="&amp;FINANCIACION[[#This Row],[Fecha]],FINANCIACION[PRESTAMO],FINANCIACION[[#This Row],[PRESTAMO]])</f>
        <v>-381222548</v>
      </c>
      <c r="G533" s="82"/>
      <c r="H533" s="183"/>
      <c r="I533" s="185"/>
      <c r="J533" s="179">
        <f>IF(FINANCIACION[[#This Row],[$ CAPITAL]]&gt;0,FINANCIACION[[#This Row],[$ CAPITAL]])</f>
        <v>1268533</v>
      </c>
      <c r="K533" s="186">
        <f>IF(FINANCIACION[[#This Row],[$ CAPITAL]]&gt;=0,FINANCIACION[[#This Row],[$ CAPITAL]]+FINANCIACION[[#This Row],[$ INTERESES]],0)</f>
        <v>13963123</v>
      </c>
    </row>
    <row r="534" spans="1:11" ht="24" hidden="1" customHeight="1" x14ac:dyDescent="0.25">
      <c r="A534" s="177">
        <v>43485</v>
      </c>
      <c r="B534" s="184" t="s">
        <v>332</v>
      </c>
      <c r="C534" s="179">
        <v>1482486.9681818199</v>
      </c>
      <c r="D534" s="179">
        <v>4603361.0318181803</v>
      </c>
      <c r="E534" s="179">
        <f>+IF(FINANCIACION[[#This Row],[$ CAPITAL]]&gt;=0,FINANCIACION[[#This Row],[$ CAPITAL]]+FINANCIACION[[#This Row],[$ INTERESES]],"")</f>
        <v>6085848</v>
      </c>
      <c r="F534" s="179">
        <f>+SUMIFS(FINANCIACION[$ CAPITAL],FINANCIACION[Fecha],"&lt;="&amp;FINANCIACION[[#This Row],[Fecha]],FINANCIACION[PRESTAMO],FINANCIACION[[#This Row],[PRESTAMO]])</f>
        <v>-379740061.03181815</v>
      </c>
      <c r="G534" s="82"/>
      <c r="H534" s="190"/>
      <c r="I534" s="185"/>
      <c r="J534" s="179">
        <f>IF(FINANCIACION[[#This Row],[$ CAPITAL]]&gt;0,FINANCIACION[[#This Row],[$ CAPITAL]])</f>
        <v>1482486.9681818199</v>
      </c>
      <c r="K534" s="186">
        <f>IF(FINANCIACION[[#This Row],[$ CAPITAL]]&gt;=0,FINANCIACION[[#This Row],[$ CAPITAL]]+FINANCIACION[[#This Row],[$ INTERESES]],0)</f>
        <v>6085848</v>
      </c>
    </row>
    <row r="535" spans="1:11" ht="24" hidden="1" customHeight="1" x14ac:dyDescent="0.25">
      <c r="A535" s="177">
        <v>43514</v>
      </c>
      <c r="B535" s="184" t="s">
        <v>332</v>
      </c>
      <c r="C535" s="179">
        <v>1286844</v>
      </c>
      <c r="D535" s="179">
        <v>4795368</v>
      </c>
      <c r="E535" s="179">
        <f>+IF(FINANCIACION[[#This Row],[$ CAPITAL]]&gt;=0,FINANCIACION[[#This Row],[$ CAPITAL]]+FINANCIACION[[#This Row],[$ INTERESES]],"")</f>
        <v>6082212</v>
      </c>
      <c r="F535" s="179">
        <f>+SUMIFS(FINANCIACION[$ CAPITAL],FINANCIACION[Fecha],"&lt;="&amp;FINANCIACION[[#This Row],[Fecha]],FINANCIACION[PRESTAMO],FINANCIACION[[#This Row],[PRESTAMO]])</f>
        <v>-378453217.03181815</v>
      </c>
      <c r="G535" s="82"/>
      <c r="H535" s="183"/>
      <c r="I535" s="185"/>
      <c r="J535" s="179">
        <f>IF(FINANCIACION[[#This Row],[$ CAPITAL]]&gt;0,FINANCIACION[[#This Row],[$ CAPITAL]])</f>
        <v>1286844</v>
      </c>
      <c r="K535" s="186">
        <f>IF(FINANCIACION[[#This Row],[$ CAPITAL]]&gt;=0,FINANCIACION[[#This Row],[$ CAPITAL]]+FINANCIACION[[#This Row],[$ INTERESES]],0)</f>
        <v>6082212</v>
      </c>
    </row>
    <row r="536" spans="1:11" ht="24" hidden="1" customHeight="1" x14ac:dyDescent="0.25">
      <c r="A536" s="177">
        <v>43542</v>
      </c>
      <c r="B536" s="184" t="s">
        <v>332</v>
      </c>
      <c r="C536" s="179">
        <v>1302644</v>
      </c>
      <c r="D536" s="179">
        <v>4779568</v>
      </c>
      <c r="E536" s="179">
        <f>+IF(FINANCIACION[[#This Row],[$ CAPITAL]]&gt;=0,FINANCIACION[[#This Row],[$ CAPITAL]]+FINANCIACION[[#This Row],[$ INTERESES]],"")</f>
        <v>6082212</v>
      </c>
      <c r="F536" s="179">
        <f>+SUMIFS(FINANCIACION[$ CAPITAL],FINANCIACION[Fecha],"&lt;="&amp;FINANCIACION[[#This Row],[Fecha]],FINANCIACION[PRESTAMO],FINANCIACION[[#This Row],[PRESTAMO]])</f>
        <v>-377150573.03181815</v>
      </c>
      <c r="G536" s="82"/>
      <c r="H536" s="183"/>
      <c r="I536" s="185"/>
      <c r="J536" s="179">
        <f>IF(FINANCIACION[[#This Row],[$ CAPITAL]]&gt;0,FINANCIACION[[#This Row],[$ CAPITAL]])</f>
        <v>1302644</v>
      </c>
      <c r="K536" s="186">
        <f>IF(FINANCIACION[[#This Row],[$ CAPITAL]]&gt;=0,FINANCIACION[[#This Row],[$ CAPITAL]]+FINANCIACION[[#This Row],[$ INTERESES]],0)</f>
        <v>6082212</v>
      </c>
    </row>
    <row r="537" spans="1:11" ht="24" hidden="1" customHeight="1" x14ac:dyDescent="0.25">
      <c r="A537" s="177">
        <v>43577</v>
      </c>
      <c r="B537" s="184" t="s">
        <v>332</v>
      </c>
      <c r="C537" s="179">
        <v>1302644</v>
      </c>
      <c r="D537" s="179">
        <v>4779568</v>
      </c>
      <c r="E537" s="179">
        <f>+IF(FINANCIACION[[#This Row],[$ CAPITAL]]&gt;=0,FINANCIACION[[#This Row],[$ CAPITAL]]+FINANCIACION[[#This Row],[$ INTERESES]],"")</f>
        <v>6082212</v>
      </c>
      <c r="F537" s="179">
        <f>+SUMIFS(FINANCIACION[$ CAPITAL],FINANCIACION[Fecha],"&lt;="&amp;FINANCIACION[[#This Row],[Fecha]],FINANCIACION[PRESTAMO],FINANCIACION[[#This Row],[PRESTAMO]])</f>
        <v>-375847929.03181815</v>
      </c>
      <c r="G537" s="82"/>
      <c r="H537" s="183"/>
      <c r="I537" s="185"/>
      <c r="J537" s="179">
        <f>IF(FINANCIACION[[#This Row],[$ CAPITAL]]&gt;0,FINANCIACION[[#This Row],[$ CAPITAL]])</f>
        <v>1302644</v>
      </c>
      <c r="K537" s="186">
        <f>IF(FINANCIACION[[#This Row],[$ CAPITAL]]&gt;=0,FINANCIACION[[#This Row],[$ CAPITAL]]+FINANCIACION[[#This Row],[$ INTERESES]],0)</f>
        <v>6082212</v>
      </c>
    </row>
    <row r="538" spans="1:11" ht="24" hidden="1" customHeight="1" x14ac:dyDescent="0.25">
      <c r="A538" s="177">
        <v>43605</v>
      </c>
      <c r="B538" s="184" t="s">
        <v>332</v>
      </c>
      <c r="C538" s="179">
        <v>1334827</v>
      </c>
      <c r="D538" s="179">
        <v>4747385</v>
      </c>
      <c r="E538" s="179">
        <f>+IF(FINANCIACION[[#This Row],[$ CAPITAL]]&gt;=0,FINANCIACION[[#This Row],[$ CAPITAL]]+FINANCIACION[[#This Row],[$ INTERESES]],"")</f>
        <v>6082212</v>
      </c>
      <c r="F538" s="179">
        <f>+SUMIFS(FINANCIACION[$ CAPITAL],FINANCIACION[Fecha],"&lt;="&amp;FINANCIACION[[#This Row],[Fecha]],FINANCIACION[PRESTAMO],FINANCIACION[[#This Row],[PRESTAMO]])</f>
        <v>-374513102.03181815</v>
      </c>
      <c r="G538" s="82"/>
      <c r="H538" s="183"/>
      <c r="I538" s="185"/>
      <c r="J538" s="179">
        <f>IF(FINANCIACION[[#This Row],[$ CAPITAL]]&gt;0,FINANCIACION[[#This Row],[$ CAPITAL]])</f>
        <v>1334827</v>
      </c>
      <c r="K538" s="186">
        <f>IF(FINANCIACION[[#This Row],[$ CAPITAL]]&gt;=0,FINANCIACION[[#This Row],[$ CAPITAL]]+FINANCIACION[[#This Row],[$ INTERESES]],0)</f>
        <v>6082212</v>
      </c>
    </row>
    <row r="539" spans="1:11" ht="24" hidden="1" customHeight="1" x14ac:dyDescent="0.25">
      <c r="A539" s="177">
        <v>43634</v>
      </c>
      <c r="B539" s="184" t="s">
        <v>332</v>
      </c>
      <c r="C539" s="179">
        <v>1351215</v>
      </c>
      <c r="D539" s="179">
        <v>4730997</v>
      </c>
      <c r="E539" s="179">
        <f>+IF(FINANCIACION[[#This Row],[$ CAPITAL]]&gt;=0,FINANCIACION[[#This Row],[$ CAPITAL]]+FINANCIACION[[#This Row],[$ INTERESES]],"")</f>
        <v>6082212</v>
      </c>
      <c r="F539" s="179">
        <f>+SUMIFS(FINANCIACION[$ CAPITAL],FINANCIACION[Fecha],"&lt;="&amp;FINANCIACION[[#This Row],[Fecha]],FINANCIACION[PRESTAMO],FINANCIACION[[#This Row],[PRESTAMO]])</f>
        <v>-373161887.03181815</v>
      </c>
      <c r="G539" s="82"/>
      <c r="I539" s="185"/>
      <c r="J539" s="179">
        <f>IF(FINANCIACION[[#This Row],[$ CAPITAL]]&gt;0,FINANCIACION[[#This Row],[$ CAPITAL]])</f>
        <v>1351215</v>
      </c>
      <c r="K539" s="186">
        <f>IF(FINANCIACION[[#This Row],[$ CAPITAL]]&gt;=0,FINANCIACION[[#This Row],[$ CAPITAL]]+FINANCIACION[[#This Row],[$ INTERESES]],0)</f>
        <v>6082212</v>
      </c>
    </row>
    <row r="540" spans="1:11" ht="24" hidden="1" customHeight="1" x14ac:dyDescent="0.25">
      <c r="A540" s="177">
        <v>43664</v>
      </c>
      <c r="B540" s="184" t="s">
        <v>332</v>
      </c>
      <c r="C540" s="179">
        <v>1367805</v>
      </c>
      <c r="D540" s="179">
        <v>4714407</v>
      </c>
      <c r="E540" s="179">
        <f>+IF(FINANCIACION[[#This Row],[$ CAPITAL]]&gt;=0,FINANCIACION[[#This Row],[$ CAPITAL]]+FINANCIACION[[#This Row],[$ INTERESES]],"")</f>
        <v>6082212</v>
      </c>
      <c r="F540" s="179">
        <f>+SUMIFS(FINANCIACION[$ CAPITAL],FINANCIACION[Fecha],"&lt;="&amp;FINANCIACION[[#This Row],[Fecha]],FINANCIACION[PRESTAMO],FINANCIACION[[#This Row],[PRESTAMO]])</f>
        <v>-371794082.03181815</v>
      </c>
      <c r="G540" s="82"/>
      <c r="H540" s="183"/>
      <c r="I540" s="185"/>
      <c r="J540" s="179">
        <f>IF(FINANCIACION[[#This Row],[$ CAPITAL]]&gt;0,FINANCIACION[[#This Row],[$ CAPITAL]])</f>
        <v>1367805</v>
      </c>
      <c r="K540" s="186">
        <f>IF(FINANCIACION[[#This Row],[$ CAPITAL]]&gt;=0,FINANCIACION[[#This Row],[$ CAPITAL]]+FINANCIACION[[#This Row],[$ INTERESES]],0)</f>
        <v>6082212</v>
      </c>
    </row>
    <row r="541" spans="1:11" ht="24" hidden="1" customHeight="1" x14ac:dyDescent="0.25">
      <c r="A541" s="177">
        <v>43697</v>
      </c>
      <c r="B541" s="184" t="s">
        <v>332</v>
      </c>
      <c r="C541" s="179">
        <v>1392137</v>
      </c>
      <c r="D541" s="179">
        <v>4667683</v>
      </c>
      <c r="E541" s="179">
        <f>+IF(FINANCIACION[[#This Row],[$ CAPITAL]]&gt;=0,FINANCIACION[[#This Row],[$ CAPITAL]]+FINANCIACION[[#This Row],[$ INTERESES]],"")</f>
        <v>6059820</v>
      </c>
      <c r="F541" s="179">
        <f>+SUMIFS(FINANCIACION[$ CAPITAL],FINANCIACION[Fecha],"&lt;="&amp;FINANCIACION[[#This Row],[Fecha]],FINANCIACION[PRESTAMO],FINANCIACION[[#This Row],[PRESTAMO]])</f>
        <v>-370401945.03181815</v>
      </c>
      <c r="G541" s="82"/>
      <c r="H541" s="183"/>
      <c r="I541" s="185"/>
      <c r="J541" s="179">
        <f>IF(FINANCIACION[[#This Row],[$ CAPITAL]]&gt;0,FINANCIACION[[#This Row],[$ CAPITAL]])</f>
        <v>1392137</v>
      </c>
      <c r="K541" s="186">
        <f>IF(FINANCIACION[[#This Row],[$ CAPITAL]]&gt;=0,FINANCIACION[[#This Row],[$ CAPITAL]]+FINANCIACION[[#This Row],[$ INTERESES]],0)</f>
        <v>6059820</v>
      </c>
    </row>
    <row r="542" spans="1:11" ht="24" hidden="1" customHeight="1" x14ac:dyDescent="0.25">
      <c r="A542" s="177">
        <v>43726</v>
      </c>
      <c r="B542" s="184" t="s">
        <v>332</v>
      </c>
      <c r="C542" s="179">
        <v>1409118</v>
      </c>
      <c r="D542" s="179">
        <v>4650702</v>
      </c>
      <c r="E542" s="179">
        <f>+IF(FINANCIACION[[#This Row],[$ CAPITAL]]&gt;=0,FINANCIACION[[#This Row],[$ CAPITAL]]+FINANCIACION[[#This Row],[$ INTERESES]],"")</f>
        <v>6059820</v>
      </c>
      <c r="F542" s="179">
        <f>+SUMIFS(FINANCIACION[$ CAPITAL],FINANCIACION[Fecha],"&lt;="&amp;FINANCIACION[[#This Row],[Fecha]],FINANCIACION[PRESTAMO],FINANCIACION[[#This Row],[PRESTAMO]])</f>
        <v>-368992827.03181815</v>
      </c>
      <c r="G542" s="82"/>
      <c r="I542" s="185"/>
      <c r="J542" s="179">
        <f>IF(FINANCIACION[[#This Row],[$ CAPITAL]]&gt;0,FINANCIACION[[#This Row],[$ CAPITAL]])</f>
        <v>1409118</v>
      </c>
      <c r="K542" s="186">
        <f>IF(FINANCIACION[[#This Row],[$ CAPITAL]]&gt;=0,FINANCIACION[[#This Row],[$ CAPITAL]]+FINANCIACION[[#This Row],[$ INTERESES]],0)</f>
        <v>6059820</v>
      </c>
    </row>
    <row r="543" spans="1:11" ht="24" hidden="1" customHeight="1" x14ac:dyDescent="0.25">
      <c r="A543" s="177">
        <v>43756</v>
      </c>
      <c r="B543" s="184" t="s">
        <v>332</v>
      </c>
      <c r="C543" s="179">
        <v>1426306</v>
      </c>
      <c r="D543" s="179">
        <v>4592899</v>
      </c>
      <c r="E543" s="179">
        <f>+IF(FINANCIACION[[#This Row],[$ CAPITAL]]&gt;=0,FINANCIACION[[#This Row],[$ CAPITAL]]+FINANCIACION[[#This Row],[$ INTERESES]],"")</f>
        <v>6019205</v>
      </c>
      <c r="F543" s="179">
        <f>+SUMIFS(FINANCIACION[$ CAPITAL],FINANCIACION[Fecha],"&lt;="&amp;FINANCIACION[[#This Row],[Fecha]],FINANCIACION[PRESTAMO],FINANCIACION[[#This Row],[PRESTAMO]])</f>
        <v>-367566521.03181815</v>
      </c>
      <c r="G543" s="82"/>
      <c r="H543" s="183"/>
      <c r="I543" s="185"/>
      <c r="J543" s="179">
        <f>IF(FINANCIACION[[#This Row],[$ CAPITAL]]&gt;0,FINANCIACION[[#This Row],[$ CAPITAL]])</f>
        <v>1426306</v>
      </c>
      <c r="K543" s="186">
        <f>IF(FINANCIACION[[#This Row],[$ CAPITAL]]&gt;=0,FINANCIACION[[#This Row],[$ CAPITAL]]+FINANCIACION[[#This Row],[$ INTERESES]],0)</f>
        <v>6019205</v>
      </c>
    </row>
    <row r="544" spans="1:11" ht="24" hidden="1" customHeight="1" x14ac:dyDescent="0.25">
      <c r="A544" s="177">
        <v>43787</v>
      </c>
      <c r="B544" s="184" t="s">
        <v>332</v>
      </c>
      <c r="C544" s="179">
        <v>1442047.66666667</v>
      </c>
      <c r="D544" s="179">
        <v>4639789.3333333302</v>
      </c>
      <c r="E544" s="179">
        <f>+IF(FINANCIACION[[#This Row],[$ CAPITAL]]&gt;=0,FINANCIACION[[#This Row],[$ CAPITAL]]+FINANCIACION[[#This Row],[$ INTERESES]],"")</f>
        <v>6081837</v>
      </c>
      <c r="F544" s="179">
        <f>+SUMIFS(FINANCIACION[$ CAPITAL],FINANCIACION[Fecha],"&lt;="&amp;FINANCIACION[[#This Row],[Fecha]],FINANCIACION[PRESTAMO],FINANCIACION[[#This Row],[PRESTAMO]])</f>
        <v>-366124473.36515146</v>
      </c>
      <c r="G544" s="82"/>
      <c r="I544" s="185"/>
      <c r="J544" s="179">
        <f>IF(FINANCIACION[[#This Row],[$ CAPITAL]]&gt;0,FINANCIACION[[#This Row],[$ CAPITAL]])</f>
        <v>1442047.66666667</v>
      </c>
      <c r="K544" s="186">
        <f>IF(FINANCIACION[[#This Row],[$ CAPITAL]]&gt;=0,FINANCIACION[[#This Row],[$ CAPITAL]]+FINANCIACION[[#This Row],[$ INTERESES]],0)</f>
        <v>6081837</v>
      </c>
    </row>
    <row r="545" spans="1:11" ht="24" hidden="1" customHeight="1" x14ac:dyDescent="0.25">
      <c r="A545" s="177">
        <v>43817</v>
      </c>
      <c r="B545" s="184" t="s">
        <v>332</v>
      </c>
      <c r="C545" s="179">
        <v>1459836.82424242</v>
      </c>
      <c r="D545" s="179">
        <v>4622000.1757575795</v>
      </c>
      <c r="E545" s="179">
        <f>+IF(FINANCIACION[[#This Row],[$ CAPITAL]]&gt;=0,FINANCIACION[[#This Row],[$ CAPITAL]]+FINANCIACION[[#This Row],[$ INTERESES]],"")</f>
        <v>6081837</v>
      </c>
      <c r="F545" s="179">
        <f>+SUMIFS(FINANCIACION[$ CAPITAL],FINANCIACION[Fecha],"&lt;="&amp;FINANCIACION[[#This Row],[Fecha]],FINANCIACION[PRESTAMO],FINANCIACION[[#This Row],[PRESTAMO]])</f>
        <v>-364664636.54090905</v>
      </c>
      <c r="G545" s="82"/>
      <c r="H545" s="183"/>
      <c r="I545" s="185"/>
      <c r="J545" s="179">
        <f>IF(FINANCIACION[[#This Row],[$ CAPITAL]]&gt;0,FINANCIACION[[#This Row],[$ CAPITAL]])</f>
        <v>1459836.82424242</v>
      </c>
      <c r="K545" s="186">
        <f>IF(FINANCIACION[[#This Row],[$ CAPITAL]]&gt;=0,FINANCIACION[[#This Row],[$ CAPITAL]]+FINANCIACION[[#This Row],[$ INTERESES]],0)</f>
        <v>6081837</v>
      </c>
    </row>
    <row r="546" spans="1:11" ht="24" hidden="1" customHeight="1" x14ac:dyDescent="0.25">
      <c r="A546" s="177">
        <v>43830</v>
      </c>
      <c r="B546" s="184" t="s">
        <v>332</v>
      </c>
      <c r="C546" s="179">
        <v>-24464288.602231398</v>
      </c>
      <c r="D546" s="179"/>
      <c r="E546" s="179" t="str">
        <f>+IF(FINANCIACION[[#This Row],[$ CAPITAL]]&gt;=0,FINANCIACION[[#This Row],[$ CAPITAL]]+FINANCIACION[[#This Row],[$ INTERESES]],"")</f>
        <v/>
      </c>
      <c r="F546" s="179">
        <f>+SUMIFS(FINANCIACION[$ CAPITAL],FINANCIACION[Fecha],"&lt;="&amp;FINANCIACION[[#This Row],[Fecha]],FINANCIACION[PRESTAMO],FINANCIACION[[#This Row],[PRESTAMO]])</f>
        <v>-389128925.14314044</v>
      </c>
      <c r="G546" s="82"/>
      <c r="H546" s="183"/>
      <c r="I546" s="185"/>
      <c r="J546" s="179" t="b">
        <f>IF(FINANCIACION[[#This Row],[$ CAPITAL]]&gt;0,FINANCIACION[[#This Row],[$ CAPITAL]])</f>
        <v>0</v>
      </c>
      <c r="K546" s="186">
        <f>IF(FINANCIACION[[#This Row],[$ CAPITAL]]&gt;=0,FINANCIACION[[#This Row],[$ CAPITAL]]+FINANCIACION[[#This Row],[$ INTERESES]],0)</f>
        <v>0</v>
      </c>
    </row>
    <row r="547" spans="1:11" ht="24" hidden="1" customHeight="1" x14ac:dyDescent="0.25">
      <c r="A547" s="188">
        <v>43848</v>
      </c>
      <c r="B547" s="184" t="s">
        <v>332</v>
      </c>
      <c r="C547" s="179">
        <v>1471610</v>
      </c>
      <c r="D547" s="179">
        <v>4614238</v>
      </c>
      <c r="E547" s="179">
        <f>+IF(FINANCIACION[[#This Row],[$ CAPITAL]]&gt;=0,FINANCIACION[[#This Row],[$ CAPITAL]]+FINANCIACION[[#This Row],[$ INTERESES]],"")</f>
        <v>6085848</v>
      </c>
      <c r="F547" s="179">
        <f>+SUMIFS(FINANCIACION[$ CAPITAL],FINANCIACION[Fecha],"&lt;="&amp;FINANCIACION[[#This Row],[Fecha]],FINANCIACION[PRESTAMO],FINANCIACION[[#This Row],[PRESTAMO]])</f>
        <v>-387657315.14314044</v>
      </c>
      <c r="G547" s="82"/>
      <c r="H547" s="183"/>
      <c r="I547" s="185"/>
      <c r="J547" s="179">
        <f>IF(FINANCIACION[[#This Row],[$ CAPITAL]]&gt;0,FINANCIACION[[#This Row],[$ CAPITAL]])</f>
        <v>1471610</v>
      </c>
      <c r="K547" s="186">
        <f>IF(FINANCIACION[[#This Row],[$ CAPITAL]]&gt;=0,FINANCIACION[[#This Row],[$ CAPITAL]]+FINANCIACION[[#This Row],[$ INTERESES]],0)</f>
        <v>6085848</v>
      </c>
    </row>
    <row r="548" spans="1:11" ht="24" hidden="1" customHeight="1" x14ac:dyDescent="0.25">
      <c r="A548" s="188">
        <v>43879</v>
      </c>
      <c r="B548" s="184" t="s">
        <v>332</v>
      </c>
      <c r="C548" s="179">
        <v>1491748</v>
      </c>
      <c r="D548" s="179">
        <v>4588198</v>
      </c>
      <c r="E548" s="179">
        <f>+IF(FINANCIACION[[#This Row],[$ CAPITAL]]&gt;=0,FINANCIACION[[#This Row],[$ CAPITAL]]+FINANCIACION[[#This Row],[$ INTERESES]],"")</f>
        <v>6079946</v>
      </c>
      <c r="F548" s="179">
        <f>+SUMIFS(FINANCIACION[$ CAPITAL],FINANCIACION[Fecha],"&lt;="&amp;FINANCIACION[[#This Row],[Fecha]],FINANCIACION[PRESTAMO],FINANCIACION[[#This Row],[PRESTAMO]])</f>
        <v>-386165567.14314044</v>
      </c>
      <c r="G548" s="82"/>
      <c r="I548" s="185"/>
      <c r="J548" s="179">
        <f>IF(FINANCIACION[[#This Row],[$ CAPITAL]]&gt;0,FINANCIACION[[#This Row],[$ CAPITAL]])</f>
        <v>1491748</v>
      </c>
      <c r="K548" s="186">
        <f>IF(FINANCIACION[[#This Row],[$ CAPITAL]]&gt;=0,FINANCIACION[[#This Row],[$ CAPITAL]]+FINANCIACION[[#This Row],[$ INTERESES]],0)</f>
        <v>6079946</v>
      </c>
    </row>
    <row r="549" spans="1:11" ht="24" hidden="1" customHeight="1" x14ac:dyDescent="0.25">
      <c r="A549" s="188">
        <v>43908</v>
      </c>
      <c r="B549" s="184" t="s">
        <v>332</v>
      </c>
      <c r="C549" s="179">
        <v>1513636.1431404999</v>
      </c>
      <c r="D549" s="179">
        <v>4992178.8568594996</v>
      </c>
      <c r="E549" s="179">
        <f>+IF(FINANCIACION[[#This Row],[$ CAPITAL]]&gt;=0,FINANCIACION[[#This Row],[$ CAPITAL]]+FINANCIACION[[#This Row],[$ INTERESES]],"")</f>
        <v>6505815</v>
      </c>
      <c r="F549" s="179">
        <f>+SUMIFS(FINANCIACION[$ CAPITAL],FINANCIACION[Fecha],"&lt;="&amp;FINANCIACION[[#This Row],[Fecha]],FINANCIACION[PRESTAMO],FINANCIACION[[#This Row],[PRESTAMO]])</f>
        <v>-384651930.99999994</v>
      </c>
      <c r="G549" s="82"/>
      <c r="I549" s="185"/>
      <c r="J549" s="179">
        <f>IF(FINANCIACION[[#This Row],[$ CAPITAL]]&gt;0,FINANCIACION[[#This Row],[$ CAPITAL]])</f>
        <v>1513636.1431404999</v>
      </c>
      <c r="K549" s="186">
        <f>IF(FINANCIACION[[#This Row],[$ CAPITAL]]&gt;=0,FINANCIACION[[#This Row],[$ CAPITAL]]+FINANCIACION[[#This Row],[$ INTERESES]],0)</f>
        <v>6505815</v>
      </c>
    </row>
    <row r="550" spans="1:11" ht="24" hidden="1" customHeight="1" x14ac:dyDescent="0.25">
      <c r="A550" s="188">
        <v>44043</v>
      </c>
      <c r="B550" s="184" t="s">
        <v>332</v>
      </c>
      <c r="C550" s="179">
        <v>-183255600</v>
      </c>
      <c r="D550" s="179"/>
      <c r="E550" s="179" t="str">
        <f>+IF(FINANCIACION[[#This Row],[$ CAPITAL]]&gt;=0,FINANCIACION[[#This Row],[$ CAPITAL]]+FINANCIACION[[#This Row],[$ INTERESES]],"")</f>
        <v/>
      </c>
      <c r="F550" s="179">
        <f>+SUMIFS(FINANCIACION[$ CAPITAL],FINANCIACION[Fecha],"&lt;="&amp;FINANCIACION[[#This Row],[Fecha]],FINANCIACION[PRESTAMO],FINANCIACION[[#This Row],[PRESTAMO]])</f>
        <v>-380443064</v>
      </c>
      <c r="G550" s="82"/>
      <c r="H550" s="183"/>
      <c r="I550" s="185"/>
      <c r="J550" s="179" t="b">
        <f>IF(FINANCIACION[[#This Row],[$ CAPITAL]]&gt;0,FINANCIACION[[#This Row],[$ CAPITAL]])</f>
        <v>0</v>
      </c>
      <c r="K550" s="186">
        <f>IF(FINANCIACION[[#This Row],[$ CAPITAL]]&gt;=0,FINANCIACION[[#This Row],[$ CAPITAL]]+FINANCIACION[[#This Row],[$ INTERESES]],0)</f>
        <v>0</v>
      </c>
    </row>
    <row r="551" spans="1:11" ht="24" hidden="1" customHeight="1" x14ac:dyDescent="0.25">
      <c r="A551" s="188">
        <v>44043</v>
      </c>
      <c r="B551" s="184" t="s">
        <v>332</v>
      </c>
      <c r="C551" s="179">
        <v>187464467</v>
      </c>
      <c r="D551" s="179"/>
      <c r="E551" s="179">
        <f>+IF(FINANCIACION[[#This Row],[$ CAPITAL]]&gt;=0,FINANCIACION[[#This Row],[$ CAPITAL]]+FINANCIACION[[#This Row],[$ INTERESES]],"")</f>
        <v>187464467</v>
      </c>
      <c r="F551" s="179">
        <f>+SUMIFS(FINANCIACION[$ CAPITAL],FINANCIACION[Fecha],"&lt;="&amp;FINANCIACION[[#This Row],[Fecha]],FINANCIACION[PRESTAMO],FINANCIACION[[#This Row],[PRESTAMO]])</f>
        <v>-380443064</v>
      </c>
      <c r="G551" s="82"/>
      <c r="H551" s="183"/>
      <c r="I551" s="185"/>
      <c r="J551" s="179">
        <f>IF(FINANCIACION[[#This Row],[$ CAPITAL]]&gt;0,FINANCIACION[[#This Row],[$ CAPITAL]])</f>
        <v>187464467</v>
      </c>
      <c r="K551" s="186">
        <f>IF(FINANCIACION[[#This Row],[$ CAPITAL]]&gt;=0,FINANCIACION[[#This Row],[$ CAPITAL]]+FINANCIACION[[#This Row],[$ INTERESES]],0)</f>
        <v>187464467</v>
      </c>
    </row>
    <row r="552" spans="1:11" ht="24" hidden="1" customHeight="1" x14ac:dyDescent="0.25">
      <c r="A552" s="188">
        <v>44092</v>
      </c>
      <c r="B552" s="184" t="s">
        <v>332</v>
      </c>
      <c r="C552" s="179">
        <v>3000000</v>
      </c>
      <c r="D552" s="179"/>
      <c r="E552" s="179">
        <f>+IF(FINANCIACION[[#This Row],[$ CAPITAL]]&gt;=0,FINANCIACION[[#This Row],[$ CAPITAL]]+FINANCIACION[[#This Row],[$ INTERESES]],"")</f>
        <v>3000000</v>
      </c>
      <c r="F552" s="179">
        <f>+SUMIFS(FINANCIACION[$ CAPITAL],FINANCIACION[Fecha],"&lt;="&amp;FINANCIACION[[#This Row],[Fecha]],FINANCIACION[PRESTAMO],FINANCIACION[[#This Row],[PRESTAMO]])</f>
        <v>-377443064</v>
      </c>
      <c r="G552" s="82"/>
      <c r="H552" s="183"/>
      <c r="I552" s="185"/>
      <c r="J552" s="179">
        <f>IF(FINANCIACION[[#This Row],[$ CAPITAL]]&gt;0,FINANCIACION[[#This Row],[$ CAPITAL]])</f>
        <v>3000000</v>
      </c>
      <c r="K552" s="186">
        <f>IF(FINANCIACION[[#This Row],[$ CAPITAL]]&gt;=0,FINANCIACION[[#This Row],[$ CAPITAL]]+FINANCIACION[[#This Row],[$ INTERESES]],0)</f>
        <v>3000000</v>
      </c>
    </row>
    <row r="553" spans="1:11" ht="24" hidden="1" customHeight="1" x14ac:dyDescent="0.25">
      <c r="A553" s="188">
        <v>44104</v>
      </c>
      <c r="B553" s="184" t="s">
        <v>332</v>
      </c>
      <c r="C553" s="179">
        <v>-39568203</v>
      </c>
      <c r="D553" s="179"/>
      <c r="E553" s="179" t="str">
        <f>+IF(FINANCIACION[[#This Row],[$ CAPITAL]]&gt;=0,FINANCIACION[[#This Row],[$ CAPITAL]]+FINANCIACION[[#This Row],[$ INTERESES]],"")</f>
        <v/>
      </c>
      <c r="F553" s="179">
        <f>+SUMIFS(FINANCIACION[$ CAPITAL],FINANCIACION[Fecha],"&lt;="&amp;FINANCIACION[[#This Row],[Fecha]],FINANCIACION[PRESTAMO],FINANCIACION[[#This Row],[PRESTAMO]])</f>
        <v>-417011267</v>
      </c>
      <c r="G553" s="82"/>
      <c r="H553" s="183"/>
      <c r="I553" s="185"/>
      <c r="J553" s="179" t="b">
        <f>IF(FINANCIACION[[#This Row],[$ CAPITAL]]&gt;0,FINANCIACION[[#This Row],[$ CAPITAL]])</f>
        <v>0</v>
      </c>
      <c r="K553" s="186">
        <f>IF(FINANCIACION[[#This Row],[$ CAPITAL]]&gt;=0,FINANCIACION[[#This Row],[$ CAPITAL]]+FINANCIACION[[#This Row],[$ INTERESES]],0)</f>
        <v>0</v>
      </c>
    </row>
    <row r="554" spans="1:11" ht="24" hidden="1" customHeight="1" x14ac:dyDescent="0.25">
      <c r="A554" s="188">
        <v>44111</v>
      </c>
      <c r="B554" s="184" t="s">
        <v>332</v>
      </c>
      <c r="C554" s="179">
        <v>3000000</v>
      </c>
      <c r="D554" s="179"/>
      <c r="E554" s="179">
        <f>+IF(FINANCIACION[[#This Row],[$ CAPITAL]]&gt;=0,FINANCIACION[[#This Row],[$ CAPITAL]]+FINANCIACION[[#This Row],[$ INTERESES]],"")</f>
        <v>3000000</v>
      </c>
      <c r="F554" s="179">
        <f>+SUMIFS(FINANCIACION[$ CAPITAL],FINANCIACION[Fecha],"&lt;="&amp;FINANCIACION[[#This Row],[Fecha]],FINANCIACION[PRESTAMO],FINANCIACION[[#This Row],[PRESTAMO]])</f>
        <v>-414011267</v>
      </c>
      <c r="G554" s="82"/>
      <c r="H554" s="183"/>
      <c r="I554" s="185"/>
      <c r="J554" s="179">
        <f>IF(FINANCIACION[[#This Row],[$ CAPITAL]]&gt;0,FINANCIACION[[#This Row],[$ CAPITAL]])</f>
        <v>3000000</v>
      </c>
      <c r="K554" s="186">
        <f>IF(FINANCIACION[[#This Row],[$ CAPITAL]]&gt;=0,FINANCIACION[[#This Row],[$ CAPITAL]]+FINANCIACION[[#This Row],[$ INTERESES]],0)</f>
        <v>3000000</v>
      </c>
    </row>
    <row r="555" spans="1:11" ht="24" hidden="1" customHeight="1" x14ac:dyDescent="0.25">
      <c r="A555" s="188">
        <v>44131</v>
      </c>
      <c r="B555" s="184" t="s">
        <v>332</v>
      </c>
      <c r="C555" s="179">
        <v>5000000</v>
      </c>
      <c r="D555" s="179"/>
      <c r="E555" s="179">
        <f>+IF(FINANCIACION[[#This Row],[$ CAPITAL]]&gt;=0,FINANCIACION[[#This Row],[$ CAPITAL]]+FINANCIACION[[#This Row],[$ INTERESES]],"")</f>
        <v>5000000</v>
      </c>
      <c r="F555" s="179">
        <f>+SUMIFS(FINANCIACION[$ CAPITAL],FINANCIACION[Fecha],"&lt;="&amp;FINANCIACION[[#This Row],[Fecha]],FINANCIACION[PRESTAMO],FINANCIACION[[#This Row],[PRESTAMO]])</f>
        <v>-409011267</v>
      </c>
      <c r="G555" s="82"/>
      <c r="H555" s="183"/>
      <c r="I555" s="185"/>
      <c r="J555" s="179">
        <f>IF(FINANCIACION[[#This Row],[$ CAPITAL]]&gt;0,FINANCIACION[[#This Row],[$ CAPITAL]])</f>
        <v>5000000</v>
      </c>
      <c r="K555" s="186">
        <f>IF(FINANCIACION[[#This Row],[$ CAPITAL]]&gt;=0,FINANCIACION[[#This Row],[$ CAPITAL]]+FINANCIACION[[#This Row],[$ INTERESES]],0)</f>
        <v>5000000</v>
      </c>
    </row>
    <row r="556" spans="1:11" ht="24" hidden="1" customHeight="1" x14ac:dyDescent="0.25">
      <c r="A556" s="188">
        <v>44135</v>
      </c>
      <c r="B556" s="184" t="s">
        <v>332</v>
      </c>
      <c r="C556" s="179">
        <v>6521200</v>
      </c>
      <c r="D556" s="179"/>
      <c r="E556" s="179">
        <f>+IF(FINANCIACION[[#This Row],[$ CAPITAL]]&gt;=0,FINANCIACION[[#This Row],[$ CAPITAL]]+FINANCIACION[[#This Row],[$ INTERESES]],"")</f>
        <v>6521200</v>
      </c>
      <c r="F556" s="179">
        <f>+SUMIFS(FINANCIACION[$ CAPITAL],FINANCIACION[Fecha],"&lt;="&amp;FINANCIACION[[#This Row],[Fecha]],FINANCIACION[PRESTAMO],FINANCIACION[[#This Row],[PRESTAMO]])</f>
        <v>-402490067</v>
      </c>
      <c r="G556" s="82"/>
      <c r="H556" s="183"/>
      <c r="I556" s="185"/>
      <c r="J556" s="179">
        <f>IF(FINANCIACION[[#This Row],[$ CAPITAL]]&gt;0,FINANCIACION[[#This Row],[$ CAPITAL]])</f>
        <v>6521200</v>
      </c>
      <c r="K556" s="186">
        <f>IF(FINANCIACION[[#This Row],[$ CAPITAL]]&gt;=0,FINANCIACION[[#This Row],[$ CAPITAL]]+FINANCIACION[[#This Row],[$ INTERESES]],0)</f>
        <v>6521200</v>
      </c>
    </row>
    <row r="557" spans="1:11" ht="24" hidden="1" customHeight="1" x14ac:dyDescent="0.25">
      <c r="A557" s="188">
        <v>44161</v>
      </c>
      <c r="B557" s="184" t="s">
        <v>332</v>
      </c>
      <c r="C557" s="179">
        <v>0</v>
      </c>
      <c r="D557" s="179">
        <v>2000000</v>
      </c>
      <c r="E557" s="179">
        <f>+IF(FINANCIACION[[#This Row],[$ CAPITAL]]&gt;=0,FINANCIACION[[#This Row],[$ CAPITAL]]+FINANCIACION[[#This Row],[$ INTERESES]],"")</f>
        <v>2000000</v>
      </c>
      <c r="F557" s="179">
        <f>+SUMIFS(FINANCIACION[$ CAPITAL],FINANCIACION[Fecha],"&lt;="&amp;FINANCIACION[[#This Row],[Fecha]],FINANCIACION[PRESTAMO],FINANCIACION[[#This Row],[PRESTAMO]])</f>
        <v>-402490067</v>
      </c>
      <c r="G557" s="82"/>
      <c r="H557" s="183"/>
      <c r="I557" s="185"/>
      <c r="J557" s="179" t="b">
        <f>IF(FINANCIACION[[#This Row],[$ CAPITAL]]&gt;0,FINANCIACION[[#This Row],[$ CAPITAL]])</f>
        <v>0</v>
      </c>
      <c r="K557" s="186">
        <f>IF(FINANCIACION[[#This Row],[$ CAPITAL]]&gt;=0,FINANCIACION[[#This Row],[$ CAPITAL]]+FINANCIACION[[#This Row],[$ INTERESES]],0)</f>
        <v>2000000</v>
      </c>
    </row>
    <row r="558" spans="1:11" ht="24" hidden="1" customHeight="1" x14ac:dyDescent="0.25">
      <c r="A558" s="188">
        <v>44165</v>
      </c>
      <c r="B558" s="184" t="s">
        <v>332</v>
      </c>
      <c r="C558" s="179">
        <v>5494197</v>
      </c>
      <c r="D558" s="179"/>
      <c r="E558" s="179">
        <f>+IF(FINANCIACION[[#This Row],[$ CAPITAL]]&gt;=0,FINANCIACION[[#This Row],[$ CAPITAL]]+FINANCIACION[[#This Row],[$ INTERESES]],"")</f>
        <v>5494197</v>
      </c>
      <c r="F558" s="179">
        <f>+SUMIFS(FINANCIACION[$ CAPITAL],FINANCIACION[Fecha],"&lt;="&amp;FINANCIACION[[#This Row],[Fecha]],FINANCIACION[PRESTAMO],FINANCIACION[[#This Row],[PRESTAMO]])</f>
        <v>-396995870</v>
      </c>
      <c r="G558" s="82"/>
      <c r="H558" s="183"/>
      <c r="I558" s="185"/>
      <c r="J558" s="179">
        <f>IF(FINANCIACION[[#This Row],[$ CAPITAL]]&gt;0,FINANCIACION[[#This Row],[$ CAPITAL]])</f>
        <v>5494197</v>
      </c>
      <c r="K558" s="186">
        <f>IF(FINANCIACION[[#This Row],[$ CAPITAL]]&gt;=0,FINANCIACION[[#This Row],[$ CAPITAL]]+FINANCIACION[[#This Row],[$ INTERESES]],0)</f>
        <v>5494197</v>
      </c>
    </row>
    <row r="559" spans="1:11" ht="24" hidden="1" customHeight="1" x14ac:dyDescent="0.25">
      <c r="A559" s="188">
        <v>44187</v>
      </c>
      <c r="B559" s="184" t="s">
        <v>332</v>
      </c>
      <c r="C559" s="179">
        <v>5215587</v>
      </c>
      <c r="D559" s="179"/>
      <c r="E559" s="179">
        <f>+IF(FINANCIACION[[#This Row],[$ CAPITAL]]&gt;=0,FINANCIACION[[#This Row],[$ CAPITAL]]+FINANCIACION[[#This Row],[$ INTERESES]],"")</f>
        <v>5215587</v>
      </c>
      <c r="F559" s="179">
        <f>+SUMIFS(FINANCIACION[$ CAPITAL],FINANCIACION[Fecha],"&lt;="&amp;FINANCIACION[[#This Row],[Fecha]],FINANCIACION[PRESTAMO],FINANCIACION[[#This Row],[PRESTAMO]])</f>
        <v>-391780283</v>
      </c>
      <c r="G559" s="82"/>
      <c r="H559" s="183"/>
      <c r="I559" s="185"/>
      <c r="J559" s="179">
        <f>IF(FINANCIACION[[#This Row],[$ CAPITAL]]&gt;0,FINANCIACION[[#This Row],[$ CAPITAL]])</f>
        <v>5215587</v>
      </c>
      <c r="K559" s="186">
        <f>IF(FINANCIACION[[#This Row],[$ CAPITAL]]&gt;=0,FINANCIACION[[#This Row],[$ CAPITAL]]+FINANCIACION[[#This Row],[$ INTERESES]],0)</f>
        <v>5215587</v>
      </c>
    </row>
    <row r="560" spans="1:11" ht="24" hidden="1" customHeight="1" x14ac:dyDescent="0.25">
      <c r="A560" s="188">
        <v>44196</v>
      </c>
      <c r="B560" s="184" t="s">
        <v>332</v>
      </c>
      <c r="C560" s="179">
        <v>36112485</v>
      </c>
      <c r="D560" s="179"/>
      <c r="E560" s="179">
        <f>+IF(FINANCIACION[[#This Row],[$ CAPITAL]]&gt;=0,FINANCIACION[[#This Row],[$ CAPITAL]]+FINANCIACION[[#This Row],[$ INTERESES]],"")</f>
        <v>36112485</v>
      </c>
      <c r="F560" s="179">
        <f>+SUMIFS(FINANCIACION[$ CAPITAL],FINANCIACION[Fecha],"&lt;="&amp;FINANCIACION[[#This Row],[Fecha]],FINANCIACION[PRESTAMO],FINANCIACION[[#This Row],[PRESTAMO]])</f>
        <v>-349958312</v>
      </c>
      <c r="G560" s="82"/>
      <c r="H560" s="183" t="s">
        <v>201</v>
      </c>
      <c r="I560" s="185"/>
      <c r="J560" s="179">
        <f>IF(FINANCIACION[[#This Row],[$ CAPITAL]]&gt;0,FINANCIACION[[#This Row],[$ CAPITAL]])</f>
        <v>36112485</v>
      </c>
      <c r="K560" s="186">
        <f>IF(FINANCIACION[[#This Row],[$ CAPITAL]]&gt;=0,FINANCIACION[[#This Row],[$ CAPITAL]]+FINANCIACION[[#This Row],[$ INTERESES]],0)</f>
        <v>36112485</v>
      </c>
    </row>
    <row r="561" spans="1:11" ht="24" hidden="1" customHeight="1" x14ac:dyDescent="0.25">
      <c r="A561" s="188">
        <v>44196</v>
      </c>
      <c r="B561" s="184" t="s">
        <v>332</v>
      </c>
      <c r="C561" s="179">
        <v>5709486</v>
      </c>
      <c r="D561" s="179"/>
      <c r="E561" s="179">
        <f>+IF(FINANCIACION[[#This Row],[$ CAPITAL]]&gt;=0,FINANCIACION[[#This Row],[$ CAPITAL]]+FINANCIACION[[#This Row],[$ INTERESES]],"")</f>
        <v>5709486</v>
      </c>
      <c r="F561" s="179">
        <f>+SUMIFS(FINANCIACION[$ CAPITAL],FINANCIACION[Fecha],"&lt;="&amp;FINANCIACION[[#This Row],[Fecha]],FINANCIACION[PRESTAMO],FINANCIACION[[#This Row],[PRESTAMO]])</f>
        <v>-349958312</v>
      </c>
      <c r="G561" s="82"/>
      <c r="H561" s="183"/>
      <c r="I561" s="185"/>
      <c r="J561" s="179">
        <f>IF(FINANCIACION[[#This Row],[$ CAPITAL]]&gt;0,FINANCIACION[[#This Row],[$ CAPITAL]])</f>
        <v>5709486</v>
      </c>
      <c r="K561" s="186">
        <f>IF(FINANCIACION[[#This Row],[$ CAPITAL]]&gt;=0,FINANCIACION[[#This Row],[$ CAPITAL]]+FINANCIACION[[#This Row],[$ INTERESES]],0)</f>
        <v>5709486</v>
      </c>
    </row>
    <row r="562" spans="1:11" ht="24" hidden="1" customHeight="1" x14ac:dyDescent="0.25">
      <c r="A562" s="177">
        <v>44244</v>
      </c>
      <c r="B562" s="184" t="s">
        <v>332</v>
      </c>
      <c r="C562" s="179">
        <v>108181</v>
      </c>
      <c r="D562" s="179"/>
      <c r="E562" s="179">
        <f>+IF(FINANCIACION[[#This Row],[$ CAPITAL]]&gt;=0,FINANCIACION[[#This Row],[$ CAPITAL]]+FINANCIACION[[#This Row],[$ INTERESES]],"")</f>
        <v>108181</v>
      </c>
      <c r="F562" s="179">
        <f>+SUMIFS(FINANCIACION[$ CAPITAL],FINANCIACION[Fecha],"&lt;="&amp;FINANCIACION[[#This Row],[Fecha]],FINANCIACION[PRESTAMO],FINANCIACION[[#This Row],[PRESTAMO]])</f>
        <v>-346350131</v>
      </c>
      <c r="G562" s="82"/>
      <c r="H562" s="183"/>
      <c r="I562" s="185"/>
      <c r="J562" s="179">
        <f>IF(FINANCIACION[[#This Row],[$ CAPITAL]]&gt;0,FINANCIACION[[#This Row],[$ CAPITAL]])</f>
        <v>108181</v>
      </c>
      <c r="K562" s="186">
        <f>IF(FINANCIACION[[#This Row],[$ CAPITAL]]&gt;=0,FINANCIACION[[#This Row],[$ CAPITAL]]+FINANCIACION[[#This Row],[$ INTERESES]],0)</f>
        <v>108181</v>
      </c>
    </row>
    <row r="563" spans="1:11" ht="24" hidden="1" customHeight="1" x14ac:dyDescent="0.25">
      <c r="A563" s="177">
        <v>44244</v>
      </c>
      <c r="B563" s="184" t="s">
        <v>332</v>
      </c>
      <c r="C563" s="179">
        <v>3500000</v>
      </c>
      <c r="D563" s="179"/>
      <c r="E563" s="179">
        <f>+IF(FINANCIACION[[#This Row],[$ CAPITAL]]&gt;=0,FINANCIACION[[#This Row],[$ CAPITAL]]+FINANCIACION[[#This Row],[$ INTERESES]],"")</f>
        <v>3500000</v>
      </c>
      <c r="F563" s="179">
        <f>+SUMIFS(FINANCIACION[$ CAPITAL],FINANCIACION[Fecha],"&lt;="&amp;FINANCIACION[[#This Row],[Fecha]],FINANCIACION[PRESTAMO],FINANCIACION[[#This Row],[PRESTAMO]])</f>
        <v>-346350131</v>
      </c>
      <c r="G563" s="82"/>
      <c r="H563" s="183"/>
      <c r="I563" s="185"/>
      <c r="J563" s="179">
        <f>IF(FINANCIACION[[#This Row],[$ CAPITAL]]&gt;0,FINANCIACION[[#This Row],[$ CAPITAL]])</f>
        <v>3500000</v>
      </c>
      <c r="K563" s="186">
        <f>IF(FINANCIACION[[#This Row],[$ CAPITAL]]&gt;=0,FINANCIACION[[#This Row],[$ CAPITAL]]+FINANCIACION[[#This Row],[$ INTERESES]],0)</f>
        <v>3500000</v>
      </c>
    </row>
    <row r="564" spans="1:11" ht="24" hidden="1" customHeight="1" x14ac:dyDescent="0.25">
      <c r="A564" s="177">
        <v>44255</v>
      </c>
      <c r="B564" s="184" t="s">
        <v>332</v>
      </c>
      <c r="C564" s="179">
        <v>-8929573</v>
      </c>
      <c r="D564" s="179"/>
      <c r="E564" s="179" t="str">
        <f>+IF(FINANCIACION[[#This Row],[$ CAPITAL]]&gt;=0,FINANCIACION[[#This Row],[$ CAPITAL]]+FINANCIACION[[#This Row],[$ INTERESES]],"")</f>
        <v/>
      </c>
      <c r="F564" s="179">
        <f>+SUMIFS(FINANCIACION[$ CAPITAL],FINANCIACION[Fecha],"&lt;="&amp;FINANCIACION[[#This Row],[Fecha]],FINANCIACION[PRESTAMO],FINANCIACION[[#This Row],[PRESTAMO]])</f>
        <v>-355279704</v>
      </c>
      <c r="G564" s="82"/>
      <c r="H564" s="183" t="s">
        <v>133</v>
      </c>
      <c r="I564" s="185"/>
      <c r="J564" s="179" t="b">
        <f>IF(FINANCIACION[[#This Row],[$ CAPITAL]]&gt;0,FINANCIACION[[#This Row],[$ CAPITAL]])</f>
        <v>0</v>
      </c>
      <c r="K564" s="186">
        <f>IF(FINANCIACION[[#This Row],[$ CAPITAL]]&gt;=0,FINANCIACION[[#This Row],[$ CAPITAL]]+FINANCIACION[[#This Row],[$ INTERESES]],0)</f>
        <v>0</v>
      </c>
    </row>
    <row r="565" spans="1:11" ht="24" hidden="1" customHeight="1" x14ac:dyDescent="0.25">
      <c r="A565" s="177">
        <v>44284</v>
      </c>
      <c r="B565" s="184" t="s">
        <v>332</v>
      </c>
      <c r="C565" s="179">
        <v>8286154</v>
      </c>
      <c r="D565" s="179">
        <v>120765</v>
      </c>
      <c r="E565" s="179">
        <f>+IF(FINANCIACION[[#This Row],[$ CAPITAL]]&gt;=0,FINANCIACION[[#This Row],[$ CAPITAL]]+FINANCIACION[[#This Row],[$ INTERESES]],"")</f>
        <v>8406919</v>
      </c>
      <c r="F565" s="179">
        <f>+SUMIFS(FINANCIACION[$ CAPITAL],FINANCIACION[Fecha],"&lt;="&amp;FINANCIACION[[#This Row],[Fecha]],FINANCIACION[PRESTAMO],FINANCIACION[[#This Row],[PRESTAMO]])</f>
        <v>-346993550</v>
      </c>
      <c r="G565" s="82"/>
      <c r="H565" s="183"/>
      <c r="I565" s="185"/>
      <c r="J565" s="179">
        <f>IF(FINANCIACION[[#This Row],[$ CAPITAL]]&gt;0,FINANCIACION[[#This Row],[$ CAPITAL]])</f>
        <v>8286154</v>
      </c>
      <c r="K565" s="186">
        <f>IF(FINANCIACION[[#This Row],[$ CAPITAL]]&gt;=0,FINANCIACION[[#This Row],[$ CAPITAL]]+FINANCIACION[[#This Row],[$ INTERESES]],0)</f>
        <v>8406919</v>
      </c>
    </row>
    <row r="566" spans="1:11" ht="24" hidden="1" customHeight="1" x14ac:dyDescent="0.25">
      <c r="A566" s="177">
        <v>44286</v>
      </c>
      <c r="B566" s="184" t="s">
        <v>332</v>
      </c>
      <c r="C566" s="179">
        <v>-4128919</v>
      </c>
      <c r="D566" s="179"/>
      <c r="E566" s="179" t="str">
        <f>+IF(FINANCIACION[[#This Row],[$ CAPITAL]]&gt;=0,FINANCIACION[[#This Row],[$ CAPITAL]]+FINANCIACION[[#This Row],[$ INTERESES]],"")</f>
        <v/>
      </c>
      <c r="F566" s="179">
        <f>+SUMIFS(FINANCIACION[$ CAPITAL],FINANCIACION[Fecha],"&lt;="&amp;FINANCIACION[[#This Row],[Fecha]],FINANCIACION[PRESTAMO],FINANCIACION[[#This Row],[PRESTAMO]])</f>
        <v>-351122469</v>
      </c>
      <c r="G566" s="82"/>
      <c r="H566" s="183" t="s">
        <v>133</v>
      </c>
      <c r="I566" s="185"/>
      <c r="J566" s="179" t="b">
        <f>IF(FINANCIACION[[#This Row],[$ CAPITAL]]&gt;0,FINANCIACION[[#This Row],[$ CAPITAL]])</f>
        <v>0</v>
      </c>
      <c r="K566" s="186">
        <f>IF(FINANCIACION[[#This Row],[$ CAPITAL]]&gt;=0,FINANCIACION[[#This Row],[$ CAPITAL]]+FINANCIACION[[#This Row],[$ INTERESES]],0)</f>
        <v>0</v>
      </c>
    </row>
    <row r="567" spans="1:11" ht="24" hidden="1" customHeight="1" x14ac:dyDescent="0.25">
      <c r="A567" s="177">
        <v>44316</v>
      </c>
      <c r="B567" s="184" t="s">
        <v>332</v>
      </c>
      <c r="C567" s="179">
        <v>-3722340</v>
      </c>
      <c r="D567" s="179"/>
      <c r="E567" s="179" t="str">
        <f>+IF(FINANCIACION[[#This Row],[$ CAPITAL]]&gt;=0,FINANCIACION[[#This Row],[$ CAPITAL]]+FINANCIACION[[#This Row],[$ INTERESES]],"")</f>
        <v/>
      </c>
      <c r="F567" s="179">
        <f>+SUMIFS(FINANCIACION[$ CAPITAL],FINANCIACION[Fecha],"&lt;="&amp;FINANCIACION[[#This Row],[Fecha]],FINANCIACION[PRESTAMO],FINANCIACION[[#This Row],[PRESTAMO]])</f>
        <v>-354844809</v>
      </c>
      <c r="G567" s="82"/>
      <c r="H567" s="183" t="s">
        <v>133</v>
      </c>
      <c r="I567" s="185"/>
      <c r="J567" s="179" t="b">
        <f>IF(FINANCIACION[[#This Row],[$ CAPITAL]]&gt;0,FINANCIACION[[#This Row],[$ CAPITAL]])</f>
        <v>0</v>
      </c>
      <c r="K567" s="186">
        <f>IF(FINANCIACION[[#This Row],[$ CAPITAL]]&gt;=0,FINANCIACION[[#This Row],[$ CAPITAL]]+FINANCIACION[[#This Row],[$ INTERESES]],0)</f>
        <v>0</v>
      </c>
    </row>
    <row r="568" spans="1:11" ht="24" hidden="1" customHeight="1" x14ac:dyDescent="0.25">
      <c r="A568" s="177">
        <v>44320</v>
      </c>
      <c r="B568" s="184" t="s">
        <v>332</v>
      </c>
      <c r="C568" s="179">
        <v>5000000</v>
      </c>
      <c r="D568" s="179"/>
      <c r="E568" s="179">
        <f>+IF(FINANCIACION[[#This Row],[$ CAPITAL]]&gt;=0,FINANCIACION[[#This Row],[$ CAPITAL]]+FINANCIACION[[#This Row],[$ INTERESES]],"")</f>
        <v>5000000</v>
      </c>
      <c r="F568" s="179">
        <f>+SUMIFS(FINANCIACION[$ CAPITAL],FINANCIACION[Fecha],"&lt;="&amp;FINANCIACION[[#This Row],[Fecha]],FINANCIACION[PRESTAMO],FINANCIACION[[#This Row],[PRESTAMO]])</f>
        <v>-349844809</v>
      </c>
      <c r="G568" s="82"/>
      <c r="H568" s="183"/>
      <c r="I568" s="185"/>
      <c r="J568" s="179">
        <f>IF(FINANCIACION[[#This Row],[$ CAPITAL]]&gt;0,FINANCIACION[[#This Row],[$ CAPITAL]])</f>
        <v>5000000</v>
      </c>
      <c r="K568" s="186">
        <f>IF(FINANCIACION[[#This Row],[$ CAPITAL]]&gt;=0,FINANCIACION[[#This Row],[$ CAPITAL]]+FINANCIACION[[#This Row],[$ INTERESES]],0)</f>
        <v>5000000</v>
      </c>
    </row>
    <row r="569" spans="1:11" ht="24" hidden="1" customHeight="1" x14ac:dyDescent="0.25">
      <c r="A569" s="177">
        <v>44328</v>
      </c>
      <c r="B569" s="184" t="s">
        <v>332</v>
      </c>
      <c r="C569" s="179">
        <v>918187</v>
      </c>
      <c r="D569" s="179"/>
      <c r="E569" s="179">
        <f>+IF(FINANCIACION[[#This Row],[$ CAPITAL]]&gt;=0,FINANCIACION[[#This Row],[$ CAPITAL]]+FINANCIACION[[#This Row],[$ INTERESES]],"")</f>
        <v>918187</v>
      </c>
      <c r="F569" s="179">
        <f>+SUMIFS(FINANCIACION[$ CAPITAL],FINANCIACION[Fecha],"&lt;="&amp;FINANCIACION[[#This Row],[Fecha]],FINANCIACION[PRESTAMO],FINANCIACION[[#This Row],[PRESTAMO]])</f>
        <v>-348926622</v>
      </c>
      <c r="G569" s="82"/>
      <c r="H569" s="183"/>
      <c r="I569" s="185"/>
      <c r="J569" s="179">
        <f>IF(FINANCIACION[[#This Row],[$ CAPITAL]]&gt;0,FINANCIACION[[#This Row],[$ CAPITAL]])</f>
        <v>918187</v>
      </c>
      <c r="K569" s="186">
        <f>IF(FINANCIACION[[#This Row],[$ CAPITAL]]&gt;=0,FINANCIACION[[#This Row],[$ CAPITAL]]+FINANCIACION[[#This Row],[$ INTERESES]],0)</f>
        <v>918187</v>
      </c>
    </row>
    <row r="570" spans="1:11" ht="24" hidden="1" customHeight="1" x14ac:dyDescent="0.25">
      <c r="A570" s="177">
        <v>44346</v>
      </c>
      <c r="B570" s="184" t="s">
        <v>332</v>
      </c>
      <c r="C570" s="179">
        <v>-7131410</v>
      </c>
      <c r="D570" s="179"/>
      <c r="E570" s="179" t="str">
        <f>+IF(FINANCIACION[[#This Row],[$ CAPITAL]]&gt;=0,FINANCIACION[[#This Row],[$ CAPITAL]]+FINANCIACION[[#This Row],[$ INTERESES]],"")</f>
        <v/>
      </c>
      <c r="F570" s="179">
        <f>+SUMIFS(FINANCIACION[$ CAPITAL],FINANCIACION[Fecha],"&lt;="&amp;FINANCIACION[[#This Row],[Fecha]],FINANCIACION[PRESTAMO],FINANCIACION[[#This Row],[PRESTAMO]])</f>
        <v>-356058032</v>
      </c>
      <c r="G570" s="82"/>
      <c r="H570" s="183" t="s">
        <v>133</v>
      </c>
      <c r="I570" s="185"/>
      <c r="J570" s="179" t="b">
        <f>IF(FINANCIACION[[#This Row],[$ CAPITAL]]&gt;0,FINANCIACION[[#This Row],[$ CAPITAL]])</f>
        <v>0</v>
      </c>
      <c r="K570" s="187">
        <f>IF(FINANCIACION[[#This Row],[$ CAPITAL]]&gt;=0,FINANCIACION[[#This Row],[$ CAPITAL]]+FINANCIACION[[#This Row],[$ INTERESES]],0)</f>
        <v>0</v>
      </c>
    </row>
    <row r="571" spans="1:11" ht="24" hidden="1" customHeight="1" x14ac:dyDescent="0.25">
      <c r="A571" s="177">
        <v>44375</v>
      </c>
      <c r="B571" s="184" t="s">
        <v>332</v>
      </c>
      <c r="C571" s="179">
        <v>11613334</v>
      </c>
      <c r="D571" s="179">
        <v>235877</v>
      </c>
      <c r="E571" s="179">
        <f>+IF(FINANCIACION[[#This Row],[$ CAPITAL]]&gt;=0,FINANCIACION[[#This Row],[$ CAPITAL]]+FINANCIACION[[#This Row],[$ INTERESES]],"")</f>
        <v>11849211</v>
      </c>
      <c r="F571" s="179">
        <f>+SUMIFS(FINANCIACION[$ CAPITAL],FINANCIACION[Fecha],"&lt;="&amp;FINANCIACION[[#This Row],[Fecha]],FINANCIACION[PRESTAMO],FINANCIACION[[#This Row],[PRESTAMO]])</f>
        <v>-344444698</v>
      </c>
      <c r="G571" s="82"/>
      <c r="I571" s="185"/>
      <c r="J571" s="179">
        <f>IF(FINANCIACION[[#This Row],[$ CAPITAL]]&gt;0,FINANCIACION[[#This Row],[$ CAPITAL]])</f>
        <v>11613334</v>
      </c>
      <c r="K571" s="186">
        <f>IF(FINANCIACION[[#This Row],[$ CAPITAL]]&gt;=0,FINANCIACION[[#This Row],[$ CAPITAL]]+FINANCIACION[[#This Row],[$ INTERESES]],0)</f>
        <v>11849211</v>
      </c>
    </row>
    <row r="572" spans="1:11" ht="24" hidden="1" customHeight="1" x14ac:dyDescent="0.25">
      <c r="A572" s="177">
        <v>44426</v>
      </c>
      <c r="B572" s="184" t="s">
        <v>332</v>
      </c>
      <c r="C572" s="179">
        <v>5709486</v>
      </c>
      <c r="D572" s="179">
        <v>242086</v>
      </c>
      <c r="E572" s="179">
        <f>+IF(FINANCIACION[[#This Row],[$ CAPITAL]]&gt;=0,FINANCIACION[[#This Row],[$ CAPITAL]]+FINANCIACION[[#This Row],[$ INTERESES]],"")</f>
        <v>5951572</v>
      </c>
      <c r="F572" s="179">
        <f>+SUMIFS(FINANCIACION[$ CAPITAL],FINANCIACION[Fecha],"&lt;="&amp;FINANCIACION[[#This Row],[Fecha]],FINANCIACION[PRESTAMO],FINANCIACION[[#This Row],[PRESTAMO]])</f>
        <v>-338735212</v>
      </c>
      <c r="G572" s="82"/>
      <c r="H572" s="183"/>
      <c r="I572" s="185"/>
      <c r="J572" s="179">
        <f>IF(FINANCIACION[[#This Row],[$ CAPITAL]]&gt;0,FINANCIACION[[#This Row],[$ CAPITAL]])</f>
        <v>5709486</v>
      </c>
      <c r="K572" s="186">
        <f>IF(FINANCIACION[[#This Row],[$ CAPITAL]]&gt;=0,FINANCIACION[[#This Row],[$ CAPITAL]]+FINANCIACION[[#This Row],[$ INTERESES]],0)</f>
        <v>5951572</v>
      </c>
    </row>
    <row r="573" spans="1:11" ht="24" hidden="1" customHeight="1" x14ac:dyDescent="0.25">
      <c r="A573" s="177">
        <v>44459</v>
      </c>
      <c r="B573" s="184" t="s">
        <v>332</v>
      </c>
      <c r="C573" s="179">
        <v>5238034</v>
      </c>
      <c r="D573" s="179">
        <v>713538</v>
      </c>
      <c r="E573" s="179">
        <f>+IF(FINANCIACION[[#This Row],[$ CAPITAL]]&gt;=0,FINANCIACION[[#This Row],[$ CAPITAL]]+FINANCIACION[[#This Row],[$ INTERESES]],"")</f>
        <v>5951572</v>
      </c>
      <c r="F573" s="179">
        <f>+SUMIFS(FINANCIACION[$ CAPITAL],FINANCIACION[Fecha],"&lt;="&amp;FINANCIACION[[#This Row],[Fecha]],FINANCIACION[PRESTAMO],FINANCIACION[[#This Row],[PRESTAMO]])</f>
        <v>-333497178</v>
      </c>
      <c r="G573" s="82"/>
      <c r="H573" s="183"/>
      <c r="I573" s="185"/>
      <c r="J573" s="179">
        <f>IF(FINANCIACION[[#This Row],[$ CAPITAL]]&gt;0,FINANCIACION[[#This Row],[$ CAPITAL]])</f>
        <v>5238034</v>
      </c>
      <c r="K573" s="186">
        <f>IF(FINANCIACION[[#This Row],[$ CAPITAL]]&gt;=0,FINANCIACION[[#This Row],[$ CAPITAL]]+FINANCIACION[[#This Row],[$ INTERESES]],0)</f>
        <v>5951572</v>
      </c>
    </row>
    <row r="574" spans="1:11" ht="24" hidden="1" customHeight="1" x14ac:dyDescent="0.25">
      <c r="A574" s="177">
        <v>44488</v>
      </c>
      <c r="B574" s="184" t="s">
        <v>332</v>
      </c>
      <c r="C574" s="179">
        <v>5238034</v>
      </c>
      <c r="D574" s="179">
        <v>683538</v>
      </c>
      <c r="E574" s="179">
        <f>+IF(FINANCIACION[[#This Row],[$ CAPITAL]]&gt;=0,FINANCIACION[[#This Row],[$ CAPITAL]]+FINANCIACION[[#This Row],[$ INTERESES]],"")</f>
        <v>5921572</v>
      </c>
      <c r="F574" s="179">
        <f>+SUMIFS(FINANCIACION[$ CAPITAL],FINANCIACION[Fecha],"&lt;="&amp;FINANCIACION[[#This Row],[Fecha]],FINANCIACION[PRESTAMO],FINANCIACION[[#This Row],[PRESTAMO]])</f>
        <v>-328259144</v>
      </c>
      <c r="G574" s="82"/>
      <c r="I574" s="185"/>
      <c r="J574" s="179">
        <f>IF(FINANCIACION[[#This Row],[$ CAPITAL]]&gt;0,FINANCIACION[[#This Row],[$ CAPITAL]])</f>
        <v>5238034</v>
      </c>
      <c r="K574" s="186">
        <f>IF(FINANCIACION[[#This Row],[$ CAPITAL]]&gt;=0,FINANCIACION[[#This Row],[$ CAPITAL]]+FINANCIACION[[#This Row],[$ INTERESES]],0)</f>
        <v>5921572</v>
      </c>
    </row>
    <row r="575" spans="1:11" ht="24" hidden="1" customHeight="1" x14ac:dyDescent="0.25">
      <c r="A575" s="177">
        <v>44518</v>
      </c>
      <c r="B575" s="184" t="s">
        <v>332</v>
      </c>
      <c r="C575" s="179">
        <v>5143385</v>
      </c>
      <c r="D575" s="179">
        <v>835554</v>
      </c>
      <c r="E575" s="179">
        <f>+IF(FINANCIACION[[#This Row],[$ CAPITAL]]&gt;=0,FINANCIACION[[#This Row],[$ CAPITAL]]+FINANCIACION[[#This Row],[$ INTERESES]],"")</f>
        <v>5978939</v>
      </c>
      <c r="F575" s="179">
        <f>+SUMIFS(FINANCIACION[$ CAPITAL],FINANCIACION[Fecha],"&lt;="&amp;FINANCIACION[[#This Row],[Fecha]],FINANCIACION[PRESTAMO],FINANCIACION[[#This Row],[PRESTAMO]])</f>
        <v>-323115759</v>
      </c>
      <c r="G575" s="82"/>
      <c r="I575" s="185"/>
      <c r="J575" s="179">
        <f>IF(FINANCIACION[[#This Row],[$ CAPITAL]]&gt;0,FINANCIACION[[#This Row],[$ CAPITAL]])</f>
        <v>5143385</v>
      </c>
      <c r="K575" s="186">
        <f>IF(FINANCIACION[[#This Row],[$ CAPITAL]]&gt;=0,FINANCIACION[[#This Row],[$ CAPITAL]]+FINANCIACION[[#This Row],[$ INTERESES]],0)</f>
        <v>5978939</v>
      </c>
    </row>
    <row r="576" spans="1:11" ht="24" hidden="1" customHeight="1" x14ac:dyDescent="0.25">
      <c r="A576" s="177">
        <v>44544</v>
      </c>
      <c r="B576" s="184" t="s">
        <v>332</v>
      </c>
      <c r="C576" s="179">
        <v>4796627</v>
      </c>
      <c r="D576" s="179">
        <v>1182312</v>
      </c>
      <c r="E576" s="179">
        <f>+IF(FINANCIACION[[#This Row],[$ CAPITAL]]&gt;=0,FINANCIACION[[#This Row],[$ CAPITAL]]+FINANCIACION[[#This Row],[$ INTERESES]],"")</f>
        <v>5978939</v>
      </c>
      <c r="F576" s="179">
        <f>+SUMIFS(FINANCIACION[$ CAPITAL],FINANCIACION[Fecha],"&lt;="&amp;FINANCIACION[[#This Row],[Fecha]],FINANCIACION[PRESTAMO],FINANCIACION[[#This Row],[PRESTAMO]])</f>
        <v>-318319132</v>
      </c>
      <c r="G576" s="82"/>
      <c r="I576" s="185"/>
      <c r="J576" s="179">
        <f>IF(FINANCIACION[[#This Row],[$ CAPITAL]]&gt;0,FINANCIACION[[#This Row],[$ CAPITAL]])</f>
        <v>4796627</v>
      </c>
      <c r="K576" s="186">
        <f>IF(FINANCIACION[[#This Row],[$ CAPITAL]]&gt;=0,FINANCIACION[[#This Row],[$ CAPITAL]]+FINANCIACION[[#This Row],[$ INTERESES]],0)</f>
        <v>5978939</v>
      </c>
    </row>
    <row r="577" spans="1:11" ht="24" hidden="1" customHeight="1" x14ac:dyDescent="0.25">
      <c r="A577" s="177">
        <v>44561</v>
      </c>
      <c r="B577" s="184" t="s">
        <v>332</v>
      </c>
      <c r="C577" s="179">
        <v>-18803895</v>
      </c>
      <c r="D577" s="179"/>
      <c r="E577" s="179" t="str">
        <f>+IF(FINANCIACION[[#This Row],[$ CAPITAL]]&gt;=0,FINANCIACION[[#This Row],[$ CAPITAL]]+FINANCIACION[[#This Row],[$ INTERESES]],"")</f>
        <v/>
      </c>
      <c r="F577" s="179">
        <f>+SUMIFS(FINANCIACION[$ CAPITAL],FINANCIACION[Fecha],"&lt;="&amp;FINANCIACION[[#This Row],[Fecha]],FINANCIACION[PRESTAMO],FINANCIACION[[#This Row],[PRESTAMO]])</f>
        <v>-388924522</v>
      </c>
      <c r="G577" s="82"/>
      <c r="H577" s="185" t="s">
        <v>133</v>
      </c>
      <c r="I577" s="185"/>
      <c r="J577" s="179" t="b">
        <f>IF(FINANCIACION[[#This Row],[$ CAPITAL]]&gt;0,FINANCIACION[[#This Row],[$ CAPITAL]])</f>
        <v>0</v>
      </c>
      <c r="K577" s="186">
        <f>IF(FINANCIACION[[#This Row],[$ CAPITAL]]&gt;=0,FINANCIACION[[#This Row],[$ CAPITAL]]+FINANCIACION[[#This Row],[$ INTERESES]],0)</f>
        <v>0</v>
      </c>
    </row>
    <row r="578" spans="1:11" ht="24" hidden="1" customHeight="1" x14ac:dyDescent="0.25">
      <c r="A578" s="177">
        <v>44561</v>
      </c>
      <c r="B578" s="184" t="s">
        <v>332</v>
      </c>
      <c r="C578" s="179">
        <v>-51801495</v>
      </c>
      <c r="D578" s="179"/>
      <c r="E578" s="179" t="str">
        <f>+IF(FINANCIACION[[#This Row],[$ CAPITAL]]&gt;=0,FINANCIACION[[#This Row],[$ CAPITAL]]+FINANCIACION[[#This Row],[$ INTERESES]],"")</f>
        <v/>
      </c>
      <c r="F578" s="179">
        <f>+SUMIFS(FINANCIACION[$ CAPITAL],FINANCIACION[Fecha],"&lt;="&amp;FINANCIACION[[#This Row],[Fecha]],FINANCIACION[PRESTAMO],FINANCIACION[[#This Row],[PRESTAMO]])</f>
        <v>-388924522</v>
      </c>
      <c r="G578" s="82"/>
      <c r="H578" s="185" t="s">
        <v>425</v>
      </c>
      <c r="I578" s="185"/>
      <c r="J578" s="179" t="b">
        <f>+IF(FINANCIACION[[#This Row],[$ CAPITAL]]&gt;0,FINANCIACION[[#This Row],[$ CAPITAL]])</f>
        <v>0</v>
      </c>
      <c r="K578" s="186">
        <f>+IF(FINANCIACION[[#This Row],[$ CAPITAL]]&gt;=0,FINANCIACION[[#This Row],[$ CAPITAL]]+FINANCIACION[[#This Row],[$ INTERESES]],0)</f>
        <v>0</v>
      </c>
    </row>
    <row r="579" spans="1:11" ht="24" hidden="1" customHeight="1" x14ac:dyDescent="0.25">
      <c r="A579" s="177">
        <v>44579</v>
      </c>
      <c r="B579" s="184" t="s">
        <v>332</v>
      </c>
      <c r="C579" s="179">
        <v>506866</v>
      </c>
      <c r="D579" s="179">
        <v>5475236</v>
      </c>
      <c r="E579" s="179">
        <f>+IF(FINANCIACION[[#This Row],[$ CAPITAL]]&gt;=0,FINANCIACION[[#This Row],[$ CAPITAL]]+FINANCIACION[[#This Row],[$ INTERESES]],"")</f>
        <v>5982102</v>
      </c>
      <c r="F579" s="179">
        <f>+SUMIFS(FINANCIACION[$ CAPITAL],FINANCIACION[Fecha],"&lt;="&amp;FINANCIACION[[#This Row],[Fecha]],FINANCIACION[PRESTAMO],FINANCIACION[[#This Row],[PRESTAMO]])</f>
        <v>-388417656</v>
      </c>
      <c r="G579" s="82"/>
      <c r="I579" s="185"/>
      <c r="J579" s="179">
        <f>IF(FINANCIACION[[#This Row],[$ CAPITAL]]&gt;0,FINANCIACION[[#This Row],[$ CAPITAL]])</f>
        <v>506866</v>
      </c>
      <c r="K579" s="186">
        <f>IF(FINANCIACION[[#This Row],[$ CAPITAL]]&gt;=0,FINANCIACION[[#This Row],[$ CAPITAL]]+FINANCIACION[[#This Row],[$ INTERESES]],0)</f>
        <v>5982102</v>
      </c>
    </row>
    <row r="580" spans="1:11" ht="24" hidden="1" customHeight="1" x14ac:dyDescent="0.25">
      <c r="A580" s="177">
        <v>44610</v>
      </c>
      <c r="B580" s="184" t="s">
        <v>332</v>
      </c>
      <c r="C580" s="179">
        <v>5809351</v>
      </c>
      <c r="D580" s="179">
        <v>379619</v>
      </c>
      <c r="E580" s="179">
        <f>+IF(FINANCIACION[[#This Row],[$ CAPITAL]]&gt;=0,FINANCIACION[[#This Row],[$ CAPITAL]]+FINANCIACION[[#This Row],[$ INTERESES]],"")</f>
        <v>6188970</v>
      </c>
      <c r="F580" s="179">
        <f>+SUMIFS(FINANCIACION[$ CAPITAL],FINANCIACION[Fecha],"&lt;="&amp;FINANCIACION[[#This Row],[Fecha]],FINANCIACION[PRESTAMO],FINANCIACION[[#This Row],[PRESTAMO]])</f>
        <v>-382608305</v>
      </c>
      <c r="G580" s="82"/>
      <c r="I580" s="185"/>
      <c r="J580" s="179">
        <f>+IF(FINANCIACION[[#This Row],[$ CAPITAL]]&gt;0,FINANCIACION[[#This Row],[$ CAPITAL]])</f>
        <v>5809351</v>
      </c>
      <c r="K580" s="186">
        <f>+IF(FINANCIACION[[#This Row],[$ CAPITAL]]&gt;=0,FINANCIACION[[#This Row],[$ CAPITAL]]+FINANCIACION[[#This Row],[$ INTERESES]],0)</f>
        <v>6188970</v>
      </c>
    </row>
    <row r="581" spans="1:11" ht="24" hidden="1" customHeight="1" x14ac:dyDescent="0.25">
      <c r="A581" s="177">
        <v>44638</v>
      </c>
      <c r="B581" s="184" t="s">
        <v>332</v>
      </c>
      <c r="C581" s="179">
        <v>5497957</v>
      </c>
      <c r="D581" s="179">
        <v>252367</v>
      </c>
      <c r="E581" s="179">
        <f>+IF(FINANCIACION[[#This Row],[$ CAPITAL]]&gt;=0,FINANCIACION[[#This Row],[$ CAPITAL]]+FINANCIACION[[#This Row],[$ INTERESES]],"")</f>
        <v>5750324</v>
      </c>
      <c r="F581" s="179">
        <f>+SUMIFS(FINANCIACION[$ CAPITAL],FINANCIACION[Fecha],"&lt;="&amp;FINANCIACION[[#This Row],[Fecha]],FINANCIACION[PRESTAMO],FINANCIACION[[#This Row],[PRESTAMO]])</f>
        <v>-377110348</v>
      </c>
      <c r="G581" s="82"/>
      <c r="I581" s="185"/>
      <c r="J581" s="179">
        <f>+IF(FINANCIACION[[#This Row],[$ CAPITAL]]&gt;0,FINANCIACION[[#This Row],[$ CAPITAL]])</f>
        <v>5497957</v>
      </c>
      <c r="K581" s="186">
        <f>+IF(FINANCIACION[[#This Row],[$ CAPITAL]]&gt;=0,FINANCIACION[[#This Row],[$ CAPITAL]]+FINANCIACION[[#This Row],[$ INTERESES]],0)</f>
        <v>5750324</v>
      </c>
    </row>
    <row r="582" spans="1:11" ht="24" hidden="1" customHeight="1" x14ac:dyDescent="0.25">
      <c r="A582" s="177">
        <v>44670</v>
      </c>
      <c r="B582" s="184" t="s">
        <v>332</v>
      </c>
      <c r="C582" s="179">
        <v>4839732</v>
      </c>
      <c r="D582" s="179">
        <v>910592</v>
      </c>
      <c r="E582" s="179">
        <f>+IF(FINANCIACION[[#This Row],[$ CAPITAL]]&gt;=0,FINANCIACION[[#This Row],[$ CAPITAL]]+FINANCIACION[[#This Row],[$ INTERESES]],"")</f>
        <v>5750324</v>
      </c>
      <c r="F582" s="179">
        <f>+SUMIFS(FINANCIACION[$ CAPITAL],FINANCIACION[Fecha],"&lt;="&amp;FINANCIACION[[#This Row],[Fecha]],FINANCIACION[PRESTAMO],FINANCIACION[[#This Row],[PRESTAMO]])</f>
        <v>-372270616</v>
      </c>
      <c r="G582" s="82"/>
      <c r="I582" s="185"/>
      <c r="J582" s="179">
        <f>+IF(FINANCIACION[[#This Row],[$ CAPITAL]]&gt;0,FINANCIACION[[#This Row],[$ CAPITAL]])</f>
        <v>4839732</v>
      </c>
      <c r="K582" s="186">
        <f>+IF(FINANCIACION[[#This Row],[$ CAPITAL]]&gt;=0,FINANCIACION[[#This Row],[$ CAPITAL]]+FINANCIACION[[#This Row],[$ INTERESES]],0)</f>
        <v>5750324</v>
      </c>
    </row>
    <row r="583" spans="1:11" ht="24" hidden="1" customHeight="1" x14ac:dyDescent="0.25">
      <c r="A583" s="177">
        <v>44699</v>
      </c>
      <c r="B583" s="184" t="s">
        <v>332</v>
      </c>
      <c r="C583" s="179">
        <v>5828926</v>
      </c>
      <c r="D583" s="179">
        <v>266879</v>
      </c>
      <c r="E583" s="179">
        <f>+IF(FINANCIACION[[#This Row],[$ CAPITAL]]&gt;=0,FINANCIACION[[#This Row],[$ CAPITAL]]+FINANCIACION[[#This Row],[$ INTERESES]],"")</f>
        <v>6095805</v>
      </c>
      <c r="F583" s="179">
        <f>+SUMIFS(FINANCIACION[$ CAPITAL],FINANCIACION[Fecha],"&lt;="&amp;FINANCIACION[[#This Row],[Fecha]],FINANCIACION[PRESTAMO],FINANCIACION[[#This Row],[PRESTAMO]])</f>
        <v>-366441690</v>
      </c>
      <c r="G583" s="82"/>
      <c r="I583" s="185"/>
      <c r="J583" s="179">
        <f>+IF(FINANCIACION[[#This Row],[$ CAPITAL]]&gt;0,FINANCIACION[[#This Row],[$ CAPITAL]])</f>
        <v>5828926</v>
      </c>
      <c r="K583" s="186">
        <f>+IF(FINANCIACION[[#This Row],[$ CAPITAL]]&gt;=0,FINANCIACION[[#This Row],[$ CAPITAL]]+FINANCIACION[[#This Row],[$ INTERESES]],0)</f>
        <v>6095805</v>
      </c>
    </row>
    <row r="584" spans="1:11" ht="24" hidden="1" customHeight="1" x14ac:dyDescent="0.25">
      <c r="A584" s="177">
        <v>44733</v>
      </c>
      <c r="B584" s="184" t="s">
        <v>332</v>
      </c>
      <c r="C584" s="179">
        <v>1384152</v>
      </c>
      <c r="D584" s="179">
        <v>4711653</v>
      </c>
      <c r="E584" s="179">
        <f>+IF(FINANCIACION[[#This Row],[$ CAPITAL]]&gt;=0,FINANCIACION[[#This Row],[$ CAPITAL]]+FINANCIACION[[#This Row],[$ INTERESES]],"")</f>
        <v>6095805</v>
      </c>
      <c r="F584" s="179">
        <f>+SUMIFS(FINANCIACION[$ CAPITAL],FINANCIACION[Fecha],"&lt;="&amp;FINANCIACION[[#This Row],[Fecha]],FINANCIACION[PRESTAMO],FINANCIACION[[#This Row],[PRESTAMO]])</f>
        <v>-365057538</v>
      </c>
      <c r="G584" s="82"/>
      <c r="I584" s="185"/>
      <c r="J584" s="179">
        <f>+IF(FINANCIACION[[#This Row],[$ CAPITAL]]&gt;0,FINANCIACION[[#This Row],[$ CAPITAL]])</f>
        <v>1384152</v>
      </c>
      <c r="K584" s="186">
        <f>+IF(FINANCIACION[[#This Row],[$ CAPITAL]]&gt;=0,FINANCIACION[[#This Row],[$ CAPITAL]]+FINANCIACION[[#This Row],[$ INTERESES]],0)</f>
        <v>6095805</v>
      </c>
    </row>
    <row r="585" spans="1:11" ht="24" hidden="1" customHeight="1" x14ac:dyDescent="0.25">
      <c r="A585" s="177">
        <v>44761</v>
      </c>
      <c r="B585" s="184" t="s">
        <v>332</v>
      </c>
      <c r="C585" s="179">
        <v>1336670</v>
      </c>
      <c r="D585" s="179">
        <v>4759135</v>
      </c>
      <c r="E585" s="179">
        <f>+IF(FINANCIACION[[#This Row],[$ CAPITAL]]&gt;=0,FINANCIACION[[#This Row],[$ CAPITAL]]+FINANCIACION[[#This Row],[$ INTERESES]],"")</f>
        <v>6095805</v>
      </c>
      <c r="F585" s="179">
        <f>+SUMIFS(FINANCIACION[$ CAPITAL],FINANCIACION[Fecha],"&lt;="&amp;FINANCIACION[[#This Row],[Fecha]],FINANCIACION[PRESTAMO],FINANCIACION[[#This Row],[PRESTAMO]])</f>
        <v>-363720868</v>
      </c>
      <c r="G585" s="82"/>
      <c r="I585" s="185"/>
      <c r="J585" s="179">
        <f>+IF(FINANCIACION[[#This Row],[$ CAPITAL]]&gt;0,FINANCIACION[[#This Row],[$ CAPITAL]])</f>
        <v>1336670</v>
      </c>
      <c r="K585" s="186">
        <f>+IF(FINANCIACION[[#This Row],[$ CAPITAL]]&gt;=0,FINANCIACION[[#This Row],[$ CAPITAL]]+FINANCIACION[[#This Row],[$ INTERESES]],0)</f>
        <v>6095805</v>
      </c>
    </row>
    <row r="586" spans="1:11" ht="24" hidden="1" customHeight="1" x14ac:dyDescent="0.25">
      <c r="A586" s="177">
        <v>44791</v>
      </c>
      <c r="B586" s="184" t="s">
        <v>332</v>
      </c>
      <c r="C586" s="179">
        <v>1264566</v>
      </c>
      <c r="D586" s="179">
        <v>5302748</v>
      </c>
      <c r="E586" s="179">
        <f>+IF(FINANCIACION[[#This Row],[$ CAPITAL]]&gt;=0,FINANCIACION[[#This Row],[$ CAPITAL]]+FINANCIACION[[#This Row],[$ INTERESES]],"")</f>
        <v>6567314</v>
      </c>
      <c r="F586" s="179">
        <f>+SUMIFS(FINANCIACION[$ CAPITAL],FINANCIACION[Fecha],"&lt;="&amp;FINANCIACION[[#This Row],[Fecha]],FINANCIACION[PRESTAMO],FINANCIACION[[#This Row],[PRESTAMO]])</f>
        <v>-362456302</v>
      </c>
      <c r="G586" s="82"/>
      <c r="I586" s="185"/>
      <c r="J586" s="179">
        <f>+IF(FINANCIACION[[#This Row],[$ CAPITAL]]&gt;0,FINANCIACION[[#This Row],[$ CAPITAL]])</f>
        <v>1264566</v>
      </c>
      <c r="K586" s="186">
        <f>+IF(FINANCIACION[[#This Row],[$ CAPITAL]]&gt;=0,FINANCIACION[[#This Row],[$ CAPITAL]]+FINANCIACION[[#This Row],[$ INTERESES]],0)</f>
        <v>6567314</v>
      </c>
    </row>
    <row r="587" spans="1:11" ht="24" hidden="1" customHeight="1" x14ac:dyDescent="0.25">
      <c r="A587" s="177">
        <v>44823</v>
      </c>
      <c r="B587" s="184" t="s">
        <v>332</v>
      </c>
      <c r="C587" s="179">
        <v>1283103</v>
      </c>
      <c r="D587" s="179">
        <v>4776103</v>
      </c>
      <c r="E587" s="179">
        <f>+IF(FINANCIACION[[#This Row],[$ CAPITAL]]&gt;=0,FINANCIACION[[#This Row],[$ CAPITAL]]+FINANCIACION[[#This Row],[$ INTERESES]],"")</f>
        <v>6059206</v>
      </c>
      <c r="F587" s="179">
        <f>+SUMIFS(FINANCIACION[$ CAPITAL],FINANCIACION[Fecha],"&lt;="&amp;FINANCIACION[[#This Row],[Fecha]],FINANCIACION[PRESTAMO],FINANCIACION[[#This Row],[PRESTAMO]])</f>
        <v>-361173199</v>
      </c>
      <c r="G587" s="82"/>
      <c r="I587" s="185"/>
      <c r="J587" s="179">
        <f>+IF(FINANCIACION[[#This Row],[$ CAPITAL]]&gt;0,FINANCIACION[[#This Row],[$ CAPITAL]])</f>
        <v>1283103</v>
      </c>
      <c r="K587" s="186">
        <f>+IF(FINANCIACION[[#This Row],[$ CAPITAL]]&gt;=0,FINANCIACION[[#This Row],[$ CAPITAL]]+FINANCIACION[[#This Row],[$ INTERESES]],0)</f>
        <v>6059206</v>
      </c>
    </row>
    <row r="588" spans="1:11" ht="24" hidden="1" customHeight="1" x14ac:dyDescent="0.25">
      <c r="A588" s="177">
        <v>44853</v>
      </c>
      <c r="B588" s="184" t="s">
        <v>332</v>
      </c>
      <c r="C588" s="179">
        <v>1301911</v>
      </c>
      <c r="D588" s="179">
        <v>4884117</v>
      </c>
      <c r="E588" s="179">
        <f>+IF(FINANCIACION[[#This Row],[$ CAPITAL]]&gt;=0,FINANCIACION[[#This Row],[$ CAPITAL]]+FINANCIACION[[#This Row],[$ INTERESES]],"")</f>
        <v>6186028</v>
      </c>
      <c r="F588" s="179">
        <f>+SUMIFS(FINANCIACION[$ CAPITAL],FINANCIACION[Fecha],"&lt;="&amp;FINANCIACION[[#This Row],[Fecha]],FINANCIACION[PRESTAMO],FINANCIACION[[#This Row],[PRESTAMO]])</f>
        <v>-359871288</v>
      </c>
      <c r="G588" s="82"/>
      <c r="I588" s="185"/>
      <c r="J588" s="179">
        <f>+IF(FINANCIACION[[#This Row],[$ CAPITAL]]&gt;0,FINANCIACION[[#This Row],[$ CAPITAL]])</f>
        <v>1301911</v>
      </c>
      <c r="K588" s="186">
        <f>+IF(FINANCIACION[[#This Row],[$ CAPITAL]]&gt;=0,FINANCIACION[[#This Row],[$ CAPITAL]]+FINANCIACION[[#This Row],[$ INTERESES]],0)</f>
        <v>6186028</v>
      </c>
    </row>
    <row r="589" spans="1:11" ht="24" hidden="1" customHeight="1" x14ac:dyDescent="0.25">
      <c r="A589" s="177">
        <v>44884</v>
      </c>
      <c r="B589" s="184" t="s">
        <v>332</v>
      </c>
      <c r="C589" s="179">
        <v>1161336</v>
      </c>
      <c r="D589" s="179">
        <v>5945012</v>
      </c>
      <c r="E589" s="179">
        <f>+IF(FINANCIACION[[#This Row],[$ CAPITAL]]&gt;=0,FINANCIACION[[#This Row],[$ CAPITAL]]+FINANCIACION[[#This Row],[$ INTERESES]],"")</f>
        <v>7106348</v>
      </c>
      <c r="F589" s="179">
        <f>+SUMIFS(FINANCIACION[$ CAPITAL],FINANCIACION[Fecha],"&lt;="&amp;FINANCIACION[[#This Row],[Fecha]],FINANCIACION[PRESTAMO],FINANCIACION[[#This Row],[PRESTAMO]])</f>
        <v>-358709952</v>
      </c>
      <c r="G589" s="82"/>
      <c r="I589" s="185"/>
      <c r="J589" s="179">
        <f>+IF(FINANCIACION[[#This Row],[$ CAPITAL]]&gt;0,FINANCIACION[[#This Row],[$ CAPITAL]])</f>
        <v>1161336</v>
      </c>
      <c r="K589" s="186">
        <f>+IF(FINANCIACION[[#This Row],[$ CAPITAL]]&gt;=0,FINANCIACION[[#This Row],[$ CAPITAL]]+FINANCIACION[[#This Row],[$ INTERESES]],0)</f>
        <v>7106348</v>
      </c>
    </row>
    <row r="590" spans="1:11" ht="24" hidden="1" customHeight="1" x14ac:dyDescent="0.25">
      <c r="A590" s="177">
        <v>44911</v>
      </c>
      <c r="B590" s="184" t="s">
        <v>332</v>
      </c>
      <c r="C590" s="179">
        <v>1179230</v>
      </c>
      <c r="D590" s="179">
        <v>4989908</v>
      </c>
      <c r="E590" s="179">
        <f>+IF(FINANCIACION[[#This Row],[$ CAPITAL]]&gt;=0,FINANCIACION[[#This Row],[$ CAPITAL]]+FINANCIACION[[#This Row],[$ INTERESES]],"")</f>
        <v>6169138</v>
      </c>
      <c r="F590" s="179">
        <f>+SUMIFS(FINANCIACION[$ CAPITAL],FINANCIACION[Fecha],"&lt;="&amp;FINANCIACION[[#This Row],[Fecha]],FINANCIACION[PRESTAMO],FINANCIACION[[#This Row],[PRESTAMO]])</f>
        <v>-357530722</v>
      </c>
      <c r="G590" s="82"/>
      <c r="I590" s="185"/>
      <c r="J590" s="179">
        <f>+IF(FINANCIACION[[#This Row],[$ CAPITAL]]&gt;0,FINANCIACION[[#This Row],[$ CAPITAL]])</f>
        <v>1179230</v>
      </c>
      <c r="K590" s="186">
        <f>+IF(FINANCIACION[[#This Row],[$ CAPITAL]]&gt;=0,FINANCIACION[[#This Row],[$ CAPITAL]]+FINANCIACION[[#This Row],[$ INTERESES]],0)</f>
        <v>6169138</v>
      </c>
    </row>
    <row r="591" spans="1:11" ht="24" hidden="1" customHeight="1" x14ac:dyDescent="0.25">
      <c r="A591" s="177">
        <v>44943</v>
      </c>
      <c r="B591" s="184" t="s">
        <v>332</v>
      </c>
      <c r="C591" s="179">
        <v>1200732</v>
      </c>
      <c r="D591" s="179">
        <v>5930311</v>
      </c>
      <c r="E591" s="179">
        <f>+IF(FINANCIACION[[#This Row],[$ CAPITAL]]&gt;=0,FINANCIACION[[#This Row],[$ CAPITAL]]+FINANCIACION[[#This Row],[$ INTERESES]],"")</f>
        <v>7131043</v>
      </c>
      <c r="F591" s="179">
        <f>+SUMIFS(FINANCIACION[$ CAPITAL],FINANCIACION[Fecha],"&lt;="&amp;FINANCIACION[[#This Row],[Fecha]],FINANCIACION[PRESTAMO],FINANCIACION[[#This Row],[PRESTAMO]])</f>
        <v>-356329990</v>
      </c>
      <c r="G591" s="82"/>
      <c r="I591" s="185"/>
      <c r="J591" s="179">
        <f>+IF(FINANCIACION[[#This Row],[$ CAPITAL]]&gt;0,FINANCIACION[[#This Row],[$ CAPITAL]])</f>
        <v>1200732</v>
      </c>
      <c r="K591" s="186">
        <f>+IF(FINANCIACION[[#This Row],[$ CAPITAL]]&gt;=0,FINANCIACION[[#This Row],[$ CAPITAL]]+FINANCIACION[[#This Row],[$ INTERESES]],0)</f>
        <v>7131043</v>
      </c>
    </row>
    <row r="592" spans="1:11" ht="24" hidden="1" customHeight="1" x14ac:dyDescent="0.25">
      <c r="A592" s="177">
        <v>44978</v>
      </c>
      <c r="B592" s="184" t="s">
        <v>332</v>
      </c>
      <c r="C592" s="179">
        <v>1090811</v>
      </c>
      <c r="D592" s="179">
        <v>6525724</v>
      </c>
      <c r="E592" s="179">
        <f>+IF(FINANCIACION[[#This Row],[$ CAPITAL]]&gt;=0,FINANCIACION[[#This Row],[$ CAPITAL]]+FINANCIACION[[#This Row],[$ INTERESES]],"")</f>
        <v>7616535</v>
      </c>
      <c r="F592" s="179">
        <f>+SUMIFS(FINANCIACION[$ CAPITAL],FINANCIACION[Fecha],"&lt;="&amp;FINANCIACION[[#This Row],[Fecha]],FINANCIACION[PRESTAMO],FINANCIACION[[#This Row],[PRESTAMO]])</f>
        <v>-355239179</v>
      </c>
      <c r="G592" s="82"/>
      <c r="I592" s="185"/>
      <c r="J592" s="179">
        <f>+IF(FINANCIACION[[#This Row],[$ CAPITAL]]&gt;0,FINANCIACION[[#This Row],[$ CAPITAL]])</f>
        <v>1090811</v>
      </c>
      <c r="K592" s="186">
        <f>+IF(FINANCIACION[[#This Row],[$ CAPITAL]]&gt;=0,FINANCIACION[[#This Row],[$ CAPITAL]]+FINANCIACION[[#This Row],[$ INTERESES]],0)</f>
        <v>7616535</v>
      </c>
    </row>
    <row r="593" spans="1:11" ht="24" hidden="1" customHeight="1" x14ac:dyDescent="0.25">
      <c r="A593" s="177">
        <v>45006</v>
      </c>
      <c r="B593" s="184" t="s">
        <v>332</v>
      </c>
      <c r="C593" s="179">
        <v>1111000</v>
      </c>
      <c r="D593" s="179">
        <v>13053979</v>
      </c>
      <c r="E593" s="179">
        <f>+IF(FINANCIACION[[#This Row],[$ CAPITAL]]&gt;=0,FINANCIACION[[#This Row],[$ CAPITAL]]+FINANCIACION[[#This Row],[$ INTERESES]],"")</f>
        <v>14164979</v>
      </c>
      <c r="F593" s="179">
        <f>+SUMIFS(FINANCIACION[$ CAPITAL],FINANCIACION[Fecha],"&lt;="&amp;FINANCIACION[[#This Row],[Fecha]],FINANCIACION[PRESTAMO],FINANCIACION[[#This Row],[PRESTAMO]])</f>
        <v>-354128179</v>
      </c>
      <c r="G593" s="82"/>
      <c r="H593" s="185" t="s">
        <v>685</v>
      </c>
      <c r="I593" s="185"/>
      <c r="J593" s="179">
        <f>+IF(FINANCIACION[[#This Row],[$ CAPITAL]]&gt;0,FINANCIACION[[#This Row],[$ CAPITAL]])</f>
        <v>1111000</v>
      </c>
      <c r="K593" s="186">
        <f>+IF(FINANCIACION[[#This Row],[$ CAPITAL]]&gt;=0,FINANCIACION[[#This Row],[$ CAPITAL]]+FINANCIACION[[#This Row],[$ INTERESES]],0)</f>
        <v>14164979</v>
      </c>
    </row>
    <row r="594" spans="1:11" ht="24" hidden="1" customHeight="1" x14ac:dyDescent="0.25">
      <c r="A594" s="177">
        <v>45034</v>
      </c>
      <c r="B594" s="184" t="s">
        <v>332</v>
      </c>
      <c r="C594" s="179">
        <v>1239164</v>
      </c>
      <c r="D594" s="179">
        <v>6376253</v>
      </c>
      <c r="E594" s="179">
        <f>+IF(FINANCIACION[[#This Row],[$ CAPITAL]]&gt;=0,FINANCIACION[[#This Row],[$ CAPITAL]]+FINANCIACION[[#This Row],[$ INTERESES]],"")</f>
        <v>7615417</v>
      </c>
      <c r="F594" s="179">
        <f>+SUMIFS(FINANCIACION[$ CAPITAL],FINANCIACION[Fecha],"&lt;="&amp;FINANCIACION[[#This Row],[Fecha]],FINANCIACION[PRESTAMO],FINANCIACION[[#This Row],[PRESTAMO]])</f>
        <v>-352889015</v>
      </c>
      <c r="G594" s="82"/>
      <c r="I594" s="185"/>
      <c r="J594" s="179">
        <f>+IF(FINANCIACION[[#This Row],[$ CAPITAL]]&gt;0,FINANCIACION[[#This Row],[$ CAPITAL]])</f>
        <v>1239164</v>
      </c>
      <c r="K594" s="186">
        <f>+IF(FINANCIACION[[#This Row],[$ CAPITAL]]&gt;=0,FINANCIACION[[#This Row],[$ CAPITAL]]+FINANCIACION[[#This Row],[$ INTERESES]],0)</f>
        <v>7615417</v>
      </c>
    </row>
    <row r="595" spans="1:11" ht="24" hidden="1" customHeight="1" x14ac:dyDescent="0.25">
      <c r="A595" s="177">
        <v>45064</v>
      </c>
      <c r="B595" s="184" t="s">
        <v>332</v>
      </c>
      <c r="C595" s="179">
        <v>1184963</v>
      </c>
      <c r="D595" s="179">
        <v>6311276</v>
      </c>
      <c r="E595" s="179">
        <f>+IF(FINANCIACION[[#This Row],[$ CAPITAL]]&gt;=0,FINANCIACION[[#This Row],[$ CAPITAL]]+FINANCIACION[[#This Row],[$ INTERESES]],"")</f>
        <v>7496239</v>
      </c>
      <c r="F595" s="179">
        <f>+SUMIFS(FINANCIACION[$ CAPITAL],FINANCIACION[Fecha],"&lt;="&amp;FINANCIACION[[#This Row],[Fecha]],FINANCIACION[PRESTAMO],FINANCIACION[[#This Row],[PRESTAMO]])</f>
        <v>-351704052</v>
      </c>
      <c r="G595" s="82"/>
      <c r="I595" s="185"/>
      <c r="J595" s="179">
        <f>+IF(FINANCIACION[[#This Row],[$ CAPITAL]]&gt;0,FINANCIACION[[#This Row],[$ CAPITAL]])</f>
        <v>1184963</v>
      </c>
      <c r="K595" s="186">
        <f>+IF(FINANCIACION[[#This Row],[$ CAPITAL]]&gt;=0,FINANCIACION[[#This Row],[$ CAPITAL]]+FINANCIACION[[#This Row],[$ INTERESES]],0)</f>
        <v>7496239</v>
      </c>
    </row>
    <row r="596" spans="1:11" ht="24" hidden="1" customHeight="1" x14ac:dyDescent="0.25">
      <c r="A596" s="177">
        <v>45097</v>
      </c>
      <c r="B596" s="184" t="s">
        <v>332</v>
      </c>
      <c r="C596" s="179">
        <v>1206607</v>
      </c>
      <c r="D596" s="179">
        <v>5908346</v>
      </c>
      <c r="E596" s="179">
        <f>+IF(FINANCIACION[[#This Row],[$ CAPITAL]]&gt;=0,FINANCIACION[[#This Row],[$ CAPITAL]]+FINANCIACION[[#This Row],[$ INTERESES]],"")</f>
        <v>7114953</v>
      </c>
      <c r="F596" s="179">
        <f>+SUMIFS(FINANCIACION[$ CAPITAL],FINANCIACION[Fecha],"&lt;="&amp;FINANCIACION[[#This Row],[Fecha]],FINANCIACION[PRESTAMO],FINANCIACION[[#This Row],[PRESTAMO]])</f>
        <v>-350497445</v>
      </c>
      <c r="G596" s="82"/>
      <c r="I596" s="185"/>
      <c r="J596" s="179">
        <f>+IF(FINANCIACION[[#This Row],[$ CAPITAL]]&gt;0,FINANCIACION[[#This Row],[$ CAPITAL]])</f>
        <v>1206607</v>
      </c>
      <c r="K596" s="186">
        <f>+IF(FINANCIACION[[#This Row],[$ CAPITAL]]&gt;=0,FINANCIACION[[#This Row],[$ CAPITAL]]+FINANCIACION[[#This Row],[$ INTERESES]],0)</f>
        <v>7114953</v>
      </c>
    </row>
    <row r="597" spans="1:11" ht="24" hidden="1" customHeight="1" x14ac:dyDescent="0.25">
      <c r="A597" s="177">
        <v>45107</v>
      </c>
      <c r="B597" s="184" t="s">
        <v>332</v>
      </c>
      <c r="C597" s="179">
        <v>2089972</v>
      </c>
      <c r="D597" s="179"/>
      <c r="E597" s="179">
        <f>+IF(FINANCIACION[[#This Row],[$ CAPITAL]]&gt;=0,FINANCIACION[[#This Row],[$ CAPITAL]]+FINANCIACION[[#This Row],[$ INTERESES]],"")</f>
        <v>2089972</v>
      </c>
      <c r="F597" s="179">
        <f>+SUMIFS(FINANCIACION[$ CAPITAL],FINANCIACION[Fecha],"&lt;="&amp;FINANCIACION[[#This Row],[Fecha]],FINANCIACION[PRESTAMO],FINANCIACION[[#This Row],[PRESTAMO]])</f>
        <v>-348407473</v>
      </c>
      <c r="G597" s="82"/>
      <c r="H597" s="185" t="s">
        <v>888</v>
      </c>
      <c r="I597" s="185"/>
      <c r="J597" s="179">
        <f>+IF(FINANCIACION[[#This Row],[$ CAPITAL]]&gt;0,FINANCIACION[[#This Row],[$ CAPITAL]])</f>
        <v>2089972</v>
      </c>
      <c r="K597" s="186">
        <f>+IF(FINANCIACION[[#This Row],[$ CAPITAL]]&gt;=0,FINANCIACION[[#This Row],[$ CAPITAL]]+FINANCIACION[[#This Row],[$ INTERESES]],0)</f>
        <v>2089972</v>
      </c>
    </row>
    <row r="598" spans="1:11" ht="24" hidden="1" customHeight="1" x14ac:dyDescent="0.25">
      <c r="A598" s="177">
        <v>45125</v>
      </c>
      <c r="B598" s="184" t="s">
        <v>332</v>
      </c>
      <c r="C598" s="179">
        <v>1228646</v>
      </c>
      <c r="D598" s="179">
        <f>5734853+151454+370999+10287</f>
        <v>6267593</v>
      </c>
      <c r="E598" s="179">
        <f>+IF(FINANCIACION[[#This Row],[$ CAPITAL]]&gt;=0,FINANCIACION[[#This Row],[$ CAPITAL]]+FINANCIACION[[#This Row],[$ INTERESES]],"")</f>
        <v>7496239</v>
      </c>
      <c r="F598" s="179">
        <f>+SUMIFS(FINANCIACION[$ CAPITAL],FINANCIACION[Fecha],"&lt;="&amp;FINANCIACION[[#This Row],[Fecha]],FINANCIACION[PRESTAMO],FINANCIACION[[#This Row],[PRESTAMO]])</f>
        <v>-347178827</v>
      </c>
      <c r="G598" s="82"/>
      <c r="I598" s="185"/>
      <c r="J598" s="179">
        <f>+IF(FINANCIACION[[#This Row],[$ CAPITAL]]&gt;0,FINANCIACION[[#This Row],[$ CAPITAL]])</f>
        <v>1228646</v>
      </c>
      <c r="K598" s="186">
        <f>+IF(FINANCIACION[[#This Row],[$ CAPITAL]]&gt;=0,FINANCIACION[[#This Row],[$ CAPITAL]]+FINANCIACION[[#This Row],[$ INTERESES]],0)</f>
        <v>7496239</v>
      </c>
    </row>
    <row r="599" spans="1:11" ht="24" hidden="1" customHeight="1" x14ac:dyDescent="0.25">
      <c r="A599" s="177">
        <v>45156</v>
      </c>
      <c r="B599" s="184" t="s">
        <v>332</v>
      </c>
      <c r="C599" s="179">
        <v>1251087</v>
      </c>
      <c r="D599" s="179">
        <f>5712412+151454+370999+10287</f>
        <v>6245152</v>
      </c>
      <c r="E599" s="179">
        <f>+IF(FINANCIACION[[#This Row],[$ CAPITAL]]&gt;=0,FINANCIACION[[#This Row],[$ CAPITAL]]+FINANCIACION[[#This Row],[$ INTERESES]],"")</f>
        <v>7496239</v>
      </c>
      <c r="F599" s="179">
        <f>+SUMIFS(FINANCIACION[$ CAPITAL],FINANCIACION[Fecha],"&lt;="&amp;FINANCIACION[[#This Row],[Fecha]],FINANCIACION[PRESTAMO],FINANCIACION[[#This Row],[PRESTAMO]])</f>
        <v>-345927740</v>
      </c>
      <c r="G599" s="82"/>
      <c r="I599" s="185"/>
      <c r="J599" s="179">
        <f>+IF(FINANCIACION[[#This Row],[$ CAPITAL]]&gt;0,FINANCIACION[[#This Row],[$ CAPITAL]])</f>
        <v>1251087</v>
      </c>
      <c r="K599" s="186">
        <f>+IF(FINANCIACION[[#This Row],[$ CAPITAL]]&gt;=0,FINANCIACION[[#This Row],[$ CAPITAL]]+FINANCIACION[[#This Row],[$ INTERESES]],0)</f>
        <v>7496239</v>
      </c>
    </row>
    <row r="600" spans="1:11" ht="24" hidden="1" customHeight="1" x14ac:dyDescent="0.25">
      <c r="A600" s="177">
        <v>45187</v>
      </c>
      <c r="B600" s="184" t="s">
        <v>332</v>
      </c>
      <c r="C600" s="179">
        <v>1273939</v>
      </c>
      <c r="D600" s="179">
        <f>5689560+151454+381286</f>
        <v>6222300</v>
      </c>
      <c r="E600" s="179">
        <f>+IF(FINANCIACION[[#This Row],[$ CAPITAL]]&gt;=0,FINANCIACION[[#This Row],[$ CAPITAL]]+FINANCIACION[[#This Row],[$ INTERESES]],"")</f>
        <v>7496239</v>
      </c>
      <c r="F600" s="179">
        <f>+SUMIFS(FINANCIACION[$ CAPITAL],FINANCIACION[Fecha],"&lt;="&amp;FINANCIACION[[#This Row],[Fecha]],FINANCIACION[PRESTAMO],FINANCIACION[[#This Row],[PRESTAMO]])</f>
        <v>-344653801</v>
      </c>
      <c r="G600" s="82"/>
      <c r="I600" s="185"/>
      <c r="J600" s="179">
        <f>+IF(FINANCIACION[[#This Row],[$ CAPITAL]]&gt;0,FINANCIACION[[#This Row],[$ CAPITAL]])</f>
        <v>1273939</v>
      </c>
      <c r="K600" s="186">
        <f>+IF(FINANCIACION[[#This Row],[$ CAPITAL]]&gt;=0,FINANCIACION[[#This Row],[$ CAPITAL]]+FINANCIACION[[#This Row],[$ INTERESES]],0)</f>
        <v>7496239</v>
      </c>
    </row>
    <row r="601" spans="1:11" ht="24" hidden="1" customHeight="1" x14ac:dyDescent="0.25">
      <c r="A601" s="177">
        <v>45217</v>
      </c>
      <c r="B601" s="184" t="s">
        <v>332</v>
      </c>
      <c r="C601" s="179">
        <v>1297208</v>
      </c>
      <c r="D601" s="179">
        <f>381286+5666291+151454</f>
        <v>6199031</v>
      </c>
      <c r="E601" s="179">
        <f>+IF(FINANCIACION[[#This Row],[$ CAPITAL]]&gt;=0,FINANCIACION[[#This Row],[$ CAPITAL]]+FINANCIACION[[#This Row],[$ INTERESES]],"")</f>
        <v>7496239</v>
      </c>
      <c r="F601" s="179">
        <f>+SUMIFS(FINANCIACION[$ CAPITAL],FINANCIACION[Fecha],"&lt;="&amp;FINANCIACION[[#This Row],[Fecha]],FINANCIACION[PRESTAMO],FINANCIACION[[#This Row],[PRESTAMO]])</f>
        <v>-343356593</v>
      </c>
      <c r="G601" s="82"/>
      <c r="I601" s="185"/>
      <c r="J601" s="179">
        <f>+IF(FINANCIACION[[#This Row],[$ CAPITAL]]&gt;0,FINANCIACION[[#This Row],[$ CAPITAL]])</f>
        <v>1297208</v>
      </c>
      <c r="K601" s="186">
        <f>+IF(FINANCIACION[[#This Row],[$ CAPITAL]]&gt;=0,FINANCIACION[[#This Row],[$ CAPITAL]]+FINANCIACION[[#This Row],[$ INTERESES]],0)</f>
        <v>7496239</v>
      </c>
    </row>
    <row r="602" spans="1:11" ht="24" hidden="1" customHeight="1" x14ac:dyDescent="0.25">
      <c r="A602" s="177">
        <v>45250</v>
      </c>
      <c r="B602" s="184" t="s">
        <v>332</v>
      </c>
      <c r="C602" s="179">
        <v>1320430</v>
      </c>
      <c r="D602" s="179">
        <f>5644707+151454+381286</f>
        <v>6177447</v>
      </c>
      <c r="E602" s="179">
        <f>+IF(FINANCIACION[[#This Row],[$ CAPITAL]]&gt;=0,FINANCIACION[[#This Row],[$ CAPITAL]]+FINANCIACION[[#This Row],[$ INTERESES]],"")</f>
        <v>7497877</v>
      </c>
      <c r="F602" s="179">
        <f>+SUMIFS(FINANCIACION[$ CAPITAL],FINANCIACION[Fecha],"&lt;="&amp;FINANCIACION[[#This Row],[Fecha]],FINANCIACION[PRESTAMO],FINANCIACION[[#This Row],[PRESTAMO]])</f>
        <v>-342036163</v>
      </c>
      <c r="G602" s="82"/>
      <c r="I602" s="185"/>
      <c r="J602" s="179">
        <f>+IF(FINANCIACION[[#This Row],[$ CAPITAL]]&gt;0,FINANCIACION[[#This Row],[$ CAPITAL]])</f>
        <v>1320430</v>
      </c>
      <c r="K602" s="186">
        <f>+IF(FINANCIACION[[#This Row],[$ CAPITAL]]&gt;=0,FINANCIACION[[#This Row],[$ CAPITAL]]+FINANCIACION[[#This Row],[$ INTERESES]],0)</f>
        <v>7497877</v>
      </c>
    </row>
    <row r="603" spans="1:11" ht="24" hidden="1" customHeight="1" x14ac:dyDescent="0.25">
      <c r="A603" s="177">
        <v>45278</v>
      </c>
      <c r="B603" s="184" t="s">
        <v>332</v>
      </c>
      <c r="C603" s="179">
        <v>1344557</v>
      </c>
      <c r="D603" s="179">
        <f>5620580+151454+381286</f>
        <v>6153320</v>
      </c>
      <c r="E603" s="179">
        <f>+IF(FINANCIACION[[#This Row],[$ CAPITAL]]&gt;=0,FINANCIACION[[#This Row],[$ CAPITAL]]+FINANCIACION[[#This Row],[$ INTERESES]],"")</f>
        <v>7497877</v>
      </c>
      <c r="F603" s="179">
        <f>+SUMIFS(FINANCIACION[$ CAPITAL],FINANCIACION[Fecha],"&lt;="&amp;FINANCIACION[[#This Row],[Fecha]],FINANCIACION[PRESTAMO],FINANCIACION[[#This Row],[PRESTAMO]])</f>
        <v>-340691606</v>
      </c>
      <c r="G603" s="82"/>
      <c r="I603" s="185"/>
      <c r="J603" s="179">
        <f>+IF(FINANCIACION[[#This Row],[$ CAPITAL]]&gt;0,FINANCIACION[[#This Row],[$ CAPITAL]])</f>
        <v>1344557</v>
      </c>
      <c r="K603" s="186">
        <f>+IF(FINANCIACION[[#This Row],[$ CAPITAL]]&gt;=0,FINANCIACION[[#This Row],[$ CAPITAL]]+FINANCIACION[[#This Row],[$ INTERESES]],0)</f>
        <v>7497877</v>
      </c>
    </row>
    <row r="604" spans="1:11" ht="24" hidden="1" customHeight="1" x14ac:dyDescent="0.25">
      <c r="A604" s="177">
        <v>45291</v>
      </c>
      <c r="B604" s="184" t="s">
        <v>332</v>
      </c>
      <c r="C604" s="179">
        <v>1200575</v>
      </c>
      <c r="D604" s="179"/>
      <c r="E604" s="179">
        <f>+IF(FINANCIACION[[#This Row],[$ CAPITAL]]&gt;=0,FINANCIACION[[#This Row],[$ CAPITAL]]+FINANCIACION[[#This Row],[$ INTERESES]],"")</f>
        <v>1200575</v>
      </c>
      <c r="F604" s="179">
        <f>+SUMIFS(FINANCIACION[$ CAPITAL],FINANCIACION[Fecha],"&lt;="&amp;FINANCIACION[[#This Row],[Fecha]],FINANCIACION[PRESTAMO],FINANCIACION[[#This Row],[PRESTAMO]])</f>
        <v>-318824853</v>
      </c>
      <c r="G604" s="82"/>
      <c r="H604" s="185" t="s">
        <v>888</v>
      </c>
      <c r="I604" s="185"/>
      <c r="J604" s="179">
        <f>+IF(FINANCIACION[[#This Row],[$ CAPITAL]]&gt;0,FINANCIACION[[#This Row],[$ CAPITAL]])</f>
        <v>1200575</v>
      </c>
      <c r="K604" s="186">
        <f>+IF(FINANCIACION[[#This Row],[$ CAPITAL]]&gt;=0,FINANCIACION[[#This Row],[$ CAPITAL]]+FINANCIACION[[#This Row],[$ INTERESES]],0)</f>
        <v>1200575</v>
      </c>
    </row>
    <row r="605" spans="1:11" ht="24" hidden="1" customHeight="1" x14ac:dyDescent="0.25">
      <c r="A605" s="177">
        <v>44226</v>
      </c>
      <c r="B605" s="184" t="s">
        <v>1417</v>
      </c>
      <c r="C605" s="179">
        <v>-7016439</v>
      </c>
      <c r="D605" s="179"/>
      <c r="E605" s="179" t="str">
        <f>+IF(FINANCIACION[[#This Row],[$ CAPITAL]]&gt;=0,FINANCIACION[[#This Row],[$ CAPITAL]]+FINANCIACION[[#This Row],[$ INTERESES]],"")</f>
        <v/>
      </c>
      <c r="F605" s="179">
        <f>+SUMIFS(FINANCIACION[$ CAPITAL],FINANCIACION[Fecha],"&lt;="&amp;FINANCIACION[[#This Row],[Fecha]],FINANCIACION[PRESTAMO],FINANCIACION[[#This Row],[PRESTAMO]])</f>
        <v>-7016439</v>
      </c>
      <c r="G605" s="179"/>
      <c r="H605" s="183" t="s">
        <v>133</v>
      </c>
      <c r="I605" s="185"/>
      <c r="J605" s="179" t="b">
        <f>IF(FINANCIACION[[#This Row],[$ CAPITAL]]&gt;0,FINANCIACION[[#This Row],[$ CAPITAL]])</f>
        <v>0</v>
      </c>
      <c r="K605" s="186">
        <f>IF(FINANCIACION[[#This Row],[$ CAPITAL]]&gt;=0,FINANCIACION[[#This Row],[$ CAPITAL]]+FINANCIACION[[#This Row],[$ INTERESES]],0)</f>
        <v>0</v>
      </c>
    </row>
    <row r="606" spans="1:11" ht="24" hidden="1" customHeight="1" x14ac:dyDescent="0.25">
      <c r="A606" s="177">
        <v>44255</v>
      </c>
      <c r="B606" s="184" t="s">
        <v>1417</v>
      </c>
      <c r="C606" s="179">
        <v>-20437161</v>
      </c>
      <c r="D606" s="179"/>
      <c r="E606" s="179" t="str">
        <f>+IF(FINANCIACION[[#This Row],[$ CAPITAL]]&gt;=0,FINANCIACION[[#This Row],[$ CAPITAL]]+FINANCIACION[[#This Row],[$ INTERESES]],"")</f>
        <v/>
      </c>
      <c r="F606" s="179">
        <f>+SUMIFS(FINANCIACION[$ CAPITAL],FINANCIACION[Fecha],"&lt;="&amp;FINANCIACION[[#This Row],[Fecha]],FINANCIACION[PRESTAMO],FINANCIACION[[#This Row],[PRESTAMO]])</f>
        <v>-27453600</v>
      </c>
      <c r="G606" s="179"/>
      <c r="H606" s="183" t="s">
        <v>133</v>
      </c>
      <c r="I606" s="185"/>
      <c r="J606" s="179" t="b">
        <f>IF(FINANCIACION[[#This Row],[$ CAPITAL]]&gt;0,FINANCIACION[[#This Row],[$ CAPITAL]])</f>
        <v>0</v>
      </c>
      <c r="K606" s="186">
        <f>IF(FINANCIACION[[#This Row],[$ CAPITAL]]&gt;=0,FINANCIACION[[#This Row],[$ CAPITAL]]+FINANCIACION[[#This Row],[$ INTERESES]],0)</f>
        <v>0</v>
      </c>
    </row>
    <row r="607" spans="1:11" ht="24" hidden="1" customHeight="1" x14ac:dyDescent="0.25">
      <c r="A607" s="177">
        <v>44285</v>
      </c>
      <c r="B607" s="184" t="s">
        <v>1417</v>
      </c>
      <c r="C607" s="179">
        <v>1068900</v>
      </c>
      <c r="D607" s="179"/>
      <c r="E607" s="179">
        <f>+IF(FINANCIACION[[#This Row],[$ CAPITAL]]&gt;=0,FINANCIACION[[#This Row],[$ CAPITAL]]+FINANCIACION[[#This Row],[$ INTERESES]],"")</f>
        <v>1068900</v>
      </c>
      <c r="F607" s="179">
        <f>+SUMIFS(FINANCIACION[$ CAPITAL],FINANCIACION[Fecha],"&lt;="&amp;FINANCIACION[[#This Row],[Fecha]],FINANCIACION[PRESTAMO],FINANCIACION[[#This Row],[PRESTAMO]])</f>
        <v>-26384700</v>
      </c>
      <c r="G607" s="179"/>
      <c r="H607" s="183" t="s">
        <v>133</v>
      </c>
      <c r="I607" s="185"/>
      <c r="J607" s="179">
        <f>IF(FINANCIACION[[#This Row],[$ CAPITAL]]&gt;0,FINANCIACION[[#This Row],[$ CAPITAL]])</f>
        <v>1068900</v>
      </c>
      <c r="K607" s="186">
        <f>IF(FINANCIACION[[#This Row],[$ CAPITAL]]&gt;=0,FINANCIACION[[#This Row],[$ CAPITAL]]+FINANCIACION[[#This Row],[$ INTERESES]],0)</f>
        <v>1068900</v>
      </c>
    </row>
    <row r="608" spans="1:11" ht="24" hidden="1" customHeight="1" x14ac:dyDescent="0.25">
      <c r="A608" s="177">
        <v>44316</v>
      </c>
      <c r="B608" s="184" t="s">
        <v>1417</v>
      </c>
      <c r="C608" s="179">
        <v>-7917900</v>
      </c>
      <c r="D608" s="179"/>
      <c r="E608" s="179" t="str">
        <f>+IF(FINANCIACION[[#This Row],[$ CAPITAL]]&gt;=0,FINANCIACION[[#This Row],[$ CAPITAL]]+FINANCIACION[[#This Row],[$ INTERESES]],"")</f>
        <v/>
      </c>
      <c r="F608" s="179">
        <f>+SUMIFS(FINANCIACION[$ CAPITAL],FINANCIACION[Fecha],"&lt;="&amp;FINANCIACION[[#This Row],[Fecha]],FINANCIACION[PRESTAMO],FINANCIACION[[#This Row],[PRESTAMO]])</f>
        <v>-34302600</v>
      </c>
      <c r="G608" s="179"/>
      <c r="H608" s="183" t="s">
        <v>133</v>
      </c>
      <c r="I608" s="185"/>
      <c r="J608" s="179" t="b">
        <f>IF(FINANCIACION[[#This Row],[$ CAPITAL]]&gt;0,FINANCIACION[[#This Row],[$ CAPITAL]])</f>
        <v>0</v>
      </c>
      <c r="K608" s="186">
        <f>IF(FINANCIACION[[#This Row],[$ CAPITAL]]&gt;=0,FINANCIACION[[#This Row],[$ CAPITAL]]+FINANCIACION[[#This Row],[$ INTERESES]],0)</f>
        <v>0</v>
      </c>
    </row>
    <row r="609" spans="1:11" ht="24" hidden="1" customHeight="1" x14ac:dyDescent="0.25">
      <c r="A609" s="177">
        <v>44346</v>
      </c>
      <c r="B609" s="184" t="s">
        <v>1417</v>
      </c>
      <c r="C609" s="179">
        <v>936000</v>
      </c>
      <c r="D609" s="179"/>
      <c r="E609" s="179">
        <f>+IF(FINANCIACION[[#This Row],[$ CAPITAL]]&gt;=0,FINANCIACION[[#This Row],[$ CAPITAL]]+FINANCIACION[[#This Row],[$ INTERESES]],"")</f>
        <v>936000</v>
      </c>
      <c r="F609" s="179">
        <f>+SUMIFS(FINANCIACION[$ CAPITAL],FINANCIACION[Fecha],"&lt;="&amp;FINANCIACION[[#This Row],[Fecha]],FINANCIACION[PRESTAMO],FINANCIACION[[#This Row],[PRESTAMO]])</f>
        <v>-33366600</v>
      </c>
      <c r="G609" s="179"/>
      <c r="H609" s="183"/>
      <c r="I609" s="185"/>
      <c r="J609" s="179">
        <f>IF(FINANCIACION[[#This Row],[$ CAPITAL]]&gt;0,FINANCIACION[[#This Row],[$ CAPITAL]])</f>
        <v>936000</v>
      </c>
      <c r="K609" s="187">
        <f>IF(FINANCIACION[[#This Row],[$ CAPITAL]]&gt;=0,FINANCIACION[[#This Row],[$ CAPITAL]]+FINANCIACION[[#This Row],[$ INTERESES]],0)</f>
        <v>936000</v>
      </c>
    </row>
    <row r="610" spans="1:11" ht="24" hidden="1" customHeight="1" x14ac:dyDescent="0.25">
      <c r="A610" s="177">
        <v>44350</v>
      </c>
      <c r="B610" s="184" t="s">
        <v>1417</v>
      </c>
      <c r="C610" s="179">
        <v>3642290</v>
      </c>
      <c r="D610" s="179"/>
      <c r="E610" s="179">
        <f>+IF(FINANCIACION[[#This Row],[$ CAPITAL]]&gt;=0,FINANCIACION[[#This Row],[$ CAPITAL]]+FINANCIACION[[#This Row],[$ INTERESES]],"")</f>
        <v>3642290</v>
      </c>
      <c r="F610" s="179">
        <f>+SUMIFS(FINANCIACION[$ CAPITAL],FINANCIACION[Fecha],"&lt;="&amp;FINANCIACION[[#This Row],[Fecha]],FINANCIACION[PRESTAMO],FINANCIACION[[#This Row],[PRESTAMO]])</f>
        <v>-29724310</v>
      </c>
      <c r="G610" s="179"/>
      <c r="H610" s="183"/>
      <c r="I610" s="185"/>
      <c r="J610" s="179">
        <f>IF(FINANCIACION[[#This Row],[$ CAPITAL]]&gt;0,FINANCIACION[[#This Row],[$ CAPITAL]])</f>
        <v>3642290</v>
      </c>
      <c r="K610" s="187">
        <f>IF(FINANCIACION[[#This Row],[$ CAPITAL]]&gt;=0,FINANCIACION[[#This Row],[$ CAPITAL]]+FINANCIACION[[#This Row],[$ INTERESES]],0)</f>
        <v>3642290</v>
      </c>
    </row>
    <row r="611" spans="1:11" ht="24" hidden="1" customHeight="1" x14ac:dyDescent="0.25">
      <c r="A611" s="177">
        <v>44365</v>
      </c>
      <c r="B611" s="184" t="s">
        <v>1417</v>
      </c>
      <c r="C611" s="179">
        <v>5968720</v>
      </c>
      <c r="D611" s="179"/>
      <c r="E611" s="179">
        <f>+IF(FINANCIACION[[#This Row],[$ CAPITAL]]&gt;=0,FINANCIACION[[#This Row],[$ CAPITAL]]+FINANCIACION[[#This Row],[$ INTERESES]],"")</f>
        <v>5968720</v>
      </c>
      <c r="F611" s="179">
        <f>+SUMIFS(FINANCIACION[$ CAPITAL],FINANCIACION[Fecha],"&lt;="&amp;FINANCIACION[[#This Row],[Fecha]],FINANCIACION[PRESTAMO],FINANCIACION[[#This Row],[PRESTAMO]])</f>
        <v>-23755590</v>
      </c>
      <c r="G611" s="179"/>
      <c r="I611" s="185"/>
      <c r="J611" s="179">
        <f>IF(FINANCIACION[[#This Row],[$ CAPITAL]]&gt;0,FINANCIACION[[#This Row],[$ CAPITAL]])</f>
        <v>5968720</v>
      </c>
      <c r="K611" s="186">
        <f>IF(FINANCIACION[[#This Row],[$ CAPITAL]]&gt;=0,FINANCIACION[[#This Row],[$ CAPITAL]]+FINANCIACION[[#This Row],[$ INTERESES]],0)</f>
        <v>5968720</v>
      </c>
    </row>
    <row r="612" spans="1:11" ht="24" hidden="1" customHeight="1" x14ac:dyDescent="0.25">
      <c r="A612" s="177">
        <v>44377</v>
      </c>
      <c r="B612" s="184" t="s">
        <v>1417</v>
      </c>
      <c r="C612" s="179">
        <v>1790</v>
      </c>
      <c r="D612" s="179"/>
      <c r="E612" s="179">
        <f>+IF(FINANCIACION[[#This Row],[$ CAPITAL]]&gt;=0,FINANCIACION[[#This Row],[$ CAPITAL]]+FINANCIACION[[#This Row],[$ INTERESES]],"")</f>
        <v>1790</v>
      </c>
      <c r="F612" s="179">
        <f>+SUMIFS(FINANCIACION[$ CAPITAL],FINANCIACION[Fecha],"&lt;="&amp;FINANCIACION[[#This Row],[Fecha]],FINANCIACION[PRESTAMO],FINANCIACION[[#This Row],[PRESTAMO]])</f>
        <v>-23753800</v>
      </c>
      <c r="G612" s="179"/>
      <c r="H612" s="185" t="s">
        <v>133</v>
      </c>
      <c r="I612" s="185"/>
      <c r="J612" s="179">
        <f>IF(FINANCIACION[[#This Row],[$ CAPITAL]]&gt;0,FINANCIACION[[#This Row],[$ CAPITAL]])</f>
        <v>1790</v>
      </c>
      <c r="K612" s="186">
        <f>IF(FINANCIACION[[#This Row],[$ CAPITAL]]&gt;=0,FINANCIACION[[#This Row],[$ CAPITAL]]+FINANCIACION[[#This Row],[$ INTERESES]],0)</f>
        <v>1790</v>
      </c>
    </row>
    <row r="613" spans="1:11" ht="24" hidden="1" customHeight="1" x14ac:dyDescent="0.25">
      <c r="A613" s="177">
        <v>44389</v>
      </c>
      <c r="B613" s="184" t="s">
        <v>1417</v>
      </c>
      <c r="C613" s="179">
        <v>3829460</v>
      </c>
      <c r="D613" s="179"/>
      <c r="E613" s="179">
        <f>+IF(FINANCIACION[[#This Row],[$ CAPITAL]]&gt;=0,FINANCIACION[[#This Row],[$ CAPITAL]]+FINANCIACION[[#This Row],[$ INTERESES]],"")</f>
        <v>3829460</v>
      </c>
      <c r="F613" s="179">
        <f>+SUMIFS(FINANCIACION[$ CAPITAL],FINANCIACION[Fecha],"&lt;="&amp;FINANCIACION[[#This Row],[Fecha]],FINANCIACION[PRESTAMO],FINANCIACION[[#This Row],[PRESTAMO]])</f>
        <v>-19924340</v>
      </c>
      <c r="G613" s="179"/>
      <c r="I613" s="185"/>
      <c r="J613" s="179">
        <f>IF(FINANCIACION[[#This Row],[$ CAPITAL]]&gt;0,FINANCIACION[[#This Row],[$ CAPITAL]])</f>
        <v>3829460</v>
      </c>
      <c r="K613" s="186">
        <f>IF(FINANCIACION[[#This Row],[$ CAPITAL]]&gt;=0,FINANCIACION[[#This Row],[$ CAPITAL]]+FINANCIACION[[#This Row],[$ INTERESES]],0)</f>
        <v>3829460</v>
      </c>
    </row>
    <row r="614" spans="1:11" ht="24" hidden="1" customHeight="1" x14ac:dyDescent="0.25">
      <c r="A614" s="177">
        <v>44396</v>
      </c>
      <c r="B614" s="184" t="s">
        <v>1417</v>
      </c>
      <c r="C614" s="179">
        <v>3808460</v>
      </c>
      <c r="D614" s="179"/>
      <c r="E614" s="179">
        <f>+IF(FINANCIACION[[#This Row],[$ CAPITAL]]&gt;=0,FINANCIACION[[#This Row],[$ CAPITAL]]+FINANCIACION[[#This Row],[$ INTERESES]],"")</f>
        <v>3808460</v>
      </c>
      <c r="F614" s="179">
        <f>+SUMIFS(FINANCIACION[$ CAPITAL],FINANCIACION[Fecha],"&lt;="&amp;FINANCIACION[[#This Row],[Fecha]],FINANCIACION[PRESTAMO],FINANCIACION[[#This Row],[PRESTAMO]])</f>
        <v>-16115880</v>
      </c>
      <c r="G614" s="179"/>
      <c r="I614" s="185"/>
      <c r="J614" s="179">
        <f>IF(FINANCIACION[[#This Row],[$ CAPITAL]]&gt;0,FINANCIACION[[#This Row],[$ CAPITAL]])</f>
        <v>3808460</v>
      </c>
      <c r="K614" s="186">
        <f>IF(FINANCIACION[[#This Row],[$ CAPITAL]]&gt;=0,FINANCIACION[[#This Row],[$ CAPITAL]]+FINANCIACION[[#This Row],[$ INTERESES]],0)</f>
        <v>3808460</v>
      </c>
    </row>
    <row r="615" spans="1:11" ht="24" hidden="1" customHeight="1" x14ac:dyDescent="0.25">
      <c r="A615" s="177">
        <v>44408</v>
      </c>
      <c r="B615" s="184" t="s">
        <v>1417</v>
      </c>
      <c r="C615" s="179">
        <v>-11578020</v>
      </c>
      <c r="D615" s="179"/>
      <c r="E615" s="179" t="str">
        <f>+IF(FINANCIACION[[#This Row],[$ CAPITAL]]&gt;=0,FINANCIACION[[#This Row],[$ CAPITAL]]+FINANCIACION[[#This Row],[$ INTERESES]],"")</f>
        <v/>
      </c>
      <c r="F615" s="179">
        <f>+SUMIFS(FINANCIACION[$ CAPITAL],FINANCIACION[Fecha],"&lt;="&amp;FINANCIACION[[#This Row],[Fecha]],FINANCIACION[PRESTAMO],FINANCIACION[[#This Row],[PRESTAMO]])</f>
        <v>-27693900</v>
      </c>
      <c r="G615" s="179"/>
      <c r="H615" s="183" t="s">
        <v>133</v>
      </c>
      <c r="I615" s="185"/>
      <c r="J615" s="179" t="b">
        <f>IF(FINANCIACION[[#This Row],[$ CAPITAL]]&gt;0,FINANCIACION[[#This Row],[$ CAPITAL]])</f>
        <v>0</v>
      </c>
      <c r="K615" s="187">
        <f>IF(FINANCIACION[[#This Row],[$ CAPITAL]]&gt;=0,FINANCIACION[[#This Row],[$ CAPITAL]]+FINANCIACION[[#This Row],[$ INTERESES]],0)</f>
        <v>0</v>
      </c>
    </row>
    <row r="616" spans="1:11" ht="24" hidden="1" customHeight="1" x14ac:dyDescent="0.25">
      <c r="A616" s="177">
        <v>44414</v>
      </c>
      <c r="B616" s="184" t="s">
        <v>1417</v>
      </c>
      <c r="C616" s="179">
        <v>3910810</v>
      </c>
      <c r="D616" s="179"/>
      <c r="E616" s="179">
        <f>+IF(FINANCIACION[[#This Row],[$ CAPITAL]]&gt;=0,FINANCIACION[[#This Row],[$ CAPITAL]]+FINANCIACION[[#This Row],[$ INTERESES]],"")</f>
        <v>3910810</v>
      </c>
      <c r="F616" s="179">
        <f>+SUMIFS(FINANCIACION[$ CAPITAL],FINANCIACION[Fecha],"&lt;="&amp;FINANCIACION[[#This Row],[Fecha]],FINANCIACION[PRESTAMO],FINANCIACION[[#This Row],[PRESTAMO]])</f>
        <v>-23783090</v>
      </c>
      <c r="G616" s="179"/>
      <c r="I616" s="185"/>
      <c r="J616" s="179">
        <f>IF(FINANCIACION[[#This Row],[$ CAPITAL]]&gt;0,FINANCIACION[[#This Row],[$ CAPITAL]])</f>
        <v>3910810</v>
      </c>
      <c r="K616" s="186">
        <f>IF(FINANCIACION[[#This Row],[$ CAPITAL]]&gt;=0,FINANCIACION[[#This Row],[$ CAPITAL]]+FINANCIACION[[#This Row],[$ INTERESES]],0)</f>
        <v>3910810</v>
      </c>
    </row>
    <row r="617" spans="1:11" ht="24" hidden="1" customHeight="1" x14ac:dyDescent="0.25">
      <c r="A617" s="177">
        <v>44421</v>
      </c>
      <c r="B617" s="184" t="s">
        <v>1417</v>
      </c>
      <c r="C617" s="179">
        <v>3887070</v>
      </c>
      <c r="D617" s="179"/>
      <c r="E617" s="179">
        <f>+IF(FINANCIACION[[#This Row],[$ CAPITAL]]&gt;=0,FINANCIACION[[#This Row],[$ CAPITAL]]+FINANCIACION[[#This Row],[$ INTERESES]],"")</f>
        <v>3887070</v>
      </c>
      <c r="F617" s="179">
        <f>+SUMIFS(FINANCIACION[$ CAPITAL],FINANCIACION[Fecha],"&lt;="&amp;FINANCIACION[[#This Row],[Fecha]],FINANCIACION[PRESTAMO],FINANCIACION[[#This Row],[PRESTAMO]])</f>
        <v>-19896020</v>
      </c>
      <c r="G617" s="179"/>
      <c r="I617" s="185"/>
      <c r="J617" s="179">
        <f>IF(FINANCIACION[[#This Row],[$ CAPITAL]]&gt;0,FINANCIACION[[#This Row],[$ CAPITAL]])</f>
        <v>3887070</v>
      </c>
      <c r="K617" s="186">
        <f>IF(FINANCIACION[[#This Row],[$ CAPITAL]]&gt;=0,FINANCIACION[[#This Row],[$ CAPITAL]]+FINANCIACION[[#This Row],[$ INTERESES]],0)</f>
        <v>3887070</v>
      </c>
    </row>
    <row r="618" spans="1:11" ht="24" hidden="1" customHeight="1" x14ac:dyDescent="0.25">
      <c r="A618" s="177">
        <v>44426</v>
      </c>
      <c r="B618" s="184" t="s">
        <v>1417</v>
      </c>
      <c r="C618" s="179">
        <v>3868410</v>
      </c>
      <c r="D618" s="179"/>
      <c r="E618" s="179">
        <f>+IF(FINANCIACION[[#This Row],[$ CAPITAL]]&gt;=0,FINANCIACION[[#This Row],[$ CAPITAL]]+FINANCIACION[[#This Row],[$ INTERESES]],"")</f>
        <v>3868410</v>
      </c>
      <c r="F618" s="179">
        <f>+SUMIFS(FINANCIACION[$ CAPITAL],FINANCIACION[Fecha],"&lt;="&amp;FINANCIACION[[#This Row],[Fecha]],FINANCIACION[PRESTAMO],FINANCIACION[[#This Row],[PRESTAMO]])</f>
        <v>-16027610</v>
      </c>
      <c r="G618" s="179"/>
      <c r="H618" s="183"/>
      <c r="I618" s="185"/>
      <c r="J618" s="179">
        <f>IF(FINANCIACION[[#This Row],[$ CAPITAL]]&gt;0,FINANCIACION[[#This Row],[$ CAPITAL]])</f>
        <v>3868410</v>
      </c>
      <c r="K618" s="187">
        <f>IF(FINANCIACION[[#This Row],[$ CAPITAL]]&gt;=0,FINANCIACION[[#This Row],[$ CAPITAL]]+FINANCIACION[[#This Row],[$ INTERESES]],0)</f>
        <v>3868410</v>
      </c>
    </row>
    <row r="619" spans="1:11" ht="24" hidden="1" customHeight="1" x14ac:dyDescent="0.25">
      <c r="A619" s="177">
        <v>44439</v>
      </c>
      <c r="B619" s="184" t="s">
        <v>1417</v>
      </c>
      <c r="C619" s="179">
        <v>38068.699999999997</v>
      </c>
      <c r="D619" s="179"/>
      <c r="E619" s="179">
        <f>+IF(FINANCIACION[[#This Row],[$ CAPITAL]]&gt;=0,FINANCIACION[[#This Row],[$ CAPITAL]]+FINANCIACION[[#This Row],[$ INTERESES]],"")</f>
        <v>38068.699999999997</v>
      </c>
      <c r="F619" s="179">
        <f>+SUMIFS(FINANCIACION[$ CAPITAL],FINANCIACION[Fecha],"&lt;="&amp;FINANCIACION[[#This Row],[Fecha]],FINANCIACION[PRESTAMO],FINANCIACION[[#This Row],[PRESTAMO]])</f>
        <v>-31683600</v>
      </c>
      <c r="G619" s="179"/>
      <c r="I619" s="185"/>
      <c r="J619" s="179">
        <f>IF(FINANCIACION[[#This Row],[$ CAPITAL]]&gt;0,FINANCIACION[[#This Row],[$ CAPITAL]])</f>
        <v>38068.699999999997</v>
      </c>
      <c r="K619" s="186">
        <f>IF(FINANCIACION[[#This Row],[$ CAPITAL]]&gt;=0,FINANCIACION[[#This Row],[$ CAPITAL]]+FINANCIACION[[#This Row],[$ INTERESES]],0)</f>
        <v>38068.699999999997</v>
      </c>
    </row>
    <row r="620" spans="1:11" ht="24" hidden="1" customHeight="1" x14ac:dyDescent="0.25">
      <c r="A620" s="177">
        <v>44439</v>
      </c>
      <c r="B620" s="184" t="s">
        <v>1417</v>
      </c>
      <c r="C620" s="179">
        <v>-15694058.699999999</v>
      </c>
      <c r="D620" s="179"/>
      <c r="E620" s="179" t="str">
        <f>+IF(FINANCIACION[[#This Row],[$ CAPITAL]]&gt;=0,FINANCIACION[[#This Row],[$ CAPITAL]]+FINANCIACION[[#This Row],[$ INTERESES]],"")</f>
        <v/>
      </c>
      <c r="F620" s="179">
        <f>+SUMIFS(FINANCIACION[$ CAPITAL],FINANCIACION[Fecha],"&lt;="&amp;FINANCIACION[[#This Row],[Fecha]],FINANCIACION[PRESTAMO],FINANCIACION[[#This Row],[PRESTAMO]])</f>
        <v>-31683600</v>
      </c>
      <c r="G620" s="179"/>
      <c r="H620" s="185" t="s">
        <v>133</v>
      </c>
      <c r="I620" s="185"/>
      <c r="J620" s="179" t="b">
        <f>IF(FINANCIACION[[#This Row],[$ CAPITAL]]&gt;0,FINANCIACION[[#This Row],[$ CAPITAL]])</f>
        <v>0</v>
      </c>
      <c r="K620" s="186">
        <f>IF(FINANCIACION[[#This Row],[$ CAPITAL]]&gt;=0,FINANCIACION[[#This Row],[$ CAPITAL]]+FINANCIACION[[#This Row],[$ INTERESES]],0)</f>
        <v>0</v>
      </c>
    </row>
    <row r="621" spans="1:11" ht="24" hidden="1" customHeight="1" x14ac:dyDescent="0.25">
      <c r="A621" s="177">
        <v>44440</v>
      </c>
      <c r="B621" s="184" t="s">
        <v>1417</v>
      </c>
      <c r="C621" s="179">
        <v>11300000</v>
      </c>
      <c r="D621" s="179"/>
      <c r="E621" s="179">
        <f>+IF(FINANCIACION[[#This Row],[$ CAPITAL]]&gt;=0,FINANCIACION[[#This Row],[$ CAPITAL]]+FINANCIACION[[#This Row],[$ INTERESES]],"")</f>
        <v>11300000</v>
      </c>
      <c r="F621" s="179">
        <f>+SUMIFS(FINANCIACION[$ CAPITAL],FINANCIACION[Fecha],"&lt;="&amp;FINANCIACION[[#This Row],[Fecha]],FINANCIACION[PRESTAMO],FINANCIACION[[#This Row],[PRESTAMO]])</f>
        <v>-20383600</v>
      </c>
      <c r="G621" s="179"/>
      <c r="H621" s="183"/>
      <c r="I621" s="185"/>
      <c r="J621" s="179">
        <f>IF(FINANCIACION[[#This Row],[$ CAPITAL]]&gt;0,FINANCIACION[[#This Row],[$ CAPITAL]])</f>
        <v>11300000</v>
      </c>
      <c r="K621" s="186">
        <f>IF(FINANCIACION[[#This Row],[$ CAPITAL]]&gt;=0,FINANCIACION[[#This Row],[$ CAPITAL]]+FINANCIACION[[#This Row],[$ INTERESES]],0)</f>
        <v>11300000</v>
      </c>
    </row>
    <row r="622" spans="1:11" ht="24" hidden="1" customHeight="1" x14ac:dyDescent="0.25">
      <c r="A622" s="177">
        <v>44469</v>
      </c>
      <c r="B622" s="184" t="s">
        <v>1417</v>
      </c>
      <c r="C622" s="179">
        <v>-13423250</v>
      </c>
      <c r="D622" s="179"/>
      <c r="E622" s="179" t="str">
        <f>+IF(FINANCIACION[[#This Row],[$ CAPITAL]]&gt;=0,FINANCIACION[[#This Row],[$ CAPITAL]]+FINANCIACION[[#This Row],[$ INTERESES]],"")</f>
        <v/>
      </c>
      <c r="F622" s="179">
        <f>+SUMIFS(FINANCIACION[$ CAPITAL],FINANCIACION[Fecha],"&lt;="&amp;FINANCIACION[[#This Row],[Fecha]],FINANCIACION[PRESTAMO],FINANCIACION[[#This Row],[PRESTAMO]])</f>
        <v>-33806850</v>
      </c>
      <c r="G622" s="179"/>
      <c r="H622" s="185" t="s">
        <v>133</v>
      </c>
      <c r="I622" s="185"/>
      <c r="J622" s="179" t="b">
        <f>IF(FINANCIACION[[#This Row],[$ CAPITAL]]&gt;0,FINANCIACION[[#This Row],[$ CAPITAL]])</f>
        <v>0</v>
      </c>
      <c r="K622" s="186">
        <f>IF(FINANCIACION[[#This Row],[$ CAPITAL]]&gt;=0,FINANCIACION[[#This Row],[$ CAPITAL]]+FINANCIACION[[#This Row],[$ INTERESES]],0)</f>
        <v>0</v>
      </c>
    </row>
    <row r="623" spans="1:11" ht="24" hidden="1" customHeight="1" x14ac:dyDescent="0.25">
      <c r="A623" s="177">
        <v>44476</v>
      </c>
      <c r="B623" s="184" t="s">
        <v>1417</v>
      </c>
      <c r="C623" s="179">
        <v>3788030</v>
      </c>
      <c r="D623" s="179"/>
      <c r="E623" s="179">
        <f>+IF(FINANCIACION[[#This Row],[$ CAPITAL]]&gt;=0,FINANCIACION[[#This Row],[$ CAPITAL]]+FINANCIACION[[#This Row],[$ INTERESES]],"")</f>
        <v>3788030</v>
      </c>
      <c r="F623" s="179">
        <f>+SUMIFS(FINANCIACION[$ CAPITAL],FINANCIACION[Fecha],"&lt;="&amp;FINANCIACION[[#This Row],[Fecha]],FINANCIACION[PRESTAMO],FINANCIACION[[#This Row],[PRESTAMO]])</f>
        <v>-30018820</v>
      </c>
      <c r="G623" s="179"/>
      <c r="I623" s="185"/>
      <c r="J623" s="179">
        <f>IF(FINANCIACION[[#This Row],[$ CAPITAL]]&gt;0,FINANCIACION[[#This Row],[$ CAPITAL]])</f>
        <v>3788030</v>
      </c>
      <c r="K623" s="186">
        <f>IF(FINANCIACION[[#This Row],[$ CAPITAL]]&gt;=0,FINANCIACION[[#This Row],[$ CAPITAL]]+FINANCIACION[[#This Row],[$ INTERESES]],0)</f>
        <v>3788030</v>
      </c>
    </row>
    <row r="624" spans="1:11" ht="24" hidden="1" customHeight="1" x14ac:dyDescent="0.25">
      <c r="A624" s="177">
        <v>44480</v>
      </c>
      <c r="B624" s="184" t="s">
        <v>1417</v>
      </c>
      <c r="C624" s="179">
        <v>3765800</v>
      </c>
      <c r="D624" s="179"/>
      <c r="E624" s="179">
        <f>+IF(FINANCIACION[[#This Row],[$ CAPITAL]]&gt;=0,FINANCIACION[[#This Row],[$ CAPITAL]]+FINANCIACION[[#This Row],[$ INTERESES]],"")</f>
        <v>3765800</v>
      </c>
      <c r="F624" s="179">
        <f>+SUMIFS(FINANCIACION[$ CAPITAL],FINANCIACION[Fecha],"&lt;="&amp;FINANCIACION[[#This Row],[Fecha]],FINANCIACION[PRESTAMO],FINANCIACION[[#This Row],[PRESTAMO]])</f>
        <v>-26253020</v>
      </c>
      <c r="G624" s="179"/>
      <c r="H624" s="183"/>
      <c r="I624" s="185"/>
      <c r="J624" s="179">
        <f>IF(FINANCIACION[[#This Row],[$ CAPITAL]]&gt;0,FINANCIACION[[#This Row],[$ CAPITAL]])</f>
        <v>3765800</v>
      </c>
      <c r="K624" s="186">
        <f>IF(FINANCIACION[[#This Row],[$ CAPITAL]]&gt;=0,FINANCIACION[[#This Row],[$ CAPITAL]]+FINANCIACION[[#This Row],[$ INTERESES]],0)</f>
        <v>3765800</v>
      </c>
    </row>
    <row r="625" spans="1:11" ht="24" hidden="1" customHeight="1" x14ac:dyDescent="0.25">
      <c r="A625" s="177">
        <v>44483</v>
      </c>
      <c r="B625" s="184" t="s">
        <v>1417</v>
      </c>
      <c r="C625" s="179">
        <v>5607720</v>
      </c>
      <c r="D625" s="179"/>
      <c r="E625" s="179">
        <f>+IF(FINANCIACION[[#This Row],[$ CAPITAL]]&gt;=0,FINANCIACION[[#This Row],[$ CAPITAL]]+FINANCIACION[[#This Row],[$ INTERESES]],"")</f>
        <v>5607720</v>
      </c>
      <c r="F625" s="179">
        <f>+SUMIFS(FINANCIACION[$ CAPITAL],FINANCIACION[Fecha],"&lt;="&amp;FINANCIACION[[#This Row],[Fecha]],FINANCIACION[PRESTAMO],FINANCIACION[[#This Row],[PRESTAMO]])</f>
        <v>-5691380</v>
      </c>
      <c r="G625" s="179"/>
      <c r="H625" s="183"/>
      <c r="I625" s="185"/>
      <c r="J625" s="179">
        <f>IF(FINANCIACION[[#This Row],[$ CAPITAL]]&gt;0,FINANCIACION[[#This Row],[$ CAPITAL]])</f>
        <v>5607720</v>
      </c>
      <c r="K625" s="187">
        <f>IF(FINANCIACION[[#This Row],[$ CAPITAL]]&gt;=0,FINANCIACION[[#This Row],[$ CAPITAL]]+FINANCIACION[[#This Row],[$ INTERESES]],0)</f>
        <v>5607720</v>
      </c>
    </row>
    <row r="626" spans="1:11" ht="24" hidden="1" customHeight="1" x14ac:dyDescent="0.25">
      <c r="A626" s="177">
        <v>44483</v>
      </c>
      <c r="B626" s="184" t="s">
        <v>1417</v>
      </c>
      <c r="C626" s="179">
        <v>14953920</v>
      </c>
      <c r="D626" s="179"/>
      <c r="E626" s="179">
        <f>+IF(FINANCIACION[[#This Row],[$ CAPITAL]]&gt;=0,FINANCIACION[[#This Row],[$ CAPITAL]]+FINANCIACION[[#This Row],[$ INTERESES]],"")</f>
        <v>14953920</v>
      </c>
      <c r="F626" s="179">
        <f>+SUMIFS(FINANCIACION[$ CAPITAL],FINANCIACION[Fecha],"&lt;="&amp;FINANCIACION[[#This Row],[Fecha]],FINANCIACION[PRESTAMO],FINANCIACION[[#This Row],[PRESTAMO]])</f>
        <v>-5691380</v>
      </c>
      <c r="G626" s="179"/>
      <c r="H626" s="183"/>
      <c r="I626" s="185"/>
      <c r="J626" s="179">
        <f>IF(FINANCIACION[[#This Row],[$ CAPITAL]]&gt;0,FINANCIACION[[#This Row],[$ CAPITAL]])</f>
        <v>14953920</v>
      </c>
      <c r="K626" s="187">
        <f>IF(FINANCIACION[[#This Row],[$ CAPITAL]]&gt;=0,FINANCIACION[[#This Row],[$ CAPITAL]]+FINANCIACION[[#This Row],[$ INTERESES]],0)</f>
        <v>14953920</v>
      </c>
    </row>
    <row r="627" spans="1:11" ht="24" hidden="1" customHeight="1" x14ac:dyDescent="0.25">
      <c r="A627" s="177">
        <v>44491</v>
      </c>
      <c r="B627" s="184" t="s">
        <v>1417</v>
      </c>
      <c r="C627" s="179">
        <v>3783300</v>
      </c>
      <c r="D627" s="179"/>
      <c r="E627" s="179">
        <f>+IF(FINANCIACION[[#This Row],[$ CAPITAL]]&gt;=0,FINANCIACION[[#This Row],[$ CAPITAL]]+FINANCIACION[[#This Row],[$ INTERESES]],"")</f>
        <v>3783300</v>
      </c>
      <c r="F627" s="179">
        <f>+SUMIFS(FINANCIACION[$ CAPITAL],FINANCIACION[Fecha],"&lt;="&amp;FINANCIACION[[#This Row],[Fecha]],FINANCIACION[PRESTAMO],FINANCIACION[[#This Row],[PRESTAMO]])</f>
        <v>1875220</v>
      </c>
      <c r="G627" s="179"/>
      <c r="I627" s="185"/>
      <c r="J627" s="179">
        <f>IF(FINANCIACION[[#This Row],[$ CAPITAL]]&gt;0,FINANCIACION[[#This Row],[$ CAPITAL]])</f>
        <v>3783300</v>
      </c>
      <c r="K627" s="186">
        <f>IF(FINANCIACION[[#This Row],[$ CAPITAL]]&gt;=0,FINANCIACION[[#This Row],[$ CAPITAL]]+FINANCIACION[[#This Row],[$ INTERESES]],0)</f>
        <v>3783300</v>
      </c>
    </row>
    <row r="628" spans="1:11" ht="24" hidden="1" customHeight="1" x14ac:dyDescent="0.25">
      <c r="A628" s="177">
        <v>44491</v>
      </c>
      <c r="B628" s="184" t="s">
        <v>1417</v>
      </c>
      <c r="C628" s="179">
        <v>3783300</v>
      </c>
      <c r="D628" s="179"/>
      <c r="E628" s="179">
        <f>+IF(FINANCIACION[[#This Row],[$ CAPITAL]]&gt;=0,FINANCIACION[[#This Row],[$ CAPITAL]]+FINANCIACION[[#This Row],[$ INTERESES]],"")</f>
        <v>3783300</v>
      </c>
      <c r="F628" s="179">
        <f>+SUMIFS(FINANCIACION[$ CAPITAL],FINANCIACION[Fecha],"&lt;="&amp;FINANCIACION[[#This Row],[Fecha]],FINANCIACION[PRESTAMO],FINANCIACION[[#This Row],[PRESTAMO]])</f>
        <v>1875220</v>
      </c>
      <c r="G628" s="179"/>
      <c r="I628" s="185"/>
      <c r="J628" s="179">
        <f>IF(FINANCIACION[[#This Row],[$ CAPITAL]]&gt;0,FINANCIACION[[#This Row],[$ CAPITAL]])</f>
        <v>3783300</v>
      </c>
      <c r="K628" s="186">
        <f>IF(FINANCIACION[[#This Row],[$ CAPITAL]]&gt;=0,FINANCIACION[[#This Row],[$ CAPITAL]]+FINANCIACION[[#This Row],[$ INTERESES]],0)</f>
        <v>3783300</v>
      </c>
    </row>
    <row r="629" spans="1:11" ht="24" hidden="1" customHeight="1" x14ac:dyDescent="0.25">
      <c r="A629" s="177">
        <v>44500</v>
      </c>
      <c r="B629" s="184" t="s">
        <v>1417</v>
      </c>
      <c r="C629" s="179">
        <v>-1876641</v>
      </c>
      <c r="D629" s="179"/>
      <c r="E629" s="179" t="str">
        <f>+IF(FINANCIACION[[#This Row],[$ CAPITAL]]&gt;=0,FINANCIACION[[#This Row],[$ CAPITAL]]+FINANCIACION[[#This Row],[$ INTERESES]],"")</f>
        <v/>
      </c>
      <c r="F629" s="179">
        <f>+SUMIFS(FINANCIACION[$ CAPITAL],FINANCIACION[Fecha],"&lt;="&amp;FINANCIACION[[#This Row],[Fecha]],FINANCIACION[PRESTAMO],FINANCIACION[[#This Row],[PRESTAMO]])</f>
        <v>-1421</v>
      </c>
      <c r="G629" s="179"/>
      <c r="H629" s="185" t="s">
        <v>133</v>
      </c>
      <c r="I629" s="185"/>
      <c r="J629" s="179" t="b">
        <f>IF(FINANCIACION[[#This Row],[$ CAPITAL]]&gt;0,FINANCIACION[[#This Row],[$ CAPITAL]])</f>
        <v>0</v>
      </c>
      <c r="K629" s="186">
        <f>IF(FINANCIACION[[#This Row],[$ CAPITAL]]&gt;=0,FINANCIACION[[#This Row],[$ CAPITAL]]+FINANCIACION[[#This Row],[$ INTERESES]],0)</f>
        <v>0</v>
      </c>
    </row>
    <row r="630" spans="1:11" ht="24" hidden="1" customHeight="1" x14ac:dyDescent="0.25">
      <c r="A630" s="177">
        <v>44502</v>
      </c>
      <c r="B630" s="184" t="s">
        <v>1417</v>
      </c>
      <c r="C630" s="179">
        <v>1892220</v>
      </c>
      <c r="D630" s="179"/>
      <c r="E630" s="179">
        <f>+IF(FINANCIACION[[#This Row],[$ CAPITAL]]&gt;=0,FINANCIACION[[#This Row],[$ CAPITAL]]+FINANCIACION[[#This Row],[$ INTERESES]],"")</f>
        <v>1892220</v>
      </c>
      <c r="F630" s="179">
        <f>+SUMIFS(FINANCIACION[$ CAPITAL],FINANCIACION[Fecha],"&lt;="&amp;FINANCIACION[[#This Row],[Fecha]],FINANCIACION[PRESTAMO],FINANCIACION[[#This Row],[PRESTAMO]])</f>
        <v>1890799</v>
      </c>
      <c r="G630" s="179"/>
      <c r="I630" s="185"/>
      <c r="J630" s="179">
        <f>IF(FINANCIACION[[#This Row],[$ CAPITAL]]&gt;0,FINANCIACION[[#This Row],[$ CAPITAL]])</f>
        <v>1892220</v>
      </c>
      <c r="K630" s="186">
        <f>IF(FINANCIACION[[#This Row],[$ CAPITAL]]&gt;=0,FINANCIACION[[#This Row],[$ CAPITAL]]+FINANCIACION[[#This Row],[$ INTERESES]],0)</f>
        <v>1892220</v>
      </c>
    </row>
    <row r="631" spans="1:11" ht="24" hidden="1" customHeight="1" x14ac:dyDescent="0.25">
      <c r="A631" s="177">
        <v>44510</v>
      </c>
      <c r="B631" s="184" t="s">
        <v>1417</v>
      </c>
      <c r="C631" s="191">
        <v>2713802</v>
      </c>
      <c r="D631" s="179"/>
      <c r="E631" s="179">
        <f>+IF(FINANCIACION[[#This Row],[$ CAPITAL]]&gt;=0,FINANCIACION[[#This Row],[$ CAPITAL]]+FINANCIACION[[#This Row],[$ INTERESES]],"")</f>
        <v>2713802</v>
      </c>
      <c r="F631" s="179">
        <f>+SUMIFS(FINANCIACION[$ CAPITAL],FINANCIACION[Fecha],"&lt;="&amp;FINANCIACION[[#This Row],[Fecha]],FINANCIACION[PRESTAMO],FINANCIACION[[#This Row],[PRESTAMO]])</f>
        <v>4604601</v>
      </c>
      <c r="G631" s="179"/>
      <c r="I631" s="185"/>
      <c r="J631" s="179">
        <f>IF(FINANCIACION[[#This Row],[$ CAPITAL]]&gt;0,FINANCIACION[[#This Row],[$ CAPITAL]])</f>
        <v>2713802</v>
      </c>
      <c r="K631" s="186">
        <f>IF(FINANCIACION[[#This Row],[$ CAPITAL]]&gt;=0,FINANCIACION[[#This Row],[$ CAPITAL]]+FINANCIACION[[#This Row],[$ INTERESES]],0)</f>
        <v>2713802</v>
      </c>
    </row>
    <row r="632" spans="1:11" ht="24" hidden="1" customHeight="1" x14ac:dyDescent="0.25">
      <c r="A632" s="177">
        <v>44525</v>
      </c>
      <c r="B632" s="184" t="s">
        <v>1417</v>
      </c>
      <c r="C632" s="179">
        <v>9244400</v>
      </c>
      <c r="D632" s="179"/>
      <c r="E632" s="179">
        <f>+IF(FINANCIACION[[#This Row],[$ CAPITAL]]&gt;=0,FINANCIACION[[#This Row],[$ CAPITAL]]+FINANCIACION[[#This Row],[$ INTERESES]],"")</f>
        <v>9244400</v>
      </c>
      <c r="F632" s="179">
        <f>+SUMIFS(FINANCIACION[$ CAPITAL],FINANCIACION[Fecha],"&lt;="&amp;FINANCIACION[[#This Row],[Fecha]],FINANCIACION[PRESTAMO],FINANCIACION[[#This Row],[PRESTAMO]])</f>
        <v>13849001</v>
      </c>
      <c r="G632" s="179"/>
      <c r="I632" s="185"/>
      <c r="J632" s="179">
        <f>IF(FINANCIACION[[#This Row],[$ CAPITAL]]&gt;0,FINANCIACION[[#This Row],[$ CAPITAL]])</f>
        <v>9244400</v>
      </c>
      <c r="K632" s="186">
        <f>IF(FINANCIACION[[#This Row],[$ CAPITAL]]&gt;=0,FINANCIACION[[#This Row],[$ CAPITAL]]+FINANCIACION[[#This Row],[$ INTERESES]],0)</f>
        <v>9244400</v>
      </c>
    </row>
    <row r="633" spans="1:11" ht="24" hidden="1" customHeight="1" x14ac:dyDescent="0.25">
      <c r="A633" s="177">
        <v>44530</v>
      </c>
      <c r="B633" s="184" t="s">
        <v>1417</v>
      </c>
      <c r="C633" s="179">
        <v>-42540986</v>
      </c>
      <c r="D633" s="179"/>
      <c r="E633" s="179" t="str">
        <f>+IF(FINANCIACION[[#This Row],[$ CAPITAL]]&gt;=0,FINANCIACION[[#This Row],[$ CAPITAL]]+FINANCIACION[[#This Row],[$ INTERESES]],"")</f>
        <v/>
      </c>
      <c r="F633" s="179">
        <f>+SUMIFS(FINANCIACION[$ CAPITAL],FINANCIACION[Fecha],"&lt;="&amp;FINANCIACION[[#This Row],[Fecha]],FINANCIACION[PRESTAMO],FINANCIACION[[#This Row],[PRESTAMO]])</f>
        <v>-28691985</v>
      </c>
      <c r="G633" s="179"/>
      <c r="H633" s="185" t="s">
        <v>133</v>
      </c>
      <c r="I633" s="185"/>
      <c r="J633" s="179" t="b">
        <f>IF(FINANCIACION[[#This Row],[$ CAPITAL]]&gt;0,FINANCIACION[[#This Row],[$ CAPITAL]])</f>
        <v>0</v>
      </c>
      <c r="K633" s="186">
        <f>IF(FINANCIACION[[#This Row],[$ CAPITAL]]&gt;=0,FINANCIACION[[#This Row],[$ CAPITAL]]+FINANCIACION[[#This Row],[$ INTERESES]],0)</f>
        <v>0</v>
      </c>
    </row>
    <row r="634" spans="1:11" ht="24" hidden="1" customHeight="1" x14ac:dyDescent="0.25">
      <c r="A634" s="177">
        <v>44536</v>
      </c>
      <c r="B634" s="184" t="s">
        <v>1417</v>
      </c>
      <c r="C634" s="179">
        <v>11844990</v>
      </c>
      <c r="D634" s="179"/>
      <c r="E634" s="179">
        <f>+IF(FINANCIACION[[#This Row],[$ CAPITAL]]&gt;=0,FINANCIACION[[#This Row],[$ CAPITAL]]+FINANCIACION[[#This Row],[$ INTERESES]],"")</f>
        <v>11844990</v>
      </c>
      <c r="F634" s="179">
        <f>+SUMIFS(FINANCIACION[$ CAPITAL],FINANCIACION[Fecha],"&lt;="&amp;FINANCIACION[[#This Row],[Fecha]],FINANCIACION[PRESTAMO],FINANCIACION[[#This Row],[PRESTAMO]])</f>
        <v>-16846995</v>
      </c>
      <c r="G634" s="179"/>
      <c r="I634" s="185"/>
      <c r="J634" s="179">
        <f>IF(FINANCIACION[[#This Row],[$ CAPITAL]]&gt;0,FINANCIACION[[#This Row],[$ CAPITAL]])</f>
        <v>11844990</v>
      </c>
      <c r="K634" s="186">
        <f>IF(FINANCIACION[[#This Row],[$ CAPITAL]]&gt;=0,FINANCIACION[[#This Row],[$ CAPITAL]]+FINANCIACION[[#This Row],[$ INTERESES]],0)</f>
        <v>11844990</v>
      </c>
    </row>
    <row r="635" spans="1:11" ht="24" hidden="1" customHeight="1" x14ac:dyDescent="0.25">
      <c r="A635" s="177">
        <v>44554</v>
      </c>
      <c r="B635" s="184" t="s">
        <v>1417</v>
      </c>
      <c r="C635" s="179">
        <v>3997090</v>
      </c>
      <c r="D635" s="179"/>
      <c r="E635" s="179">
        <f>+IF(FINANCIACION[[#This Row],[$ CAPITAL]]&gt;=0,FINANCIACION[[#This Row],[$ CAPITAL]]+FINANCIACION[[#This Row],[$ INTERESES]],"")</f>
        <v>3997090</v>
      </c>
      <c r="F635" s="179">
        <f>+SUMIFS(FINANCIACION[$ CAPITAL],FINANCIACION[Fecha],"&lt;="&amp;FINANCIACION[[#This Row],[Fecha]],FINANCIACION[PRESTAMO],FINANCIACION[[#This Row],[PRESTAMO]])</f>
        <v>-12849905</v>
      </c>
      <c r="G635" s="179"/>
      <c r="I635" s="185"/>
      <c r="J635" s="179">
        <f>IF(FINANCIACION[[#This Row],[$ CAPITAL]]&gt;0,FINANCIACION[[#This Row],[$ CAPITAL]])</f>
        <v>3997090</v>
      </c>
      <c r="K635" s="186">
        <f>IF(FINANCIACION[[#This Row],[$ CAPITAL]]&gt;=0,FINANCIACION[[#This Row],[$ CAPITAL]]+FINANCIACION[[#This Row],[$ INTERESES]],0)</f>
        <v>3997090</v>
      </c>
    </row>
    <row r="636" spans="1:11" ht="24" hidden="1" customHeight="1" x14ac:dyDescent="0.25">
      <c r="A636" s="177">
        <v>44557</v>
      </c>
      <c r="B636" s="184" t="s">
        <v>1417</v>
      </c>
      <c r="C636" s="179">
        <v>3994150</v>
      </c>
      <c r="D636" s="179"/>
      <c r="E636" s="179">
        <f>+IF(FINANCIACION[[#This Row],[$ CAPITAL]]&gt;=0,FINANCIACION[[#This Row],[$ CAPITAL]]+FINANCIACION[[#This Row],[$ INTERESES]],"")</f>
        <v>3994150</v>
      </c>
      <c r="F636" s="179">
        <f>+SUMIFS(FINANCIACION[$ CAPITAL],FINANCIACION[Fecha],"&lt;="&amp;FINANCIACION[[#This Row],[Fecha]],FINANCIACION[PRESTAMO],FINANCIACION[[#This Row],[PRESTAMO]])</f>
        <v>-8855755</v>
      </c>
      <c r="G636" s="179"/>
      <c r="H636" s="183"/>
      <c r="I636" s="185"/>
      <c r="J636" s="179">
        <f>IF(FINANCIACION[[#This Row],[$ CAPITAL]]&gt;0,FINANCIACION[[#This Row],[$ CAPITAL]])</f>
        <v>3994150</v>
      </c>
      <c r="K636" s="186">
        <f>IF(FINANCIACION[[#This Row],[$ CAPITAL]]&gt;=0,FINANCIACION[[#This Row],[$ CAPITAL]]+FINANCIACION[[#This Row],[$ INTERESES]],0)</f>
        <v>3994150</v>
      </c>
    </row>
    <row r="637" spans="1:11" ht="24" hidden="1" customHeight="1" x14ac:dyDescent="0.25">
      <c r="A637" s="177">
        <v>44560</v>
      </c>
      <c r="B637" s="184" t="s">
        <v>1417</v>
      </c>
      <c r="C637" s="179">
        <v>4023680</v>
      </c>
      <c r="D637" s="179"/>
      <c r="E637" s="179">
        <f>+IF(FINANCIACION[[#This Row],[$ CAPITAL]]&gt;=0,FINANCIACION[[#This Row],[$ CAPITAL]]+FINANCIACION[[#This Row],[$ INTERESES]],"")</f>
        <v>4023680</v>
      </c>
      <c r="F637" s="179">
        <f>+SUMIFS(FINANCIACION[$ CAPITAL],FINANCIACION[Fecha],"&lt;="&amp;FINANCIACION[[#This Row],[Fecha]],FINANCIACION[PRESTAMO],FINANCIACION[[#This Row],[PRESTAMO]])</f>
        <v>-4832075</v>
      </c>
      <c r="G637" s="179"/>
      <c r="I637" s="185"/>
      <c r="J637" s="179">
        <f>IF(FINANCIACION[[#This Row],[$ CAPITAL]]&gt;0,FINANCIACION[[#This Row],[$ CAPITAL]])</f>
        <v>4023680</v>
      </c>
      <c r="K637" s="186">
        <f>IF(FINANCIACION[[#This Row],[$ CAPITAL]]&gt;=0,FINANCIACION[[#This Row],[$ CAPITAL]]+FINANCIACION[[#This Row],[$ INTERESES]],0)</f>
        <v>4023680</v>
      </c>
    </row>
    <row r="638" spans="1:11" ht="24" hidden="1" customHeight="1" x14ac:dyDescent="0.25">
      <c r="A638" s="177">
        <v>44561</v>
      </c>
      <c r="B638" s="184" t="s">
        <v>1417</v>
      </c>
      <c r="C638" s="179">
        <v>-15729425</v>
      </c>
      <c r="D638" s="179"/>
      <c r="E638" s="179" t="str">
        <f>+IF(FINANCIACION[[#This Row],[$ CAPITAL]]&gt;=0,FINANCIACION[[#This Row],[$ CAPITAL]]+FINANCIACION[[#This Row],[$ INTERESES]],"")</f>
        <v/>
      </c>
      <c r="F638" s="179">
        <f>+SUMIFS(FINANCIACION[$ CAPITAL],FINANCIACION[Fecha],"&lt;="&amp;FINANCIACION[[#This Row],[Fecha]],FINANCIACION[PRESTAMO],FINANCIACION[[#This Row],[PRESTAMO]])</f>
        <v>-20561500</v>
      </c>
      <c r="G638" s="179"/>
      <c r="I638" s="185"/>
      <c r="J638" s="179" t="b">
        <f>IF(FINANCIACION[[#This Row],[$ CAPITAL]]&gt;0,FINANCIACION[[#This Row],[$ CAPITAL]])</f>
        <v>0</v>
      </c>
      <c r="K638" s="186">
        <f>IF(FINANCIACION[[#This Row],[$ CAPITAL]]&gt;=0,FINANCIACION[[#This Row],[$ CAPITAL]]+FINANCIACION[[#This Row],[$ INTERESES]],0)</f>
        <v>0</v>
      </c>
    </row>
    <row r="639" spans="1:11" ht="24" hidden="1" customHeight="1" x14ac:dyDescent="0.25">
      <c r="A639" s="177">
        <v>44581</v>
      </c>
      <c r="B639" s="184" t="s">
        <v>1417</v>
      </c>
      <c r="C639" s="179">
        <v>2001975</v>
      </c>
      <c r="D639" s="179"/>
      <c r="E639" s="179">
        <f>+IF(FINANCIACION[[#This Row],[$ CAPITAL]]&gt;=0,FINANCIACION[[#This Row],[$ CAPITAL]]+FINANCIACION[[#This Row],[$ INTERESES]],"")</f>
        <v>2001975</v>
      </c>
      <c r="F639" s="179">
        <f>+SUMIFS(FINANCIACION[$ CAPITAL],FINANCIACION[Fecha],"&lt;="&amp;FINANCIACION[[#This Row],[Fecha]],FINANCIACION[PRESTAMO],FINANCIACION[[#This Row],[PRESTAMO]])</f>
        <v>-18559525</v>
      </c>
      <c r="G639" s="179"/>
      <c r="I639" s="185"/>
      <c r="J639" s="179">
        <f>+IF(FINANCIACION[[#This Row],[$ CAPITAL]]&gt;0,FINANCIACION[[#This Row],[$ CAPITAL]])</f>
        <v>2001975</v>
      </c>
      <c r="K639" s="186">
        <f>+IF(FINANCIACION[[#This Row],[$ CAPITAL]]&gt;=0,FINANCIACION[[#This Row],[$ CAPITAL]]+FINANCIACION[[#This Row],[$ INTERESES]],0)</f>
        <v>2001975</v>
      </c>
    </row>
    <row r="640" spans="1:11" ht="24" hidden="1" customHeight="1" x14ac:dyDescent="0.25">
      <c r="A640" s="177">
        <v>44592</v>
      </c>
      <c r="B640" s="184" t="s">
        <v>1417</v>
      </c>
      <c r="C640" s="179">
        <v>-11936475</v>
      </c>
      <c r="D640" s="179"/>
      <c r="E640" s="179" t="str">
        <f>+IF(FINANCIACION[[#This Row],[$ CAPITAL]]&gt;=0,FINANCIACION[[#This Row],[$ CAPITAL]]+FINANCIACION[[#This Row],[$ INTERESES]],"")</f>
        <v/>
      </c>
      <c r="F640" s="179">
        <f>+SUMIFS(FINANCIACION[$ CAPITAL],FINANCIACION[Fecha],"&lt;="&amp;FINANCIACION[[#This Row],[Fecha]],FINANCIACION[PRESTAMO],FINANCIACION[[#This Row],[PRESTAMO]])</f>
        <v>-30496000</v>
      </c>
      <c r="G640" s="179"/>
      <c r="I640" s="185"/>
      <c r="J640" s="179" t="b">
        <f>+IF(FINANCIACION[[#This Row],[$ CAPITAL]]&gt;0,FINANCIACION[[#This Row],[$ CAPITAL]])</f>
        <v>0</v>
      </c>
      <c r="K640" s="186">
        <f>+IF(FINANCIACION[[#This Row],[$ CAPITAL]]&gt;=0,FINANCIACION[[#This Row],[$ CAPITAL]]+FINANCIACION[[#This Row],[$ INTERESES]],0)</f>
        <v>0</v>
      </c>
    </row>
    <row r="641" spans="1:11" ht="24" hidden="1" customHeight="1" x14ac:dyDescent="0.25">
      <c r="A641" s="177">
        <v>44620</v>
      </c>
      <c r="B641" s="184" t="s">
        <v>1417</v>
      </c>
      <c r="C641" s="179">
        <v>-1113500</v>
      </c>
      <c r="D641" s="179"/>
      <c r="E641" s="179" t="str">
        <f>+IF(FINANCIACION[[#This Row],[$ CAPITAL]]&gt;=0,FINANCIACION[[#This Row],[$ CAPITAL]]+FINANCIACION[[#This Row],[$ INTERESES]],"")</f>
        <v/>
      </c>
      <c r="F641" s="179">
        <f>+SUMIFS(FINANCIACION[$ CAPITAL],FINANCIACION[Fecha],"&lt;="&amp;FINANCIACION[[#This Row],[Fecha]],FINANCIACION[PRESTAMO],FINANCIACION[[#This Row],[PRESTAMO]])</f>
        <v>-31609500</v>
      </c>
      <c r="G641" s="179"/>
      <c r="H641" s="185" t="s">
        <v>133</v>
      </c>
      <c r="I641" s="185"/>
      <c r="J641" s="179" t="b">
        <f>+IF(FINANCIACION[[#This Row],[$ CAPITAL]]&gt;0,FINANCIACION[[#This Row],[$ CAPITAL]])</f>
        <v>0</v>
      </c>
      <c r="K641" s="186">
        <f>+IF(FINANCIACION[[#This Row],[$ CAPITAL]]&gt;=0,FINANCIACION[[#This Row],[$ CAPITAL]]+FINANCIACION[[#This Row],[$ INTERESES]],0)</f>
        <v>0</v>
      </c>
    </row>
    <row r="642" spans="1:11" ht="24" hidden="1" customHeight="1" x14ac:dyDescent="0.25">
      <c r="A642" s="177">
        <v>44651</v>
      </c>
      <c r="B642" s="184" t="s">
        <v>1417</v>
      </c>
      <c r="C642" s="179">
        <v>251900</v>
      </c>
      <c r="D642" s="179"/>
      <c r="E642" s="179">
        <f>+IF(FINANCIACION[[#This Row],[$ CAPITAL]]&gt;=0,FINANCIACION[[#This Row],[$ CAPITAL]]+FINANCIACION[[#This Row],[$ INTERESES]],"")</f>
        <v>251900</v>
      </c>
      <c r="F642" s="179">
        <f>+SUMIFS(FINANCIACION[$ CAPITAL],FINANCIACION[Fecha],"&lt;="&amp;FINANCIACION[[#This Row],[Fecha]],FINANCIACION[PRESTAMO],FINANCIACION[[#This Row],[PRESTAMO]])</f>
        <v>-31357600</v>
      </c>
      <c r="G642" s="179"/>
      <c r="I642" s="185"/>
      <c r="J642" s="179">
        <f>+IF(FINANCIACION[[#This Row],[$ CAPITAL]]&gt;0,FINANCIACION[[#This Row],[$ CAPITAL]])</f>
        <v>251900</v>
      </c>
      <c r="K642" s="186">
        <f>+IF(FINANCIACION[[#This Row],[$ CAPITAL]]&gt;=0,FINANCIACION[[#This Row],[$ CAPITAL]]+FINANCIACION[[#This Row],[$ INTERESES]],0)</f>
        <v>251900</v>
      </c>
    </row>
    <row r="643" spans="1:11" ht="24" hidden="1" customHeight="1" x14ac:dyDescent="0.25">
      <c r="A643" s="177">
        <v>44681</v>
      </c>
      <c r="B643" s="184" t="s">
        <v>1417</v>
      </c>
      <c r="C643" s="179">
        <v>-1502400</v>
      </c>
      <c r="D643" s="179"/>
      <c r="E643" s="179" t="str">
        <f>+IF(FINANCIACION[[#This Row],[$ CAPITAL]]&gt;=0,FINANCIACION[[#This Row],[$ CAPITAL]]+FINANCIACION[[#This Row],[$ INTERESES]],"")</f>
        <v/>
      </c>
      <c r="F643" s="179">
        <f>+SUMIFS(FINANCIACION[$ CAPITAL],FINANCIACION[Fecha],"&lt;="&amp;FINANCIACION[[#This Row],[Fecha]],FINANCIACION[PRESTAMO],FINANCIACION[[#This Row],[PRESTAMO]])</f>
        <v>-32860000</v>
      </c>
      <c r="G643" s="179"/>
      <c r="H643" s="185" t="s">
        <v>133</v>
      </c>
      <c r="I643" s="185"/>
      <c r="J643" s="179" t="b">
        <f>+IF(FINANCIACION[[#This Row],[$ CAPITAL]]&gt;0,FINANCIACION[[#This Row],[$ CAPITAL]])</f>
        <v>0</v>
      </c>
      <c r="K643" s="186">
        <f>+IF(FINANCIACION[[#This Row],[$ CAPITAL]]&gt;=0,FINANCIACION[[#This Row],[$ CAPITAL]]+FINANCIACION[[#This Row],[$ INTERESES]],0)</f>
        <v>0</v>
      </c>
    </row>
    <row r="644" spans="1:11" ht="24" hidden="1" customHeight="1" x14ac:dyDescent="0.25">
      <c r="A644" s="177">
        <v>44712</v>
      </c>
      <c r="B644" s="184" t="s">
        <v>1417</v>
      </c>
      <c r="C644" s="179">
        <v>-773800</v>
      </c>
      <c r="D644" s="179"/>
      <c r="E644" s="179" t="str">
        <f>+IF(FINANCIACION[[#This Row],[$ CAPITAL]]&gt;=0,FINANCIACION[[#This Row],[$ CAPITAL]]+FINANCIACION[[#This Row],[$ INTERESES]],"")</f>
        <v/>
      </c>
      <c r="F644" s="179">
        <f>+SUMIFS(FINANCIACION[$ CAPITAL],FINANCIACION[Fecha],"&lt;="&amp;FINANCIACION[[#This Row],[Fecha]],FINANCIACION[PRESTAMO],FINANCIACION[[#This Row],[PRESTAMO]])</f>
        <v>-33633800</v>
      </c>
      <c r="G644" s="179"/>
      <c r="H644" s="185" t="s">
        <v>133</v>
      </c>
      <c r="I644" s="185"/>
      <c r="J644" s="179" t="b">
        <f>+IF(FINANCIACION[[#This Row],[$ CAPITAL]]&gt;0,FINANCIACION[[#This Row],[$ CAPITAL]])</f>
        <v>0</v>
      </c>
      <c r="K644" s="186">
        <f>+IF(FINANCIACION[[#This Row],[$ CAPITAL]]&gt;=0,FINANCIACION[[#This Row],[$ CAPITAL]]+FINANCIACION[[#This Row],[$ INTERESES]],0)</f>
        <v>0</v>
      </c>
    </row>
    <row r="645" spans="1:11" ht="24" hidden="1" customHeight="1" x14ac:dyDescent="0.25">
      <c r="A645" s="177">
        <v>44742</v>
      </c>
      <c r="B645" s="184" t="s">
        <v>1417</v>
      </c>
      <c r="C645" s="179">
        <v>11583800</v>
      </c>
      <c r="D645" s="179"/>
      <c r="E645" s="179">
        <f>+IF(FINANCIACION[[#This Row],[$ CAPITAL]]&gt;=0,FINANCIACION[[#This Row],[$ CAPITAL]]+FINANCIACION[[#This Row],[$ INTERESES]],"")</f>
        <v>11583800</v>
      </c>
      <c r="F645" s="179">
        <f>+SUMIFS(FINANCIACION[$ CAPITAL],FINANCIACION[Fecha],"&lt;="&amp;FINANCIACION[[#This Row],[Fecha]],FINANCIACION[PRESTAMO],FINANCIACION[[#This Row],[PRESTAMO]])</f>
        <v>-22050000</v>
      </c>
      <c r="G645" s="179"/>
      <c r="H645" s="185" t="s">
        <v>133</v>
      </c>
      <c r="I645" s="185"/>
      <c r="J645" s="179">
        <f>+IF(FINANCIACION[[#This Row],[$ CAPITAL]]&gt;0,FINANCIACION[[#This Row],[$ CAPITAL]])</f>
        <v>11583800</v>
      </c>
      <c r="K645" s="186">
        <f>+IF(FINANCIACION[[#This Row],[$ CAPITAL]]&gt;=0,FINANCIACION[[#This Row],[$ CAPITAL]]+FINANCIACION[[#This Row],[$ INTERESES]],0)</f>
        <v>11583800</v>
      </c>
    </row>
    <row r="646" spans="1:11" ht="24" hidden="1" customHeight="1" x14ac:dyDescent="0.25">
      <c r="A646" s="177">
        <v>44773</v>
      </c>
      <c r="B646" s="184" t="s">
        <v>1417</v>
      </c>
      <c r="C646" s="179">
        <v>4909800</v>
      </c>
      <c r="D646" s="179"/>
      <c r="E646" s="179">
        <f>+IF(FINANCIACION[[#This Row],[$ CAPITAL]]&gt;=0,FINANCIACION[[#This Row],[$ CAPITAL]]+FINANCIACION[[#This Row],[$ INTERESES]],"")</f>
        <v>4909800</v>
      </c>
      <c r="F646" s="179">
        <f>+SUMIFS(FINANCIACION[$ CAPITAL],FINANCIACION[Fecha],"&lt;="&amp;FINANCIACION[[#This Row],[Fecha]],FINANCIACION[PRESTAMO],FINANCIACION[[#This Row],[PRESTAMO]])</f>
        <v>-17140200</v>
      </c>
      <c r="G646" s="179"/>
      <c r="H646" s="185" t="s">
        <v>133</v>
      </c>
      <c r="I646" s="185"/>
      <c r="J646" s="179">
        <f>+IF(FINANCIACION[[#This Row],[$ CAPITAL]]&gt;0,FINANCIACION[[#This Row],[$ CAPITAL]])</f>
        <v>4909800</v>
      </c>
      <c r="K646" s="186">
        <f>+IF(FINANCIACION[[#This Row],[$ CAPITAL]]&gt;=0,FINANCIACION[[#This Row],[$ CAPITAL]]+FINANCIACION[[#This Row],[$ INTERESES]],0)</f>
        <v>4909800</v>
      </c>
    </row>
    <row r="647" spans="1:11" ht="24" hidden="1" customHeight="1" x14ac:dyDescent="0.25">
      <c r="A647" s="177">
        <v>44804</v>
      </c>
      <c r="B647" s="184" t="s">
        <v>1417</v>
      </c>
      <c r="C647" s="191">
        <v>-5300120</v>
      </c>
      <c r="D647" s="179"/>
      <c r="E647" s="179" t="str">
        <f>+IF(FINANCIACION[[#This Row],[$ CAPITAL]]&gt;=0,FINANCIACION[[#This Row],[$ CAPITAL]]+FINANCIACION[[#This Row],[$ INTERESES]],"")</f>
        <v/>
      </c>
      <c r="F647" s="179">
        <f>+SUMIFS(FINANCIACION[$ CAPITAL],FINANCIACION[Fecha],"&lt;="&amp;FINANCIACION[[#This Row],[Fecha]],FINANCIACION[PRESTAMO],FINANCIACION[[#This Row],[PRESTAMO]])</f>
        <v>-22440320</v>
      </c>
      <c r="G647" s="179"/>
      <c r="I647" s="185"/>
      <c r="J647" s="179" t="b">
        <f>+IF(FINANCIACION[[#This Row],[$ CAPITAL]]&gt;0,FINANCIACION[[#This Row],[$ CAPITAL]])</f>
        <v>0</v>
      </c>
      <c r="K647" s="186">
        <f>+IF(FINANCIACION[[#This Row],[$ CAPITAL]]&gt;=0,FINANCIACION[[#This Row],[$ CAPITAL]]+FINANCIACION[[#This Row],[$ INTERESES]],0)</f>
        <v>0</v>
      </c>
    </row>
    <row r="648" spans="1:11" ht="24" hidden="1" customHeight="1" x14ac:dyDescent="0.25">
      <c r="A648" s="177">
        <v>44834</v>
      </c>
      <c r="B648" s="184" t="s">
        <v>1417</v>
      </c>
      <c r="C648" s="179">
        <v>1444150</v>
      </c>
      <c r="D648" s="179"/>
      <c r="E648" s="179">
        <f>+IF(FINANCIACION[[#This Row],[$ CAPITAL]]&gt;=0,FINANCIACION[[#This Row],[$ CAPITAL]]+FINANCIACION[[#This Row],[$ INTERESES]],"")</f>
        <v>1444150</v>
      </c>
      <c r="F648" s="179">
        <f>+SUMIFS(FINANCIACION[$ CAPITAL],FINANCIACION[Fecha],"&lt;="&amp;FINANCIACION[[#This Row],[Fecha]],FINANCIACION[PRESTAMO],FINANCIACION[[#This Row],[PRESTAMO]])</f>
        <v>-20996170</v>
      </c>
      <c r="G648" s="179"/>
      <c r="H648" s="185" t="s">
        <v>467</v>
      </c>
      <c r="I648" s="185"/>
      <c r="J648" s="179">
        <f>+IF(FINANCIACION[[#This Row],[$ CAPITAL]]&gt;0,FINANCIACION[[#This Row],[$ CAPITAL]])</f>
        <v>1444150</v>
      </c>
      <c r="K648" s="186">
        <f>+IF(FINANCIACION[[#This Row],[$ CAPITAL]]&gt;=0,FINANCIACION[[#This Row],[$ CAPITAL]]+FINANCIACION[[#This Row],[$ INTERESES]],0)</f>
        <v>1444150</v>
      </c>
    </row>
    <row r="649" spans="1:11" ht="24" hidden="1" customHeight="1" x14ac:dyDescent="0.25">
      <c r="A649" s="177">
        <v>44865</v>
      </c>
      <c r="B649" s="184" t="s">
        <v>1417</v>
      </c>
      <c r="C649" s="179">
        <f>20996170-23005500</f>
        <v>-2009330</v>
      </c>
      <c r="D649" s="179"/>
      <c r="E649" s="179" t="str">
        <f>+IF(FINANCIACION[[#This Row],[$ CAPITAL]]&gt;=0,FINANCIACION[[#This Row],[$ CAPITAL]]+FINANCIACION[[#This Row],[$ INTERESES]],"")</f>
        <v/>
      </c>
      <c r="F649" s="179">
        <f>+SUMIFS(FINANCIACION[$ CAPITAL],FINANCIACION[Fecha],"&lt;="&amp;FINANCIACION[[#This Row],[Fecha]],FINANCIACION[PRESTAMO],FINANCIACION[[#This Row],[PRESTAMO]])</f>
        <v>-23005500</v>
      </c>
      <c r="G649" s="179"/>
      <c r="H649" s="185" t="s">
        <v>489</v>
      </c>
      <c r="I649" s="185"/>
      <c r="J649" s="179" t="b">
        <f>+IF(FINANCIACION[[#This Row],[$ CAPITAL]]&gt;0,FINANCIACION[[#This Row],[$ CAPITAL]])</f>
        <v>0</v>
      </c>
      <c r="K649" s="186">
        <f>+IF(FINANCIACION[[#This Row],[$ CAPITAL]]&gt;=0,FINANCIACION[[#This Row],[$ CAPITAL]]+FINANCIACION[[#This Row],[$ INTERESES]],0)</f>
        <v>0</v>
      </c>
    </row>
    <row r="650" spans="1:11" ht="24" hidden="1" customHeight="1" x14ac:dyDescent="0.25">
      <c r="A650" s="177">
        <v>44926</v>
      </c>
      <c r="B650" s="184" t="s">
        <v>1417</v>
      </c>
      <c r="C650" s="179">
        <v>22192100</v>
      </c>
      <c r="D650" s="179"/>
      <c r="E650" s="179">
        <f>+IF(FINANCIACION[[#This Row],[$ CAPITAL]]&gt;=0,FINANCIACION[[#This Row],[$ CAPITAL]]+FINANCIACION[[#This Row],[$ INTERESES]],"")</f>
        <v>22192100</v>
      </c>
      <c r="F650" s="179">
        <f>+SUMIFS(FINANCIACION[$ CAPITAL],FINANCIACION[Fecha],"&lt;="&amp;FINANCIACION[[#This Row],[Fecha]],FINANCIACION[PRESTAMO],FINANCIACION[[#This Row],[PRESTAMO]])</f>
        <v>-813400</v>
      </c>
      <c r="G650" s="179"/>
      <c r="I650" s="185"/>
      <c r="J650" s="179">
        <f>+IF(FINANCIACION[[#This Row],[$ CAPITAL]]&gt;0,FINANCIACION[[#This Row],[$ CAPITAL]])</f>
        <v>22192100</v>
      </c>
      <c r="K650" s="186">
        <f>+IF(FINANCIACION[[#This Row],[$ CAPITAL]]&gt;=0,FINANCIACION[[#This Row],[$ CAPITAL]]+FINANCIACION[[#This Row],[$ INTERESES]],0)</f>
        <v>22192100</v>
      </c>
    </row>
    <row r="651" spans="1:11" ht="24" hidden="1" customHeight="1" x14ac:dyDescent="0.25">
      <c r="A651" s="177">
        <v>44957</v>
      </c>
      <c r="B651" s="184" t="s">
        <v>1417</v>
      </c>
      <c r="C651" s="179">
        <v>-6645600</v>
      </c>
      <c r="D651" s="179"/>
      <c r="E651" s="179" t="str">
        <f>+IF(FINANCIACION[[#This Row],[$ CAPITAL]]&gt;=0,FINANCIACION[[#This Row],[$ CAPITAL]]+FINANCIACION[[#This Row],[$ INTERESES]],"")</f>
        <v/>
      </c>
      <c r="F651" s="179">
        <f>+SUMIFS(FINANCIACION[$ CAPITAL],FINANCIACION[Fecha],"&lt;="&amp;FINANCIACION[[#This Row],[Fecha]],FINANCIACION[PRESTAMO],FINANCIACION[[#This Row],[PRESTAMO]])</f>
        <v>-7459000</v>
      </c>
      <c r="G651" s="179"/>
      <c r="I651" s="185"/>
      <c r="J651" s="179" t="b">
        <f>+IF(FINANCIACION[[#This Row],[$ CAPITAL]]&gt;0,FINANCIACION[[#This Row],[$ CAPITAL]])</f>
        <v>0</v>
      </c>
      <c r="K651" s="186">
        <f>+IF(FINANCIACION[[#This Row],[$ CAPITAL]]&gt;=0,FINANCIACION[[#This Row],[$ CAPITAL]]+FINANCIACION[[#This Row],[$ INTERESES]],0)</f>
        <v>0</v>
      </c>
    </row>
    <row r="652" spans="1:11" ht="24" hidden="1" customHeight="1" x14ac:dyDescent="0.25">
      <c r="A652" s="177">
        <v>44985</v>
      </c>
      <c r="B652" s="184" t="s">
        <v>1417</v>
      </c>
      <c r="C652" s="179">
        <v>-9419360</v>
      </c>
      <c r="D652" s="179"/>
      <c r="E652" s="179" t="str">
        <f>+IF(FINANCIACION[[#This Row],[$ CAPITAL]]&gt;=0,FINANCIACION[[#This Row],[$ CAPITAL]]+FINANCIACION[[#This Row],[$ INTERESES]],"")</f>
        <v/>
      </c>
      <c r="F652" s="179">
        <f>+SUMIFS(FINANCIACION[$ CAPITAL],FINANCIACION[Fecha],"&lt;="&amp;FINANCIACION[[#This Row],[Fecha]],FINANCIACION[PRESTAMO],FINANCIACION[[#This Row],[PRESTAMO]])</f>
        <v>-16878360</v>
      </c>
      <c r="G652" s="179"/>
      <c r="I652" s="185"/>
      <c r="J652" s="179" t="b">
        <f>+IF(FINANCIACION[[#This Row],[$ CAPITAL]]&gt;0,FINANCIACION[[#This Row],[$ CAPITAL]])</f>
        <v>0</v>
      </c>
      <c r="K652" s="186">
        <f>+IF(FINANCIACION[[#This Row],[$ CAPITAL]]&gt;=0,FINANCIACION[[#This Row],[$ CAPITAL]]+FINANCIACION[[#This Row],[$ INTERESES]],0)</f>
        <v>0</v>
      </c>
    </row>
    <row r="653" spans="1:11" ht="24" hidden="1" customHeight="1" x14ac:dyDescent="0.25">
      <c r="A653" s="177">
        <v>45016</v>
      </c>
      <c r="B653" s="184" t="s">
        <v>1417</v>
      </c>
      <c r="C653" s="179">
        <v>-1447240</v>
      </c>
      <c r="D653" s="179"/>
      <c r="E653" s="179" t="str">
        <f>+IF(FINANCIACION[[#This Row],[$ CAPITAL]]&gt;=0,FINANCIACION[[#This Row],[$ CAPITAL]]+FINANCIACION[[#This Row],[$ INTERESES]],"")</f>
        <v/>
      </c>
      <c r="F653" s="179">
        <f>+SUMIFS(FINANCIACION[$ CAPITAL],FINANCIACION[Fecha],"&lt;="&amp;FINANCIACION[[#This Row],[Fecha]],FINANCIACION[PRESTAMO],FINANCIACION[[#This Row],[PRESTAMO]])</f>
        <v>-18325600</v>
      </c>
      <c r="G653" s="179"/>
      <c r="I653" s="185"/>
      <c r="J653" s="179" t="b">
        <f>+IF(FINANCIACION[[#This Row],[$ CAPITAL]]&gt;0,FINANCIACION[[#This Row],[$ CAPITAL]])</f>
        <v>0</v>
      </c>
      <c r="K653" s="186">
        <f>+IF(FINANCIACION[[#This Row],[$ CAPITAL]]&gt;=0,FINANCIACION[[#This Row],[$ CAPITAL]]+FINANCIACION[[#This Row],[$ INTERESES]],0)</f>
        <v>0</v>
      </c>
    </row>
    <row r="654" spans="1:11" ht="24" hidden="1" customHeight="1" x14ac:dyDescent="0.25">
      <c r="A654" s="177">
        <v>45046</v>
      </c>
      <c r="B654" s="184" t="s">
        <v>1417</v>
      </c>
      <c r="C654" s="179">
        <v>-540500</v>
      </c>
      <c r="D654" s="179"/>
      <c r="E654" s="179" t="str">
        <f>+IF(FINANCIACION[[#This Row],[$ CAPITAL]]&gt;=0,FINANCIACION[[#This Row],[$ CAPITAL]]+FINANCIACION[[#This Row],[$ INTERESES]],"")</f>
        <v/>
      </c>
      <c r="F654" s="179">
        <f>+SUMIFS(FINANCIACION[$ CAPITAL],FINANCIACION[Fecha],"&lt;="&amp;FINANCIACION[[#This Row],[Fecha]],FINANCIACION[PRESTAMO],FINANCIACION[[#This Row],[PRESTAMO]])</f>
        <v>-18866100</v>
      </c>
      <c r="G654" s="179"/>
      <c r="I654" s="185"/>
      <c r="J654" s="179" t="b">
        <f>+IF(FINANCIACION[[#This Row],[$ CAPITAL]]&gt;0,FINANCIACION[[#This Row],[$ CAPITAL]])</f>
        <v>0</v>
      </c>
      <c r="K654" s="186">
        <f>+IF(FINANCIACION[[#This Row],[$ CAPITAL]]&gt;=0,FINANCIACION[[#This Row],[$ CAPITAL]]+FINANCIACION[[#This Row],[$ INTERESES]],0)</f>
        <v>0</v>
      </c>
    </row>
    <row r="655" spans="1:11" ht="24" hidden="1" customHeight="1" x14ac:dyDescent="0.25">
      <c r="A655" s="177">
        <v>45077</v>
      </c>
      <c r="B655" s="184" t="s">
        <v>1417</v>
      </c>
      <c r="C655" s="179">
        <v>-3557140</v>
      </c>
      <c r="D655" s="179"/>
      <c r="E655" s="179" t="str">
        <f>+IF(FINANCIACION[[#This Row],[$ CAPITAL]]&gt;=0,FINANCIACION[[#This Row],[$ CAPITAL]]+FINANCIACION[[#This Row],[$ INTERESES]],"")</f>
        <v/>
      </c>
      <c r="F655" s="179">
        <f>+SUMIFS(FINANCIACION[$ CAPITAL],FINANCIACION[Fecha],"&lt;="&amp;FINANCIACION[[#This Row],[Fecha]],FINANCIACION[PRESTAMO],FINANCIACION[[#This Row],[PRESTAMO]])</f>
        <v>-22423240</v>
      </c>
      <c r="G655" s="179"/>
      <c r="I655" s="185"/>
      <c r="J655" s="179" t="b">
        <f>+IF(FINANCIACION[[#This Row],[$ CAPITAL]]&gt;0,FINANCIACION[[#This Row],[$ CAPITAL]])</f>
        <v>0</v>
      </c>
      <c r="K655" s="186">
        <f>+IF(FINANCIACION[[#This Row],[$ CAPITAL]]&gt;=0,FINANCIACION[[#This Row],[$ CAPITAL]]+FINANCIACION[[#This Row],[$ INTERESES]],0)</f>
        <v>0</v>
      </c>
    </row>
    <row r="656" spans="1:11" ht="24" hidden="1" customHeight="1" x14ac:dyDescent="0.25">
      <c r="A656" s="177">
        <v>45107</v>
      </c>
      <c r="B656" s="184" t="s">
        <v>1417</v>
      </c>
      <c r="C656" s="179">
        <v>629790</v>
      </c>
      <c r="D656" s="179"/>
      <c r="E656" s="179">
        <f>+IF(FINANCIACION[[#This Row],[$ CAPITAL]]&gt;=0,FINANCIACION[[#This Row],[$ CAPITAL]]+FINANCIACION[[#This Row],[$ INTERESES]],"")</f>
        <v>629790</v>
      </c>
      <c r="F656" s="179">
        <f>+SUMIFS(FINANCIACION[$ CAPITAL],FINANCIACION[Fecha],"&lt;="&amp;FINANCIACION[[#This Row],[Fecha]],FINANCIACION[PRESTAMO],FINANCIACION[[#This Row],[PRESTAMO]])</f>
        <v>-21793450</v>
      </c>
      <c r="G656" s="179"/>
      <c r="I656" s="185"/>
      <c r="J656" s="179">
        <f>+IF(FINANCIACION[[#This Row],[$ CAPITAL]]&gt;0,FINANCIACION[[#This Row],[$ CAPITAL]])</f>
        <v>629790</v>
      </c>
      <c r="K656" s="186">
        <f>+IF(FINANCIACION[[#This Row],[$ CAPITAL]]&gt;=0,FINANCIACION[[#This Row],[$ CAPITAL]]+FINANCIACION[[#This Row],[$ INTERESES]],0)</f>
        <v>629790</v>
      </c>
    </row>
    <row r="657" spans="1:11" ht="24" hidden="1" customHeight="1" x14ac:dyDescent="0.25">
      <c r="A657" s="177">
        <v>45138</v>
      </c>
      <c r="B657" s="184" t="s">
        <v>1417</v>
      </c>
      <c r="C657" s="179">
        <v>17952450</v>
      </c>
      <c r="D657" s="179"/>
      <c r="E657" s="179">
        <f>+IF(FINANCIACION[[#This Row],[$ CAPITAL]]&gt;=0,FINANCIACION[[#This Row],[$ CAPITAL]]+FINANCIACION[[#This Row],[$ INTERESES]],"")</f>
        <v>17952450</v>
      </c>
      <c r="F657" s="179">
        <f>+SUMIFS(FINANCIACION[$ CAPITAL],FINANCIACION[Fecha],"&lt;="&amp;FINANCIACION[[#This Row],[Fecha]],FINANCIACION[PRESTAMO],FINANCIACION[[#This Row],[PRESTAMO]])</f>
        <v>-3841000</v>
      </c>
      <c r="G657" s="179"/>
      <c r="I657" s="185"/>
      <c r="J657" s="179">
        <f>+IF(FINANCIACION[[#This Row],[$ CAPITAL]]&gt;0,FINANCIACION[[#This Row],[$ CAPITAL]])</f>
        <v>17952450</v>
      </c>
      <c r="K657" s="186">
        <f>+IF(FINANCIACION[[#This Row],[$ CAPITAL]]&gt;=0,FINANCIACION[[#This Row],[$ CAPITAL]]+FINANCIACION[[#This Row],[$ INTERESES]],0)</f>
        <v>17952450</v>
      </c>
    </row>
    <row r="658" spans="1:11" ht="24" hidden="1" customHeight="1" x14ac:dyDescent="0.25">
      <c r="A658" s="177">
        <v>45169</v>
      </c>
      <c r="B658" s="184" t="s">
        <v>1417</v>
      </c>
      <c r="C658" s="179">
        <v>-8247504</v>
      </c>
      <c r="D658" s="179"/>
      <c r="E658" s="179" t="str">
        <f>+IF(FINANCIACION[[#This Row],[$ CAPITAL]]&gt;=0,FINANCIACION[[#This Row],[$ CAPITAL]]+FINANCIACION[[#This Row],[$ INTERESES]],"")</f>
        <v/>
      </c>
      <c r="F658" s="179">
        <f>+SUMIFS(FINANCIACION[$ CAPITAL],FINANCIACION[Fecha],"&lt;="&amp;FINANCIACION[[#This Row],[Fecha]],FINANCIACION[PRESTAMO],FINANCIACION[[#This Row],[PRESTAMO]])</f>
        <v>-12088504</v>
      </c>
      <c r="G658" s="179"/>
      <c r="I658" s="185"/>
      <c r="J658" s="179" t="b">
        <f>+IF(FINANCIACION[[#This Row],[$ CAPITAL]]&gt;0,FINANCIACION[[#This Row],[$ CAPITAL]])</f>
        <v>0</v>
      </c>
      <c r="K658" s="186">
        <f>+IF(FINANCIACION[[#This Row],[$ CAPITAL]]&gt;=0,FINANCIACION[[#This Row],[$ CAPITAL]]+FINANCIACION[[#This Row],[$ INTERESES]],0)</f>
        <v>0</v>
      </c>
    </row>
    <row r="659" spans="1:11" ht="24" hidden="1" customHeight="1" x14ac:dyDescent="0.25">
      <c r="A659" s="177">
        <v>45199</v>
      </c>
      <c r="B659" s="184" t="s">
        <v>1417</v>
      </c>
      <c r="C659" s="179">
        <v>-5702946</v>
      </c>
      <c r="D659" s="179"/>
      <c r="E659" s="179" t="str">
        <f>+IF(FINANCIACION[[#This Row],[$ CAPITAL]]&gt;=0,FINANCIACION[[#This Row],[$ CAPITAL]]+FINANCIACION[[#This Row],[$ INTERESES]],"")</f>
        <v/>
      </c>
      <c r="F659" s="179">
        <f>+SUMIFS(FINANCIACION[$ CAPITAL],FINANCIACION[Fecha],"&lt;="&amp;FINANCIACION[[#This Row],[Fecha]],FINANCIACION[PRESTAMO],FINANCIACION[[#This Row],[PRESTAMO]])</f>
        <v>-17791450</v>
      </c>
      <c r="G659" s="179"/>
      <c r="I659" s="185"/>
      <c r="J659" s="179" t="b">
        <f>+IF(FINANCIACION[[#This Row],[$ CAPITAL]]&gt;0,FINANCIACION[[#This Row],[$ CAPITAL]])</f>
        <v>0</v>
      </c>
      <c r="K659" s="186">
        <f>+IF(FINANCIACION[[#This Row],[$ CAPITAL]]&gt;=0,FINANCIACION[[#This Row],[$ CAPITAL]]+FINANCIACION[[#This Row],[$ INTERESES]],0)</f>
        <v>0</v>
      </c>
    </row>
    <row r="660" spans="1:11" ht="24" hidden="1" customHeight="1" x14ac:dyDescent="0.25">
      <c r="A660" s="177">
        <v>45230</v>
      </c>
      <c r="B660" s="184" t="s">
        <v>1417</v>
      </c>
      <c r="C660" s="179">
        <v>769950</v>
      </c>
      <c r="D660" s="179"/>
      <c r="E660" s="179">
        <f>+IF(FINANCIACION[[#This Row],[$ CAPITAL]]&gt;=0,FINANCIACION[[#This Row],[$ CAPITAL]]+FINANCIACION[[#This Row],[$ INTERESES]],"")</f>
        <v>769950</v>
      </c>
      <c r="F660" s="179">
        <f>+SUMIFS(FINANCIACION[$ CAPITAL],FINANCIACION[Fecha],"&lt;="&amp;FINANCIACION[[#This Row],[Fecha]],FINANCIACION[PRESTAMO],FINANCIACION[[#This Row],[PRESTAMO]])</f>
        <v>-17021500</v>
      </c>
      <c r="G660" s="179"/>
      <c r="I660" s="185"/>
      <c r="J660" s="179">
        <f>+IF(FINANCIACION[[#This Row],[$ CAPITAL]]&gt;0,FINANCIACION[[#This Row],[$ CAPITAL]])</f>
        <v>769950</v>
      </c>
      <c r="K660" s="186">
        <f>+IF(FINANCIACION[[#This Row],[$ CAPITAL]]&gt;=0,FINANCIACION[[#This Row],[$ CAPITAL]]+FINANCIACION[[#This Row],[$ INTERESES]],0)</f>
        <v>769950</v>
      </c>
    </row>
    <row r="661" spans="1:11" ht="24" hidden="1" customHeight="1" x14ac:dyDescent="0.25">
      <c r="A661" s="177">
        <v>45260</v>
      </c>
      <c r="B661" s="184" t="s">
        <v>1417</v>
      </c>
      <c r="C661" s="179">
        <v>15576000</v>
      </c>
      <c r="D661" s="179"/>
      <c r="E661" s="179">
        <f>+IF(FINANCIACION[[#This Row],[$ CAPITAL]]&gt;=0,FINANCIACION[[#This Row],[$ CAPITAL]]+FINANCIACION[[#This Row],[$ INTERESES]],"")</f>
        <v>15576000</v>
      </c>
      <c r="F661" s="179">
        <f>+SUMIFS(FINANCIACION[$ CAPITAL],FINANCIACION[Fecha],"&lt;="&amp;FINANCIACION[[#This Row],[Fecha]],FINANCIACION[PRESTAMO],FINANCIACION[[#This Row],[PRESTAMO]])</f>
        <v>10603950</v>
      </c>
      <c r="G661" s="179"/>
      <c r="I661" s="185"/>
      <c r="J661" s="179">
        <f>+IF(FINANCIACION[[#This Row],[$ CAPITAL]]&gt;0,FINANCIACION[[#This Row],[$ CAPITAL]])</f>
        <v>15576000</v>
      </c>
      <c r="K661" s="186">
        <f>+IF(FINANCIACION[[#This Row],[$ CAPITAL]]&gt;=0,FINANCIACION[[#This Row],[$ CAPITAL]]+FINANCIACION[[#This Row],[$ INTERESES]],0)</f>
        <v>15576000</v>
      </c>
    </row>
    <row r="662" spans="1:11" ht="24" hidden="1" customHeight="1" x14ac:dyDescent="0.25">
      <c r="A662" s="177">
        <v>45291</v>
      </c>
      <c r="B662" s="184" t="s">
        <v>1417</v>
      </c>
      <c r="C662" s="179">
        <v>-10603950</v>
      </c>
      <c r="D662" s="179"/>
      <c r="E662" s="179" t="str">
        <f>+IF(FINANCIACION[[#This Row],[$ CAPITAL]]&gt;=0,FINANCIACION[[#This Row],[$ CAPITAL]]+FINANCIACION[[#This Row],[$ INTERESES]],"")</f>
        <v/>
      </c>
      <c r="F662" s="179">
        <f>+SUMIFS(FINANCIACION[$ CAPITAL],FINANCIACION[Fecha],"&lt;="&amp;FINANCIACION[[#This Row],[Fecha]],FINANCIACION[PRESTAMO],FINANCIACION[[#This Row],[PRESTAMO]])</f>
        <v>0</v>
      </c>
      <c r="G662" s="179"/>
      <c r="I662" s="185"/>
      <c r="J662" s="179" t="b">
        <f>+IF(FINANCIACION[[#This Row],[$ CAPITAL]]&gt;0,FINANCIACION[[#This Row],[$ CAPITAL]])</f>
        <v>0</v>
      </c>
      <c r="K662" s="186">
        <f>+IF(FINANCIACION[[#This Row],[$ CAPITAL]]&gt;=0,FINANCIACION[[#This Row],[$ CAPITAL]]+FINANCIACION[[#This Row],[$ INTERESES]],0)</f>
        <v>0</v>
      </c>
    </row>
    <row r="663" spans="1:11" ht="24" hidden="1" customHeight="1" x14ac:dyDescent="0.25">
      <c r="A663" s="177">
        <v>44927</v>
      </c>
      <c r="B663" s="184" t="s">
        <v>1419</v>
      </c>
      <c r="C663" s="179">
        <v>442515</v>
      </c>
      <c r="D663" s="179"/>
      <c r="E663" s="179">
        <f>+IF(FINANCIACION[[#This Row],[$ CAPITAL]]&gt;=0,FINANCIACION[[#This Row],[$ CAPITAL]]+FINANCIACION[[#This Row],[$ INTERESES]],"")</f>
        <v>442515</v>
      </c>
      <c r="F663" s="179">
        <f>+SUMIFS(FINANCIACION[$ CAPITAL],FINANCIACION[Fecha],"&lt;="&amp;FINANCIACION[[#This Row],[Fecha]],FINANCIACION[PRESTAMO],FINANCIACION[[#This Row],[PRESTAMO]])</f>
        <v>442515</v>
      </c>
      <c r="G663" s="179"/>
      <c r="H663" s="185" t="s">
        <v>133</v>
      </c>
      <c r="I663" s="185"/>
      <c r="J663" s="179">
        <f>+IF(FINANCIACION[[#This Row],[$ CAPITAL]]&gt;0,FINANCIACION[[#This Row],[$ CAPITAL]])</f>
        <v>442515</v>
      </c>
      <c r="K663" s="186">
        <f>+IF(FINANCIACION[[#This Row],[$ CAPITAL]]&gt;=0,FINANCIACION[[#This Row],[$ CAPITAL]]+FINANCIACION[[#This Row],[$ INTERESES]],0)</f>
        <v>442515</v>
      </c>
    </row>
    <row r="664" spans="1:11" ht="24" hidden="1" customHeight="1" x14ac:dyDescent="0.25">
      <c r="A664" s="177">
        <v>44957</v>
      </c>
      <c r="B664" s="184" t="s">
        <v>1419</v>
      </c>
      <c r="C664" s="179">
        <v>-442515</v>
      </c>
      <c r="D664" s="179"/>
      <c r="E664" s="179" t="str">
        <f>+IF(FINANCIACION[[#This Row],[$ CAPITAL]]&gt;=0,FINANCIACION[[#This Row],[$ CAPITAL]]+FINANCIACION[[#This Row],[$ INTERESES]],"")</f>
        <v/>
      </c>
      <c r="F664" s="179">
        <f>+SUMIFS(FINANCIACION[$ CAPITAL],FINANCIACION[Fecha],"&lt;="&amp;FINANCIACION[[#This Row],[Fecha]],FINANCIACION[PRESTAMO],FINANCIACION[[#This Row],[PRESTAMO]])</f>
        <v>0</v>
      </c>
      <c r="G664" s="179"/>
      <c r="I664" s="185"/>
      <c r="J664" s="179" t="b">
        <f>+IF(FINANCIACION[[#This Row],[$ CAPITAL]]&gt;0,FINANCIACION[[#This Row],[$ CAPITAL]])</f>
        <v>0</v>
      </c>
      <c r="K664" s="186">
        <f>+IF(FINANCIACION[[#This Row],[$ CAPITAL]]&gt;=0,FINANCIACION[[#This Row],[$ CAPITAL]]+FINANCIACION[[#This Row],[$ INTERESES]],0)</f>
        <v>0</v>
      </c>
    </row>
    <row r="665" spans="1:11" ht="24" hidden="1" customHeight="1" x14ac:dyDescent="0.25">
      <c r="A665" s="177">
        <v>44985</v>
      </c>
      <c r="B665" s="184" t="s">
        <v>1419</v>
      </c>
      <c r="C665" s="179">
        <v>982925</v>
      </c>
      <c r="D665" s="179"/>
      <c r="E665" s="179">
        <f>+IF(FINANCIACION[[#This Row],[$ CAPITAL]]&gt;=0,FINANCIACION[[#This Row],[$ CAPITAL]]+FINANCIACION[[#This Row],[$ INTERESES]],"")</f>
        <v>982925</v>
      </c>
      <c r="F665" s="179">
        <f>+SUMIFS(FINANCIACION[$ CAPITAL],FINANCIACION[Fecha],"&lt;="&amp;FINANCIACION[[#This Row],[Fecha]],FINANCIACION[PRESTAMO],FINANCIACION[[#This Row],[PRESTAMO]])</f>
        <v>982925</v>
      </c>
      <c r="G665" s="179"/>
      <c r="I665" s="185"/>
      <c r="J665" s="179">
        <f>+IF(FINANCIACION[[#This Row],[$ CAPITAL]]&gt;0,FINANCIACION[[#This Row],[$ CAPITAL]])</f>
        <v>982925</v>
      </c>
      <c r="K665" s="186">
        <f>+IF(FINANCIACION[[#This Row],[$ CAPITAL]]&gt;=0,FINANCIACION[[#This Row],[$ CAPITAL]]+FINANCIACION[[#This Row],[$ INTERESES]],0)</f>
        <v>982925</v>
      </c>
    </row>
    <row r="666" spans="1:11" ht="24" hidden="1" customHeight="1" x14ac:dyDescent="0.25">
      <c r="A666" s="177">
        <v>45016</v>
      </c>
      <c r="B666" s="184" t="s">
        <v>1419</v>
      </c>
      <c r="C666" s="179">
        <v>-80343</v>
      </c>
      <c r="D666" s="179"/>
      <c r="E666" s="179" t="str">
        <f>+IF(FINANCIACION[[#This Row],[$ CAPITAL]]&gt;=0,FINANCIACION[[#This Row],[$ CAPITAL]]+FINANCIACION[[#This Row],[$ INTERESES]],"")</f>
        <v/>
      </c>
      <c r="F666" s="179">
        <f>+SUMIFS(FINANCIACION[$ CAPITAL],FINANCIACION[Fecha],"&lt;="&amp;FINANCIACION[[#This Row],[Fecha]],FINANCIACION[PRESTAMO],FINANCIACION[[#This Row],[PRESTAMO]])</f>
        <v>902582</v>
      </c>
      <c r="G666" s="179"/>
      <c r="I666" s="185"/>
      <c r="J666" s="179" t="b">
        <f>+IF(FINANCIACION[[#This Row],[$ CAPITAL]]&gt;0,FINANCIACION[[#This Row],[$ CAPITAL]])</f>
        <v>0</v>
      </c>
      <c r="K666" s="186">
        <f>+IF(FINANCIACION[[#This Row],[$ CAPITAL]]&gt;=0,FINANCIACION[[#This Row],[$ CAPITAL]]+FINANCIACION[[#This Row],[$ INTERESES]],0)</f>
        <v>0</v>
      </c>
    </row>
    <row r="667" spans="1:11" ht="24" hidden="1" customHeight="1" x14ac:dyDescent="0.25">
      <c r="A667" s="177">
        <v>45046</v>
      </c>
      <c r="B667" s="184" t="s">
        <v>1419</v>
      </c>
      <c r="C667" s="179">
        <v>2826258</v>
      </c>
      <c r="D667" s="179"/>
      <c r="E667" s="179">
        <f>+IF(FINANCIACION[[#This Row],[$ CAPITAL]]&gt;=0,FINANCIACION[[#This Row],[$ CAPITAL]]+FINANCIACION[[#This Row],[$ INTERESES]],"")</f>
        <v>2826258</v>
      </c>
      <c r="F667" s="179">
        <f>+SUMIFS(FINANCIACION[$ CAPITAL],FINANCIACION[Fecha],"&lt;="&amp;FINANCIACION[[#This Row],[Fecha]],FINANCIACION[PRESTAMO],FINANCIACION[[#This Row],[PRESTAMO]])</f>
        <v>3728840</v>
      </c>
      <c r="G667" s="179"/>
      <c r="I667" s="185"/>
      <c r="J667" s="179">
        <f>+IF(FINANCIACION[[#This Row],[$ CAPITAL]]&gt;0,FINANCIACION[[#This Row],[$ CAPITAL]])</f>
        <v>2826258</v>
      </c>
      <c r="K667" s="186">
        <f>+IF(FINANCIACION[[#This Row],[$ CAPITAL]]&gt;=0,FINANCIACION[[#This Row],[$ CAPITAL]]+FINANCIACION[[#This Row],[$ INTERESES]],0)</f>
        <v>2826258</v>
      </c>
    </row>
    <row r="668" spans="1:11" ht="24" hidden="1" customHeight="1" x14ac:dyDescent="0.25">
      <c r="A668" s="177">
        <v>45077</v>
      </c>
      <c r="B668" s="184" t="s">
        <v>1419</v>
      </c>
      <c r="C668" s="179">
        <v>-4517238</v>
      </c>
      <c r="D668" s="179"/>
      <c r="E668" s="179" t="str">
        <f>+IF(FINANCIACION[[#This Row],[$ CAPITAL]]&gt;=0,FINANCIACION[[#This Row],[$ CAPITAL]]+FINANCIACION[[#This Row],[$ INTERESES]],"")</f>
        <v/>
      </c>
      <c r="F668" s="179">
        <f>+SUMIFS(FINANCIACION[$ CAPITAL],FINANCIACION[Fecha],"&lt;="&amp;FINANCIACION[[#This Row],[Fecha]],FINANCIACION[PRESTAMO],FINANCIACION[[#This Row],[PRESTAMO]])</f>
        <v>-788398</v>
      </c>
      <c r="G668" s="179"/>
      <c r="I668" s="185"/>
      <c r="J668" s="179" t="b">
        <f>+IF(FINANCIACION[[#This Row],[$ CAPITAL]]&gt;0,FINANCIACION[[#This Row],[$ CAPITAL]])</f>
        <v>0</v>
      </c>
      <c r="K668" s="186">
        <f>+IF(FINANCIACION[[#This Row],[$ CAPITAL]]&gt;=0,FINANCIACION[[#This Row],[$ CAPITAL]]+FINANCIACION[[#This Row],[$ INTERESES]],0)</f>
        <v>0</v>
      </c>
    </row>
    <row r="669" spans="1:11" ht="24" hidden="1" customHeight="1" x14ac:dyDescent="0.25">
      <c r="A669" s="177">
        <v>45107</v>
      </c>
      <c r="B669" s="184" t="s">
        <v>1419</v>
      </c>
      <c r="C669" s="179">
        <v>2026596</v>
      </c>
      <c r="D669" s="179"/>
      <c r="E669" s="179">
        <f>+IF(FINANCIACION[[#This Row],[$ CAPITAL]]&gt;=0,FINANCIACION[[#This Row],[$ CAPITAL]]+FINANCIACION[[#This Row],[$ INTERESES]],"")</f>
        <v>2026596</v>
      </c>
      <c r="F669" s="179">
        <f>+SUMIFS(FINANCIACION[$ CAPITAL],FINANCIACION[Fecha],"&lt;="&amp;FINANCIACION[[#This Row],[Fecha]],FINANCIACION[PRESTAMO],FINANCIACION[[#This Row],[PRESTAMO]])</f>
        <v>1238198</v>
      </c>
      <c r="G669" s="179"/>
      <c r="I669" s="185"/>
      <c r="J669" s="179">
        <f>+IF(FINANCIACION[[#This Row],[$ CAPITAL]]&gt;0,FINANCIACION[[#This Row],[$ CAPITAL]])</f>
        <v>2026596</v>
      </c>
      <c r="K669" s="186">
        <f>+IF(FINANCIACION[[#This Row],[$ CAPITAL]]&gt;=0,FINANCIACION[[#This Row],[$ CAPITAL]]+FINANCIACION[[#This Row],[$ INTERESES]],0)</f>
        <v>2026596</v>
      </c>
    </row>
    <row r="670" spans="1:11" ht="24" hidden="1" customHeight="1" x14ac:dyDescent="0.25">
      <c r="A670" s="177">
        <v>45138</v>
      </c>
      <c r="B670" s="184" t="s">
        <v>1419</v>
      </c>
      <c r="C670" s="179">
        <v>373808</v>
      </c>
      <c r="D670" s="179"/>
      <c r="E670" s="179">
        <f>+IF(FINANCIACION[[#This Row],[$ CAPITAL]]&gt;=0,FINANCIACION[[#This Row],[$ CAPITAL]]+FINANCIACION[[#This Row],[$ INTERESES]],"")</f>
        <v>373808</v>
      </c>
      <c r="F670" s="179">
        <f>+SUMIFS(FINANCIACION[$ CAPITAL],FINANCIACION[Fecha],"&lt;="&amp;FINANCIACION[[#This Row],[Fecha]],FINANCIACION[PRESTAMO],FINANCIACION[[#This Row],[PRESTAMO]])</f>
        <v>1612006</v>
      </c>
      <c r="G670" s="179"/>
      <c r="I670" s="185"/>
      <c r="J670" s="179">
        <f>+IF(FINANCIACION[[#This Row],[$ CAPITAL]]&gt;0,FINANCIACION[[#This Row],[$ CAPITAL]])</f>
        <v>373808</v>
      </c>
      <c r="K670" s="186">
        <f>+IF(FINANCIACION[[#This Row],[$ CAPITAL]]&gt;=0,FINANCIACION[[#This Row],[$ CAPITAL]]+FINANCIACION[[#This Row],[$ INTERESES]],0)</f>
        <v>373808</v>
      </c>
    </row>
    <row r="671" spans="1:11" ht="24" hidden="1" customHeight="1" x14ac:dyDescent="0.25">
      <c r="A671" s="177">
        <v>45169</v>
      </c>
      <c r="B671" s="184" t="s">
        <v>1419</v>
      </c>
      <c r="C671" s="179">
        <v>2206994</v>
      </c>
      <c r="D671" s="179"/>
      <c r="E671" s="179">
        <f>+IF(FINANCIACION[[#This Row],[$ CAPITAL]]&gt;=0,FINANCIACION[[#This Row],[$ CAPITAL]]+FINANCIACION[[#This Row],[$ INTERESES]],"")</f>
        <v>2206994</v>
      </c>
      <c r="F671" s="179">
        <f>+SUMIFS(FINANCIACION[$ CAPITAL],FINANCIACION[Fecha],"&lt;="&amp;FINANCIACION[[#This Row],[Fecha]],FINANCIACION[PRESTAMO],FINANCIACION[[#This Row],[PRESTAMO]])</f>
        <v>3819000</v>
      </c>
      <c r="G671" s="179"/>
      <c r="I671" s="185"/>
      <c r="J671" s="179">
        <f>+IF(FINANCIACION[[#This Row],[$ CAPITAL]]&gt;0,FINANCIACION[[#This Row],[$ CAPITAL]])</f>
        <v>2206994</v>
      </c>
      <c r="K671" s="186">
        <f>+IF(FINANCIACION[[#This Row],[$ CAPITAL]]&gt;=0,FINANCIACION[[#This Row],[$ CAPITAL]]+FINANCIACION[[#This Row],[$ INTERESES]],0)</f>
        <v>2206994</v>
      </c>
    </row>
    <row r="672" spans="1:11" ht="24" hidden="1" customHeight="1" x14ac:dyDescent="0.25">
      <c r="A672" s="177">
        <v>45199</v>
      </c>
      <c r="B672" s="184" t="s">
        <v>1419</v>
      </c>
      <c r="C672" s="179">
        <v>-2662251</v>
      </c>
      <c r="D672" s="179"/>
      <c r="E672" s="179" t="str">
        <f>+IF(FINANCIACION[[#This Row],[$ CAPITAL]]&gt;=0,FINANCIACION[[#This Row],[$ CAPITAL]]+FINANCIACION[[#This Row],[$ INTERESES]],"")</f>
        <v/>
      </c>
      <c r="F672" s="179">
        <f>+SUMIFS(FINANCIACION[$ CAPITAL],FINANCIACION[Fecha],"&lt;="&amp;FINANCIACION[[#This Row],[Fecha]],FINANCIACION[PRESTAMO],FINANCIACION[[#This Row],[PRESTAMO]])</f>
        <v>1156749</v>
      </c>
      <c r="G672" s="179"/>
      <c r="I672" s="185"/>
      <c r="J672" s="179" t="b">
        <f>+IF(FINANCIACION[[#This Row],[$ CAPITAL]]&gt;0,FINANCIACION[[#This Row],[$ CAPITAL]])</f>
        <v>0</v>
      </c>
      <c r="K672" s="186">
        <f>+IF(FINANCIACION[[#This Row],[$ CAPITAL]]&gt;=0,FINANCIACION[[#This Row],[$ CAPITAL]]+FINANCIACION[[#This Row],[$ INTERESES]],0)</f>
        <v>0</v>
      </c>
    </row>
    <row r="673" spans="1:11" ht="24" hidden="1" customHeight="1" x14ac:dyDescent="0.25">
      <c r="A673" s="177">
        <v>45230</v>
      </c>
      <c r="B673" s="184" t="s">
        <v>1419</v>
      </c>
      <c r="C673" s="179">
        <v>895339</v>
      </c>
      <c r="D673" s="179"/>
      <c r="E673" s="179">
        <f>+IF(FINANCIACION[[#This Row],[$ CAPITAL]]&gt;=0,FINANCIACION[[#This Row],[$ CAPITAL]]+FINANCIACION[[#This Row],[$ INTERESES]],"")</f>
        <v>895339</v>
      </c>
      <c r="F673" s="179">
        <f>+SUMIFS(FINANCIACION[$ CAPITAL],FINANCIACION[Fecha],"&lt;="&amp;FINANCIACION[[#This Row],[Fecha]],FINANCIACION[PRESTAMO],FINANCIACION[[#This Row],[PRESTAMO]])</f>
        <v>2052088</v>
      </c>
      <c r="G673" s="179"/>
      <c r="I673" s="185"/>
      <c r="J673" s="179">
        <f>+IF(FINANCIACION[[#This Row],[$ CAPITAL]]&gt;0,FINANCIACION[[#This Row],[$ CAPITAL]])</f>
        <v>895339</v>
      </c>
      <c r="K673" s="186">
        <f>+IF(FINANCIACION[[#This Row],[$ CAPITAL]]&gt;=0,FINANCIACION[[#This Row],[$ CAPITAL]]+FINANCIACION[[#This Row],[$ INTERESES]],0)</f>
        <v>895339</v>
      </c>
    </row>
    <row r="674" spans="1:11" ht="24" hidden="1" customHeight="1" x14ac:dyDescent="0.25">
      <c r="A674" s="177">
        <v>45260</v>
      </c>
      <c r="B674" s="184" t="s">
        <v>1419</v>
      </c>
      <c r="C674" s="179">
        <v>-2165488</v>
      </c>
      <c r="D674" s="179"/>
      <c r="E674" s="179" t="str">
        <f>+IF(FINANCIACION[[#This Row],[$ CAPITAL]]&gt;=0,FINANCIACION[[#This Row],[$ CAPITAL]]+FINANCIACION[[#This Row],[$ INTERESES]],"")</f>
        <v/>
      </c>
      <c r="F674" s="179">
        <f>+SUMIFS(FINANCIACION[$ CAPITAL],FINANCIACION[Fecha],"&lt;="&amp;FINANCIACION[[#This Row],[Fecha]],FINANCIACION[PRESTAMO],FINANCIACION[[#This Row],[PRESTAMO]])</f>
        <v>-3932437</v>
      </c>
      <c r="G674" s="179"/>
      <c r="I674" s="185"/>
      <c r="J674" s="179" t="b">
        <f>+IF(FINANCIACION[[#This Row],[$ CAPITAL]]&gt;0,FINANCIACION[[#This Row],[$ CAPITAL]])</f>
        <v>0</v>
      </c>
      <c r="K674" s="186">
        <f>+IF(FINANCIACION[[#This Row],[$ CAPITAL]]&gt;=0,FINANCIACION[[#This Row],[$ CAPITAL]]+FINANCIACION[[#This Row],[$ INTERESES]],0)</f>
        <v>0</v>
      </c>
    </row>
    <row r="675" spans="1:11" ht="24" hidden="1" customHeight="1" x14ac:dyDescent="0.25">
      <c r="A675" s="177">
        <v>45291</v>
      </c>
      <c r="B675" s="184" t="s">
        <v>1419</v>
      </c>
      <c r="C675" s="179">
        <v>3816487</v>
      </c>
      <c r="D675" s="179"/>
      <c r="E675" s="179">
        <f>+IF(FINANCIACION[[#This Row],[$ CAPITAL]]&gt;=0,FINANCIACION[[#This Row],[$ CAPITAL]]+FINANCIACION[[#This Row],[$ INTERESES]],"")</f>
        <v>3816487</v>
      </c>
      <c r="F675" s="179">
        <f>+SUMIFS(FINANCIACION[$ CAPITAL],FINANCIACION[Fecha],"&lt;="&amp;FINANCIACION[[#This Row],[Fecha]],FINANCIACION[PRESTAMO],FINANCIACION[[#This Row],[PRESTAMO]])</f>
        <v>-115950</v>
      </c>
      <c r="G675" s="179"/>
      <c r="I675" s="185"/>
      <c r="J675" s="179">
        <f>+IF(FINANCIACION[[#This Row],[$ CAPITAL]]&gt;0,FINANCIACION[[#This Row],[$ CAPITAL]])</f>
        <v>3816487</v>
      </c>
      <c r="K675" s="186">
        <f>+IF(FINANCIACION[[#This Row],[$ CAPITAL]]&gt;=0,FINANCIACION[[#This Row],[$ CAPITAL]]+FINANCIACION[[#This Row],[$ INTERESES]],0)</f>
        <v>3816487</v>
      </c>
    </row>
    <row r="676" spans="1:11" ht="24" hidden="1" customHeight="1" x14ac:dyDescent="0.25">
      <c r="A676" s="177">
        <v>44927</v>
      </c>
      <c r="B676" s="184" t="s">
        <v>1418</v>
      </c>
      <c r="C676" s="179">
        <f>10016677-14662059</f>
        <v>-4645382</v>
      </c>
      <c r="D676" s="180"/>
      <c r="E676" s="179" t="str">
        <f>+IF(FINANCIACION[[#This Row],[$ CAPITAL]]&gt;=0,FINANCIACION[[#This Row],[$ CAPITAL]]+FINANCIACION[[#This Row],[$ INTERESES]],"")</f>
        <v/>
      </c>
      <c r="F676" s="179">
        <f>+SUMIFS(FINANCIACION[$ CAPITAL],FINANCIACION[Fecha],"&lt;="&amp;FINANCIACION[[#This Row],[Fecha]],FINANCIACION[PRESTAMO],FINANCIACION[[#This Row],[PRESTAMO]])</f>
        <v>-4645382</v>
      </c>
      <c r="G676" s="82"/>
      <c r="H676" s="183" t="s">
        <v>133</v>
      </c>
      <c r="I676" s="181"/>
      <c r="J676" s="192" t="b">
        <f>+IF(FINANCIACION[[#This Row],[$ CAPITAL]]&gt;0,FINANCIACION[[#This Row],[$ CAPITAL]])</f>
        <v>0</v>
      </c>
      <c r="K676" s="193">
        <f>+IF(FINANCIACION[[#This Row],[$ CAPITAL]]&gt;=0,FINANCIACION[[#This Row],[$ CAPITAL]]+FINANCIACION[[#This Row],[$ INTERESES]],0)</f>
        <v>0</v>
      </c>
    </row>
    <row r="677" spans="1:11" ht="24" hidden="1" customHeight="1" x14ac:dyDescent="0.25">
      <c r="A677" s="177">
        <v>44957</v>
      </c>
      <c r="B677" s="184" t="s">
        <v>1418</v>
      </c>
      <c r="C677" s="179">
        <v>-10016677</v>
      </c>
      <c r="D677" s="179"/>
      <c r="E677" s="179" t="str">
        <f>+IF(FINANCIACION[[#This Row],[$ CAPITAL]]&gt;=0,FINANCIACION[[#This Row],[$ CAPITAL]]+FINANCIACION[[#This Row],[$ INTERESES]],"")</f>
        <v/>
      </c>
      <c r="F677" s="179">
        <f>+SUMIFS(FINANCIACION[$ CAPITAL],FINANCIACION[Fecha],"&lt;="&amp;FINANCIACION[[#This Row],[Fecha]],FINANCIACION[PRESTAMO],FINANCIACION[[#This Row],[PRESTAMO]])</f>
        <v>-14662059</v>
      </c>
      <c r="G677" s="82"/>
      <c r="I677" s="185"/>
      <c r="J677" s="179" t="b">
        <f>+IF(FINANCIACION[[#This Row],[$ CAPITAL]]&gt;0,FINANCIACION[[#This Row],[$ CAPITAL]])</f>
        <v>0</v>
      </c>
      <c r="K677" s="186">
        <f>+IF(FINANCIACION[[#This Row],[$ CAPITAL]]&gt;=0,FINANCIACION[[#This Row],[$ CAPITAL]]+FINANCIACION[[#This Row],[$ INTERESES]],0)</f>
        <v>0</v>
      </c>
    </row>
    <row r="678" spans="1:11" ht="24" hidden="1" customHeight="1" x14ac:dyDescent="0.25">
      <c r="A678" s="177">
        <v>44985</v>
      </c>
      <c r="B678" s="184" t="s">
        <v>1418</v>
      </c>
      <c r="C678" s="179">
        <v>7555577</v>
      </c>
      <c r="D678" s="179"/>
      <c r="E678" s="179">
        <f>+IF(FINANCIACION[[#This Row],[$ CAPITAL]]&gt;=0,FINANCIACION[[#This Row],[$ CAPITAL]]+FINANCIACION[[#This Row],[$ INTERESES]],"")</f>
        <v>7555577</v>
      </c>
      <c r="F678" s="179">
        <f>+SUMIFS(FINANCIACION[$ CAPITAL],FINANCIACION[Fecha],"&lt;="&amp;FINANCIACION[[#This Row],[Fecha]],FINANCIACION[PRESTAMO],FINANCIACION[[#This Row],[PRESTAMO]])</f>
        <v>-7106482</v>
      </c>
      <c r="G678" s="82"/>
      <c r="I678" s="185"/>
      <c r="J678" s="179">
        <f>+IF(FINANCIACION[[#This Row],[$ CAPITAL]]&gt;0,FINANCIACION[[#This Row],[$ CAPITAL]])</f>
        <v>7555577</v>
      </c>
      <c r="K678" s="186">
        <f>+IF(FINANCIACION[[#This Row],[$ CAPITAL]]&gt;=0,FINANCIACION[[#This Row],[$ CAPITAL]]+FINANCIACION[[#This Row],[$ INTERESES]],0)</f>
        <v>7555577</v>
      </c>
    </row>
    <row r="679" spans="1:11" ht="24" hidden="1" customHeight="1" x14ac:dyDescent="0.25">
      <c r="A679" s="177">
        <v>45016</v>
      </c>
      <c r="B679" s="184" t="s">
        <v>1418</v>
      </c>
      <c r="C679" s="179">
        <v>-9795454</v>
      </c>
      <c r="D679" s="179"/>
      <c r="E679" s="179" t="str">
        <f>+IF(FINANCIACION[[#This Row],[$ CAPITAL]]&gt;=0,FINANCIACION[[#This Row],[$ CAPITAL]]+FINANCIACION[[#This Row],[$ INTERESES]],"")</f>
        <v/>
      </c>
      <c r="F679" s="179">
        <f>+SUMIFS(FINANCIACION[$ CAPITAL],FINANCIACION[Fecha],"&lt;="&amp;FINANCIACION[[#This Row],[Fecha]],FINANCIACION[PRESTAMO],FINANCIACION[[#This Row],[PRESTAMO]])</f>
        <v>-16901936</v>
      </c>
      <c r="G679" s="82"/>
      <c r="I679" s="185"/>
      <c r="J679" s="179" t="b">
        <f>+IF(FINANCIACION[[#This Row],[$ CAPITAL]]&gt;0,FINANCIACION[[#This Row],[$ CAPITAL]])</f>
        <v>0</v>
      </c>
      <c r="K679" s="186">
        <f>+IF(FINANCIACION[[#This Row],[$ CAPITAL]]&gt;=0,FINANCIACION[[#This Row],[$ CAPITAL]]+FINANCIACION[[#This Row],[$ INTERESES]],0)</f>
        <v>0</v>
      </c>
    </row>
    <row r="680" spans="1:11" ht="24" hidden="1" customHeight="1" x14ac:dyDescent="0.25">
      <c r="A680" s="177">
        <v>45046</v>
      </c>
      <c r="B680" s="184" t="s">
        <v>1418</v>
      </c>
      <c r="C680" s="179">
        <v>-2011168</v>
      </c>
      <c r="D680" s="179"/>
      <c r="E680" s="179" t="str">
        <f>+IF(FINANCIACION[[#This Row],[$ CAPITAL]]&gt;=0,FINANCIACION[[#This Row],[$ CAPITAL]]+FINANCIACION[[#This Row],[$ INTERESES]],"")</f>
        <v/>
      </c>
      <c r="F680" s="179">
        <f>+SUMIFS(FINANCIACION[$ CAPITAL],FINANCIACION[Fecha],"&lt;="&amp;FINANCIACION[[#This Row],[Fecha]],FINANCIACION[PRESTAMO],FINANCIACION[[#This Row],[PRESTAMO]])</f>
        <v>-18913104</v>
      </c>
      <c r="G680" s="82"/>
      <c r="I680" s="185"/>
      <c r="J680" s="179" t="b">
        <f>+IF(FINANCIACION[[#This Row],[$ CAPITAL]]&gt;0,FINANCIACION[[#This Row],[$ CAPITAL]])</f>
        <v>0</v>
      </c>
      <c r="K680" s="186">
        <f>+IF(FINANCIACION[[#This Row],[$ CAPITAL]]&gt;=0,FINANCIACION[[#This Row],[$ CAPITAL]]+FINANCIACION[[#This Row],[$ INTERESES]],0)</f>
        <v>0</v>
      </c>
    </row>
    <row r="681" spans="1:11" ht="24" hidden="1" customHeight="1" x14ac:dyDescent="0.25">
      <c r="A681" s="177">
        <v>45077</v>
      </c>
      <c r="B681" s="184" t="s">
        <v>1418</v>
      </c>
      <c r="C681" s="179">
        <v>-446369</v>
      </c>
      <c r="D681" s="179"/>
      <c r="E681" s="179" t="str">
        <f>+IF(FINANCIACION[[#This Row],[$ CAPITAL]]&gt;=0,FINANCIACION[[#This Row],[$ CAPITAL]]+FINANCIACION[[#This Row],[$ INTERESES]],"")</f>
        <v/>
      </c>
      <c r="F681" s="179">
        <f>+SUMIFS(FINANCIACION[$ CAPITAL],FINANCIACION[Fecha],"&lt;="&amp;FINANCIACION[[#This Row],[Fecha]],FINANCIACION[PRESTAMO],FINANCIACION[[#This Row],[PRESTAMO]])</f>
        <v>-19359473</v>
      </c>
      <c r="G681" s="82"/>
      <c r="I681" s="185"/>
      <c r="J681" s="179" t="b">
        <f>+IF(FINANCIACION[[#This Row],[$ CAPITAL]]&gt;0,FINANCIACION[[#This Row],[$ CAPITAL]])</f>
        <v>0</v>
      </c>
      <c r="K681" s="186">
        <f>+IF(FINANCIACION[[#This Row],[$ CAPITAL]]&gt;=0,FINANCIACION[[#This Row],[$ CAPITAL]]+FINANCIACION[[#This Row],[$ INTERESES]],0)</f>
        <v>0</v>
      </c>
    </row>
    <row r="682" spans="1:11" ht="24" hidden="1" customHeight="1" x14ac:dyDescent="0.25">
      <c r="A682" s="177">
        <v>45107</v>
      </c>
      <c r="B682" s="184" t="s">
        <v>1418</v>
      </c>
      <c r="C682" s="179">
        <v>-862409</v>
      </c>
      <c r="D682" s="179"/>
      <c r="E682" s="179" t="str">
        <f>+IF(FINANCIACION[[#This Row],[$ CAPITAL]]&gt;=0,FINANCIACION[[#This Row],[$ CAPITAL]]+FINANCIACION[[#This Row],[$ INTERESES]],"")</f>
        <v/>
      </c>
      <c r="F682" s="179">
        <f>+SUMIFS(FINANCIACION[$ CAPITAL],FINANCIACION[Fecha],"&lt;="&amp;FINANCIACION[[#This Row],[Fecha]],FINANCIACION[PRESTAMO],FINANCIACION[[#This Row],[PRESTAMO]])</f>
        <v>-20221882</v>
      </c>
      <c r="G682" s="82"/>
      <c r="I682" s="185"/>
      <c r="J682" s="179" t="b">
        <f>+IF(FINANCIACION[[#This Row],[$ CAPITAL]]&gt;0,FINANCIACION[[#This Row],[$ CAPITAL]])</f>
        <v>0</v>
      </c>
      <c r="K682" s="186">
        <f>+IF(FINANCIACION[[#This Row],[$ CAPITAL]]&gt;=0,FINANCIACION[[#This Row],[$ CAPITAL]]+FINANCIACION[[#This Row],[$ INTERESES]],0)</f>
        <v>0</v>
      </c>
    </row>
    <row r="683" spans="1:11" ht="24" hidden="1" customHeight="1" x14ac:dyDescent="0.25">
      <c r="A683" s="177">
        <v>45138</v>
      </c>
      <c r="B683" s="184" t="s">
        <v>1418</v>
      </c>
      <c r="C683" s="179">
        <v>-306722</v>
      </c>
      <c r="D683" s="179"/>
      <c r="E683" s="179" t="str">
        <f>+IF(FINANCIACION[[#This Row],[$ CAPITAL]]&gt;=0,FINANCIACION[[#This Row],[$ CAPITAL]]+FINANCIACION[[#This Row],[$ INTERESES]],"")</f>
        <v/>
      </c>
      <c r="F683" s="179">
        <f>+SUMIFS(FINANCIACION[$ CAPITAL],FINANCIACION[Fecha],"&lt;="&amp;FINANCIACION[[#This Row],[Fecha]],FINANCIACION[PRESTAMO],FINANCIACION[[#This Row],[PRESTAMO]])</f>
        <v>-20528604</v>
      </c>
      <c r="G683" s="82"/>
      <c r="I683" s="185"/>
      <c r="J683" s="179" t="b">
        <f>+IF(FINANCIACION[[#This Row],[$ CAPITAL]]&gt;0,FINANCIACION[[#This Row],[$ CAPITAL]])</f>
        <v>0</v>
      </c>
      <c r="K683" s="186">
        <f>+IF(FINANCIACION[[#This Row],[$ CAPITAL]]&gt;=0,FINANCIACION[[#This Row],[$ CAPITAL]]+FINANCIACION[[#This Row],[$ INTERESES]],0)</f>
        <v>0</v>
      </c>
    </row>
    <row r="684" spans="1:11" ht="24" hidden="1" customHeight="1" x14ac:dyDescent="0.25">
      <c r="A684" s="177">
        <v>45169</v>
      </c>
      <c r="B684" s="184" t="s">
        <v>1418</v>
      </c>
      <c r="C684" s="179">
        <v>8669196</v>
      </c>
      <c r="D684" s="179"/>
      <c r="E684" s="179">
        <f>+IF(FINANCIACION[[#This Row],[$ CAPITAL]]&gt;=0,FINANCIACION[[#This Row],[$ CAPITAL]]+FINANCIACION[[#This Row],[$ INTERESES]],"")</f>
        <v>8669196</v>
      </c>
      <c r="F684" s="179">
        <f>+SUMIFS(FINANCIACION[$ CAPITAL],FINANCIACION[Fecha],"&lt;="&amp;FINANCIACION[[#This Row],[Fecha]],FINANCIACION[PRESTAMO],FINANCIACION[[#This Row],[PRESTAMO]])</f>
        <v>-11859408</v>
      </c>
      <c r="G684" s="82"/>
      <c r="I684" s="185"/>
      <c r="J684" s="179">
        <f>+IF(FINANCIACION[[#This Row],[$ CAPITAL]]&gt;0,FINANCIACION[[#This Row],[$ CAPITAL]])</f>
        <v>8669196</v>
      </c>
      <c r="K684" s="186">
        <f>+IF(FINANCIACION[[#This Row],[$ CAPITAL]]&gt;=0,FINANCIACION[[#This Row],[$ CAPITAL]]+FINANCIACION[[#This Row],[$ INTERESES]],0)</f>
        <v>8669196</v>
      </c>
    </row>
    <row r="685" spans="1:11" ht="24" hidden="1" customHeight="1" x14ac:dyDescent="0.25">
      <c r="A685" s="177">
        <v>45199</v>
      </c>
      <c r="B685" s="184" t="s">
        <v>1418</v>
      </c>
      <c r="C685" s="179">
        <v>25180</v>
      </c>
      <c r="D685" s="179"/>
      <c r="E685" s="179">
        <f>+IF(FINANCIACION[[#This Row],[$ CAPITAL]]&gt;=0,FINANCIACION[[#This Row],[$ CAPITAL]]+FINANCIACION[[#This Row],[$ INTERESES]],"")</f>
        <v>25180</v>
      </c>
      <c r="F685" s="179">
        <f>+SUMIFS(FINANCIACION[$ CAPITAL],FINANCIACION[Fecha],"&lt;="&amp;FINANCIACION[[#This Row],[Fecha]],FINANCIACION[PRESTAMO],FINANCIACION[[#This Row],[PRESTAMO]])</f>
        <v>-11834228</v>
      </c>
      <c r="G685" s="82"/>
      <c r="I685" s="185"/>
      <c r="J685" s="179">
        <f>+IF(FINANCIACION[[#This Row],[$ CAPITAL]]&gt;0,FINANCIACION[[#This Row],[$ CAPITAL]])</f>
        <v>25180</v>
      </c>
      <c r="K685" s="186">
        <f>+IF(FINANCIACION[[#This Row],[$ CAPITAL]]&gt;=0,FINANCIACION[[#This Row],[$ CAPITAL]]+FINANCIACION[[#This Row],[$ INTERESES]],0)</f>
        <v>25180</v>
      </c>
    </row>
    <row r="686" spans="1:11" ht="24" hidden="1" customHeight="1" x14ac:dyDescent="0.25">
      <c r="A686" s="177">
        <v>45230</v>
      </c>
      <c r="B686" s="184" t="s">
        <v>1418</v>
      </c>
      <c r="C686" s="179">
        <v>-3423159</v>
      </c>
      <c r="D686" s="179"/>
      <c r="E686" s="179" t="str">
        <f>+IF(FINANCIACION[[#This Row],[$ CAPITAL]]&gt;=0,FINANCIACION[[#This Row],[$ CAPITAL]]+FINANCIACION[[#This Row],[$ INTERESES]],"")</f>
        <v/>
      </c>
      <c r="F686" s="179">
        <f>+SUMIFS(FINANCIACION[$ CAPITAL],FINANCIACION[Fecha],"&lt;="&amp;FINANCIACION[[#This Row],[Fecha]],FINANCIACION[PRESTAMO],FINANCIACION[[#This Row],[PRESTAMO]])</f>
        <v>-15257387</v>
      </c>
      <c r="G686" s="82"/>
      <c r="I686" s="185"/>
      <c r="J686" s="179" t="b">
        <f>+IF(FINANCIACION[[#This Row],[$ CAPITAL]]&gt;0,FINANCIACION[[#This Row],[$ CAPITAL]])</f>
        <v>0</v>
      </c>
      <c r="K686" s="186">
        <f>+IF(FINANCIACION[[#This Row],[$ CAPITAL]]&gt;=0,FINANCIACION[[#This Row],[$ CAPITAL]]+FINANCIACION[[#This Row],[$ INTERESES]],0)</f>
        <v>0</v>
      </c>
    </row>
    <row r="687" spans="1:11" ht="24" hidden="1" customHeight="1" x14ac:dyDescent="0.25">
      <c r="A687" s="177">
        <v>45260</v>
      </c>
      <c r="B687" s="184" t="s">
        <v>1418</v>
      </c>
      <c r="C687" s="179">
        <v>9815942</v>
      </c>
      <c r="D687" s="179"/>
      <c r="E687" s="179">
        <f>+IF(FINANCIACION[[#This Row],[$ CAPITAL]]&gt;=0,FINANCIACION[[#This Row],[$ CAPITAL]]+FINANCIACION[[#This Row],[$ INTERESES]],"")</f>
        <v>9815942</v>
      </c>
      <c r="F687" s="179">
        <f>+SUMIFS(FINANCIACION[$ CAPITAL],FINANCIACION[Fecha],"&lt;="&amp;FINANCIACION[[#This Row],[Fecha]],FINANCIACION[PRESTAMO],FINANCIACION[[#This Row],[PRESTAMO]])</f>
        <v>-17361280</v>
      </c>
      <c r="G687" s="82"/>
      <c r="I687" s="185"/>
      <c r="J687" s="179">
        <f>+IF(FINANCIACION[[#This Row],[$ CAPITAL]]&gt;0,FINANCIACION[[#This Row],[$ CAPITAL]])</f>
        <v>9815942</v>
      </c>
      <c r="K687" s="186">
        <f>+IF(FINANCIACION[[#This Row],[$ CAPITAL]]&gt;=0,FINANCIACION[[#This Row],[$ CAPITAL]]+FINANCIACION[[#This Row],[$ INTERESES]],0)</f>
        <v>9815942</v>
      </c>
    </row>
    <row r="688" spans="1:11" ht="24" hidden="1" customHeight="1" x14ac:dyDescent="0.25">
      <c r="A688" s="177">
        <v>45291</v>
      </c>
      <c r="B688" s="184" t="s">
        <v>1418</v>
      </c>
      <c r="C688" s="179">
        <v>-2595310</v>
      </c>
      <c r="D688" s="179"/>
      <c r="E688" s="179" t="str">
        <f>+IF(FINANCIACION[[#This Row],[$ CAPITAL]]&gt;=0,FINANCIACION[[#This Row],[$ CAPITAL]]+FINANCIACION[[#This Row],[$ INTERESES]],"")</f>
        <v/>
      </c>
      <c r="F688" s="179">
        <f>+SUMIFS(FINANCIACION[$ CAPITAL],FINANCIACION[Fecha],"&lt;="&amp;FINANCIACION[[#This Row],[Fecha]],FINANCIACION[PRESTAMO],FINANCIACION[[#This Row],[PRESTAMO]])</f>
        <v>-19956590</v>
      </c>
      <c r="G688" s="82"/>
      <c r="I688" s="185"/>
      <c r="J688" s="179" t="b">
        <f>+IF(FINANCIACION[[#This Row],[$ CAPITAL]]&gt;0,FINANCIACION[[#This Row],[$ CAPITAL]])</f>
        <v>0</v>
      </c>
      <c r="K688" s="186">
        <f>+IF(FINANCIACION[[#This Row],[$ CAPITAL]]&gt;=0,FINANCIACION[[#This Row],[$ CAPITAL]]+FINANCIACION[[#This Row],[$ INTERESES]],0)</f>
        <v>0</v>
      </c>
    </row>
    <row r="689" spans="1:11" ht="24" hidden="1" customHeight="1" x14ac:dyDescent="0.25">
      <c r="A689" s="177">
        <v>45293</v>
      </c>
      <c r="B689" s="184" t="s">
        <v>1450</v>
      </c>
      <c r="C689" s="179">
        <f>5873600-4405200</f>
        <v>1468400</v>
      </c>
      <c r="D689" s="179">
        <v>107809</v>
      </c>
      <c r="E689" s="179">
        <f>+IF(FINANCIACION[[#This Row],[$ CAPITAL]]&gt;=0,FINANCIACION[[#This Row],[$ CAPITAL]]+FINANCIACION[[#This Row],[$ INTERESES]],"")</f>
        <v>1576209</v>
      </c>
      <c r="F689" s="179">
        <f>+SUMIFS(FINANCIACION[$ CAPITAL],FINANCIACION[Fecha],"&lt;="&amp;FINANCIACION[[#This Row],[Fecha]],FINANCIACION[PRESTAMO],FINANCIACION[[#This Row],[PRESTAMO]])</f>
        <v>-4405200</v>
      </c>
      <c r="G689" s="82"/>
      <c r="I689" s="185"/>
      <c r="J689" s="179">
        <f>+IF(FINANCIACION[[#This Row],[$ CAPITAL]]&gt;0,FINANCIACION[[#This Row],[$ CAPITAL]])</f>
        <v>1468400</v>
      </c>
      <c r="K689" s="186">
        <f>+IF(FINANCIACION[[#This Row],[$ CAPITAL]]&gt;=0,FINANCIACION[[#This Row],[$ CAPITAL]]+FINANCIACION[[#This Row],[$ INTERESES]],0)</f>
        <v>1576209</v>
      </c>
    </row>
    <row r="690" spans="1:11" ht="24" hidden="1" customHeight="1" x14ac:dyDescent="0.25">
      <c r="A690" s="177">
        <v>45322</v>
      </c>
      <c r="B690" s="184" t="s">
        <v>1450</v>
      </c>
      <c r="C690" s="179">
        <v>1468400</v>
      </c>
      <c r="D690" s="179">
        <v>80979</v>
      </c>
      <c r="E690" s="179">
        <f>+IF(FINANCIACION[[#This Row],[$ CAPITAL]]&gt;=0,FINANCIACION[[#This Row],[$ CAPITAL]]+FINANCIACION[[#This Row],[$ INTERESES]],"")</f>
        <v>1549379</v>
      </c>
      <c r="F690" s="179">
        <f>+SUMIFS(FINANCIACION[$ CAPITAL],FINANCIACION[Fecha],"&lt;="&amp;FINANCIACION[[#This Row],[Fecha]],FINANCIACION[PRESTAMO],FINANCIACION[[#This Row],[PRESTAMO]])</f>
        <v>-2936800</v>
      </c>
      <c r="G690" s="82"/>
      <c r="I690" s="185"/>
      <c r="J690" s="179">
        <f>+IF(FINANCIACION[[#This Row],[$ CAPITAL]]&gt;0,FINANCIACION[[#This Row],[$ CAPITAL]])</f>
        <v>1468400</v>
      </c>
      <c r="K690" s="186">
        <f>+IF(FINANCIACION[[#This Row],[$ CAPITAL]]&gt;=0,FINANCIACION[[#This Row],[$ CAPITAL]]+FINANCIACION[[#This Row],[$ INTERESES]],0)</f>
        <v>1549379</v>
      </c>
    </row>
    <row r="691" spans="1:11" ht="24" hidden="1" customHeight="1" x14ac:dyDescent="0.25">
      <c r="A691" s="177">
        <v>45260</v>
      </c>
      <c r="B691" s="184" t="s">
        <v>1419</v>
      </c>
      <c r="C691" s="179">
        <v>-3819037</v>
      </c>
      <c r="D691" s="179"/>
      <c r="E691" s="179" t="str">
        <f>+IF(FINANCIACION[[#This Row],[$ CAPITAL]]&gt;=0,FINANCIACION[[#This Row],[$ CAPITAL]]+FINANCIACION[[#This Row],[$ INTERESES]],"")</f>
        <v/>
      </c>
      <c r="F691" s="179">
        <f>+SUMIFS(FINANCIACION[$ CAPITAL],FINANCIACION[Fecha],"&lt;="&amp;FINANCIACION[[#This Row],[Fecha]],FINANCIACION[PRESTAMO],FINANCIACION[[#This Row],[PRESTAMO]])</f>
        <v>-3932437</v>
      </c>
      <c r="G691" s="179"/>
      <c r="H691" s="185" t="s">
        <v>133</v>
      </c>
      <c r="I691" s="185"/>
      <c r="J691" s="179" t="b">
        <f>+IF(FINANCIACION[[#This Row],[$ CAPITAL]]&gt;0,FINANCIACION[[#This Row],[$ CAPITAL]])</f>
        <v>0</v>
      </c>
      <c r="K691" s="186">
        <f>+IF(FINANCIACION[[#This Row],[$ CAPITAL]]&gt;=0,FINANCIACION[[#This Row],[$ CAPITAL]]+FINANCIACION[[#This Row],[$ INTERESES]],0)</f>
        <v>0</v>
      </c>
    </row>
    <row r="692" spans="1:11" ht="24" hidden="1" customHeight="1" x14ac:dyDescent="0.25">
      <c r="A692" s="177">
        <v>45260</v>
      </c>
      <c r="B692" s="184" t="s">
        <v>1417</v>
      </c>
      <c r="C692" s="179">
        <v>12049450</v>
      </c>
      <c r="D692" s="179"/>
      <c r="E692" s="179">
        <f>+IF(FINANCIACION[[#This Row],[$ CAPITAL]]&gt;=0,FINANCIACION[[#This Row],[$ CAPITAL]]+FINANCIACION[[#This Row],[$ INTERESES]],"")</f>
        <v>12049450</v>
      </c>
      <c r="F692" s="179">
        <f>+SUMIFS(FINANCIACION[$ CAPITAL],FINANCIACION[Fecha],"&lt;="&amp;FINANCIACION[[#This Row],[Fecha]],FINANCIACION[PRESTAMO],FINANCIACION[[#This Row],[PRESTAMO]])</f>
        <v>10603950</v>
      </c>
      <c r="G692" s="179"/>
      <c r="H692" s="185" t="s">
        <v>133</v>
      </c>
      <c r="I692" s="185"/>
      <c r="J692" s="179">
        <f>+IF(FINANCIACION[[#This Row],[$ CAPITAL]]&gt;0,FINANCIACION[[#This Row],[$ CAPITAL]])</f>
        <v>12049450</v>
      </c>
      <c r="K692" s="186">
        <f>+IF(FINANCIACION[[#This Row],[$ CAPITAL]]&gt;=0,FINANCIACION[[#This Row],[$ CAPITAL]]+FINANCIACION[[#This Row],[$ INTERESES]],0)</f>
        <v>12049450</v>
      </c>
    </row>
    <row r="693" spans="1:11" ht="24" hidden="1" customHeight="1" x14ac:dyDescent="0.25">
      <c r="A693" s="177">
        <v>45260</v>
      </c>
      <c r="B693" s="184" t="s">
        <v>1418</v>
      </c>
      <c r="C693" s="179">
        <f>8036755-19956590</f>
        <v>-11919835</v>
      </c>
      <c r="D693" s="179"/>
      <c r="E693" s="179" t="str">
        <f>+IF(FINANCIACION[[#This Row],[$ CAPITAL]]&gt;=0,FINANCIACION[[#This Row],[$ CAPITAL]]+FINANCIACION[[#This Row],[$ INTERESES]],"")</f>
        <v/>
      </c>
      <c r="F693" s="179">
        <f>+SUMIFS(FINANCIACION[$ CAPITAL],FINANCIACION[Fecha],"&lt;="&amp;FINANCIACION[[#This Row],[Fecha]],FINANCIACION[PRESTAMO],FINANCIACION[[#This Row],[PRESTAMO]])</f>
        <v>-17361280</v>
      </c>
      <c r="G693" s="82"/>
      <c r="H693" s="185" t="s">
        <v>133</v>
      </c>
      <c r="I693" s="185"/>
      <c r="J693" s="179" t="b">
        <f>+IF(FINANCIACION[[#This Row],[$ CAPITAL]]&gt;0,FINANCIACION[[#This Row],[$ CAPITAL]])</f>
        <v>0</v>
      </c>
      <c r="K693" s="186">
        <f>+IF(FINANCIACION[[#This Row],[$ CAPITAL]]&gt;=0,FINANCIACION[[#This Row],[$ CAPITAL]]+FINANCIACION[[#This Row],[$ INTERESES]],0)</f>
        <v>0</v>
      </c>
    </row>
    <row r="694" spans="1:11" ht="24" hidden="1" customHeight="1" x14ac:dyDescent="0.25">
      <c r="A694" s="177">
        <v>44525</v>
      </c>
      <c r="B694" s="184" t="s">
        <v>1420</v>
      </c>
      <c r="C694" s="179">
        <v>-80206729.879999995</v>
      </c>
      <c r="D694" s="179">
        <v>6148159.1900000004</v>
      </c>
      <c r="E694" s="179" t="str">
        <f>+IF(FINANCIACION[[#This Row],[$ CAPITAL]]&gt;=0,FINANCIACION[[#This Row],[$ CAPITAL]]+FINANCIACION[[#This Row],[$ INTERESES]],"")</f>
        <v/>
      </c>
      <c r="F694" s="179">
        <f>+SUMIFS(FINANCIACION[$ CAPITAL],FINANCIACION[Fecha],"&lt;="&amp;FINANCIACION[[#This Row],[Fecha]],FINANCIACION[PRESTAMO],FINANCIACION[[#This Row],[PRESTAMO]])</f>
        <v>-80206729.879999995</v>
      </c>
      <c r="G694" s="179"/>
      <c r="I694" s="185"/>
      <c r="J694" s="179" t="b">
        <f>+IF(FINANCIACION[[#This Row],[$ CAPITAL]]&gt;0,FINANCIACION[[#This Row],[$ CAPITAL]])</f>
        <v>0</v>
      </c>
      <c r="K694" s="186">
        <f>+IF(FINANCIACION[[#This Row],[$ CAPITAL]]&gt;=0,FINANCIACION[[#This Row],[$ CAPITAL]]+FINANCIACION[[#This Row],[$ INTERESES]],0)</f>
        <v>0</v>
      </c>
    </row>
    <row r="695" spans="1:11" ht="24" hidden="1" customHeight="1" x14ac:dyDescent="0.25">
      <c r="A695" s="177">
        <v>44544</v>
      </c>
      <c r="B695" s="184" t="s">
        <v>1420</v>
      </c>
      <c r="C695" s="179">
        <v>345651.39999999106</v>
      </c>
      <c r="D695" s="179">
        <v>172348.60000000894</v>
      </c>
      <c r="E695" s="179">
        <f>+IF(FINANCIACION[[#This Row],[$ CAPITAL]]&gt;=0,FINANCIACION[[#This Row],[$ CAPITAL]]+FINANCIACION[[#This Row],[$ INTERESES]],"")</f>
        <v>518000</v>
      </c>
      <c r="F695" s="179">
        <f>+SUMIFS(FINANCIACION[$ CAPITAL],FINANCIACION[Fecha],"&lt;="&amp;FINANCIACION[[#This Row],[Fecha]],FINANCIACION[PRESTAMO],FINANCIACION[[#This Row],[PRESTAMO]])</f>
        <v>-79861078.480000004</v>
      </c>
      <c r="G695" s="179"/>
      <c r="I695" s="185"/>
      <c r="J695" s="179">
        <f>+IF(FINANCIACION[[#This Row],[$ CAPITAL]]&gt;0,FINANCIACION[[#This Row],[$ CAPITAL]])</f>
        <v>345651.39999999106</v>
      </c>
      <c r="K695" s="186">
        <f>+IF(FINANCIACION[[#This Row],[$ CAPITAL]]&gt;=0,FINANCIACION[[#This Row],[$ CAPITAL]]+FINANCIACION[[#This Row],[$ INTERESES]],0)</f>
        <v>518000</v>
      </c>
    </row>
    <row r="696" spans="1:11" ht="24" hidden="1" customHeight="1" x14ac:dyDescent="0.25">
      <c r="A696" s="177">
        <v>44561</v>
      </c>
      <c r="B696" s="184" t="s">
        <v>1420</v>
      </c>
      <c r="C696" s="179">
        <v>-1661234.7599999905</v>
      </c>
      <c r="D696" s="179"/>
      <c r="E696" s="179" t="str">
        <f>+IF(FINANCIACION[[#This Row],[$ CAPITAL]]&gt;=0,FINANCIACION[[#This Row],[$ CAPITAL]]+FINANCIACION[[#This Row],[$ INTERESES]],"")</f>
        <v/>
      </c>
      <c r="F696" s="179">
        <f>+SUMIFS(FINANCIACION[$ CAPITAL],FINANCIACION[Fecha],"&lt;="&amp;FINANCIACION[[#This Row],[Fecha]],FINANCIACION[PRESTAMO],FINANCIACION[[#This Row],[PRESTAMO]])</f>
        <v>-82321407.039999992</v>
      </c>
      <c r="G696" s="179"/>
      <c r="I696" s="185"/>
      <c r="J696" s="179" t="b">
        <f>+IF(FINANCIACION[[#This Row],[$ CAPITAL]]&gt;0,FINANCIACION[[#This Row],[$ CAPITAL]])</f>
        <v>0</v>
      </c>
      <c r="K696" s="186">
        <f>+IF(FINANCIACION[[#This Row],[$ CAPITAL]]&gt;=0,FINANCIACION[[#This Row],[$ CAPITAL]]+FINANCIACION[[#This Row],[$ INTERESES]],0)</f>
        <v>0</v>
      </c>
    </row>
    <row r="697" spans="1:11" ht="24" hidden="1" customHeight="1" x14ac:dyDescent="0.25">
      <c r="A697" s="177">
        <v>44561</v>
      </c>
      <c r="B697" s="184" t="s">
        <v>1420</v>
      </c>
      <c r="C697" s="179">
        <v>-799093.79999999702</v>
      </c>
      <c r="D697" s="179"/>
      <c r="E697" s="179" t="str">
        <f>+IF(FINANCIACION[[#This Row],[$ CAPITAL]]&gt;=0,FINANCIACION[[#This Row],[$ CAPITAL]]+FINANCIACION[[#This Row],[$ INTERESES]],"")</f>
        <v/>
      </c>
      <c r="F697" s="179">
        <f>+SUMIFS(FINANCIACION[$ CAPITAL],FINANCIACION[Fecha],"&lt;="&amp;FINANCIACION[[#This Row],[Fecha]],FINANCIACION[PRESTAMO],FINANCIACION[[#This Row],[PRESTAMO]])</f>
        <v>-82321407.039999992</v>
      </c>
      <c r="G697" s="179"/>
      <c r="I697" s="185"/>
      <c r="J697" s="179" t="b">
        <f>+IF(FINANCIACION[[#This Row],[$ CAPITAL]]&gt;0,FINANCIACION[[#This Row],[$ CAPITAL]])</f>
        <v>0</v>
      </c>
      <c r="K697" s="186">
        <f>+IF(FINANCIACION[[#This Row],[$ CAPITAL]]&gt;=0,FINANCIACION[[#This Row],[$ CAPITAL]]+FINANCIACION[[#This Row],[$ INTERESES]],0)</f>
        <v>0</v>
      </c>
    </row>
    <row r="698" spans="1:11" ht="24" hidden="1" customHeight="1" x14ac:dyDescent="0.25">
      <c r="A698" s="177">
        <v>44579</v>
      </c>
      <c r="B698" s="184" t="s">
        <v>1420</v>
      </c>
      <c r="C698" s="179">
        <v>831.03</v>
      </c>
      <c r="D698" s="179">
        <v>541168.97</v>
      </c>
      <c r="E698" s="179">
        <f>+IF(FINANCIACION[[#This Row],[$ CAPITAL]]&gt;=0,FINANCIACION[[#This Row],[$ CAPITAL]]+FINANCIACION[[#This Row],[$ INTERESES]],"")</f>
        <v>542000</v>
      </c>
      <c r="F698" s="179">
        <f>+SUMIFS(FINANCIACION[$ CAPITAL],FINANCIACION[Fecha],"&lt;="&amp;FINANCIACION[[#This Row],[Fecha]],FINANCIACION[PRESTAMO],FINANCIACION[[#This Row],[PRESTAMO]])</f>
        <v>-82320576.00999999</v>
      </c>
      <c r="G698" s="179"/>
      <c r="I698" s="185"/>
      <c r="J698" s="179">
        <f>+IF(FINANCIACION[[#This Row],[$ CAPITAL]]&gt;0,FINANCIACION[[#This Row],[$ CAPITAL]])</f>
        <v>831.03</v>
      </c>
      <c r="K698" s="186">
        <f>+IF(FINANCIACION[[#This Row],[$ CAPITAL]]&gt;=0,FINANCIACION[[#This Row],[$ CAPITAL]]+FINANCIACION[[#This Row],[$ INTERESES]],0)</f>
        <v>542000</v>
      </c>
    </row>
    <row r="699" spans="1:11" ht="24" hidden="1" customHeight="1" x14ac:dyDescent="0.25">
      <c r="A699" s="177">
        <v>44610</v>
      </c>
      <c r="B699" s="184" t="s">
        <v>1420</v>
      </c>
      <c r="C699" s="179">
        <v>489945.29999999702</v>
      </c>
      <c r="D699" s="179">
        <v>72054.70000000298</v>
      </c>
      <c r="E699" s="179">
        <f>+IF(FINANCIACION[[#This Row],[$ CAPITAL]]&gt;=0,FINANCIACION[[#This Row],[$ CAPITAL]]+FINANCIACION[[#This Row],[$ INTERESES]],"")</f>
        <v>562000</v>
      </c>
      <c r="F699" s="179">
        <f>+SUMIFS(FINANCIACION[$ CAPITAL],FINANCIACION[Fecha],"&lt;="&amp;FINANCIACION[[#This Row],[Fecha]],FINANCIACION[PRESTAMO],FINANCIACION[[#This Row],[PRESTAMO]])</f>
        <v>-81830630.709999993</v>
      </c>
      <c r="G699" s="179"/>
      <c r="I699" s="185"/>
      <c r="J699" s="179">
        <f>+IF(FINANCIACION[[#This Row],[$ CAPITAL]]&gt;0,FINANCIACION[[#This Row],[$ CAPITAL]])</f>
        <v>489945.29999999702</v>
      </c>
      <c r="K699" s="186">
        <f>+IF(FINANCIACION[[#This Row],[$ CAPITAL]]&gt;=0,FINANCIACION[[#This Row],[$ CAPITAL]]+FINANCIACION[[#This Row],[$ INTERESES]],0)</f>
        <v>562000</v>
      </c>
    </row>
    <row r="700" spans="1:11" ht="24" hidden="1" customHeight="1" x14ac:dyDescent="0.25">
      <c r="A700" s="177">
        <v>44638</v>
      </c>
      <c r="B700" s="184" t="s">
        <v>1420</v>
      </c>
      <c r="C700" s="179">
        <v>519036.93999999762</v>
      </c>
      <c r="D700" s="179">
        <v>85963.060000002384</v>
      </c>
      <c r="E700" s="179">
        <f>+IF(FINANCIACION[[#This Row],[$ CAPITAL]]&gt;=0,FINANCIACION[[#This Row],[$ CAPITAL]]+FINANCIACION[[#This Row],[$ INTERESES]],"")</f>
        <v>605000</v>
      </c>
      <c r="F700" s="179">
        <f>+SUMIFS(FINANCIACION[$ CAPITAL],FINANCIACION[Fecha],"&lt;="&amp;FINANCIACION[[#This Row],[Fecha]],FINANCIACION[PRESTAMO],FINANCIACION[[#This Row],[PRESTAMO]])</f>
        <v>-81311593.769999996</v>
      </c>
      <c r="G700" s="179"/>
      <c r="I700" s="185"/>
      <c r="J700" s="179">
        <f>+IF(FINANCIACION[[#This Row],[$ CAPITAL]]&gt;0,FINANCIACION[[#This Row],[$ CAPITAL]])</f>
        <v>519036.93999999762</v>
      </c>
      <c r="K700" s="186">
        <f>+IF(FINANCIACION[[#This Row],[$ CAPITAL]]&gt;=0,FINANCIACION[[#This Row],[$ CAPITAL]]+FINANCIACION[[#This Row],[$ INTERESES]],0)</f>
        <v>605000</v>
      </c>
    </row>
    <row r="701" spans="1:11" ht="24" hidden="1" customHeight="1" x14ac:dyDescent="0.25">
      <c r="A701" s="177">
        <v>44670</v>
      </c>
      <c r="B701" s="184" t="s">
        <v>1420</v>
      </c>
      <c r="C701" s="179">
        <v>626870.95999999344</v>
      </c>
      <c r="D701" s="179">
        <v>43129.040000006557</v>
      </c>
      <c r="E701" s="179">
        <f>+IF(FINANCIACION[[#This Row],[$ CAPITAL]]&gt;=0,FINANCIACION[[#This Row],[$ CAPITAL]]+FINANCIACION[[#This Row],[$ INTERESES]],"")</f>
        <v>670000</v>
      </c>
      <c r="F701" s="179">
        <f>+SUMIFS(FINANCIACION[$ CAPITAL],FINANCIACION[Fecha],"&lt;="&amp;FINANCIACION[[#This Row],[Fecha]],FINANCIACION[PRESTAMO],FINANCIACION[[#This Row],[PRESTAMO]])</f>
        <v>-80684722.810000002</v>
      </c>
      <c r="G701" s="179"/>
      <c r="I701" s="185"/>
      <c r="J701" s="179">
        <f>+IF(FINANCIACION[[#This Row],[$ CAPITAL]]&gt;0,FINANCIACION[[#This Row],[$ CAPITAL]])</f>
        <v>626870.95999999344</v>
      </c>
      <c r="K701" s="186">
        <f>+IF(FINANCIACION[[#This Row],[$ CAPITAL]]&gt;=0,FINANCIACION[[#This Row],[$ CAPITAL]]+FINANCIACION[[#This Row],[$ INTERESES]],0)</f>
        <v>670000</v>
      </c>
    </row>
    <row r="702" spans="1:11" ht="24" hidden="1" customHeight="1" x14ac:dyDescent="0.25">
      <c r="A702" s="177">
        <v>44699</v>
      </c>
      <c r="B702" s="184" t="s">
        <v>1420</v>
      </c>
      <c r="C702" s="179">
        <v>693257.62999999523</v>
      </c>
      <c r="D702" s="179">
        <v>23742.370000004768</v>
      </c>
      <c r="E702" s="179">
        <f>+IF(FINANCIACION[[#This Row],[$ CAPITAL]]&gt;=0,FINANCIACION[[#This Row],[$ CAPITAL]]+FINANCIACION[[#This Row],[$ INTERESES]],"")</f>
        <v>717000</v>
      </c>
      <c r="F702" s="179">
        <f>+SUMIFS(FINANCIACION[$ CAPITAL],FINANCIACION[Fecha],"&lt;="&amp;FINANCIACION[[#This Row],[Fecha]],FINANCIACION[PRESTAMO],FINANCIACION[[#This Row],[PRESTAMO]])</f>
        <v>-79991465.180000007</v>
      </c>
      <c r="G702" s="179"/>
      <c r="I702" s="185"/>
      <c r="J702" s="179">
        <f>+IF(FINANCIACION[[#This Row],[$ CAPITAL]]&gt;0,FINANCIACION[[#This Row],[$ CAPITAL]])</f>
        <v>693257.62999999523</v>
      </c>
      <c r="K702" s="186">
        <f>+IF(FINANCIACION[[#This Row],[$ CAPITAL]]&gt;=0,FINANCIACION[[#This Row],[$ CAPITAL]]+FINANCIACION[[#This Row],[$ INTERESES]],0)</f>
        <v>717000</v>
      </c>
    </row>
    <row r="703" spans="1:11" ht="24" hidden="1" customHeight="1" x14ac:dyDescent="0.25">
      <c r="A703" s="177">
        <v>44733</v>
      </c>
      <c r="B703" s="184" t="s">
        <v>1420</v>
      </c>
      <c r="C703" s="179">
        <v>1482386.81</v>
      </c>
      <c r="D703" s="179">
        <v>783613.19</v>
      </c>
      <c r="E703" s="179">
        <f>+IF(FINANCIACION[[#This Row],[$ CAPITAL]]&gt;=0,FINANCIACION[[#This Row],[$ CAPITAL]]+FINANCIACION[[#This Row],[$ INTERESES]],"")</f>
        <v>2266000</v>
      </c>
      <c r="F703" s="179">
        <f>+SUMIFS(FINANCIACION[$ CAPITAL],FINANCIACION[Fecha],"&lt;="&amp;FINANCIACION[[#This Row],[Fecha]],FINANCIACION[PRESTAMO],FINANCIACION[[#This Row],[PRESTAMO]])</f>
        <v>-78509078.370000005</v>
      </c>
      <c r="G703" s="179"/>
      <c r="I703" s="185"/>
      <c r="J703" s="179">
        <f>+IF(FINANCIACION[[#This Row],[$ CAPITAL]]&gt;0,FINANCIACION[[#This Row],[$ CAPITAL]])</f>
        <v>1482386.81</v>
      </c>
      <c r="K703" s="186">
        <f>+IF(FINANCIACION[[#This Row],[$ CAPITAL]]&gt;=0,FINANCIACION[[#This Row],[$ CAPITAL]]+FINANCIACION[[#This Row],[$ INTERESES]],0)</f>
        <v>2266000</v>
      </c>
    </row>
    <row r="704" spans="1:11" ht="24" hidden="1" customHeight="1" x14ac:dyDescent="0.25">
      <c r="A704" s="177">
        <v>44761</v>
      </c>
      <c r="B704" s="184" t="s">
        <v>1420</v>
      </c>
      <c r="C704" s="179">
        <v>1481481.48</v>
      </c>
      <c r="D704" s="179">
        <v>797518.52</v>
      </c>
      <c r="E704" s="179">
        <f>+IF(FINANCIACION[[#This Row],[$ CAPITAL]]&gt;=0,FINANCIACION[[#This Row],[$ CAPITAL]]+FINANCIACION[[#This Row],[$ INTERESES]],"")</f>
        <v>2279000</v>
      </c>
      <c r="F704" s="179">
        <f>+SUMIFS(FINANCIACION[$ CAPITAL],FINANCIACION[Fecha],"&lt;="&amp;FINANCIACION[[#This Row],[Fecha]],FINANCIACION[PRESTAMO],FINANCIACION[[#This Row],[PRESTAMO]])</f>
        <v>-77027596.890000001</v>
      </c>
      <c r="G704" s="179"/>
      <c r="I704" s="185"/>
      <c r="J704" s="179">
        <f>+IF(FINANCIACION[[#This Row],[$ CAPITAL]]&gt;0,FINANCIACION[[#This Row],[$ CAPITAL]])</f>
        <v>1481481.48</v>
      </c>
      <c r="K704" s="186">
        <f>+IF(FINANCIACION[[#This Row],[$ CAPITAL]]&gt;=0,FINANCIACION[[#This Row],[$ CAPITAL]]+FINANCIACION[[#This Row],[$ INTERESES]],0)</f>
        <v>2279000</v>
      </c>
    </row>
    <row r="705" spans="1:11" ht="24" hidden="1" customHeight="1" x14ac:dyDescent="0.25">
      <c r="A705" s="177">
        <v>44791</v>
      </c>
      <c r="B705" s="184" t="s">
        <v>1420</v>
      </c>
      <c r="C705" s="179">
        <v>1481481.48</v>
      </c>
      <c r="D705" s="179">
        <v>884518.52</v>
      </c>
      <c r="E705" s="179">
        <f>+IF(FINANCIACION[[#This Row],[$ CAPITAL]]&gt;=0,FINANCIACION[[#This Row],[$ CAPITAL]]+FINANCIACION[[#This Row],[$ INTERESES]],"")</f>
        <v>2366000</v>
      </c>
      <c r="F705" s="179">
        <f>+SUMIFS(FINANCIACION[$ CAPITAL],FINANCIACION[Fecha],"&lt;="&amp;FINANCIACION[[#This Row],[Fecha]],FINANCIACION[PRESTAMO],FINANCIACION[[#This Row],[PRESTAMO]])</f>
        <v>-75546115.409999996</v>
      </c>
      <c r="G705" s="179"/>
      <c r="I705" s="185"/>
      <c r="J705" s="179">
        <f>+IF(FINANCIACION[[#This Row],[$ CAPITAL]]&gt;0,FINANCIACION[[#This Row],[$ CAPITAL]])</f>
        <v>1481481.48</v>
      </c>
      <c r="K705" s="186">
        <f>+IF(FINANCIACION[[#This Row],[$ CAPITAL]]&gt;=0,FINANCIACION[[#This Row],[$ CAPITAL]]+FINANCIACION[[#This Row],[$ INTERESES]],0)</f>
        <v>2366000</v>
      </c>
    </row>
    <row r="706" spans="1:11" ht="24" hidden="1" customHeight="1" x14ac:dyDescent="0.25">
      <c r="A706" s="177">
        <v>44830</v>
      </c>
      <c r="B706" s="184" t="s">
        <v>1420</v>
      </c>
      <c r="C706" s="179">
        <v>1481481.48</v>
      </c>
      <c r="D706" s="179">
        <v>930667.62</v>
      </c>
      <c r="E706" s="179">
        <f>+IF(FINANCIACION[[#This Row],[$ CAPITAL]]&gt;=0,FINANCIACION[[#This Row],[$ CAPITAL]]+FINANCIACION[[#This Row],[$ INTERESES]],"")</f>
        <v>2412149.1</v>
      </c>
      <c r="F706" s="179">
        <f>+SUMIFS(FINANCIACION[$ CAPITAL],FINANCIACION[Fecha],"&lt;="&amp;FINANCIACION[[#This Row],[Fecha]],FINANCIACION[PRESTAMO],FINANCIACION[[#This Row],[PRESTAMO]])</f>
        <v>-74064633.929999992</v>
      </c>
      <c r="G706" s="179"/>
      <c r="I706" s="185"/>
      <c r="J706" s="179">
        <f>+IF(FINANCIACION[[#This Row],[$ CAPITAL]]&gt;0,FINANCIACION[[#This Row],[$ CAPITAL]])</f>
        <v>1481481.48</v>
      </c>
      <c r="K706" s="186">
        <f>+IF(FINANCIACION[[#This Row],[$ CAPITAL]]&gt;=0,FINANCIACION[[#This Row],[$ CAPITAL]]+FINANCIACION[[#This Row],[$ INTERESES]],0)</f>
        <v>2412149.1</v>
      </c>
    </row>
    <row r="707" spans="1:11" ht="24" hidden="1" customHeight="1" x14ac:dyDescent="0.25">
      <c r="A707" s="177">
        <v>44859</v>
      </c>
      <c r="B707" s="184" t="s">
        <v>1420</v>
      </c>
      <c r="C707" s="179">
        <v>1481481.48</v>
      </c>
      <c r="D707" s="179">
        <v>926400.64</v>
      </c>
      <c r="E707" s="179">
        <f>+IF(FINANCIACION[[#This Row],[$ CAPITAL]]&gt;=0,FINANCIACION[[#This Row],[$ CAPITAL]]+FINANCIACION[[#This Row],[$ INTERESES]],"")</f>
        <v>2407882.12</v>
      </c>
      <c r="F707" s="179">
        <f>+SUMIFS(FINANCIACION[$ CAPITAL],FINANCIACION[Fecha],"&lt;="&amp;FINANCIACION[[#This Row],[Fecha]],FINANCIACION[PRESTAMO],FINANCIACION[[#This Row],[PRESTAMO]])</f>
        <v>-72583152.449999988</v>
      </c>
      <c r="G707" s="179"/>
      <c r="I707" s="185"/>
      <c r="J707" s="179">
        <f>+IF(FINANCIACION[[#This Row],[$ CAPITAL]]&gt;0,FINANCIACION[[#This Row],[$ CAPITAL]])</f>
        <v>1481481.48</v>
      </c>
      <c r="K707" s="186">
        <f>+IF(FINANCIACION[[#This Row],[$ CAPITAL]]&gt;=0,FINANCIACION[[#This Row],[$ CAPITAL]]+FINANCIACION[[#This Row],[$ INTERESES]],0)</f>
        <v>2407882.12</v>
      </c>
    </row>
    <row r="708" spans="1:11" ht="24" hidden="1" customHeight="1" x14ac:dyDescent="0.25">
      <c r="A708" s="177">
        <v>44890</v>
      </c>
      <c r="B708" s="184" t="s">
        <v>1420</v>
      </c>
      <c r="C708" s="179">
        <v>1481314</v>
      </c>
      <c r="D708" s="179">
        <v>944686</v>
      </c>
      <c r="E708" s="179">
        <f>+IF(FINANCIACION[[#This Row],[$ CAPITAL]]&gt;=0,FINANCIACION[[#This Row],[$ CAPITAL]]+FINANCIACION[[#This Row],[$ INTERESES]],"")</f>
        <v>2426000</v>
      </c>
      <c r="F708" s="179">
        <f>+SUMIFS(FINANCIACION[$ CAPITAL],FINANCIACION[Fecha],"&lt;="&amp;FINANCIACION[[#This Row],[Fecha]],FINANCIACION[PRESTAMO],FINANCIACION[[#This Row],[PRESTAMO]])</f>
        <v>-71101838.449999988</v>
      </c>
      <c r="G708" s="179"/>
      <c r="I708" s="185"/>
      <c r="J708" s="179">
        <f>+IF(FINANCIACION[[#This Row],[$ CAPITAL]]&gt;0,FINANCIACION[[#This Row],[$ CAPITAL]])</f>
        <v>1481314</v>
      </c>
      <c r="K708" s="186">
        <f>+IF(FINANCIACION[[#This Row],[$ CAPITAL]]&gt;=0,FINANCIACION[[#This Row],[$ CAPITAL]]+FINANCIACION[[#This Row],[$ INTERESES]],0)</f>
        <v>2426000</v>
      </c>
    </row>
    <row r="709" spans="1:11" ht="24" hidden="1" customHeight="1" x14ac:dyDescent="0.25">
      <c r="A709" s="177">
        <v>44918</v>
      </c>
      <c r="B709" s="184" t="s">
        <v>1420</v>
      </c>
      <c r="C709" s="179">
        <v>1536477</v>
      </c>
      <c r="D709" s="179">
        <v>932563</v>
      </c>
      <c r="E709" s="179">
        <f>+IF(FINANCIACION[[#This Row],[$ CAPITAL]]&gt;=0,FINANCIACION[[#This Row],[$ CAPITAL]]+FINANCIACION[[#This Row],[$ INTERESES]],"")</f>
        <v>2469040</v>
      </c>
      <c r="F709" s="179">
        <f>+SUMIFS(FINANCIACION[$ CAPITAL],FINANCIACION[Fecha],"&lt;="&amp;FINANCIACION[[#This Row],[Fecha]],FINANCIACION[PRESTAMO],FINANCIACION[[#This Row],[PRESTAMO]])</f>
        <v>-69565361.449999988</v>
      </c>
      <c r="G709" s="179"/>
      <c r="I709" s="185"/>
      <c r="J709" s="179">
        <f>+IF(FINANCIACION[[#This Row],[$ CAPITAL]]&gt;0,FINANCIACION[[#This Row],[$ CAPITAL]])</f>
        <v>1536477</v>
      </c>
      <c r="K709" s="186">
        <f>+IF(FINANCIACION[[#This Row],[$ CAPITAL]]&gt;=0,FINANCIACION[[#This Row],[$ CAPITAL]]+FINANCIACION[[#This Row],[$ INTERESES]],0)</f>
        <v>2469040</v>
      </c>
    </row>
    <row r="710" spans="1:11" ht="24" hidden="1" customHeight="1" x14ac:dyDescent="0.25">
      <c r="A710" s="177">
        <v>44949</v>
      </c>
      <c r="B710" s="184" t="s">
        <v>1420</v>
      </c>
      <c r="C710" s="179">
        <v>1481481</v>
      </c>
      <c r="D710" s="179">
        <v>985519</v>
      </c>
      <c r="E710" s="179">
        <f>+IF(FINANCIACION[[#This Row],[$ CAPITAL]]&gt;=0,FINANCIACION[[#This Row],[$ CAPITAL]]+FINANCIACION[[#This Row],[$ INTERESES]],"")</f>
        <v>2467000</v>
      </c>
      <c r="F710" s="179">
        <f>+SUMIFS(FINANCIACION[$ CAPITAL],FINANCIACION[Fecha],"&lt;="&amp;FINANCIACION[[#This Row],[Fecha]],FINANCIACION[PRESTAMO],FINANCIACION[[#This Row],[PRESTAMO]])</f>
        <v>-68083880.449999988</v>
      </c>
      <c r="G710" s="179"/>
      <c r="I710" s="185"/>
      <c r="J710" s="179">
        <f>+IF(FINANCIACION[[#This Row],[$ CAPITAL]]&gt;0,FINANCIACION[[#This Row],[$ CAPITAL]])</f>
        <v>1481481</v>
      </c>
      <c r="K710" s="186">
        <f>+IF(FINANCIACION[[#This Row],[$ CAPITAL]]&gt;=0,FINANCIACION[[#This Row],[$ CAPITAL]]+FINANCIACION[[#This Row],[$ INTERESES]],0)</f>
        <v>2467000</v>
      </c>
    </row>
    <row r="711" spans="1:11" ht="24" hidden="1" customHeight="1" x14ac:dyDescent="0.25">
      <c r="A711" s="177">
        <v>44984</v>
      </c>
      <c r="B711" s="184" t="s">
        <v>1420</v>
      </c>
      <c r="C711" s="179">
        <v>1481481</v>
      </c>
      <c r="D711" s="179">
        <v>1008519</v>
      </c>
      <c r="E711" s="179">
        <f>+IF(FINANCIACION[[#This Row],[$ CAPITAL]]&gt;=0,FINANCIACION[[#This Row],[$ CAPITAL]]+FINANCIACION[[#This Row],[$ INTERESES]],"")</f>
        <v>2490000</v>
      </c>
      <c r="F711" s="179">
        <f>+SUMIFS(FINANCIACION[$ CAPITAL],FINANCIACION[Fecha],"&lt;="&amp;FINANCIACION[[#This Row],[Fecha]],FINANCIACION[PRESTAMO],FINANCIACION[[#This Row],[PRESTAMO]])</f>
        <v>-66602399.449999988</v>
      </c>
      <c r="G711" s="179"/>
      <c r="I711" s="185"/>
      <c r="J711" s="179">
        <f>+IF(FINANCIACION[[#This Row],[$ CAPITAL]]&gt;0,FINANCIACION[[#This Row],[$ CAPITAL]])</f>
        <v>1481481</v>
      </c>
      <c r="K711" s="186">
        <f>+IF(FINANCIACION[[#This Row],[$ CAPITAL]]&gt;=0,FINANCIACION[[#This Row],[$ CAPITAL]]+FINANCIACION[[#This Row],[$ INTERESES]],0)</f>
        <v>2490000</v>
      </c>
    </row>
    <row r="712" spans="1:11" ht="24" hidden="1" customHeight="1" x14ac:dyDescent="0.25">
      <c r="A712" s="177">
        <v>45012</v>
      </c>
      <c r="B712" s="184" t="s">
        <v>1420</v>
      </c>
      <c r="C712" s="179">
        <v>1481000</v>
      </c>
      <c r="D712" s="179">
        <v>1009000</v>
      </c>
      <c r="E712" s="179">
        <f>+IF(FINANCIACION[[#This Row],[$ CAPITAL]]&gt;=0,FINANCIACION[[#This Row],[$ CAPITAL]]+FINANCIACION[[#This Row],[$ INTERESES]],"")</f>
        <v>2490000</v>
      </c>
      <c r="F712" s="179">
        <f>+SUMIFS(FINANCIACION[$ CAPITAL],FINANCIACION[Fecha],"&lt;="&amp;FINANCIACION[[#This Row],[Fecha]],FINANCIACION[PRESTAMO],FINANCIACION[[#This Row],[PRESTAMO]])</f>
        <v>-65121399.449999988</v>
      </c>
      <c r="G712" s="179"/>
      <c r="I712" s="185"/>
      <c r="J712" s="179">
        <f>+IF(FINANCIACION[[#This Row],[$ CAPITAL]]&gt;0,FINANCIACION[[#This Row],[$ CAPITAL]])</f>
        <v>1481000</v>
      </c>
      <c r="K712" s="186">
        <f>+IF(FINANCIACION[[#This Row],[$ CAPITAL]]&gt;=0,FINANCIACION[[#This Row],[$ CAPITAL]]+FINANCIACION[[#This Row],[$ INTERESES]],0)</f>
        <v>2490000</v>
      </c>
    </row>
    <row r="713" spans="1:11" ht="24" hidden="1" customHeight="1" x14ac:dyDescent="0.25">
      <c r="A713" s="177">
        <v>45041</v>
      </c>
      <c r="B713" s="184" t="s">
        <v>1420</v>
      </c>
      <c r="C713" s="179">
        <v>1481481</v>
      </c>
      <c r="D713" s="179">
        <v>933519</v>
      </c>
      <c r="E713" s="179">
        <f>+IF(FINANCIACION[[#This Row],[$ CAPITAL]]&gt;=0,FINANCIACION[[#This Row],[$ CAPITAL]]+FINANCIACION[[#This Row],[$ INTERESES]],"")</f>
        <v>2415000</v>
      </c>
      <c r="F713" s="179">
        <f>+SUMIFS(FINANCIACION[$ CAPITAL],FINANCIACION[Fecha],"&lt;="&amp;FINANCIACION[[#This Row],[Fecha]],FINANCIACION[PRESTAMO],FINANCIACION[[#This Row],[PRESTAMO]])</f>
        <v>-63639918.449999988</v>
      </c>
      <c r="G713" s="179"/>
      <c r="I713" s="185"/>
      <c r="J713" s="179">
        <f>+IF(FINANCIACION[[#This Row],[$ CAPITAL]]&gt;0,FINANCIACION[[#This Row],[$ CAPITAL]])</f>
        <v>1481481</v>
      </c>
      <c r="K713" s="186">
        <f>+IF(FINANCIACION[[#This Row],[$ CAPITAL]]&gt;=0,FINANCIACION[[#This Row],[$ CAPITAL]]+FINANCIACION[[#This Row],[$ INTERESES]],0)</f>
        <v>2415000</v>
      </c>
    </row>
    <row r="714" spans="1:11" ht="24" hidden="1" customHeight="1" x14ac:dyDescent="0.25">
      <c r="A714" s="177">
        <v>45071</v>
      </c>
      <c r="B714" s="184" t="s">
        <v>1420</v>
      </c>
      <c r="C714" s="179">
        <v>1481000</v>
      </c>
      <c r="D714" s="179">
        <v>873000</v>
      </c>
      <c r="E714" s="179">
        <f>+IF(FINANCIACION[[#This Row],[$ CAPITAL]]&gt;=0,FINANCIACION[[#This Row],[$ CAPITAL]]+FINANCIACION[[#This Row],[$ INTERESES]],"")</f>
        <v>2354000</v>
      </c>
      <c r="F714" s="179">
        <f>+SUMIFS(FINANCIACION[$ CAPITAL],FINANCIACION[Fecha],"&lt;="&amp;FINANCIACION[[#This Row],[Fecha]],FINANCIACION[PRESTAMO],FINANCIACION[[#This Row],[PRESTAMO]])</f>
        <v>-62158918.449999988</v>
      </c>
      <c r="G714" s="179"/>
      <c r="I714" s="185"/>
      <c r="J714" s="179">
        <f>+IF(FINANCIACION[[#This Row],[$ CAPITAL]]&gt;0,FINANCIACION[[#This Row],[$ CAPITAL]])</f>
        <v>1481000</v>
      </c>
      <c r="K714" s="186">
        <f>+IF(FINANCIACION[[#This Row],[$ CAPITAL]]&gt;=0,FINANCIACION[[#This Row],[$ CAPITAL]]+FINANCIACION[[#This Row],[$ INTERESES]],0)</f>
        <v>2354000</v>
      </c>
    </row>
    <row r="715" spans="1:11" ht="24" hidden="1" customHeight="1" x14ac:dyDescent="0.25">
      <c r="A715" s="177">
        <v>45103</v>
      </c>
      <c r="B715" s="184" t="s">
        <v>1420</v>
      </c>
      <c r="C715" s="179">
        <v>1481481</v>
      </c>
      <c r="D715" s="179">
        <v>852113</v>
      </c>
      <c r="E715" s="179">
        <f>+IF(FINANCIACION[[#This Row],[$ CAPITAL]]&gt;=0,FINANCIACION[[#This Row],[$ CAPITAL]]+FINANCIACION[[#This Row],[$ INTERESES]],"")</f>
        <v>2333594</v>
      </c>
      <c r="F715" s="179">
        <f>+SUMIFS(FINANCIACION[$ CAPITAL],FINANCIACION[Fecha],"&lt;="&amp;FINANCIACION[[#This Row],[Fecha]],FINANCIACION[PRESTAMO],FINANCIACION[[#This Row],[PRESTAMO]])</f>
        <v>-60677437.449999988</v>
      </c>
      <c r="G715" s="179"/>
      <c r="I715" s="185"/>
      <c r="J715" s="179">
        <f>+IF(FINANCIACION[[#This Row],[$ CAPITAL]]&gt;0,FINANCIACION[[#This Row],[$ CAPITAL]])</f>
        <v>1481481</v>
      </c>
      <c r="K715" s="186">
        <f>+IF(FINANCIACION[[#This Row],[$ CAPITAL]]&gt;=0,FINANCIACION[[#This Row],[$ CAPITAL]]+FINANCIACION[[#This Row],[$ INTERESES]],0)</f>
        <v>2333594</v>
      </c>
    </row>
    <row r="716" spans="1:11" ht="24" hidden="1" customHeight="1" x14ac:dyDescent="0.25">
      <c r="A716" s="177">
        <v>45107</v>
      </c>
      <c r="B716" s="184" t="s">
        <v>1420</v>
      </c>
      <c r="C716" s="179">
        <v>-172263</v>
      </c>
      <c r="D716" s="179"/>
      <c r="E716" s="179" t="str">
        <f>+IF(FINANCIACION[[#This Row],[$ CAPITAL]]&gt;=0,FINANCIACION[[#This Row],[$ CAPITAL]]+FINANCIACION[[#This Row],[$ INTERESES]],"")</f>
        <v/>
      </c>
      <c r="F716" s="179">
        <f>+SUMIFS(FINANCIACION[$ CAPITAL],FINANCIACION[Fecha],"&lt;="&amp;FINANCIACION[[#This Row],[Fecha]],FINANCIACION[PRESTAMO],FINANCIACION[[#This Row],[PRESTAMO]])</f>
        <v>-60849700.449999988</v>
      </c>
      <c r="G716" s="179"/>
      <c r="I716" s="185"/>
      <c r="J716" s="179" t="b">
        <f>+IF(FINANCIACION[[#This Row],[$ CAPITAL]]&gt;0,FINANCIACION[[#This Row],[$ CAPITAL]])</f>
        <v>0</v>
      </c>
      <c r="K716" s="186">
        <f>+IF(FINANCIACION[[#This Row],[$ CAPITAL]]&gt;=0,FINANCIACION[[#This Row],[$ CAPITAL]]+FINANCIACION[[#This Row],[$ INTERESES]],0)</f>
        <v>0</v>
      </c>
    </row>
    <row r="717" spans="1:11" ht="24" hidden="1" customHeight="1" x14ac:dyDescent="0.25">
      <c r="A717" s="177">
        <v>45131</v>
      </c>
      <c r="B717" s="184" t="s">
        <v>1420</v>
      </c>
      <c r="C717" s="179">
        <v>1481482</v>
      </c>
      <c r="D717" s="179">
        <v>862214</v>
      </c>
      <c r="E717" s="179">
        <f>+IF(FINANCIACION[[#This Row],[$ CAPITAL]]&gt;=0,FINANCIACION[[#This Row],[$ CAPITAL]]+FINANCIACION[[#This Row],[$ INTERESES]],"")</f>
        <v>2343696</v>
      </c>
      <c r="F717" s="179">
        <f>+SUMIFS(FINANCIACION[$ CAPITAL],FINANCIACION[Fecha],"&lt;="&amp;FINANCIACION[[#This Row],[Fecha]],FINANCIACION[PRESTAMO],FINANCIACION[[#This Row],[PRESTAMO]])</f>
        <v>-59368218.449999988</v>
      </c>
      <c r="G717" s="179"/>
      <c r="I717" s="185"/>
      <c r="J717" s="179">
        <f>+IF(FINANCIACION[[#This Row],[$ CAPITAL]]&gt;0,FINANCIACION[[#This Row],[$ CAPITAL]])</f>
        <v>1481482</v>
      </c>
      <c r="K717" s="186">
        <f>+IF(FINANCIACION[[#This Row],[$ CAPITAL]]&gt;=0,FINANCIACION[[#This Row],[$ CAPITAL]]+FINANCIACION[[#This Row],[$ INTERESES]],0)</f>
        <v>2343696</v>
      </c>
    </row>
    <row r="718" spans="1:11" ht="24" hidden="1" customHeight="1" x14ac:dyDescent="0.25">
      <c r="A718" s="177">
        <v>45163</v>
      </c>
      <c r="B718" s="184" t="s">
        <v>1420</v>
      </c>
      <c r="C718" s="179">
        <v>1481481</v>
      </c>
      <c r="D718" s="179">
        <v>860568</v>
      </c>
      <c r="E718" s="179">
        <f>+IF(FINANCIACION[[#This Row],[$ CAPITAL]]&gt;=0,FINANCIACION[[#This Row],[$ CAPITAL]]+FINANCIACION[[#This Row],[$ INTERESES]],"")</f>
        <v>2342049</v>
      </c>
      <c r="F718" s="179">
        <f>+SUMIFS(FINANCIACION[$ CAPITAL],FINANCIACION[Fecha],"&lt;="&amp;FINANCIACION[[#This Row],[Fecha]],FINANCIACION[PRESTAMO],FINANCIACION[[#This Row],[PRESTAMO]])</f>
        <v>-57886737.449999988</v>
      </c>
      <c r="G718" s="179"/>
      <c r="I718" s="185"/>
      <c r="J718" s="179">
        <f>+IF(FINANCIACION[[#This Row],[$ CAPITAL]]&gt;0,FINANCIACION[[#This Row],[$ CAPITAL]])</f>
        <v>1481481</v>
      </c>
      <c r="K718" s="186">
        <f>+IF(FINANCIACION[[#This Row],[$ CAPITAL]]&gt;=0,FINANCIACION[[#This Row],[$ CAPITAL]]+FINANCIACION[[#This Row],[$ INTERESES]],0)</f>
        <v>2342049</v>
      </c>
    </row>
    <row r="719" spans="1:11" ht="24" hidden="1" customHeight="1" x14ac:dyDescent="0.25">
      <c r="A719" s="177">
        <v>45194</v>
      </c>
      <c r="B719" s="184" t="s">
        <v>1420</v>
      </c>
      <c r="C719" s="179">
        <v>1481481</v>
      </c>
      <c r="D719" s="179">
        <v>853352</v>
      </c>
      <c r="E719" s="179">
        <f>+IF(FINANCIACION[[#This Row],[$ CAPITAL]]&gt;=0,FINANCIACION[[#This Row],[$ CAPITAL]]+FINANCIACION[[#This Row],[$ INTERESES]],"")</f>
        <v>2334833</v>
      </c>
      <c r="F719" s="179">
        <f>+SUMIFS(FINANCIACION[$ CAPITAL],FINANCIACION[Fecha],"&lt;="&amp;FINANCIACION[[#This Row],[Fecha]],FINANCIACION[PRESTAMO],FINANCIACION[[#This Row],[PRESTAMO]])</f>
        <v>-56405256.449999988</v>
      </c>
      <c r="G719" s="179"/>
      <c r="I719" s="185"/>
      <c r="J719" s="179">
        <f>+IF(FINANCIACION[[#This Row],[$ CAPITAL]]&gt;0,FINANCIACION[[#This Row],[$ CAPITAL]])</f>
        <v>1481481</v>
      </c>
      <c r="K719" s="186">
        <f>+IF(FINANCIACION[[#This Row],[$ CAPITAL]]&gt;=0,FINANCIACION[[#This Row],[$ CAPITAL]]+FINANCIACION[[#This Row],[$ INTERESES]],0)</f>
        <v>2334833</v>
      </c>
    </row>
    <row r="720" spans="1:11" ht="24" hidden="1" customHeight="1" x14ac:dyDescent="0.25">
      <c r="A720" s="177">
        <v>45223</v>
      </c>
      <c r="B720" s="184" t="s">
        <v>1420</v>
      </c>
      <c r="C720" s="179">
        <v>1482234</v>
      </c>
      <c r="D720" s="179">
        <v>797766</v>
      </c>
      <c r="E720" s="179">
        <f>+IF(FINANCIACION[[#This Row],[$ CAPITAL]]&gt;=0,FINANCIACION[[#This Row],[$ CAPITAL]]+FINANCIACION[[#This Row],[$ INTERESES]],"")</f>
        <v>2280000</v>
      </c>
      <c r="F720" s="179">
        <f>+SUMIFS(FINANCIACION[$ CAPITAL],FINANCIACION[Fecha],"&lt;="&amp;FINANCIACION[[#This Row],[Fecha]],FINANCIACION[PRESTAMO],FINANCIACION[[#This Row],[PRESTAMO]])</f>
        <v>-54923022.449999988</v>
      </c>
      <c r="G720" s="179"/>
      <c r="I720" s="185"/>
      <c r="J720" s="179">
        <f>+IF(FINANCIACION[[#This Row],[$ CAPITAL]]&gt;0,FINANCIACION[[#This Row],[$ CAPITAL]])</f>
        <v>1482234</v>
      </c>
      <c r="K720" s="186">
        <f>+IF(FINANCIACION[[#This Row],[$ CAPITAL]]&gt;=0,FINANCIACION[[#This Row],[$ CAPITAL]]+FINANCIACION[[#This Row],[$ INTERESES]],0)</f>
        <v>2280000</v>
      </c>
    </row>
    <row r="721" spans="1:11" ht="24" hidden="1" customHeight="1" x14ac:dyDescent="0.25">
      <c r="A721" s="177">
        <v>45257</v>
      </c>
      <c r="B721" s="184" t="s">
        <v>1420</v>
      </c>
      <c r="C721" s="179">
        <v>1481481</v>
      </c>
      <c r="D721" s="179">
        <v>777519</v>
      </c>
      <c r="E721" s="179">
        <f>+IF(FINANCIACION[[#This Row],[$ CAPITAL]]&gt;=0,FINANCIACION[[#This Row],[$ CAPITAL]]+FINANCIACION[[#This Row],[$ INTERESES]],"")</f>
        <v>2259000</v>
      </c>
      <c r="F721" s="179">
        <f>+SUMIFS(FINANCIACION[$ CAPITAL],FINANCIACION[Fecha],"&lt;="&amp;FINANCIACION[[#This Row],[Fecha]],FINANCIACION[PRESTAMO],FINANCIACION[[#This Row],[PRESTAMO]])</f>
        <v>-53441541.449999988</v>
      </c>
      <c r="G721" s="179"/>
      <c r="I721" s="185"/>
      <c r="J721" s="179">
        <f>+IF(FINANCIACION[[#This Row],[$ CAPITAL]]&gt;0,FINANCIACION[[#This Row],[$ CAPITAL]])</f>
        <v>1481481</v>
      </c>
      <c r="K721" s="186">
        <f>+IF(FINANCIACION[[#This Row],[$ CAPITAL]]&gt;=0,FINANCIACION[[#This Row],[$ CAPITAL]]+FINANCIACION[[#This Row],[$ INTERESES]],0)</f>
        <v>2259000</v>
      </c>
    </row>
    <row r="722" spans="1:11" ht="24" hidden="1" customHeight="1" x14ac:dyDescent="0.25">
      <c r="A722" s="177">
        <v>45286</v>
      </c>
      <c r="B722" s="184" t="s">
        <v>1420</v>
      </c>
      <c r="C722" s="179">
        <v>1484481</v>
      </c>
      <c r="D722" s="179">
        <v>744678</v>
      </c>
      <c r="E722" s="179">
        <f>+IF(FINANCIACION[[#This Row],[$ CAPITAL]]&gt;=0,FINANCIACION[[#This Row],[$ CAPITAL]]+FINANCIACION[[#This Row],[$ INTERESES]],"")</f>
        <v>2229159</v>
      </c>
      <c r="F722" s="179">
        <f>+SUMIFS(FINANCIACION[$ CAPITAL],FINANCIACION[Fecha],"&lt;="&amp;FINANCIACION[[#This Row],[Fecha]],FINANCIACION[PRESTAMO],FINANCIACION[[#This Row],[PRESTAMO]])</f>
        <v>-51957060.449999988</v>
      </c>
      <c r="G722" s="179"/>
      <c r="I722" s="185"/>
      <c r="J722" s="179">
        <f>+IF(FINANCIACION[[#This Row],[$ CAPITAL]]&gt;0,FINANCIACION[[#This Row],[$ CAPITAL]])</f>
        <v>1484481</v>
      </c>
      <c r="K722" s="186">
        <f>+IF(FINANCIACION[[#This Row],[$ CAPITAL]]&gt;=0,FINANCIACION[[#This Row],[$ CAPITAL]]+FINANCIACION[[#This Row],[$ INTERESES]],0)</f>
        <v>2229159</v>
      </c>
    </row>
    <row r="723" spans="1:11" ht="24" hidden="1" customHeight="1" x14ac:dyDescent="0.25">
      <c r="A723" s="177">
        <v>45300</v>
      </c>
      <c r="B723" s="184" t="s">
        <v>607</v>
      </c>
      <c r="C723" s="179">
        <v>1889477</v>
      </c>
      <c r="D723" s="179">
        <v>70929</v>
      </c>
      <c r="E723" s="179">
        <f>+IF(FINANCIACION[[#This Row],[$ CAPITAL]]&gt;=0,FINANCIACION[[#This Row],[$ CAPITAL]]+FINANCIACION[[#This Row],[$ INTERESES]],"")</f>
        <v>1960406</v>
      </c>
      <c r="F723" s="179">
        <f>+SUMIFS(FINANCIACION[$ CAPITAL],FINANCIACION[Fecha],"&lt;="&amp;FINANCIACION[[#This Row],[Fecha]],FINANCIACION[PRESTAMO],FINANCIACION[[#This Row],[PRESTAMO]])</f>
        <v>-1889477</v>
      </c>
      <c r="G723" s="82"/>
      <c r="I723" s="185"/>
      <c r="J723" s="179">
        <f>+IF(FINANCIACION[[#This Row],[$ CAPITAL]]&gt;0,FINANCIACION[[#This Row],[$ CAPITAL]])</f>
        <v>1889477</v>
      </c>
      <c r="K723" s="186">
        <f>+IF(FINANCIACION[[#This Row],[$ CAPITAL]]&gt;=0,FINANCIACION[[#This Row],[$ CAPITAL]]+FINANCIACION[[#This Row],[$ INTERESES]],0)</f>
        <v>1960406</v>
      </c>
    </row>
    <row r="724" spans="1:11" ht="24" hidden="1" customHeight="1" x14ac:dyDescent="0.25">
      <c r="A724" s="177">
        <v>45301</v>
      </c>
      <c r="B724" s="184" t="s">
        <v>507</v>
      </c>
      <c r="C724" s="179">
        <v>79613625</v>
      </c>
      <c r="D724" s="179"/>
      <c r="E724" s="179">
        <f>+IF(FINANCIACION[[#This Row],[$ CAPITAL]]&gt;=0,FINANCIACION[[#This Row],[$ CAPITAL]]+FINANCIACION[[#This Row],[$ INTERESES]],"")</f>
        <v>79613625</v>
      </c>
      <c r="F724" s="179">
        <f>+SUMIFS(FINANCIACION[$ CAPITAL],FINANCIACION[Fecha],"&lt;="&amp;FINANCIACION[[#This Row],[Fecha]],FINANCIACION[PRESTAMO],FINANCIACION[[#This Row],[PRESTAMO]])</f>
        <v>0</v>
      </c>
      <c r="G724" s="179"/>
      <c r="I724" s="185"/>
      <c r="J724" s="179">
        <f>+IF(FINANCIACION[[#This Row],[$ CAPITAL]]&gt;0,FINANCIACION[[#This Row],[$ CAPITAL]])</f>
        <v>79613625</v>
      </c>
      <c r="K724" s="186">
        <f>+IF(FINANCIACION[[#This Row],[$ CAPITAL]]&gt;=0,FINANCIACION[[#This Row],[$ CAPITAL]]+FINANCIACION[[#This Row],[$ INTERESES]],0)</f>
        <v>79613625</v>
      </c>
    </row>
    <row r="725" spans="1:11" ht="24" hidden="1" customHeight="1" x14ac:dyDescent="0.25">
      <c r="A725" s="177">
        <v>45301</v>
      </c>
      <c r="B725" s="184" t="s">
        <v>507</v>
      </c>
      <c r="C725" s="179">
        <v>5211375</v>
      </c>
      <c r="D725" s="179"/>
      <c r="E725" s="179">
        <f>+IF(FINANCIACION[[#This Row],[$ CAPITAL]]&gt;=0,FINANCIACION[[#This Row],[$ CAPITAL]]+FINANCIACION[[#This Row],[$ INTERESES]],"")</f>
        <v>5211375</v>
      </c>
      <c r="F725" s="179">
        <f>+SUMIFS(FINANCIACION[$ CAPITAL],FINANCIACION[Fecha],"&lt;="&amp;FINANCIACION[[#This Row],[Fecha]],FINANCIACION[PRESTAMO],FINANCIACION[[#This Row],[PRESTAMO]])</f>
        <v>0</v>
      </c>
      <c r="G725" s="179"/>
      <c r="H725" s="185" t="s">
        <v>1472</v>
      </c>
      <c r="I725" s="185"/>
      <c r="J725" s="179">
        <f>+IF(FINANCIACION[[#This Row],[$ CAPITAL]]&gt;0,FINANCIACION[[#This Row],[$ CAPITAL]])</f>
        <v>5211375</v>
      </c>
      <c r="K725" s="186">
        <f>+IF(FINANCIACION[[#This Row],[$ CAPITAL]]&gt;=0,FINANCIACION[[#This Row],[$ CAPITAL]]+FINANCIACION[[#This Row],[$ INTERESES]],0)</f>
        <v>5211375</v>
      </c>
    </row>
    <row r="726" spans="1:11" ht="24" hidden="1" customHeight="1" x14ac:dyDescent="0.25">
      <c r="A726" s="177">
        <v>45310</v>
      </c>
      <c r="B726" s="184" t="s">
        <v>1470</v>
      </c>
      <c r="C726" s="179">
        <f>-24518.81*3910</f>
        <v>-95868547.100000009</v>
      </c>
      <c r="D726" s="179"/>
      <c r="E726" s="179" t="str">
        <f>+IF(FINANCIACION[[#This Row],[$ CAPITAL]]&gt;=0,FINANCIACION[[#This Row],[$ CAPITAL]]+FINANCIACION[[#This Row],[$ INTERESES]],"")</f>
        <v/>
      </c>
      <c r="F726" s="179">
        <f>+SUMIFS(FINANCIACION[$ CAPITAL],FINANCIACION[Fecha],"&lt;="&amp;FINANCIACION[[#This Row],[Fecha]],FINANCIACION[PRESTAMO],FINANCIACION[[#This Row],[PRESTAMO]])</f>
        <v>-95868547.100000009</v>
      </c>
      <c r="G726" s="179"/>
      <c r="H726" s="185" t="s">
        <v>1471</v>
      </c>
      <c r="I726" s="185">
        <v>-24518.81</v>
      </c>
      <c r="J726" s="179" t="b">
        <f>+IF(FINANCIACION[[#This Row],[$ CAPITAL]]&gt;0,FINANCIACION[[#This Row],[$ CAPITAL]])</f>
        <v>0</v>
      </c>
      <c r="K726" s="186">
        <f>+IF(FINANCIACION[[#This Row],[$ CAPITAL]]&gt;=0,FINANCIACION[[#This Row],[$ CAPITAL]]+FINANCIACION[[#This Row],[$ INTERESES]],0)</f>
        <v>0</v>
      </c>
    </row>
    <row r="727" spans="1:11" ht="24" hidden="1" customHeight="1" x14ac:dyDescent="0.25">
      <c r="A727" s="177">
        <v>45310</v>
      </c>
      <c r="B727" s="184" t="s">
        <v>1291</v>
      </c>
      <c r="C727" s="179">
        <v>2778000</v>
      </c>
      <c r="D727" s="179">
        <f>4369385.23-FINANCIACION[[#This Row],[$ CAPITAL]]</f>
        <v>1591385.2300000004</v>
      </c>
      <c r="E727" s="179">
        <f>+IF(FINANCIACION[[#This Row],[$ CAPITAL]]&gt;=0,FINANCIACION[[#This Row],[$ CAPITAL]]+FINANCIACION[[#This Row],[$ INTERESES]],"")</f>
        <v>4369385.2300000004</v>
      </c>
      <c r="F727" s="179">
        <f>+SUMIFS(FINANCIACION[$ CAPITAL],FINANCIACION[Fecha],"&lt;="&amp;FINANCIACION[[#This Row],[Fecha]],FINANCIACION[PRESTAMO],FINANCIACION[[#This Row],[PRESTAMO]])</f>
        <v>-97222000</v>
      </c>
      <c r="G727" s="82"/>
      <c r="I727" s="185"/>
      <c r="J727" s="179">
        <f>+IF(FINANCIACION[[#This Row],[$ CAPITAL]]&gt;0,FINANCIACION[[#This Row],[$ CAPITAL]])</f>
        <v>2778000</v>
      </c>
      <c r="K727" s="186">
        <f>+IF(FINANCIACION[[#This Row],[$ CAPITAL]]&gt;=0,FINANCIACION[[#This Row],[$ CAPITAL]]+FINANCIACION[[#This Row],[$ INTERESES]],0)</f>
        <v>4369385.2300000004</v>
      </c>
    </row>
    <row r="728" spans="1:11" ht="24" hidden="1" customHeight="1" x14ac:dyDescent="0.25">
      <c r="A728" s="177">
        <v>45316</v>
      </c>
      <c r="B728" s="184" t="s">
        <v>1420</v>
      </c>
      <c r="C728" s="179">
        <v>1481481.48</v>
      </c>
      <c r="D728" s="179">
        <v>723518.52</v>
      </c>
      <c r="E728" s="179">
        <f>+IF(FINANCIACION[[#This Row],[$ CAPITAL]]&gt;=0,FINANCIACION[[#This Row],[$ CAPITAL]]+FINANCIACION[[#This Row],[$ INTERESES]],"")</f>
        <v>2205000</v>
      </c>
      <c r="F728" s="179">
        <f>+SUMIFS(FINANCIACION[$ CAPITAL],FINANCIACION[Fecha],"&lt;="&amp;FINANCIACION[[#This Row],[Fecha]],FINANCIACION[PRESTAMO],FINANCIACION[[#This Row],[PRESTAMO]])</f>
        <v>-50475578.969999991</v>
      </c>
      <c r="G728" s="179"/>
      <c r="I728" s="185"/>
      <c r="J728" s="179">
        <f>+IF(FINANCIACION[[#This Row],[$ CAPITAL]]&gt;0,FINANCIACION[[#This Row],[$ CAPITAL]])</f>
        <v>1481481.48</v>
      </c>
      <c r="K728" s="186">
        <f>+IF(FINANCIACION[[#This Row],[$ CAPITAL]]&gt;=0,FINANCIACION[[#This Row],[$ CAPITAL]]+FINANCIACION[[#This Row],[$ INTERESES]],0)</f>
        <v>2205000</v>
      </c>
    </row>
    <row r="729" spans="1:11" ht="24" hidden="1" customHeight="1" x14ac:dyDescent="0.25">
      <c r="A729" s="177">
        <v>45317</v>
      </c>
      <c r="B729" s="184" t="s">
        <v>1420</v>
      </c>
      <c r="C729" s="179">
        <v>1481481.48</v>
      </c>
      <c r="D729" s="179">
        <v>662518.52</v>
      </c>
      <c r="E729" s="179">
        <f>+IF(FINANCIACION[[#This Row],[$ CAPITAL]]&gt;=0,FINANCIACION[[#This Row],[$ CAPITAL]]+FINANCIACION[[#This Row],[$ INTERESES]],"")</f>
        <v>2144000</v>
      </c>
      <c r="F729" s="179">
        <f>+SUMIFS(FINANCIACION[$ CAPITAL],FINANCIACION[Fecha],"&lt;="&amp;FINANCIACION[[#This Row],[Fecha]],FINANCIACION[PRESTAMO],FINANCIACION[[#This Row],[PRESTAMO]])</f>
        <v>-48994097.489999995</v>
      </c>
      <c r="G729" s="179"/>
      <c r="I729" s="185"/>
      <c r="J729" s="179">
        <f>+IF(FINANCIACION[[#This Row],[$ CAPITAL]]&gt;0,FINANCIACION[[#This Row],[$ CAPITAL]])</f>
        <v>1481481.48</v>
      </c>
      <c r="K729" s="186">
        <f>+IF(FINANCIACION[[#This Row],[$ CAPITAL]]&gt;=0,FINANCIACION[[#This Row],[$ CAPITAL]]+FINANCIACION[[#This Row],[$ INTERESES]],0)</f>
        <v>2144000</v>
      </c>
    </row>
    <row r="730" spans="1:11" ht="24" hidden="1" customHeight="1" x14ac:dyDescent="0.25">
      <c r="A730" s="177">
        <v>45307</v>
      </c>
      <c r="B730" s="184" t="s">
        <v>608</v>
      </c>
      <c r="C730" s="179">
        <v>-60000000</v>
      </c>
      <c r="D730" s="179"/>
      <c r="E730" s="179" t="str">
        <f>+IF(FINANCIACION[[#This Row],[$ CAPITAL]]&gt;=0,FINANCIACION[[#This Row],[$ CAPITAL]]+FINANCIACION[[#This Row],[$ INTERESES]],"")</f>
        <v/>
      </c>
      <c r="F730" s="179">
        <f>+SUMIFS(FINANCIACION[$ CAPITAL],FINANCIACION[Fecha],"&lt;="&amp;FINANCIACION[[#This Row],[Fecha]],FINANCIACION[PRESTAMO],FINANCIACION[[#This Row],[PRESTAMO]])</f>
        <v>-60000000</v>
      </c>
      <c r="G730" s="82"/>
      <c r="I730" s="185"/>
      <c r="J730" s="179" t="b">
        <f>+IF(FINANCIACION[[#This Row],[$ CAPITAL]]&gt;0,FINANCIACION[[#This Row],[$ CAPITAL]])</f>
        <v>0</v>
      </c>
      <c r="K730" s="186">
        <f>+IF(FINANCIACION[[#This Row],[$ CAPITAL]]&gt;=0,FINANCIACION[[#This Row],[$ CAPITAL]]+FINANCIACION[[#This Row],[$ INTERESES]],0)</f>
        <v>0</v>
      </c>
    </row>
    <row r="731" spans="1:11" ht="24" hidden="1" customHeight="1" x14ac:dyDescent="0.25">
      <c r="A731" s="177">
        <v>45309</v>
      </c>
      <c r="B731" s="184" t="s">
        <v>332</v>
      </c>
      <c r="C731" s="179">
        <v>1369125</v>
      </c>
      <c r="D731" s="179">
        <f>5596012+174929</f>
        <v>5770941</v>
      </c>
      <c r="E731" s="179">
        <f>+IF(FINANCIACION[[#This Row],[$ CAPITAL]]&gt;=0,FINANCIACION[[#This Row],[$ CAPITAL]]+FINANCIACION[[#This Row],[$ INTERESES]],"")</f>
        <v>7140066</v>
      </c>
      <c r="F731" s="179">
        <f>+SUMIFS(FINANCIACION[$ CAPITAL],FINANCIACION[Fecha],"&lt;="&amp;FINANCIACION[[#This Row],[Fecha]],FINANCIACION[PRESTAMO],FINANCIACION[[#This Row],[PRESTAMO]])</f>
        <v>-317455728</v>
      </c>
      <c r="G731" s="82"/>
      <c r="I731" s="185"/>
      <c r="J731" s="179">
        <f>+IF(FINANCIACION[[#This Row],[$ CAPITAL]]&gt;0,FINANCIACION[[#This Row],[$ CAPITAL]])</f>
        <v>1369125</v>
      </c>
      <c r="K731" s="186">
        <f>+IF(FINANCIACION[[#This Row],[$ CAPITAL]]&gt;=0,FINANCIACION[[#This Row],[$ CAPITAL]]+FINANCIACION[[#This Row],[$ INTERESES]],0)</f>
        <v>7140066</v>
      </c>
    </row>
    <row r="732" spans="1:11" ht="24" hidden="1" customHeight="1" x14ac:dyDescent="0.25">
      <c r="A732" s="177">
        <v>45322</v>
      </c>
      <c r="B732" s="184" t="s">
        <v>1417</v>
      </c>
      <c r="C732" s="191">
        <v>-16864000</v>
      </c>
      <c r="D732" s="179"/>
      <c r="E732" s="179" t="str">
        <f>+IF(FINANCIACION[[#This Row],[$ CAPITAL]]&gt;=0,FINANCIACION[[#This Row],[$ CAPITAL]]+FINANCIACION[[#This Row],[$ INTERESES]],"")</f>
        <v/>
      </c>
      <c r="F732" s="179">
        <f>+SUMIFS(FINANCIACION[$ CAPITAL],FINANCIACION[Fecha],"&lt;="&amp;FINANCIACION[[#This Row],[Fecha]],FINANCIACION[PRESTAMO],FINANCIACION[[#This Row],[PRESTAMO]])</f>
        <v>-16864000</v>
      </c>
      <c r="G732" s="179"/>
      <c r="I732" s="185"/>
      <c r="J732" s="179" t="b">
        <f>+IF(FINANCIACION[[#This Row],[$ CAPITAL]]&gt;0,FINANCIACION[[#This Row],[$ CAPITAL]])</f>
        <v>0</v>
      </c>
      <c r="K732" s="186">
        <f>+IF(FINANCIACION[[#This Row],[$ CAPITAL]]&gt;=0,FINANCIACION[[#This Row],[$ CAPITAL]]+FINANCIACION[[#This Row],[$ INTERESES]],0)</f>
        <v>0</v>
      </c>
    </row>
    <row r="733" spans="1:11" ht="24" hidden="1" customHeight="1" x14ac:dyDescent="0.25">
      <c r="A733" s="177">
        <v>45293</v>
      </c>
      <c r="B733" s="184" t="s">
        <v>1419</v>
      </c>
      <c r="C733" s="179">
        <v>115950</v>
      </c>
      <c r="D733" s="179"/>
      <c r="E733" s="179">
        <f>+IF(FINANCIACION[[#This Row],[$ CAPITAL]]&gt;=0,FINANCIACION[[#This Row],[$ CAPITAL]]+FINANCIACION[[#This Row],[$ INTERESES]],"")</f>
        <v>115950</v>
      </c>
      <c r="F733" s="179">
        <f>+SUMIFS(FINANCIACION[$ CAPITAL],FINANCIACION[Fecha],"&lt;="&amp;FINANCIACION[[#This Row],[Fecha]],FINANCIACION[PRESTAMO],FINANCIACION[[#This Row],[PRESTAMO]])</f>
        <v>0</v>
      </c>
      <c r="G733" s="179"/>
      <c r="I733" s="185"/>
      <c r="J733" s="179">
        <f>+IF(FINANCIACION[[#This Row],[$ CAPITAL]]&gt;0,FINANCIACION[[#This Row],[$ CAPITAL]])</f>
        <v>115950</v>
      </c>
      <c r="K733" s="186">
        <f>+IF(FINANCIACION[[#This Row],[$ CAPITAL]]&gt;=0,FINANCIACION[[#This Row],[$ CAPITAL]]+FINANCIACION[[#This Row],[$ INTERESES]],0)</f>
        <v>115950</v>
      </c>
    </row>
    <row r="734" spans="1:11" ht="24" hidden="1" customHeight="1" x14ac:dyDescent="0.25">
      <c r="A734" s="177">
        <v>45323</v>
      </c>
      <c r="B734" s="184" t="s">
        <v>1501</v>
      </c>
      <c r="C734" s="179">
        <v>-50000000</v>
      </c>
      <c r="D734" s="179">
        <f>-1547000-580940</f>
        <v>-2127940</v>
      </c>
      <c r="E734" s="179" t="str">
        <f>+IF(FINANCIACION[[#This Row],[$ CAPITAL]]&gt;=0,FINANCIACION[[#This Row],[$ CAPITAL]]+FINANCIACION[[#This Row],[$ INTERESES]],"")</f>
        <v/>
      </c>
      <c r="F734" s="179">
        <f>+SUMIFS(FINANCIACION[$ CAPITAL],FINANCIACION[Fecha],"&lt;="&amp;FINANCIACION[[#This Row],[Fecha]],FINANCIACION[PRESTAMO],FINANCIACION[[#This Row],[PRESTAMO]])</f>
        <v>-50000000</v>
      </c>
      <c r="G734" s="82"/>
      <c r="I734" s="185"/>
      <c r="J734" s="179" t="b">
        <f>+IF(FINANCIACION[[#This Row],[$ CAPITAL]]&gt;0,FINANCIACION[[#This Row],[$ CAPITAL]])</f>
        <v>0</v>
      </c>
      <c r="K734" s="186">
        <f>+IF(FINANCIACION[[#This Row],[$ CAPITAL]]&gt;=0,FINANCIACION[[#This Row],[$ CAPITAL]]+FINANCIACION[[#This Row],[$ INTERESES]],0)</f>
        <v>0</v>
      </c>
    </row>
    <row r="735" spans="1:11" ht="24" hidden="1" customHeight="1" x14ac:dyDescent="0.25">
      <c r="A735" s="177">
        <v>45322</v>
      </c>
      <c r="B735" s="184" t="s">
        <v>1419</v>
      </c>
      <c r="C735" s="191">
        <v>-707640</v>
      </c>
      <c r="D735" s="179"/>
      <c r="E735" s="179" t="str">
        <f>+IF(FINANCIACION[[#This Row],[$ CAPITAL]]&gt;=0,FINANCIACION[[#This Row],[$ CAPITAL]]+FINANCIACION[[#This Row],[$ INTERESES]],"")</f>
        <v/>
      </c>
      <c r="F735" s="179">
        <f>+SUMIFS(FINANCIACION[$ CAPITAL],FINANCIACION[Fecha],"&lt;="&amp;FINANCIACION[[#This Row],[Fecha]],FINANCIACION[PRESTAMO],FINANCIACION[[#This Row],[PRESTAMO]])</f>
        <v>-707640</v>
      </c>
      <c r="G735" s="179"/>
      <c r="I735" s="185"/>
      <c r="J735" s="179" t="b">
        <f>+IF(FINANCIACION[[#This Row],[$ CAPITAL]]&gt;0,FINANCIACION[[#This Row],[$ CAPITAL]])</f>
        <v>0</v>
      </c>
      <c r="K735" s="186">
        <f>+IF(FINANCIACION[[#This Row],[$ CAPITAL]]&gt;=0,FINANCIACION[[#This Row],[$ CAPITAL]]+FINANCIACION[[#This Row],[$ INTERESES]],0)</f>
        <v>0</v>
      </c>
    </row>
    <row r="736" spans="1:11" ht="24" hidden="1" customHeight="1" x14ac:dyDescent="0.25">
      <c r="A736" s="177">
        <v>45324</v>
      </c>
      <c r="B736" s="184" t="s">
        <v>339</v>
      </c>
      <c r="C736" s="179"/>
      <c r="D736" s="179">
        <v>300000</v>
      </c>
      <c r="E736" s="179">
        <f>+IF(FINANCIACION[[#This Row],[$ CAPITAL]]&gt;=0,FINANCIACION[[#This Row],[$ CAPITAL]]+FINANCIACION[[#This Row],[$ INTERESES]],"")</f>
        <v>300000</v>
      </c>
      <c r="F736" s="179">
        <f>+SUMIFS(FINANCIACION[$ CAPITAL],FINANCIACION[Fecha],"&lt;="&amp;FINANCIACION[[#This Row],[Fecha]],FINANCIACION[PRESTAMO],FINANCIACION[[#This Row],[PRESTAMO]])</f>
        <v>-30000000</v>
      </c>
      <c r="G736" s="179"/>
      <c r="I736" s="185"/>
      <c r="J736" s="179" t="b">
        <f>+IF(FINANCIACION[[#This Row],[$ CAPITAL]]&gt;0,FINANCIACION[[#This Row],[$ CAPITAL]])</f>
        <v>0</v>
      </c>
      <c r="K736" s="186">
        <f>+IF(FINANCIACION[[#This Row],[$ CAPITAL]]&gt;=0,FINANCIACION[[#This Row],[$ CAPITAL]]+FINANCIACION[[#This Row],[$ INTERESES]],0)</f>
        <v>300000</v>
      </c>
    </row>
    <row r="737" spans="1:11" ht="24" hidden="1" customHeight="1" x14ac:dyDescent="0.25">
      <c r="A737" s="177">
        <v>45310</v>
      </c>
      <c r="B737" s="184" t="s">
        <v>1418</v>
      </c>
      <c r="C737" s="179">
        <v>13879571</v>
      </c>
      <c r="D737" s="179"/>
      <c r="E737" s="179">
        <f>+IF(FINANCIACION[[#This Row],[$ CAPITAL]]&gt;=0,FINANCIACION[[#This Row],[$ CAPITAL]]+FINANCIACION[[#This Row],[$ INTERESES]],"")</f>
        <v>13879571</v>
      </c>
      <c r="F737" s="179">
        <f>+SUMIFS(FINANCIACION[$ CAPITAL],FINANCIACION[Fecha],"&lt;="&amp;FINANCIACION[[#This Row],[Fecha]],FINANCIACION[PRESTAMO],FINANCIACION[[#This Row],[PRESTAMO]])</f>
        <v>-5294530.75</v>
      </c>
      <c r="G737" s="82"/>
      <c r="I737" s="185"/>
      <c r="J737" s="179">
        <f>+IF(FINANCIACION[[#This Row],[$ CAPITAL]]&gt;0,FINANCIACION[[#This Row],[$ CAPITAL]])</f>
        <v>13879571</v>
      </c>
      <c r="K737" s="186">
        <f>+IF(FINANCIACION[[#This Row],[$ CAPITAL]]&gt;=0,FINANCIACION[[#This Row],[$ CAPITAL]]+FINANCIACION[[#This Row],[$ INTERESES]],0)</f>
        <v>13879571</v>
      </c>
    </row>
    <row r="738" spans="1:11" ht="24" hidden="1" customHeight="1" x14ac:dyDescent="0.25">
      <c r="A738" s="177">
        <v>45309</v>
      </c>
      <c r="B738" s="184" t="s">
        <v>1418</v>
      </c>
      <c r="C738" s="179">
        <v>782488.25</v>
      </c>
      <c r="D738" s="179"/>
      <c r="E738" s="179">
        <f>+IF(FINANCIACION[[#This Row],[$ CAPITAL]]&gt;=0,FINANCIACION[[#This Row],[$ CAPITAL]]+FINANCIACION[[#This Row],[$ INTERESES]],"")</f>
        <v>782488.25</v>
      </c>
      <c r="F738" s="179">
        <f>+SUMIFS(FINANCIACION[$ CAPITAL],FINANCIACION[Fecha],"&lt;="&amp;FINANCIACION[[#This Row],[Fecha]],FINANCIACION[PRESTAMO],FINANCIACION[[#This Row],[PRESTAMO]])</f>
        <v>-19174101.75</v>
      </c>
      <c r="G738" s="82"/>
      <c r="I738" s="185"/>
      <c r="J738" s="179">
        <f>+IF(FINANCIACION[[#This Row],[$ CAPITAL]]&gt;0,FINANCIACION[[#This Row],[$ CAPITAL]])</f>
        <v>782488.25</v>
      </c>
      <c r="K738" s="186">
        <f>+IF(FINANCIACION[[#This Row],[$ CAPITAL]]&gt;=0,FINANCIACION[[#This Row],[$ CAPITAL]]+FINANCIACION[[#This Row],[$ INTERESES]],0)</f>
        <v>782488.25</v>
      </c>
    </row>
    <row r="739" spans="1:11" ht="24" hidden="1" customHeight="1" x14ac:dyDescent="0.25">
      <c r="A739" s="177">
        <v>45322</v>
      </c>
      <c r="B739" s="184" t="s">
        <v>1418</v>
      </c>
      <c r="C739" s="191">
        <v>-6325215.25</v>
      </c>
      <c r="D739" s="179"/>
      <c r="E739" s="179" t="str">
        <f>+IF(FINANCIACION[[#This Row],[$ CAPITAL]]&gt;=0,FINANCIACION[[#This Row],[$ CAPITAL]]+FINANCIACION[[#This Row],[$ INTERESES]],"")</f>
        <v/>
      </c>
      <c r="F739" s="179">
        <f>+SUMIFS(FINANCIACION[$ CAPITAL],FINANCIACION[Fecha],"&lt;="&amp;FINANCIACION[[#This Row],[Fecha]],FINANCIACION[PRESTAMO],FINANCIACION[[#This Row],[PRESTAMO]])</f>
        <v>-11619746</v>
      </c>
      <c r="G739" s="82"/>
      <c r="I739" s="185"/>
      <c r="J739" s="179" t="b">
        <f>+IF(FINANCIACION[[#This Row],[$ CAPITAL]]&gt;0,FINANCIACION[[#This Row],[$ CAPITAL]])</f>
        <v>0</v>
      </c>
      <c r="K739" s="186">
        <f>+IF(FINANCIACION[[#This Row],[$ CAPITAL]]&gt;=0,FINANCIACION[[#This Row],[$ CAPITAL]]+FINANCIACION[[#This Row],[$ INTERESES]],0)</f>
        <v>0</v>
      </c>
    </row>
    <row r="740" spans="1:11" ht="24" hidden="1" customHeight="1" x14ac:dyDescent="0.25">
      <c r="A740" s="177">
        <v>45323</v>
      </c>
      <c r="B740" s="184" t="s">
        <v>332</v>
      </c>
      <c r="C740" s="179">
        <v>88320776</v>
      </c>
      <c r="D740" s="179">
        <v>5679224</v>
      </c>
      <c r="E740" s="179">
        <f>+IF(FINANCIACION[[#This Row],[$ CAPITAL]]&gt;=0,FINANCIACION[[#This Row],[$ CAPITAL]]+FINANCIACION[[#This Row],[$ INTERESES]],"")</f>
        <v>94000000</v>
      </c>
      <c r="F740" s="179">
        <f>+SUMIFS(FINANCIACION[$ CAPITAL],FINANCIACION[Fecha],"&lt;="&amp;FINANCIACION[[#This Row],[Fecha]],FINANCIACION[PRESTAMO],FINANCIACION[[#This Row],[PRESTAMO]])</f>
        <v>-229134952</v>
      </c>
      <c r="G740" s="82"/>
      <c r="I740" s="185"/>
      <c r="J740" s="179">
        <f>+IF(FINANCIACION[[#This Row],[$ CAPITAL]]&gt;0,FINANCIACION[[#This Row],[$ CAPITAL]])</f>
        <v>88320776</v>
      </c>
      <c r="K740" s="186">
        <f>+IF(FINANCIACION[[#This Row],[$ CAPITAL]]&gt;=0,FINANCIACION[[#This Row],[$ CAPITAL]]+FINANCIACION[[#This Row],[$ INTERESES]],0)</f>
        <v>94000000</v>
      </c>
    </row>
    <row r="741" spans="1:11" ht="24" hidden="1" customHeight="1" x14ac:dyDescent="0.25">
      <c r="A741" s="177">
        <v>45323</v>
      </c>
      <c r="B741" s="184" t="s">
        <v>334</v>
      </c>
      <c r="C741" s="179">
        <v>-94000000</v>
      </c>
      <c r="D741" s="179"/>
      <c r="E741" s="179" t="str">
        <f>+IF(FINANCIACION[[#This Row],[$ CAPITAL]]&gt;=0,FINANCIACION[[#This Row],[$ CAPITAL]]+FINANCIACION[[#This Row],[$ INTERESES]],"")</f>
        <v/>
      </c>
      <c r="F741" s="179">
        <f>+SUMIFS(FINANCIACION[$ CAPITAL],FINANCIACION[Fecha],"&lt;="&amp;FINANCIACION[[#This Row],[Fecha]],FINANCIACION[PRESTAMO],FINANCIACION[[#This Row],[PRESTAMO]])</f>
        <v>-174000000</v>
      </c>
      <c r="G741" s="179"/>
      <c r="H741" s="185" t="s">
        <v>1664</v>
      </c>
      <c r="I741" s="185"/>
      <c r="J741" s="179" t="b">
        <f>+IF(FINANCIACION[[#This Row],[$ CAPITAL]]&gt;0,FINANCIACION[[#This Row],[$ CAPITAL]])</f>
        <v>0</v>
      </c>
      <c r="K741" s="186">
        <f>+IF(FINANCIACION[[#This Row],[$ CAPITAL]]&gt;=0,FINANCIACION[[#This Row],[$ CAPITAL]]+FINANCIACION[[#This Row],[$ INTERESES]],0)</f>
        <v>0</v>
      </c>
    </row>
    <row r="742" spans="1:11" ht="24" hidden="1" customHeight="1" x14ac:dyDescent="0.25">
      <c r="A742" s="177">
        <v>45334</v>
      </c>
      <c r="B742" s="184" t="s">
        <v>333</v>
      </c>
      <c r="C742" s="179">
        <f>1300000-FINANCIACION[[#This Row],[$ INTERESES]]</f>
        <v>1202385.9099999999</v>
      </c>
      <c r="D742" s="179">
        <f>9761409*0.01</f>
        <v>97614.09</v>
      </c>
      <c r="E742" s="179">
        <f>+IF(FINANCIACION[[#This Row],[$ CAPITAL]]&gt;=0,FINANCIACION[[#This Row],[$ CAPITAL]]+FINANCIACION[[#This Row],[$ INTERESES]],"")</f>
        <v>1300000</v>
      </c>
      <c r="F742" s="179">
        <f>+SUMIFS(FINANCIACION[$ CAPITAL],FINANCIACION[Fecha],"&lt;="&amp;FINANCIACION[[#This Row],[Fecha]],FINANCIACION[PRESTAMO],FINANCIACION[[#This Row],[PRESTAMO]])</f>
        <v>-8559023.0422773473</v>
      </c>
      <c r="G742" s="179"/>
      <c r="I742" s="185"/>
      <c r="J742" s="179">
        <f>+IF(FINANCIACION[[#This Row],[$ CAPITAL]]&gt;0,FINANCIACION[[#This Row],[$ CAPITAL]])</f>
        <v>1202385.9099999999</v>
      </c>
      <c r="K742" s="186">
        <f>+IF(FINANCIACION[[#This Row],[$ CAPITAL]]&gt;=0,FINANCIACION[[#This Row],[$ CAPITAL]]+FINANCIACION[[#This Row],[$ INTERESES]],0)</f>
        <v>1300000</v>
      </c>
    </row>
    <row r="743" spans="1:11" ht="24" hidden="1" customHeight="1" x14ac:dyDescent="0.25">
      <c r="A743" s="177">
        <v>45334</v>
      </c>
      <c r="B743" s="184" t="s">
        <v>331</v>
      </c>
      <c r="C743" s="179">
        <f>2000000-FINANCIACION[[#This Row],[$ INTERESES]]</f>
        <v>1611927.01</v>
      </c>
      <c r="D743" s="179">
        <f>38807299*0.01</f>
        <v>388072.99</v>
      </c>
      <c r="E743" s="179">
        <f>+IF(FINANCIACION[[#This Row],[$ CAPITAL]]&gt;=0,FINANCIACION[[#This Row],[$ CAPITAL]]+FINANCIACION[[#This Row],[$ INTERESES]],"")</f>
        <v>2000000</v>
      </c>
      <c r="F743" s="179">
        <f>+SUMIFS(FINANCIACION[$ CAPITAL],FINANCIACION[Fecha],"&lt;="&amp;FINANCIACION[[#This Row],[Fecha]],FINANCIACION[PRESTAMO],FINANCIACION[[#This Row],[PRESTAMO]])</f>
        <v>-37195371.62256287</v>
      </c>
      <c r="G743" s="179"/>
      <c r="I743" s="185"/>
      <c r="J743" s="179">
        <f>+IF(FINANCIACION[[#This Row],[$ CAPITAL]]&gt;0,FINANCIACION[[#This Row],[$ CAPITAL]])</f>
        <v>1611927.01</v>
      </c>
      <c r="K743" s="186">
        <f>+IF(FINANCIACION[[#This Row],[$ CAPITAL]]&gt;=0,FINANCIACION[[#This Row],[$ CAPITAL]]+FINANCIACION[[#This Row],[$ INTERESES]],0)</f>
        <v>2000000</v>
      </c>
    </row>
    <row r="744" spans="1:11" ht="24" hidden="1" customHeight="1" x14ac:dyDescent="0.25">
      <c r="A744" s="177">
        <v>45334</v>
      </c>
      <c r="B744" s="184" t="s">
        <v>336</v>
      </c>
      <c r="C744" s="179"/>
      <c r="D744" s="179">
        <v>130000</v>
      </c>
      <c r="E744" s="179">
        <f>+IF(FINANCIACION[[#This Row],[$ CAPITAL]]&gt;=0,FINANCIACION[[#This Row],[$ CAPITAL]]+FINANCIACION[[#This Row],[$ INTERESES]],"")</f>
        <v>130000</v>
      </c>
      <c r="F744" s="179">
        <f>+SUMIFS(FINANCIACION[$ CAPITAL],FINANCIACION[Fecha],"&lt;="&amp;FINANCIACION[[#This Row],[Fecha]],FINANCIACION[PRESTAMO],FINANCIACION[[#This Row],[PRESTAMO]])</f>
        <v>-13000000</v>
      </c>
      <c r="G744" s="179"/>
      <c r="I744" s="185"/>
      <c r="J744" s="179" t="b">
        <f>+IF(FINANCIACION[[#This Row],[$ CAPITAL]]&gt;0,FINANCIACION[[#This Row],[$ CAPITAL]])</f>
        <v>0</v>
      </c>
      <c r="K744" s="186">
        <f>+IF(FINANCIACION[[#This Row],[$ CAPITAL]]&gt;=0,FINANCIACION[[#This Row],[$ CAPITAL]]+FINANCIACION[[#This Row],[$ INTERESES]],0)</f>
        <v>130000</v>
      </c>
    </row>
    <row r="745" spans="1:11" ht="24" hidden="1" customHeight="1" x14ac:dyDescent="0.25">
      <c r="A745" s="177">
        <v>45334</v>
      </c>
      <c r="B745" s="184" t="s">
        <v>338</v>
      </c>
      <c r="C745" s="179"/>
      <c r="D745" s="179">
        <v>350000</v>
      </c>
      <c r="E745" s="179">
        <f>+IF(FINANCIACION[[#This Row],[$ CAPITAL]]&gt;=0,FINANCIACION[[#This Row],[$ CAPITAL]]+FINANCIACION[[#This Row],[$ INTERESES]],"")</f>
        <v>350000</v>
      </c>
      <c r="F745" s="179">
        <f>+SUMIFS(FINANCIACION[$ CAPITAL],FINANCIACION[Fecha],"&lt;="&amp;FINANCIACION[[#This Row],[Fecha]],FINANCIACION[PRESTAMO],FINANCIACION[[#This Row],[PRESTAMO]])</f>
        <v>-35000000</v>
      </c>
      <c r="G745" s="179"/>
      <c r="I745" s="185"/>
      <c r="J745" s="179" t="b">
        <f>+IF(FINANCIACION[[#This Row],[$ CAPITAL]]&gt;0,FINANCIACION[[#This Row],[$ CAPITAL]])</f>
        <v>0</v>
      </c>
      <c r="K745" s="186">
        <f>+IF(FINANCIACION[[#This Row],[$ CAPITAL]]&gt;=0,FINANCIACION[[#This Row],[$ CAPITAL]]+FINANCIACION[[#This Row],[$ INTERESES]],0)</f>
        <v>350000</v>
      </c>
    </row>
    <row r="746" spans="1:11" ht="24" hidden="1" customHeight="1" x14ac:dyDescent="0.25">
      <c r="A746" s="177">
        <v>45335</v>
      </c>
      <c r="B746" s="184" t="s">
        <v>330</v>
      </c>
      <c r="C746" s="179">
        <f>1000000-FINANCIACION[[#This Row],[$ INTERESES]]</f>
        <v>710770.47</v>
      </c>
      <c r="D746" s="179">
        <f>28922953*0.01</f>
        <v>289229.53000000003</v>
      </c>
      <c r="E746" s="179">
        <f>+IF(FINANCIACION[[#This Row],[$ CAPITAL]]&gt;=0,FINANCIACION[[#This Row],[$ CAPITAL]]+FINANCIACION[[#This Row],[$ INTERESES]],"")</f>
        <v>1000000</v>
      </c>
      <c r="F746" s="179">
        <f>+SUMIFS(FINANCIACION[$ CAPITAL],FINANCIACION[Fecha],"&lt;="&amp;FINANCIACION[[#This Row],[Fecha]],FINANCIACION[PRESTAMO],FINANCIACION[[#This Row],[PRESTAMO]])</f>
        <v>-28212182.909624796</v>
      </c>
      <c r="G746" s="179"/>
      <c r="I746" s="185"/>
      <c r="J746" s="179">
        <f>+IF(FINANCIACION[[#This Row],[$ CAPITAL]]&gt;0,FINANCIACION[[#This Row],[$ CAPITAL]])</f>
        <v>710770.47</v>
      </c>
      <c r="K746" s="186">
        <f>+IF(FINANCIACION[[#This Row],[$ CAPITAL]]&gt;=0,FINANCIACION[[#This Row],[$ CAPITAL]]+FINANCIACION[[#This Row],[$ INTERESES]],0)</f>
        <v>1000000</v>
      </c>
    </row>
    <row r="747" spans="1:11" ht="24" hidden="1" customHeight="1" x14ac:dyDescent="0.25">
      <c r="A747" s="177">
        <v>45335</v>
      </c>
      <c r="B747" s="184" t="s">
        <v>668</v>
      </c>
      <c r="C747" s="179"/>
      <c r="D747" s="179">
        <v>700000</v>
      </c>
      <c r="E747" s="179">
        <f>+IF(FINANCIACION[[#This Row],[$ CAPITAL]]&gt;=0,FINANCIACION[[#This Row],[$ CAPITAL]]+FINANCIACION[[#This Row],[$ INTERESES]],"")</f>
        <v>700000</v>
      </c>
      <c r="F747" s="179">
        <f>+SUMIFS(FINANCIACION[$ CAPITAL],FINANCIACION[Fecha],"&lt;="&amp;FINANCIACION[[#This Row],[Fecha]],FINANCIACION[PRESTAMO],FINANCIACION[[#This Row],[PRESTAMO]])</f>
        <v>-70000000</v>
      </c>
      <c r="G747" s="179"/>
      <c r="I747" s="185"/>
      <c r="J747" s="179" t="b">
        <f>+IF(FINANCIACION[[#This Row],[$ CAPITAL]]&gt;0,FINANCIACION[[#This Row],[$ CAPITAL]])</f>
        <v>0</v>
      </c>
      <c r="K747" s="186">
        <f>+IF(FINANCIACION[[#This Row],[$ CAPITAL]]&gt;=0,FINANCIACION[[#This Row],[$ CAPITAL]]+FINANCIACION[[#This Row],[$ INTERESES]],0)</f>
        <v>700000</v>
      </c>
    </row>
    <row r="748" spans="1:11" ht="24" hidden="1" customHeight="1" x14ac:dyDescent="0.25">
      <c r="A748" s="177">
        <v>45331</v>
      </c>
      <c r="B748" s="184" t="s">
        <v>607</v>
      </c>
      <c r="C748" s="179">
        <v>1889477</v>
      </c>
      <c r="D748" s="179">
        <v>35070</v>
      </c>
      <c r="E748" s="179">
        <f>+IF(FINANCIACION[[#This Row],[$ CAPITAL]]&gt;=0,FINANCIACION[[#This Row],[$ CAPITAL]]+FINANCIACION[[#This Row],[$ INTERESES]],"")</f>
        <v>1924547</v>
      </c>
      <c r="F748" s="179">
        <f>+SUMIFS(FINANCIACION[$ CAPITAL],FINANCIACION[Fecha],"&lt;="&amp;FINANCIACION[[#This Row],[Fecha]],FINANCIACION[PRESTAMO],FINANCIACION[[#This Row],[PRESTAMO]])</f>
        <v>0</v>
      </c>
      <c r="G748" s="82"/>
      <c r="I748" s="185"/>
      <c r="J748" s="179">
        <f>+IF(FINANCIACION[[#This Row],[$ CAPITAL]]&gt;0,FINANCIACION[[#This Row],[$ CAPITAL]])</f>
        <v>1889477</v>
      </c>
      <c r="K748" s="186">
        <f>+IF(FINANCIACION[[#This Row],[$ CAPITAL]]&gt;=0,FINANCIACION[[#This Row],[$ CAPITAL]]+FINANCIACION[[#This Row],[$ INTERESES]],0)</f>
        <v>1924547</v>
      </c>
    </row>
    <row r="749" spans="1:11" ht="24" hidden="1" customHeight="1" x14ac:dyDescent="0.25">
      <c r="A749" s="177">
        <v>45351</v>
      </c>
      <c r="B749" s="184" t="s">
        <v>1450</v>
      </c>
      <c r="C749" s="179">
        <v>1468400</v>
      </c>
      <c r="D749" s="179">
        <v>47767</v>
      </c>
      <c r="E749" s="179">
        <f>+IF(FINANCIACION[[#This Row],[$ CAPITAL]]&gt;=0,FINANCIACION[[#This Row],[$ CAPITAL]]+FINANCIACION[[#This Row],[$ INTERESES]],"")</f>
        <v>1516167</v>
      </c>
      <c r="F749" s="179">
        <f>+SUMIFS(FINANCIACION[$ CAPITAL],FINANCIACION[Fecha],"&lt;="&amp;FINANCIACION[[#This Row],[Fecha]],FINANCIACION[PRESTAMO],FINANCIACION[[#This Row],[PRESTAMO]])</f>
        <v>-1468400</v>
      </c>
      <c r="G749" s="82"/>
      <c r="I749" s="185"/>
      <c r="J749" s="179">
        <f>+IF(FINANCIACION[[#This Row],[$ CAPITAL]]&gt;0,FINANCIACION[[#This Row],[$ CAPITAL]])</f>
        <v>1468400</v>
      </c>
      <c r="K749" s="186">
        <f>+IF(FINANCIACION[[#This Row],[$ CAPITAL]]&gt;=0,FINANCIACION[[#This Row],[$ CAPITAL]]+FINANCIACION[[#This Row],[$ INTERESES]],0)</f>
        <v>1516167</v>
      </c>
    </row>
    <row r="750" spans="1:11" ht="24" hidden="1" customHeight="1" x14ac:dyDescent="0.25">
      <c r="A750" s="177">
        <v>45342</v>
      </c>
      <c r="B750" s="184" t="s">
        <v>1291</v>
      </c>
      <c r="C750" s="179">
        <v>2778000</v>
      </c>
      <c r="D750" s="179">
        <f>1492529.28-1473.65</f>
        <v>1491055.6300000001</v>
      </c>
      <c r="E750" s="179">
        <f>+IF(FINANCIACION[[#This Row],[$ CAPITAL]]&gt;=0,FINANCIACION[[#This Row],[$ CAPITAL]]+FINANCIACION[[#This Row],[$ INTERESES]],"")</f>
        <v>4269055.63</v>
      </c>
      <c r="F750" s="179">
        <f>+SUMIFS(FINANCIACION[$ CAPITAL],FINANCIACION[Fecha],"&lt;="&amp;FINANCIACION[[#This Row],[Fecha]],FINANCIACION[PRESTAMO],FINANCIACION[[#This Row],[PRESTAMO]])</f>
        <v>-94444000</v>
      </c>
      <c r="G750" s="82"/>
      <c r="I750" s="185"/>
      <c r="J750" s="179">
        <f>+IF(FINANCIACION[[#This Row],[$ CAPITAL]]&gt;0,FINANCIACION[[#This Row],[$ CAPITAL]])</f>
        <v>2778000</v>
      </c>
      <c r="K750" s="186">
        <f>+IF(FINANCIACION[[#This Row],[$ CAPITAL]]&gt;=0,FINANCIACION[[#This Row],[$ CAPITAL]]+FINANCIACION[[#This Row],[$ INTERESES]],0)</f>
        <v>4269055.63</v>
      </c>
    </row>
    <row r="751" spans="1:11" ht="24" hidden="1" customHeight="1" x14ac:dyDescent="0.25">
      <c r="A751" s="177">
        <v>45324</v>
      </c>
      <c r="B751" s="184" t="s">
        <v>608</v>
      </c>
      <c r="C751" s="179">
        <v>-935858</v>
      </c>
      <c r="D751" s="179"/>
      <c r="E751" s="179" t="str">
        <f>+IF(FINANCIACION[[#This Row],[$ CAPITAL]]&gt;=0,FINANCIACION[[#This Row],[$ CAPITAL]]+FINANCIACION[[#This Row],[$ INTERESES]],"")</f>
        <v/>
      </c>
      <c r="F751" s="179">
        <f>+SUMIFS(FINANCIACION[$ CAPITAL],FINANCIACION[Fecha],"&lt;="&amp;FINANCIACION[[#This Row],[Fecha]],FINANCIACION[PRESTAMO],FINANCIACION[[#This Row],[PRESTAMO]])</f>
        <v>-60935858</v>
      </c>
      <c r="G751" s="82"/>
      <c r="H751" s="185" t="s">
        <v>1616</v>
      </c>
      <c r="I751" s="185"/>
      <c r="J751" s="179" t="b">
        <f>+IF(FINANCIACION[[#This Row],[$ CAPITAL]]&gt;0,FINANCIACION[[#This Row],[$ CAPITAL]])</f>
        <v>0</v>
      </c>
      <c r="K751" s="186">
        <f>+IF(FINANCIACION[[#This Row],[$ CAPITAL]]&gt;=0,FINANCIACION[[#This Row],[$ CAPITAL]]+FINANCIACION[[#This Row],[$ INTERESES]],0)</f>
        <v>0</v>
      </c>
    </row>
    <row r="752" spans="1:11" ht="24" hidden="1" customHeight="1" x14ac:dyDescent="0.25">
      <c r="A752" s="177">
        <v>45357</v>
      </c>
      <c r="B752" s="184" t="s">
        <v>608</v>
      </c>
      <c r="C752" s="179">
        <f>3780460-900000</f>
        <v>2880460</v>
      </c>
      <c r="D752" s="179">
        <v>900000</v>
      </c>
      <c r="E752" s="179">
        <f>+IF(FINANCIACION[[#This Row],[$ CAPITAL]]&gt;=0,FINANCIACION[[#This Row],[$ CAPITAL]]+FINANCIACION[[#This Row],[$ INTERESES]],"")</f>
        <v>3780460</v>
      </c>
      <c r="F752" s="179">
        <f>+SUMIFS(FINANCIACION[$ CAPITAL],FINANCIACION[Fecha],"&lt;="&amp;FINANCIACION[[#This Row],[Fecha]],FINANCIACION[PRESTAMO],FINANCIACION[[#This Row],[PRESTAMO]])</f>
        <v>-58055398</v>
      </c>
      <c r="G752" s="82"/>
      <c r="I752" s="185"/>
      <c r="J752" s="179">
        <f>+IF(FINANCIACION[[#This Row],[$ CAPITAL]]&gt;0,FINANCIACION[[#This Row],[$ CAPITAL]])</f>
        <v>2880460</v>
      </c>
      <c r="K752" s="186">
        <f>+IF(FINANCIACION[[#This Row],[$ CAPITAL]]&gt;=0,FINANCIACION[[#This Row],[$ CAPITAL]]+FINANCIACION[[#This Row],[$ INTERESES]],0)</f>
        <v>3780460</v>
      </c>
    </row>
    <row r="753" spans="1:11" ht="24" hidden="1" customHeight="1" x14ac:dyDescent="0.25">
      <c r="A753" s="177">
        <v>45351</v>
      </c>
      <c r="B753" s="184" t="s">
        <v>1418</v>
      </c>
      <c r="C753" s="179">
        <v>3208618</v>
      </c>
      <c r="D753" s="179"/>
      <c r="E753" s="179">
        <f>+IF(FINANCIACION[[#This Row],[$ CAPITAL]]&gt;=0,FINANCIACION[[#This Row],[$ CAPITAL]]+FINANCIACION[[#This Row],[$ INTERESES]],"")</f>
        <v>3208618</v>
      </c>
      <c r="F753" s="179">
        <f>+SUMIFS(FINANCIACION[$ CAPITAL],FINANCIACION[Fecha],"&lt;="&amp;FINANCIACION[[#This Row],[Fecha]],FINANCIACION[PRESTAMO],FINANCIACION[[#This Row],[PRESTAMO]])</f>
        <v>-8411128</v>
      </c>
      <c r="G753" s="82"/>
      <c r="H753" s="185" t="s">
        <v>133</v>
      </c>
      <c r="I753" s="185"/>
      <c r="J753" s="179">
        <f>+IF(FINANCIACION[[#This Row],[$ CAPITAL]]&gt;0,FINANCIACION[[#This Row],[$ CAPITAL]])</f>
        <v>3208618</v>
      </c>
      <c r="K753" s="186">
        <f>+IF(FINANCIACION[[#This Row],[$ CAPITAL]]&gt;=0,FINANCIACION[[#This Row],[$ CAPITAL]]+FINANCIACION[[#This Row],[$ INTERESES]],0)</f>
        <v>3208618</v>
      </c>
    </row>
    <row r="754" spans="1:11" ht="24" hidden="1" customHeight="1" x14ac:dyDescent="0.25">
      <c r="A754" s="177">
        <v>45363</v>
      </c>
      <c r="B754" s="184" t="s">
        <v>333</v>
      </c>
      <c r="C754" s="179">
        <f>1300000-FINANCIACION[[#This Row],[$ INTERESES]]</f>
        <v>1214409.77</v>
      </c>
      <c r="D754" s="179">
        <f>8559023*0.01</f>
        <v>85590.23</v>
      </c>
      <c r="E754" s="179">
        <f>+IF(FINANCIACION[[#This Row],[$ CAPITAL]]&gt;=0,FINANCIACION[[#This Row],[$ CAPITAL]]+FINANCIACION[[#This Row],[$ INTERESES]],"")</f>
        <v>1300000</v>
      </c>
      <c r="F754" s="179">
        <f>+SUMIFS(FINANCIACION[$ CAPITAL],FINANCIACION[Fecha],"&lt;="&amp;FINANCIACION[[#This Row],[Fecha]],FINANCIACION[PRESTAMO],FINANCIACION[[#This Row],[PRESTAMO]])</f>
        <v>-7344613.2722773477</v>
      </c>
      <c r="G754" s="179"/>
      <c r="I754" s="185"/>
      <c r="J754" s="179">
        <f>+IF(FINANCIACION[[#This Row],[$ CAPITAL]]&gt;0,FINANCIACION[[#This Row],[$ CAPITAL]])</f>
        <v>1214409.77</v>
      </c>
      <c r="K754" s="186">
        <f>+IF(FINANCIACION[[#This Row],[$ CAPITAL]]&gt;=0,FINANCIACION[[#This Row],[$ CAPITAL]]+FINANCIACION[[#This Row],[$ INTERESES]],0)</f>
        <v>1300000</v>
      </c>
    </row>
    <row r="755" spans="1:11" ht="24" hidden="1" customHeight="1" x14ac:dyDescent="0.25">
      <c r="A755" s="177">
        <v>45363</v>
      </c>
      <c r="B755" s="184" t="s">
        <v>336</v>
      </c>
      <c r="C755" s="179"/>
      <c r="D755" s="179">
        <v>130000</v>
      </c>
      <c r="E755" s="179">
        <f>+IF(FINANCIACION[[#This Row],[$ CAPITAL]]&gt;=0,FINANCIACION[[#This Row],[$ CAPITAL]]+FINANCIACION[[#This Row],[$ INTERESES]],"")</f>
        <v>130000</v>
      </c>
      <c r="F755" s="179">
        <f>+SUMIFS(FINANCIACION[$ CAPITAL],FINANCIACION[Fecha],"&lt;="&amp;FINANCIACION[[#This Row],[Fecha]],FINANCIACION[PRESTAMO],FINANCIACION[[#This Row],[PRESTAMO]])</f>
        <v>-13000000</v>
      </c>
      <c r="G755" s="179"/>
      <c r="I755" s="185"/>
      <c r="J755" s="179" t="b">
        <f>+IF(FINANCIACION[[#This Row],[$ CAPITAL]]&gt;0,FINANCIACION[[#This Row],[$ CAPITAL]])</f>
        <v>0</v>
      </c>
      <c r="K755" s="186">
        <f>+IF(FINANCIACION[[#This Row],[$ CAPITAL]]&gt;=0,FINANCIACION[[#This Row],[$ CAPITAL]]+FINANCIACION[[#This Row],[$ INTERESES]],0)</f>
        <v>130000</v>
      </c>
    </row>
    <row r="756" spans="1:11" ht="24" hidden="1" customHeight="1" x14ac:dyDescent="0.25">
      <c r="A756" s="177">
        <v>45363</v>
      </c>
      <c r="B756" s="184" t="s">
        <v>331</v>
      </c>
      <c r="C756" s="179">
        <f>2000000-FINANCIACION[[#This Row],[$ INTERESES]]</f>
        <v>1644236.75</v>
      </c>
      <c r="D756" s="179">
        <f>35576325*0.01</f>
        <v>355763.25</v>
      </c>
      <c r="E756" s="179">
        <f>+IF(FINANCIACION[[#This Row],[$ CAPITAL]]&gt;=0,FINANCIACION[[#This Row],[$ CAPITAL]]+FINANCIACION[[#This Row],[$ INTERESES]],"")</f>
        <v>2000000</v>
      </c>
      <c r="F756" s="179">
        <f>+SUMIFS(FINANCIACION[$ CAPITAL],FINANCIACION[Fecha],"&lt;="&amp;FINANCIACION[[#This Row],[Fecha]],FINANCIACION[PRESTAMO],FINANCIACION[[#This Row],[PRESTAMO]])</f>
        <v>-35551134.87256287</v>
      </c>
      <c r="G756" s="179"/>
      <c r="I756" s="185"/>
      <c r="J756" s="179">
        <f>+IF(FINANCIACION[[#This Row],[$ CAPITAL]]&gt;0,FINANCIACION[[#This Row],[$ CAPITAL]])</f>
        <v>1644236.75</v>
      </c>
      <c r="K756" s="186">
        <f>+IF(FINANCIACION[[#This Row],[$ CAPITAL]]&gt;=0,FINANCIACION[[#This Row],[$ CAPITAL]]+FINANCIACION[[#This Row],[$ INTERESES]],0)</f>
        <v>2000000</v>
      </c>
    </row>
    <row r="757" spans="1:11" ht="24" hidden="1" customHeight="1" x14ac:dyDescent="0.25">
      <c r="A757" s="177">
        <v>45363</v>
      </c>
      <c r="B757" s="184" t="s">
        <v>338</v>
      </c>
      <c r="C757" s="179"/>
      <c r="D757" s="179">
        <v>350000</v>
      </c>
      <c r="E757" s="179">
        <f>+IF(FINANCIACION[[#This Row],[$ CAPITAL]]&gt;=0,FINANCIACION[[#This Row],[$ CAPITAL]]+FINANCIACION[[#This Row],[$ INTERESES]],"")</f>
        <v>350000</v>
      </c>
      <c r="F757" s="179">
        <f>+SUMIFS(FINANCIACION[$ CAPITAL],FINANCIACION[Fecha],"&lt;="&amp;FINANCIACION[[#This Row],[Fecha]],FINANCIACION[PRESTAMO],FINANCIACION[[#This Row],[PRESTAMO]])</f>
        <v>-35000000</v>
      </c>
      <c r="G757" s="179"/>
      <c r="I757" s="185"/>
      <c r="J757" s="179" t="b">
        <f>+IF(FINANCIACION[[#This Row],[$ CAPITAL]]&gt;0,FINANCIACION[[#This Row],[$ CAPITAL]])</f>
        <v>0</v>
      </c>
      <c r="K757" s="186">
        <f>+IF(FINANCIACION[[#This Row],[$ CAPITAL]]&gt;=0,FINANCIACION[[#This Row],[$ CAPITAL]]+FINANCIACION[[#This Row],[$ INTERESES]],0)</f>
        <v>350000</v>
      </c>
    </row>
    <row r="758" spans="1:11" ht="24" hidden="1" customHeight="1" x14ac:dyDescent="0.25">
      <c r="A758" s="177">
        <v>45363</v>
      </c>
      <c r="B758" s="184" t="s">
        <v>330</v>
      </c>
      <c r="C758" s="179">
        <f>1000000-FINANCIACION[[#This Row],[$ INTERESES]]</f>
        <v>717878.16999999993</v>
      </c>
      <c r="D758" s="179">
        <f>28212183*0.01</f>
        <v>282121.83</v>
      </c>
      <c r="E758" s="179">
        <f>+IF(FINANCIACION[[#This Row],[$ CAPITAL]]&gt;=0,FINANCIACION[[#This Row],[$ CAPITAL]]+FINANCIACION[[#This Row],[$ INTERESES]],"")</f>
        <v>1000000</v>
      </c>
      <c r="F758" s="179">
        <f>+SUMIFS(FINANCIACION[$ CAPITAL],FINANCIACION[Fecha],"&lt;="&amp;FINANCIACION[[#This Row],[Fecha]],FINANCIACION[PRESTAMO],FINANCIACION[[#This Row],[PRESTAMO]])</f>
        <v>-27494304.739624798</v>
      </c>
      <c r="G758" s="179"/>
      <c r="I758" s="185"/>
      <c r="J758" s="179">
        <f>+IF(FINANCIACION[[#This Row],[$ CAPITAL]]&gt;0,FINANCIACION[[#This Row],[$ CAPITAL]])</f>
        <v>717878.16999999993</v>
      </c>
      <c r="K758" s="186">
        <f>+IF(FINANCIACION[[#This Row],[$ CAPITAL]]&gt;=0,FINANCIACION[[#This Row],[$ CAPITAL]]+FINANCIACION[[#This Row],[$ INTERESES]],0)</f>
        <v>1000000</v>
      </c>
    </row>
    <row r="759" spans="1:11" ht="24" hidden="1" customHeight="1" x14ac:dyDescent="0.25">
      <c r="A759" s="177">
        <v>45363</v>
      </c>
      <c r="B759" s="184" t="s">
        <v>668</v>
      </c>
      <c r="C759" s="179"/>
      <c r="D759" s="179">
        <v>700000</v>
      </c>
      <c r="E759" s="179">
        <f>+IF(FINANCIACION[[#This Row],[$ CAPITAL]]&gt;=0,FINANCIACION[[#This Row],[$ CAPITAL]]+FINANCIACION[[#This Row],[$ INTERESES]],"")</f>
        <v>700000</v>
      </c>
      <c r="F759" s="179">
        <f>+SUMIFS(FINANCIACION[$ CAPITAL],FINANCIACION[Fecha],"&lt;="&amp;FINANCIACION[[#This Row],[Fecha]],FINANCIACION[PRESTAMO],FINANCIACION[[#This Row],[PRESTAMO]])</f>
        <v>-70000000</v>
      </c>
      <c r="G759" s="179"/>
      <c r="I759" s="185"/>
      <c r="J759" s="179" t="b">
        <f>+IF(FINANCIACION[[#This Row],[$ CAPITAL]]&gt;0,FINANCIACION[[#This Row],[$ CAPITAL]])</f>
        <v>0</v>
      </c>
      <c r="K759" s="186">
        <f>+IF(FINANCIACION[[#This Row],[$ CAPITAL]]&gt;=0,FINANCIACION[[#This Row],[$ CAPITAL]]+FINANCIACION[[#This Row],[$ INTERESES]],0)</f>
        <v>700000</v>
      </c>
    </row>
    <row r="760" spans="1:11" ht="24" hidden="1" customHeight="1" x14ac:dyDescent="0.25">
      <c r="A760" s="177">
        <v>45369</v>
      </c>
      <c r="B760" s="184" t="s">
        <v>332</v>
      </c>
      <c r="C760" s="179">
        <f>7167275-FINANCIACION[[#This Row],[$ INTERESES]]</f>
        <v>2694368</v>
      </c>
      <c r="D760" s="179">
        <f>3916692+174929+381286</f>
        <v>4472907</v>
      </c>
      <c r="E760" s="179">
        <f>+IF(FINANCIACION[[#This Row],[$ CAPITAL]]&gt;=0,FINANCIACION[[#This Row],[$ CAPITAL]]+FINANCIACION[[#This Row],[$ INTERESES]],"")</f>
        <v>7167275</v>
      </c>
      <c r="F760" s="179">
        <f>+SUMIFS(FINANCIACION[$ CAPITAL],FINANCIACION[Fecha],"&lt;="&amp;FINANCIACION[[#This Row],[Fecha]],FINANCIACION[PRESTAMO],FINANCIACION[[#This Row],[PRESTAMO]])</f>
        <v>-226440584</v>
      </c>
      <c r="G760" s="179" t="s">
        <v>1535</v>
      </c>
      <c r="I760" s="185"/>
      <c r="J760" s="179">
        <f>+IF(FINANCIACION[[#This Row],[$ CAPITAL]]&gt;0,FINANCIACION[[#This Row],[$ CAPITAL]])</f>
        <v>2694368</v>
      </c>
      <c r="K760" s="186">
        <f>+IF(FINANCIACION[[#This Row],[$ CAPITAL]]&gt;=0,FINANCIACION[[#This Row],[$ CAPITAL]]+FINANCIACION[[#This Row],[$ INTERESES]],0)</f>
        <v>7167275</v>
      </c>
    </row>
    <row r="761" spans="1:11" ht="24" hidden="1" customHeight="1" x14ac:dyDescent="0.25">
      <c r="A761" s="177">
        <v>45370</v>
      </c>
      <c r="B761" s="184" t="s">
        <v>334</v>
      </c>
      <c r="C761" s="179">
        <v>-26000000</v>
      </c>
      <c r="D761" s="179"/>
      <c r="E761" s="179" t="str">
        <f>+IF(FINANCIACION[[#This Row],[$ CAPITAL]]&gt;=0,FINANCIACION[[#This Row],[$ CAPITAL]]+FINANCIACION[[#This Row],[$ INTERESES]],"")</f>
        <v/>
      </c>
      <c r="F761" s="179">
        <f>+SUMIFS(FINANCIACION[$ CAPITAL],FINANCIACION[Fecha],"&lt;="&amp;FINANCIACION[[#This Row],[Fecha]],FINANCIACION[PRESTAMO],FINANCIACION[[#This Row],[PRESTAMO]])</f>
        <v>-200000000</v>
      </c>
      <c r="G761" s="179"/>
      <c r="H761" s="185" t="s">
        <v>1664</v>
      </c>
      <c r="I761" s="185"/>
      <c r="J761" s="179" t="b">
        <f>+IF(FINANCIACION[[#This Row],[$ CAPITAL]]&gt;0,FINANCIACION[[#This Row],[$ CAPITAL]])</f>
        <v>0</v>
      </c>
      <c r="K761" s="186">
        <f>+IF(FINANCIACION[[#This Row],[$ CAPITAL]]&gt;=0,FINANCIACION[[#This Row],[$ CAPITAL]]+FINANCIACION[[#This Row],[$ INTERESES]],0)</f>
        <v>0</v>
      </c>
    </row>
    <row r="762" spans="1:11" ht="24" hidden="1" customHeight="1" x14ac:dyDescent="0.25">
      <c r="A762" s="177">
        <v>45371</v>
      </c>
      <c r="B762" s="184" t="s">
        <v>1291</v>
      </c>
      <c r="C762" s="179">
        <v>2778000</v>
      </c>
      <c r="D762" s="179">
        <v>1400488.28</v>
      </c>
      <c r="E762" s="179">
        <f>+IF(FINANCIACION[[#This Row],[$ CAPITAL]]&gt;=0,FINANCIACION[[#This Row],[$ CAPITAL]]+FINANCIACION[[#This Row],[$ INTERESES]],"")</f>
        <v>4178488.2800000003</v>
      </c>
      <c r="F762" s="179">
        <f>+SUMIFS(FINANCIACION[$ CAPITAL],FINANCIACION[Fecha],"&lt;="&amp;FINANCIACION[[#This Row],[Fecha]],FINANCIACION[PRESTAMO],FINANCIACION[[#This Row],[PRESTAMO]])</f>
        <v>-91666000</v>
      </c>
      <c r="G762" s="179"/>
      <c r="I762" s="185"/>
      <c r="J762" s="179">
        <f>+IF(FINANCIACION[[#This Row],[$ CAPITAL]]&gt;0,FINANCIACION[[#This Row],[$ CAPITAL]])</f>
        <v>2778000</v>
      </c>
      <c r="K762" s="186">
        <f>+IF(FINANCIACION[[#This Row],[$ CAPITAL]]&gt;=0,FINANCIACION[[#This Row],[$ CAPITAL]]+FINANCIACION[[#This Row],[$ INTERESES]],0)</f>
        <v>4178488.2800000003</v>
      </c>
    </row>
    <row r="763" spans="1:11" ht="24" hidden="1" customHeight="1" x14ac:dyDescent="0.25">
      <c r="A763" s="177">
        <v>45291</v>
      </c>
      <c r="B763" s="184" t="s">
        <v>332</v>
      </c>
      <c r="C763" s="179">
        <v>20666178</v>
      </c>
      <c r="D763" s="179"/>
      <c r="E763" s="179">
        <f>+IF(FINANCIACION[[#This Row],[$ CAPITAL]]&gt;=0,FINANCIACION[[#This Row],[$ CAPITAL]]+FINANCIACION[[#This Row],[$ INTERESES]],"")</f>
        <v>20666178</v>
      </c>
      <c r="F763" s="179">
        <f>+SUMIFS(FINANCIACION[$ CAPITAL],FINANCIACION[Fecha],"&lt;="&amp;FINANCIACION[[#This Row],[Fecha]],FINANCIACION[PRESTAMO],FINANCIACION[[#This Row],[PRESTAMO]])</f>
        <v>-318824853</v>
      </c>
      <c r="G763" s="179"/>
      <c r="H763" s="185" t="s">
        <v>888</v>
      </c>
      <c r="I763" s="185"/>
      <c r="J763" s="179">
        <f>+IF(FINANCIACION[[#This Row],[$ CAPITAL]]&gt;0,FINANCIACION[[#This Row],[$ CAPITAL]])</f>
        <v>20666178</v>
      </c>
      <c r="K763" s="186">
        <f>+IF(FINANCIACION[[#This Row],[$ CAPITAL]]&gt;=0,FINANCIACION[[#This Row],[$ CAPITAL]]+FINANCIACION[[#This Row],[$ INTERESES]],0)</f>
        <v>20666178</v>
      </c>
    </row>
    <row r="764" spans="1:11" ht="24" hidden="1" customHeight="1" x14ac:dyDescent="0.25">
      <c r="A764" s="177">
        <v>45385</v>
      </c>
      <c r="B764" s="184" t="s">
        <v>608</v>
      </c>
      <c r="C764" s="179">
        <v>1126394</v>
      </c>
      <c r="D764" s="179">
        <v>1384063</v>
      </c>
      <c r="E764" s="179">
        <f>+IF(FINANCIACION[[#This Row],[$ CAPITAL]]&gt;=0,FINANCIACION[[#This Row],[$ CAPITAL]]+FINANCIACION[[#This Row],[$ INTERESES]],"")</f>
        <v>2510457</v>
      </c>
      <c r="F764" s="179">
        <f>+SUMIFS(FINANCIACION[$ CAPITAL],FINANCIACION[Fecha],"&lt;="&amp;FINANCIACION[[#This Row],[Fecha]],FINANCIACION[PRESTAMO],FINANCIACION[[#This Row],[PRESTAMO]])</f>
        <v>-56929004</v>
      </c>
      <c r="G764" s="179"/>
      <c r="H764" s="185" t="s">
        <v>1800</v>
      </c>
      <c r="I764" s="185"/>
      <c r="J764" s="179">
        <f>+IF(FINANCIACION[[#This Row],[$ CAPITAL]]&gt;0,FINANCIACION[[#This Row],[$ CAPITAL]])</f>
        <v>1126394</v>
      </c>
      <c r="K764" s="186">
        <f>+IF(FINANCIACION[[#This Row],[$ CAPITAL]]&gt;=0,FINANCIACION[[#This Row],[$ CAPITAL]]+FINANCIACION[[#This Row],[$ INTERESES]],0)</f>
        <v>2510457</v>
      </c>
    </row>
    <row r="765" spans="1:11" ht="24" hidden="1" customHeight="1" x14ac:dyDescent="0.25">
      <c r="A765" s="177">
        <v>45376</v>
      </c>
      <c r="B765" s="184" t="s">
        <v>1501</v>
      </c>
      <c r="C765" s="179">
        <v>4167000</v>
      </c>
      <c r="D765" s="179">
        <v>726147</v>
      </c>
      <c r="E765" s="179">
        <f>+IF(FINANCIACION[[#This Row],[$ CAPITAL]]&gt;=0,FINANCIACION[[#This Row],[$ CAPITAL]]+FINANCIACION[[#This Row],[$ INTERESES]],"")</f>
        <v>4893147</v>
      </c>
      <c r="F765" s="179">
        <f>+SUMIFS(FINANCIACION[$ CAPITAL],FINANCIACION[Fecha],"&lt;="&amp;FINANCIACION[[#This Row],[Fecha]],FINANCIACION[PRESTAMO],FINANCIACION[[#This Row],[PRESTAMO]])</f>
        <v>-45833000</v>
      </c>
      <c r="G765" s="179"/>
      <c r="I765" s="185"/>
      <c r="J765" s="179">
        <f>+IF(FINANCIACION[[#This Row],[$ CAPITAL]]&gt;0,FINANCIACION[[#This Row],[$ CAPITAL]])</f>
        <v>4167000</v>
      </c>
      <c r="K765" s="186">
        <f>+IF(FINANCIACION[[#This Row],[$ CAPITAL]]&gt;=0,FINANCIACION[[#This Row],[$ CAPITAL]]+FINANCIACION[[#This Row],[$ INTERESES]],0)</f>
        <v>4893147</v>
      </c>
    </row>
    <row r="766" spans="1:11" ht="24" hidden="1" customHeight="1" x14ac:dyDescent="0.25">
      <c r="A766" s="177">
        <v>45383</v>
      </c>
      <c r="B766" s="184" t="s">
        <v>1450</v>
      </c>
      <c r="C766" s="179">
        <v>1468400</v>
      </c>
      <c r="D766" s="179">
        <v>25044</v>
      </c>
      <c r="E766" s="179">
        <f>+IF(FINANCIACION[[#This Row],[$ CAPITAL]]&gt;=0,FINANCIACION[[#This Row],[$ CAPITAL]]+FINANCIACION[[#This Row],[$ INTERESES]],"")</f>
        <v>1493444</v>
      </c>
      <c r="F766" s="179">
        <f>+SUMIFS(FINANCIACION[$ CAPITAL],FINANCIACION[Fecha],"&lt;="&amp;FINANCIACION[[#This Row],[Fecha]],FINANCIACION[PRESTAMO],FINANCIACION[[#This Row],[PRESTAMO]])</f>
        <v>0</v>
      </c>
      <c r="G766" s="179"/>
      <c r="I766" s="185"/>
      <c r="J766" s="179">
        <f>+IF(FINANCIACION[[#This Row],[$ CAPITAL]]&gt;0,FINANCIACION[[#This Row],[$ CAPITAL]])</f>
        <v>1468400</v>
      </c>
      <c r="K766" s="186">
        <f>+IF(FINANCIACION[[#This Row],[$ CAPITAL]]&gt;=0,FINANCIACION[[#This Row],[$ CAPITAL]]+FINANCIACION[[#This Row],[$ INTERESES]],0)</f>
        <v>1493444</v>
      </c>
    </row>
    <row r="767" spans="1:11" ht="24" hidden="1" customHeight="1" x14ac:dyDescent="0.25">
      <c r="A767" s="177">
        <v>45381</v>
      </c>
      <c r="B767" s="184" t="s">
        <v>1418</v>
      </c>
      <c r="C767" s="179">
        <v>5291353</v>
      </c>
      <c r="D767" s="179"/>
      <c r="E767" s="179">
        <f>+IF(FINANCIACION[[#This Row],[$ CAPITAL]]&gt;=0,FINANCIACION[[#This Row],[$ CAPITAL]]+FINANCIACION[[#This Row],[$ INTERESES]],"")</f>
        <v>5291353</v>
      </c>
      <c r="F767" s="179">
        <f>+SUMIFS(FINANCIACION[$ CAPITAL],FINANCIACION[Fecha],"&lt;="&amp;FINANCIACION[[#This Row],[Fecha]],FINANCIACION[PRESTAMO],FINANCIACION[[#This Row],[PRESTAMO]])</f>
        <v>-3119775</v>
      </c>
      <c r="G767" s="179"/>
      <c r="H767" s="185" t="s">
        <v>133</v>
      </c>
      <c r="I767" s="185"/>
      <c r="J767" s="179">
        <f>+IF(FINANCIACION[[#This Row],[$ CAPITAL]]&gt;0,FINANCIACION[[#This Row],[$ CAPITAL]])</f>
        <v>5291353</v>
      </c>
      <c r="K767" s="186">
        <f>+IF(FINANCIACION[[#This Row],[$ CAPITAL]]&gt;=0,FINANCIACION[[#This Row],[$ CAPITAL]]+FINANCIACION[[#This Row],[$ INTERESES]],0)</f>
        <v>5291353</v>
      </c>
    </row>
    <row r="768" spans="1:11" ht="24" hidden="1" customHeight="1" x14ac:dyDescent="0.25">
      <c r="A768" s="177">
        <v>45381</v>
      </c>
      <c r="B768" s="184" t="s">
        <v>1419</v>
      </c>
      <c r="C768" s="179">
        <v>-1874451</v>
      </c>
      <c r="D768" s="179"/>
      <c r="E768" s="179" t="str">
        <f>+IF(FINANCIACION[[#This Row],[$ CAPITAL]]&gt;=0,FINANCIACION[[#This Row],[$ CAPITAL]]+FINANCIACION[[#This Row],[$ INTERESES]],"")</f>
        <v/>
      </c>
      <c r="F768" s="179">
        <f>+SUMIFS(FINANCIACION[$ CAPITAL],FINANCIACION[Fecha],"&lt;="&amp;FINANCIACION[[#This Row],[Fecha]],FINANCIACION[PRESTAMO],FINANCIACION[[#This Row],[PRESTAMO]])</f>
        <v>-2582091</v>
      </c>
      <c r="G768" s="179"/>
      <c r="I768" s="185"/>
      <c r="J768" s="179" t="b">
        <f>+IF(FINANCIACION[[#This Row],[$ CAPITAL]]&gt;0,FINANCIACION[[#This Row],[$ CAPITAL]])</f>
        <v>0</v>
      </c>
      <c r="K768" s="186">
        <f>+IF(FINANCIACION[[#This Row],[$ CAPITAL]]&gt;=0,FINANCIACION[[#This Row],[$ CAPITAL]]+FINANCIACION[[#This Row],[$ INTERESES]],0)</f>
        <v>0</v>
      </c>
    </row>
    <row r="769" spans="1:11" ht="24" hidden="1" customHeight="1" x14ac:dyDescent="0.25">
      <c r="A769" s="177">
        <v>45381</v>
      </c>
      <c r="B769" s="184" t="s">
        <v>1417</v>
      </c>
      <c r="C769" s="179">
        <v>16864000</v>
      </c>
      <c r="D769" s="179"/>
      <c r="E769" s="179">
        <f>+IF(FINANCIACION[[#This Row],[$ CAPITAL]]&gt;=0,FINANCIACION[[#This Row],[$ CAPITAL]]+FINANCIACION[[#This Row],[$ INTERESES]],"")</f>
        <v>16864000</v>
      </c>
      <c r="F769" s="179">
        <f>+SUMIFS(FINANCIACION[$ CAPITAL],FINANCIACION[Fecha],"&lt;="&amp;FINANCIACION[[#This Row],[Fecha]],FINANCIACION[PRESTAMO],FINANCIACION[[#This Row],[PRESTAMO]])</f>
        <v>0</v>
      </c>
      <c r="G769" s="179"/>
      <c r="I769" s="185"/>
      <c r="J769" s="179">
        <f>+IF(FINANCIACION[[#This Row],[$ CAPITAL]]&gt;0,FINANCIACION[[#This Row],[$ CAPITAL]])</f>
        <v>16864000</v>
      </c>
      <c r="K769" s="186">
        <f>+IF(FINANCIACION[[#This Row],[$ CAPITAL]]&gt;=0,FINANCIACION[[#This Row],[$ CAPITAL]]+FINANCIACION[[#This Row],[$ INTERESES]],0)</f>
        <v>16864000</v>
      </c>
    </row>
    <row r="770" spans="1:11" ht="24" hidden="1" customHeight="1" x14ac:dyDescent="0.25">
      <c r="A770" s="177">
        <v>45393</v>
      </c>
      <c r="B770" s="184" t="s">
        <v>333</v>
      </c>
      <c r="C770" s="179">
        <f>1300000-D770</f>
        <v>1226553.8700000001</v>
      </c>
      <c r="D770" s="179">
        <f>7344613*0.01</f>
        <v>73446.13</v>
      </c>
      <c r="E770" s="179">
        <f>+IF(FINANCIACION[[#This Row],[$ CAPITAL]]&gt;=0,FINANCIACION[[#This Row],[$ CAPITAL]]+FINANCIACION[[#This Row],[$ INTERESES]],"")</f>
        <v>1300000</v>
      </c>
      <c r="F770" s="179">
        <f>+SUMIFS(FINANCIACION[$ CAPITAL],FINANCIACION[Fecha],"&lt;="&amp;FINANCIACION[[#This Row],[Fecha]],FINANCIACION[PRESTAMO],FINANCIACION[[#This Row],[PRESTAMO]])</f>
        <v>-6118059.4022773476</v>
      </c>
      <c r="G770" s="179"/>
      <c r="I770" s="185"/>
      <c r="J770" s="179">
        <f>+IF(FINANCIACION[[#This Row],[$ CAPITAL]]&gt;0,FINANCIACION[[#This Row],[$ CAPITAL]])</f>
        <v>1226553.8700000001</v>
      </c>
      <c r="K770" s="186">
        <f>+IF(FINANCIACION[[#This Row],[$ CAPITAL]]&gt;=0,FINANCIACION[[#This Row],[$ CAPITAL]]+FINANCIACION[[#This Row],[$ INTERESES]],0)</f>
        <v>1300000</v>
      </c>
    </row>
    <row r="771" spans="1:11" ht="24" hidden="1" customHeight="1" x14ac:dyDescent="0.25">
      <c r="A771" s="177">
        <v>45393</v>
      </c>
      <c r="B771" s="184" t="s">
        <v>338</v>
      </c>
      <c r="C771" s="179"/>
      <c r="D771" s="179">
        <v>350000</v>
      </c>
      <c r="E771" s="179">
        <f>+IF(FINANCIACION[[#This Row],[$ CAPITAL]]&gt;=0,FINANCIACION[[#This Row],[$ CAPITAL]]+FINANCIACION[[#This Row],[$ INTERESES]],"")</f>
        <v>350000</v>
      </c>
      <c r="F771" s="179">
        <f>+SUMIFS(FINANCIACION[$ CAPITAL],FINANCIACION[Fecha],"&lt;="&amp;FINANCIACION[[#This Row],[Fecha]],FINANCIACION[PRESTAMO],FINANCIACION[[#This Row],[PRESTAMO]])</f>
        <v>-35000000</v>
      </c>
      <c r="G771" s="179"/>
      <c r="I771" s="185"/>
      <c r="J771" s="179" t="b">
        <f>+IF(FINANCIACION[[#This Row],[$ CAPITAL]]&gt;0,FINANCIACION[[#This Row],[$ CAPITAL]])</f>
        <v>0</v>
      </c>
      <c r="K771" s="186">
        <f>+IF(FINANCIACION[[#This Row],[$ CAPITAL]]&gt;=0,FINANCIACION[[#This Row],[$ CAPITAL]]+FINANCIACION[[#This Row],[$ INTERESES]],0)</f>
        <v>350000</v>
      </c>
    </row>
    <row r="772" spans="1:11" ht="24" hidden="1" customHeight="1" x14ac:dyDescent="0.25">
      <c r="A772" s="177">
        <v>45393</v>
      </c>
      <c r="B772" s="184" t="s">
        <v>336</v>
      </c>
      <c r="C772" s="179"/>
      <c r="D772" s="179">
        <v>130000</v>
      </c>
      <c r="E772" s="179">
        <f>+IF(FINANCIACION[[#This Row],[$ CAPITAL]]&gt;=0,FINANCIACION[[#This Row],[$ CAPITAL]]+FINANCIACION[[#This Row],[$ INTERESES]],"")</f>
        <v>130000</v>
      </c>
      <c r="F772" s="179">
        <f>+SUMIFS(FINANCIACION[$ CAPITAL],FINANCIACION[Fecha],"&lt;="&amp;FINANCIACION[[#This Row],[Fecha]],FINANCIACION[PRESTAMO],FINANCIACION[[#This Row],[PRESTAMO]])</f>
        <v>-13000000</v>
      </c>
      <c r="G772" s="179"/>
      <c r="I772" s="185"/>
      <c r="J772" s="179" t="b">
        <f>+IF(FINANCIACION[[#This Row],[$ CAPITAL]]&gt;0,FINANCIACION[[#This Row],[$ CAPITAL]])</f>
        <v>0</v>
      </c>
      <c r="K772" s="186">
        <f>+IF(FINANCIACION[[#This Row],[$ CAPITAL]]&gt;=0,FINANCIACION[[#This Row],[$ CAPITAL]]+FINANCIACION[[#This Row],[$ INTERESES]],0)</f>
        <v>130000</v>
      </c>
    </row>
    <row r="773" spans="1:11" ht="24" hidden="1" customHeight="1" x14ac:dyDescent="0.25">
      <c r="A773" s="177">
        <v>45393</v>
      </c>
      <c r="B773" s="184" t="s">
        <v>668</v>
      </c>
      <c r="C773" s="179"/>
      <c r="D773" s="179">
        <v>700000</v>
      </c>
      <c r="E773" s="179">
        <f>+IF(FINANCIACION[[#This Row],[$ CAPITAL]]&gt;=0,FINANCIACION[[#This Row],[$ CAPITAL]]+FINANCIACION[[#This Row],[$ INTERESES]],"")</f>
        <v>700000</v>
      </c>
      <c r="F773" s="179">
        <f>+SUMIFS(FINANCIACION[$ CAPITAL],FINANCIACION[Fecha],"&lt;="&amp;FINANCIACION[[#This Row],[Fecha]],FINANCIACION[PRESTAMO],FINANCIACION[[#This Row],[PRESTAMO]])</f>
        <v>-70000000</v>
      </c>
      <c r="G773" s="179"/>
      <c r="I773" s="185"/>
      <c r="J773" s="179" t="b">
        <f>+IF(FINANCIACION[[#This Row],[$ CAPITAL]]&gt;0,FINANCIACION[[#This Row],[$ CAPITAL]])</f>
        <v>0</v>
      </c>
      <c r="K773" s="186">
        <f>+IF(FINANCIACION[[#This Row],[$ CAPITAL]]&gt;=0,FINANCIACION[[#This Row],[$ CAPITAL]]+FINANCIACION[[#This Row],[$ INTERESES]],0)</f>
        <v>700000</v>
      </c>
    </row>
    <row r="774" spans="1:11" ht="24" hidden="1" customHeight="1" x14ac:dyDescent="0.25">
      <c r="A774" s="177">
        <v>45393</v>
      </c>
      <c r="B774" s="184" t="s">
        <v>331</v>
      </c>
      <c r="C774" s="179">
        <f>2000000-FINANCIACION[[#This Row],[$ INTERESES]]</f>
        <v>1660769.1099999999</v>
      </c>
      <c r="D774" s="179">
        <f>33923089*0.01</f>
        <v>339230.89</v>
      </c>
      <c r="E774" s="179">
        <f>+IF(FINANCIACION[[#This Row],[$ CAPITAL]]&gt;=0,FINANCIACION[[#This Row],[$ CAPITAL]]+FINANCIACION[[#This Row],[$ INTERESES]],"")</f>
        <v>2000000</v>
      </c>
      <c r="F774" s="179">
        <f>+SUMIFS(FINANCIACION[$ CAPITAL],FINANCIACION[Fecha],"&lt;="&amp;FINANCIACION[[#This Row],[Fecha]],FINANCIACION[PRESTAMO],FINANCIACION[[#This Row],[PRESTAMO]])</f>
        <v>-33890365.762562871</v>
      </c>
      <c r="G774" s="179"/>
      <c r="I774" s="185"/>
      <c r="J774" s="179">
        <f>+IF(FINANCIACION[[#This Row],[$ CAPITAL]]&gt;0,FINANCIACION[[#This Row],[$ CAPITAL]])</f>
        <v>1660769.1099999999</v>
      </c>
      <c r="K774" s="186">
        <f>+IF(FINANCIACION[[#This Row],[$ CAPITAL]]&gt;=0,FINANCIACION[[#This Row],[$ CAPITAL]]+FINANCIACION[[#This Row],[$ INTERESES]],0)</f>
        <v>2000000</v>
      </c>
    </row>
    <row r="775" spans="1:11" ht="24" hidden="1" customHeight="1" x14ac:dyDescent="0.25">
      <c r="A775" s="177">
        <v>45393</v>
      </c>
      <c r="B775" s="184" t="s">
        <v>330</v>
      </c>
      <c r="C775" s="179">
        <f>1000000-FINANCIACION[[#This Row],[$ INTERESES]]</f>
        <v>725056.95</v>
      </c>
      <c r="D775" s="179">
        <f>27494305*0.01</f>
        <v>274943.05</v>
      </c>
      <c r="E775" s="179">
        <f>+IF(FINANCIACION[[#This Row],[$ CAPITAL]]&gt;=0,FINANCIACION[[#This Row],[$ CAPITAL]]+FINANCIACION[[#This Row],[$ INTERESES]],"")</f>
        <v>1000000</v>
      </c>
      <c r="F775" s="179">
        <f>+SUMIFS(FINANCIACION[$ CAPITAL],FINANCIACION[Fecha],"&lt;="&amp;FINANCIACION[[#This Row],[Fecha]],FINANCIACION[PRESTAMO],FINANCIACION[[#This Row],[PRESTAMO]])</f>
        <v>-26769247.789624799</v>
      </c>
      <c r="G775" s="179"/>
      <c r="I775" s="185"/>
      <c r="J775" s="179">
        <f>+IF(FINANCIACION[[#This Row],[$ CAPITAL]]&gt;0,FINANCIACION[[#This Row],[$ CAPITAL]])</f>
        <v>725056.95</v>
      </c>
      <c r="K775" s="186">
        <f>+IF(FINANCIACION[[#This Row],[$ CAPITAL]]&gt;=0,FINANCIACION[[#This Row],[$ CAPITAL]]+FINANCIACION[[#This Row],[$ INTERESES]],0)</f>
        <v>1000000</v>
      </c>
    </row>
    <row r="776" spans="1:11" ht="24" hidden="1" customHeight="1" x14ac:dyDescent="0.25">
      <c r="A776" s="177">
        <v>45400</v>
      </c>
      <c r="B776" s="184" t="s">
        <v>332</v>
      </c>
      <c r="C776" s="179">
        <f>7167275-FINANCIACION[[#This Row],[$ INTERESES]]</f>
        <v>2861643</v>
      </c>
      <c r="D776" s="179">
        <f>3916692+174929+381286-167275</f>
        <v>4305632</v>
      </c>
      <c r="E776" s="179">
        <f>+IF(FINANCIACION[[#This Row],[$ CAPITAL]]&gt;=0,FINANCIACION[[#This Row],[$ CAPITAL]]+FINANCIACION[[#This Row],[$ INTERESES]],"")</f>
        <v>7167275</v>
      </c>
      <c r="F776" s="179">
        <f>+SUMIFS(FINANCIACION[$ CAPITAL],FINANCIACION[Fecha],"&lt;="&amp;FINANCIACION[[#This Row],[Fecha]],FINANCIACION[PRESTAMO],FINANCIACION[[#This Row],[PRESTAMO]])</f>
        <v>-223128941</v>
      </c>
      <c r="G776" s="179"/>
      <c r="I776" s="185"/>
      <c r="J776" s="179">
        <f>+IF(FINANCIACION[[#This Row],[$ CAPITAL]]&gt;0,FINANCIACION[[#This Row],[$ CAPITAL]])</f>
        <v>2861643</v>
      </c>
      <c r="K776" s="186">
        <f>+IF(FINANCIACION[[#This Row],[$ CAPITAL]]&gt;=0,FINANCIACION[[#This Row],[$ CAPITAL]]+FINANCIACION[[#This Row],[$ INTERESES]],0)</f>
        <v>7167275</v>
      </c>
    </row>
    <row r="777" spans="1:11" ht="24" hidden="1" customHeight="1" x14ac:dyDescent="0.25">
      <c r="A777" s="177">
        <v>45402</v>
      </c>
      <c r="B777" s="184" t="s">
        <v>1291</v>
      </c>
      <c r="C777" s="179">
        <v>2778000</v>
      </c>
      <c r="D777" s="179">
        <v>1343686</v>
      </c>
      <c r="E777" s="179">
        <f>+IF(FINANCIACION[[#This Row],[$ CAPITAL]]&gt;=0,FINANCIACION[[#This Row],[$ CAPITAL]]+FINANCIACION[[#This Row],[$ INTERESES]],"")</f>
        <v>4121686</v>
      </c>
      <c r="F777" s="179">
        <f>+SUMIFS(FINANCIACION[$ CAPITAL],FINANCIACION[Fecha],"&lt;="&amp;FINANCIACION[[#This Row],[Fecha]],FINANCIACION[PRESTAMO],FINANCIACION[[#This Row],[PRESTAMO]])</f>
        <v>-88888000</v>
      </c>
      <c r="G777" s="179"/>
      <c r="I777" s="185"/>
      <c r="J777" s="179">
        <f>+IF(FINANCIACION[[#This Row],[$ CAPITAL]]&gt;0,FINANCIACION[[#This Row],[$ CAPITAL]])</f>
        <v>2778000</v>
      </c>
      <c r="K777" s="186">
        <f>+IF(FINANCIACION[[#This Row],[$ CAPITAL]]&gt;=0,FINANCIACION[[#This Row],[$ CAPITAL]]+FINANCIACION[[#This Row],[$ INTERESES]],0)</f>
        <v>4121686</v>
      </c>
    </row>
    <row r="778" spans="1:11" ht="24" hidden="1" customHeight="1" x14ac:dyDescent="0.25">
      <c r="A778" s="177">
        <v>45407</v>
      </c>
      <c r="B778" s="184" t="s">
        <v>1501</v>
      </c>
      <c r="C778" s="179">
        <v>4167000</v>
      </c>
      <c r="D778" s="179">
        <v>649327</v>
      </c>
      <c r="E778" s="179">
        <f>+IF(FINANCIACION[[#This Row],[$ CAPITAL]]&gt;=0,FINANCIACION[[#This Row],[$ CAPITAL]]+FINANCIACION[[#This Row],[$ INTERESES]],"")</f>
        <v>4816327</v>
      </c>
      <c r="F778" s="179">
        <f>+SUMIFS(FINANCIACION[$ CAPITAL],FINANCIACION[Fecha],"&lt;="&amp;FINANCIACION[[#This Row],[Fecha]],FINANCIACION[PRESTAMO],FINANCIACION[[#This Row],[PRESTAMO]])</f>
        <v>-41666000</v>
      </c>
      <c r="G778" s="179"/>
      <c r="I778" s="185"/>
      <c r="J778" s="179">
        <f>+IF(FINANCIACION[[#This Row],[$ CAPITAL]]&gt;0,FINANCIACION[[#This Row],[$ CAPITAL]])</f>
        <v>4167000</v>
      </c>
      <c r="K778" s="186">
        <f>+IF(FINANCIACION[[#This Row],[$ CAPITAL]]&gt;=0,FINANCIACION[[#This Row],[$ CAPITAL]]+FINANCIACION[[#This Row],[$ INTERESES]],0)</f>
        <v>4816327</v>
      </c>
    </row>
    <row r="779" spans="1:11" ht="24" hidden="1" customHeight="1" x14ac:dyDescent="0.25">
      <c r="A779" s="177">
        <v>45407</v>
      </c>
      <c r="B779" s="184" t="s">
        <v>1420</v>
      </c>
      <c r="C779" s="179">
        <v>1481481.48</v>
      </c>
      <c r="D779" s="179">
        <v>601519</v>
      </c>
      <c r="E779" s="179">
        <f>+IF(FINANCIACION[[#This Row],[$ CAPITAL]]&gt;=0,FINANCIACION[[#This Row],[$ CAPITAL]]+FINANCIACION[[#This Row],[$ INTERESES]],"")</f>
        <v>2083000.48</v>
      </c>
      <c r="F779" s="179">
        <f>+SUMIFS(FINANCIACION[$ CAPITAL],FINANCIACION[Fecha],"&lt;="&amp;FINANCIACION[[#This Row],[Fecha]],FINANCIACION[PRESTAMO],FINANCIACION[[#This Row],[PRESTAMO]])</f>
        <v>-47512616.009999998</v>
      </c>
      <c r="G779" s="179"/>
      <c r="I779" s="185"/>
      <c r="J779" s="179">
        <f>+IF(FINANCIACION[[#This Row],[$ CAPITAL]]&gt;0,FINANCIACION[[#This Row],[$ CAPITAL]])</f>
        <v>1481481.48</v>
      </c>
      <c r="K779" s="186">
        <f>+IF(FINANCIACION[[#This Row],[$ CAPITAL]]&gt;=0,FINANCIACION[[#This Row],[$ CAPITAL]]+FINANCIACION[[#This Row],[$ INTERESES]],0)</f>
        <v>2083000.48</v>
      </c>
    </row>
    <row r="780" spans="1:11" ht="24" hidden="1" customHeight="1" x14ac:dyDescent="0.25">
      <c r="A780" s="177">
        <v>45406</v>
      </c>
      <c r="B780" s="184" t="s">
        <v>1417</v>
      </c>
      <c r="C780" s="179">
        <v>2125650</v>
      </c>
      <c r="D780" s="179"/>
      <c r="E780" s="179">
        <f>+IF(FINANCIACION[[#This Row],[$ CAPITAL]]&gt;=0,FINANCIACION[[#This Row],[$ CAPITAL]]+FINANCIACION[[#This Row],[$ INTERESES]],"")</f>
        <v>2125650</v>
      </c>
      <c r="F780" s="179">
        <f>+SUMIFS(FINANCIACION[$ CAPITAL],FINANCIACION[Fecha],"&lt;="&amp;FINANCIACION[[#This Row],[Fecha]],FINANCIACION[PRESTAMO],FINANCIACION[[#This Row],[PRESTAMO]])</f>
        <v>2125650</v>
      </c>
      <c r="G780" s="179"/>
      <c r="H780" s="185" t="s">
        <v>1766</v>
      </c>
      <c r="I780" s="185"/>
      <c r="J780" s="179">
        <f>+IF(FINANCIACION[[#This Row],[$ CAPITAL]]&gt;0,FINANCIACION[[#This Row],[$ CAPITAL]])</f>
        <v>2125650</v>
      </c>
      <c r="K780" s="186">
        <f>+IF(FINANCIACION[[#This Row],[$ CAPITAL]]&gt;=0,FINANCIACION[[#This Row],[$ CAPITAL]]+FINANCIACION[[#This Row],[$ INTERESES]],0)</f>
        <v>2125650</v>
      </c>
    </row>
    <row r="781" spans="1:11" ht="24" hidden="1" customHeight="1" x14ac:dyDescent="0.25">
      <c r="A781" s="177">
        <v>45401</v>
      </c>
      <c r="B781" s="184" t="s">
        <v>1470</v>
      </c>
      <c r="C781" s="179"/>
      <c r="D781" s="179">
        <v>1028182</v>
      </c>
      <c r="E781" s="179">
        <f>+IF(FINANCIACION[[#This Row],[$ CAPITAL]]&gt;=0,FINANCIACION[[#This Row],[$ CAPITAL]]+FINANCIACION[[#This Row],[$ INTERESES]],"")</f>
        <v>1028182</v>
      </c>
      <c r="F781" s="179">
        <f>+SUMIFS(FINANCIACION[$ CAPITAL],FINANCIACION[Fecha],"&lt;="&amp;FINANCIACION[[#This Row],[Fecha]],FINANCIACION[PRESTAMO],FINANCIACION[[#This Row],[PRESTAMO]])</f>
        <v>-95868547.100000009</v>
      </c>
      <c r="G781" s="179"/>
      <c r="I781" s="185"/>
      <c r="J781" s="179" t="b">
        <f>+IF(FINANCIACION[[#This Row],[$ CAPITAL]]&gt;0,FINANCIACION[[#This Row],[$ CAPITAL]])</f>
        <v>0</v>
      </c>
      <c r="K781" s="186">
        <f>+IF(FINANCIACION[[#This Row],[$ CAPITAL]]&gt;=0,FINANCIACION[[#This Row],[$ CAPITAL]]+FINANCIACION[[#This Row],[$ INTERESES]],0)</f>
        <v>1028182</v>
      </c>
    </row>
    <row r="782" spans="1:11" ht="24" hidden="1" customHeight="1" x14ac:dyDescent="0.25">
      <c r="A782" s="177">
        <v>45412</v>
      </c>
      <c r="B782" s="184" t="s">
        <v>1419</v>
      </c>
      <c r="C782" s="179">
        <v>-1271299</v>
      </c>
      <c r="D782" s="179"/>
      <c r="E782" s="179" t="str">
        <f>+IF(FINANCIACION[[#This Row],[$ CAPITAL]]&gt;=0,FINANCIACION[[#This Row],[$ CAPITAL]]+FINANCIACION[[#This Row],[$ INTERESES]],"")</f>
        <v/>
      </c>
      <c r="F782" s="179">
        <f>+SUMIFS(FINANCIACION[$ CAPITAL],FINANCIACION[Fecha],"&lt;="&amp;FINANCIACION[[#This Row],[Fecha]],FINANCIACION[PRESTAMO],FINANCIACION[[#This Row],[PRESTAMO]])</f>
        <v>-3853390</v>
      </c>
      <c r="G782" s="179"/>
      <c r="H782" s="185" t="s">
        <v>133</v>
      </c>
      <c r="I782" s="185"/>
      <c r="J782" s="179" t="b">
        <f>+IF(FINANCIACION[[#This Row],[$ CAPITAL]]&gt;0,FINANCIACION[[#This Row],[$ CAPITAL]])</f>
        <v>0</v>
      </c>
      <c r="K782" s="186">
        <f>+IF(FINANCIACION[[#This Row],[$ CAPITAL]]&gt;=0,FINANCIACION[[#This Row],[$ CAPITAL]]+FINANCIACION[[#This Row],[$ INTERESES]],0)</f>
        <v>0</v>
      </c>
    </row>
    <row r="783" spans="1:11" ht="24" hidden="1" customHeight="1" x14ac:dyDescent="0.25">
      <c r="A783" s="177">
        <v>45412</v>
      </c>
      <c r="B783" s="184" t="s">
        <v>1417</v>
      </c>
      <c r="C783" s="179">
        <v>-34601950</v>
      </c>
      <c r="D783" s="179"/>
      <c r="E783" s="179" t="str">
        <f>+IF(FINANCIACION[[#This Row],[$ CAPITAL]]&gt;=0,FINANCIACION[[#This Row],[$ CAPITAL]]+FINANCIACION[[#This Row],[$ INTERESES]],"")</f>
        <v/>
      </c>
      <c r="F783" s="179">
        <f>+SUMIFS(FINANCIACION[$ CAPITAL],FINANCIACION[Fecha],"&lt;="&amp;FINANCIACION[[#This Row],[Fecha]],FINANCIACION[PRESTAMO],FINANCIACION[[#This Row],[PRESTAMO]])</f>
        <v>-32476300</v>
      </c>
      <c r="G783" s="179"/>
      <c r="H783" s="185" t="s">
        <v>133</v>
      </c>
      <c r="I783" s="185"/>
      <c r="J783" s="179" t="b">
        <f>+IF(FINANCIACION[[#This Row],[$ CAPITAL]]&gt;0,FINANCIACION[[#This Row],[$ CAPITAL]])</f>
        <v>0</v>
      </c>
      <c r="K783" s="186">
        <f>+IF(FINANCIACION[[#This Row],[$ CAPITAL]]&gt;=0,FINANCIACION[[#This Row],[$ CAPITAL]]+FINANCIACION[[#This Row],[$ INTERESES]],0)</f>
        <v>0</v>
      </c>
    </row>
    <row r="784" spans="1:11" ht="24" hidden="1" customHeight="1" x14ac:dyDescent="0.25">
      <c r="A784" s="177">
        <v>45412</v>
      </c>
      <c r="B784" s="184" t="s">
        <v>1418</v>
      </c>
      <c r="C784" s="179">
        <v>-22286969</v>
      </c>
      <c r="D784" s="179"/>
      <c r="E784" s="179" t="str">
        <f>+IF(FINANCIACION[[#This Row],[$ CAPITAL]]&gt;=0,FINANCIACION[[#This Row],[$ CAPITAL]]+FINANCIACION[[#This Row],[$ INTERESES]],"")</f>
        <v/>
      </c>
      <c r="F784" s="179">
        <f>+SUMIFS(FINANCIACION[$ CAPITAL],FINANCIACION[Fecha],"&lt;="&amp;FINANCIACION[[#This Row],[Fecha]],FINANCIACION[PRESTAMO],FINANCIACION[[#This Row],[PRESTAMO]])</f>
        <v>-25406744</v>
      </c>
      <c r="G784" s="179"/>
      <c r="I784" s="185"/>
      <c r="J784" s="179" t="b">
        <f>+IF(FINANCIACION[[#This Row],[$ CAPITAL]]&gt;0,FINANCIACION[[#This Row],[$ CAPITAL]])</f>
        <v>0</v>
      </c>
      <c r="K784" s="186">
        <f>+IF(FINANCIACION[[#This Row],[$ CAPITAL]]&gt;=0,FINANCIACION[[#This Row],[$ CAPITAL]]+FINANCIACION[[#This Row],[$ INTERESES]],0)</f>
        <v>0</v>
      </c>
    </row>
    <row r="785" spans="1:11" ht="24" customHeight="1" x14ac:dyDescent="0.25">
      <c r="A785" s="177">
        <v>45421</v>
      </c>
      <c r="B785" s="184" t="s">
        <v>668</v>
      </c>
      <c r="C785" s="179">
        <v>-30000000</v>
      </c>
      <c r="D785" s="179"/>
      <c r="E785" s="179" t="str">
        <f>+IF(FINANCIACION[[#This Row],[$ CAPITAL]]&gt;=0,FINANCIACION[[#This Row],[$ CAPITAL]]+FINANCIACION[[#This Row],[$ INTERESES]],"")</f>
        <v/>
      </c>
      <c r="F785" s="179">
        <f>+SUMIFS(FINANCIACION[$ CAPITAL],FINANCIACION[Fecha],"&lt;="&amp;FINANCIACION[[#This Row],[Fecha]],FINANCIACION[PRESTAMO],FINANCIACION[[#This Row],[PRESTAMO]])</f>
        <v>-100000000</v>
      </c>
      <c r="G785" s="179"/>
      <c r="H785" s="183" t="s">
        <v>1927</v>
      </c>
      <c r="I785" s="185"/>
      <c r="J785" s="179" t="b">
        <f>+IF(FINANCIACION[[#This Row],[$ CAPITAL]]&gt;0,FINANCIACION[[#This Row],[$ CAPITAL]])</f>
        <v>0</v>
      </c>
      <c r="K785" s="186">
        <f>+IF(FINANCIACION[[#This Row],[$ CAPITAL]]&gt;=0,FINANCIACION[[#This Row],[$ CAPITAL]]+FINANCIACION[[#This Row],[$ INTERESES]],0)</f>
        <v>0</v>
      </c>
    </row>
    <row r="786" spans="1:11" ht="24" customHeight="1" x14ac:dyDescent="0.25">
      <c r="A786" s="177">
        <v>45421</v>
      </c>
      <c r="B786" s="184" t="s">
        <v>332</v>
      </c>
      <c r="C786" s="179">
        <v>30000000</v>
      </c>
      <c r="D786" s="179"/>
      <c r="E786" s="179">
        <f>+IF(FINANCIACION[[#This Row],[$ CAPITAL]]&gt;=0,FINANCIACION[[#This Row],[$ CAPITAL]]+FINANCIACION[[#This Row],[$ INTERESES]],"")</f>
        <v>30000000</v>
      </c>
      <c r="F786" s="179">
        <f>+SUMIFS(FINANCIACION[$ CAPITAL],FINANCIACION[Fecha],"&lt;="&amp;FINANCIACION[[#This Row],[Fecha]],FINANCIACION[PRESTAMO],FINANCIACION[[#This Row],[PRESTAMO]])</f>
        <v>-193128941</v>
      </c>
      <c r="G786" s="179"/>
      <c r="I786" s="185"/>
      <c r="J786" s="179">
        <f>+IF(FINANCIACION[[#This Row],[$ CAPITAL]]&gt;0,FINANCIACION[[#This Row],[$ CAPITAL]])</f>
        <v>30000000</v>
      </c>
      <c r="K786" s="186">
        <f>+IF(FINANCIACION[[#This Row],[$ CAPITAL]]&gt;=0,FINANCIACION[[#This Row],[$ CAPITAL]]+FINANCIACION[[#This Row],[$ INTERESES]],0)</f>
        <v>30000000</v>
      </c>
    </row>
    <row r="787" spans="1:11" ht="24" hidden="1" customHeight="1" x14ac:dyDescent="0.25">
      <c r="A787" s="177">
        <v>45392</v>
      </c>
      <c r="B787" s="184" t="s">
        <v>332</v>
      </c>
      <c r="C787" s="179">
        <v>450000</v>
      </c>
      <c r="D787" s="179"/>
      <c r="E787" s="179">
        <f>+IF(FINANCIACION[[#This Row],[$ CAPITAL]]&gt;=0,FINANCIACION[[#This Row],[$ CAPITAL]]+FINANCIACION[[#This Row],[$ INTERESES]],"")</f>
        <v>450000</v>
      </c>
      <c r="F787" s="179">
        <f>+SUMIFS(FINANCIACION[$ CAPITAL],FINANCIACION[Fecha],"&lt;="&amp;FINANCIACION[[#This Row],[Fecha]],FINANCIACION[PRESTAMO],FINANCIACION[[#This Row],[PRESTAMO]])</f>
        <v>-225990584</v>
      </c>
      <c r="G787" s="179"/>
      <c r="I787" s="185"/>
      <c r="J787" s="179">
        <f>+IF(FINANCIACION[[#This Row],[$ CAPITAL]]&gt;0,FINANCIACION[[#This Row],[$ CAPITAL]])</f>
        <v>450000</v>
      </c>
      <c r="K787" s="186">
        <f>+IF(FINANCIACION[[#This Row],[$ CAPITAL]]&gt;=0,FINANCIACION[[#This Row],[$ CAPITAL]]+FINANCIACION[[#This Row],[$ INTERESES]],0)</f>
        <v>450000</v>
      </c>
    </row>
    <row r="788" spans="1:11" ht="24" customHeight="1" x14ac:dyDescent="0.25">
      <c r="A788" s="177">
        <v>45426</v>
      </c>
      <c r="B788" s="184" t="s">
        <v>333</v>
      </c>
      <c r="C788" s="179">
        <f>1300000-D788</f>
        <v>1238819.4099999999</v>
      </c>
      <c r="D788" s="179">
        <f>6118059*0.01</f>
        <v>61180.590000000004</v>
      </c>
      <c r="E788" s="179">
        <f>+IF(FINANCIACION[[#This Row],[$ CAPITAL]]&gt;=0,FINANCIACION[[#This Row],[$ CAPITAL]]+FINANCIACION[[#This Row],[$ INTERESES]],"")</f>
        <v>1300000</v>
      </c>
      <c r="F788" s="179">
        <f>+SUMIFS(FINANCIACION[$ CAPITAL],FINANCIACION[Fecha],"&lt;="&amp;FINANCIACION[[#This Row],[Fecha]],FINANCIACION[PRESTAMO],FINANCIACION[[#This Row],[PRESTAMO]])</f>
        <v>-4879239.9922773475</v>
      </c>
      <c r="G788" s="179"/>
      <c r="I788" s="185"/>
      <c r="J788" s="179">
        <f>+IF(FINANCIACION[[#This Row],[$ CAPITAL]]&gt;0,FINANCIACION[[#This Row],[$ CAPITAL]])</f>
        <v>1238819.4099999999</v>
      </c>
      <c r="K788" s="186">
        <f>+IF(FINANCIACION[[#This Row],[$ CAPITAL]]&gt;=0,FINANCIACION[[#This Row],[$ CAPITAL]]+FINANCIACION[[#This Row],[$ INTERESES]],0)</f>
        <v>1300000</v>
      </c>
    </row>
    <row r="789" spans="1:11" ht="24" customHeight="1" x14ac:dyDescent="0.25">
      <c r="A789" s="177">
        <v>45426</v>
      </c>
      <c r="B789" s="184" t="s">
        <v>336</v>
      </c>
      <c r="C789" s="179"/>
      <c r="D789" s="179">
        <v>130000</v>
      </c>
      <c r="E789" s="179">
        <f>+IF(FINANCIACION[[#This Row],[$ CAPITAL]]&gt;=0,FINANCIACION[[#This Row],[$ CAPITAL]]+FINANCIACION[[#This Row],[$ INTERESES]],"")</f>
        <v>130000</v>
      </c>
      <c r="F789" s="179">
        <f>+SUMIFS(FINANCIACION[$ CAPITAL],FINANCIACION[Fecha],"&lt;="&amp;FINANCIACION[[#This Row],[Fecha]],FINANCIACION[PRESTAMO],FINANCIACION[[#This Row],[PRESTAMO]])</f>
        <v>-13000000</v>
      </c>
      <c r="G789" s="179"/>
      <c r="I789" s="185"/>
      <c r="J789" s="179" t="b">
        <f>+IF(FINANCIACION[[#This Row],[$ CAPITAL]]&gt;0,FINANCIACION[[#This Row],[$ CAPITAL]])</f>
        <v>0</v>
      </c>
      <c r="K789" s="186">
        <f>+IF(FINANCIACION[[#This Row],[$ CAPITAL]]&gt;=0,FINANCIACION[[#This Row],[$ CAPITAL]]+FINANCIACION[[#This Row],[$ INTERESES]],0)</f>
        <v>130000</v>
      </c>
    </row>
    <row r="790" spans="1:11" ht="24" customHeight="1" x14ac:dyDescent="0.25">
      <c r="A790" s="177">
        <v>45426</v>
      </c>
      <c r="B790" s="184" t="s">
        <v>331</v>
      </c>
      <c r="C790" s="179">
        <f>2000000-FINANCIACION[[#This Row],[$ INTERESES]]</f>
        <v>1677376.81</v>
      </c>
      <c r="D790" s="179">
        <f>32262319*0.01</f>
        <v>322623.19</v>
      </c>
      <c r="E790" s="179">
        <f>+IF(FINANCIACION[[#This Row],[$ CAPITAL]]&gt;=0,FINANCIACION[[#This Row],[$ CAPITAL]]+FINANCIACION[[#This Row],[$ INTERESES]],"")</f>
        <v>2000000</v>
      </c>
      <c r="F790" s="179">
        <f>+SUMIFS(FINANCIACION[$ CAPITAL],FINANCIACION[Fecha],"&lt;="&amp;FINANCIACION[[#This Row],[Fecha]],FINANCIACION[PRESTAMO],FINANCIACION[[#This Row],[PRESTAMO]])</f>
        <v>-32212988.952562872</v>
      </c>
      <c r="G790" s="179"/>
      <c r="I790" s="185"/>
      <c r="J790" s="179">
        <f>+IF(FINANCIACION[[#This Row],[$ CAPITAL]]&gt;0,FINANCIACION[[#This Row],[$ CAPITAL]])</f>
        <v>1677376.81</v>
      </c>
      <c r="K790" s="186">
        <f>+IF(FINANCIACION[[#This Row],[$ CAPITAL]]&gt;=0,FINANCIACION[[#This Row],[$ CAPITAL]]+FINANCIACION[[#This Row],[$ INTERESES]],0)</f>
        <v>2000000</v>
      </c>
    </row>
    <row r="791" spans="1:11" ht="24" customHeight="1" x14ac:dyDescent="0.25">
      <c r="A791" s="177">
        <v>45426</v>
      </c>
      <c r="B791" s="184" t="s">
        <v>338</v>
      </c>
      <c r="C791" s="179"/>
      <c r="D791" s="179">
        <v>350000</v>
      </c>
      <c r="E791" s="179">
        <f>+IF(FINANCIACION[[#This Row],[$ CAPITAL]]&gt;=0,FINANCIACION[[#This Row],[$ CAPITAL]]+FINANCIACION[[#This Row],[$ INTERESES]],"")</f>
        <v>350000</v>
      </c>
      <c r="F791" s="179">
        <f>+SUMIFS(FINANCIACION[$ CAPITAL],FINANCIACION[Fecha],"&lt;="&amp;FINANCIACION[[#This Row],[Fecha]],FINANCIACION[PRESTAMO],FINANCIACION[[#This Row],[PRESTAMO]])</f>
        <v>-35000000</v>
      </c>
      <c r="G791" s="179"/>
      <c r="I791" s="185"/>
      <c r="J791" s="179" t="b">
        <f>+IF(FINANCIACION[[#This Row],[$ CAPITAL]]&gt;0,FINANCIACION[[#This Row],[$ CAPITAL]])</f>
        <v>0</v>
      </c>
      <c r="K791" s="186">
        <f>+IF(FINANCIACION[[#This Row],[$ CAPITAL]]&gt;=0,FINANCIACION[[#This Row],[$ CAPITAL]]+FINANCIACION[[#This Row],[$ INTERESES]],0)</f>
        <v>350000</v>
      </c>
    </row>
    <row r="792" spans="1:11" ht="24" customHeight="1" x14ac:dyDescent="0.25">
      <c r="A792" s="177">
        <v>45426</v>
      </c>
      <c r="B792" s="184" t="s">
        <v>330</v>
      </c>
      <c r="C792" s="179">
        <f>1000000-FINANCIACION[[#This Row],[$ INTERESES]]</f>
        <v>732307.52</v>
      </c>
      <c r="D792" s="179">
        <f>26769248*0.01</f>
        <v>267692.48</v>
      </c>
      <c r="E792" s="179">
        <f>+IF(FINANCIACION[[#This Row],[$ CAPITAL]]&gt;=0,FINANCIACION[[#This Row],[$ CAPITAL]]+FINANCIACION[[#This Row],[$ INTERESES]],"")</f>
        <v>1000000</v>
      </c>
      <c r="F792" s="179">
        <f>+SUMIFS(FINANCIACION[$ CAPITAL],FINANCIACION[Fecha],"&lt;="&amp;FINANCIACION[[#This Row],[Fecha]],FINANCIACION[PRESTAMO],FINANCIACION[[#This Row],[PRESTAMO]])</f>
        <v>-26036940.269624799</v>
      </c>
      <c r="G792" s="179"/>
      <c r="I792" s="185"/>
      <c r="J792" s="179">
        <f>+IF(FINANCIACION[[#This Row],[$ CAPITAL]]&gt;0,FINANCIACION[[#This Row],[$ CAPITAL]])</f>
        <v>732307.52</v>
      </c>
      <c r="K792" s="186">
        <f>+IF(FINANCIACION[[#This Row],[$ CAPITAL]]&gt;=0,FINANCIACION[[#This Row],[$ CAPITAL]]+FINANCIACION[[#This Row],[$ INTERESES]],0)</f>
        <v>1000000</v>
      </c>
    </row>
    <row r="793" spans="1:11" ht="24" customHeight="1" x14ac:dyDescent="0.25">
      <c r="A793" s="177">
        <v>45426</v>
      </c>
      <c r="B793" s="184" t="s">
        <v>668</v>
      </c>
      <c r="C793" s="179"/>
      <c r="D793" s="179">
        <v>700000</v>
      </c>
      <c r="E793" s="179">
        <f>+IF(FINANCIACION[[#This Row],[$ CAPITAL]]&gt;=0,FINANCIACION[[#This Row],[$ CAPITAL]]+FINANCIACION[[#This Row],[$ INTERESES]],"")</f>
        <v>700000</v>
      </c>
      <c r="F793" s="179">
        <f>+SUMIFS(FINANCIACION[$ CAPITAL],FINANCIACION[Fecha],"&lt;="&amp;FINANCIACION[[#This Row],[Fecha]],FINANCIACION[PRESTAMO],FINANCIACION[[#This Row],[PRESTAMO]])</f>
        <v>-100000000</v>
      </c>
      <c r="G793" s="179"/>
      <c r="I793" s="185"/>
      <c r="J793" s="179" t="b">
        <f>+IF(FINANCIACION[[#This Row],[$ CAPITAL]]&gt;0,FINANCIACION[[#This Row],[$ CAPITAL]])</f>
        <v>0</v>
      </c>
      <c r="K793" s="186">
        <f>+IF(FINANCIACION[[#This Row],[$ CAPITAL]]&gt;=0,FINANCIACION[[#This Row],[$ CAPITAL]]+FINANCIACION[[#This Row],[$ INTERESES]],0)</f>
        <v>700000</v>
      </c>
    </row>
    <row r="794" spans="1:11" ht="24" customHeight="1" x14ac:dyDescent="0.25">
      <c r="A794" s="177">
        <v>45432</v>
      </c>
      <c r="B794" s="184" t="s">
        <v>1291</v>
      </c>
      <c r="C794" s="179">
        <v>2778000</v>
      </c>
      <c r="D794" s="179">
        <v>1282110</v>
      </c>
      <c r="E794" s="179">
        <f>+IF(FINANCIACION[[#This Row],[$ CAPITAL]]&gt;=0,FINANCIACION[[#This Row],[$ CAPITAL]]+FINANCIACION[[#This Row],[$ INTERESES]],"")</f>
        <v>4060110</v>
      </c>
      <c r="F794" s="179">
        <f>+SUMIFS(FINANCIACION[$ CAPITAL],FINANCIACION[Fecha],"&lt;="&amp;FINANCIACION[[#This Row],[Fecha]],FINANCIACION[PRESTAMO],FINANCIACION[[#This Row],[PRESTAMO]])</f>
        <v>-86110000</v>
      </c>
      <c r="G794" s="179"/>
      <c r="I794" s="185"/>
      <c r="J794" s="179">
        <f>+IF(FINANCIACION[[#This Row],[$ CAPITAL]]&gt;0,FINANCIACION[[#This Row],[$ CAPITAL]])</f>
        <v>2778000</v>
      </c>
      <c r="K794" s="186">
        <f>+IF(FINANCIACION[[#This Row],[$ CAPITAL]]&gt;=0,FINANCIACION[[#This Row],[$ CAPITAL]]+FINANCIACION[[#This Row],[$ INTERESES]],0)</f>
        <v>4060110</v>
      </c>
    </row>
    <row r="795" spans="1:11" ht="24" customHeight="1" x14ac:dyDescent="0.25">
      <c r="A795" s="177">
        <v>45436</v>
      </c>
      <c r="B795" s="184" t="s">
        <v>1501</v>
      </c>
      <c r="C795" s="179">
        <v>4167000</v>
      </c>
      <c r="D795" s="179">
        <v>576884</v>
      </c>
      <c r="E795" s="179">
        <f>+IF(FINANCIACION[[#This Row],[$ CAPITAL]]&gt;=0,FINANCIACION[[#This Row],[$ CAPITAL]]+FINANCIACION[[#This Row],[$ INTERESES]],"")</f>
        <v>4743884</v>
      </c>
      <c r="F795" s="179">
        <f>+SUMIFS(FINANCIACION[$ CAPITAL],FINANCIACION[Fecha],"&lt;="&amp;FINANCIACION[[#This Row],[Fecha]],FINANCIACION[PRESTAMO],FINANCIACION[[#This Row],[PRESTAMO]])</f>
        <v>-37499000</v>
      </c>
      <c r="G795" s="179"/>
      <c r="I795" s="185"/>
      <c r="J795" s="179">
        <f>+IF(FINANCIACION[[#This Row],[$ CAPITAL]]&gt;0,FINANCIACION[[#This Row],[$ CAPITAL]])</f>
        <v>4167000</v>
      </c>
      <c r="K795" s="186">
        <f>+IF(FINANCIACION[[#This Row],[$ CAPITAL]]&gt;=0,FINANCIACION[[#This Row],[$ CAPITAL]]+FINANCIACION[[#This Row],[$ INTERESES]],0)</f>
        <v>4743884</v>
      </c>
    </row>
    <row r="796" spans="1:11" ht="24" customHeight="1" x14ac:dyDescent="0.25">
      <c r="A796" s="177">
        <v>45435</v>
      </c>
      <c r="B796" s="184" t="s">
        <v>1419</v>
      </c>
      <c r="C796" s="179">
        <v>3500000</v>
      </c>
      <c r="D796" s="179"/>
      <c r="E796" s="179">
        <f>+IF(FINANCIACION[[#This Row],[$ CAPITAL]]&gt;=0,FINANCIACION[[#This Row],[$ CAPITAL]]+FINANCIACION[[#This Row],[$ INTERESES]],"")</f>
        <v>3500000</v>
      </c>
      <c r="F796" s="179">
        <f>+SUMIFS(FINANCIACION[$ CAPITAL],FINANCIACION[Fecha],"&lt;="&amp;FINANCIACION[[#This Row],[Fecha]],FINANCIACION[PRESTAMO],FINANCIACION[[#This Row],[PRESTAMO]])</f>
        <v>-353390</v>
      </c>
      <c r="G796" s="179"/>
      <c r="H796" s="185" t="s">
        <v>1913</v>
      </c>
      <c r="I796" s="185"/>
      <c r="J796" s="179">
        <f>+IF(FINANCIACION[[#This Row],[$ CAPITAL]]&gt;0,FINANCIACION[[#This Row],[$ CAPITAL]])</f>
        <v>3500000</v>
      </c>
      <c r="K796" s="186">
        <f>+IF(FINANCIACION[[#This Row],[$ CAPITAL]]&gt;=0,FINANCIACION[[#This Row],[$ CAPITAL]]+FINANCIACION[[#This Row],[$ INTERESES]],0)</f>
        <v>3500000</v>
      </c>
    </row>
    <row r="797" spans="1:11" ht="24" customHeight="1" x14ac:dyDescent="0.25">
      <c r="A797" s="177">
        <v>45436</v>
      </c>
      <c r="B797" s="184" t="s">
        <v>1418</v>
      </c>
      <c r="C797" s="179">
        <v>24445225</v>
      </c>
      <c r="D797" s="179"/>
      <c r="E797" s="179">
        <f>+IF(FINANCIACION[[#This Row],[$ CAPITAL]]&gt;=0,FINANCIACION[[#This Row],[$ CAPITAL]]+FINANCIACION[[#This Row],[$ INTERESES]],"")</f>
        <v>24445225</v>
      </c>
      <c r="F797" s="179">
        <f>+SUMIFS(FINANCIACION[$ CAPITAL],FINANCIACION[Fecha],"&lt;="&amp;FINANCIACION[[#This Row],[Fecha]],FINANCIACION[PRESTAMO],FINANCIACION[[#This Row],[PRESTAMO]])</f>
        <v>-961519</v>
      </c>
      <c r="G797" s="179"/>
      <c r="H797" s="185" t="s">
        <v>1913</v>
      </c>
      <c r="I797" s="185"/>
      <c r="J797" s="179">
        <f>+IF(FINANCIACION[[#This Row],[$ CAPITAL]]&gt;0,FINANCIACION[[#This Row],[$ CAPITAL]])</f>
        <v>24445225</v>
      </c>
      <c r="K797" s="186">
        <f>+IF(FINANCIACION[[#This Row],[$ CAPITAL]]&gt;=0,FINANCIACION[[#This Row],[$ CAPITAL]]+FINANCIACION[[#This Row],[$ INTERESES]],0)</f>
        <v>24445225</v>
      </c>
    </row>
    <row r="798" spans="1:11" ht="24" customHeight="1" x14ac:dyDescent="0.25">
      <c r="A798" s="177">
        <v>45439</v>
      </c>
      <c r="B798" s="184" t="s">
        <v>668</v>
      </c>
      <c r="C798" s="179">
        <v>-95000000</v>
      </c>
      <c r="D798" s="179"/>
      <c r="E798" s="179" t="str">
        <f>+IF(FINANCIACION[[#This Row],[$ CAPITAL]]&gt;=0,FINANCIACION[[#This Row],[$ CAPITAL]]+FINANCIACION[[#This Row],[$ INTERESES]],"")</f>
        <v/>
      </c>
      <c r="F798" s="179">
        <f>+SUMIFS(FINANCIACION[$ CAPITAL],FINANCIACION[Fecha],"&lt;="&amp;FINANCIACION[[#This Row],[Fecha]],FINANCIACION[PRESTAMO],FINANCIACION[[#This Row],[PRESTAMO]])</f>
        <v>-195000000</v>
      </c>
      <c r="G798" s="179"/>
      <c r="H798" s="183" t="s">
        <v>1927</v>
      </c>
      <c r="I798" s="185"/>
      <c r="J798" s="179" t="b">
        <f>+IF(FINANCIACION[[#This Row],[$ CAPITAL]]&gt;0,FINANCIACION[[#This Row],[$ CAPITAL]])</f>
        <v>0</v>
      </c>
      <c r="K798" s="186">
        <f>+IF(FINANCIACION[[#This Row],[$ CAPITAL]]&gt;=0,FINANCIACION[[#This Row],[$ CAPITAL]]+FINANCIACION[[#This Row],[$ INTERESES]],0)</f>
        <v>0</v>
      </c>
    </row>
    <row r="799" spans="1:11" ht="24" customHeight="1" x14ac:dyDescent="0.25">
      <c r="A799" s="177">
        <v>45439</v>
      </c>
      <c r="B799" s="184" t="s">
        <v>1420</v>
      </c>
      <c r="C799" s="179">
        <v>1481481.48</v>
      </c>
      <c r="D799" s="179">
        <v>566917.35</v>
      </c>
      <c r="E799" s="179">
        <f>+IF(FINANCIACION[[#This Row],[$ CAPITAL]]&gt;=0,FINANCIACION[[#This Row],[$ CAPITAL]]+FINANCIACION[[#This Row],[$ INTERESES]],"")</f>
        <v>2048398.83</v>
      </c>
      <c r="F799" s="179">
        <f>+SUMIFS(FINANCIACION[$ CAPITAL],FINANCIACION[Fecha],"&lt;="&amp;FINANCIACION[[#This Row],[Fecha]],FINANCIACION[PRESTAMO],FINANCIACION[[#This Row],[PRESTAMO]])</f>
        <v>-46031134.530000001</v>
      </c>
      <c r="G799" s="179"/>
      <c r="I799" s="185"/>
      <c r="J799" s="179">
        <f>+IF(FINANCIACION[[#This Row],[$ CAPITAL]]&gt;0,FINANCIACION[[#This Row],[$ CAPITAL]])</f>
        <v>1481481.48</v>
      </c>
      <c r="K799" s="186">
        <f>+IF(FINANCIACION[[#This Row],[$ CAPITAL]]&gt;=0,FINANCIACION[[#This Row],[$ CAPITAL]]+FINANCIACION[[#This Row],[$ INTERESES]],0)</f>
        <v>2048398.83</v>
      </c>
    </row>
    <row r="800" spans="1:11" ht="24" customHeight="1" x14ac:dyDescent="0.25">
      <c r="A800" s="177">
        <v>45432</v>
      </c>
      <c r="B800" s="184" t="s">
        <v>1470</v>
      </c>
      <c r="C800" s="179"/>
      <c r="D800" s="179">
        <v>1028182</v>
      </c>
      <c r="E800" s="179">
        <f>+IF(FINANCIACION[[#This Row],[$ CAPITAL]]&gt;=0,FINANCIACION[[#This Row],[$ CAPITAL]]+FINANCIACION[[#This Row],[$ INTERESES]],"")</f>
        <v>1028182</v>
      </c>
      <c r="F800" s="179">
        <f>+SUMIFS(FINANCIACION[$ CAPITAL],FINANCIACION[Fecha],"&lt;="&amp;FINANCIACION[[#This Row],[Fecha]],FINANCIACION[PRESTAMO],FINANCIACION[[#This Row],[PRESTAMO]])</f>
        <v>-95868547.100000009</v>
      </c>
      <c r="G800" s="179"/>
      <c r="I800" s="185"/>
      <c r="J800" s="179" t="b">
        <f>+IF(FINANCIACION[[#This Row],[$ CAPITAL]]&gt;0,FINANCIACION[[#This Row],[$ CAPITAL]])</f>
        <v>0</v>
      </c>
      <c r="K800" s="186">
        <f>+IF(FINANCIACION[[#This Row],[$ CAPITAL]]&gt;=0,FINANCIACION[[#This Row],[$ CAPITAL]]+FINANCIACION[[#This Row],[$ INTERESES]],0)</f>
        <v>1028182</v>
      </c>
    </row>
  </sheetData>
  <phoneticPr fontId="2" type="noConversion"/>
  <conditionalFormatting sqref="G734 G737:G740 G748:G753">
    <cfRule type="expression" dxfId="102" priority="19" stopIfTrue="1">
      <formula>$S734="Por pagar"</formula>
    </cfRule>
    <cfRule type="expression" dxfId="101" priority="20" stopIfTrue="1">
      <formula>$S734="Vencida"</formula>
    </cfRule>
    <cfRule type="expression" dxfId="100" priority="21" stopIfTrue="1">
      <formula>$S734="Pagada"</formula>
    </cfRule>
  </conditionalFormatting>
  <conditionalFormatting sqref="G730:G731 G727 G723 G693 G676:G690 G516:G604 G420:G431 G418 G415 G413 G411 G409 G406:G407 G404 G402 G400 G398 G396 G394 G344:G392">
    <cfRule type="expression" dxfId="99" priority="16" stopIfTrue="1">
      <formula>$S344="Por pagar"</formula>
    </cfRule>
    <cfRule type="expression" dxfId="98" priority="17" stopIfTrue="1">
      <formula>$S344="Vencida"</formula>
    </cfRule>
    <cfRule type="expression" dxfId="97" priority="18" stopIfTrue="1">
      <formula>$S344="Pagada"</formula>
    </cfRule>
  </conditionalFormatting>
  <conditionalFormatting sqref="G760">
    <cfRule type="expression" dxfId="96" priority="13" stopIfTrue="1">
      <formula>$S760="Por pagar"</formula>
    </cfRule>
    <cfRule type="expression" dxfId="95" priority="14" stopIfTrue="1">
      <formula>$S760="Vencida"</formula>
    </cfRule>
    <cfRule type="expression" dxfId="94" priority="15" stopIfTrue="1">
      <formula>$S760="Pagada"</formula>
    </cfRule>
  </conditionalFormatting>
  <conditionalFormatting sqref="G765">
    <cfRule type="expression" dxfId="93" priority="10" stopIfTrue="1">
      <formula>$S765="Por pagar"</formula>
    </cfRule>
    <cfRule type="expression" dxfId="92" priority="11" stopIfTrue="1">
      <formula>$S765="Vencida"</formula>
    </cfRule>
    <cfRule type="expression" dxfId="91" priority="12" stopIfTrue="1">
      <formula>$S765="Pagada"</formula>
    </cfRule>
  </conditionalFormatting>
  <conditionalFormatting sqref="G766">
    <cfRule type="expression" dxfId="90" priority="7" stopIfTrue="1">
      <formula>$S766="Por pagar"</formula>
    </cfRule>
    <cfRule type="expression" dxfId="89" priority="8" stopIfTrue="1">
      <formula>$S766="Vencida"</formula>
    </cfRule>
    <cfRule type="expression" dxfId="88" priority="9" stopIfTrue="1">
      <formula>$S766="Pagada"</formula>
    </cfRule>
  </conditionalFormatting>
  <conditionalFormatting sqref="G767">
    <cfRule type="expression" dxfId="87" priority="4" stopIfTrue="1">
      <formula>$S767="Por pagar"</formula>
    </cfRule>
    <cfRule type="expression" dxfId="86" priority="5" stopIfTrue="1">
      <formula>$S767="Vencida"</formula>
    </cfRule>
    <cfRule type="expression" dxfId="85" priority="6" stopIfTrue="1">
      <formula>$S767="Pagada"</formula>
    </cfRule>
  </conditionalFormatting>
  <conditionalFormatting sqref="G778">
    <cfRule type="expression" dxfId="84" priority="1" stopIfTrue="1">
      <formula>$S778="Por pagar"</formula>
    </cfRule>
    <cfRule type="expression" dxfId="83" priority="2" stopIfTrue="1">
      <formula>$S778="Vencida"</formula>
    </cfRule>
    <cfRule type="expression" dxfId="82" priority="3" stopIfTrue="1">
      <formula>$S778="Pagada"</formula>
    </cfRule>
  </conditionalFormatting>
  <dataValidations xWindow="542" yWindow="371" count="3">
    <dataValidation allowBlank="1" showInputMessage="1" showErrorMessage="1" prompt="Si es una deuda escribelo negativo._x000a__x000a_Si es un abono que sea positivo." sqref="C364 C384 C3:C336 C742" xr:uid="{00000000-0002-0000-0200-000000000000}"/>
    <dataValidation type="date" allowBlank="1" showInputMessage="1" showErrorMessage="1" error="SOLO FECHAS" sqref="A3:A570 A689 A736" xr:uid="{5BE27017-20B5-4A59-86E4-A766483605B6}">
      <formula1>36526</formula1>
      <formula2>47848</formula2>
    </dataValidation>
    <dataValidation allowBlank="1" showInputMessage="1" showErrorMessage="1" error="Primero crea el proveedor en la hoja &quot;Proveedores&quot;." sqref="G1" xr:uid="{1BC871DF-9A62-4198-AC91-BE91A2569022}"/>
  </dataValidations>
  <pageMargins left="0.7" right="0.7" top="0.75" bottom="0.75" header="0.3" footer="0.3"/>
  <pageSetup scale="5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542" yWindow="371" count="3">
        <x14:dataValidation type="list" allowBlank="1" showInputMessage="1" showErrorMessage="1" xr:uid="{016ED927-600B-4A1F-A49E-FB520E7C4029}">
          <x14:formula1>
            <xm:f>Financiadores!$A:$A</xm:f>
          </x14:formula1>
          <xm:sqref>B415:B433 B451:B730 B1 B358:B413 B344:B355 B440:B447 B732:B735 B737:B741 B748:B753 B761:B762 B764:B769 B777:B787 B794:B797 B799:B1048576</xm:sqref>
        </x14:dataValidation>
        <x14:dataValidation type="list" allowBlank="1" showInputMessage="1" showErrorMessage="1" error="Primero escribe el nombre del crédito en la hoja &quot;Financiadores&quot;" xr:uid="{D998F43E-86ED-4FFF-A8A6-557DE6EC6BB1}">
          <x14:formula1>
            <xm:f>Financiadores!$A:$A</xm:f>
          </x14:formula1>
          <xm:sqref>B356:B357 B731 B448:B450 B434:B439 B414 B2:B343 B736 B742:B747 B754:B760 B763 B770:B776 B788:B793 B798</xm:sqref>
        </x14:dataValidation>
        <x14:dataValidation type="list" allowBlank="1" showInputMessage="1" showErrorMessage="1" xr:uid="{B2B265E2-6663-4D51-9A21-5E882321D57D}">
          <x14:formula1>
            <xm:f>'Palabra que no opera y Listas d'!$C$2:$C$8</xm:f>
          </x14:formula1>
          <xm:sqref>G344:G1048576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C3AA-417B-4233-A1A6-AB2DFB197407}">
  <sheetPr codeName="Hoja9"/>
  <dimension ref="A1:W29"/>
  <sheetViews>
    <sheetView zoomScaleNormal="100" workbookViewId="0">
      <selection activeCell="W3" sqref="W3"/>
    </sheetView>
  </sheetViews>
  <sheetFormatPr baseColWidth="10" defaultColWidth="13.42578125" defaultRowHeight="21.6" customHeight="1" x14ac:dyDescent="0.25"/>
  <cols>
    <col min="1" max="1" width="30.42578125" style="20" customWidth="1"/>
    <col min="2" max="14" width="13.42578125" style="20" hidden="1" customWidth="1"/>
    <col min="15" max="15" width="12.5703125" style="20" hidden="1" customWidth="1"/>
    <col min="16" max="16" width="13.42578125" style="20" customWidth="1"/>
    <col min="17" max="17" width="17.28515625" style="20" customWidth="1"/>
    <col min="18" max="19" width="13.42578125" style="20" customWidth="1"/>
    <col min="20" max="16384" width="13.42578125" style="20"/>
  </cols>
  <sheetData>
    <row r="1" spans="1:21" s="77" customFormat="1" ht="21.6" customHeight="1" x14ac:dyDescent="0.25">
      <c r="A1" s="77" t="s">
        <v>130</v>
      </c>
      <c r="B1" s="77" t="s">
        <v>495</v>
      </c>
      <c r="C1" s="77" t="s">
        <v>494</v>
      </c>
      <c r="D1" s="77" t="s">
        <v>629</v>
      </c>
      <c r="E1" s="77" t="s">
        <v>1404</v>
      </c>
      <c r="F1" s="77" t="s">
        <v>1405</v>
      </c>
      <c r="G1" s="77" t="s">
        <v>1406</v>
      </c>
      <c r="H1" s="77" t="s">
        <v>1407</v>
      </c>
      <c r="I1" s="77" t="s">
        <v>1408</v>
      </c>
      <c r="J1" s="77" t="s">
        <v>1409</v>
      </c>
      <c r="K1" s="77" t="s">
        <v>1410</v>
      </c>
      <c r="L1" s="77" t="s">
        <v>1411</v>
      </c>
      <c r="M1" s="77" t="s">
        <v>1412</v>
      </c>
      <c r="N1" s="77" t="s">
        <v>1413</v>
      </c>
      <c r="O1" s="77" t="s">
        <v>1414</v>
      </c>
      <c r="P1" s="77" t="s">
        <v>1415</v>
      </c>
      <c r="Q1" s="77" t="s">
        <v>1416</v>
      </c>
      <c r="R1" s="77" t="s">
        <v>1615</v>
      </c>
      <c r="S1" s="77" t="s">
        <v>1669</v>
      </c>
      <c r="T1" s="77" t="s">
        <v>1765</v>
      </c>
      <c r="U1" s="77" t="s">
        <v>1939</v>
      </c>
    </row>
    <row r="2" spans="1:21" ht="21.6" customHeight="1" x14ac:dyDescent="0.25">
      <c r="A2" s="20" t="s">
        <v>336</v>
      </c>
      <c r="B2" s="22">
        <f>-SUMIFS(FINANCIACION[$ CAPITAL],
FINANCIACION[Fecha],"&lt;="&amp;EOMONTH(B$1,0),
FINANCIACION[PRESTAMO],$A2)</f>
        <v>13000000</v>
      </c>
      <c r="C2" s="22">
        <f>-SUMIFS(FINANCIACION[$ CAPITAL],
FINANCIACION[Fecha],"&lt;="&amp;EOMONTH(C$1,0),
FINANCIACION[PRESTAMO],$A2)</f>
        <v>13000000</v>
      </c>
      <c r="D2" s="22">
        <f>-SUMIFS(FINANCIACION[$ CAPITAL],
FINANCIACION[Fecha],"&lt;="&amp;EOMONTH(D$1,0),
FINANCIACION[PRESTAMO],$A2)</f>
        <v>13000000</v>
      </c>
      <c r="E2" s="22">
        <f>-SUMIFS(FINANCIACION[$ CAPITAL],
FINANCIACION[Fecha],"&lt;="&amp;EOMONTH(E$1,0),
FINANCIACION[PRESTAMO],$A2)</f>
        <v>13000000</v>
      </c>
      <c r="F2" s="22">
        <f>-SUMIFS(FINANCIACION[$ CAPITAL],
FINANCIACION[Fecha],"&lt;="&amp;EOMONTH(F$1,0),
FINANCIACION[PRESTAMO],$A2)</f>
        <v>13000000</v>
      </c>
      <c r="G2" s="22">
        <f>-SUMIFS(FINANCIACION[$ CAPITAL],
FINANCIACION[Fecha],"&lt;="&amp;EOMONTH(G$1,0),
FINANCIACION[PRESTAMO],$A2)</f>
        <v>13000000</v>
      </c>
      <c r="H2" s="22">
        <f>-SUMIFS(FINANCIACION[$ CAPITAL],
FINANCIACION[Fecha],"&lt;="&amp;EOMONTH(H$1,0),
FINANCIACION[PRESTAMO],$A2)</f>
        <v>13000000</v>
      </c>
      <c r="I2" s="22">
        <f>-SUMIFS(FINANCIACION[$ CAPITAL],
FINANCIACION[Fecha],"&lt;="&amp;EOMONTH(I$1,0),
FINANCIACION[PRESTAMO],$A2)</f>
        <v>13000000</v>
      </c>
      <c r="J2" s="22">
        <f>-SUMIFS(FINANCIACION[$ CAPITAL],
FINANCIACION[Fecha],"&lt;="&amp;EOMONTH(J$1,0),
FINANCIACION[PRESTAMO],$A2)</f>
        <v>13000000</v>
      </c>
      <c r="K2" s="22">
        <f>-SUMIFS(FINANCIACION[$ CAPITAL],
FINANCIACION[Fecha],"&lt;="&amp;EOMONTH(K$1,0),
FINANCIACION[PRESTAMO],$A2)</f>
        <v>13000000</v>
      </c>
      <c r="L2" s="22">
        <f>-SUMIFS(FINANCIACION[$ CAPITAL],
FINANCIACION[Fecha],"&lt;="&amp;EOMONTH(L$1,0),
FINANCIACION[PRESTAMO],$A2)</f>
        <v>13000000</v>
      </c>
      <c r="M2" s="22">
        <f>-SUMIFS(FINANCIACION[$ CAPITAL],
FINANCIACION[Fecha],"&lt;="&amp;EOMONTH(M$1,0),
FINANCIACION[PRESTAMO],$A2)</f>
        <v>13000000</v>
      </c>
      <c r="N2" s="22">
        <f>-SUMIFS(FINANCIACION[$ CAPITAL],
FINANCIACION[Fecha],"&lt;="&amp;EOMONTH(N$1,0),
FINANCIACION[PRESTAMO],$A2)</f>
        <v>13000000</v>
      </c>
      <c r="O2" s="22">
        <f>-SUMIFS(FINANCIACION[$ CAPITAL],
FINANCIACION[Fecha],"&lt;="&amp;EOMONTH(O$1,0),
FINANCIACION[PRESTAMO],$A2)</f>
        <v>13000000</v>
      </c>
      <c r="P2" s="22">
        <f>-SUMIFS(FINANCIACION[$ CAPITAL],
FINANCIACION[Fecha],"&lt;="&amp;EOMONTH(P$1,0),
FINANCIACION[PRESTAMO],$A2)</f>
        <v>13000000</v>
      </c>
      <c r="Q2" s="22">
        <f>-SUMIFS(FINANCIACION[$ CAPITAL],
FINANCIACION[Fecha],"&lt;="&amp;EOMONTH(Q$1,0),
FINANCIACION[PRESTAMO],$A2)</f>
        <v>13000000</v>
      </c>
      <c r="R2" s="22">
        <f>-SUMIFS(FINANCIACION[$ CAPITAL],
FINANCIACION[Fecha],"&lt;="&amp;EOMONTH(R$1,0),
FINANCIACION[PRESTAMO],$A2)</f>
        <v>13000000</v>
      </c>
      <c r="S2" s="22">
        <f>-SUMIFS(FINANCIACION[$ CAPITAL],
FINANCIACION[Fecha],"&lt;="&amp;EOMONTH(S$1,0),
FINANCIACION[PRESTAMO],$A2)</f>
        <v>13000000</v>
      </c>
      <c r="T2" s="22">
        <f>-SUMIFS(FINANCIACION[$ CAPITAL],
FINANCIACION[Fecha],"&lt;="&amp;EOMONTH(T$1,0),
FINANCIACION[PRESTAMO],$A2)</f>
        <v>13000000</v>
      </c>
      <c r="U2" s="22">
        <f>-SUMIFS(FINANCIACION[$ CAPITAL],
FINANCIACION[Fecha],"&lt;="&amp;EOMONTH(U$1,0),
FINANCIACION[PRESTAMO],$A2)</f>
        <v>13000000</v>
      </c>
    </row>
    <row r="3" spans="1:21" ht="21.6" customHeight="1" x14ac:dyDescent="0.25">
      <c r="A3" s="20" t="s">
        <v>668</v>
      </c>
      <c r="B3" s="22">
        <f>-SUMIFS(FINANCIACION[$ CAPITAL],
FINANCIACION[Fecha],"&lt;="&amp;EOMONTH(B$1,0),
FINANCIACION[PRESTAMO],$A3)</f>
        <v>0</v>
      </c>
      <c r="C3" s="22">
        <f>-SUMIFS(FINANCIACION[$ CAPITAL],
FINANCIACION[Fecha],"&lt;="&amp;EOMONTH(C$1,0),
FINANCIACION[PRESTAMO],$A3)</f>
        <v>0</v>
      </c>
      <c r="D3" s="22">
        <f>-SUMIFS(FINANCIACION[$ CAPITAL],
FINANCIACION[Fecha],"&lt;="&amp;EOMONTH(D$1,0),
FINANCIACION[PRESTAMO],$A3)</f>
        <v>0</v>
      </c>
      <c r="E3" s="22">
        <f>-SUMIFS(FINANCIACION[$ CAPITAL],
FINANCIACION[Fecha],"&lt;="&amp;EOMONTH(E$1,0),
FINANCIACION[PRESTAMO],$A3)</f>
        <v>0</v>
      </c>
      <c r="F3" s="22">
        <f>-SUMIFS(FINANCIACION[$ CAPITAL],
FINANCIACION[Fecha],"&lt;="&amp;EOMONTH(F$1,0),
FINANCIACION[PRESTAMO],$A3)</f>
        <v>0</v>
      </c>
      <c r="G3" s="22">
        <f>-SUMIFS(FINANCIACION[$ CAPITAL],
FINANCIACION[Fecha],"&lt;="&amp;EOMONTH(G$1,0),
FINANCIACION[PRESTAMO],$A3)</f>
        <v>20000000</v>
      </c>
      <c r="H3" s="22">
        <f>-SUMIFS(FINANCIACION[$ CAPITAL],
FINANCIACION[Fecha],"&lt;="&amp;EOMONTH(H$1,0),
FINANCIACION[PRESTAMO],$A3)</f>
        <v>20000000</v>
      </c>
      <c r="I3" s="22">
        <f>-SUMIFS(FINANCIACION[$ CAPITAL],
FINANCIACION[Fecha],"&lt;="&amp;EOMONTH(I$1,0),
FINANCIACION[PRESTAMO],$A3)</f>
        <v>20000000</v>
      </c>
      <c r="J3" s="22">
        <f>-SUMIFS(FINANCIACION[$ CAPITAL],
FINANCIACION[Fecha],"&lt;="&amp;EOMONTH(J$1,0),
FINANCIACION[PRESTAMO],$A3)</f>
        <v>20000000</v>
      </c>
      <c r="K3" s="22">
        <f>-SUMIFS(FINANCIACION[$ CAPITAL],
FINANCIACION[Fecha],"&lt;="&amp;EOMONTH(K$1,0),
FINANCIACION[PRESTAMO],$A3)</f>
        <v>70000000</v>
      </c>
      <c r="L3" s="22">
        <f>-SUMIFS(FINANCIACION[$ CAPITAL],
FINANCIACION[Fecha],"&lt;="&amp;EOMONTH(L$1,0),
FINANCIACION[PRESTAMO],$A3)</f>
        <v>70000000</v>
      </c>
      <c r="M3" s="22">
        <f>-SUMIFS(FINANCIACION[$ CAPITAL],
FINANCIACION[Fecha],"&lt;="&amp;EOMONTH(M$1,0),
FINANCIACION[PRESTAMO],$A3)</f>
        <v>70000000</v>
      </c>
      <c r="N3" s="22">
        <f>-SUMIFS(FINANCIACION[$ CAPITAL],
FINANCIACION[Fecha],"&lt;="&amp;EOMONTH(N$1,0),
FINANCIACION[PRESTAMO],$A3)</f>
        <v>70000000</v>
      </c>
      <c r="O3" s="22">
        <f>-SUMIFS(FINANCIACION[$ CAPITAL],
FINANCIACION[Fecha],"&lt;="&amp;EOMONTH(O$1,0),
FINANCIACION[PRESTAMO],$A3)</f>
        <v>70000000</v>
      </c>
      <c r="P3" s="22">
        <f>-SUMIFS(FINANCIACION[$ CAPITAL],
FINANCIACION[Fecha],"&lt;="&amp;EOMONTH(P$1,0),
FINANCIACION[PRESTAMO],$A3)</f>
        <v>70000000</v>
      </c>
      <c r="Q3" s="22">
        <f>-SUMIFS(FINANCIACION[$ CAPITAL],
FINANCIACION[Fecha],"&lt;="&amp;EOMONTH(Q$1,0),
FINANCIACION[PRESTAMO],$A3)</f>
        <v>70000000</v>
      </c>
      <c r="R3" s="22">
        <f>-SUMIFS(FINANCIACION[$ CAPITAL],
FINANCIACION[Fecha],"&lt;="&amp;EOMONTH(R$1,0),
FINANCIACION[PRESTAMO],$A3)</f>
        <v>70000000</v>
      </c>
      <c r="S3" s="22">
        <f>-SUMIFS(FINANCIACION[$ CAPITAL],
FINANCIACION[Fecha],"&lt;="&amp;EOMONTH(S$1,0),
FINANCIACION[PRESTAMO],$A3)</f>
        <v>70000000</v>
      </c>
      <c r="T3" s="22">
        <f>-SUMIFS(FINANCIACION[$ CAPITAL],
FINANCIACION[Fecha],"&lt;="&amp;EOMONTH(T$1,0),
FINANCIACION[PRESTAMO],$A3)</f>
        <v>195000000</v>
      </c>
      <c r="U3" s="22">
        <f>-SUMIFS(FINANCIACION[$ CAPITAL],
FINANCIACION[Fecha],"&lt;="&amp;EOMONTH(U$1,0),
FINANCIACION[PRESTAMO],$A3)</f>
        <v>195000000</v>
      </c>
    </row>
    <row r="4" spans="1:21" ht="21.6" customHeight="1" x14ac:dyDescent="0.25">
      <c r="A4" s="20" t="s">
        <v>334</v>
      </c>
      <c r="B4" s="22">
        <f>-SUMIFS(FINANCIACION[$ CAPITAL],
FINANCIACION[Fecha],"&lt;="&amp;EOMONTH(B$1,0),
FINANCIACION[PRESTAMO],$A4)</f>
        <v>75000000</v>
      </c>
      <c r="C4" s="22">
        <f>-SUMIFS(FINANCIACION[$ CAPITAL],
FINANCIACION[Fecha],"&lt;="&amp;EOMONTH(C$1,0),
FINANCIACION[PRESTAMO],$A4)</f>
        <v>75000000</v>
      </c>
      <c r="D4" s="22">
        <f>-SUMIFS(FINANCIACION[$ CAPITAL],
FINANCIACION[Fecha],"&lt;="&amp;EOMONTH(D$1,0),
FINANCIACION[PRESTAMO],$A4)</f>
        <v>75000000</v>
      </c>
      <c r="E4" s="22">
        <f>-SUMIFS(FINANCIACION[$ CAPITAL],
FINANCIACION[Fecha],"&lt;="&amp;EOMONTH(E$1,0),
FINANCIACION[PRESTAMO],$A4)</f>
        <v>75000000</v>
      </c>
      <c r="F4" s="22">
        <f>-SUMIFS(FINANCIACION[$ CAPITAL],
FINANCIACION[Fecha],"&lt;="&amp;EOMONTH(F$1,0),
FINANCIACION[PRESTAMO],$A4)</f>
        <v>75000000</v>
      </c>
      <c r="G4" s="22">
        <f>-SUMIFS(FINANCIACION[$ CAPITAL],
FINANCIACION[Fecha],"&lt;="&amp;EOMONTH(G$1,0),
FINANCIACION[PRESTAMO],$A4)</f>
        <v>75000000</v>
      </c>
      <c r="H4" s="22">
        <f>-SUMIFS(FINANCIACION[$ CAPITAL],
FINANCIACION[Fecha],"&lt;="&amp;EOMONTH(H$1,0),
FINANCIACION[PRESTAMO],$A4)</f>
        <v>75000000</v>
      </c>
      <c r="I4" s="22">
        <f>-SUMIFS(FINANCIACION[$ CAPITAL],
FINANCIACION[Fecha],"&lt;="&amp;EOMONTH(I$1,0),
FINANCIACION[PRESTAMO],$A4)</f>
        <v>75000000</v>
      </c>
      <c r="J4" s="22">
        <f>-SUMIFS(FINANCIACION[$ CAPITAL],
FINANCIACION[Fecha],"&lt;="&amp;EOMONTH(J$1,0),
FINANCIACION[PRESTAMO],$A4)</f>
        <v>75000000</v>
      </c>
      <c r="K4" s="22">
        <f>-SUMIFS(FINANCIACION[$ CAPITAL],
FINANCIACION[Fecha],"&lt;="&amp;EOMONTH(K$1,0),
FINANCIACION[PRESTAMO],$A4)</f>
        <v>75000000</v>
      </c>
      <c r="L4" s="22">
        <f>-SUMIFS(FINANCIACION[$ CAPITAL],
FINANCIACION[Fecha],"&lt;="&amp;EOMONTH(L$1,0),
FINANCIACION[PRESTAMO],$A4)</f>
        <v>75000000</v>
      </c>
      <c r="M4" s="22">
        <f>-SUMIFS(FINANCIACION[$ CAPITAL],
FINANCIACION[Fecha],"&lt;="&amp;EOMONTH(M$1,0),
FINANCIACION[PRESTAMO],$A4)</f>
        <v>75000000</v>
      </c>
      <c r="N4" s="22">
        <f>-SUMIFS(FINANCIACION[$ CAPITAL],
FINANCIACION[Fecha],"&lt;="&amp;EOMONTH(N$1,0),
FINANCIACION[PRESTAMO],$A4)</f>
        <v>75000000</v>
      </c>
      <c r="O4" s="22">
        <f>-SUMIFS(FINANCIACION[$ CAPITAL],
FINANCIACION[Fecha],"&lt;="&amp;EOMONTH(O$1,0),
FINANCIACION[PRESTAMO],$A4)</f>
        <v>75000000</v>
      </c>
      <c r="P4" s="22">
        <f>-SUMIFS(FINANCIACION[$ CAPITAL],
FINANCIACION[Fecha],"&lt;="&amp;EOMONTH(P$1,0),
FINANCIACION[PRESTAMO],$A4)</f>
        <v>80000000</v>
      </c>
      <c r="Q4" s="22">
        <f>-SUMIFS(FINANCIACION[$ CAPITAL],
FINANCIACION[Fecha],"&lt;="&amp;EOMONTH(Q$1,0),
FINANCIACION[PRESTAMO],$A4)</f>
        <v>80000000</v>
      </c>
      <c r="R4" s="22">
        <f>-SUMIFS(FINANCIACION[$ CAPITAL],
FINANCIACION[Fecha],"&lt;="&amp;EOMONTH(R$1,0),
FINANCIACION[PRESTAMO],$A4)</f>
        <v>174000000</v>
      </c>
      <c r="S4" s="22">
        <f>-SUMIFS(FINANCIACION[$ CAPITAL],
FINANCIACION[Fecha],"&lt;="&amp;EOMONTH(S$1,0),
FINANCIACION[PRESTAMO],$A4)</f>
        <v>200000000</v>
      </c>
      <c r="T4" s="22">
        <f>-SUMIFS(FINANCIACION[$ CAPITAL],
FINANCIACION[Fecha],"&lt;="&amp;EOMONTH(T$1,0),
FINANCIACION[PRESTAMO],$A4)</f>
        <v>200000000</v>
      </c>
      <c r="U4" s="22">
        <f>-SUMIFS(FINANCIACION[$ CAPITAL],
FINANCIACION[Fecha],"&lt;="&amp;EOMONTH(U$1,0),
FINANCIACION[PRESTAMO],$A4)</f>
        <v>200000000</v>
      </c>
    </row>
    <row r="5" spans="1:21" ht="21.6" customHeight="1" x14ac:dyDescent="0.25">
      <c r="A5" s="20" t="s">
        <v>338</v>
      </c>
      <c r="B5" s="22">
        <f>-SUMIFS(FINANCIACION[$ CAPITAL],
FINANCIACION[Fecha],"&lt;="&amp;EOMONTH(B$1,0),
FINANCIACION[PRESTAMO],$A5)</f>
        <v>40000000</v>
      </c>
      <c r="C5" s="22">
        <f>-SUMIFS(FINANCIACION[$ CAPITAL],
FINANCIACION[Fecha],"&lt;="&amp;EOMONTH(C$1,0),
FINANCIACION[PRESTAMO],$A5)</f>
        <v>40000000</v>
      </c>
      <c r="D5" s="22">
        <f>-SUMIFS(FINANCIACION[$ CAPITAL],
FINANCIACION[Fecha],"&lt;="&amp;EOMONTH(D$1,0),
FINANCIACION[PRESTAMO],$A5)</f>
        <v>40000000</v>
      </c>
      <c r="E5" s="22">
        <f>-SUMIFS(FINANCIACION[$ CAPITAL],
FINANCIACION[Fecha],"&lt;="&amp;EOMONTH(E$1,0),
FINANCIACION[PRESTAMO],$A5)</f>
        <v>35000000</v>
      </c>
      <c r="F5" s="22">
        <f>-SUMIFS(FINANCIACION[$ CAPITAL],
FINANCIACION[Fecha],"&lt;="&amp;EOMONTH(F$1,0),
FINANCIACION[PRESTAMO],$A5)</f>
        <v>35000000</v>
      </c>
      <c r="G5" s="22">
        <f>-SUMIFS(FINANCIACION[$ CAPITAL],
FINANCIACION[Fecha],"&lt;="&amp;EOMONTH(G$1,0),
FINANCIACION[PRESTAMO],$A5)</f>
        <v>35000000</v>
      </c>
      <c r="H5" s="22">
        <f>-SUMIFS(FINANCIACION[$ CAPITAL],
FINANCIACION[Fecha],"&lt;="&amp;EOMONTH(H$1,0),
FINANCIACION[PRESTAMO],$A5)</f>
        <v>35000000</v>
      </c>
      <c r="I5" s="22">
        <f>-SUMIFS(FINANCIACION[$ CAPITAL],
FINANCIACION[Fecha],"&lt;="&amp;EOMONTH(I$1,0),
FINANCIACION[PRESTAMO],$A5)</f>
        <v>35000000</v>
      </c>
      <c r="J5" s="22">
        <f>-SUMIFS(FINANCIACION[$ CAPITAL],
FINANCIACION[Fecha],"&lt;="&amp;EOMONTH(J$1,0),
FINANCIACION[PRESTAMO],$A5)</f>
        <v>35000000</v>
      </c>
      <c r="K5" s="22">
        <f>-SUMIFS(FINANCIACION[$ CAPITAL],
FINANCIACION[Fecha],"&lt;="&amp;EOMONTH(K$1,0),
FINANCIACION[PRESTAMO],$A5)</f>
        <v>35000000</v>
      </c>
      <c r="L5" s="22">
        <f>-SUMIFS(FINANCIACION[$ CAPITAL],
FINANCIACION[Fecha],"&lt;="&amp;EOMONTH(L$1,0),
FINANCIACION[PRESTAMO],$A5)</f>
        <v>35000000</v>
      </c>
      <c r="M5" s="22">
        <f>-SUMIFS(FINANCIACION[$ CAPITAL],
FINANCIACION[Fecha],"&lt;="&amp;EOMONTH(M$1,0),
FINANCIACION[PRESTAMO],$A5)</f>
        <v>35000000</v>
      </c>
      <c r="N5" s="22">
        <f>-SUMIFS(FINANCIACION[$ CAPITAL],
FINANCIACION[Fecha],"&lt;="&amp;EOMONTH(N$1,0),
FINANCIACION[PRESTAMO],$A5)</f>
        <v>35000000</v>
      </c>
      <c r="O5" s="22">
        <f>-SUMIFS(FINANCIACION[$ CAPITAL],
FINANCIACION[Fecha],"&lt;="&amp;EOMONTH(O$1,0),
FINANCIACION[PRESTAMO],$A5)</f>
        <v>35000000</v>
      </c>
      <c r="P5" s="22">
        <f>-SUMIFS(FINANCIACION[$ CAPITAL],
FINANCIACION[Fecha],"&lt;="&amp;EOMONTH(P$1,0),
FINANCIACION[PRESTAMO],$A5)</f>
        <v>35000000</v>
      </c>
      <c r="Q5" s="22">
        <f>-SUMIFS(FINANCIACION[$ CAPITAL],
FINANCIACION[Fecha],"&lt;="&amp;EOMONTH(Q$1,0),
FINANCIACION[PRESTAMO],$A5)</f>
        <v>35000000</v>
      </c>
      <c r="R5" s="22">
        <f>-SUMIFS(FINANCIACION[$ CAPITAL],
FINANCIACION[Fecha],"&lt;="&amp;EOMONTH(R$1,0),
FINANCIACION[PRESTAMO],$A5)</f>
        <v>35000000</v>
      </c>
      <c r="S5" s="22">
        <f>-SUMIFS(FINANCIACION[$ CAPITAL],
FINANCIACION[Fecha],"&lt;="&amp;EOMONTH(S$1,0),
FINANCIACION[PRESTAMO],$A5)</f>
        <v>35000000</v>
      </c>
      <c r="T5" s="22">
        <f>-SUMIFS(FINANCIACION[$ CAPITAL],
FINANCIACION[Fecha],"&lt;="&amp;EOMONTH(T$1,0),
FINANCIACION[PRESTAMO],$A5)</f>
        <v>35000000</v>
      </c>
      <c r="U5" s="22">
        <f>-SUMIFS(FINANCIACION[$ CAPITAL],
FINANCIACION[Fecha],"&lt;="&amp;EOMONTH(U$1,0),
FINANCIACION[PRESTAMO],$A5)</f>
        <v>35000000</v>
      </c>
    </row>
    <row r="6" spans="1:21" ht="21.6" customHeight="1" x14ac:dyDescent="0.25">
      <c r="A6" s="20" t="s">
        <v>330</v>
      </c>
      <c r="B6" s="22">
        <f>-SUMIFS(FINANCIACION[$ CAPITAL],
FINANCIACION[Fecha],"&lt;="&amp;EOMONTH(B$1,0),
FINANCIACION[PRESTAMO],$A6)</f>
        <v>48499065.484479994</v>
      </c>
      <c r="C6" s="22">
        <f>-SUMIFS(FINANCIACION[$ CAPITAL],
FINANCIACION[Fecha],"&lt;="&amp;EOMONTH(C$1,0),
FINANCIACION[PRESTAMO],$A6)</f>
        <v>46306678.484479994</v>
      </c>
      <c r="D6" s="22">
        <f>-SUMIFS(FINANCIACION[$ CAPITAL],
FINANCIACION[Fecha],"&lt;="&amp;EOMONTH(D$1,0),
FINANCIACION[PRESTAMO],$A6)</f>
        <v>44092367.484479994</v>
      </c>
      <c r="E6" s="22">
        <f>-SUMIFS(FINANCIACION[$ CAPITAL],
FINANCIACION[Fecha],"&lt;="&amp;EOMONTH(E$1,0),
FINANCIACION[PRESTAMO],$A6)</f>
        <v>41855913.484479994</v>
      </c>
      <c r="F6" s="22">
        <f>-SUMIFS(FINANCIACION[$ CAPITAL],
FINANCIACION[Fecha],"&lt;="&amp;EOMONTH(F$1,0),
FINANCIACION[PRESTAMO],$A6)</f>
        <v>39597094.484479994</v>
      </c>
      <c r="G6" s="22">
        <f>-SUMIFS(FINANCIACION[$ CAPITAL],
FINANCIACION[Fecha],"&lt;="&amp;EOMONTH(G$1,0),
FINANCIACION[PRESTAMO],$A6)</f>
        <v>37315665.484479994</v>
      </c>
      <c r="H6" s="22">
        <f>-SUMIFS(FINANCIACION[$ CAPITAL],
FINANCIACION[Fecha],"&lt;="&amp;EOMONTH(H$1,0),
FINANCIACION[PRESTAMO],$A6)</f>
        <v>35011422.484479994</v>
      </c>
      <c r="I6" s="22">
        <f>-SUMIFS(FINANCIACION[$ CAPITAL],
FINANCIACION[Fecha],"&lt;="&amp;EOMONTH(I$1,0),
FINANCIACION[PRESTAMO],$A6)</f>
        <v>34361536.484479994</v>
      </c>
      <c r="J6" s="22">
        <f>-SUMIFS(FINANCIACION[$ CAPITAL],
FINANCIACION[Fecha],"&lt;="&amp;EOMONTH(J$1,0),
FINANCIACION[PRESTAMO],$A6)</f>
        <v>33705152.484479994</v>
      </c>
      <c r="K6" s="22">
        <f>-SUMIFS(FINANCIACION[$ CAPITAL],
FINANCIACION[Fecha],"&lt;="&amp;EOMONTH(K$1,0),
FINANCIACION[PRESTAMO],$A6)</f>
        <v>33042203.484479994</v>
      </c>
      <c r="L6" s="22">
        <f>-SUMIFS(FINANCIACION[$ CAPITAL],
FINANCIACION[Fecha],"&lt;="&amp;EOMONTH(L$1,0),
FINANCIACION[PRESTAMO],$A6)</f>
        <v>32372625.514479995</v>
      </c>
      <c r="M6" s="22">
        <f>-SUMIFS(FINANCIACION[$ CAPITAL],
FINANCIACION[Fecha],"&lt;="&amp;EOMONTH(M$1,0),
FINANCIACION[PRESTAMO],$A6)</f>
        <v>31696351.514479995</v>
      </c>
      <c r="N6" s="22">
        <f>-SUMIFS(FINANCIACION[$ CAPITAL],
FINANCIACION[Fecha],"&lt;="&amp;EOMONTH(N$1,0),
FINANCIACION[PRESTAMO],$A6)</f>
        <v>31013315.514479995</v>
      </c>
      <c r="O6" s="22">
        <f>-SUMIFS(FINANCIACION[$ CAPITAL],
FINANCIACION[Fecha],"&lt;="&amp;EOMONTH(O$1,0),
FINANCIACION[PRESTAMO],$A6)</f>
        <v>30323451.514479995</v>
      </c>
      <c r="P6" s="22">
        <f>-SUMIFS(FINANCIACION[$ CAPITAL],
FINANCIACION[Fecha],"&lt;="&amp;EOMONTH(P$1,0),
FINANCIACION[PRESTAMO],$A6)</f>
        <v>29626686.514479995</v>
      </c>
      <c r="Q6" s="22">
        <f>-SUMIFS(FINANCIACION[$ CAPITAL],
FINANCIACION[Fecha],"&lt;="&amp;EOMONTH(Q$1,0),
FINANCIACION[PRESTAMO],$A6)</f>
        <v>28922953.379624795</v>
      </c>
      <c r="R6" s="22">
        <f>-SUMIFS(FINANCIACION[$ CAPITAL],
FINANCIACION[Fecha],"&lt;="&amp;EOMONTH(R$1,0),
FINANCIACION[PRESTAMO],$A6)</f>
        <v>28212182.909624796</v>
      </c>
      <c r="S6" s="22">
        <f>-SUMIFS(FINANCIACION[$ CAPITAL],
FINANCIACION[Fecha],"&lt;="&amp;EOMONTH(S$1,0),
FINANCIACION[PRESTAMO],$A6)</f>
        <v>27494304.739624798</v>
      </c>
      <c r="T6" s="22">
        <f>-SUMIFS(FINANCIACION[$ CAPITAL],
FINANCIACION[Fecha],"&lt;="&amp;EOMONTH(T$1,0),
FINANCIACION[PRESTAMO],$A6)</f>
        <v>26036940.269624799</v>
      </c>
      <c r="U6" s="22">
        <f>-SUMIFS(FINANCIACION[$ CAPITAL],
FINANCIACION[Fecha],"&lt;="&amp;EOMONTH(U$1,0),
FINANCIACION[PRESTAMO],$A6)</f>
        <v>26036940.269624799</v>
      </c>
    </row>
    <row r="7" spans="1:21" ht="21.6" customHeight="1" x14ac:dyDescent="0.25">
      <c r="A7" s="20" t="s">
        <v>339</v>
      </c>
      <c r="B7" s="22">
        <f>-SUMIFS(FINANCIACION[$ CAPITAL],
FINANCIACION[Fecha],"&lt;="&amp;EOMONTH(B$1,0),
FINANCIACION[PRESTAMO],$A7)</f>
        <v>0</v>
      </c>
      <c r="C7" s="22">
        <f>-SUMIFS(FINANCIACION[$ CAPITAL],
FINANCIACION[Fecha],"&lt;="&amp;EOMONTH(C$1,0),
FINANCIACION[PRESTAMO],$A7)</f>
        <v>0</v>
      </c>
      <c r="D7" s="22">
        <f>-SUMIFS(FINANCIACION[$ CAPITAL],
FINANCIACION[Fecha],"&lt;="&amp;EOMONTH(D$1,0),
FINANCIACION[PRESTAMO],$A7)</f>
        <v>0</v>
      </c>
      <c r="E7" s="22">
        <f>-SUMIFS(FINANCIACION[$ CAPITAL],
FINANCIACION[Fecha],"&lt;="&amp;EOMONTH(E$1,0),
FINANCIACION[PRESTAMO],$A7)</f>
        <v>0</v>
      </c>
      <c r="F7" s="22">
        <f>-SUMIFS(FINANCIACION[$ CAPITAL],
FINANCIACION[Fecha],"&lt;="&amp;EOMONTH(F$1,0),
FINANCIACION[PRESTAMO],$A7)</f>
        <v>0</v>
      </c>
      <c r="G7" s="22">
        <f>-SUMIFS(FINANCIACION[$ CAPITAL],
FINANCIACION[Fecha],"&lt;="&amp;EOMONTH(G$1,0),
FINANCIACION[PRESTAMO],$A7)</f>
        <v>0</v>
      </c>
      <c r="H7" s="22">
        <f>-SUMIFS(FINANCIACION[$ CAPITAL],
FINANCIACION[Fecha],"&lt;="&amp;EOMONTH(H$1,0),
FINANCIACION[PRESTAMO],$A7)</f>
        <v>0</v>
      </c>
      <c r="I7" s="22">
        <f>-SUMIFS(FINANCIACION[$ CAPITAL],
FINANCIACION[Fecha],"&lt;="&amp;EOMONTH(I$1,0),
FINANCIACION[PRESTAMO],$A7)</f>
        <v>0</v>
      </c>
      <c r="J7" s="22">
        <f>-SUMIFS(FINANCIACION[$ CAPITAL],
FINANCIACION[Fecha],"&lt;="&amp;EOMONTH(J$1,0),
FINANCIACION[PRESTAMO],$A7)</f>
        <v>0</v>
      </c>
      <c r="K7" s="22">
        <f>-SUMIFS(FINANCIACION[$ CAPITAL],
FINANCIACION[Fecha],"&lt;="&amp;EOMONTH(K$1,0),
FINANCIACION[PRESTAMO],$A7)</f>
        <v>0</v>
      </c>
      <c r="L7" s="22">
        <f>-SUMIFS(FINANCIACION[$ CAPITAL],
FINANCIACION[Fecha],"&lt;="&amp;EOMONTH(L$1,0),
FINANCIACION[PRESTAMO],$A7)</f>
        <v>0</v>
      </c>
      <c r="M7" s="22">
        <f>-SUMIFS(FINANCIACION[$ CAPITAL],
FINANCIACION[Fecha],"&lt;="&amp;EOMONTH(M$1,0),
FINANCIACION[PRESTAMO],$A7)</f>
        <v>0</v>
      </c>
      <c r="N7" s="22">
        <f>-SUMIFS(FINANCIACION[$ CAPITAL],
FINANCIACION[Fecha],"&lt;="&amp;EOMONTH(N$1,0),
FINANCIACION[PRESTAMO],$A7)</f>
        <v>0</v>
      </c>
      <c r="O7" s="22">
        <f>-SUMIFS(FINANCIACION[$ CAPITAL],
FINANCIACION[Fecha],"&lt;="&amp;EOMONTH(O$1,0),
FINANCIACION[PRESTAMO],$A7)</f>
        <v>30000000</v>
      </c>
      <c r="P7" s="22">
        <f>-SUMIFS(FINANCIACION[$ CAPITAL],
FINANCIACION[Fecha],"&lt;="&amp;EOMONTH(P$1,0),
FINANCIACION[PRESTAMO],$A7)</f>
        <v>30000000</v>
      </c>
      <c r="Q7" s="22">
        <f>-SUMIFS(FINANCIACION[$ CAPITAL],
FINANCIACION[Fecha],"&lt;="&amp;EOMONTH(Q$1,0),
FINANCIACION[PRESTAMO],$A7)</f>
        <v>30000000</v>
      </c>
      <c r="R7" s="22">
        <f>-SUMIFS(FINANCIACION[$ CAPITAL],
FINANCIACION[Fecha],"&lt;="&amp;EOMONTH(R$1,0),
FINANCIACION[PRESTAMO],$A7)</f>
        <v>30000000</v>
      </c>
      <c r="S7" s="22">
        <f>-SUMIFS(FINANCIACION[$ CAPITAL],
FINANCIACION[Fecha],"&lt;="&amp;EOMONTH(S$1,0),
FINANCIACION[PRESTAMO],$A7)</f>
        <v>30000000</v>
      </c>
      <c r="T7" s="22">
        <f>-SUMIFS(FINANCIACION[$ CAPITAL],
FINANCIACION[Fecha],"&lt;="&amp;EOMONTH(T$1,0),
FINANCIACION[PRESTAMO],$A7)</f>
        <v>30000000</v>
      </c>
      <c r="U7" s="22">
        <f>-SUMIFS(FINANCIACION[$ CAPITAL],
FINANCIACION[Fecha],"&lt;="&amp;EOMONTH(U$1,0),
FINANCIACION[PRESTAMO],$A7)</f>
        <v>30000000</v>
      </c>
    </row>
    <row r="8" spans="1:21" ht="21.6" customHeight="1" x14ac:dyDescent="0.25">
      <c r="A8" s="20" t="s">
        <v>333</v>
      </c>
      <c r="B8" s="22">
        <f>-SUMIFS(FINANCIACION[$ CAPITAL],
FINANCIACION[Fecha],"&lt;="&amp;EOMONTH(B$1,0),
FINANCIACION[PRESTAMO],$A8)</f>
        <v>45529022.199762128</v>
      </c>
      <c r="C8" s="22">
        <f>-SUMIFS(FINANCIACION[$ CAPITAL],
FINANCIACION[Fecha],"&lt;="&amp;EOMONTH(C$1,0),
FINANCIACION[PRESTAMO],$A8)</f>
        <v>44684022.199762128</v>
      </c>
      <c r="D8" s="22">
        <f>-SUMIFS(FINANCIACION[$ CAPITAL],
FINANCIACION[Fecha],"&lt;="&amp;EOMONTH(D$1,0),
FINANCIACION[PRESTAMO],$A8)</f>
        <v>43830862.199762128</v>
      </c>
      <c r="E8" s="22">
        <f>-SUMIFS(FINANCIACION[$ CAPITAL],
FINANCIACION[Fecha],"&lt;="&amp;EOMONTH(E$1,0),
FINANCIACION[PRESTAMO],$A8)</f>
        <v>22969171.199762128</v>
      </c>
      <c r="F8" s="22">
        <f>-SUMIFS(FINANCIACION[$ CAPITAL],
FINANCIACION[Fecha],"&lt;="&amp;EOMONTH(F$1,0),
FINANCIACION[PRESTAMO],$A8)</f>
        <v>21898862.911759749</v>
      </c>
      <c r="G8" s="22">
        <f>-SUMIFS(FINANCIACION[$ CAPITAL],
FINANCIACION[Fecha],"&lt;="&amp;EOMONTH(G$1,0),
FINANCIACION[PRESTAMO],$A8)</f>
        <v>21148999.911759749</v>
      </c>
      <c r="H8" s="22">
        <f>-SUMIFS(FINANCIACION[$ CAPITAL],
FINANCIACION[Fecha],"&lt;="&amp;EOMONTH(H$1,0),
FINANCIACION[PRESTAMO],$A8)</f>
        <v>20060489.911759749</v>
      </c>
      <c r="I8" s="22">
        <f>-SUMIFS(FINANCIACION[$ CAPITAL],
FINANCIACION[Fecha],"&lt;="&amp;EOMONTH(I$1,0),
FINANCIACION[PRESTAMO],$A8)</f>
        <v>18961094.911759749</v>
      </c>
      <c r="J8" s="22">
        <f>-SUMIFS(FINANCIACION[$ CAPITAL],
FINANCIACION[Fecha],"&lt;="&amp;EOMONTH(J$1,0),
FINANCIACION[PRESTAMO],$A8)</f>
        <v>17850705.911759749</v>
      </c>
      <c r="K8" s="22">
        <f>-SUMIFS(FINANCIACION[$ CAPITAL],
FINANCIACION[Fecha],"&lt;="&amp;EOMONTH(K$1,0),
FINANCIACION[PRESTAMO],$A8)</f>
        <v>16729213.911759749</v>
      </c>
      <c r="L8" s="22">
        <f>-SUMIFS(FINANCIACION[$ CAPITAL],
FINANCIACION[Fecha],"&lt;="&amp;EOMONTH(L$1,0),
FINANCIACION[PRESTAMO],$A8)</f>
        <v>15597106.05175975</v>
      </c>
      <c r="M8" s="22">
        <f>-SUMIFS(FINANCIACION[$ CAPITAL],
FINANCIACION[Fecha],"&lt;="&amp;EOMONTH(M$1,0),
FINANCIACION[PRESTAMO],$A8)</f>
        <v>14453077.05175975</v>
      </c>
      <c r="N8" s="22">
        <f>-SUMIFS(FINANCIACION[$ CAPITAL],
FINANCIACION[Fecha],"&lt;="&amp;EOMONTH(N$1,0),
FINANCIACION[PRESTAMO],$A8)</f>
        <v>13297608.05175975</v>
      </c>
      <c r="O8" s="22">
        <f>-SUMIFS(FINANCIACION[$ CAPITAL],
FINANCIACION[Fecha],"&lt;="&amp;EOMONTH(O$1,0),
FINANCIACION[PRESTAMO],$A8)</f>
        <v>12130584.05175975</v>
      </c>
      <c r="P8" s="22">
        <f>-SUMIFS(FINANCIACION[$ CAPITAL],
FINANCIACION[Fecha],"&lt;="&amp;EOMONTH(P$1,0),
FINANCIACION[PRESTAMO],$A8)</f>
        <v>10951890.05175975</v>
      </c>
      <c r="Q8" s="22">
        <f>-SUMIFS(FINANCIACION[$ CAPITAL],
FINANCIACION[Fecha],"&lt;="&amp;EOMONTH(Q$1,0),
FINANCIACION[PRESTAMO],$A8)</f>
        <v>9761408.9522773474</v>
      </c>
      <c r="R8" s="22">
        <f>-SUMIFS(FINANCIACION[$ CAPITAL],
FINANCIACION[Fecha],"&lt;="&amp;EOMONTH(R$1,0),
FINANCIACION[PRESTAMO],$A8)</f>
        <v>8559023.0422773473</v>
      </c>
      <c r="S8" s="22">
        <f>-SUMIFS(FINANCIACION[$ CAPITAL],
FINANCIACION[Fecha],"&lt;="&amp;EOMONTH(S$1,0),
FINANCIACION[PRESTAMO],$A8)</f>
        <v>7344613.2722773477</v>
      </c>
      <c r="T8" s="22">
        <f>-SUMIFS(FINANCIACION[$ CAPITAL],
FINANCIACION[Fecha],"&lt;="&amp;EOMONTH(T$1,0),
FINANCIACION[PRESTAMO],$A8)</f>
        <v>4879239.9922773475</v>
      </c>
      <c r="U8" s="22">
        <f>-SUMIFS(FINANCIACION[$ CAPITAL],
FINANCIACION[Fecha],"&lt;="&amp;EOMONTH(U$1,0),
FINANCIACION[PRESTAMO],$A8)</f>
        <v>4879239.9922773475</v>
      </c>
    </row>
    <row r="9" spans="1:21" ht="21.6" customHeight="1" x14ac:dyDescent="0.25">
      <c r="A9" s="20" t="s">
        <v>331</v>
      </c>
      <c r="B9" s="22">
        <f>-SUMIFS(FINANCIACION[$ CAPITAL],
FINANCIACION[Fecha],"&lt;="&amp;EOMONTH(B$1,0),
FINANCIACION[PRESTAMO],$A9)</f>
        <v>61284074.132834516</v>
      </c>
      <c r="C9" s="22">
        <f>-SUMIFS(FINANCIACION[$ CAPITAL],
FINANCIACION[Fecha],"&lt;="&amp;EOMONTH(C$1,0),
FINANCIACION[PRESTAMO],$A9)</f>
        <v>59896915.132834516</v>
      </c>
      <c r="D9" s="22">
        <f>-SUMIFS(FINANCIACION[$ CAPITAL],
FINANCIACION[Fecha],"&lt;="&amp;EOMONTH(D$1,0),
FINANCIACION[PRESTAMO],$A9)</f>
        <v>57080844.132834516</v>
      </c>
      <c r="E9" s="22">
        <f>-SUMIFS(FINANCIACION[$ CAPITAL],
FINANCIACION[Fecha],"&lt;="&amp;EOMONTH(E$1,0),
FINANCIACION[PRESTAMO],$A9)</f>
        <v>55651652.132834516</v>
      </c>
      <c r="F9" s="22">
        <f>-SUMIFS(FINANCIACION[$ CAPITAL],
FINANCIACION[Fecha],"&lt;="&amp;EOMONTH(F$1,0),
FINANCIACION[PRESTAMO],$A9)</f>
        <v>54208169.132834516</v>
      </c>
      <c r="G9" s="22">
        <f>-SUMIFS(FINANCIACION[$ CAPITAL],
FINANCIACION[Fecha],"&lt;="&amp;EOMONTH(G$1,0),
FINANCIACION[PRESTAMO],$A9)</f>
        <v>54208169.132834516</v>
      </c>
      <c r="H9" s="22">
        <f>-SUMIFS(FINANCIACION[$ CAPITAL],
FINANCIACION[Fecha],"&lt;="&amp;EOMONTH(H$1,0),
FINANCIACION[PRESTAMO],$A9)</f>
        <v>51277754.132834516</v>
      </c>
      <c r="I9" s="22">
        <f>-SUMIFS(FINANCIACION[$ CAPITAL],
FINANCIACION[Fecha],"&lt;="&amp;EOMONTH(I$1,0),
FINANCIACION[PRESTAMO],$A9)</f>
        <v>49790532.132834516</v>
      </c>
      <c r="J9" s="22">
        <f>-SUMIFS(FINANCIACION[$ CAPITAL],
FINANCIACION[Fecha],"&lt;="&amp;EOMONTH(J$1,0),
FINANCIACION[PRESTAMO],$A9)</f>
        <v>49652657.132834516</v>
      </c>
      <c r="K9" s="22">
        <f>-SUMIFS(FINANCIACION[$ CAPITAL],
FINANCIACION[Fecha],"&lt;="&amp;EOMONTH(K$1,0),
FINANCIACION[PRESTAMO],$A9)</f>
        <v>48149184.132834516</v>
      </c>
      <c r="L9" s="22">
        <f>-SUMIFS(FINANCIACION[$ CAPITAL],
FINANCIACION[Fecha],"&lt;="&amp;EOMONTH(L$1,0),
FINANCIACION[PRESTAMO],$A9)</f>
        <v>46630675.97283452</v>
      </c>
      <c r="M9" s="22">
        <f>-SUMIFS(FINANCIACION[$ CAPITAL],
FINANCIACION[Fecha],"&lt;="&amp;EOMONTH(M$1,0),
FINANCIACION[PRESTAMO],$A9)</f>
        <v>45096982.97283452</v>
      </c>
      <c r="N9" s="22">
        <f>-SUMIFS(FINANCIACION[$ CAPITAL],
FINANCIACION[Fecha],"&lt;="&amp;EOMONTH(N$1,0),
FINANCIACION[PRESTAMO],$A9)</f>
        <v>43547952.97283452</v>
      </c>
      <c r="O9" s="22">
        <f>-SUMIFS(FINANCIACION[$ CAPITAL],
FINANCIACION[Fecha],"&lt;="&amp;EOMONTH(O$1,0),
FINANCIACION[PRESTAMO],$A9)</f>
        <v>41983431.97283452</v>
      </c>
      <c r="P9" s="22">
        <f>-SUMIFS(FINANCIACION[$ CAPITAL],
FINANCIACION[Fecha],"&lt;="&amp;EOMONTH(P$1,0),
FINANCIACION[PRESTAMO],$A9)</f>
        <v>40403265.97283452</v>
      </c>
      <c r="Q9" s="22">
        <f>-SUMIFS(FINANCIACION[$ CAPITAL],
FINANCIACION[Fecha],"&lt;="&amp;EOMONTH(Q$1,0),
FINANCIACION[PRESTAMO],$A9)</f>
        <v>38807298.632562868</v>
      </c>
      <c r="R9" s="22">
        <f>-SUMIFS(FINANCIACION[$ CAPITAL],
FINANCIACION[Fecha],"&lt;="&amp;EOMONTH(R$1,0),
FINANCIACION[PRESTAMO],$A9)</f>
        <v>37195371.62256287</v>
      </c>
      <c r="S9" s="22">
        <f>-SUMIFS(FINANCIACION[$ CAPITAL],
FINANCIACION[Fecha],"&lt;="&amp;EOMONTH(S$1,0),
FINANCIACION[PRESTAMO],$A9)</f>
        <v>35551134.87256287</v>
      </c>
      <c r="T9" s="22">
        <f>-SUMIFS(FINANCIACION[$ CAPITAL],
FINANCIACION[Fecha],"&lt;="&amp;EOMONTH(T$1,0),
FINANCIACION[PRESTAMO],$A9)</f>
        <v>32212988.952562872</v>
      </c>
      <c r="U9" s="22">
        <f>-SUMIFS(FINANCIACION[$ CAPITAL],
FINANCIACION[Fecha],"&lt;="&amp;EOMONTH(U$1,0),
FINANCIACION[PRESTAMO],$A9)</f>
        <v>32212988.952562872</v>
      </c>
    </row>
    <row r="10" spans="1:21" ht="21.6" customHeight="1" x14ac:dyDescent="0.25">
      <c r="A10" s="20" t="s">
        <v>341</v>
      </c>
      <c r="B10" s="22">
        <f>-SUMIFS(FINANCIACION[$ CAPITAL],
FINANCIACION[Fecha],"&lt;="&amp;EOMONTH(B$1,0),
FINANCIACION[PRESTAMO],$A10)</f>
        <v>75000000</v>
      </c>
      <c r="C10" s="22">
        <f>-SUMIFS(FINANCIACION[$ CAPITAL],
FINANCIACION[Fecha],"&lt;="&amp;EOMONTH(C$1,0),
FINANCIACION[PRESTAMO],$A10)</f>
        <v>75000000</v>
      </c>
      <c r="D10" s="22">
        <f>-SUMIFS(FINANCIACION[$ CAPITAL],
FINANCIACION[Fecha],"&lt;="&amp;EOMONTH(D$1,0),
FINANCIACION[PRESTAMO],$A10)</f>
        <v>75000000</v>
      </c>
      <c r="E10" s="22">
        <f>-SUMIFS(FINANCIACION[$ CAPITAL],
FINANCIACION[Fecha],"&lt;="&amp;EOMONTH(E$1,0),
FINANCIACION[PRESTAMO],$A10)</f>
        <v>75000000</v>
      </c>
      <c r="F10" s="22">
        <f>-SUMIFS(FINANCIACION[$ CAPITAL],
FINANCIACION[Fecha],"&lt;="&amp;EOMONTH(F$1,0),
FINANCIACION[PRESTAMO],$A10)</f>
        <v>75000000</v>
      </c>
      <c r="G10" s="22">
        <f>-SUMIFS(FINANCIACION[$ CAPITAL],
FINANCIACION[Fecha],"&lt;="&amp;EOMONTH(G$1,0),
FINANCIACION[PRESTAMO],$A10)</f>
        <v>75000000</v>
      </c>
      <c r="H10" s="22">
        <f>-SUMIFS(FINANCIACION[$ CAPITAL],
FINANCIACION[Fecha],"&lt;="&amp;EOMONTH(H$1,0),
FINANCIACION[PRESTAMO],$A10)</f>
        <v>75000000</v>
      </c>
      <c r="I10" s="22">
        <f>-SUMIFS(FINANCIACION[$ CAPITAL],
FINANCIACION[Fecha],"&lt;="&amp;EOMONTH(I$1,0),
FINANCIACION[PRESTAMO],$A10)</f>
        <v>75000000</v>
      </c>
      <c r="J10" s="22">
        <f>-SUMIFS(FINANCIACION[$ CAPITAL],
FINANCIACION[Fecha],"&lt;="&amp;EOMONTH(J$1,0),
FINANCIACION[PRESTAMO],$A10)</f>
        <v>75000000</v>
      </c>
      <c r="K10" s="22">
        <f>-SUMIFS(FINANCIACION[$ CAPITAL],
FINANCIACION[Fecha],"&lt;="&amp;EOMONTH(K$1,0),
FINANCIACION[PRESTAMO],$A10)</f>
        <v>75000000</v>
      </c>
      <c r="L10" s="22">
        <f>-SUMIFS(FINANCIACION[$ CAPITAL],
FINANCIACION[Fecha],"&lt;="&amp;EOMONTH(L$1,0),
FINANCIACION[PRESTAMO],$A10)</f>
        <v>75000000</v>
      </c>
      <c r="M10" s="22">
        <f>-SUMIFS(FINANCIACION[$ CAPITAL],
FINANCIACION[Fecha],"&lt;="&amp;EOMONTH(M$1,0),
FINANCIACION[PRESTAMO],$A10)</f>
        <v>140000000</v>
      </c>
      <c r="N10" s="22">
        <f>-SUMIFS(FINANCIACION[$ CAPITAL],
FINANCIACION[Fecha],"&lt;="&amp;EOMONTH(N$1,0),
FINANCIACION[PRESTAMO],$A10)</f>
        <v>140000000</v>
      </c>
      <c r="O10" s="22">
        <f>-SUMIFS(FINANCIACION[$ CAPITAL],
FINANCIACION[Fecha],"&lt;="&amp;EOMONTH(O$1,0),
FINANCIACION[PRESTAMO],$A10)</f>
        <v>140000000</v>
      </c>
      <c r="P10" s="22">
        <f>-SUMIFS(FINANCIACION[$ CAPITAL],
FINANCIACION[Fecha],"&lt;="&amp;EOMONTH(P$1,0),
FINANCIACION[PRESTAMO],$A10)</f>
        <v>140000000</v>
      </c>
      <c r="Q10" s="22">
        <f>-SUMIFS(FINANCIACION[$ CAPITAL],
FINANCIACION[Fecha],"&lt;="&amp;EOMONTH(Q$1,0),
FINANCIACION[PRESTAMO],$A10)</f>
        <v>140000000</v>
      </c>
      <c r="R10" s="22">
        <f>-SUMIFS(FINANCIACION[$ CAPITAL],
FINANCIACION[Fecha],"&lt;="&amp;EOMONTH(R$1,0),
FINANCIACION[PRESTAMO],$A10)</f>
        <v>140000000</v>
      </c>
      <c r="S10" s="22">
        <f>-SUMIFS(FINANCIACION[$ CAPITAL],
FINANCIACION[Fecha],"&lt;="&amp;EOMONTH(S$1,0),
FINANCIACION[PRESTAMO],$A10)</f>
        <v>140000000</v>
      </c>
      <c r="T10" s="22">
        <f>-SUMIFS(FINANCIACION[$ CAPITAL],
FINANCIACION[Fecha],"&lt;="&amp;EOMONTH(T$1,0),
FINANCIACION[PRESTAMO],$A10)</f>
        <v>140000000</v>
      </c>
      <c r="U10" s="22">
        <f>-SUMIFS(FINANCIACION[$ CAPITAL],
FINANCIACION[Fecha],"&lt;="&amp;EOMONTH(U$1,0),
FINANCIACION[PRESTAMO],$A10)</f>
        <v>140000000</v>
      </c>
    </row>
    <row r="11" spans="1:21" ht="21.6" hidden="1" customHeight="1" x14ac:dyDescent="0.25">
      <c r="A11" s="20" t="s">
        <v>340</v>
      </c>
      <c r="B11" s="22">
        <f>-SUMIFS(FINANCIACION[$ CAPITAL],
FINANCIACION[Fecha],"&lt;="&amp;EOMONTH(B$1,0),
FINANCIACION[PRESTAMO],$A11)</f>
        <v>0</v>
      </c>
      <c r="C11" s="22">
        <f>-SUMIFS(FINANCIACION[$ CAPITAL],
FINANCIACION[Fecha],"&lt;="&amp;EOMONTH(C$1,0),
FINANCIACION[PRESTAMO],$A11)</f>
        <v>0</v>
      </c>
      <c r="D11" s="22">
        <f>-SUMIFS(FINANCIACION[$ CAPITAL],
FINANCIACION[Fecha],"&lt;="&amp;EOMONTH(D$1,0),
FINANCIACION[PRESTAMO],$A11)</f>
        <v>0</v>
      </c>
      <c r="E11" s="22">
        <f>-SUMIFS(FINANCIACION[$ CAPITAL],
FINANCIACION[Fecha],"&lt;="&amp;EOMONTH(E$1,0),
FINANCIACION[PRESTAMO],$A11)</f>
        <v>0</v>
      </c>
      <c r="F11" s="22">
        <f>-SUMIFS(FINANCIACION[$ CAPITAL],
FINANCIACION[Fecha],"&lt;="&amp;EOMONTH(F$1,0),
FINANCIACION[PRESTAMO],$A11)</f>
        <v>0</v>
      </c>
      <c r="G11" s="22">
        <f>-SUMIFS(FINANCIACION[$ CAPITAL],
FINANCIACION[Fecha],"&lt;="&amp;EOMONTH(G$1,0),
FINANCIACION[PRESTAMO],$A11)</f>
        <v>0</v>
      </c>
      <c r="H11" s="22">
        <f>-SUMIFS(FINANCIACION[$ CAPITAL],
FINANCIACION[Fecha],"&lt;="&amp;EOMONTH(H$1,0),
FINANCIACION[PRESTAMO],$A11)</f>
        <v>0</v>
      </c>
      <c r="I11" s="22">
        <f>-SUMIFS(FINANCIACION[$ CAPITAL],
FINANCIACION[Fecha],"&lt;="&amp;EOMONTH(I$1,0),
FINANCIACION[PRESTAMO],$A11)</f>
        <v>0</v>
      </c>
      <c r="J11" s="22">
        <f>-SUMIFS(FINANCIACION[$ CAPITAL],
FINANCIACION[Fecha],"&lt;="&amp;EOMONTH(J$1,0),
FINANCIACION[PRESTAMO],$A11)</f>
        <v>0</v>
      </c>
      <c r="K11" s="22">
        <f>-SUMIFS(FINANCIACION[$ CAPITAL],
FINANCIACION[Fecha],"&lt;="&amp;EOMONTH(K$1,0),
FINANCIACION[PRESTAMO],$A11)</f>
        <v>0</v>
      </c>
      <c r="L11" s="22">
        <f>-SUMIFS(FINANCIACION[$ CAPITAL],
FINANCIACION[Fecha],"&lt;="&amp;EOMONTH(L$1,0),
FINANCIACION[PRESTAMO],$A11)</f>
        <v>0</v>
      </c>
      <c r="M11" s="22">
        <f>-SUMIFS(FINANCIACION[$ CAPITAL],
FINANCIACION[Fecha],"&lt;="&amp;EOMONTH(M$1,0),
FINANCIACION[PRESTAMO],$A11)</f>
        <v>0</v>
      </c>
      <c r="N11" s="22">
        <f>-SUMIFS(FINANCIACION[$ CAPITAL],
FINANCIACION[Fecha],"&lt;="&amp;EOMONTH(N$1,0),
FINANCIACION[PRESTAMO],$A11)</f>
        <v>0</v>
      </c>
      <c r="O11" s="22">
        <f>-SUMIFS(FINANCIACION[$ CAPITAL],
FINANCIACION[Fecha],"&lt;="&amp;EOMONTH(O$1,0),
FINANCIACION[PRESTAMO],$A11)</f>
        <v>0</v>
      </c>
      <c r="P11" s="22">
        <f>-SUMIFS(FINANCIACION[$ CAPITAL],
FINANCIACION[Fecha],"&lt;="&amp;EOMONTH(P$1,0),
FINANCIACION[PRESTAMO],$A11)</f>
        <v>0</v>
      </c>
      <c r="Q11" s="22">
        <f>-SUMIFS(FINANCIACION[$ CAPITAL],
FINANCIACION[Fecha],"&lt;="&amp;EOMONTH(Q$1,0),
FINANCIACION[PRESTAMO],$A11)</f>
        <v>0</v>
      </c>
      <c r="R11" s="22">
        <f>-SUMIFS(FINANCIACION[$ CAPITAL],
FINANCIACION[Fecha],"&lt;="&amp;EOMONTH(R$1,0),
FINANCIACION[PRESTAMO],$A11)</f>
        <v>0</v>
      </c>
      <c r="S11" s="22">
        <f>-SUMIFS(FINANCIACION[$ CAPITAL],
FINANCIACION[Fecha],"&lt;="&amp;EOMONTH(S$1,0),
FINANCIACION[PRESTAMO],$A11)</f>
        <v>0</v>
      </c>
      <c r="T11" s="22">
        <f>-SUMIFS(FINANCIACION[$ CAPITAL],
FINANCIACION[Fecha],"&lt;="&amp;EOMONTH(T$1,0),
FINANCIACION[PRESTAMO],$A11)</f>
        <v>0</v>
      </c>
      <c r="U11" s="22">
        <f>-SUMIFS(FINANCIACION[$ CAPITAL],
FINANCIACION[Fecha],"&lt;="&amp;EOMONTH(U$1,0),
FINANCIACION[PRESTAMO],$A11)</f>
        <v>0</v>
      </c>
    </row>
    <row r="12" spans="1:21" ht="21.6" customHeight="1" x14ac:dyDescent="0.25">
      <c r="A12" s="20" t="s">
        <v>335</v>
      </c>
      <c r="B12" s="22">
        <f>-SUMIFS(FINANCIACION[$ CAPITAL],
FINANCIACION[Fecha],"&lt;="&amp;EOMONTH(B$1,0),
FINANCIACION[PRESTAMO],$A12)</f>
        <v>8000000</v>
      </c>
      <c r="C12" s="22">
        <f>-SUMIFS(FINANCIACION[$ CAPITAL],
FINANCIACION[Fecha],"&lt;="&amp;EOMONTH(C$1,0),
FINANCIACION[PRESTAMO],$A12)</f>
        <v>8000000</v>
      </c>
      <c r="D12" s="22">
        <f>-SUMIFS(FINANCIACION[$ CAPITAL],
FINANCIACION[Fecha],"&lt;="&amp;EOMONTH(D$1,0),
FINANCIACION[PRESTAMO],$A12)</f>
        <v>8000000</v>
      </c>
      <c r="E12" s="22">
        <f>-SUMIFS(FINANCIACION[$ CAPITAL],
FINANCIACION[Fecha],"&lt;="&amp;EOMONTH(E$1,0),
FINANCIACION[PRESTAMO],$A12)</f>
        <v>8000000</v>
      </c>
      <c r="F12" s="22">
        <f>-SUMIFS(FINANCIACION[$ CAPITAL],
FINANCIACION[Fecha],"&lt;="&amp;EOMONTH(F$1,0),
FINANCIACION[PRESTAMO],$A12)</f>
        <v>8000000</v>
      </c>
      <c r="G12" s="22">
        <f>-SUMIFS(FINANCIACION[$ CAPITAL],
FINANCIACION[Fecha],"&lt;="&amp;EOMONTH(G$1,0),
FINANCIACION[PRESTAMO],$A12)</f>
        <v>8000000</v>
      </c>
      <c r="H12" s="22">
        <f>-SUMIFS(FINANCIACION[$ CAPITAL],
FINANCIACION[Fecha],"&lt;="&amp;EOMONTH(H$1,0),
FINANCIACION[PRESTAMO],$A12)</f>
        <v>8000000</v>
      </c>
      <c r="I12" s="22">
        <f>-SUMIFS(FINANCIACION[$ CAPITAL],
FINANCIACION[Fecha],"&lt;="&amp;EOMONTH(I$1,0),
FINANCIACION[PRESTAMO],$A12)</f>
        <v>8000000</v>
      </c>
      <c r="J12" s="22">
        <f>-SUMIFS(FINANCIACION[$ CAPITAL],
FINANCIACION[Fecha],"&lt;="&amp;EOMONTH(J$1,0),
FINANCIACION[PRESTAMO],$A12)</f>
        <v>8000000</v>
      </c>
      <c r="K12" s="22">
        <f>-SUMIFS(FINANCIACION[$ CAPITAL],
FINANCIACION[Fecha],"&lt;="&amp;EOMONTH(K$1,0),
FINANCIACION[PRESTAMO],$A12)</f>
        <v>8000000</v>
      </c>
      <c r="L12" s="22">
        <f>-SUMIFS(FINANCIACION[$ CAPITAL],
FINANCIACION[Fecha],"&lt;="&amp;EOMONTH(L$1,0),
FINANCIACION[PRESTAMO],$A12)</f>
        <v>8000000</v>
      </c>
      <c r="M12" s="22">
        <f>-SUMIFS(FINANCIACION[$ CAPITAL],
FINANCIACION[Fecha],"&lt;="&amp;EOMONTH(M$1,0),
FINANCIACION[PRESTAMO],$A12)</f>
        <v>8000000</v>
      </c>
      <c r="N12" s="22">
        <f>-SUMIFS(FINANCIACION[$ CAPITAL],
FINANCIACION[Fecha],"&lt;="&amp;EOMONTH(N$1,0),
FINANCIACION[PRESTAMO],$A12)</f>
        <v>8000000</v>
      </c>
      <c r="O12" s="22">
        <f>-SUMIFS(FINANCIACION[$ CAPITAL],
FINANCIACION[Fecha],"&lt;="&amp;EOMONTH(O$1,0),
FINANCIACION[PRESTAMO],$A12)</f>
        <v>8000000</v>
      </c>
      <c r="P12" s="22">
        <f>-SUMIFS(FINANCIACION[$ CAPITAL],
FINANCIACION[Fecha],"&lt;="&amp;EOMONTH(P$1,0),
FINANCIACION[PRESTAMO],$A12)</f>
        <v>8000000</v>
      </c>
      <c r="Q12" s="22">
        <f>-SUMIFS(FINANCIACION[$ CAPITAL],
FINANCIACION[Fecha],"&lt;="&amp;EOMONTH(Q$1,0),
FINANCIACION[PRESTAMO],$A12)</f>
        <v>8000000</v>
      </c>
      <c r="R12" s="22">
        <f>-SUMIFS(FINANCIACION[$ CAPITAL],
FINANCIACION[Fecha],"&lt;="&amp;EOMONTH(R$1,0),
FINANCIACION[PRESTAMO],$A12)</f>
        <v>8000000</v>
      </c>
      <c r="S12" s="22">
        <f>-SUMIFS(FINANCIACION[$ CAPITAL],
FINANCIACION[Fecha],"&lt;="&amp;EOMONTH(S$1,0),
FINANCIACION[PRESTAMO],$A12)</f>
        <v>8000000</v>
      </c>
      <c r="T12" s="22">
        <f>-SUMIFS(FINANCIACION[$ CAPITAL],
FINANCIACION[Fecha],"&lt;="&amp;EOMONTH(T$1,0),
FINANCIACION[PRESTAMO],$A12)</f>
        <v>8000000</v>
      </c>
      <c r="U12" s="22">
        <f>-SUMIFS(FINANCIACION[$ CAPITAL],
FINANCIACION[Fecha],"&lt;="&amp;EOMONTH(U$1,0),
FINANCIACION[PRESTAMO],$A12)</f>
        <v>8000000</v>
      </c>
    </row>
    <row r="13" spans="1:21" ht="21.6" hidden="1" customHeight="1" x14ac:dyDescent="0.25">
      <c r="A13" s="20" t="s">
        <v>337</v>
      </c>
      <c r="B13" s="22">
        <f>-SUMIFS(FINANCIACION[$ CAPITAL],
FINANCIACION[Fecha],"&lt;="&amp;EOMONTH(B$1,0),
FINANCIACION[PRESTAMO],$A13)</f>
        <v>12000000</v>
      </c>
      <c r="C13" s="22">
        <f>-SUMIFS(FINANCIACION[$ CAPITAL],
FINANCIACION[Fecha],"&lt;="&amp;EOMONTH(C$1,0),
FINANCIACION[PRESTAMO],$A13)</f>
        <v>12000000</v>
      </c>
      <c r="D13" s="22">
        <f>-SUMIFS(FINANCIACION[$ CAPITAL],
FINANCIACION[Fecha],"&lt;="&amp;EOMONTH(D$1,0),
FINANCIACION[PRESTAMO],$A13)</f>
        <v>12000000</v>
      </c>
      <c r="E13" s="22">
        <f>-SUMIFS(FINANCIACION[$ CAPITAL],
FINANCIACION[Fecha],"&lt;="&amp;EOMONTH(E$1,0),
FINANCIACION[PRESTAMO],$A13)</f>
        <v>12000000</v>
      </c>
      <c r="F13" s="22">
        <f>-SUMIFS(FINANCIACION[$ CAPITAL],
FINANCIACION[Fecha],"&lt;="&amp;EOMONTH(F$1,0),
FINANCIACION[PRESTAMO],$A13)</f>
        <v>12000000</v>
      </c>
      <c r="G13" s="22">
        <f>-SUMIFS(FINANCIACION[$ CAPITAL],
FINANCIACION[Fecha],"&lt;="&amp;EOMONTH(G$1,0),
FINANCIACION[PRESTAMO],$A13)</f>
        <v>12000000</v>
      </c>
      <c r="H13" s="22">
        <f>-SUMIFS(FINANCIACION[$ CAPITAL],
FINANCIACION[Fecha],"&lt;="&amp;EOMONTH(H$1,0),
FINANCIACION[PRESTAMO],$A13)</f>
        <v>12000000</v>
      </c>
      <c r="I13" s="22">
        <f>-SUMIFS(FINANCIACION[$ CAPITAL],
FINANCIACION[Fecha],"&lt;="&amp;EOMONTH(I$1,0),
FINANCIACION[PRESTAMO],$A13)</f>
        <v>12000000</v>
      </c>
      <c r="J13" s="22">
        <f>-SUMIFS(FINANCIACION[$ CAPITAL],
FINANCIACION[Fecha],"&lt;="&amp;EOMONTH(J$1,0),
FINANCIACION[PRESTAMO],$A13)</f>
        <v>12000000</v>
      </c>
      <c r="K13" s="22">
        <f>-SUMIFS(FINANCIACION[$ CAPITAL],
FINANCIACION[Fecha],"&lt;="&amp;EOMONTH(K$1,0),
FINANCIACION[PRESTAMO],$A13)</f>
        <v>12000000</v>
      </c>
      <c r="L13" s="22">
        <f>-SUMIFS(FINANCIACION[$ CAPITAL],
FINANCIACION[Fecha],"&lt;="&amp;EOMONTH(L$1,0),
FINANCIACION[PRESTAMO],$A13)</f>
        <v>12000000</v>
      </c>
      <c r="M13" s="22">
        <f>-SUMIFS(FINANCIACION[$ CAPITAL],
FINANCIACION[Fecha],"&lt;="&amp;EOMONTH(M$1,0),
FINANCIACION[PRESTAMO],$A13)</f>
        <v>12000000</v>
      </c>
      <c r="N13" s="22">
        <f>-SUMIFS(FINANCIACION[$ CAPITAL],
FINANCIACION[Fecha],"&lt;="&amp;EOMONTH(N$1,0),
FINANCIACION[PRESTAMO],$A13)</f>
        <v>12000000</v>
      </c>
      <c r="O13" s="22">
        <f>-SUMIFS(FINANCIACION[$ CAPITAL],
FINANCIACION[Fecha],"&lt;="&amp;EOMONTH(O$1,0),
FINANCIACION[PRESTAMO],$A13)</f>
        <v>0</v>
      </c>
      <c r="P13" s="22">
        <f>-SUMIFS(FINANCIACION[$ CAPITAL],
FINANCIACION[Fecha],"&lt;="&amp;EOMONTH(P$1,0),
FINANCIACION[PRESTAMO],$A13)</f>
        <v>0</v>
      </c>
      <c r="Q13" s="22">
        <f>-SUMIFS(FINANCIACION[$ CAPITAL],
FINANCIACION[Fecha],"&lt;="&amp;EOMONTH(Q$1,0),
FINANCIACION[PRESTAMO],$A13)</f>
        <v>0</v>
      </c>
      <c r="R13" s="22">
        <f>-SUMIFS(FINANCIACION[$ CAPITAL],
FINANCIACION[Fecha],"&lt;="&amp;EOMONTH(R$1,0),
FINANCIACION[PRESTAMO],$A13)</f>
        <v>0</v>
      </c>
      <c r="S13" s="22">
        <f>-SUMIFS(FINANCIACION[$ CAPITAL],
FINANCIACION[Fecha],"&lt;="&amp;EOMONTH(S$1,0),
FINANCIACION[PRESTAMO],$A13)</f>
        <v>0</v>
      </c>
      <c r="T13" s="22">
        <f>-SUMIFS(FINANCIACION[$ CAPITAL],
FINANCIACION[Fecha],"&lt;="&amp;EOMONTH(T$1,0),
FINANCIACION[PRESTAMO],$A13)</f>
        <v>0</v>
      </c>
      <c r="U13" s="22">
        <f>-SUMIFS(FINANCIACION[$ CAPITAL],
FINANCIACION[Fecha],"&lt;="&amp;EOMONTH(U$1,0),
FINANCIACION[PRESTAMO],$A13)</f>
        <v>0</v>
      </c>
    </row>
    <row r="14" spans="1:21" ht="21.6" hidden="1" customHeight="1" x14ac:dyDescent="0.25">
      <c r="A14" s="20" t="s">
        <v>120</v>
      </c>
      <c r="B14" s="22">
        <f>-SUMIFS(FINANCIACION[$ CAPITAL],
FINANCIACION[Fecha],"&lt;="&amp;EOMONTH(B$1,0),
FINANCIACION[PRESTAMO],$A14)</f>
        <v>0</v>
      </c>
      <c r="C14" s="22">
        <f>-SUMIFS(FINANCIACION[$ CAPITAL],
FINANCIACION[Fecha],"&lt;="&amp;EOMONTH(C$1,0),
FINANCIACION[PRESTAMO],$A14)</f>
        <v>0</v>
      </c>
      <c r="D14" s="22">
        <f>-SUMIFS(FINANCIACION[$ CAPITAL],
FINANCIACION[Fecha],"&lt;="&amp;EOMONTH(D$1,0),
FINANCIACION[PRESTAMO],$A14)</f>
        <v>0</v>
      </c>
      <c r="E14" s="22">
        <f>-SUMIFS(FINANCIACION[$ CAPITAL],
FINANCIACION[Fecha],"&lt;="&amp;EOMONTH(E$1,0),
FINANCIACION[PRESTAMO],$A14)</f>
        <v>-153582</v>
      </c>
      <c r="F14" s="22">
        <f>-SUMIFS(FINANCIACION[$ CAPITAL],
FINANCIACION[Fecha],"&lt;="&amp;EOMONTH(F$1,0),
FINANCIACION[PRESTAMO],$A14)</f>
        <v>-230373</v>
      </c>
      <c r="G14" s="22">
        <f>-SUMIFS(FINANCIACION[$ CAPITAL],
FINANCIACION[Fecha],"&lt;="&amp;EOMONTH(G$1,0),
FINANCIACION[PRESTAMO],$A14)</f>
        <v>-307164</v>
      </c>
      <c r="H14" s="22">
        <f>-SUMIFS(FINANCIACION[$ CAPITAL],
FINANCIACION[Fecha],"&lt;="&amp;EOMONTH(H$1,0),
FINANCIACION[PRESTAMO],$A14)</f>
        <v>-307164</v>
      </c>
      <c r="I14" s="22">
        <f>-SUMIFS(FINANCIACION[$ CAPITAL],
FINANCIACION[Fecha],"&lt;="&amp;EOMONTH(I$1,0),
FINANCIACION[PRESTAMO],$A14)</f>
        <v>-460746</v>
      </c>
      <c r="J14" s="22">
        <f>-SUMIFS(FINANCIACION[$ CAPITAL],
FINANCIACION[Fecha],"&lt;="&amp;EOMONTH(J$1,0),
FINANCIACION[PRESTAMO],$A14)</f>
        <v>-537537</v>
      </c>
      <c r="K14" s="22">
        <f>-SUMIFS(FINANCIACION[$ CAPITAL],
FINANCIACION[Fecha],"&lt;="&amp;EOMONTH(K$1,0),
FINANCIACION[PRESTAMO],$A14)</f>
        <v>-614328</v>
      </c>
      <c r="L14" s="22">
        <f>-SUMIFS(FINANCIACION[$ CAPITAL],
FINANCIACION[Fecha],"&lt;="&amp;EOMONTH(L$1,0),
FINANCIACION[PRESTAMO],$A14)</f>
        <v>-691119</v>
      </c>
      <c r="M14" s="22">
        <f>-SUMIFS(FINANCIACION[$ CAPITAL],
FINANCIACION[Fecha],"&lt;="&amp;EOMONTH(M$1,0),
FINANCIACION[PRESTAMO],$A14)</f>
        <v>-691119</v>
      </c>
      <c r="N14" s="22">
        <f>-SUMIFS(FINANCIACION[$ CAPITAL],
FINANCIACION[Fecha],"&lt;="&amp;EOMONTH(N$1,0),
FINANCIACION[PRESTAMO],$A14)</f>
        <v>-1228656</v>
      </c>
      <c r="O14" s="22">
        <f>-SUMIFS(FINANCIACION[$ CAPITAL],
FINANCIACION[Fecha],"&lt;="&amp;EOMONTH(O$1,0),
FINANCIACION[PRESTAMO],$A14)</f>
        <v>0</v>
      </c>
      <c r="P14" s="22">
        <f>-SUMIFS(FINANCIACION[$ CAPITAL],
FINANCIACION[Fecha],"&lt;="&amp;EOMONTH(P$1,0),
FINANCIACION[PRESTAMO],$A14)</f>
        <v>0</v>
      </c>
      <c r="Q14" s="22">
        <f>-SUMIFS(FINANCIACION[$ CAPITAL],
FINANCIACION[Fecha],"&lt;="&amp;EOMONTH(Q$1,0),
FINANCIACION[PRESTAMO],$A14)</f>
        <v>0</v>
      </c>
      <c r="R14" s="22">
        <f>-SUMIFS(FINANCIACION[$ CAPITAL],
FINANCIACION[Fecha],"&lt;="&amp;EOMONTH(R$1,0),
FINANCIACION[PRESTAMO],$A14)</f>
        <v>0</v>
      </c>
      <c r="S14" s="22">
        <f>-SUMIFS(FINANCIACION[$ CAPITAL],
FINANCIACION[Fecha],"&lt;="&amp;EOMONTH(S$1,0),
FINANCIACION[PRESTAMO],$A14)</f>
        <v>0</v>
      </c>
      <c r="T14" s="22">
        <f>-SUMIFS(FINANCIACION[$ CAPITAL],
FINANCIACION[Fecha],"&lt;="&amp;EOMONTH(T$1,0),
FINANCIACION[PRESTAMO],$A14)</f>
        <v>0</v>
      </c>
      <c r="U14" s="22">
        <f>-SUMIFS(FINANCIACION[$ CAPITAL],
FINANCIACION[Fecha],"&lt;="&amp;EOMONTH(U$1,0),
FINANCIACION[PRESTAMO],$A14)</f>
        <v>0</v>
      </c>
    </row>
    <row r="15" spans="1:21" ht="21.6" hidden="1" customHeight="1" x14ac:dyDescent="0.25">
      <c r="A15" s="20" t="s">
        <v>1450</v>
      </c>
      <c r="B15" s="22">
        <f>-SUMIFS(FINANCIACION[$ CAPITAL],
FINANCIACION[Fecha],"&lt;="&amp;EOMONTH(B$1,0),
FINANCIACION[PRESTAMO],$A15)</f>
        <v>24514920</v>
      </c>
      <c r="C15" s="22">
        <f>-SUMIFS(FINANCIACION[$ CAPITAL],
FINANCIACION[Fecha],"&lt;="&amp;EOMONTH(C$1,0),
FINANCIACION[PRESTAMO],$A15)</f>
        <v>23046520</v>
      </c>
      <c r="D15" s="22">
        <f>-SUMIFS(FINANCIACION[$ CAPITAL],
FINANCIACION[Fecha],"&lt;="&amp;EOMONTH(D$1,0),
FINANCIACION[PRESTAMO],$A15)</f>
        <v>23046520</v>
      </c>
      <c r="E15" s="22">
        <f>-SUMIFS(FINANCIACION[$ CAPITAL],
FINANCIACION[Fecha],"&lt;="&amp;EOMONTH(E$1,0),
FINANCIACION[PRESTAMO],$A15)</f>
        <v>20109720</v>
      </c>
      <c r="F15" s="22">
        <f>-SUMIFS(FINANCIACION[$ CAPITAL],
FINANCIACION[Fecha],"&lt;="&amp;EOMONTH(F$1,0),
FINANCIACION[PRESTAMO],$A15)</f>
        <v>18641320</v>
      </c>
      <c r="G15" s="22">
        <f>-SUMIFS(FINANCIACION[$ CAPITAL],
FINANCIACION[Fecha],"&lt;="&amp;EOMONTH(G$1,0),
FINANCIACION[PRESTAMO],$A15)</f>
        <v>17172920</v>
      </c>
      <c r="H15" s="22">
        <f>-SUMIFS(FINANCIACION[$ CAPITAL],
FINANCIACION[Fecha],"&lt;="&amp;EOMONTH(H$1,0),
FINANCIACION[PRESTAMO],$A15)</f>
        <v>17172920</v>
      </c>
      <c r="I15" s="22">
        <f>-SUMIFS(FINANCIACION[$ CAPITAL],
FINANCIACION[Fecha],"&lt;="&amp;EOMONTH(I$1,0),
FINANCIACION[PRESTAMO],$A15)</f>
        <v>14236120</v>
      </c>
      <c r="J15" s="22">
        <f>-SUMIFS(FINANCIACION[$ CAPITAL],
FINANCIACION[Fecha],"&lt;="&amp;EOMONTH(J$1,0),
FINANCIACION[PRESTAMO],$A15)</f>
        <v>13215600</v>
      </c>
      <c r="K15" s="22">
        <f>-SUMIFS(FINANCIACION[$ CAPITAL],
FINANCIACION[Fecha],"&lt;="&amp;EOMONTH(K$1,0),
FINANCIACION[PRESTAMO],$A15)</f>
        <v>11747200</v>
      </c>
      <c r="L15" s="22">
        <f>-SUMIFS(FINANCIACION[$ CAPITAL],
FINANCIACION[Fecha],"&lt;="&amp;EOMONTH(L$1,0),
FINANCIACION[PRESTAMO],$A15)</f>
        <v>10278800</v>
      </c>
      <c r="M15" s="22">
        <f>-SUMIFS(FINANCIACION[$ CAPITAL],
FINANCIACION[Fecha],"&lt;="&amp;EOMONTH(M$1,0),
FINANCIACION[PRESTAMO],$A15)</f>
        <v>10278800</v>
      </c>
      <c r="N15" s="22">
        <f>-SUMIFS(FINANCIACION[$ CAPITAL],
FINANCIACION[Fecha],"&lt;="&amp;EOMONTH(N$1,0),
FINANCIACION[PRESTAMO],$A15)</f>
        <v>7342000</v>
      </c>
      <c r="O15" s="22">
        <f>-SUMIFS(FINANCIACION[$ CAPITAL],
FINANCIACION[Fecha],"&lt;="&amp;EOMONTH(O$1,0),
FINANCIACION[PRESTAMO],$A15)</f>
        <v>5873600</v>
      </c>
      <c r="P15" s="22">
        <f>-SUMIFS(FINANCIACION[$ CAPITAL],
FINANCIACION[Fecha],"&lt;="&amp;EOMONTH(P$1,0),
FINANCIACION[PRESTAMO],$A15)</f>
        <v>5873600</v>
      </c>
      <c r="Q15" s="22">
        <f>-SUMIFS(FINANCIACION[$ CAPITAL],
FINANCIACION[Fecha],"&lt;="&amp;EOMONTH(Q$1,0),
FINANCIACION[PRESTAMO],$A15)</f>
        <v>2936800</v>
      </c>
      <c r="R15" s="22">
        <f>-SUMIFS(FINANCIACION[$ CAPITAL],
FINANCIACION[Fecha],"&lt;="&amp;EOMONTH(R$1,0),
FINANCIACION[PRESTAMO],$A15)</f>
        <v>1468400</v>
      </c>
      <c r="S15" s="22">
        <f>-SUMIFS(FINANCIACION[$ CAPITAL],
FINANCIACION[Fecha],"&lt;="&amp;EOMONTH(S$1,0),
FINANCIACION[PRESTAMO],$A15)</f>
        <v>1468400</v>
      </c>
      <c r="T15" s="22">
        <f>-SUMIFS(FINANCIACION[$ CAPITAL],
FINANCIACION[Fecha],"&lt;="&amp;EOMONTH(T$1,0),
FINANCIACION[PRESTAMO],$A15)</f>
        <v>0</v>
      </c>
      <c r="U15" s="22">
        <f>-SUMIFS(FINANCIACION[$ CAPITAL],
FINANCIACION[Fecha],"&lt;="&amp;EOMONTH(U$1,0),
FINANCIACION[PRESTAMO],$A15)</f>
        <v>0</v>
      </c>
    </row>
    <row r="16" spans="1:21" ht="21.6" hidden="1" customHeight="1" x14ac:dyDescent="0.25">
      <c r="A16" s="20" t="s">
        <v>607</v>
      </c>
      <c r="B16" s="22">
        <f>-SUMIFS(FINANCIACION[$ CAPITAL],
FINANCIACION[Fecha],"&lt;="&amp;EOMONTH(B$1,0),
FINANCIACION[PRESTAMO],$A16)</f>
        <v>0</v>
      </c>
      <c r="C16" s="22">
        <f>-SUMIFS(FINANCIACION[$ CAPITAL],
FINANCIACION[Fecha],"&lt;="&amp;EOMONTH(C$1,0),
FINANCIACION[PRESTAMO],$A16)</f>
        <v>0</v>
      </c>
      <c r="D16" s="22">
        <f>-SUMIFS(FINANCIACION[$ CAPITAL],
FINANCIACION[Fecha],"&lt;="&amp;EOMONTH(D$1,0),
FINANCIACION[PRESTAMO],$A16)</f>
        <v>0</v>
      </c>
      <c r="E16" s="22">
        <f>-SUMIFS(FINANCIACION[$ CAPITAL],
FINANCIACION[Fecha],"&lt;="&amp;EOMONTH(E$1,0),
FINANCIACION[PRESTAMO],$A16)</f>
        <v>0</v>
      </c>
      <c r="F16" s="22">
        <f>-SUMIFS(FINANCIACION[$ CAPITAL],
FINANCIACION[Fecha],"&lt;="&amp;EOMONTH(F$1,0),
FINANCIACION[PRESTAMO],$A16)</f>
        <v>22673725</v>
      </c>
      <c r="G16" s="22">
        <f>-SUMIFS(FINANCIACION[$ CAPITAL],
FINANCIACION[Fecha],"&lt;="&amp;EOMONTH(G$1,0),
FINANCIACION[PRESTAMO],$A16)</f>
        <v>20784247</v>
      </c>
      <c r="H16" s="22">
        <f>-SUMIFS(FINANCIACION[$ CAPITAL],
FINANCIACION[Fecha],"&lt;="&amp;EOMONTH(H$1,0),
FINANCIACION[PRESTAMO],$A16)</f>
        <v>18894770</v>
      </c>
      <c r="I16" s="22">
        <f>-SUMIFS(FINANCIACION[$ CAPITAL],
FINANCIACION[Fecha],"&lt;="&amp;EOMONTH(I$1,0),
FINANCIACION[PRESTAMO],$A16)</f>
        <v>17005293</v>
      </c>
      <c r="J16" s="22">
        <f>-SUMIFS(FINANCIACION[$ CAPITAL],
FINANCIACION[Fecha],"&lt;="&amp;EOMONTH(J$1,0),
FINANCIACION[PRESTAMO],$A16)</f>
        <v>15115816</v>
      </c>
      <c r="K16" s="22">
        <f>-SUMIFS(FINANCIACION[$ CAPITAL],
FINANCIACION[Fecha],"&lt;="&amp;EOMONTH(K$1,0),
FINANCIACION[PRESTAMO],$A16)</f>
        <v>13226339</v>
      </c>
      <c r="L16" s="22">
        <f>-SUMIFS(FINANCIACION[$ CAPITAL],
FINANCIACION[Fecha],"&lt;="&amp;EOMONTH(L$1,0),
FINANCIACION[PRESTAMO],$A16)</f>
        <v>11336862</v>
      </c>
      <c r="M16" s="22">
        <f>-SUMIFS(FINANCIACION[$ CAPITAL],
FINANCIACION[Fecha],"&lt;="&amp;EOMONTH(M$1,0),
FINANCIACION[PRESTAMO],$A16)</f>
        <v>9447385</v>
      </c>
      <c r="N16" s="22">
        <f>-SUMIFS(FINANCIACION[$ CAPITAL],
FINANCIACION[Fecha],"&lt;="&amp;EOMONTH(N$1,0),
FINANCIACION[PRESTAMO],$A16)</f>
        <v>7557908</v>
      </c>
      <c r="O16" s="22">
        <f>-SUMIFS(FINANCIACION[$ CAPITAL],
FINANCIACION[Fecha],"&lt;="&amp;EOMONTH(O$1,0),
FINANCIACION[PRESTAMO],$A16)</f>
        <v>5668431</v>
      </c>
      <c r="P16" s="22">
        <f>-SUMIFS(FINANCIACION[$ CAPITAL],
FINANCIACION[Fecha],"&lt;="&amp;EOMONTH(P$1,0),
FINANCIACION[PRESTAMO],$A16)</f>
        <v>3778954</v>
      </c>
      <c r="Q16" s="22">
        <f>-SUMIFS(FINANCIACION[$ CAPITAL],
FINANCIACION[Fecha],"&lt;="&amp;EOMONTH(Q$1,0),
FINANCIACION[PRESTAMO],$A16)</f>
        <v>1889477</v>
      </c>
      <c r="R16" s="22">
        <f>-SUMIFS(FINANCIACION[$ CAPITAL],
FINANCIACION[Fecha],"&lt;="&amp;EOMONTH(R$1,0),
FINANCIACION[PRESTAMO],$A16)</f>
        <v>0</v>
      </c>
      <c r="S16" s="22">
        <f>-SUMIFS(FINANCIACION[$ CAPITAL],
FINANCIACION[Fecha],"&lt;="&amp;EOMONTH(S$1,0),
FINANCIACION[PRESTAMO],$A16)</f>
        <v>0</v>
      </c>
      <c r="T16" s="22">
        <f>-SUMIFS(FINANCIACION[$ CAPITAL],
FINANCIACION[Fecha],"&lt;="&amp;EOMONTH(T$1,0),
FINANCIACION[PRESTAMO],$A16)</f>
        <v>0</v>
      </c>
      <c r="U16" s="22">
        <f>-SUMIFS(FINANCIACION[$ CAPITAL],
FINANCIACION[Fecha],"&lt;="&amp;EOMONTH(U$1,0),
FINANCIACION[PRESTAMO],$A16)</f>
        <v>0</v>
      </c>
    </row>
    <row r="17" spans="1:23" ht="21.6" hidden="1" customHeight="1" x14ac:dyDescent="0.25">
      <c r="A17" s="20" t="s">
        <v>121</v>
      </c>
      <c r="B17" s="22">
        <f>-SUMIFS(FINANCIACION[$ CAPITAL],
FINANCIACION[Fecha],"&lt;="&amp;EOMONTH(B$1,0),
FINANCIACION[PRESTAMO],$A17)</f>
        <v>0</v>
      </c>
      <c r="C17" s="22">
        <f>-SUMIFS(FINANCIACION[$ CAPITAL],
FINANCIACION[Fecha],"&lt;="&amp;EOMONTH(C$1,0),
FINANCIACION[PRESTAMO],$A17)</f>
        <v>0</v>
      </c>
      <c r="D17" s="22">
        <f>-SUMIFS(FINANCIACION[$ CAPITAL],
FINANCIACION[Fecha],"&lt;="&amp;EOMONTH(D$1,0),
FINANCIACION[PRESTAMO],$A17)</f>
        <v>0</v>
      </c>
      <c r="E17" s="22">
        <f>-SUMIFS(FINANCIACION[$ CAPITAL],
FINANCIACION[Fecha],"&lt;="&amp;EOMONTH(E$1,0),
FINANCIACION[PRESTAMO],$A17)</f>
        <v>0</v>
      </c>
      <c r="F17" s="22">
        <f>-SUMIFS(FINANCIACION[$ CAPITAL],
FINANCIACION[Fecha],"&lt;="&amp;EOMONTH(F$1,0),
FINANCIACION[PRESTAMO],$A17)</f>
        <v>0</v>
      </c>
      <c r="G17" s="22">
        <f>-SUMIFS(FINANCIACION[$ CAPITAL],
FINANCIACION[Fecha],"&lt;="&amp;EOMONTH(G$1,0),
FINANCIACION[PRESTAMO],$A17)</f>
        <v>0</v>
      </c>
      <c r="H17" s="22">
        <f>-SUMIFS(FINANCIACION[$ CAPITAL],
FINANCIACION[Fecha],"&lt;="&amp;EOMONTH(H$1,0),
FINANCIACION[PRESTAMO],$A17)</f>
        <v>0</v>
      </c>
      <c r="I17" s="22">
        <f>-SUMIFS(FINANCIACION[$ CAPITAL],
FINANCIACION[Fecha],"&lt;="&amp;EOMONTH(I$1,0),
FINANCIACION[PRESTAMO],$A17)</f>
        <v>0</v>
      </c>
      <c r="J17" s="22">
        <f>-SUMIFS(FINANCIACION[$ CAPITAL],
FINANCIACION[Fecha],"&lt;="&amp;EOMONTH(J$1,0),
FINANCIACION[PRESTAMO],$A17)</f>
        <v>0</v>
      </c>
      <c r="K17" s="22">
        <f>-SUMIFS(FINANCIACION[$ CAPITAL],
FINANCIACION[Fecha],"&lt;="&amp;EOMONTH(K$1,0),
FINANCIACION[PRESTAMO],$A17)</f>
        <v>0</v>
      </c>
      <c r="L17" s="22">
        <f>-SUMIFS(FINANCIACION[$ CAPITAL],
FINANCIACION[Fecha],"&lt;="&amp;EOMONTH(L$1,0),
FINANCIACION[PRESTAMO],$A17)</f>
        <v>0</v>
      </c>
      <c r="M17" s="22">
        <f>-SUMIFS(FINANCIACION[$ CAPITAL],
FINANCIACION[Fecha],"&lt;="&amp;EOMONTH(M$1,0),
FINANCIACION[PRESTAMO],$A17)</f>
        <v>0</v>
      </c>
      <c r="N17" s="22">
        <f>-SUMIFS(FINANCIACION[$ CAPITAL],
FINANCIACION[Fecha],"&lt;="&amp;EOMONTH(N$1,0),
FINANCIACION[PRESTAMO],$A17)</f>
        <v>0</v>
      </c>
      <c r="O17" s="22">
        <f>-SUMIFS(FINANCIACION[$ CAPITAL],
FINANCIACION[Fecha],"&lt;="&amp;EOMONTH(O$1,0),
FINANCIACION[PRESTAMO],$A17)</f>
        <v>0</v>
      </c>
      <c r="P17" s="22">
        <f>-SUMIFS(FINANCIACION[$ CAPITAL],
FINANCIACION[Fecha],"&lt;="&amp;EOMONTH(P$1,0),
FINANCIACION[PRESTAMO],$A17)</f>
        <v>0</v>
      </c>
      <c r="Q17" s="22">
        <f>-SUMIFS(FINANCIACION[$ CAPITAL],
FINANCIACION[Fecha],"&lt;="&amp;EOMONTH(Q$1,0),
FINANCIACION[PRESTAMO],$A17)</f>
        <v>0</v>
      </c>
      <c r="R17" s="22">
        <f>-SUMIFS(FINANCIACION[$ CAPITAL],
FINANCIACION[Fecha],"&lt;="&amp;EOMONTH(R$1,0),
FINANCIACION[PRESTAMO],$A17)</f>
        <v>0</v>
      </c>
      <c r="S17" s="22">
        <f>-SUMIFS(FINANCIACION[$ CAPITAL],
FINANCIACION[Fecha],"&lt;="&amp;EOMONTH(S$1,0),
FINANCIACION[PRESTAMO],$A17)</f>
        <v>0</v>
      </c>
      <c r="T17" s="22">
        <f>-SUMIFS(FINANCIACION[$ CAPITAL],
FINANCIACION[Fecha],"&lt;="&amp;EOMONTH(T$1,0),
FINANCIACION[PRESTAMO],$A17)</f>
        <v>0</v>
      </c>
      <c r="U17" s="22">
        <f>-SUMIFS(FINANCIACION[$ CAPITAL],
FINANCIACION[Fecha],"&lt;="&amp;EOMONTH(U$1,0),
FINANCIACION[PRESTAMO],$A17)</f>
        <v>0</v>
      </c>
    </row>
    <row r="18" spans="1:23" ht="21.6" hidden="1" customHeight="1" x14ac:dyDescent="0.25">
      <c r="A18" s="20" t="s">
        <v>507</v>
      </c>
      <c r="B18" s="22">
        <f>-SUMIFS(FINANCIACION[$ CAPITAL],
FINANCIACION[Fecha],"&lt;="&amp;EOMONTH(B$1,0),
FINANCIACION[PRESTAMO],$A18)</f>
        <v>0</v>
      </c>
      <c r="C18" s="22">
        <f>-SUMIFS(FINANCIACION[$ CAPITAL],
FINANCIACION[Fecha],"&lt;="&amp;EOMONTH(C$1,0),
FINANCIACION[PRESTAMO],$A18)</f>
        <v>0</v>
      </c>
      <c r="D18" s="22">
        <f>-SUMIFS(FINANCIACION[$ CAPITAL],
FINANCIACION[Fecha],"&lt;="&amp;EOMONTH(D$1,0),
FINANCIACION[PRESTAMO],$A18)</f>
        <v>0</v>
      </c>
      <c r="E18" s="22">
        <f>-SUMIFS(FINANCIACION[$ CAPITAL],
FINANCIACION[Fecha],"&lt;="&amp;EOMONTH(E$1,0),
FINANCIACION[PRESTAMO],$A18)</f>
        <v>91260500</v>
      </c>
      <c r="F18" s="22">
        <f>-SUMIFS(FINANCIACION[$ CAPITAL],
FINANCIACION[Fecha],"&lt;="&amp;EOMONTH(F$1,0),
FINANCIACION[PRESTAMO],$A18)</f>
        <v>95160000</v>
      </c>
      <c r="G18" s="22">
        <f>-SUMIFS(FINANCIACION[$ CAPITAL],
FINANCIACION[Fecha],"&lt;="&amp;EOMONTH(G$1,0),
FINANCIACION[PRESTAMO],$A18)</f>
        <v>91650000</v>
      </c>
      <c r="H18" s="22">
        <f>-SUMIFS(FINANCIACION[$ CAPITAL],
FINANCIACION[Fecha],"&lt;="&amp;EOMONTH(H$1,0),
FINANCIACION[PRESTAMO],$A18)</f>
        <v>91650000</v>
      </c>
      <c r="I18" s="22">
        <f>-SUMIFS(FINANCIACION[$ CAPITAL],
FINANCIACION[Fecha],"&lt;="&amp;EOMONTH(I$1,0),
FINANCIACION[PRESTAMO],$A18)</f>
        <v>88920000</v>
      </c>
      <c r="J18" s="22">
        <f>-SUMIFS(FINANCIACION[$ CAPITAL],
FINANCIACION[Fecha],"&lt;="&amp;EOMONTH(J$1,0),
FINANCIACION[PRESTAMO],$A18)</f>
        <v>84825000</v>
      </c>
      <c r="K18" s="22">
        <f>-SUMIFS(FINANCIACION[$ CAPITAL],
FINANCIACION[Fecha],"&lt;="&amp;EOMONTH(K$1,0),
FINANCIACION[PRESTAMO],$A18)</f>
        <v>84825000</v>
      </c>
      <c r="L18" s="22">
        <f>-SUMIFS(FINANCIACION[$ CAPITAL],
FINANCIACION[Fecha],"&lt;="&amp;EOMONTH(L$1,0),
FINANCIACION[PRESTAMO],$A18)</f>
        <v>84825000</v>
      </c>
      <c r="M18" s="22">
        <f>-SUMIFS(FINANCIACION[$ CAPITAL],
FINANCIACION[Fecha],"&lt;="&amp;EOMONTH(M$1,0),
FINANCIACION[PRESTAMO],$A18)</f>
        <v>84825000</v>
      </c>
      <c r="N18" s="22">
        <f>-SUMIFS(FINANCIACION[$ CAPITAL],
FINANCIACION[Fecha],"&lt;="&amp;EOMONTH(N$1,0),
FINANCIACION[PRESTAMO],$A18)</f>
        <v>84825000</v>
      </c>
      <c r="O18" s="22">
        <f>-SUMIFS(FINANCIACION[$ CAPITAL],
FINANCIACION[Fecha],"&lt;="&amp;EOMONTH(O$1,0),
FINANCIACION[PRESTAMO],$A18)</f>
        <v>84825000</v>
      </c>
      <c r="P18" s="22">
        <f>-SUMIFS(FINANCIACION[$ CAPITAL],
FINANCIACION[Fecha],"&lt;="&amp;EOMONTH(P$1,0),
FINANCIACION[PRESTAMO],$A18)</f>
        <v>84825000</v>
      </c>
      <c r="Q18" s="22">
        <f>-SUMIFS(FINANCIACION[$ CAPITAL],
FINANCIACION[Fecha],"&lt;="&amp;EOMONTH(Q$1,0),
FINANCIACION[PRESTAMO],$A18)</f>
        <v>0</v>
      </c>
      <c r="R18" s="22">
        <f>-SUMIFS(FINANCIACION[$ CAPITAL],
FINANCIACION[Fecha],"&lt;="&amp;EOMONTH(R$1,0),
FINANCIACION[PRESTAMO],$A18)</f>
        <v>0</v>
      </c>
      <c r="S18" s="22">
        <f>-SUMIFS(FINANCIACION[$ CAPITAL],
FINANCIACION[Fecha],"&lt;="&amp;EOMONTH(S$1,0),
FINANCIACION[PRESTAMO],$A18)</f>
        <v>0</v>
      </c>
      <c r="T18" s="22">
        <f>-SUMIFS(FINANCIACION[$ CAPITAL],
FINANCIACION[Fecha],"&lt;="&amp;EOMONTH(T$1,0),
FINANCIACION[PRESTAMO],$A18)</f>
        <v>0</v>
      </c>
      <c r="U18" s="22">
        <f>-SUMIFS(FINANCIACION[$ CAPITAL],
FINANCIACION[Fecha],"&lt;="&amp;EOMONTH(U$1,0),
FINANCIACION[PRESTAMO],$A18)</f>
        <v>0</v>
      </c>
    </row>
    <row r="19" spans="1:23" ht="21.6" hidden="1" customHeight="1" x14ac:dyDescent="0.25">
      <c r="A19" s="20" t="s">
        <v>605</v>
      </c>
      <c r="B19" s="22">
        <f>-SUMIFS(FINANCIACION[$ CAPITAL],
FINANCIACION[Fecha],"&lt;="&amp;EOMONTH(B$1,0),
FINANCIACION[PRESTAMO],$A19)</f>
        <v>0</v>
      </c>
      <c r="C19" s="22">
        <f>-SUMIFS(FINANCIACION[$ CAPITAL],
FINANCIACION[Fecha],"&lt;="&amp;EOMONTH(C$1,0),
FINANCIACION[PRESTAMO],$A19)</f>
        <v>0</v>
      </c>
      <c r="D19" s="22">
        <f>-SUMIFS(FINANCIACION[$ CAPITAL],
FINANCIACION[Fecha],"&lt;="&amp;EOMONTH(D$1,0),
FINANCIACION[PRESTAMO],$A19)</f>
        <v>0</v>
      </c>
      <c r="E19" s="22">
        <f>-SUMIFS(FINANCIACION[$ CAPITAL],
FINANCIACION[Fecha],"&lt;="&amp;EOMONTH(E$1,0),
FINANCIACION[PRESTAMO],$A19)</f>
        <v>0</v>
      </c>
      <c r="F19" s="22">
        <f>-SUMIFS(FINANCIACION[$ CAPITAL],
FINANCIACION[Fecha],"&lt;="&amp;EOMONTH(F$1,0),
FINANCIACION[PRESTAMO],$A19)</f>
        <v>60233450</v>
      </c>
      <c r="G19" s="22">
        <f>-SUMIFS(FINANCIACION[$ CAPITAL],
FINANCIACION[Fecha],"&lt;="&amp;EOMONTH(G$1,0),
FINANCIACION[PRESTAMO],$A19)</f>
        <v>58011724</v>
      </c>
      <c r="H19" s="22">
        <f>-SUMIFS(FINANCIACION[$ CAPITAL],
FINANCIACION[Fecha],"&lt;="&amp;EOMONTH(H$1,0),
FINANCIACION[PRESTAMO],$A19)</f>
        <v>58011724</v>
      </c>
      <c r="I19" s="22">
        <f>-SUMIFS(FINANCIACION[$ CAPITAL],
FINANCIACION[Fecha],"&lt;="&amp;EOMONTH(I$1,0),
FINANCIACION[PRESTAMO],$A19)</f>
        <v>56283715</v>
      </c>
      <c r="J19" s="22">
        <f>-SUMIFS(FINANCIACION[$ CAPITAL],
FINANCIACION[Fecha],"&lt;="&amp;EOMONTH(J$1,0),
FINANCIACION[PRESTAMO],$A19)</f>
        <v>53691702</v>
      </c>
      <c r="K19" s="22">
        <f>-SUMIFS(FINANCIACION[$ CAPITAL],
FINANCIACION[Fecha],"&lt;="&amp;EOMONTH(K$1,0),
FINANCIACION[PRESTAMO],$A19)</f>
        <v>53691702</v>
      </c>
      <c r="L19" s="22">
        <f>-SUMIFS(FINANCIACION[$ CAPITAL],
FINANCIACION[Fecha],"&lt;="&amp;EOMONTH(L$1,0),
FINANCIACION[PRESTAMO],$A19)</f>
        <v>53691702</v>
      </c>
      <c r="M19" s="22">
        <f>-SUMIFS(FINANCIACION[$ CAPITAL],
FINANCIACION[Fecha],"&lt;="&amp;EOMONTH(M$1,0),
FINANCIACION[PRESTAMO],$A19)</f>
        <v>53691702</v>
      </c>
      <c r="N19" s="22">
        <f>-SUMIFS(FINANCIACION[$ CAPITAL],
FINANCIACION[Fecha],"&lt;="&amp;EOMONTH(N$1,0),
FINANCIACION[PRESTAMO],$A19)</f>
        <v>53691702</v>
      </c>
      <c r="O19" s="22">
        <f>-SUMIFS(FINANCIACION[$ CAPITAL],
FINANCIACION[Fecha],"&lt;="&amp;EOMONTH(O$1,0),
FINANCIACION[PRESTAMO],$A19)</f>
        <v>53691702</v>
      </c>
      <c r="P19" s="22">
        <f>-SUMIFS(FINANCIACION[$ CAPITAL],
FINANCIACION[Fecha],"&lt;="&amp;EOMONTH(P$1,0),
FINANCIACION[PRESTAMO],$A19)</f>
        <v>0</v>
      </c>
      <c r="Q19" s="22">
        <f>-SUMIFS(FINANCIACION[$ CAPITAL],
FINANCIACION[Fecha],"&lt;="&amp;EOMONTH(Q$1,0),
FINANCIACION[PRESTAMO],$A19)</f>
        <v>0</v>
      </c>
      <c r="R19" s="22">
        <f>-SUMIFS(FINANCIACION[$ CAPITAL],
FINANCIACION[Fecha],"&lt;="&amp;EOMONTH(R$1,0),
FINANCIACION[PRESTAMO],$A19)</f>
        <v>0</v>
      </c>
      <c r="S19" s="22">
        <f>-SUMIFS(FINANCIACION[$ CAPITAL],
FINANCIACION[Fecha],"&lt;="&amp;EOMONTH(S$1,0),
FINANCIACION[PRESTAMO],$A19)</f>
        <v>0</v>
      </c>
      <c r="T19" s="22">
        <f>-SUMIFS(FINANCIACION[$ CAPITAL],
FINANCIACION[Fecha],"&lt;="&amp;EOMONTH(T$1,0),
FINANCIACION[PRESTAMO],$A19)</f>
        <v>0</v>
      </c>
      <c r="U19" s="22">
        <f>-SUMIFS(FINANCIACION[$ CAPITAL],
FINANCIACION[Fecha],"&lt;="&amp;EOMONTH(U$1,0),
FINANCIACION[PRESTAMO],$A19)</f>
        <v>0</v>
      </c>
    </row>
    <row r="20" spans="1:23" ht="21.6" customHeight="1" x14ac:dyDescent="0.25">
      <c r="A20" s="20" t="s">
        <v>1470</v>
      </c>
      <c r="B20" s="22">
        <f>-SUMIFS(FINANCIACION[$ CAPITAL],
FINANCIACION[Fecha],"&lt;="&amp;EOMONTH(B$1,0),
FINANCIACION[PRESTAMO],$A20)</f>
        <v>0</v>
      </c>
      <c r="C20" s="22">
        <f>-SUMIFS(FINANCIACION[$ CAPITAL],
FINANCIACION[Fecha],"&lt;="&amp;EOMONTH(C$1,0),
FINANCIACION[PRESTAMO],$A20)</f>
        <v>0</v>
      </c>
      <c r="D20" s="22">
        <f>-SUMIFS(FINANCIACION[$ CAPITAL],
FINANCIACION[Fecha],"&lt;="&amp;EOMONTH(D$1,0),
FINANCIACION[PRESTAMO],$A20)</f>
        <v>0</v>
      </c>
      <c r="E20" s="22">
        <f>-SUMIFS(FINANCIACION[$ CAPITAL],
FINANCIACION[Fecha],"&lt;="&amp;EOMONTH(E$1,0),
FINANCIACION[PRESTAMO],$A20)</f>
        <v>0</v>
      </c>
      <c r="F20" s="22">
        <f>-SUMIFS(FINANCIACION[$ CAPITAL],
FINANCIACION[Fecha],"&lt;="&amp;EOMONTH(F$1,0),
FINANCIACION[PRESTAMO],$A20)</f>
        <v>0</v>
      </c>
      <c r="G20" s="22">
        <f>-SUMIFS(FINANCIACION[$ CAPITAL],
FINANCIACION[Fecha],"&lt;="&amp;EOMONTH(G$1,0),
FINANCIACION[PRESTAMO],$A20)</f>
        <v>0</v>
      </c>
      <c r="H20" s="22">
        <f>-SUMIFS(FINANCIACION[$ CAPITAL],
FINANCIACION[Fecha],"&lt;="&amp;EOMONTH(H$1,0),
FINANCIACION[PRESTAMO],$A20)</f>
        <v>0</v>
      </c>
      <c r="I20" s="22">
        <f>-SUMIFS(FINANCIACION[$ CAPITAL],
FINANCIACION[Fecha],"&lt;="&amp;EOMONTH(I$1,0),
FINANCIACION[PRESTAMO],$A20)</f>
        <v>0</v>
      </c>
      <c r="J20" s="22">
        <f>-SUMIFS(FINANCIACION[$ CAPITAL],
FINANCIACION[Fecha],"&lt;="&amp;EOMONTH(J$1,0),
FINANCIACION[PRESTAMO],$A20)</f>
        <v>0</v>
      </c>
      <c r="K20" s="22">
        <f>-SUMIFS(FINANCIACION[$ CAPITAL],
FINANCIACION[Fecha],"&lt;="&amp;EOMONTH(K$1,0),
FINANCIACION[PRESTAMO],$A20)</f>
        <v>0</v>
      </c>
      <c r="L20" s="22">
        <f>-SUMIFS(FINANCIACION[$ CAPITAL],
FINANCIACION[Fecha],"&lt;="&amp;EOMONTH(L$1,0),
FINANCIACION[PRESTAMO],$A20)</f>
        <v>0</v>
      </c>
      <c r="M20" s="22">
        <f>-SUMIFS(FINANCIACION[$ CAPITAL],
FINANCIACION[Fecha],"&lt;="&amp;EOMONTH(M$1,0),
FINANCIACION[PRESTAMO],$A20)</f>
        <v>0</v>
      </c>
      <c r="N20" s="22">
        <f>-SUMIFS(FINANCIACION[$ CAPITAL],
FINANCIACION[Fecha],"&lt;="&amp;EOMONTH(N$1,0),
FINANCIACION[PRESTAMO],$A20)</f>
        <v>0</v>
      </c>
      <c r="O20" s="22">
        <f>-SUMIFS(FINANCIACION[$ CAPITAL],
FINANCIACION[Fecha],"&lt;="&amp;EOMONTH(O$1,0),
FINANCIACION[PRESTAMO],$A20)</f>
        <v>0</v>
      </c>
      <c r="P20" s="22">
        <f>-SUMIFS(FINANCIACION[$ CAPITAL],
FINANCIACION[Fecha],"&lt;="&amp;EOMONTH(P$1,0),
FINANCIACION[PRESTAMO],$A20)</f>
        <v>0</v>
      </c>
      <c r="Q20" s="22">
        <f>-SUMIFS(FINANCIACION[$ CAPITAL],
FINANCIACION[Fecha],"&lt;="&amp;EOMONTH(Q$1,0),
FINANCIACION[PRESTAMO],$A20)</f>
        <v>95868547.100000009</v>
      </c>
      <c r="R20" s="22">
        <f>-SUMIFS(FINANCIACION[$ CAPITAL],
FINANCIACION[Fecha],"&lt;="&amp;EOMONTH(R$1,0),
FINANCIACION[PRESTAMO],$A20)</f>
        <v>95868547.100000009</v>
      </c>
      <c r="S20" s="22">
        <f>-SUMIFS(FINANCIACION[$ CAPITAL],
FINANCIACION[Fecha],"&lt;="&amp;EOMONTH(S$1,0),
FINANCIACION[PRESTAMO],$A20)</f>
        <v>95868547.100000009</v>
      </c>
      <c r="T20" s="22">
        <f>-SUMIFS(FINANCIACION[$ CAPITAL],
FINANCIACION[Fecha],"&lt;="&amp;EOMONTH(T$1,0),
FINANCIACION[PRESTAMO],$A20)</f>
        <v>95868547.100000009</v>
      </c>
      <c r="U20" s="22">
        <f>-SUMIFS(FINANCIACION[$ CAPITAL],
FINANCIACION[Fecha],"&lt;="&amp;EOMONTH(U$1,0),
FINANCIACION[PRESTAMO],$A20)</f>
        <v>95868547.100000009</v>
      </c>
    </row>
    <row r="21" spans="1:23" ht="21.6" hidden="1" customHeight="1" x14ac:dyDescent="0.25">
      <c r="A21" s="20" t="s">
        <v>122</v>
      </c>
      <c r="B21" s="22">
        <f>-SUMIFS(FINANCIACION[$ CAPITAL],
FINANCIACION[Fecha],"&lt;="&amp;EOMONTH(B$1,0),
FINANCIACION[PRESTAMO],$A21)</f>
        <v>13332000</v>
      </c>
      <c r="C21" s="22">
        <f>-SUMIFS(FINANCIACION[$ CAPITAL],
FINANCIACION[Fecha],"&lt;="&amp;EOMONTH(C$1,0),
FINANCIACION[PRESTAMO],$A21)</f>
        <v>12915000</v>
      </c>
      <c r="D21" s="22">
        <f>-SUMIFS(FINANCIACION[$ CAPITAL],
FINANCIACION[Fecha],"&lt;="&amp;EOMONTH(D$1,0),
FINANCIACION[PRESTAMO],$A21)</f>
        <v>12498000</v>
      </c>
      <c r="E21" s="22">
        <f>-SUMIFS(FINANCIACION[$ CAPITAL],
FINANCIACION[Fecha],"&lt;="&amp;EOMONTH(E$1,0),
FINANCIACION[PRESTAMO],$A21)</f>
        <v>12081000</v>
      </c>
      <c r="F21" s="22">
        <f>-SUMIFS(FINANCIACION[$ CAPITAL],
FINANCIACION[Fecha],"&lt;="&amp;EOMONTH(F$1,0),
FINANCIACION[PRESTAMO],$A21)</f>
        <v>11664000</v>
      </c>
      <c r="G21" s="22">
        <f>-SUMIFS(FINANCIACION[$ CAPITAL],
FINANCIACION[Fecha],"&lt;="&amp;EOMONTH(G$1,0),
FINANCIACION[PRESTAMO],$A21)</f>
        <v>11247000</v>
      </c>
      <c r="H21" s="22">
        <f>-SUMIFS(FINANCIACION[$ CAPITAL],
FINANCIACION[Fecha],"&lt;="&amp;EOMONTH(H$1,0),
FINANCIACION[PRESTAMO],$A21)</f>
        <v>10830000</v>
      </c>
      <c r="I21" s="22">
        <f>-SUMIFS(FINANCIACION[$ CAPITAL],
FINANCIACION[Fecha],"&lt;="&amp;EOMONTH(I$1,0),
FINANCIACION[PRESTAMO],$A21)</f>
        <v>10413000</v>
      </c>
      <c r="J21" s="22">
        <f>-SUMIFS(FINANCIACION[$ CAPITAL],
FINANCIACION[Fecha],"&lt;="&amp;EOMONTH(J$1,0),
FINANCIACION[PRESTAMO],$A21)</f>
        <v>10090820</v>
      </c>
      <c r="K21" s="22">
        <f>-SUMIFS(FINANCIACION[$ CAPITAL],
FINANCIACION[Fecha],"&lt;="&amp;EOMONTH(K$1,0),
FINANCIACION[PRESTAMO],$A21)</f>
        <v>9673820</v>
      </c>
      <c r="L21" s="22">
        <f>-SUMIFS(FINANCIACION[$ CAPITAL],
FINANCIACION[Fecha],"&lt;="&amp;EOMONTH(L$1,0),
FINANCIACION[PRESTAMO],$A21)</f>
        <v>9256820</v>
      </c>
      <c r="M21" s="22">
        <f>-SUMIFS(FINANCIACION[$ CAPITAL],
FINANCIACION[Fecha],"&lt;="&amp;EOMONTH(M$1,0),
FINANCIACION[PRESTAMO],$A21)</f>
        <v>8839820</v>
      </c>
      <c r="N21" s="22">
        <f>-SUMIFS(FINANCIACION[$ CAPITAL],
FINANCIACION[Fecha],"&lt;="&amp;EOMONTH(N$1,0),
FINANCIACION[PRESTAMO],$A21)</f>
        <v>8422820</v>
      </c>
      <c r="O21" s="22">
        <f>-SUMIFS(FINANCIACION[$ CAPITAL],
FINANCIACION[Fecha],"&lt;="&amp;EOMONTH(O$1,0),
FINANCIACION[PRESTAMO],$A21)</f>
        <v>0</v>
      </c>
      <c r="P21" s="22">
        <f>-SUMIFS(FINANCIACION[$ CAPITAL],
FINANCIACION[Fecha],"&lt;="&amp;EOMONTH(P$1,0),
FINANCIACION[PRESTAMO],$A21)</f>
        <v>0</v>
      </c>
      <c r="Q21" s="22">
        <f>-SUMIFS(FINANCIACION[$ CAPITAL],
FINANCIACION[Fecha],"&lt;="&amp;EOMONTH(Q$1,0),
FINANCIACION[PRESTAMO],$A21)</f>
        <v>0</v>
      </c>
      <c r="R21" s="22">
        <f>-SUMIFS(FINANCIACION[$ CAPITAL],
FINANCIACION[Fecha],"&lt;="&amp;EOMONTH(R$1,0),
FINANCIACION[PRESTAMO],$A21)</f>
        <v>0</v>
      </c>
      <c r="S21" s="22">
        <f>-SUMIFS(FINANCIACION[$ CAPITAL],
FINANCIACION[Fecha],"&lt;="&amp;EOMONTH(S$1,0),
FINANCIACION[PRESTAMO],$A21)</f>
        <v>0</v>
      </c>
      <c r="T21" s="22">
        <f>-SUMIFS(FINANCIACION[$ CAPITAL],
FINANCIACION[Fecha],"&lt;="&amp;EOMONTH(T$1,0),
FINANCIACION[PRESTAMO],$A21)</f>
        <v>0</v>
      </c>
      <c r="U21" s="22">
        <f>-SUMIFS(FINANCIACION[$ CAPITAL],
FINANCIACION[Fecha],"&lt;="&amp;EOMONTH(U$1,0),
FINANCIACION[PRESTAMO],$A21)</f>
        <v>0</v>
      </c>
    </row>
    <row r="22" spans="1:23" ht="21.6" customHeight="1" x14ac:dyDescent="0.25">
      <c r="A22" s="20" t="s">
        <v>1291</v>
      </c>
      <c r="B22" s="22">
        <f>-SUMIFS(FINANCIACION[$ CAPITAL],
FINANCIACION[Fecha],"&lt;="&amp;EOMONTH(B$1,0),
FINANCIACION[PRESTAMO],$A22)</f>
        <v>0</v>
      </c>
      <c r="C22" s="22">
        <f>-SUMIFS(FINANCIACION[$ CAPITAL],
FINANCIACION[Fecha],"&lt;="&amp;EOMONTH(C$1,0),
FINANCIACION[PRESTAMO],$A22)</f>
        <v>0</v>
      </c>
      <c r="D22" s="22">
        <f>-SUMIFS(FINANCIACION[$ CAPITAL],
FINANCIACION[Fecha],"&lt;="&amp;EOMONTH(D$1,0),
FINANCIACION[PRESTAMO],$A22)</f>
        <v>0</v>
      </c>
      <c r="E22" s="22">
        <f>-SUMIFS(FINANCIACION[$ CAPITAL],
FINANCIACION[Fecha],"&lt;="&amp;EOMONTH(E$1,0),
FINANCIACION[PRESTAMO],$A22)</f>
        <v>0</v>
      </c>
      <c r="F22" s="22">
        <f>-SUMIFS(FINANCIACION[$ CAPITAL],
FINANCIACION[Fecha],"&lt;="&amp;EOMONTH(F$1,0),
FINANCIACION[PRESTAMO],$A22)</f>
        <v>0</v>
      </c>
      <c r="G22" s="22">
        <f>-SUMIFS(FINANCIACION[$ CAPITAL],
FINANCIACION[Fecha],"&lt;="&amp;EOMONTH(G$1,0),
FINANCIACION[PRESTAMO],$A22)</f>
        <v>0</v>
      </c>
      <c r="H22" s="22">
        <f>-SUMIFS(FINANCIACION[$ CAPITAL],
FINANCIACION[Fecha],"&lt;="&amp;EOMONTH(H$1,0),
FINANCIACION[PRESTAMO],$A22)</f>
        <v>0</v>
      </c>
      <c r="I22" s="22">
        <f>-SUMIFS(FINANCIACION[$ CAPITAL],
FINANCIACION[Fecha],"&lt;="&amp;EOMONTH(I$1,0),
FINANCIACION[PRESTAMO],$A22)</f>
        <v>0</v>
      </c>
      <c r="J22" s="22">
        <f>-SUMIFS(FINANCIACION[$ CAPITAL],
FINANCIACION[Fecha],"&lt;="&amp;EOMONTH(J$1,0),
FINANCIACION[PRESTAMO],$A22)</f>
        <v>0</v>
      </c>
      <c r="K22" s="22">
        <f>-SUMIFS(FINANCIACION[$ CAPITAL],
FINANCIACION[Fecha],"&lt;="&amp;EOMONTH(K$1,0),
FINANCIACION[PRESTAMO],$A22)</f>
        <v>0</v>
      </c>
      <c r="L22" s="22">
        <f>-SUMIFS(FINANCIACION[$ CAPITAL],
FINANCIACION[Fecha],"&lt;="&amp;EOMONTH(L$1,0),
FINANCIACION[PRESTAMO],$A22)</f>
        <v>0</v>
      </c>
      <c r="M22" s="22">
        <f>-SUMIFS(FINANCIACION[$ CAPITAL],
FINANCIACION[Fecha],"&lt;="&amp;EOMONTH(M$1,0),
FINANCIACION[PRESTAMO],$A22)</f>
        <v>0</v>
      </c>
      <c r="N22" s="22">
        <f>-SUMIFS(FINANCIACION[$ CAPITAL],
FINANCIACION[Fecha],"&lt;="&amp;EOMONTH(N$1,0),
FINANCIACION[PRESTAMO],$A22)</f>
        <v>0</v>
      </c>
      <c r="O22" s="22">
        <f>-SUMIFS(FINANCIACION[$ CAPITAL],
FINANCIACION[Fecha],"&lt;="&amp;EOMONTH(O$1,0),
FINANCIACION[PRESTAMO],$A22)</f>
        <v>0</v>
      </c>
      <c r="P22" s="22">
        <f>-SUMIFS(FINANCIACION[$ CAPITAL],
FINANCIACION[Fecha],"&lt;="&amp;EOMONTH(P$1,0),
FINANCIACION[PRESTAMO],$A22)</f>
        <v>100000000</v>
      </c>
      <c r="Q22" s="22">
        <f>-SUMIFS(FINANCIACION[$ CAPITAL],
FINANCIACION[Fecha],"&lt;="&amp;EOMONTH(Q$1,0),
FINANCIACION[PRESTAMO],$A22)</f>
        <v>97222000</v>
      </c>
      <c r="R22" s="22">
        <f>-SUMIFS(FINANCIACION[$ CAPITAL],
FINANCIACION[Fecha],"&lt;="&amp;EOMONTH(R$1,0),
FINANCIACION[PRESTAMO],$A22)</f>
        <v>94444000</v>
      </c>
      <c r="S22" s="22">
        <f>-SUMIFS(FINANCIACION[$ CAPITAL],
FINANCIACION[Fecha],"&lt;="&amp;EOMONTH(S$1,0),
FINANCIACION[PRESTAMO],$A22)</f>
        <v>91666000</v>
      </c>
      <c r="T22" s="22">
        <f>-SUMIFS(FINANCIACION[$ CAPITAL],
FINANCIACION[Fecha],"&lt;="&amp;EOMONTH(T$1,0),
FINANCIACION[PRESTAMO],$A22)</f>
        <v>86110000</v>
      </c>
      <c r="U22" s="22">
        <f>-SUMIFS(FINANCIACION[$ CAPITAL],
FINANCIACION[Fecha],"&lt;="&amp;EOMONTH(U$1,0),
FINANCIACION[PRESTAMO],$A22)</f>
        <v>86110000</v>
      </c>
    </row>
    <row r="23" spans="1:23" ht="21.6" customHeight="1" x14ac:dyDescent="0.25">
      <c r="A23" s="20" t="s">
        <v>1501</v>
      </c>
      <c r="B23" s="22">
        <f>-SUMIFS(FINANCIACION[$ CAPITAL],
FINANCIACION[Fecha],"&lt;="&amp;EOMONTH(B$1,0),
FINANCIACION[PRESTAMO],$A23)</f>
        <v>0</v>
      </c>
      <c r="C23" s="22">
        <f>-SUMIFS(FINANCIACION[$ CAPITAL],
FINANCIACION[Fecha],"&lt;="&amp;EOMONTH(C$1,0),
FINANCIACION[PRESTAMO],$A23)</f>
        <v>0</v>
      </c>
      <c r="D23" s="22">
        <f>-SUMIFS(FINANCIACION[$ CAPITAL],
FINANCIACION[Fecha],"&lt;="&amp;EOMONTH(D$1,0),
FINANCIACION[PRESTAMO],$A23)</f>
        <v>0</v>
      </c>
      <c r="E23" s="22">
        <f>-SUMIFS(FINANCIACION[$ CAPITAL],
FINANCIACION[Fecha],"&lt;="&amp;EOMONTH(E$1,0),
FINANCIACION[PRESTAMO],$A23)</f>
        <v>0</v>
      </c>
      <c r="F23" s="22">
        <f>-SUMIFS(FINANCIACION[$ CAPITAL],
FINANCIACION[Fecha],"&lt;="&amp;EOMONTH(F$1,0),
FINANCIACION[PRESTAMO],$A23)</f>
        <v>0</v>
      </c>
      <c r="G23" s="22">
        <f>-SUMIFS(FINANCIACION[$ CAPITAL],
FINANCIACION[Fecha],"&lt;="&amp;EOMONTH(G$1,0),
FINANCIACION[PRESTAMO],$A23)</f>
        <v>0</v>
      </c>
      <c r="H23" s="22">
        <f>-SUMIFS(FINANCIACION[$ CAPITAL],
FINANCIACION[Fecha],"&lt;="&amp;EOMONTH(H$1,0),
FINANCIACION[PRESTAMO],$A23)</f>
        <v>0</v>
      </c>
      <c r="I23" s="22">
        <f>-SUMIFS(FINANCIACION[$ CAPITAL],
FINANCIACION[Fecha],"&lt;="&amp;EOMONTH(I$1,0),
FINANCIACION[PRESTAMO],$A23)</f>
        <v>0</v>
      </c>
      <c r="J23" s="22">
        <f>-SUMIFS(FINANCIACION[$ CAPITAL],
FINANCIACION[Fecha],"&lt;="&amp;EOMONTH(J$1,0),
FINANCIACION[PRESTAMO],$A23)</f>
        <v>0</v>
      </c>
      <c r="K23" s="22">
        <f>-SUMIFS(FINANCIACION[$ CAPITAL],
FINANCIACION[Fecha],"&lt;="&amp;EOMONTH(K$1,0),
FINANCIACION[PRESTAMO],$A23)</f>
        <v>0</v>
      </c>
      <c r="L23" s="22">
        <f>-SUMIFS(FINANCIACION[$ CAPITAL],
FINANCIACION[Fecha],"&lt;="&amp;EOMONTH(L$1,0),
FINANCIACION[PRESTAMO],$A23)</f>
        <v>0</v>
      </c>
      <c r="M23" s="22">
        <f>-SUMIFS(FINANCIACION[$ CAPITAL],
FINANCIACION[Fecha],"&lt;="&amp;EOMONTH(M$1,0),
FINANCIACION[PRESTAMO],$A23)</f>
        <v>0</v>
      </c>
      <c r="N23" s="22">
        <f>-SUMIFS(FINANCIACION[$ CAPITAL],
FINANCIACION[Fecha],"&lt;="&amp;EOMONTH(N$1,0),
FINANCIACION[PRESTAMO],$A23)</f>
        <v>0</v>
      </c>
      <c r="O23" s="22">
        <f>-SUMIFS(FINANCIACION[$ CAPITAL],
FINANCIACION[Fecha],"&lt;="&amp;EOMONTH(O$1,0),
FINANCIACION[PRESTAMO],$A23)</f>
        <v>0</v>
      </c>
      <c r="P23" s="22">
        <f>-SUMIFS(FINANCIACION[$ CAPITAL],
FINANCIACION[Fecha],"&lt;="&amp;EOMONTH(P$1,0),
FINANCIACION[PRESTAMO],$A23)</f>
        <v>0</v>
      </c>
      <c r="Q23" s="22">
        <f>-SUMIFS(FINANCIACION[$ CAPITAL],
FINANCIACION[Fecha],"&lt;="&amp;EOMONTH(Q$1,0),
FINANCIACION[PRESTAMO],$A23)</f>
        <v>0</v>
      </c>
      <c r="R23" s="22">
        <f>-SUMIFS(FINANCIACION[$ CAPITAL],
FINANCIACION[Fecha],"&lt;="&amp;EOMONTH(R$1,0),
FINANCIACION[PRESTAMO],$A23)</f>
        <v>50000000</v>
      </c>
      <c r="S23" s="22">
        <f>-SUMIFS(FINANCIACION[$ CAPITAL],
FINANCIACION[Fecha],"&lt;="&amp;EOMONTH(S$1,0),
FINANCIACION[PRESTAMO],$A23)</f>
        <v>45833000</v>
      </c>
      <c r="T23" s="22">
        <f>-SUMIFS(FINANCIACION[$ CAPITAL],
FINANCIACION[Fecha],"&lt;="&amp;EOMONTH(T$1,0),
FINANCIACION[PRESTAMO],$A23)</f>
        <v>37499000</v>
      </c>
      <c r="U23" s="22">
        <f>-SUMIFS(FINANCIACION[$ CAPITAL],
FINANCIACION[Fecha],"&lt;="&amp;EOMONTH(U$1,0),
FINANCIACION[PRESTAMO],$A23)</f>
        <v>37499000</v>
      </c>
    </row>
    <row r="24" spans="1:23" ht="21.6" customHeight="1" x14ac:dyDescent="0.25">
      <c r="A24" s="20" t="s">
        <v>1420</v>
      </c>
      <c r="B24" s="22">
        <f>-SUMIFS(FINANCIACION[$ CAPITAL],
FINANCIACION[Fecha],"&lt;="&amp;EOMONTH(B$1,0),
FINANCIACION[PRESTAMO],$A24)</f>
        <v>72583152.449999988</v>
      </c>
      <c r="C24" s="22">
        <f>-SUMIFS(FINANCIACION[$ CAPITAL],
FINANCIACION[Fecha],"&lt;="&amp;EOMONTH(C$1,0),
FINANCIACION[PRESTAMO],$A24)</f>
        <v>71101838.449999988</v>
      </c>
      <c r="D24" s="22">
        <f>-SUMIFS(FINANCIACION[$ CAPITAL],
FINANCIACION[Fecha],"&lt;="&amp;EOMONTH(D$1,0),
FINANCIACION[PRESTAMO],$A24)</f>
        <v>69565361.449999988</v>
      </c>
      <c r="E24" s="22">
        <f>-SUMIFS(FINANCIACION[$ CAPITAL],
FINANCIACION[Fecha],"&lt;="&amp;EOMONTH(E$1,0),
FINANCIACION[PRESTAMO],$A24)</f>
        <v>68083880.449999988</v>
      </c>
      <c r="F24" s="22">
        <f>-SUMIFS(FINANCIACION[$ CAPITAL],
FINANCIACION[Fecha],"&lt;="&amp;EOMONTH(F$1,0),
FINANCIACION[PRESTAMO],$A24)</f>
        <v>66602399.449999988</v>
      </c>
      <c r="G24" s="22">
        <f>-SUMIFS(FINANCIACION[$ CAPITAL],
FINANCIACION[Fecha],"&lt;="&amp;EOMONTH(G$1,0),
FINANCIACION[PRESTAMO],$A24)</f>
        <v>65121399.449999988</v>
      </c>
      <c r="H24" s="22">
        <f>-SUMIFS(FINANCIACION[$ CAPITAL],
FINANCIACION[Fecha],"&lt;="&amp;EOMONTH(H$1,0),
FINANCIACION[PRESTAMO],$A24)</f>
        <v>63639918.449999988</v>
      </c>
      <c r="I24" s="22">
        <f>-SUMIFS(FINANCIACION[$ CAPITAL],
FINANCIACION[Fecha],"&lt;="&amp;EOMONTH(I$1,0),
FINANCIACION[PRESTAMO],$A24)</f>
        <v>62158918.449999988</v>
      </c>
      <c r="J24" s="22">
        <f>-SUMIFS(FINANCIACION[$ CAPITAL],
FINANCIACION[Fecha],"&lt;="&amp;EOMONTH(J$1,0),
FINANCIACION[PRESTAMO],$A24)</f>
        <v>60849700.449999988</v>
      </c>
      <c r="K24" s="22">
        <f>-SUMIFS(FINANCIACION[$ CAPITAL],
FINANCIACION[Fecha],"&lt;="&amp;EOMONTH(K$1,0),
FINANCIACION[PRESTAMO],$A24)</f>
        <v>59368218.449999988</v>
      </c>
      <c r="L24" s="22">
        <f>-SUMIFS(FINANCIACION[$ CAPITAL],
FINANCIACION[Fecha],"&lt;="&amp;EOMONTH(L$1,0),
FINANCIACION[PRESTAMO],$A24)</f>
        <v>57886737.449999988</v>
      </c>
      <c r="M24" s="22">
        <f>-SUMIFS(FINANCIACION[$ CAPITAL],
FINANCIACION[Fecha],"&lt;="&amp;EOMONTH(M$1,0),
FINANCIACION[PRESTAMO],$A24)</f>
        <v>56405256.449999988</v>
      </c>
      <c r="N24" s="22">
        <f>-SUMIFS(FINANCIACION[$ CAPITAL],
FINANCIACION[Fecha],"&lt;="&amp;EOMONTH(N$1,0),
FINANCIACION[PRESTAMO],$A24)</f>
        <v>54923022.449999988</v>
      </c>
      <c r="O24" s="22">
        <f>-SUMIFS(FINANCIACION[$ CAPITAL],
FINANCIACION[Fecha],"&lt;="&amp;EOMONTH(O$1,0),
FINANCIACION[PRESTAMO],$A24)</f>
        <v>53441541.449999988</v>
      </c>
      <c r="P24" s="22">
        <f>-SUMIFS(FINANCIACION[$ CAPITAL],
FINANCIACION[Fecha],"&lt;="&amp;EOMONTH(P$1,0),
FINANCIACION[PRESTAMO],$A24)</f>
        <v>51957060.449999988</v>
      </c>
      <c r="Q24" s="22">
        <f>-SUMIFS(FINANCIACION[$ CAPITAL],
FINANCIACION[Fecha],"&lt;="&amp;EOMONTH(Q$1,0),
FINANCIACION[PRESTAMO],$A24)</f>
        <v>48994097.489999995</v>
      </c>
      <c r="R24" s="22">
        <f>-SUMIFS(FINANCIACION[$ CAPITAL],
FINANCIACION[Fecha],"&lt;="&amp;EOMONTH(R$1,0),
FINANCIACION[PRESTAMO],$A24)</f>
        <v>48994097.489999995</v>
      </c>
      <c r="S24" s="22">
        <f>-SUMIFS(FINANCIACION[$ CAPITAL],
FINANCIACION[Fecha],"&lt;="&amp;EOMONTH(S$1,0),
FINANCIACION[PRESTAMO],$A24)</f>
        <v>48994097.489999995</v>
      </c>
      <c r="T24" s="22">
        <f>-SUMIFS(FINANCIACION[$ CAPITAL],
FINANCIACION[Fecha],"&lt;="&amp;EOMONTH(T$1,0),
FINANCIACION[PRESTAMO],$A24)</f>
        <v>46031134.530000001</v>
      </c>
      <c r="U24" s="22">
        <f>-SUMIFS(FINANCIACION[$ CAPITAL],
FINANCIACION[Fecha],"&lt;="&amp;EOMONTH(U$1,0),
FINANCIACION[PRESTAMO],$A24)</f>
        <v>46031134.530000001</v>
      </c>
    </row>
    <row r="25" spans="1:23" ht="21.6" customHeight="1" x14ac:dyDescent="0.25">
      <c r="A25" s="20" t="s">
        <v>608</v>
      </c>
      <c r="B25" s="22">
        <f>-SUMIFS(FINANCIACION[$ CAPITAL],
FINANCIACION[Fecha],"&lt;="&amp;EOMONTH(B$1,0),
FINANCIACION[PRESTAMO],$A25)</f>
        <v>0</v>
      </c>
      <c r="C25" s="22">
        <f>-SUMIFS(FINANCIACION[$ CAPITAL],
FINANCIACION[Fecha],"&lt;="&amp;EOMONTH(C$1,0),
FINANCIACION[PRESTAMO],$A25)</f>
        <v>0</v>
      </c>
      <c r="D25" s="22">
        <f>-SUMIFS(FINANCIACION[$ CAPITAL],
FINANCIACION[Fecha],"&lt;="&amp;EOMONTH(D$1,0),
FINANCIACION[PRESTAMO],$A25)</f>
        <v>0</v>
      </c>
      <c r="E25" s="22">
        <f>-SUMIFS(FINANCIACION[$ CAPITAL],
FINANCIACION[Fecha],"&lt;="&amp;EOMONTH(E$1,0),
FINANCIACION[PRESTAMO],$A25)</f>
        <v>0</v>
      </c>
      <c r="F25" s="22">
        <f>-SUMIFS(FINANCIACION[$ CAPITAL],
FINANCIACION[Fecha],"&lt;="&amp;EOMONTH(F$1,0),
FINANCIACION[PRESTAMO],$A25)</f>
        <v>0</v>
      </c>
      <c r="G25" s="22">
        <f>-SUMIFS(FINANCIACION[$ CAPITAL],
FINANCIACION[Fecha],"&lt;="&amp;EOMONTH(G$1,0),
FINANCIACION[PRESTAMO],$A25)</f>
        <v>140000000</v>
      </c>
      <c r="H25" s="22">
        <f>-SUMIFS(FINANCIACION[$ CAPITAL],
FINANCIACION[Fecha],"&lt;="&amp;EOMONTH(H$1,0),
FINANCIACION[PRESTAMO],$A25)</f>
        <v>140000000</v>
      </c>
      <c r="I25" s="22">
        <f>-SUMIFS(FINANCIACION[$ CAPITAL],
FINANCIACION[Fecha],"&lt;="&amp;EOMONTH(I$1,0),
FINANCIACION[PRESTAMO],$A25)</f>
        <v>136684102</v>
      </c>
      <c r="J25" s="22">
        <f>-SUMIFS(FINANCIACION[$ CAPITAL],
FINANCIACION[Fecha],"&lt;="&amp;EOMONTH(J$1,0),
FINANCIACION[PRESTAMO],$A25)</f>
        <v>135097350</v>
      </c>
      <c r="K25" s="22">
        <f>-SUMIFS(FINANCIACION[$ CAPITAL],
FINANCIACION[Fecha],"&lt;="&amp;EOMONTH(K$1,0),
FINANCIACION[PRESTAMO],$A25)</f>
        <v>84302430</v>
      </c>
      <c r="L25" s="22">
        <f>-SUMIFS(FINANCIACION[$ CAPITAL],
FINANCIACION[Fecha],"&lt;="&amp;EOMONTH(L$1,0),
FINANCIACION[PRESTAMO],$A25)</f>
        <v>84302430</v>
      </c>
      <c r="M25" s="22">
        <f>-SUMIFS(FINANCIACION[$ CAPITAL],
FINANCIACION[Fecha],"&lt;="&amp;EOMONTH(M$1,0),
FINANCIACION[PRESTAMO],$A25)</f>
        <v>80675545</v>
      </c>
      <c r="N25" s="22">
        <f>-SUMIFS(FINANCIACION[$ CAPITAL],
FINANCIACION[Fecha],"&lt;="&amp;EOMONTH(N$1,0),
FINANCIACION[PRESTAMO],$A25)</f>
        <v>76869545</v>
      </c>
      <c r="O25" s="22">
        <f>-SUMIFS(FINANCIACION[$ CAPITAL],
FINANCIACION[Fecha],"&lt;="&amp;EOMONTH(O$1,0),
FINANCIACION[PRESTAMO],$A25)</f>
        <v>23099671</v>
      </c>
      <c r="P25" s="22">
        <f>-SUMIFS(FINANCIACION[$ CAPITAL],
FINANCIACION[Fecha],"&lt;="&amp;EOMONTH(P$1,0),
FINANCIACION[PRESTAMO],$A25)</f>
        <v>0</v>
      </c>
      <c r="Q25" s="22">
        <f>-SUMIFS(FINANCIACION[$ CAPITAL],
FINANCIACION[Fecha],"&lt;="&amp;EOMONTH(Q$1,0),
FINANCIACION[PRESTAMO],$A25)</f>
        <v>60000000</v>
      </c>
      <c r="R25" s="22">
        <f>-SUMIFS(FINANCIACION[$ CAPITAL],
FINANCIACION[Fecha],"&lt;="&amp;EOMONTH(R$1,0),
FINANCIACION[PRESTAMO],$A25)</f>
        <v>60935858</v>
      </c>
      <c r="S25" s="22">
        <f>-SUMIFS(FINANCIACION[$ CAPITAL],
FINANCIACION[Fecha],"&lt;="&amp;EOMONTH(S$1,0),
FINANCIACION[PRESTAMO],$A25)</f>
        <v>58055398</v>
      </c>
      <c r="T25" s="22">
        <f>-SUMIFS(FINANCIACION[$ CAPITAL],
FINANCIACION[Fecha],"&lt;="&amp;EOMONTH(T$1,0),
FINANCIACION[PRESTAMO],$A25)</f>
        <v>56929004</v>
      </c>
      <c r="U25" s="22">
        <f>-SUMIFS(FINANCIACION[$ CAPITAL],
FINANCIACION[Fecha],"&lt;="&amp;EOMONTH(U$1,0),
FINANCIACION[PRESTAMO],$A25)</f>
        <v>56929004</v>
      </c>
    </row>
    <row r="26" spans="1:23" ht="21.6" customHeight="1" x14ac:dyDescent="0.25">
      <c r="A26" s="20" t="s">
        <v>332</v>
      </c>
      <c r="B26" s="22">
        <f>-SUMIFS(FINANCIACION[$ CAPITAL],
FINANCIACION[Fecha],"&lt;="&amp;EOMONTH(B$1,0),
FINANCIACION[PRESTAMO],$A26)</f>
        <v>359871288</v>
      </c>
      <c r="C26" s="22">
        <f>-SUMIFS(FINANCIACION[$ CAPITAL],
FINANCIACION[Fecha],"&lt;="&amp;EOMONTH(C$1,0),
FINANCIACION[PRESTAMO],$A26)</f>
        <v>358709952</v>
      </c>
      <c r="D26" s="22">
        <f>-SUMIFS(FINANCIACION[$ CAPITAL],
FINANCIACION[Fecha],"&lt;="&amp;EOMONTH(D$1,0),
FINANCIACION[PRESTAMO],$A26)</f>
        <v>357530722</v>
      </c>
      <c r="E26" s="22">
        <f>-SUMIFS(FINANCIACION[$ CAPITAL],
FINANCIACION[Fecha],"&lt;="&amp;EOMONTH(E$1,0),
FINANCIACION[PRESTAMO],$A26)</f>
        <v>356329990</v>
      </c>
      <c r="F26" s="22">
        <f>-SUMIFS(FINANCIACION[$ CAPITAL],
FINANCIACION[Fecha],"&lt;="&amp;EOMONTH(F$1,0),
FINANCIACION[PRESTAMO],$A26)</f>
        <v>355239179</v>
      </c>
      <c r="G26" s="22">
        <f>-SUMIFS(FINANCIACION[$ CAPITAL],
FINANCIACION[Fecha],"&lt;="&amp;EOMONTH(G$1,0),
FINANCIACION[PRESTAMO],$A26)</f>
        <v>354128179</v>
      </c>
      <c r="H26" s="22">
        <f>-SUMIFS(FINANCIACION[$ CAPITAL],
FINANCIACION[Fecha],"&lt;="&amp;EOMONTH(H$1,0),
FINANCIACION[PRESTAMO],$A26)</f>
        <v>352889015</v>
      </c>
      <c r="I26" s="22">
        <f>-SUMIFS(FINANCIACION[$ CAPITAL],
FINANCIACION[Fecha],"&lt;="&amp;EOMONTH(I$1,0),
FINANCIACION[PRESTAMO],$A26)</f>
        <v>351704052</v>
      </c>
      <c r="J26" s="22">
        <f>-SUMIFS(FINANCIACION[$ CAPITAL],
FINANCIACION[Fecha],"&lt;="&amp;EOMONTH(J$1,0),
FINANCIACION[PRESTAMO],$A26)</f>
        <v>348407473</v>
      </c>
      <c r="K26" s="22">
        <f>-SUMIFS(FINANCIACION[$ CAPITAL],
FINANCIACION[Fecha],"&lt;="&amp;EOMONTH(K$1,0),
FINANCIACION[PRESTAMO],$A26)</f>
        <v>347178827</v>
      </c>
      <c r="L26" s="22">
        <f>-SUMIFS(FINANCIACION[$ CAPITAL],
FINANCIACION[Fecha],"&lt;="&amp;EOMONTH(L$1,0),
FINANCIACION[PRESTAMO],$A26)</f>
        <v>345927740</v>
      </c>
      <c r="M26" s="22">
        <f>-SUMIFS(FINANCIACION[$ CAPITAL],
FINANCIACION[Fecha],"&lt;="&amp;EOMONTH(M$1,0),
FINANCIACION[PRESTAMO],$A26)</f>
        <v>344653801</v>
      </c>
      <c r="N26" s="22">
        <f>-SUMIFS(FINANCIACION[$ CAPITAL],
FINANCIACION[Fecha],"&lt;="&amp;EOMONTH(N$1,0),
FINANCIACION[PRESTAMO],$A26)</f>
        <v>343356593</v>
      </c>
      <c r="O26" s="22">
        <f>-SUMIFS(FINANCIACION[$ CAPITAL],
FINANCIACION[Fecha],"&lt;="&amp;EOMONTH(O$1,0),
FINANCIACION[PRESTAMO],$A26)</f>
        <v>342036163</v>
      </c>
      <c r="P26" s="22">
        <f>-SUMIFS(FINANCIACION[$ CAPITAL],
FINANCIACION[Fecha],"&lt;="&amp;EOMONTH(P$1,0),
FINANCIACION[PRESTAMO],$A26)</f>
        <v>318824853</v>
      </c>
      <c r="Q26" s="22">
        <f>-SUMIFS(FINANCIACION[$ CAPITAL],
FINANCIACION[Fecha],"&lt;="&amp;EOMONTH(Q$1,0),
FINANCIACION[PRESTAMO],$A26)</f>
        <v>317455728</v>
      </c>
      <c r="R26" s="22">
        <f>-SUMIFS(FINANCIACION[$ CAPITAL],
FINANCIACION[Fecha],"&lt;="&amp;EOMONTH(R$1,0),
FINANCIACION[PRESTAMO],$A26)</f>
        <v>229134952</v>
      </c>
      <c r="S26" s="22">
        <f>-SUMIFS(FINANCIACION[$ CAPITAL],
FINANCIACION[Fecha],"&lt;="&amp;EOMONTH(S$1,0),
FINANCIACION[PRESTAMO],$A26)</f>
        <v>226440584</v>
      </c>
      <c r="T26" s="22">
        <f>-SUMIFS(FINANCIACION[$ CAPITAL],
FINANCIACION[Fecha],"&lt;="&amp;EOMONTH(T$1,0),
FINANCIACION[PRESTAMO],$A26)</f>
        <v>193128941</v>
      </c>
      <c r="U26" s="22">
        <f>-SUMIFS(FINANCIACION[$ CAPITAL],
FINANCIACION[Fecha],"&lt;="&amp;EOMONTH(U$1,0),
FINANCIACION[PRESTAMO],$A26)</f>
        <v>193128941</v>
      </c>
    </row>
    <row r="27" spans="1:23" ht="21.6" customHeight="1" x14ac:dyDescent="0.25">
      <c r="A27" s="20" t="s">
        <v>1417</v>
      </c>
      <c r="B27" s="22">
        <f>-SUMIFS(FINANCIACION[$ CAPITAL],
FINANCIACION[Fecha],"&lt;="&amp;EOMONTH(B$1,0),
FINANCIACION[PRESTAMO],$A27)</f>
        <v>23005500</v>
      </c>
      <c r="C27" s="22">
        <f>-SUMIFS(FINANCIACION[$ CAPITAL],
FINANCIACION[Fecha],"&lt;="&amp;EOMONTH(C$1,0),
FINANCIACION[PRESTAMO],$A27)</f>
        <v>23005500</v>
      </c>
      <c r="D27" s="22">
        <f>-SUMIFS(FINANCIACION[$ CAPITAL],
FINANCIACION[Fecha],"&lt;="&amp;EOMONTH(D$1,0),
FINANCIACION[PRESTAMO],$A27)</f>
        <v>813400</v>
      </c>
      <c r="E27" s="22">
        <f>-SUMIFS(FINANCIACION[$ CAPITAL],
FINANCIACION[Fecha],"&lt;="&amp;EOMONTH(E$1,0),
FINANCIACION[PRESTAMO],$A27)</f>
        <v>7459000</v>
      </c>
      <c r="F27" s="22">
        <f>-SUMIFS(FINANCIACION[$ CAPITAL],
FINANCIACION[Fecha],"&lt;="&amp;EOMONTH(F$1,0),
FINANCIACION[PRESTAMO],$A27)</f>
        <v>16878360</v>
      </c>
      <c r="G27" s="22">
        <f>-SUMIFS(FINANCIACION[$ CAPITAL],
FINANCIACION[Fecha],"&lt;="&amp;EOMONTH(G$1,0),
FINANCIACION[PRESTAMO],$A27)</f>
        <v>18325600</v>
      </c>
      <c r="H27" s="22">
        <f>-SUMIFS(FINANCIACION[$ CAPITAL],
FINANCIACION[Fecha],"&lt;="&amp;EOMONTH(H$1,0),
FINANCIACION[PRESTAMO],$A27)</f>
        <v>18866100</v>
      </c>
      <c r="I27" s="22">
        <f>-SUMIFS(FINANCIACION[$ CAPITAL],
FINANCIACION[Fecha],"&lt;="&amp;EOMONTH(I$1,0),
FINANCIACION[PRESTAMO],$A27)</f>
        <v>22423240</v>
      </c>
      <c r="J27" s="22">
        <f>-SUMIFS(FINANCIACION[$ CAPITAL],
FINANCIACION[Fecha],"&lt;="&amp;EOMONTH(J$1,0),
FINANCIACION[PRESTAMO],$A27)</f>
        <v>21793450</v>
      </c>
      <c r="K27" s="22">
        <f>-SUMIFS(FINANCIACION[$ CAPITAL],
FINANCIACION[Fecha],"&lt;="&amp;EOMONTH(K$1,0),
FINANCIACION[PRESTAMO],$A27)</f>
        <v>3841000</v>
      </c>
      <c r="L27" s="22">
        <f>-SUMIFS(FINANCIACION[$ CAPITAL],
FINANCIACION[Fecha],"&lt;="&amp;EOMONTH(L$1,0),
FINANCIACION[PRESTAMO],$A27)</f>
        <v>12088504</v>
      </c>
      <c r="M27" s="22">
        <f>-SUMIFS(FINANCIACION[$ CAPITAL],
FINANCIACION[Fecha],"&lt;="&amp;EOMONTH(M$1,0),
FINANCIACION[PRESTAMO],$A27)</f>
        <v>17791450</v>
      </c>
      <c r="N27" s="22">
        <f>-SUMIFS(FINANCIACION[$ CAPITAL],
FINANCIACION[Fecha],"&lt;="&amp;EOMONTH(N$1,0),
FINANCIACION[PRESTAMO],$A27)</f>
        <v>17021500</v>
      </c>
      <c r="O27" s="22">
        <f>-SUMIFS(FINANCIACION[$ CAPITAL],
FINANCIACION[Fecha],"&lt;="&amp;EOMONTH(O$1,0),
FINANCIACION[PRESTAMO],$A27)</f>
        <v>-10603950</v>
      </c>
      <c r="P27" s="22">
        <f>-SUMIFS(FINANCIACION[$ CAPITAL],
FINANCIACION[Fecha],"&lt;="&amp;EOMONTH(P$1,0),
FINANCIACION[PRESTAMO],$A27)</f>
        <v>0</v>
      </c>
      <c r="Q27" s="22">
        <f>-SUMIFS(FINANCIACION[$ CAPITAL],
FINANCIACION[Fecha],"&lt;="&amp;EOMONTH(Q$1,0),
FINANCIACION[PRESTAMO],$A27)</f>
        <v>16864000</v>
      </c>
      <c r="R27" s="22">
        <f>-SUMIFS(FINANCIACION[$ CAPITAL],
FINANCIACION[Fecha],"&lt;="&amp;EOMONTH(R$1,0),
FINANCIACION[PRESTAMO],$A27)</f>
        <v>16864000</v>
      </c>
      <c r="S27" s="22">
        <f>-SUMIFS(FINANCIACION[$ CAPITAL],
FINANCIACION[Fecha],"&lt;="&amp;EOMONTH(S$1,0),
FINANCIACION[PRESTAMO],$A27)</f>
        <v>0</v>
      </c>
      <c r="T27" s="22">
        <f>-SUMIFS(FINANCIACION[$ CAPITAL],
FINANCIACION[Fecha],"&lt;="&amp;EOMONTH(T$1,0),
FINANCIACION[PRESTAMO],$A27)</f>
        <v>32476300</v>
      </c>
      <c r="U27" s="22">
        <f>-SUMIFS(FINANCIACION[$ CAPITAL],
FINANCIACION[Fecha],"&lt;="&amp;EOMONTH(U$1,0),
FINANCIACION[PRESTAMO],$A27)</f>
        <v>32476300</v>
      </c>
    </row>
    <row r="28" spans="1:23" ht="21.6" customHeight="1" x14ac:dyDescent="0.25">
      <c r="A28" s="20" t="s">
        <v>1419</v>
      </c>
      <c r="B28" s="22">
        <f>-SUMIFS(FINANCIACION[$ CAPITAL],
FINANCIACION[Fecha],"&lt;="&amp;EOMONTH(B$1,0),
FINANCIACION[PRESTAMO],$A28)</f>
        <v>0</v>
      </c>
      <c r="C28" s="22">
        <f>-SUMIFS(FINANCIACION[$ CAPITAL],
FINANCIACION[Fecha],"&lt;="&amp;EOMONTH(C$1,0),
FINANCIACION[PRESTAMO],$A28)</f>
        <v>0</v>
      </c>
      <c r="D28" s="22">
        <f>-SUMIFS(FINANCIACION[$ CAPITAL],
FINANCIACION[Fecha],"&lt;="&amp;EOMONTH(D$1,0),
FINANCIACION[PRESTAMO],$A28)</f>
        <v>0</v>
      </c>
      <c r="E28" s="22">
        <f>-SUMIFS(FINANCIACION[$ CAPITAL],
FINANCIACION[Fecha],"&lt;="&amp;EOMONTH(E$1,0),
FINANCIACION[PRESTAMO],$A28)</f>
        <v>0</v>
      </c>
      <c r="F28" s="22">
        <f>-SUMIFS(FINANCIACION[$ CAPITAL],
FINANCIACION[Fecha],"&lt;="&amp;EOMONTH(F$1,0),
FINANCIACION[PRESTAMO],$A28)</f>
        <v>-982925</v>
      </c>
      <c r="G28" s="22">
        <f>-SUMIFS(FINANCIACION[$ CAPITAL],
FINANCIACION[Fecha],"&lt;="&amp;EOMONTH(G$1,0),
FINANCIACION[PRESTAMO],$A28)</f>
        <v>-902582</v>
      </c>
      <c r="H28" s="22">
        <f>-SUMIFS(FINANCIACION[$ CAPITAL],
FINANCIACION[Fecha],"&lt;="&amp;EOMONTH(H$1,0),
FINANCIACION[PRESTAMO],$A28)</f>
        <v>-3728840</v>
      </c>
      <c r="I28" s="22">
        <f>-SUMIFS(FINANCIACION[$ CAPITAL],
FINANCIACION[Fecha],"&lt;="&amp;EOMONTH(I$1,0),
FINANCIACION[PRESTAMO],$A28)</f>
        <v>788398</v>
      </c>
      <c r="J28" s="22">
        <f>-SUMIFS(FINANCIACION[$ CAPITAL],
FINANCIACION[Fecha],"&lt;="&amp;EOMONTH(J$1,0),
FINANCIACION[PRESTAMO],$A28)</f>
        <v>-1238198</v>
      </c>
      <c r="K28" s="22">
        <f>-SUMIFS(FINANCIACION[$ CAPITAL],
FINANCIACION[Fecha],"&lt;="&amp;EOMONTH(K$1,0),
FINANCIACION[PRESTAMO],$A28)</f>
        <v>-1612006</v>
      </c>
      <c r="L28" s="22">
        <f>-SUMIFS(FINANCIACION[$ CAPITAL],
FINANCIACION[Fecha],"&lt;="&amp;EOMONTH(L$1,0),
FINANCIACION[PRESTAMO],$A28)</f>
        <v>-3819000</v>
      </c>
      <c r="M28" s="22">
        <f>-SUMIFS(FINANCIACION[$ CAPITAL],
FINANCIACION[Fecha],"&lt;="&amp;EOMONTH(M$1,0),
FINANCIACION[PRESTAMO],$A28)</f>
        <v>-1156749</v>
      </c>
      <c r="N28" s="22">
        <f>-SUMIFS(FINANCIACION[$ CAPITAL],
FINANCIACION[Fecha],"&lt;="&amp;EOMONTH(N$1,0),
FINANCIACION[PRESTAMO],$A28)</f>
        <v>-2052088</v>
      </c>
      <c r="O28" s="22">
        <f>-SUMIFS(FINANCIACION[$ CAPITAL],
FINANCIACION[Fecha],"&lt;="&amp;EOMONTH(O$1,0),
FINANCIACION[PRESTAMO],$A28)</f>
        <v>3932437</v>
      </c>
      <c r="P28" s="22">
        <f>-SUMIFS(FINANCIACION[$ CAPITAL],
FINANCIACION[Fecha],"&lt;="&amp;EOMONTH(P$1,0),
FINANCIACION[PRESTAMO],$A28)</f>
        <v>115950</v>
      </c>
      <c r="Q28" s="22">
        <f>-SUMIFS(FINANCIACION[$ CAPITAL],
FINANCIACION[Fecha],"&lt;="&amp;EOMONTH(Q$1,0),
FINANCIACION[PRESTAMO],$A28)</f>
        <v>707640</v>
      </c>
      <c r="R28" s="22">
        <f>-SUMIFS(FINANCIACION[$ CAPITAL],
FINANCIACION[Fecha],"&lt;="&amp;EOMONTH(R$1,0),
FINANCIACION[PRESTAMO],$A28)</f>
        <v>707640</v>
      </c>
      <c r="S28" s="22">
        <f>-SUMIFS(FINANCIACION[$ CAPITAL],
FINANCIACION[Fecha],"&lt;="&amp;EOMONTH(S$1,0),
FINANCIACION[PRESTAMO],$A28)</f>
        <v>2582091</v>
      </c>
      <c r="T28" s="22">
        <f>-SUMIFS(FINANCIACION[$ CAPITAL],
FINANCIACION[Fecha],"&lt;="&amp;EOMONTH(T$1,0),
FINANCIACION[PRESTAMO],$A28)</f>
        <v>353390</v>
      </c>
      <c r="U28" s="22">
        <f>-SUMIFS(FINANCIACION[$ CAPITAL],
FINANCIACION[Fecha],"&lt;="&amp;EOMONTH(U$1,0),
FINANCIACION[PRESTAMO],$A28)</f>
        <v>353390</v>
      </c>
    </row>
    <row r="29" spans="1:23" ht="21.6" customHeight="1" x14ac:dyDescent="0.25">
      <c r="A29" s="20" t="s">
        <v>1418</v>
      </c>
      <c r="B29" s="22">
        <f>-SUMIFS(FINANCIACION[$ CAPITAL],
FINANCIACION[Fecha],"&lt;="&amp;EOMONTH(B$1,0),
FINANCIACION[PRESTAMO],$A29)</f>
        <v>0</v>
      </c>
      <c r="C29" s="22">
        <f>-SUMIFS(FINANCIACION[$ CAPITAL],
FINANCIACION[Fecha],"&lt;="&amp;EOMONTH(C$1,0),
FINANCIACION[PRESTAMO],$A29)</f>
        <v>0</v>
      </c>
      <c r="D29" s="22">
        <f>-SUMIFS(FINANCIACION[$ CAPITAL],
FINANCIACION[Fecha],"&lt;="&amp;EOMONTH(D$1,0),
FINANCIACION[PRESTAMO],$A29)</f>
        <v>0</v>
      </c>
      <c r="E29" s="22">
        <f>-SUMIFS(FINANCIACION[$ CAPITAL],
FINANCIACION[Fecha],"&lt;="&amp;EOMONTH(E$1,0),
FINANCIACION[PRESTAMO],$A29)</f>
        <v>14662059</v>
      </c>
      <c r="F29" s="22">
        <f>-SUMIFS(FINANCIACION[$ CAPITAL],
FINANCIACION[Fecha],"&lt;="&amp;EOMONTH(F$1,0),
FINANCIACION[PRESTAMO],$A29)</f>
        <v>7106482</v>
      </c>
      <c r="G29" s="22">
        <f>-SUMIFS(FINANCIACION[$ CAPITAL],
FINANCIACION[Fecha],"&lt;="&amp;EOMONTH(G$1,0),
FINANCIACION[PRESTAMO],$A29)</f>
        <v>16901936</v>
      </c>
      <c r="H29" s="22">
        <f>-SUMIFS(FINANCIACION[$ CAPITAL],
FINANCIACION[Fecha],"&lt;="&amp;EOMONTH(H$1,0),
FINANCIACION[PRESTAMO],$A29)</f>
        <v>18913104</v>
      </c>
      <c r="I29" s="22">
        <f>-SUMIFS(FINANCIACION[$ CAPITAL],
FINANCIACION[Fecha],"&lt;="&amp;EOMONTH(I$1,0),
FINANCIACION[PRESTAMO],$A29)</f>
        <v>19359473</v>
      </c>
      <c r="J29" s="22">
        <f>-SUMIFS(FINANCIACION[$ CAPITAL],
FINANCIACION[Fecha],"&lt;="&amp;EOMONTH(J$1,0),
FINANCIACION[PRESTAMO],$A29)</f>
        <v>20221882</v>
      </c>
      <c r="K29" s="22">
        <f>-SUMIFS(FINANCIACION[$ CAPITAL],
FINANCIACION[Fecha],"&lt;="&amp;EOMONTH(K$1,0),
FINANCIACION[PRESTAMO],$A29)</f>
        <v>20528604</v>
      </c>
      <c r="L29" s="22">
        <f>-SUMIFS(FINANCIACION[$ CAPITAL],
FINANCIACION[Fecha],"&lt;="&amp;EOMONTH(L$1,0),
FINANCIACION[PRESTAMO],$A29)</f>
        <v>11859408</v>
      </c>
      <c r="M29" s="22">
        <f>-SUMIFS(FINANCIACION[$ CAPITAL],
FINANCIACION[Fecha],"&lt;="&amp;EOMONTH(M$1,0),
FINANCIACION[PRESTAMO],$A29)</f>
        <v>11834228</v>
      </c>
      <c r="N29" s="22">
        <f>-SUMIFS(FINANCIACION[$ CAPITAL],
FINANCIACION[Fecha],"&lt;="&amp;EOMONTH(N$1,0),
FINANCIACION[PRESTAMO],$A29)</f>
        <v>15257387</v>
      </c>
      <c r="O29" s="22">
        <f>-SUMIFS(FINANCIACION[$ CAPITAL],
FINANCIACION[Fecha],"&lt;="&amp;EOMONTH(O$1,0),
FINANCIACION[PRESTAMO],$A29)</f>
        <v>17361280</v>
      </c>
      <c r="P29" s="22">
        <f>-SUMIFS(FINANCIACION[$ CAPITAL],
FINANCIACION[Fecha],"&lt;="&amp;EOMONTH(P$1,0),
FINANCIACION[PRESTAMO],$A29)</f>
        <v>19956590</v>
      </c>
      <c r="Q29" s="22">
        <f>-SUMIFS(FINANCIACION[$ CAPITAL],
FINANCIACION[Fecha],"&lt;="&amp;EOMONTH(Q$1,0),
FINANCIACION[PRESTAMO],$A29)</f>
        <v>11619746</v>
      </c>
      <c r="R29" s="22">
        <f>-SUMIFS(FINANCIACION[$ CAPITAL],
FINANCIACION[Fecha],"&lt;="&amp;EOMONTH(R$1,0),
FINANCIACION[PRESTAMO],$A29)</f>
        <v>8411128</v>
      </c>
      <c r="S29" s="22">
        <f>-SUMIFS(FINANCIACION[$ CAPITAL],
FINANCIACION[Fecha],"&lt;="&amp;EOMONTH(S$1,0),
FINANCIACION[PRESTAMO],$A29)</f>
        <v>3119775</v>
      </c>
      <c r="T29" s="22">
        <f>-SUMIFS(FINANCIACION[$ CAPITAL],
FINANCIACION[Fecha],"&lt;="&amp;EOMONTH(T$1,0),
FINANCIACION[PRESTAMO],$A29)</f>
        <v>961519</v>
      </c>
      <c r="U29" s="22">
        <f>-SUMIFS(FINANCIACION[$ CAPITAL],
FINANCIACION[Fecha],"&lt;="&amp;EOMONTH(U$1,0),
FINANCIACION[PRESTAMO],$A29)</f>
        <v>961519</v>
      </c>
      <c r="W29" s="22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DC3FA-C97F-4E0C-9420-753270BCDF98}">
  <sheetPr codeName="Hoja13"/>
  <dimension ref="A1:AI3005"/>
  <sheetViews>
    <sheetView topLeftCell="G1" zoomScale="140" zoomScaleNormal="140" workbookViewId="0">
      <selection activeCell="AD3" sqref="AD3"/>
    </sheetView>
  </sheetViews>
  <sheetFormatPr baseColWidth="10" defaultColWidth="11.5703125" defaultRowHeight="19.5" customHeight="1" x14ac:dyDescent="0.25"/>
  <cols>
    <col min="1" max="3" width="13" style="20" hidden="1" customWidth="1"/>
    <col min="4" max="6" width="11.42578125" style="20" hidden="1" customWidth="1"/>
    <col min="7" max="7" width="17.42578125" style="77" customWidth="1"/>
    <col min="8" max="8" width="27.42578125" style="20" customWidth="1"/>
    <col min="9" max="9" width="24.5703125" style="77" customWidth="1"/>
    <col min="10" max="10" width="11.42578125" style="20" customWidth="1"/>
    <col min="11" max="13" width="11.42578125" style="20" hidden="1" customWidth="1"/>
    <col min="14" max="14" width="28.140625" style="80" hidden="1" customWidth="1"/>
    <col min="15" max="17" width="11.42578125" style="20" hidden="1" customWidth="1"/>
    <col min="18" max="18" width="15.5703125" style="21" customWidth="1"/>
    <col min="19" max="19" width="14.5703125" style="21" hidden="1" customWidth="1"/>
    <col min="20" max="25" width="14.5703125" style="117" hidden="1" customWidth="1"/>
    <col min="26" max="26" width="12.42578125" style="20" hidden="1" customWidth="1"/>
    <col min="27" max="27" width="16.42578125" style="117" hidden="1" customWidth="1"/>
    <col min="28" max="28" width="11.5703125" style="20" hidden="1" customWidth="1"/>
    <col min="29" max="29" width="11.42578125" style="20" hidden="1" customWidth="1"/>
    <col min="30" max="30" width="19.28515625" style="164" customWidth="1"/>
    <col min="31" max="16384" width="11.5703125" style="20"/>
  </cols>
  <sheetData>
    <row r="1" spans="1:35" ht="19.5" customHeight="1" x14ac:dyDescent="0.25">
      <c r="D1" s="156"/>
      <c r="E1" s="156"/>
      <c r="F1" s="156"/>
      <c r="G1" s="156" t="s">
        <v>1855</v>
      </c>
      <c r="H1" s="156"/>
      <c r="I1" s="156"/>
      <c r="J1" s="156"/>
      <c r="K1" s="156"/>
      <c r="L1" s="156"/>
      <c r="M1" s="156"/>
      <c r="N1" s="157"/>
      <c r="O1" s="156"/>
      <c r="P1" s="156"/>
      <c r="Q1" s="156"/>
      <c r="R1" s="158"/>
      <c r="S1" s="158"/>
      <c r="T1" s="159"/>
      <c r="U1" s="159"/>
      <c r="V1" s="159"/>
      <c r="W1" s="159"/>
      <c r="X1" s="159"/>
      <c r="Y1" s="159"/>
      <c r="AD1" s="220" t="s">
        <v>403</v>
      </c>
    </row>
    <row r="2" spans="1:35" ht="19.5" customHeight="1" x14ac:dyDescent="0.25">
      <c r="D2" s="156"/>
      <c r="E2" s="156"/>
      <c r="F2" s="156"/>
      <c r="G2" s="156" t="s">
        <v>779</v>
      </c>
      <c r="H2" s="156"/>
      <c r="I2" s="156"/>
      <c r="J2" s="156"/>
      <c r="K2" s="156"/>
      <c r="L2" s="156"/>
      <c r="M2" s="156"/>
      <c r="N2" s="157"/>
      <c r="O2" s="156"/>
      <c r="P2" s="156"/>
      <c r="Q2" s="156"/>
      <c r="R2" s="158"/>
      <c r="S2" s="158"/>
      <c r="T2" s="159"/>
      <c r="U2" s="159"/>
      <c r="V2" s="159"/>
      <c r="W2" s="159"/>
      <c r="X2" s="159"/>
      <c r="Y2" s="159"/>
      <c r="AD2" s="221"/>
    </row>
    <row r="3" spans="1:35" ht="19.5" customHeight="1" thickBot="1" x14ac:dyDescent="0.3">
      <c r="D3" s="156"/>
      <c r="E3" s="156"/>
      <c r="F3" s="156"/>
      <c r="G3" s="156" t="s">
        <v>404</v>
      </c>
      <c r="H3" s="156"/>
      <c r="I3" s="156"/>
      <c r="J3" s="156"/>
      <c r="K3" s="156"/>
      <c r="L3" s="156"/>
      <c r="M3" s="156"/>
      <c r="N3" s="157"/>
      <c r="O3" s="156"/>
      <c r="P3" s="156"/>
      <c r="Q3" s="156"/>
      <c r="R3" s="158"/>
      <c r="S3" s="158"/>
      <c r="T3" s="159"/>
      <c r="U3" s="159"/>
      <c r="V3" s="159"/>
      <c r="W3" s="159"/>
      <c r="X3" s="159"/>
      <c r="Y3" s="159"/>
      <c r="AD3" s="67">
        <f>+SUMIFS(Tabla2[Total],Tabla2[VENCIDA],"vencida")</f>
        <v>96061763.291400015</v>
      </c>
    </row>
    <row r="4" spans="1:35" ht="19.5" customHeight="1" x14ac:dyDescent="0.25">
      <c r="D4" s="156"/>
      <c r="E4" s="156"/>
      <c r="F4" s="156"/>
      <c r="G4" s="160" t="s">
        <v>407</v>
      </c>
      <c r="H4" s="160"/>
      <c r="I4" s="156"/>
      <c r="J4" s="156"/>
      <c r="K4" s="156"/>
      <c r="L4" s="156"/>
      <c r="M4" s="156"/>
      <c r="N4" s="157"/>
      <c r="O4" s="156"/>
      <c r="P4" s="156"/>
      <c r="Q4" s="156"/>
      <c r="R4" s="158"/>
      <c r="S4" s="158"/>
      <c r="T4" s="159"/>
      <c r="U4" s="159"/>
      <c r="V4" s="159"/>
      <c r="W4" s="159"/>
      <c r="X4" s="159"/>
      <c r="Y4" s="159"/>
      <c r="AD4" s="165" t="s">
        <v>1857</v>
      </c>
      <c r="AI4" s="42"/>
    </row>
    <row r="5" spans="1:35" ht="19.5" customHeight="1" thickBot="1" x14ac:dyDescent="0.3">
      <c r="D5" s="156"/>
      <c r="E5" s="156"/>
      <c r="F5" s="156"/>
      <c r="G5" s="161" t="s">
        <v>1856</v>
      </c>
      <c r="H5" s="161"/>
      <c r="I5" s="156"/>
      <c r="J5" s="160"/>
      <c r="K5" s="160"/>
      <c r="L5" s="160"/>
      <c r="M5" s="160"/>
      <c r="N5" s="157"/>
      <c r="O5" s="156"/>
      <c r="P5" s="156"/>
      <c r="Q5" s="156"/>
      <c r="R5" s="158"/>
      <c r="S5" s="158"/>
      <c r="T5" s="159"/>
      <c r="U5" s="159"/>
      <c r="V5" s="159"/>
      <c r="W5" s="159"/>
      <c r="X5" s="159"/>
      <c r="Y5" s="159"/>
      <c r="AD5" s="155">
        <v>45443</v>
      </c>
    </row>
    <row r="6" spans="1:35" ht="19.5" customHeight="1" x14ac:dyDescent="0.25">
      <c r="A6" s="20" t="s">
        <v>1654</v>
      </c>
      <c r="B6" s="20" t="s">
        <v>119</v>
      </c>
      <c r="C6" s="20" t="s">
        <v>4</v>
      </c>
      <c r="D6" s="20" t="s">
        <v>115</v>
      </c>
      <c r="E6" s="20" t="s">
        <v>5</v>
      </c>
      <c r="F6" s="20" t="s">
        <v>81</v>
      </c>
      <c r="G6" s="77" t="s">
        <v>6</v>
      </c>
      <c r="H6" s="20" t="s">
        <v>3</v>
      </c>
      <c r="I6" s="77" t="s">
        <v>1</v>
      </c>
      <c r="J6" s="20" t="s">
        <v>2</v>
      </c>
      <c r="K6" s="20" t="s">
        <v>1519</v>
      </c>
      <c r="L6" s="20" t="s">
        <v>1532</v>
      </c>
      <c r="M6" s="20" t="s">
        <v>71</v>
      </c>
      <c r="N6" s="80" t="s">
        <v>72</v>
      </c>
      <c r="O6" s="20" t="s">
        <v>1538</v>
      </c>
      <c r="P6" s="20" t="s">
        <v>1542</v>
      </c>
      <c r="Q6" s="20" t="s">
        <v>1539</v>
      </c>
      <c r="R6" s="21" t="s">
        <v>73</v>
      </c>
      <c r="S6" s="21" t="s">
        <v>7</v>
      </c>
      <c r="T6" s="117" t="s">
        <v>292</v>
      </c>
      <c r="U6" s="117" t="s">
        <v>345</v>
      </c>
      <c r="V6" s="117" t="s">
        <v>352</v>
      </c>
      <c r="W6" s="117" t="s">
        <v>354</v>
      </c>
      <c r="X6" s="117" t="s">
        <v>353</v>
      </c>
      <c r="Y6" s="117" t="s">
        <v>355</v>
      </c>
      <c r="Z6" s="42" t="s">
        <v>395</v>
      </c>
      <c r="AA6" s="162" t="s">
        <v>405</v>
      </c>
      <c r="AB6" s="163" t="s">
        <v>406</v>
      </c>
      <c r="AC6" s="163" t="s">
        <v>1849</v>
      </c>
      <c r="AD6" s="164" t="s">
        <v>408</v>
      </c>
    </row>
    <row r="7" spans="1:35" ht="19.5" hidden="1" customHeight="1" x14ac:dyDescent="0.25">
      <c r="A7" s="8" t="s">
        <v>1852</v>
      </c>
      <c r="B7" s="8" t="b">
        <v>0</v>
      </c>
      <c r="C7" s="8">
        <v>30</v>
      </c>
      <c r="D7" s="151">
        <v>0</v>
      </c>
      <c r="E7" s="151"/>
      <c r="F7" s="24" t="s">
        <v>84</v>
      </c>
      <c r="G7" s="30">
        <v>44931</v>
      </c>
      <c r="H7" s="81" t="s">
        <v>1803</v>
      </c>
      <c r="I7" s="30">
        <v>44931</v>
      </c>
      <c r="J7" s="16" t="s">
        <v>528</v>
      </c>
      <c r="K7" s="9" t="s">
        <v>1530</v>
      </c>
      <c r="L7" s="9" t="s">
        <v>1533</v>
      </c>
      <c r="M7" s="152">
        <v>3875760</v>
      </c>
      <c r="N7" s="153">
        <v>0</v>
      </c>
      <c r="O7" s="152">
        <v>0</v>
      </c>
      <c r="P7" s="154">
        <v>0</v>
      </c>
      <c r="Q7" s="152">
        <v>0</v>
      </c>
      <c r="R7" s="9">
        <v>3875760</v>
      </c>
      <c r="S7" s="21" t="s">
        <v>1846</v>
      </c>
      <c r="T7" s="117">
        <v>0</v>
      </c>
      <c r="U7" s="117">
        <v>0</v>
      </c>
      <c r="V7" s="117">
        <v>2023</v>
      </c>
      <c r="W7" s="117">
        <v>6</v>
      </c>
      <c r="X7" s="117">
        <v>0</v>
      </c>
      <c r="Y7" s="117">
        <v>0</v>
      </c>
      <c r="Z7" s="21" t="b">
        <v>0</v>
      </c>
      <c r="AA7" s="162">
        <f>+$AD$5-Tabla2[[#This Row],[FECHA DE FACTURACIÓN]]</f>
        <v>512</v>
      </c>
      <c r="AB7" s="163" t="str">
        <f>+IF(Tabla2[[#This Row],[dias de credito]]&gt;=Tabla2[[#This Row],[PLAZO Días]],"venc", "No venc")</f>
        <v>venc</v>
      </c>
      <c r="AC7" s="163" t="str">
        <f>+IF(Tabla2[[#This Row],[FECHA DE PAGO]]&gt;0,"pagada","por pagar")</f>
        <v>pagada</v>
      </c>
      <c r="AD7" s="164" t="str">
        <f>+IF(AND(Tabla2[[#This Row],[venc]]="venc",Tabla2[[#This Row],[estado pago]]="por pagar"),"vencida","no")</f>
        <v>no</v>
      </c>
    </row>
    <row r="8" spans="1:35" ht="19.5" hidden="1" customHeight="1" x14ac:dyDescent="0.25">
      <c r="A8" s="8" t="s">
        <v>1852</v>
      </c>
      <c r="B8" s="8" t="b">
        <v>0</v>
      </c>
      <c r="C8" s="8">
        <v>30</v>
      </c>
      <c r="D8" s="151">
        <v>0</v>
      </c>
      <c r="E8" s="151"/>
      <c r="F8" s="24" t="s">
        <v>84</v>
      </c>
      <c r="G8" s="30">
        <v>44940</v>
      </c>
      <c r="H8" s="81" t="s">
        <v>481</v>
      </c>
      <c r="I8" s="30">
        <v>44940</v>
      </c>
      <c r="J8" s="16" t="s">
        <v>523</v>
      </c>
      <c r="K8" s="9" t="s">
        <v>1530</v>
      </c>
      <c r="L8" s="9"/>
      <c r="M8" s="152">
        <v>896000</v>
      </c>
      <c r="N8" s="153">
        <v>0</v>
      </c>
      <c r="O8" s="152">
        <v>0</v>
      </c>
      <c r="P8" s="154">
        <v>0</v>
      </c>
      <c r="Q8" s="152">
        <v>0</v>
      </c>
      <c r="R8" s="9">
        <v>896000</v>
      </c>
      <c r="S8" s="21" t="s">
        <v>1846</v>
      </c>
      <c r="T8" s="117">
        <v>0</v>
      </c>
      <c r="U8" s="117">
        <v>0</v>
      </c>
      <c r="V8" s="117">
        <v>2023</v>
      </c>
      <c r="W8" s="117">
        <v>6</v>
      </c>
      <c r="X8" s="117">
        <v>0</v>
      </c>
      <c r="Y8" s="117">
        <v>0</v>
      </c>
      <c r="Z8" s="21" t="b">
        <v>0</v>
      </c>
      <c r="AA8" s="162">
        <f>+$AD$5-Tabla2[[#This Row],[FECHA DE FACTURACIÓN]]</f>
        <v>503</v>
      </c>
      <c r="AB8" s="163" t="str">
        <f>+IF(Tabla2[[#This Row],[dias de credito]]&gt;=Tabla2[[#This Row],[PLAZO Días]],"venc", "No venc")</f>
        <v>venc</v>
      </c>
      <c r="AC8" s="163" t="str">
        <f>+IF(Tabla2[[#This Row],[FECHA DE PAGO]]&gt;0,"pagada","por pagar")</f>
        <v>pagada</v>
      </c>
      <c r="AD8" s="164" t="str">
        <f>+IF(AND(Tabla2[[#This Row],[venc]]="venc",Tabla2[[#This Row],[estado pago]]="por pagar"),"vencida","no")</f>
        <v>no</v>
      </c>
    </row>
    <row r="9" spans="1:35" ht="19.5" hidden="1" customHeight="1" x14ac:dyDescent="0.25">
      <c r="A9" s="8" t="s">
        <v>1850</v>
      </c>
      <c r="B9" s="8" t="b">
        <v>0</v>
      </c>
      <c r="C9" s="8">
        <v>30</v>
      </c>
      <c r="D9" s="151">
        <v>0</v>
      </c>
      <c r="E9" s="151"/>
      <c r="F9" s="24" t="s">
        <v>1447</v>
      </c>
      <c r="G9" s="30">
        <v>44942</v>
      </c>
      <c r="H9" s="81" t="s">
        <v>373</v>
      </c>
      <c r="I9" s="30">
        <v>44928</v>
      </c>
      <c r="J9" s="16" t="s">
        <v>506</v>
      </c>
      <c r="K9" s="9" t="s">
        <v>1530</v>
      </c>
      <c r="L9" s="9"/>
      <c r="M9" s="152">
        <v>1866320</v>
      </c>
      <c r="N9" s="153">
        <v>0</v>
      </c>
      <c r="O9" s="152">
        <v>0</v>
      </c>
      <c r="P9" s="154">
        <v>0</v>
      </c>
      <c r="Q9" s="152">
        <v>0</v>
      </c>
      <c r="R9" s="9">
        <v>1866320</v>
      </c>
      <c r="S9" s="21" t="s">
        <v>1846</v>
      </c>
      <c r="T9" s="117">
        <v>0</v>
      </c>
      <c r="U9" s="117">
        <v>0</v>
      </c>
      <c r="V9" s="117">
        <v>2023</v>
      </c>
      <c r="W9" s="117">
        <v>6</v>
      </c>
      <c r="X9" s="117">
        <v>0</v>
      </c>
      <c r="Y9" s="117">
        <v>0</v>
      </c>
      <c r="Z9" s="21" t="b">
        <v>1</v>
      </c>
      <c r="AA9" s="162">
        <f>+$AD$5-Tabla2[[#This Row],[FECHA DE FACTURACIÓN]]</f>
        <v>515</v>
      </c>
      <c r="AB9" s="163" t="str">
        <f>+IF(Tabla2[[#This Row],[dias de credito]]&gt;=Tabla2[[#This Row],[PLAZO Días]],"venc", "No venc")</f>
        <v>venc</v>
      </c>
      <c r="AC9" s="163" t="str">
        <f>+IF(Tabla2[[#This Row],[FECHA DE PAGO]]&gt;0,"pagada","por pagar")</f>
        <v>pagada</v>
      </c>
      <c r="AD9" s="164" t="str">
        <f>+IF(AND(Tabla2[[#This Row],[venc]]="venc",Tabla2[[#This Row],[estado pago]]="por pagar"),"vencida","no")</f>
        <v>no</v>
      </c>
    </row>
    <row r="10" spans="1:35" ht="19.5" hidden="1" customHeight="1" x14ac:dyDescent="0.25">
      <c r="A10" s="8" t="s">
        <v>1852</v>
      </c>
      <c r="B10" s="8" t="b">
        <v>0</v>
      </c>
      <c r="C10" s="8">
        <v>30</v>
      </c>
      <c r="D10" s="151">
        <v>0</v>
      </c>
      <c r="E10" s="151"/>
      <c r="F10" s="24" t="s">
        <v>84</v>
      </c>
      <c r="G10" s="30">
        <v>44943</v>
      </c>
      <c r="H10" s="81" t="s">
        <v>525</v>
      </c>
      <c r="I10" s="30">
        <v>44943</v>
      </c>
      <c r="J10" s="16" t="s">
        <v>531</v>
      </c>
      <c r="K10" s="9" t="s">
        <v>1530</v>
      </c>
      <c r="L10" s="9"/>
      <c r="M10" s="152">
        <v>1055879</v>
      </c>
      <c r="N10" s="153">
        <v>0</v>
      </c>
      <c r="O10" s="152">
        <v>0</v>
      </c>
      <c r="P10" s="154">
        <v>0</v>
      </c>
      <c r="Q10" s="152">
        <v>0</v>
      </c>
      <c r="R10" s="9">
        <v>1055879</v>
      </c>
      <c r="S10" s="21" t="s">
        <v>1846</v>
      </c>
      <c r="T10" s="117">
        <v>0</v>
      </c>
      <c r="U10" s="117">
        <v>0</v>
      </c>
      <c r="V10" s="117">
        <v>2023</v>
      </c>
      <c r="W10" s="117">
        <v>6</v>
      </c>
      <c r="X10" s="117">
        <v>0</v>
      </c>
      <c r="Y10" s="117">
        <v>0</v>
      </c>
      <c r="Z10" s="21" t="b">
        <v>0</v>
      </c>
      <c r="AA10" s="162">
        <f>+$AD$5-Tabla2[[#This Row],[FECHA DE FACTURACIÓN]]</f>
        <v>500</v>
      </c>
      <c r="AB10" s="163" t="str">
        <f>+IF(Tabla2[[#This Row],[dias de credito]]&gt;=Tabla2[[#This Row],[PLAZO Días]],"venc", "No venc")</f>
        <v>venc</v>
      </c>
      <c r="AC10" s="163" t="str">
        <f>+IF(Tabla2[[#This Row],[FECHA DE PAGO]]&gt;0,"pagada","por pagar")</f>
        <v>pagada</v>
      </c>
      <c r="AD10" s="164" t="str">
        <f>+IF(AND(Tabla2[[#This Row],[venc]]="venc",Tabla2[[#This Row],[estado pago]]="por pagar"),"vencida","no")</f>
        <v>no</v>
      </c>
    </row>
    <row r="11" spans="1:35" ht="19.5" hidden="1" customHeight="1" x14ac:dyDescent="0.25">
      <c r="A11" s="8" t="s">
        <v>1850</v>
      </c>
      <c r="B11" s="8" t="b">
        <v>0</v>
      </c>
      <c r="C11" s="8">
        <v>30</v>
      </c>
      <c r="D11" s="151">
        <v>0</v>
      </c>
      <c r="E11" s="151"/>
      <c r="F11" s="24" t="s">
        <v>268</v>
      </c>
      <c r="G11" s="30">
        <v>44946</v>
      </c>
      <c r="H11" s="81" t="s">
        <v>376</v>
      </c>
      <c r="I11" s="30">
        <v>44929</v>
      </c>
      <c r="J11" s="16" t="s">
        <v>509</v>
      </c>
      <c r="K11" s="9" t="s">
        <v>1530</v>
      </c>
      <c r="L11" s="9"/>
      <c r="M11" s="152">
        <v>337254</v>
      </c>
      <c r="N11" s="153">
        <v>0</v>
      </c>
      <c r="O11" s="152">
        <v>0</v>
      </c>
      <c r="P11" s="154">
        <v>0</v>
      </c>
      <c r="Q11" s="152">
        <v>0</v>
      </c>
      <c r="R11" s="9">
        <v>337254</v>
      </c>
      <c r="S11" s="21" t="s">
        <v>1846</v>
      </c>
      <c r="T11" s="117">
        <v>0</v>
      </c>
      <c r="U11" s="117">
        <v>0</v>
      </c>
      <c r="V11" s="117">
        <v>2023</v>
      </c>
      <c r="W11" s="117">
        <v>6</v>
      </c>
      <c r="X11" s="117">
        <v>0</v>
      </c>
      <c r="Y11" s="117">
        <v>0</v>
      </c>
      <c r="Z11" s="21" t="b">
        <v>1</v>
      </c>
      <c r="AA11" s="162">
        <f>+$AD$5-Tabla2[[#This Row],[FECHA DE FACTURACIÓN]]</f>
        <v>514</v>
      </c>
      <c r="AB11" s="163" t="str">
        <f>+IF(Tabla2[[#This Row],[dias de credito]]&gt;=Tabla2[[#This Row],[PLAZO Días]],"venc", "No venc")</f>
        <v>venc</v>
      </c>
      <c r="AC11" s="163" t="str">
        <f>+IF(Tabla2[[#This Row],[FECHA DE PAGO]]&gt;0,"pagada","por pagar")</f>
        <v>pagada</v>
      </c>
      <c r="AD11" s="164" t="str">
        <f>+IF(AND(Tabla2[[#This Row],[venc]]="venc",Tabla2[[#This Row],[estado pago]]="por pagar"),"vencida","no")</f>
        <v>no</v>
      </c>
    </row>
    <row r="12" spans="1:35" ht="19.5" hidden="1" customHeight="1" x14ac:dyDescent="0.25">
      <c r="A12" s="8" t="s">
        <v>1852</v>
      </c>
      <c r="B12" s="8" t="b">
        <v>0</v>
      </c>
      <c r="C12" s="8">
        <v>30</v>
      </c>
      <c r="D12" s="151">
        <v>0</v>
      </c>
      <c r="E12" s="151"/>
      <c r="F12" s="24" t="s">
        <v>84</v>
      </c>
      <c r="G12" s="30">
        <v>44946</v>
      </c>
      <c r="H12" s="81" t="s">
        <v>525</v>
      </c>
      <c r="I12" s="30">
        <v>44946</v>
      </c>
      <c r="J12" s="16" t="s">
        <v>526</v>
      </c>
      <c r="K12" s="9" t="s">
        <v>1530</v>
      </c>
      <c r="L12" s="9"/>
      <c r="M12" s="152">
        <v>69000</v>
      </c>
      <c r="N12" s="153">
        <v>0</v>
      </c>
      <c r="O12" s="152">
        <v>0</v>
      </c>
      <c r="P12" s="154">
        <v>0</v>
      </c>
      <c r="Q12" s="152">
        <v>0</v>
      </c>
      <c r="R12" s="9">
        <v>69000</v>
      </c>
      <c r="S12" s="21" t="s">
        <v>1846</v>
      </c>
      <c r="T12" s="117">
        <v>0</v>
      </c>
      <c r="U12" s="117">
        <v>0</v>
      </c>
      <c r="V12" s="117">
        <v>2023</v>
      </c>
      <c r="W12" s="117">
        <v>6</v>
      </c>
      <c r="X12" s="117">
        <v>0</v>
      </c>
      <c r="Y12" s="117">
        <v>0</v>
      </c>
      <c r="Z12" s="21" t="b">
        <v>0</v>
      </c>
      <c r="AA12" s="162">
        <f>+$AD$5-Tabla2[[#This Row],[FECHA DE FACTURACIÓN]]</f>
        <v>497</v>
      </c>
      <c r="AB12" s="163" t="str">
        <f>+IF(Tabla2[[#This Row],[dias de credito]]&gt;=Tabla2[[#This Row],[PLAZO Días]],"venc", "No venc")</f>
        <v>venc</v>
      </c>
      <c r="AC12" s="163" t="str">
        <f>+IF(Tabla2[[#This Row],[FECHA DE PAGO]]&gt;0,"pagada","por pagar")</f>
        <v>pagada</v>
      </c>
      <c r="AD12" s="164" t="str">
        <f>+IF(AND(Tabla2[[#This Row],[venc]]="venc",Tabla2[[#This Row],[estado pago]]="por pagar"),"vencida","no")</f>
        <v>no</v>
      </c>
    </row>
    <row r="13" spans="1:35" ht="19.5" hidden="1" customHeight="1" x14ac:dyDescent="0.25">
      <c r="A13" s="8" t="s">
        <v>1852</v>
      </c>
      <c r="B13" s="8" t="b">
        <v>0</v>
      </c>
      <c r="C13" s="8">
        <v>30</v>
      </c>
      <c r="D13" s="151">
        <v>1350000</v>
      </c>
      <c r="E13" s="151"/>
      <c r="F13" s="24" t="s">
        <v>84</v>
      </c>
      <c r="G13" s="30">
        <v>44947</v>
      </c>
      <c r="H13" s="81" t="s">
        <v>1807</v>
      </c>
      <c r="I13" s="30">
        <v>44947</v>
      </c>
      <c r="J13" s="16" t="s">
        <v>529</v>
      </c>
      <c r="K13" s="9" t="s">
        <v>1530</v>
      </c>
      <c r="L13" s="9"/>
      <c r="M13" s="152">
        <v>840000</v>
      </c>
      <c r="N13" s="153">
        <v>0</v>
      </c>
      <c r="O13" s="152">
        <v>0</v>
      </c>
      <c r="P13" s="154">
        <v>0</v>
      </c>
      <c r="Q13" s="152">
        <v>0</v>
      </c>
      <c r="R13" s="9">
        <v>840000</v>
      </c>
      <c r="S13" s="21" t="s">
        <v>1846</v>
      </c>
      <c r="T13" s="117">
        <v>0</v>
      </c>
      <c r="U13" s="117">
        <v>0</v>
      </c>
      <c r="V13" s="117">
        <v>2023</v>
      </c>
      <c r="W13" s="117">
        <v>6</v>
      </c>
      <c r="X13" s="117">
        <v>0</v>
      </c>
      <c r="Y13" s="117">
        <v>0</v>
      </c>
      <c r="Z13" s="21" t="b">
        <v>0</v>
      </c>
      <c r="AA13" s="162">
        <f>+$AD$5-Tabla2[[#This Row],[FECHA DE FACTURACIÓN]]</f>
        <v>496</v>
      </c>
      <c r="AB13" s="163" t="str">
        <f>+IF(Tabla2[[#This Row],[dias de credito]]&gt;=Tabla2[[#This Row],[PLAZO Días]],"venc", "No venc")</f>
        <v>venc</v>
      </c>
      <c r="AC13" s="163" t="str">
        <f>+IF(Tabla2[[#This Row],[FECHA DE PAGO]]&gt;0,"pagada","por pagar")</f>
        <v>pagada</v>
      </c>
      <c r="AD13" s="164" t="str">
        <f>+IF(AND(Tabla2[[#This Row],[venc]]="venc",Tabla2[[#This Row],[estado pago]]="por pagar"),"vencida","no")</f>
        <v>no</v>
      </c>
    </row>
    <row r="14" spans="1:35" ht="19.5" hidden="1" customHeight="1" x14ac:dyDescent="0.25">
      <c r="A14" s="8" t="s">
        <v>1850</v>
      </c>
      <c r="B14" s="8" t="b">
        <v>0</v>
      </c>
      <c r="C14" s="8">
        <v>60</v>
      </c>
      <c r="D14" s="151">
        <v>0</v>
      </c>
      <c r="E14" s="151"/>
      <c r="F14" s="24" t="s">
        <v>399</v>
      </c>
      <c r="G14" s="30">
        <v>44948</v>
      </c>
      <c r="H14" s="81" t="s">
        <v>65</v>
      </c>
      <c r="I14" s="30">
        <v>45252</v>
      </c>
      <c r="J14" s="16" t="s">
        <v>1455</v>
      </c>
      <c r="K14" s="9" t="s">
        <v>1530</v>
      </c>
      <c r="L14" s="9"/>
      <c r="M14" s="152">
        <v>-504202</v>
      </c>
      <c r="N14" s="153">
        <v>-95798.38</v>
      </c>
      <c r="O14" s="152">
        <v>0</v>
      </c>
      <c r="P14" s="154">
        <v>0</v>
      </c>
      <c r="Q14" s="152">
        <v>0</v>
      </c>
      <c r="R14" s="9">
        <v>-600000.38</v>
      </c>
      <c r="S14" s="21" t="s">
        <v>1846</v>
      </c>
      <c r="T14" s="117">
        <v>0</v>
      </c>
      <c r="U14" s="117" t="s">
        <v>347</v>
      </c>
      <c r="V14" s="117">
        <v>2023</v>
      </c>
      <c r="W14" s="117">
        <v>6</v>
      </c>
      <c r="X14" s="117">
        <v>1145000</v>
      </c>
      <c r="Y14" s="117">
        <v>2.5000000000000001E-2</v>
      </c>
      <c r="Z14" s="21" t="b">
        <v>0</v>
      </c>
      <c r="AA14" s="162">
        <f>+$AD$5-Tabla2[[#This Row],[FECHA DE FACTURACIÓN]]</f>
        <v>191</v>
      </c>
      <c r="AB14" s="163" t="str">
        <f>+IF(Tabla2[[#This Row],[dias de credito]]&gt;=Tabla2[[#This Row],[PLAZO Días]],"venc", "No venc")</f>
        <v>venc</v>
      </c>
      <c r="AC14" s="163" t="str">
        <f>+IF(Tabla2[[#This Row],[FECHA DE PAGO]]&gt;0,"pagada","por pagar")</f>
        <v>pagada</v>
      </c>
      <c r="AD14" s="164" t="str">
        <f>+IF(AND(Tabla2[[#This Row],[venc]]="venc",Tabla2[[#This Row],[estado pago]]="por pagar"),"vencida","no")</f>
        <v>no</v>
      </c>
    </row>
    <row r="15" spans="1:35" ht="19.5" hidden="1" customHeight="1" x14ac:dyDescent="0.25">
      <c r="A15" s="8" t="s">
        <v>1852</v>
      </c>
      <c r="B15" s="8" t="b">
        <v>0</v>
      </c>
      <c r="C15" s="8">
        <v>30</v>
      </c>
      <c r="D15" s="151">
        <v>0</v>
      </c>
      <c r="E15" s="151"/>
      <c r="F15" s="24" t="s">
        <v>84</v>
      </c>
      <c r="G15" s="30">
        <v>44949</v>
      </c>
      <c r="H15" s="81" t="s">
        <v>481</v>
      </c>
      <c r="I15" s="30">
        <v>44949</v>
      </c>
      <c r="J15" s="16" t="s">
        <v>524</v>
      </c>
      <c r="K15" s="9" t="s">
        <v>1530</v>
      </c>
      <c r="L15" s="9"/>
      <c r="M15" s="152">
        <v>1883000</v>
      </c>
      <c r="N15" s="153">
        <v>0</v>
      </c>
      <c r="O15" s="152">
        <v>0</v>
      </c>
      <c r="P15" s="154">
        <v>0</v>
      </c>
      <c r="Q15" s="152">
        <v>0</v>
      </c>
      <c r="R15" s="9">
        <v>1883000</v>
      </c>
      <c r="S15" s="21" t="s">
        <v>1846</v>
      </c>
      <c r="T15" s="117">
        <v>0</v>
      </c>
      <c r="U15" s="117">
        <v>0</v>
      </c>
      <c r="V15" s="117">
        <v>2023</v>
      </c>
      <c r="W15" s="117">
        <v>6</v>
      </c>
      <c r="X15" s="117">
        <v>0</v>
      </c>
      <c r="Y15" s="117">
        <v>0</v>
      </c>
      <c r="Z15" s="21" t="b">
        <v>0</v>
      </c>
      <c r="AA15" s="162">
        <f>+$AD$5-Tabla2[[#This Row],[FECHA DE FACTURACIÓN]]</f>
        <v>494</v>
      </c>
      <c r="AB15" s="163" t="str">
        <f>+IF(Tabla2[[#This Row],[dias de credito]]&gt;=Tabla2[[#This Row],[PLAZO Días]],"venc", "No venc")</f>
        <v>venc</v>
      </c>
      <c r="AC15" s="163" t="str">
        <f>+IF(Tabla2[[#This Row],[FECHA DE PAGO]]&gt;0,"pagada","por pagar")</f>
        <v>pagada</v>
      </c>
      <c r="AD15" s="164" t="str">
        <f>+IF(AND(Tabla2[[#This Row],[venc]]="venc",Tabla2[[#This Row],[estado pago]]="por pagar"),"vencida","no")</f>
        <v>no</v>
      </c>
    </row>
    <row r="16" spans="1:35" ht="19.5" hidden="1" customHeight="1" x14ac:dyDescent="0.25">
      <c r="A16" s="8" t="s">
        <v>1852</v>
      </c>
      <c r="B16" s="8" t="b">
        <v>0</v>
      </c>
      <c r="C16" s="8">
        <v>30</v>
      </c>
      <c r="D16" s="151">
        <v>0</v>
      </c>
      <c r="E16" s="151"/>
      <c r="F16" s="24" t="s">
        <v>1497</v>
      </c>
      <c r="G16" s="30">
        <v>44949</v>
      </c>
      <c r="H16" s="81" t="s">
        <v>1865</v>
      </c>
      <c r="I16" s="30">
        <v>44949</v>
      </c>
      <c r="J16" s="16" t="s">
        <v>520</v>
      </c>
      <c r="K16" s="9" t="s">
        <v>1530</v>
      </c>
      <c r="L16" s="9"/>
      <c r="M16" s="152">
        <v>2110000</v>
      </c>
      <c r="N16" s="153">
        <v>0</v>
      </c>
      <c r="O16" s="152">
        <v>0</v>
      </c>
      <c r="P16" s="154">
        <v>0</v>
      </c>
      <c r="Q16" s="152">
        <v>0</v>
      </c>
      <c r="R16" s="9">
        <v>2110000</v>
      </c>
      <c r="S16" s="21" t="s">
        <v>1846</v>
      </c>
      <c r="T16" s="117">
        <v>0</v>
      </c>
      <c r="U16" s="117">
        <v>0</v>
      </c>
      <c r="V16" s="117">
        <v>2023</v>
      </c>
      <c r="W16" s="117">
        <v>6</v>
      </c>
      <c r="X16" s="117">
        <v>0</v>
      </c>
      <c r="Y16" s="117">
        <v>0</v>
      </c>
      <c r="Z16" s="21" t="b">
        <v>0</v>
      </c>
      <c r="AA16" s="162">
        <f>+$AD$5-Tabla2[[#This Row],[FECHA DE FACTURACIÓN]]</f>
        <v>494</v>
      </c>
      <c r="AB16" s="163" t="str">
        <f>+IF(Tabla2[[#This Row],[dias de credito]]&gt;=Tabla2[[#This Row],[PLAZO Días]],"venc", "No venc")</f>
        <v>venc</v>
      </c>
      <c r="AC16" s="163" t="str">
        <f>+IF(Tabla2[[#This Row],[FECHA DE PAGO]]&gt;0,"pagada","por pagar")</f>
        <v>pagada</v>
      </c>
      <c r="AD16" s="164" t="str">
        <f>+IF(AND(Tabla2[[#This Row],[venc]]="venc",Tabla2[[#This Row],[estado pago]]="por pagar"),"vencida","no")</f>
        <v>no</v>
      </c>
    </row>
    <row r="17" spans="1:30" ht="19.5" hidden="1" customHeight="1" x14ac:dyDescent="0.25">
      <c r="A17" s="8" t="s">
        <v>1850</v>
      </c>
      <c r="B17" s="8" t="b">
        <v>0</v>
      </c>
      <c r="C17" s="8">
        <v>30</v>
      </c>
      <c r="D17" s="151">
        <v>0</v>
      </c>
      <c r="E17" s="151"/>
      <c r="F17" s="24" t="s">
        <v>153</v>
      </c>
      <c r="G17" s="30">
        <v>44952</v>
      </c>
      <c r="H17" s="81" t="s">
        <v>394</v>
      </c>
      <c r="I17" s="30">
        <v>44928</v>
      </c>
      <c r="J17" s="16" t="s">
        <v>515</v>
      </c>
      <c r="K17" s="9" t="s">
        <v>1530</v>
      </c>
      <c r="L17" s="9"/>
      <c r="M17" s="152">
        <v>242340</v>
      </c>
      <c r="N17" s="153">
        <v>46044.6</v>
      </c>
      <c r="O17" s="152">
        <v>0</v>
      </c>
      <c r="P17" s="154">
        <v>3.5000000000000003E-2</v>
      </c>
      <c r="Q17" s="152">
        <v>8481.9000000000015</v>
      </c>
      <c r="R17" s="9">
        <v>279902.69999999995</v>
      </c>
      <c r="S17" s="21" t="s">
        <v>1846</v>
      </c>
      <c r="T17" s="117">
        <v>0</v>
      </c>
      <c r="U17" s="117" t="s">
        <v>348</v>
      </c>
      <c r="V17" s="117">
        <v>2023</v>
      </c>
      <c r="W17" s="117">
        <v>6</v>
      </c>
      <c r="X17" s="117">
        <v>0</v>
      </c>
      <c r="Y17" s="117">
        <v>3.5000000000000003E-2</v>
      </c>
      <c r="Z17" s="21" t="b">
        <v>1</v>
      </c>
      <c r="AA17" s="162">
        <f>+$AD$5-Tabla2[[#This Row],[FECHA DE FACTURACIÓN]]</f>
        <v>515</v>
      </c>
      <c r="AB17" s="163" t="str">
        <f>+IF(Tabla2[[#This Row],[dias de credito]]&gt;=Tabla2[[#This Row],[PLAZO Días]],"venc", "No venc")</f>
        <v>venc</v>
      </c>
      <c r="AC17" s="163" t="str">
        <f>+IF(Tabla2[[#This Row],[FECHA DE PAGO]]&gt;0,"pagada","por pagar")</f>
        <v>pagada</v>
      </c>
      <c r="AD17" s="164" t="str">
        <f>+IF(AND(Tabla2[[#This Row],[venc]]="venc",Tabla2[[#This Row],[estado pago]]="por pagar"),"vencida","no")</f>
        <v>no</v>
      </c>
    </row>
    <row r="18" spans="1:30" ht="19.5" hidden="1" customHeight="1" x14ac:dyDescent="0.25">
      <c r="A18" s="8" t="s">
        <v>1850</v>
      </c>
      <c r="B18" s="8" t="b">
        <v>0</v>
      </c>
      <c r="C18" s="8">
        <v>30</v>
      </c>
      <c r="D18" s="151">
        <v>0</v>
      </c>
      <c r="E18" s="151"/>
      <c r="F18" s="24" t="s">
        <v>414</v>
      </c>
      <c r="G18" s="30">
        <v>44952</v>
      </c>
      <c r="H18" s="81" t="s">
        <v>382</v>
      </c>
      <c r="I18" s="30">
        <v>44930</v>
      </c>
      <c r="J18" s="16" t="s">
        <v>510</v>
      </c>
      <c r="K18" s="9" t="s">
        <v>1530</v>
      </c>
      <c r="L18" s="9"/>
      <c r="M18" s="152">
        <v>949891</v>
      </c>
      <c r="N18" s="153">
        <v>0</v>
      </c>
      <c r="O18" s="152">
        <v>0</v>
      </c>
      <c r="P18" s="154">
        <v>0</v>
      </c>
      <c r="Q18" s="152">
        <v>0</v>
      </c>
      <c r="R18" s="9">
        <v>949891</v>
      </c>
      <c r="S18" s="21" t="s">
        <v>1846</v>
      </c>
      <c r="T18" s="117">
        <v>0</v>
      </c>
      <c r="U18" s="117">
        <v>0</v>
      </c>
      <c r="V18" s="117">
        <v>2023</v>
      </c>
      <c r="W18" s="117">
        <v>6</v>
      </c>
      <c r="X18" s="117">
        <v>0</v>
      </c>
      <c r="Y18" s="117">
        <v>0</v>
      </c>
      <c r="Z18" s="21" t="b">
        <v>1</v>
      </c>
      <c r="AA18" s="162">
        <f>+$AD$5-Tabla2[[#This Row],[FECHA DE FACTURACIÓN]]</f>
        <v>513</v>
      </c>
      <c r="AB18" s="163" t="str">
        <f>+IF(Tabla2[[#This Row],[dias de credito]]&gt;=Tabla2[[#This Row],[PLAZO Días]],"venc", "No venc")</f>
        <v>venc</v>
      </c>
      <c r="AC18" s="163" t="str">
        <f>+IF(Tabla2[[#This Row],[FECHA DE PAGO]]&gt;0,"pagada","por pagar")</f>
        <v>pagada</v>
      </c>
      <c r="AD18" s="164" t="str">
        <f>+IF(AND(Tabla2[[#This Row],[venc]]="venc",Tabla2[[#This Row],[estado pago]]="por pagar"),"vencida","no")</f>
        <v>no</v>
      </c>
    </row>
    <row r="19" spans="1:30" ht="19.5" hidden="1" customHeight="1" x14ac:dyDescent="0.25">
      <c r="A19" s="8" t="s">
        <v>1850</v>
      </c>
      <c r="B19" s="8" t="b">
        <v>0</v>
      </c>
      <c r="C19" s="8">
        <v>30</v>
      </c>
      <c r="D19" s="151">
        <v>0</v>
      </c>
      <c r="E19" s="151"/>
      <c r="F19" s="24" t="s">
        <v>414</v>
      </c>
      <c r="G19" s="30">
        <v>44952</v>
      </c>
      <c r="H19" s="81" t="s">
        <v>382</v>
      </c>
      <c r="I19" s="30">
        <v>44930</v>
      </c>
      <c r="J19" s="16" t="s">
        <v>512</v>
      </c>
      <c r="K19" s="9" t="s">
        <v>1530</v>
      </c>
      <c r="L19" s="9"/>
      <c r="M19" s="152">
        <v>928304</v>
      </c>
      <c r="N19" s="153">
        <v>0</v>
      </c>
      <c r="O19" s="152">
        <v>0</v>
      </c>
      <c r="P19" s="154">
        <v>0</v>
      </c>
      <c r="Q19" s="152">
        <v>0</v>
      </c>
      <c r="R19" s="9">
        <v>928304</v>
      </c>
      <c r="S19" s="21" t="s">
        <v>1846</v>
      </c>
      <c r="T19" s="117">
        <v>0</v>
      </c>
      <c r="U19" s="117">
        <v>0</v>
      </c>
      <c r="V19" s="117">
        <v>2023</v>
      </c>
      <c r="W19" s="117">
        <v>6</v>
      </c>
      <c r="X19" s="117">
        <v>0</v>
      </c>
      <c r="Y19" s="117">
        <v>0</v>
      </c>
      <c r="Z19" s="21" t="b">
        <v>1</v>
      </c>
      <c r="AA19" s="162">
        <f>+$AD$5-Tabla2[[#This Row],[FECHA DE FACTURACIÓN]]</f>
        <v>513</v>
      </c>
      <c r="AB19" s="163" t="str">
        <f>+IF(Tabla2[[#This Row],[dias de credito]]&gt;=Tabla2[[#This Row],[PLAZO Días]],"venc", "No venc")</f>
        <v>venc</v>
      </c>
      <c r="AC19" s="163" t="str">
        <f>+IF(Tabla2[[#This Row],[FECHA DE PAGO]]&gt;0,"pagada","por pagar")</f>
        <v>pagada</v>
      </c>
      <c r="AD19" s="164" t="str">
        <f>+IF(AND(Tabla2[[#This Row],[venc]]="venc",Tabla2[[#This Row],[estado pago]]="por pagar"),"vencida","no")</f>
        <v>no</v>
      </c>
    </row>
    <row r="20" spans="1:30" ht="19.5" hidden="1" customHeight="1" x14ac:dyDescent="0.25">
      <c r="A20" s="8" t="s">
        <v>1850</v>
      </c>
      <c r="B20" s="8" t="b">
        <v>0</v>
      </c>
      <c r="C20" s="8">
        <v>30</v>
      </c>
      <c r="D20" s="151">
        <v>0</v>
      </c>
      <c r="E20" s="151"/>
      <c r="F20" s="24" t="s">
        <v>253</v>
      </c>
      <c r="G20" s="30">
        <v>44952</v>
      </c>
      <c r="H20" s="81" t="s">
        <v>368</v>
      </c>
      <c r="I20" s="30">
        <v>44931</v>
      </c>
      <c r="J20" s="16" t="s">
        <v>725</v>
      </c>
      <c r="K20" s="9" t="s">
        <v>1530</v>
      </c>
      <c r="L20" s="9"/>
      <c r="M20" s="152">
        <v>895663</v>
      </c>
      <c r="N20" s="153">
        <v>170175.97</v>
      </c>
      <c r="O20" s="152">
        <v>0</v>
      </c>
      <c r="P20" s="154">
        <v>0</v>
      </c>
      <c r="Q20" s="152">
        <v>0</v>
      </c>
      <c r="R20" s="9">
        <v>1065838.97</v>
      </c>
      <c r="S20" s="21" t="s">
        <v>1846</v>
      </c>
      <c r="T20" s="117">
        <v>0</v>
      </c>
      <c r="U20" s="117">
        <v>0</v>
      </c>
      <c r="V20" s="117">
        <v>2023</v>
      </c>
      <c r="W20" s="117">
        <v>6</v>
      </c>
      <c r="X20" s="117">
        <v>0</v>
      </c>
      <c r="Y20" s="117">
        <v>0</v>
      </c>
      <c r="Z20" s="21" t="b">
        <v>1</v>
      </c>
      <c r="AA20" s="162">
        <f>+$AD$5-Tabla2[[#This Row],[FECHA DE FACTURACIÓN]]</f>
        <v>512</v>
      </c>
      <c r="AB20" s="163" t="str">
        <f>+IF(Tabla2[[#This Row],[dias de credito]]&gt;=Tabla2[[#This Row],[PLAZO Días]],"venc", "No venc")</f>
        <v>venc</v>
      </c>
      <c r="AC20" s="163" t="str">
        <f>+IF(Tabla2[[#This Row],[FECHA DE PAGO]]&gt;0,"pagada","por pagar")</f>
        <v>pagada</v>
      </c>
      <c r="AD20" s="164" t="str">
        <f>+IF(AND(Tabla2[[#This Row],[venc]]="venc",Tabla2[[#This Row],[estado pago]]="por pagar"),"vencida","no")</f>
        <v>no</v>
      </c>
    </row>
    <row r="21" spans="1:30" ht="19.5" hidden="1" customHeight="1" x14ac:dyDescent="0.25">
      <c r="A21" s="8" t="s">
        <v>1850</v>
      </c>
      <c r="B21" s="8" t="b">
        <v>0</v>
      </c>
      <c r="C21" s="8">
        <v>30</v>
      </c>
      <c r="D21" s="151">
        <v>0</v>
      </c>
      <c r="E21" s="151"/>
      <c r="F21" s="24" t="s">
        <v>414</v>
      </c>
      <c r="G21" s="30">
        <v>44952</v>
      </c>
      <c r="H21" s="81" t="s">
        <v>382</v>
      </c>
      <c r="I21" s="30">
        <v>44931</v>
      </c>
      <c r="J21" s="16" t="s">
        <v>511</v>
      </c>
      <c r="K21" s="9" t="s">
        <v>1530</v>
      </c>
      <c r="L21" s="9"/>
      <c r="M21" s="152">
        <v>68166</v>
      </c>
      <c r="N21" s="153">
        <v>0</v>
      </c>
      <c r="O21" s="152">
        <v>0</v>
      </c>
      <c r="P21" s="154">
        <v>0</v>
      </c>
      <c r="Q21" s="152">
        <v>0</v>
      </c>
      <c r="R21" s="9">
        <v>68166</v>
      </c>
      <c r="S21" s="21" t="s">
        <v>1846</v>
      </c>
      <c r="T21" s="117">
        <v>0</v>
      </c>
      <c r="U21" s="117">
        <v>0</v>
      </c>
      <c r="V21" s="117">
        <v>2023</v>
      </c>
      <c r="W21" s="117">
        <v>6</v>
      </c>
      <c r="X21" s="117">
        <v>0</v>
      </c>
      <c r="Y21" s="117">
        <v>0</v>
      </c>
      <c r="Z21" s="21" t="b">
        <v>1</v>
      </c>
      <c r="AA21" s="162">
        <f>+$AD$5-Tabla2[[#This Row],[FECHA DE FACTURACIÓN]]</f>
        <v>512</v>
      </c>
      <c r="AB21" s="163" t="str">
        <f>+IF(Tabla2[[#This Row],[dias de credito]]&gt;=Tabla2[[#This Row],[PLAZO Días]],"venc", "No venc")</f>
        <v>venc</v>
      </c>
      <c r="AC21" s="163" t="str">
        <f>+IF(Tabla2[[#This Row],[FECHA DE PAGO]]&gt;0,"pagada","por pagar")</f>
        <v>pagada</v>
      </c>
      <c r="AD21" s="164" t="str">
        <f>+IF(AND(Tabla2[[#This Row],[venc]]="venc",Tabla2[[#This Row],[estado pago]]="por pagar"),"vencida","no")</f>
        <v>no</v>
      </c>
    </row>
    <row r="22" spans="1:30" ht="19.5" hidden="1" customHeight="1" x14ac:dyDescent="0.25">
      <c r="A22" s="8" t="s">
        <v>1850</v>
      </c>
      <c r="B22" s="8" t="b">
        <v>0</v>
      </c>
      <c r="C22" s="8">
        <v>30</v>
      </c>
      <c r="D22" s="151">
        <v>0</v>
      </c>
      <c r="E22" s="151"/>
      <c r="F22" s="24" t="s">
        <v>414</v>
      </c>
      <c r="G22" s="30">
        <v>44952</v>
      </c>
      <c r="H22" s="81" t="s">
        <v>382</v>
      </c>
      <c r="I22" s="30">
        <v>44931</v>
      </c>
      <c r="J22" s="16" t="s">
        <v>513</v>
      </c>
      <c r="K22" s="9" t="s">
        <v>1530</v>
      </c>
      <c r="L22" s="9"/>
      <c r="M22" s="152">
        <v>59583</v>
      </c>
      <c r="N22" s="153">
        <v>0</v>
      </c>
      <c r="O22" s="152">
        <v>0</v>
      </c>
      <c r="P22" s="154">
        <v>0</v>
      </c>
      <c r="Q22" s="152">
        <v>0</v>
      </c>
      <c r="R22" s="9">
        <v>59583</v>
      </c>
      <c r="S22" s="21" t="s">
        <v>1846</v>
      </c>
      <c r="T22" s="117">
        <v>0</v>
      </c>
      <c r="U22" s="117">
        <v>0</v>
      </c>
      <c r="V22" s="117">
        <v>2023</v>
      </c>
      <c r="W22" s="117">
        <v>6</v>
      </c>
      <c r="X22" s="117">
        <v>0</v>
      </c>
      <c r="Y22" s="117">
        <v>0</v>
      </c>
      <c r="Z22" s="21" t="b">
        <v>1</v>
      </c>
      <c r="AA22" s="162">
        <f>+$AD$5-Tabla2[[#This Row],[FECHA DE FACTURACIÓN]]</f>
        <v>512</v>
      </c>
      <c r="AB22" s="163" t="str">
        <f>+IF(Tabla2[[#This Row],[dias de credito]]&gt;=Tabla2[[#This Row],[PLAZO Días]],"venc", "No venc")</f>
        <v>venc</v>
      </c>
      <c r="AC22" s="163" t="str">
        <f>+IF(Tabla2[[#This Row],[FECHA DE PAGO]]&gt;0,"pagada","por pagar")</f>
        <v>pagada</v>
      </c>
      <c r="AD22" s="164" t="str">
        <f>+IF(AND(Tabla2[[#This Row],[venc]]="venc",Tabla2[[#This Row],[estado pago]]="por pagar"),"vencida","no")</f>
        <v>no</v>
      </c>
    </row>
    <row r="23" spans="1:30" ht="19.5" hidden="1" customHeight="1" x14ac:dyDescent="0.25">
      <c r="A23" s="8" t="s">
        <v>1850</v>
      </c>
      <c r="B23" s="8" t="b">
        <v>0</v>
      </c>
      <c r="C23" s="8">
        <v>30</v>
      </c>
      <c r="D23" s="151">
        <v>0</v>
      </c>
      <c r="E23" s="151"/>
      <c r="F23" s="24" t="s">
        <v>206</v>
      </c>
      <c r="G23" s="30">
        <v>44952</v>
      </c>
      <c r="H23" s="81" t="s">
        <v>380</v>
      </c>
      <c r="I23" s="30">
        <v>44944</v>
      </c>
      <c r="J23" s="16">
        <v>5652</v>
      </c>
      <c r="K23" s="9" t="s">
        <v>1530</v>
      </c>
      <c r="L23" s="9"/>
      <c r="M23" s="152">
        <v>3002200</v>
      </c>
      <c r="N23" s="153">
        <v>0</v>
      </c>
      <c r="O23" s="152">
        <v>0</v>
      </c>
      <c r="P23" s="154">
        <v>3.5000000000000003E-2</v>
      </c>
      <c r="Q23" s="152">
        <v>105077.00000000001</v>
      </c>
      <c r="R23" s="9">
        <v>2897123</v>
      </c>
      <c r="S23" s="21" t="s">
        <v>1846</v>
      </c>
      <c r="T23" s="117">
        <v>0</v>
      </c>
      <c r="U23" s="117" t="s">
        <v>348</v>
      </c>
      <c r="V23" s="117">
        <v>2023</v>
      </c>
      <c r="W23" s="117">
        <v>6</v>
      </c>
      <c r="X23" s="117">
        <v>0</v>
      </c>
      <c r="Y23" s="117">
        <v>3.5000000000000003E-2</v>
      </c>
      <c r="Z23" s="21" t="b">
        <v>1</v>
      </c>
      <c r="AA23" s="162">
        <f>+$AD$5-Tabla2[[#This Row],[FECHA DE FACTURACIÓN]]</f>
        <v>499</v>
      </c>
      <c r="AB23" s="163" t="str">
        <f>+IF(Tabla2[[#This Row],[dias de credito]]&gt;=Tabla2[[#This Row],[PLAZO Días]],"venc", "No venc")</f>
        <v>venc</v>
      </c>
      <c r="AC23" s="163" t="str">
        <f>+IF(Tabla2[[#This Row],[FECHA DE PAGO]]&gt;0,"pagada","por pagar")</f>
        <v>pagada</v>
      </c>
      <c r="AD23" s="164" t="str">
        <f>+IF(AND(Tabla2[[#This Row],[venc]]="venc",Tabla2[[#This Row],[estado pago]]="por pagar"),"vencida","no")</f>
        <v>no</v>
      </c>
    </row>
    <row r="24" spans="1:30" ht="19.5" hidden="1" customHeight="1" x14ac:dyDescent="0.25">
      <c r="A24" s="8" t="s">
        <v>1850</v>
      </c>
      <c r="B24" s="8" t="b">
        <v>0</v>
      </c>
      <c r="C24" s="8">
        <v>30</v>
      </c>
      <c r="D24" s="151">
        <v>0</v>
      </c>
      <c r="E24" s="151"/>
      <c r="F24" s="24" t="s">
        <v>138</v>
      </c>
      <c r="G24" s="30">
        <v>44952</v>
      </c>
      <c r="H24" s="81" t="s">
        <v>1806</v>
      </c>
      <c r="I24" s="30">
        <v>44945</v>
      </c>
      <c r="J24" s="16">
        <v>394</v>
      </c>
      <c r="K24" s="9" t="s">
        <v>1530</v>
      </c>
      <c r="L24" s="9"/>
      <c r="M24" s="152">
        <v>300000</v>
      </c>
      <c r="N24" s="153">
        <v>0</v>
      </c>
      <c r="O24" s="152">
        <v>0</v>
      </c>
      <c r="P24" s="154">
        <v>0</v>
      </c>
      <c r="Q24" s="152">
        <v>0</v>
      </c>
      <c r="R24" s="9">
        <v>300000</v>
      </c>
      <c r="S24" s="21" t="s">
        <v>1846</v>
      </c>
      <c r="T24" s="117">
        <v>0</v>
      </c>
      <c r="U24" s="117">
        <v>0</v>
      </c>
      <c r="V24" s="117">
        <v>2023</v>
      </c>
      <c r="W24" s="117">
        <v>6</v>
      </c>
      <c r="X24" s="117">
        <v>0</v>
      </c>
      <c r="Y24" s="117">
        <v>0</v>
      </c>
      <c r="Z24" s="21" t="b">
        <v>0</v>
      </c>
      <c r="AA24" s="162">
        <f>+$AD$5-Tabla2[[#This Row],[FECHA DE FACTURACIÓN]]</f>
        <v>498</v>
      </c>
      <c r="AB24" s="163" t="str">
        <f>+IF(Tabla2[[#This Row],[dias de credito]]&gt;=Tabla2[[#This Row],[PLAZO Días]],"venc", "No venc")</f>
        <v>venc</v>
      </c>
      <c r="AC24" s="163" t="str">
        <f>+IF(Tabla2[[#This Row],[FECHA DE PAGO]]&gt;0,"pagada","por pagar")</f>
        <v>pagada</v>
      </c>
      <c r="AD24" s="164" t="str">
        <f>+IF(AND(Tabla2[[#This Row],[venc]]="venc",Tabla2[[#This Row],[estado pago]]="por pagar"),"vencida","no")</f>
        <v>no</v>
      </c>
    </row>
    <row r="25" spans="1:30" ht="19.5" hidden="1" customHeight="1" x14ac:dyDescent="0.25">
      <c r="A25" s="8" t="s">
        <v>1850</v>
      </c>
      <c r="B25" s="8" t="b">
        <v>0</v>
      </c>
      <c r="C25" s="8">
        <v>30</v>
      </c>
      <c r="D25" s="151">
        <v>0</v>
      </c>
      <c r="E25" s="151"/>
      <c r="F25" s="24" t="s">
        <v>138</v>
      </c>
      <c r="G25" s="30">
        <v>44952</v>
      </c>
      <c r="H25" s="81" t="s">
        <v>448</v>
      </c>
      <c r="I25" s="30">
        <v>44945</v>
      </c>
      <c r="J25" s="16" t="s">
        <v>514</v>
      </c>
      <c r="K25" s="9" t="s">
        <v>1530</v>
      </c>
      <c r="L25" s="9"/>
      <c r="M25" s="152">
        <v>276000</v>
      </c>
      <c r="N25" s="153">
        <v>0</v>
      </c>
      <c r="O25" s="152">
        <v>0</v>
      </c>
      <c r="P25" s="154">
        <v>0.01</v>
      </c>
      <c r="Q25" s="152">
        <v>2760</v>
      </c>
      <c r="R25" s="9">
        <v>273240</v>
      </c>
      <c r="S25" s="21" t="s">
        <v>1846</v>
      </c>
      <c r="T25" s="117">
        <v>0</v>
      </c>
      <c r="U25" s="117" t="s">
        <v>346</v>
      </c>
      <c r="V25" s="117">
        <v>2023</v>
      </c>
      <c r="W25" s="117">
        <v>6</v>
      </c>
      <c r="X25" s="117">
        <v>170000</v>
      </c>
      <c r="Y25" s="117">
        <v>0.01</v>
      </c>
      <c r="Z25" s="21" t="b">
        <v>0</v>
      </c>
      <c r="AA25" s="162">
        <f>+$AD$5-Tabla2[[#This Row],[FECHA DE FACTURACIÓN]]</f>
        <v>498</v>
      </c>
      <c r="AB25" s="163" t="str">
        <f>+IF(Tabla2[[#This Row],[dias de credito]]&gt;=Tabla2[[#This Row],[PLAZO Días]],"venc", "No venc")</f>
        <v>venc</v>
      </c>
      <c r="AC25" s="163" t="str">
        <f>+IF(Tabla2[[#This Row],[FECHA DE PAGO]]&gt;0,"pagada","por pagar")</f>
        <v>pagada</v>
      </c>
      <c r="AD25" s="164" t="str">
        <f>+IF(AND(Tabla2[[#This Row],[venc]]="venc",Tabla2[[#This Row],[estado pago]]="por pagar"),"vencida","no")</f>
        <v>no</v>
      </c>
    </row>
    <row r="26" spans="1:30" ht="19.5" hidden="1" customHeight="1" x14ac:dyDescent="0.25">
      <c r="A26" s="8" t="s">
        <v>1852</v>
      </c>
      <c r="B26" s="8" t="b">
        <v>0</v>
      </c>
      <c r="C26" s="8">
        <v>30</v>
      </c>
      <c r="D26" s="151">
        <v>0</v>
      </c>
      <c r="E26" s="151"/>
      <c r="F26" s="24" t="s">
        <v>84</v>
      </c>
      <c r="G26" s="30">
        <v>44952</v>
      </c>
      <c r="H26" s="81" t="s">
        <v>481</v>
      </c>
      <c r="I26" s="30">
        <v>44952</v>
      </c>
      <c r="J26" s="16" t="s">
        <v>522</v>
      </c>
      <c r="K26" s="9" t="s">
        <v>1530</v>
      </c>
      <c r="L26" s="9"/>
      <c r="M26" s="152">
        <v>1193000</v>
      </c>
      <c r="N26" s="153">
        <v>0</v>
      </c>
      <c r="O26" s="152">
        <v>0</v>
      </c>
      <c r="P26" s="154">
        <v>0</v>
      </c>
      <c r="Q26" s="152">
        <v>0</v>
      </c>
      <c r="R26" s="9">
        <v>1193000</v>
      </c>
      <c r="S26" s="21" t="s">
        <v>1846</v>
      </c>
      <c r="T26" s="117">
        <v>0</v>
      </c>
      <c r="U26" s="117">
        <v>0</v>
      </c>
      <c r="V26" s="117">
        <v>2023</v>
      </c>
      <c r="W26" s="117">
        <v>6</v>
      </c>
      <c r="X26" s="117">
        <v>0</v>
      </c>
      <c r="Y26" s="117">
        <v>0</v>
      </c>
      <c r="Z26" s="21" t="b">
        <v>0</v>
      </c>
      <c r="AA26" s="162">
        <f>+$AD$5-Tabla2[[#This Row],[FECHA DE FACTURACIÓN]]</f>
        <v>491</v>
      </c>
      <c r="AB26" s="163" t="str">
        <f>+IF(Tabla2[[#This Row],[dias de credito]]&gt;=Tabla2[[#This Row],[PLAZO Días]],"venc", "No venc")</f>
        <v>venc</v>
      </c>
      <c r="AC26" s="163" t="str">
        <f>+IF(Tabla2[[#This Row],[FECHA DE PAGO]]&gt;0,"pagada","por pagar")</f>
        <v>pagada</v>
      </c>
      <c r="AD26" s="164" t="str">
        <f>+IF(AND(Tabla2[[#This Row],[venc]]="venc",Tabla2[[#This Row],[estado pago]]="por pagar"),"vencida","no")</f>
        <v>no</v>
      </c>
    </row>
    <row r="27" spans="1:30" ht="19.5" hidden="1" customHeight="1" x14ac:dyDescent="0.25">
      <c r="A27" s="8" t="s">
        <v>1850</v>
      </c>
      <c r="B27" s="8" t="b">
        <v>0</v>
      </c>
      <c r="C27" s="8">
        <v>30</v>
      </c>
      <c r="D27" s="151">
        <v>0</v>
      </c>
      <c r="E27" s="151"/>
      <c r="F27" s="24" t="s">
        <v>253</v>
      </c>
      <c r="G27" s="30">
        <v>44953</v>
      </c>
      <c r="H27" s="81" t="s">
        <v>368</v>
      </c>
      <c r="I27" s="30">
        <v>44927</v>
      </c>
      <c r="J27" s="16" t="s">
        <v>517</v>
      </c>
      <c r="K27" s="9" t="s">
        <v>1530</v>
      </c>
      <c r="L27" s="9"/>
      <c r="M27" s="152">
        <v>3294426</v>
      </c>
      <c r="N27" s="153">
        <v>625940.94000000006</v>
      </c>
      <c r="O27" s="152">
        <v>0</v>
      </c>
      <c r="P27" s="154">
        <v>0</v>
      </c>
      <c r="Q27" s="152">
        <v>0</v>
      </c>
      <c r="R27" s="9">
        <v>3920366.94</v>
      </c>
      <c r="S27" s="21" t="s">
        <v>1846</v>
      </c>
      <c r="T27" s="117">
        <v>0</v>
      </c>
      <c r="U27" s="117">
        <v>0</v>
      </c>
      <c r="V27" s="117">
        <v>2023</v>
      </c>
      <c r="W27" s="117">
        <v>6</v>
      </c>
      <c r="X27" s="117">
        <v>0</v>
      </c>
      <c r="Y27" s="117">
        <v>0</v>
      </c>
      <c r="Z27" s="21" t="b">
        <v>1</v>
      </c>
      <c r="AA27" s="162">
        <f>+$AD$5-Tabla2[[#This Row],[FECHA DE FACTURACIÓN]]</f>
        <v>516</v>
      </c>
      <c r="AB27" s="163" t="str">
        <f>+IF(Tabla2[[#This Row],[dias de credito]]&gt;=Tabla2[[#This Row],[PLAZO Días]],"venc", "No venc")</f>
        <v>venc</v>
      </c>
      <c r="AC27" s="163" t="str">
        <f>+IF(Tabla2[[#This Row],[FECHA DE PAGO]]&gt;0,"pagada","por pagar")</f>
        <v>pagada</v>
      </c>
      <c r="AD27" s="164" t="str">
        <f>+IF(AND(Tabla2[[#This Row],[venc]]="venc",Tabla2[[#This Row],[estado pago]]="por pagar"),"vencida","no")</f>
        <v>no</v>
      </c>
    </row>
    <row r="28" spans="1:30" ht="19.5" hidden="1" customHeight="1" x14ac:dyDescent="0.25">
      <c r="A28" s="8" t="s">
        <v>1850</v>
      </c>
      <c r="B28" s="8" t="b">
        <v>0</v>
      </c>
      <c r="C28" s="8">
        <v>30</v>
      </c>
      <c r="D28" s="151">
        <v>0</v>
      </c>
      <c r="E28" s="151"/>
      <c r="F28" s="24" t="s">
        <v>1540</v>
      </c>
      <c r="G28" s="30">
        <v>44953</v>
      </c>
      <c r="H28" s="81" t="s">
        <v>383</v>
      </c>
      <c r="I28" s="30">
        <v>44928</v>
      </c>
      <c r="J28" s="16" t="s">
        <v>518</v>
      </c>
      <c r="K28" s="9" t="s">
        <v>1530</v>
      </c>
      <c r="L28" s="9"/>
      <c r="M28" s="152">
        <v>3891260</v>
      </c>
      <c r="N28" s="153">
        <v>739339.4</v>
      </c>
      <c r="O28" s="152">
        <v>0</v>
      </c>
      <c r="P28" s="154">
        <v>3.5000000000000003E-2</v>
      </c>
      <c r="Q28" s="152">
        <v>136194.1</v>
      </c>
      <c r="R28" s="9">
        <v>4494405.3000000007</v>
      </c>
      <c r="S28" s="21" t="s">
        <v>1846</v>
      </c>
      <c r="T28" s="117">
        <v>0</v>
      </c>
      <c r="U28" s="117" t="s">
        <v>348</v>
      </c>
      <c r="V28" s="117">
        <v>2023</v>
      </c>
      <c r="W28" s="117">
        <v>6</v>
      </c>
      <c r="X28" s="117">
        <v>0</v>
      </c>
      <c r="Y28" s="117">
        <v>3.5000000000000003E-2</v>
      </c>
      <c r="Z28" s="21" t="b">
        <v>1</v>
      </c>
      <c r="AA28" s="162">
        <f>+$AD$5-Tabla2[[#This Row],[FECHA DE FACTURACIÓN]]</f>
        <v>515</v>
      </c>
      <c r="AB28" s="163" t="str">
        <f>+IF(Tabla2[[#This Row],[dias de credito]]&gt;=Tabla2[[#This Row],[PLAZO Días]],"venc", "No venc")</f>
        <v>venc</v>
      </c>
      <c r="AC28" s="163" t="str">
        <f>+IF(Tabla2[[#This Row],[FECHA DE PAGO]]&gt;0,"pagada","por pagar")</f>
        <v>pagada</v>
      </c>
      <c r="AD28" s="164" t="str">
        <f>+IF(AND(Tabla2[[#This Row],[venc]]="venc",Tabla2[[#This Row],[estado pago]]="por pagar"),"vencida","no")</f>
        <v>no</v>
      </c>
    </row>
    <row r="29" spans="1:30" ht="19.5" hidden="1" customHeight="1" x14ac:dyDescent="0.25">
      <c r="A29" s="8" t="s">
        <v>1850</v>
      </c>
      <c r="B29" s="8" t="s">
        <v>1851</v>
      </c>
      <c r="C29" s="8">
        <v>10</v>
      </c>
      <c r="D29" s="151">
        <v>0</v>
      </c>
      <c r="E29" s="151"/>
      <c r="F29" s="24" t="s">
        <v>483</v>
      </c>
      <c r="G29" s="30">
        <v>44953</v>
      </c>
      <c r="H29" s="81" t="s">
        <v>482</v>
      </c>
      <c r="I29" s="30">
        <v>44928</v>
      </c>
      <c r="J29" s="16" t="s">
        <v>519</v>
      </c>
      <c r="K29" s="9" t="s">
        <v>1530</v>
      </c>
      <c r="L29" s="9"/>
      <c r="M29" s="152">
        <v>4730000</v>
      </c>
      <c r="N29" s="153">
        <v>898700</v>
      </c>
      <c r="O29" s="152">
        <v>0</v>
      </c>
      <c r="P29" s="154">
        <v>0</v>
      </c>
      <c r="Q29" s="152">
        <v>0</v>
      </c>
      <c r="R29" s="9">
        <v>5628700</v>
      </c>
      <c r="S29" s="21" t="s">
        <v>1846</v>
      </c>
      <c r="T29" s="117">
        <v>0</v>
      </c>
      <c r="U29" s="117">
        <v>0</v>
      </c>
      <c r="V29" s="117">
        <v>2023</v>
      </c>
      <c r="W29" s="117">
        <v>6</v>
      </c>
      <c r="X29" s="117">
        <v>0</v>
      </c>
      <c r="Y29" s="117">
        <v>0</v>
      </c>
      <c r="Z29" s="21" t="b">
        <v>1</v>
      </c>
      <c r="AA29" s="162">
        <f>+$AD$5-Tabla2[[#This Row],[FECHA DE FACTURACIÓN]]</f>
        <v>515</v>
      </c>
      <c r="AB29" s="163" t="str">
        <f>+IF(Tabla2[[#This Row],[dias de credito]]&gt;=Tabla2[[#This Row],[PLAZO Días]],"venc", "No venc")</f>
        <v>venc</v>
      </c>
      <c r="AC29" s="163" t="str">
        <f>+IF(Tabla2[[#This Row],[FECHA DE PAGO]]&gt;0,"pagada","por pagar")</f>
        <v>pagada</v>
      </c>
      <c r="AD29" s="164" t="str">
        <f>+IF(AND(Tabla2[[#This Row],[venc]]="venc",Tabla2[[#This Row],[estado pago]]="por pagar"),"vencida","no")</f>
        <v>no</v>
      </c>
    </row>
    <row r="30" spans="1:30" ht="19.5" hidden="1" customHeight="1" x14ac:dyDescent="0.25">
      <c r="A30" s="8" t="s">
        <v>1850</v>
      </c>
      <c r="B30" s="8" t="b">
        <v>0</v>
      </c>
      <c r="C30" s="8">
        <v>30</v>
      </c>
      <c r="D30" s="151">
        <v>0</v>
      </c>
      <c r="E30" s="151"/>
      <c r="F30" s="24" t="s">
        <v>138</v>
      </c>
      <c r="G30" s="30">
        <v>44953</v>
      </c>
      <c r="H30" s="81" t="s">
        <v>1806</v>
      </c>
      <c r="I30" s="30">
        <v>44976</v>
      </c>
      <c r="J30" s="16">
        <v>402</v>
      </c>
      <c r="K30" s="9" t="s">
        <v>1530</v>
      </c>
      <c r="L30" s="9"/>
      <c r="M30" s="152">
        <v>400000</v>
      </c>
      <c r="N30" s="153">
        <v>0</v>
      </c>
      <c r="O30" s="152">
        <v>0</v>
      </c>
      <c r="P30" s="154">
        <v>0</v>
      </c>
      <c r="Q30" s="152">
        <v>0</v>
      </c>
      <c r="R30" s="9">
        <v>400000</v>
      </c>
      <c r="S30" s="21" t="s">
        <v>1846</v>
      </c>
      <c r="T30" s="117">
        <v>0</v>
      </c>
      <c r="U30" s="117">
        <v>0</v>
      </c>
      <c r="V30" s="117">
        <v>2023</v>
      </c>
      <c r="W30" s="117">
        <v>6</v>
      </c>
      <c r="X30" s="117">
        <v>0</v>
      </c>
      <c r="Y30" s="117">
        <v>0</v>
      </c>
      <c r="Z30" s="21" t="b">
        <v>0</v>
      </c>
      <c r="AA30" s="162">
        <f>+$AD$5-Tabla2[[#This Row],[FECHA DE FACTURACIÓN]]</f>
        <v>467</v>
      </c>
      <c r="AB30" s="163" t="str">
        <f>+IF(Tabla2[[#This Row],[dias de credito]]&gt;=Tabla2[[#This Row],[PLAZO Días]],"venc", "No venc")</f>
        <v>venc</v>
      </c>
      <c r="AC30" s="163" t="str">
        <f>+IF(Tabla2[[#This Row],[FECHA DE PAGO]]&gt;0,"pagada","por pagar")</f>
        <v>pagada</v>
      </c>
      <c r="AD30" s="164" t="str">
        <f>+IF(AND(Tabla2[[#This Row],[venc]]="venc",Tabla2[[#This Row],[estado pago]]="por pagar"),"vencida","no")</f>
        <v>no</v>
      </c>
    </row>
    <row r="31" spans="1:30" ht="19.5" hidden="1" customHeight="1" x14ac:dyDescent="0.25">
      <c r="A31" s="8" t="s">
        <v>1850</v>
      </c>
      <c r="B31" s="8" t="b">
        <v>0</v>
      </c>
      <c r="C31" s="8">
        <v>30</v>
      </c>
      <c r="D31" s="151">
        <v>0</v>
      </c>
      <c r="E31" s="151"/>
      <c r="F31" s="24" t="s">
        <v>138</v>
      </c>
      <c r="G31" s="30">
        <v>44953</v>
      </c>
      <c r="H31" s="81" t="s">
        <v>448</v>
      </c>
      <c r="I31" s="30">
        <v>44976</v>
      </c>
      <c r="J31" s="16" t="s">
        <v>585</v>
      </c>
      <c r="K31" s="9" t="s">
        <v>1530</v>
      </c>
      <c r="L31" s="9"/>
      <c r="M31" s="152">
        <v>330000</v>
      </c>
      <c r="N31" s="153">
        <v>0</v>
      </c>
      <c r="O31" s="152">
        <v>0</v>
      </c>
      <c r="P31" s="154">
        <v>0.01</v>
      </c>
      <c r="Q31" s="152">
        <v>3300</v>
      </c>
      <c r="R31" s="9">
        <v>326700</v>
      </c>
      <c r="S31" s="21" t="s">
        <v>1846</v>
      </c>
      <c r="T31" s="117">
        <v>0</v>
      </c>
      <c r="U31" s="117" t="s">
        <v>346</v>
      </c>
      <c r="V31" s="117">
        <v>2023</v>
      </c>
      <c r="W31" s="117">
        <v>6</v>
      </c>
      <c r="X31" s="117">
        <v>170000</v>
      </c>
      <c r="Y31" s="117">
        <v>0.01</v>
      </c>
      <c r="Z31" s="21" t="b">
        <v>0</v>
      </c>
      <c r="AA31" s="162">
        <f>+$AD$5-Tabla2[[#This Row],[FECHA DE FACTURACIÓN]]</f>
        <v>467</v>
      </c>
      <c r="AB31" s="163" t="str">
        <f>+IF(Tabla2[[#This Row],[dias de credito]]&gt;=Tabla2[[#This Row],[PLAZO Días]],"venc", "No venc")</f>
        <v>venc</v>
      </c>
      <c r="AC31" s="163" t="str">
        <f>+IF(Tabla2[[#This Row],[FECHA DE PAGO]]&gt;0,"pagada","por pagar")</f>
        <v>pagada</v>
      </c>
      <c r="AD31" s="164" t="str">
        <f>+IF(AND(Tabla2[[#This Row],[venc]]="venc",Tabla2[[#This Row],[estado pago]]="por pagar"),"vencida","no")</f>
        <v>no</v>
      </c>
    </row>
    <row r="32" spans="1:30" ht="19.5" hidden="1" customHeight="1" x14ac:dyDescent="0.25">
      <c r="A32" s="8" t="s">
        <v>1852</v>
      </c>
      <c r="B32" s="8" t="b">
        <v>0</v>
      </c>
      <c r="C32" s="8">
        <v>30</v>
      </c>
      <c r="D32" s="151">
        <v>0</v>
      </c>
      <c r="E32" s="151"/>
      <c r="F32" s="24" t="s">
        <v>84</v>
      </c>
      <c r="G32" s="30">
        <v>44954</v>
      </c>
      <c r="H32" s="81" t="s">
        <v>525</v>
      </c>
      <c r="I32" s="30">
        <v>44954</v>
      </c>
      <c r="J32" s="16" t="s">
        <v>530</v>
      </c>
      <c r="K32" s="9" t="s">
        <v>1530</v>
      </c>
      <c r="L32" s="9"/>
      <c r="M32" s="152">
        <v>771400</v>
      </c>
      <c r="N32" s="153">
        <v>0</v>
      </c>
      <c r="O32" s="152">
        <v>0</v>
      </c>
      <c r="P32" s="154">
        <v>0</v>
      </c>
      <c r="Q32" s="152">
        <v>0</v>
      </c>
      <c r="R32" s="9">
        <v>771400</v>
      </c>
      <c r="S32" s="21" t="s">
        <v>1846</v>
      </c>
      <c r="T32" s="117">
        <v>0</v>
      </c>
      <c r="U32" s="117">
        <v>0</v>
      </c>
      <c r="V32" s="117">
        <v>2023</v>
      </c>
      <c r="W32" s="117">
        <v>6</v>
      </c>
      <c r="X32" s="117">
        <v>0</v>
      </c>
      <c r="Y32" s="117">
        <v>0</v>
      </c>
      <c r="Z32" s="21" t="b">
        <v>0</v>
      </c>
      <c r="AA32" s="162">
        <f>+$AD$5-Tabla2[[#This Row],[FECHA DE FACTURACIÓN]]</f>
        <v>489</v>
      </c>
      <c r="AB32" s="163" t="str">
        <f>+IF(Tabla2[[#This Row],[dias de credito]]&gt;=Tabla2[[#This Row],[PLAZO Días]],"venc", "No venc")</f>
        <v>venc</v>
      </c>
      <c r="AC32" s="163" t="str">
        <f>+IF(Tabla2[[#This Row],[FECHA DE PAGO]]&gt;0,"pagada","por pagar")</f>
        <v>pagada</v>
      </c>
      <c r="AD32" s="164" t="str">
        <f>+IF(AND(Tabla2[[#This Row],[venc]]="venc",Tabla2[[#This Row],[estado pago]]="por pagar"),"vencida","no")</f>
        <v>no</v>
      </c>
    </row>
    <row r="33" spans="1:30" ht="19.5" hidden="1" customHeight="1" x14ac:dyDescent="0.25">
      <c r="A33" s="8" t="s">
        <v>1852</v>
      </c>
      <c r="B33" s="8" t="b">
        <v>0</v>
      </c>
      <c r="C33" s="8">
        <v>30</v>
      </c>
      <c r="D33" s="151">
        <v>0</v>
      </c>
      <c r="E33" s="151"/>
      <c r="F33" s="24" t="s">
        <v>84</v>
      </c>
      <c r="G33" s="30">
        <v>44957</v>
      </c>
      <c r="H33" s="81" t="s">
        <v>525</v>
      </c>
      <c r="I33" s="30">
        <v>44957</v>
      </c>
      <c r="J33" s="16" t="s">
        <v>1531</v>
      </c>
      <c r="K33" s="9" t="s">
        <v>1530</v>
      </c>
      <c r="L33" s="9"/>
      <c r="M33" s="152">
        <v>0</v>
      </c>
      <c r="N33" s="153">
        <v>0</v>
      </c>
      <c r="O33" s="152">
        <v>0</v>
      </c>
      <c r="P33" s="154">
        <v>0</v>
      </c>
      <c r="Q33" s="152">
        <v>0</v>
      </c>
      <c r="R33" s="9">
        <v>0</v>
      </c>
      <c r="S33" s="21" t="s">
        <v>1846</v>
      </c>
      <c r="T33" s="117">
        <v>0</v>
      </c>
      <c r="U33" s="117">
        <v>0</v>
      </c>
      <c r="V33" s="117">
        <v>2023</v>
      </c>
      <c r="W33" s="117">
        <v>6</v>
      </c>
      <c r="X33" s="117">
        <v>0</v>
      </c>
      <c r="Y33" s="117">
        <v>0</v>
      </c>
      <c r="Z33" s="21" t="b">
        <v>0</v>
      </c>
      <c r="AA33" s="162">
        <f>+$AD$5-Tabla2[[#This Row],[FECHA DE FACTURACIÓN]]</f>
        <v>486</v>
      </c>
      <c r="AB33" s="163" t="str">
        <f>+IF(Tabla2[[#This Row],[dias de credito]]&gt;=Tabla2[[#This Row],[PLAZO Días]],"venc", "No venc")</f>
        <v>venc</v>
      </c>
      <c r="AC33" s="163" t="str">
        <f>+IF(Tabla2[[#This Row],[FECHA DE PAGO]]&gt;0,"pagada","por pagar")</f>
        <v>pagada</v>
      </c>
      <c r="AD33" s="164" t="str">
        <f>+IF(AND(Tabla2[[#This Row],[venc]]="venc",Tabla2[[#This Row],[estado pago]]="por pagar"),"vencida","no")</f>
        <v>no</v>
      </c>
    </row>
    <row r="34" spans="1:30" ht="19.5" hidden="1" customHeight="1" x14ac:dyDescent="0.25">
      <c r="A34" s="8" t="s">
        <v>1852</v>
      </c>
      <c r="B34" s="8" t="b">
        <v>0</v>
      </c>
      <c r="C34" s="8">
        <v>30</v>
      </c>
      <c r="D34" s="151">
        <v>0</v>
      </c>
      <c r="E34" s="151"/>
      <c r="F34" s="24" t="s">
        <v>84</v>
      </c>
      <c r="G34" s="30">
        <v>44957</v>
      </c>
      <c r="H34" s="81" t="s">
        <v>525</v>
      </c>
      <c r="I34" s="30">
        <v>44957</v>
      </c>
      <c r="J34" s="16" t="s">
        <v>502</v>
      </c>
      <c r="K34" s="9" t="s">
        <v>1530</v>
      </c>
      <c r="L34" s="9"/>
      <c r="M34" s="152">
        <v>56000</v>
      </c>
      <c r="N34" s="153">
        <v>0</v>
      </c>
      <c r="O34" s="152">
        <v>0</v>
      </c>
      <c r="P34" s="154">
        <v>0</v>
      </c>
      <c r="Q34" s="152">
        <v>0</v>
      </c>
      <c r="R34" s="9">
        <v>56000</v>
      </c>
      <c r="S34" s="21" t="s">
        <v>1846</v>
      </c>
      <c r="T34" s="117">
        <v>0</v>
      </c>
      <c r="U34" s="117">
        <v>0</v>
      </c>
      <c r="V34" s="117">
        <v>2023</v>
      </c>
      <c r="W34" s="117">
        <v>6</v>
      </c>
      <c r="X34" s="117">
        <v>0</v>
      </c>
      <c r="Y34" s="117">
        <v>0</v>
      </c>
      <c r="Z34" s="21" t="b">
        <v>0</v>
      </c>
      <c r="AA34" s="162">
        <f>+$AD$5-Tabla2[[#This Row],[FECHA DE FACTURACIÓN]]</f>
        <v>486</v>
      </c>
      <c r="AB34" s="163" t="str">
        <f>+IF(Tabla2[[#This Row],[dias de credito]]&gt;=Tabla2[[#This Row],[PLAZO Días]],"venc", "No venc")</f>
        <v>venc</v>
      </c>
      <c r="AC34" s="163" t="str">
        <f>+IF(Tabla2[[#This Row],[FECHA DE PAGO]]&gt;0,"pagada","por pagar")</f>
        <v>pagada</v>
      </c>
      <c r="AD34" s="164" t="str">
        <f>+IF(AND(Tabla2[[#This Row],[venc]]="venc",Tabla2[[#This Row],[estado pago]]="por pagar"),"vencida","no")</f>
        <v>no</v>
      </c>
    </row>
    <row r="35" spans="1:30" ht="19.5" hidden="1" customHeight="1" x14ac:dyDescent="0.25">
      <c r="A35" s="8" t="s">
        <v>1852</v>
      </c>
      <c r="B35" s="8" t="b">
        <v>0</v>
      </c>
      <c r="C35" s="8">
        <v>30</v>
      </c>
      <c r="D35" s="151">
        <v>0</v>
      </c>
      <c r="E35" s="151"/>
      <c r="F35" s="24" t="s">
        <v>84</v>
      </c>
      <c r="G35" s="30">
        <v>44957</v>
      </c>
      <c r="H35" s="81" t="s">
        <v>525</v>
      </c>
      <c r="I35" s="30">
        <v>44957</v>
      </c>
      <c r="J35" s="16" t="s">
        <v>503</v>
      </c>
      <c r="K35" s="9" t="s">
        <v>1530</v>
      </c>
      <c r="L35" s="9"/>
      <c r="M35" s="152">
        <v>115930</v>
      </c>
      <c r="N35" s="153">
        <v>0</v>
      </c>
      <c r="O35" s="152">
        <v>0</v>
      </c>
      <c r="P35" s="154">
        <v>0</v>
      </c>
      <c r="Q35" s="152">
        <v>0</v>
      </c>
      <c r="R35" s="9">
        <v>115930</v>
      </c>
      <c r="S35" s="21" t="s">
        <v>1846</v>
      </c>
      <c r="T35" s="117">
        <v>0</v>
      </c>
      <c r="U35" s="117">
        <v>0</v>
      </c>
      <c r="V35" s="117">
        <v>2023</v>
      </c>
      <c r="W35" s="117">
        <v>6</v>
      </c>
      <c r="X35" s="117">
        <v>0</v>
      </c>
      <c r="Y35" s="117">
        <v>0</v>
      </c>
      <c r="Z35" s="21" t="b">
        <v>0</v>
      </c>
      <c r="AA35" s="162">
        <f>+$AD$5-Tabla2[[#This Row],[FECHA DE FACTURACIÓN]]</f>
        <v>486</v>
      </c>
      <c r="AB35" s="163" t="str">
        <f>+IF(Tabla2[[#This Row],[dias de credito]]&gt;=Tabla2[[#This Row],[PLAZO Días]],"venc", "No venc")</f>
        <v>venc</v>
      </c>
      <c r="AC35" s="163" t="str">
        <f>+IF(Tabla2[[#This Row],[FECHA DE PAGO]]&gt;0,"pagada","por pagar")</f>
        <v>pagada</v>
      </c>
      <c r="AD35" s="164" t="str">
        <f>+IF(AND(Tabla2[[#This Row],[venc]]="venc",Tabla2[[#This Row],[estado pago]]="por pagar"),"vencida","no")</f>
        <v>no</v>
      </c>
    </row>
    <row r="36" spans="1:30" ht="19.5" hidden="1" customHeight="1" x14ac:dyDescent="0.25">
      <c r="A36" s="8" t="s">
        <v>1852</v>
      </c>
      <c r="B36" s="8" t="b">
        <v>0</v>
      </c>
      <c r="C36" s="8">
        <v>30</v>
      </c>
      <c r="D36" s="151">
        <v>0</v>
      </c>
      <c r="E36" s="151"/>
      <c r="F36" s="24" t="s">
        <v>84</v>
      </c>
      <c r="G36" s="30">
        <v>44957</v>
      </c>
      <c r="H36" s="81" t="s">
        <v>525</v>
      </c>
      <c r="I36" s="30">
        <v>44957</v>
      </c>
      <c r="J36" s="16" t="s">
        <v>478</v>
      </c>
      <c r="K36" s="9" t="s">
        <v>1530</v>
      </c>
      <c r="L36" s="9"/>
      <c r="M36" s="152">
        <v>177600</v>
      </c>
      <c r="N36" s="153">
        <v>0</v>
      </c>
      <c r="O36" s="152">
        <v>0</v>
      </c>
      <c r="P36" s="154">
        <v>0</v>
      </c>
      <c r="Q36" s="152">
        <v>0</v>
      </c>
      <c r="R36" s="9">
        <v>177600</v>
      </c>
      <c r="S36" s="21" t="s">
        <v>1846</v>
      </c>
      <c r="T36" s="117">
        <v>0</v>
      </c>
      <c r="U36" s="117">
        <v>0</v>
      </c>
      <c r="V36" s="117">
        <v>2023</v>
      </c>
      <c r="W36" s="117">
        <v>6</v>
      </c>
      <c r="X36" s="117">
        <v>0</v>
      </c>
      <c r="Y36" s="117">
        <v>0</v>
      </c>
      <c r="Z36" s="21" t="b">
        <v>0</v>
      </c>
      <c r="AA36" s="162">
        <f>+$AD$5-Tabla2[[#This Row],[FECHA DE FACTURACIÓN]]</f>
        <v>486</v>
      </c>
      <c r="AB36" s="163" t="str">
        <f>+IF(Tabla2[[#This Row],[dias de credito]]&gt;=Tabla2[[#This Row],[PLAZO Días]],"venc", "No venc")</f>
        <v>venc</v>
      </c>
      <c r="AC36" s="163" t="str">
        <f>+IF(Tabla2[[#This Row],[FECHA DE PAGO]]&gt;0,"pagada","por pagar")</f>
        <v>pagada</v>
      </c>
      <c r="AD36" s="164" t="str">
        <f>+IF(AND(Tabla2[[#This Row],[venc]]="venc",Tabla2[[#This Row],[estado pago]]="por pagar"),"vencida","no")</f>
        <v>no</v>
      </c>
    </row>
    <row r="37" spans="1:30" ht="19.5" hidden="1" customHeight="1" x14ac:dyDescent="0.25">
      <c r="A37" s="8" t="s">
        <v>1852</v>
      </c>
      <c r="B37" s="8" t="b">
        <v>0</v>
      </c>
      <c r="C37" s="8">
        <v>30</v>
      </c>
      <c r="D37" s="151">
        <v>0</v>
      </c>
      <c r="E37" s="151"/>
      <c r="F37" s="24" t="s">
        <v>84</v>
      </c>
      <c r="G37" s="30">
        <v>44957</v>
      </c>
      <c r="H37" s="81" t="s">
        <v>525</v>
      </c>
      <c r="I37" s="30">
        <v>44957</v>
      </c>
      <c r="J37" s="16" t="s">
        <v>476</v>
      </c>
      <c r="K37" s="9" t="s">
        <v>1530</v>
      </c>
      <c r="L37" s="9"/>
      <c r="M37" s="152">
        <v>586500</v>
      </c>
      <c r="N37" s="153">
        <v>0</v>
      </c>
      <c r="O37" s="152">
        <v>0</v>
      </c>
      <c r="P37" s="154">
        <v>0</v>
      </c>
      <c r="Q37" s="152">
        <v>0</v>
      </c>
      <c r="R37" s="9">
        <v>586500</v>
      </c>
      <c r="S37" s="21" t="s">
        <v>1846</v>
      </c>
      <c r="T37" s="117">
        <v>0</v>
      </c>
      <c r="U37" s="117">
        <v>0</v>
      </c>
      <c r="V37" s="117">
        <v>2023</v>
      </c>
      <c r="W37" s="117">
        <v>6</v>
      </c>
      <c r="X37" s="117">
        <v>0</v>
      </c>
      <c r="Y37" s="117">
        <v>0</v>
      </c>
      <c r="Z37" s="21" t="b">
        <v>0</v>
      </c>
      <c r="AA37" s="162">
        <f>+$AD$5-Tabla2[[#This Row],[FECHA DE FACTURACIÓN]]</f>
        <v>486</v>
      </c>
      <c r="AB37" s="163" t="str">
        <f>+IF(Tabla2[[#This Row],[dias de credito]]&gt;=Tabla2[[#This Row],[PLAZO Días]],"venc", "No venc")</f>
        <v>venc</v>
      </c>
      <c r="AC37" s="163" t="str">
        <f>+IF(Tabla2[[#This Row],[FECHA DE PAGO]]&gt;0,"pagada","por pagar")</f>
        <v>pagada</v>
      </c>
      <c r="AD37" s="164" t="str">
        <f>+IF(AND(Tabla2[[#This Row],[venc]]="venc",Tabla2[[#This Row],[estado pago]]="por pagar"),"vencida","no")</f>
        <v>no</v>
      </c>
    </row>
    <row r="38" spans="1:30" ht="19.5" hidden="1" customHeight="1" x14ac:dyDescent="0.25">
      <c r="A38" s="8" t="s">
        <v>1852</v>
      </c>
      <c r="B38" s="8" t="b">
        <v>0</v>
      </c>
      <c r="C38" s="8">
        <v>30</v>
      </c>
      <c r="D38" s="151">
        <v>0</v>
      </c>
      <c r="E38" s="151"/>
      <c r="F38" s="24" t="s">
        <v>84</v>
      </c>
      <c r="G38" s="30">
        <v>44957</v>
      </c>
      <c r="H38" s="81" t="s">
        <v>525</v>
      </c>
      <c r="I38" s="30">
        <v>44957</v>
      </c>
      <c r="J38" s="16" t="s">
        <v>477</v>
      </c>
      <c r="K38" s="9" t="s">
        <v>1530</v>
      </c>
      <c r="L38" s="9"/>
      <c r="M38" s="152">
        <v>1979300</v>
      </c>
      <c r="N38" s="153">
        <v>0</v>
      </c>
      <c r="O38" s="152">
        <v>0</v>
      </c>
      <c r="P38" s="154">
        <v>0</v>
      </c>
      <c r="Q38" s="152">
        <v>0</v>
      </c>
      <c r="R38" s="9">
        <v>1979300</v>
      </c>
      <c r="S38" s="21" t="s">
        <v>1846</v>
      </c>
      <c r="T38" s="117">
        <v>0</v>
      </c>
      <c r="U38" s="117">
        <v>0</v>
      </c>
      <c r="V38" s="117">
        <v>2023</v>
      </c>
      <c r="W38" s="117">
        <v>6</v>
      </c>
      <c r="X38" s="117">
        <v>0</v>
      </c>
      <c r="Y38" s="117">
        <v>0</v>
      </c>
      <c r="Z38" s="21" t="b">
        <v>0</v>
      </c>
      <c r="AA38" s="162">
        <f>+$AD$5-Tabla2[[#This Row],[FECHA DE FACTURACIÓN]]</f>
        <v>486</v>
      </c>
      <c r="AB38" s="163" t="str">
        <f>+IF(Tabla2[[#This Row],[dias de credito]]&gt;=Tabla2[[#This Row],[PLAZO Días]],"venc", "No venc")</f>
        <v>venc</v>
      </c>
      <c r="AC38" s="163" t="str">
        <f>+IF(Tabla2[[#This Row],[FECHA DE PAGO]]&gt;0,"pagada","por pagar")</f>
        <v>pagada</v>
      </c>
      <c r="AD38" s="164" t="str">
        <f>+IF(AND(Tabla2[[#This Row],[venc]]="venc",Tabla2[[#This Row],[estado pago]]="por pagar"),"vencida","no")</f>
        <v>no</v>
      </c>
    </row>
    <row r="39" spans="1:30" ht="19.5" hidden="1" customHeight="1" x14ac:dyDescent="0.25">
      <c r="A39" s="8" t="s">
        <v>1850</v>
      </c>
      <c r="B39" s="8" t="b">
        <v>0</v>
      </c>
      <c r="C39" s="8">
        <v>30</v>
      </c>
      <c r="D39" s="151">
        <v>0</v>
      </c>
      <c r="E39" s="151"/>
      <c r="F39" s="24" t="s">
        <v>86</v>
      </c>
      <c r="G39" s="30">
        <v>44958</v>
      </c>
      <c r="H39" s="81" t="s">
        <v>388</v>
      </c>
      <c r="I39" s="30">
        <v>44931</v>
      </c>
      <c r="J39" s="16" t="s">
        <v>516</v>
      </c>
      <c r="K39" s="9" t="s">
        <v>1530</v>
      </c>
      <c r="L39" s="9"/>
      <c r="M39" s="152">
        <v>398800</v>
      </c>
      <c r="N39" s="153">
        <v>75772</v>
      </c>
      <c r="O39" s="152">
        <v>0</v>
      </c>
      <c r="P39" s="154">
        <v>0</v>
      </c>
      <c r="Q39" s="152">
        <v>0</v>
      </c>
      <c r="R39" s="9">
        <v>474572</v>
      </c>
      <c r="S39" s="21" t="s">
        <v>1846</v>
      </c>
      <c r="T39" s="117">
        <v>0</v>
      </c>
      <c r="U39" s="117">
        <v>0</v>
      </c>
      <c r="V39" s="117">
        <v>2023</v>
      </c>
      <c r="W39" s="117">
        <v>6</v>
      </c>
      <c r="X39" s="117">
        <v>0</v>
      </c>
      <c r="Y39" s="117">
        <v>0</v>
      </c>
      <c r="Z39" s="21" t="b">
        <v>1</v>
      </c>
      <c r="AA39" s="162">
        <f>+$AD$5-Tabla2[[#This Row],[FECHA DE FACTURACIÓN]]</f>
        <v>512</v>
      </c>
      <c r="AB39" s="163" t="str">
        <f>+IF(Tabla2[[#This Row],[dias de credito]]&gt;=Tabla2[[#This Row],[PLAZO Días]],"venc", "No venc")</f>
        <v>venc</v>
      </c>
      <c r="AC39" s="163" t="str">
        <f>+IF(Tabla2[[#This Row],[FECHA DE PAGO]]&gt;0,"pagada","por pagar")</f>
        <v>pagada</v>
      </c>
      <c r="AD39" s="164" t="str">
        <f>+IF(AND(Tabla2[[#This Row],[venc]]="venc",Tabla2[[#This Row],[estado pago]]="por pagar"),"vencida","no")</f>
        <v>no</v>
      </c>
    </row>
    <row r="40" spans="1:30" ht="19.5" hidden="1" customHeight="1" x14ac:dyDescent="0.25">
      <c r="A40" s="8" t="s">
        <v>1850</v>
      </c>
      <c r="B40" s="8" t="b">
        <v>0</v>
      </c>
      <c r="C40" s="8">
        <v>30</v>
      </c>
      <c r="D40" s="151">
        <v>0</v>
      </c>
      <c r="E40" s="151"/>
      <c r="F40" s="24" t="s">
        <v>84</v>
      </c>
      <c r="G40" s="30">
        <v>44960</v>
      </c>
      <c r="H40" s="81" t="s">
        <v>481</v>
      </c>
      <c r="I40" s="30">
        <v>44959</v>
      </c>
      <c r="J40" s="16">
        <v>2785</v>
      </c>
      <c r="K40" s="9" t="s">
        <v>1530</v>
      </c>
      <c r="L40" s="9"/>
      <c r="M40" s="152">
        <v>1814000</v>
      </c>
      <c r="N40" s="153">
        <v>0</v>
      </c>
      <c r="O40" s="152">
        <v>0</v>
      </c>
      <c r="P40" s="154">
        <v>0</v>
      </c>
      <c r="Q40" s="152">
        <v>0</v>
      </c>
      <c r="R40" s="9">
        <v>1814000</v>
      </c>
      <c r="S40" s="21" t="s">
        <v>1846</v>
      </c>
      <c r="T40" s="117">
        <v>0</v>
      </c>
      <c r="U40" s="117">
        <v>0</v>
      </c>
      <c r="V40" s="117">
        <v>2023</v>
      </c>
      <c r="W40" s="117">
        <v>6</v>
      </c>
      <c r="X40" s="117">
        <v>0</v>
      </c>
      <c r="Y40" s="117">
        <v>0</v>
      </c>
      <c r="Z40" s="21" t="b">
        <v>0</v>
      </c>
      <c r="AA40" s="162">
        <f>+$AD$5-Tabla2[[#This Row],[FECHA DE FACTURACIÓN]]</f>
        <v>484</v>
      </c>
      <c r="AB40" s="163" t="str">
        <f>+IF(Tabla2[[#This Row],[dias de credito]]&gt;=Tabla2[[#This Row],[PLAZO Días]],"venc", "No venc")</f>
        <v>venc</v>
      </c>
      <c r="AC40" s="163" t="str">
        <f>+IF(Tabla2[[#This Row],[FECHA DE PAGO]]&gt;0,"pagada","por pagar")</f>
        <v>pagada</v>
      </c>
      <c r="AD40" s="164" t="str">
        <f>+IF(AND(Tabla2[[#This Row],[venc]]="venc",Tabla2[[#This Row],[estado pago]]="por pagar"),"vencida","no")</f>
        <v>no</v>
      </c>
    </row>
    <row r="41" spans="1:30" ht="19.5" hidden="1" customHeight="1" x14ac:dyDescent="0.25">
      <c r="A41" s="8" t="s">
        <v>1850</v>
      </c>
      <c r="B41" s="8" t="b">
        <v>0</v>
      </c>
      <c r="C41" s="8">
        <v>30</v>
      </c>
      <c r="D41" s="151">
        <v>0</v>
      </c>
      <c r="E41" s="151"/>
      <c r="F41" s="24" t="s">
        <v>84</v>
      </c>
      <c r="G41" s="30">
        <v>44964</v>
      </c>
      <c r="H41" s="81" t="s">
        <v>481</v>
      </c>
      <c r="I41" s="30">
        <v>44963</v>
      </c>
      <c r="J41" s="16">
        <v>2791</v>
      </c>
      <c r="K41" s="9" t="s">
        <v>1530</v>
      </c>
      <c r="L41" s="9"/>
      <c r="M41" s="152">
        <v>2470000</v>
      </c>
      <c r="N41" s="153">
        <v>0</v>
      </c>
      <c r="O41" s="152">
        <v>0</v>
      </c>
      <c r="P41" s="154">
        <v>0</v>
      </c>
      <c r="Q41" s="152">
        <v>0</v>
      </c>
      <c r="R41" s="9">
        <v>2470000</v>
      </c>
      <c r="S41" s="21" t="s">
        <v>1846</v>
      </c>
      <c r="T41" s="117">
        <v>0</v>
      </c>
      <c r="U41" s="117">
        <v>0</v>
      </c>
      <c r="V41" s="117">
        <v>2023</v>
      </c>
      <c r="W41" s="117">
        <v>6</v>
      </c>
      <c r="X41" s="117">
        <v>0</v>
      </c>
      <c r="Y41" s="117">
        <v>0</v>
      </c>
      <c r="Z41" s="21" t="b">
        <v>0</v>
      </c>
      <c r="AA41" s="162">
        <f>+$AD$5-Tabla2[[#This Row],[FECHA DE FACTURACIÓN]]</f>
        <v>480</v>
      </c>
      <c r="AB41" s="163" t="str">
        <f>+IF(Tabla2[[#This Row],[dias de credito]]&gt;=Tabla2[[#This Row],[PLAZO Días]],"venc", "No venc")</f>
        <v>venc</v>
      </c>
      <c r="AC41" s="163" t="str">
        <f>+IF(Tabla2[[#This Row],[FECHA DE PAGO]]&gt;0,"pagada","por pagar")</f>
        <v>pagada</v>
      </c>
      <c r="AD41" s="164" t="str">
        <f>+IF(AND(Tabla2[[#This Row],[venc]]="venc",Tabla2[[#This Row],[estado pago]]="por pagar"),"vencida","no")</f>
        <v>no</v>
      </c>
    </row>
    <row r="42" spans="1:30" ht="19.5" hidden="1" customHeight="1" x14ac:dyDescent="0.25">
      <c r="A42" s="8" t="s">
        <v>1850</v>
      </c>
      <c r="B42" s="8" t="s">
        <v>1851</v>
      </c>
      <c r="C42" s="8">
        <v>0</v>
      </c>
      <c r="D42" s="151">
        <v>0</v>
      </c>
      <c r="E42" s="151"/>
      <c r="F42" s="24" t="s">
        <v>112</v>
      </c>
      <c r="G42" s="30">
        <v>44966</v>
      </c>
      <c r="H42" s="81" t="s">
        <v>560</v>
      </c>
      <c r="I42" s="30">
        <v>44958</v>
      </c>
      <c r="J42" s="16">
        <v>1536</v>
      </c>
      <c r="K42" s="9" t="s">
        <v>1530</v>
      </c>
      <c r="L42" s="9"/>
      <c r="M42" s="152">
        <v>600000</v>
      </c>
      <c r="N42" s="153">
        <v>0</v>
      </c>
      <c r="O42" s="152">
        <v>0</v>
      </c>
      <c r="P42" s="154">
        <v>0</v>
      </c>
      <c r="Q42" s="152">
        <v>0</v>
      </c>
      <c r="R42" s="9">
        <v>600000</v>
      </c>
      <c r="S42" s="21" t="s">
        <v>1846</v>
      </c>
      <c r="T42" s="117">
        <v>0</v>
      </c>
      <c r="U42" s="117">
        <v>0</v>
      </c>
      <c r="V42" s="117">
        <v>2023</v>
      </c>
      <c r="W42" s="117">
        <v>6</v>
      </c>
      <c r="X42" s="117">
        <v>0</v>
      </c>
      <c r="Y42" s="117">
        <v>0</v>
      </c>
      <c r="Z42" s="21" t="b">
        <v>1</v>
      </c>
      <c r="AA42" s="162">
        <f>+$AD$5-Tabla2[[#This Row],[FECHA DE FACTURACIÓN]]</f>
        <v>485</v>
      </c>
      <c r="AB42" s="163" t="str">
        <f>+IF(Tabla2[[#This Row],[dias de credito]]&gt;=Tabla2[[#This Row],[PLAZO Días]],"venc", "No venc")</f>
        <v>venc</v>
      </c>
      <c r="AC42" s="163" t="str">
        <f>+IF(Tabla2[[#This Row],[FECHA DE PAGO]]&gt;0,"pagada","por pagar")</f>
        <v>pagada</v>
      </c>
      <c r="AD42" s="164" t="str">
        <f>+IF(AND(Tabla2[[#This Row],[venc]]="venc",Tabla2[[#This Row],[estado pago]]="por pagar"),"vencida","no")</f>
        <v>no</v>
      </c>
    </row>
    <row r="43" spans="1:30" ht="19.5" hidden="1" customHeight="1" x14ac:dyDescent="0.25">
      <c r="A43" s="8" t="s">
        <v>1850</v>
      </c>
      <c r="B43" s="8" t="b">
        <v>0</v>
      </c>
      <c r="C43" s="8">
        <v>30</v>
      </c>
      <c r="D43" s="151">
        <v>0</v>
      </c>
      <c r="E43" s="151"/>
      <c r="F43" s="24" t="s">
        <v>84</v>
      </c>
      <c r="G43" s="30">
        <v>44966</v>
      </c>
      <c r="H43" s="81" t="s">
        <v>481</v>
      </c>
      <c r="I43" s="30">
        <v>44965</v>
      </c>
      <c r="J43" s="16" t="s">
        <v>595</v>
      </c>
      <c r="K43" s="9" t="s">
        <v>1530</v>
      </c>
      <c r="L43" s="9"/>
      <c r="M43" s="152">
        <v>2710000</v>
      </c>
      <c r="N43" s="153">
        <v>0</v>
      </c>
      <c r="O43" s="152">
        <v>0</v>
      </c>
      <c r="P43" s="154">
        <v>0</v>
      </c>
      <c r="Q43" s="152">
        <v>0</v>
      </c>
      <c r="R43" s="9">
        <v>2710000</v>
      </c>
      <c r="S43" s="21" t="s">
        <v>1846</v>
      </c>
      <c r="T43" s="117">
        <v>0</v>
      </c>
      <c r="U43" s="117">
        <v>0</v>
      </c>
      <c r="V43" s="117">
        <v>2023</v>
      </c>
      <c r="W43" s="117">
        <v>6</v>
      </c>
      <c r="X43" s="117">
        <v>0</v>
      </c>
      <c r="Y43" s="117">
        <v>0</v>
      </c>
      <c r="Z43" s="21" t="b">
        <v>0</v>
      </c>
      <c r="AA43" s="162">
        <f>+$AD$5-Tabla2[[#This Row],[FECHA DE FACTURACIÓN]]</f>
        <v>478</v>
      </c>
      <c r="AB43" s="163" t="str">
        <f>+IF(Tabla2[[#This Row],[dias de credito]]&gt;=Tabla2[[#This Row],[PLAZO Días]],"venc", "No venc")</f>
        <v>venc</v>
      </c>
      <c r="AC43" s="163" t="str">
        <f>+IF(Tabla2[[#This Row],[FECHA DE PAGO]]&gt;0,"pagada","por pagar")</f>
        <v>pagada</v>
      </c>
      <c r="AD43" s="164" t="str">
        <f>+IF(AND(Tabla2[[#This Row],[venc]]="venc",Tabla2[[#This Row],[estado pago]]="por pagar"),"vencida","no")</f>
        <v>no</v>
      </c>
    </row>
    <row r="44" spans="1:30" ht="19.5" hidden="1" customHeight="1" x14ac:dyDescent="0.25">
      <c r="A44" s="8" t="s">
        <v>1852</v>
      </c>
      <c r="B44" s="8" t="b">
        <v>0</v>
      </c>
      <c r="C44" s="8">
        <v>30</v>
      </c>
      <c r="D44" s="151">
        <v>0</v>
      </c>
      <c r="E44" s="151"/>
      <c r="F44" s="24" t="s">
        <v>84</v>
      </c>
      <c r="G44" s="30">
        <v>44967</v>
      </c>
      <c r="H44" s="81" t="s">
        <v>525</v>
      </c>
      <c r="I44" s="30">
        <v>44967</v>
      </c>
      <c r="J44" s="16" t="s">
        <v>601</v>
      </c>
      <c r="K44" s="9" t="s">
        <v>1530</v>
      </c>
      <c r="L44" s="9"/>
      <c r="M44" s="152">
        <v>578000</v>
      </c>
      <c r="N44" s="153">
        <v>0</v>
      </c>
      <c r="O44" s="152">
        <v>0</v>
      </c>
      <c r="P44" s="154">
        <v>0</v>
      </c>
      <c r="Q44" s="152">
        <v>0</v>
      </c>
      <c r="R44" s="9">
        <v>578000</v>
      </c>
      <c r="S44" s="21" t="s">
        <v>1846</v>
      </c>
      <c r="T44" s="117">
        <v>0</v>
      </c>
      <c r="U44" s="117">
        <v>0</v>
      </c>
      <c r="V44" s="117">
        <v>2023</v>
      </c>
      <c r="W44" s="117">
        <v>6</v>
      </c>
      <c r="X44" s="117">
        <v>0</v>
      </c>
      <c r="Y44" s="117">
        <v>0</v>
      </c>
      <c r="Z44" s="21" t="b">
        <v>0</v>
      </c>
      <c r="AA44" s="162">
        <f>+$AD$5-Tabla2[[#This Row],[FECHA DE FACTURACIÓN]]</f>
        <v>476</v>
      </c>
      <c r="AB44" s="163" t="str">
        <f>+IF(Tabla2[[#This Row],[dias de credito]]&gt;=Tabla2[[#This Row],[PLAZO Días]],"venc", "No venc")</f>
        <v>venc</v>
      </c>
      <c r="AC44" s="163" t="str">
        <f>+IF(Tabla2[[#This Row],[FECHA DE PAGO]]&gt;0,"pagada","por pagar")</f>
        <v>pagada</v>
      </c>
      <c r="AD44" s="164" t="str">
        <f>+IF(AND(Tabla2[[#This Row],[venc]]="venc",Tabla2[[#This Row],[estado pago]]="por pagar"),"vencida","no")</f>
        <v>no</v>
      </c>
    </row>
    <row r="45" spans="1:30" ht="19.5" hidden="1" customHeight="1" x14ac:dyDescent="0.25">
      <c r="A45" s="8" t="s">
        <v>1850</v>
      </c>
      <c r="B45" s="8" t="s">
        <v>1851</v>
      </c>
      <c r="C45" s="8">
        <v>30</v>
      </c>
      <c r="D45" s="151">
        <v>0</v>
      </c>
      <c r="E45" s="151"/>
      <c r="F45" s="24">
        <v>0</v>
      </c>
      <c r="G45" s="30">
        <v>44969</v>
      </c>
      <c r="H45" s="81" t="s">
        <v>1805</v>
      </c>
      <c r="I45" s="30">
        <v>44938</v>
      </c>
      <c r="J45" s="16">
        <v>348</v>
      </c>
      <c r="K45" s="9" t="s">
        <v>1530</v>
      </c>
      <c r="L45" s="9"/>
      <c r="M45" s="152">
        <v>1044000</v>
      </c>
      <c r="N45" s="153">
        <v>0</v>
      </c>
      <c r="O45" s="152">
        <v>0</v>
      </c>
      <c r="P45" s="154">
        <v>0</v>
      </c>
      <c r="Q45" s="152">
        <v>0</v>
      </c>
      <c r="R45" s="9">
        <v>1044000</v>
      </c>
      <c r="S45" s="21" t="s">
        <v>1846</v>
      </c>
      <c r="T45" s="117">
        <v>0</v>
      </c>
      <c r="U45" s="117">
        <v>0</v>
      </c>
      <c r="V45" s="117">
        <v>2023</v>
      </c>
      <c r="W45" s="117">
        <v>6</v>
      </c>
      <c r="X45" s="117">
        <v>0</v>
      </c>
      <c r="Y45" s="117">
        <v>0</v>
      </c>
      <c r="Z45" s="21" t="b">
        <v>0</v>
      </c>
      <c r="AA45" s="162">
        <f>+$AD$5-Tabla2[[#This Row],[FECHA DE FACTURACIÓN]]</f>
        <v>505</v>
      </c>
      <c r="AB45" s="163" t="str">
        <f>+IF(Tabla2[[#This Row],[dias de credito]]&gt;=Tabla2[[#This Row],[PLAZO Días]],"venc", "No venc")</f>
        <v>venc</v>
      </c>
      <c r="AC45" s="163" t="str">
        <f>+IF(Tabla2[[#This Row],[FECHA DE PAGO]]&gt;0,"pagada","por pagar")</f>
        <v>pagada</v>
      </c>
      <c r="AD45" s="164" t="str">
        <f>+IF(AND(Tabla2[[#This Row],[venc]]="venc",Tabla2[[#This Row],[estado pago]]="por pagar"),"vencida","no")</f>
        <v>no</v>
      </c>
    </row>
    <row r="46" spans="1:30" ht="19.5" hidden="1" customHeight="1" x14ac:dyDescent="0.25">
      <c r="A46" s="8" t="s">
        <v>1852</v>
      </c>
      <c r="B46" s="8" t="b">
        <v>0</v>
      </c>
      <c r="C46" s="8">
        <v>30</v>
      </c>
      <c r="D46" s="151">
        <v>0</v>
      </c>
      <c r="E46" s="151"/>
      <c r="F46" s="24" t="s">
        <v>444</v>
      </c>
      <c r="G46" s="30">
        <v>44972</v>
      </c>
      <c r="H46" s="81" t="s">
        <v>428</v>
      </c>
      <c r="I46" s="30">
        <v>44972</v>
      </c>
      <c r="J46" s="16">
        <v>32185</v>
      </c>
      <c r="K46" s="9" t="s">
        <v>1530</v>
      </c>
      <c r="L46" s="9"/>
      <c r="M46" s="152">
        <v>1605723</v>
      </c>
      <c r="N46" s="153">
        <v>305087.37</v>
      </c>
      <c r="O46" s="152">
        <v>0</v>
      </c>
      <c r="P46" s="154">
        <v>2.5000000000000001E-2</v>
      </c>
      <c r="Q46" s="152">
        <v>40143.075000000004</v>
      </c>
      <c r="R46" s="9">
        <v>1870667.2950000002</v>
      </c>
      <c r="S46" s="21" t="s">
        <v>1846</v>
      </c>
      <c r="T46" s="117">
        <v>0</v>
      </c>
      <c r="U46" s="117" t="s">
        <v>347</v>
      </c>
      <c r="V46" s="117">
        <v>2023</v>
      </c>
      <c r="W46" s="117">
        <v>6</v>
      </c>
      <c r="X46" s="117">
        <v>1145000</v>
      </c>
      <c r="Y46" s="117">
        <v>2.5000000000000001E-2</v>
      </c>
      <c r="Z46" s="21" t="b">
        <v>1</v>
      </c>
      <c r="AA46" s="162">
        <f>+$AD$5-Tabla2[[#This Row],[FECHA DE FACTURACIÓN]]</f>
        <v>471</v>
      </c>
      <c r="AB46" s="163" t="str">
        <f>+IF(Tabla2[[#This Row],[dias de credito]]&gt;=Tabla2[[#This Row],[PLAZO Días]],"venc", "No venc")</f>
        <v>venc</v>
      </c>
      <c r="AC46" s="163" t="str">
        <f>+IF(Tabla2[[#This Row],[FECHA DE PAGO]]&gt;0,"pagada","por pagar")</f>
        <v>pagada</v>
      </c>
      <c r="AD46" s="164" t="str">
        <f>+IF(AND(Tabla2[[#This Row],[venc]]="venc",Tabla2[[#This Row],[estado pago]]="por pagar"),"vencida","no")</f>
        <v>no</v>
      </c>
    </row>
    <row r="47" spans="1:30" ht="19.5" hidden="1" customHeight="1" x14ac:dyDescent="0.25">
      <c r="A47" s="8" t="s">
        <v>1852</v>
      </c>
      <c r="B47" s="8" t="b">
        <v>0</v>
      </c>
      <c r="C47" s="8">
        <v>30</v>
      </c>
      <c r="D47" s="151">
        <v>5813868.5099999998</v>
      </c>
      <c r="E47" s="151"/>
      <c r="F47" s="24" t="s">
        <v>455</v>
      </c>
      <c r="G47" s="30">
        <v>44972</v>
      </c>
      <c r="H47" s="81" t="s">
        <v>24</v>
      </c>
      <c r="I47" s="30">
        <v>44972</v>
      </c>
      <c r="J47" s="16" t="s">
        <v>581</v>
      </c>
      <c r="K47" s="9" t="s">
        <v>504</v>
      </c>
      <c r="L47" s="9"/>
      <c r="M47" s="152">
        <v>2122650</v>
      </c>
      <c r="N47" s="153">
        <v>403303.5</v>
      </c>
      <c r="O47" s="152">
        <v>0</v>
      </c>
      <c r="P47" s="154">
        <v>2.5000000000000001E-2</v>
      </c>
      <c r="Q47" s="152">
        <v>53066.25</v>
      </c>
      <c r="R47" s="9">
        <v>2472887.25</v>
      </c>
      <c r="S47" s="21" t="s">
        <v>1846</v>
      </c>
      <c r="T47" s="117">
        <v>0</v>
      </c>
      <c r="U47" s="117" t="s">
        <v>347</v>
      </c>
      <c r="V47" s="117">
        <v>2023</v>
      </c>
      <c r="W47" s="117">
        <v>6</v>
      </c>
      <c r="X47" s="117">
        <v>1145000</v>
      </c>
      <c r="Y47" s="117">
        <v>2.5000000000000001E-2</v>
      </c>
      <c r="Z47" s="21" t="b">
        <v>0</v>
      </c>
      <c r="AA47" s="162">
        <f>+$AD$5-Tabla2[[#This Row],[FECHA DE FACTURACIÓN]]</f>
        <v>471</v>
      </c>
      <c r="AB47" s="163" t="str">
        <f>+IF(Tabla2[[#This Row],[dias de credito]]&gt;=Tabla2[[#This Row],[PLAZO Días]],"venc", "No venc")</f>
        <v>venc</v>
      </c>
      <c r="AC47" s="163" t="str">
        <f>+IF(Tabla2[[#This Row],[FECHA DE PAGO]]&gt;0,"pagada","por pagar")</f>
        <v>pagada</v>
      </c>
      <c r="AD47" s="164" t="str">
        <f>+IF(AND(Tabla2[[#This Row],[venc]]="venc",Tabla2[[#This Row],[estado pago]]="por pagar"),"vencida","no")</f>
        <v>no</v>
      </c>
    </row>
    <row r="48" spans="1:30" ht="19.5" hidden="1" customHeight="1" x14ac:dyDescent="0.25">
      <c r="A48" s="8" t="s">
        <v>1852</v>
      </c>
      <c r="B48" s="8" t="b">
        <v>0</v>
      </c>
      <c r="C48" s="8">
        <v>30</v>
      </c>
      <c r="D48" s="151">
        <v>0</v>
      </c>
      <c r="E48" s="151"/>
      <c r="F48" s="24">
        <v>0</v>
      </c>
      <c r="G48" s="30">
        <v>44973</v>
      </c>
      <c r="H48" s="81" t="s">
        <v>496</v>
      </c>
      <c r="I48" s="30">
        <v>44973</v>
      </c>
      <c r="J48" s="16">
        <v>1378</v>
      </c>
      <c r="K48" s="9" t="s">
        <v>1530</v>
      </c>
      <c r="L48" s="9"/>
      <c r="M48" s="152">
        <v>361345</v>
      </c>
      <c r="N48" s="153">
        <v>68655.55</v>
      </c>
      <c r="O48" s="152">
        <v>0</v>
      </c>
      <c r="P48" s="154">
        <v>0</v>
      </c>
      <c r="Q48" s="152">
        <v>0</v>
      </c>
      <c r="R48" s="9">
        <v>430000.55</v>
      </c>
      <c r="S48" s="21" t="s">
        <v>1846</v>
      </c>
      <c r="T48" s="117">
        <v>0</v>
      </c>
      <c r="U48" s="117">
        <v>0</v>
      </c>
      <c r="V48" s="117">
        <v>2023</v>
      </c>
      <c r="W48" s="117">
        <v>6</v>
      </c>
      <c r="X48" s="117">
        <v>0</v>
      </c>
      <c r="Y48" s="117">
        <v>0</v>
      </c>
      <c r="Z48" s="21" t="b">
        <v>0</v>
      </c>
      <c r="AA48" s="162">
        <f>+$AD$5-Tabla2[[#This Row],[FECHA DE FACTURACIÓN]]</f>
        <v>470</v>
      </c>
      <c r="AB48" s="163" t="str">
        <f>+IF(Tabla2[[#This Row],[dias de credito]]&gt;=Tabla2[[#This Row],[PLAZO Días]],"venc", "No venc")</f>
        <v>venc</v>
      </c>
      <c r="AC48" s="163" t="str">
        <f>+IF(Tabla2[[#This Row],[FECHA DE PAGO]]&gt;0,"pagada","por pagar")</f>
        <v>pagada</v>
      </c>
      <c r="AD48" s="164" t="str">
        <f>+IF(AND(Tabla2[[#This Row],[venc]]="venc",Tabla2[[#This Row],[estado pago]]="por pagar"),"vencida","no")</f>
        <v>no</v>
      </c>
    </row>
    <row r="49" spans="1:30" ht="19.5" hidden="1" customHeight="1" x14ac:dyDescent="0.25">
      <c r="A49" s="8" t="s">
        <v>1850</v>
      </c>
      <c r="B49" s="8" t="b">
        <v>0</v>
      </c>
      <c r="C49" s="8">
        <v>30</v>
      </c>
      <c r="D49" s="151">
        <v>0</v>
      </c>
      <c r="E49" s="151"/>
      <c r="F49" s="24" t="s">
        <v>84</v>
      </c>
      <c r="G49" s="30">
        <v>44974</v>
      </c>
      <c r="H49" s="81" t="s">
        <v>481</v>
      </c>
      <c r="I49" s="30">
        <v>44972</v>
      </c>
      <c r="J49" s="16" t="s">
        <v>627</v>
      </c>
      <c r="K49" s="9" t="s">
        <v>1530</v>
      </c>
      <c r="L49" s="9"/>
      <c r="M49" s="152">
        <v>4760000</v>
      </c>
      <c r="N49" s="153">
        <v>0</v>
      </c>
      <c r="O49" s="152">
        <v>0</v>
      </c>
      <c r="P49" s="154">
        <v>0</v>
      </c>
      <c r="Q49" s="152">
        <v>0</v>
      </c>
      <c r="R49" s="9">
        <v>4760000</v>
      </c>
      <c r="S49" s="21" t="s">
        <v>1846</v>
      </c>
      <c r="T49" s="117">
        <v>0</v>
      </c>
      <c r="U49" s="117">
        <v>0</v>
      </c>
      <c r="V49" s="117">
        <v>2023</v>
      </c>
      <c r="W49" s="117">
        <v>6</v>
      </c>
      <c r="X49" s="117">
        <v>0</v>
      </c>
      <c r="Y49" s="117">
        <v>0</v>
      </c>
      <c r="Z49" s="21" t="b">
        <v>0</v>
      </c>
      <c r="AA49" s="162">
        <f>+$AD$5-Tabla2[[#This Row],[FECHA DE FACTURACIÓN]]</f>
        <v>471</v>
      </c>
      <c r="AB49" s="163" t="str">
        <f>+IF(Tabla2[[#This Row],[dias de credito]]&gt;=Tabla2[[#This Row],[PLAZO Días]],"venc", "No venc")</f>
        <v>venc</v>
      </c>
      <c r="AC49" s="163" t="str">
        <f>+IF(Tabla2[[#This Row],[FECHA DE PAGO]]&gt;0,"pagada","por pagar")</f>
        <v>pagada</v>
      </c>
      <c r="AD49" s="164" t="str">
        <f>+IF(AND(Tabla2[[#This Row],[venc]]="venc",Tabla2[[#This Row],[estado pago]]="por pagar"),"vencida","no")</f>
        <v>no</v>
      </c>
    </row>
    <row r="50" spans="1:30" ht="19.5" hidden="1" customHeight="1" x14ac:dyDescent="0.25">
      <c r="A50" s="8" t="s">
        <v>1850</v>
      </c>
      <c r="B50" s="8" t="s">
        <v>1851</v>
      </c>
      <c r="C50" s="8">
        <v>30</v>
      </c>
      <c r="D50" s="151">
        <v>2095000</v>
      </c>
      <c r="E50" s="151"/>
      <c r="F50" s="24" t="s">
        <v>204</v>
      </c>
      <c r="G50" s="30">
        <v>44977</v>
      </c>
      <c r="H50" s="81" t="s">
        <v>1804</v>
      </c>
      <c r="I50" s="30">
        <v>44932</v>
      </c>
      <c r="J50" s="16" t="s">
        <v>533</v>
      </c>
      <c r="K50" s="9" t="s">
        <v>1530</v>
      </c>
      <c r="L50" s="9"/>
      <c r="M50" s="152">
        <v>2300000</v>
      </c>
      <c r="N50" s="153">
        <v>0</v>
      </c>
      <c r="O50" s="152">
        <v>0</v>
      </c>
      <c r="P50" s="154">
        <v>0</v>
      </c>
      <c r="Q50" s="152">
        <v>0</v>
      </c>
      <c r="R50" s="9">
        <v>2300000</v>
      </c>
      <c r="S50" s="21" t="s">
        <v>1846</v>
      </c>
      <c r="T50" s="117">
        <v>0</v>
      </c>
      <c r="U50" s="117">
        <v>0</v>
      </c>
      <c r="V50" s="117">
        <v>2023</v>
      </c>
      <c r="W50" s="117">
        <v>6</v>
      </c>
      <c r="X50" s="117">
        <v>0</v>
      </c>
      <c r="Y50" s="117">
        <v>0</v>
      </c>
      <c r="Z50" s="21" t="b">
        <v>0</v>
      </c>
      <c r="AA50" s="162">
        <f>+$AD$5-Tabla2[[#This Row],[FECHA DE FACTURACIÓN]]</f>
        <v>511</v>
      </c>
      <c r="AB50" s="163" t="str">
        <f>+IF(Tabla2[[#This Row],[dias de credito]]&gt;=Tabla2[[#This Row],[PLAZO Días]],"venc", "No venc")</f>
        <v>venc</v>
      </c>
      <c r="AC50" s="163" t="str">
        <f>+IF(Tabla2[[#This Row],[FECHA DE PAGO]]&gt;0,"pagada","por pagar")</f>
        <v>pagada</v>
      </c>
      <c r="AD50" s="164" t="str">
        <f>+IF(AND(Tabla2[[#This Row],[venc]]="venc",Tabla2[[#This Row],[estado pago]]="por pagar"),"vencida","no")</f>
        <v>no</v>
      </c>
    </row>
    <row r="51" spans="1:30" ht="19.5" hidden="1" customHeight="1" x14ac:dyDescent="0.25">
      <c r="A51" s="8" t="s">
        <v>1850</v>
      </c>
      <c r="B51" s="8" t="b">
        <v>0</v>
      </c>
      <c r="C51" s="8">
        <v>30</v>
      </c>
      <c r="D51" s="151">
        <v>352000</v>
      </c>
      <c r="E51" s="151"/>
      <c r="F51" s="24" t="s">
        <v>84</v>
      </c>
      <c r="G51" s="30">
        <v>44977</v>
      </c>
      <c r="H51" s="81" t="s">
        <v>527</v>
      </c>
      <c r="I51" s="30">
        <v>44958</v>
      </c>
      <c r="J51" s="16">
        <v>32</v>
      </c>
      <c r="K51" s="9" t="s">
        <v>1530</v>
      </c>
      <c r="L51" s="9"/>
      <c r="M51" s="152">
        <v>70000</v>
      </c>
      <c r="N51" s="153">
        <v>0</v>
      </c>
      <c r="O51" s="152">
        <v>0</v>
      </c>
      <c r="P51" s="154">
        <v>0</v>
      </c>
      <c r="Q51" s="152">
        <v>0</v>
      </c>
      <c r="R51" s="9">
        <v>70000</v>
      </c>
      <c r="S51" s="21" t="s">
        <v>1846</v>
      </c>
      <c r="T51" s="117">
        <v>0</v>
      </c>
      <c r="U51" s="117">
        <v>0</v>
      </c>
      <c r="V51" s="117">
        <v>2023</v>
      </c>
      <c r="W51" s="117">
        <v>6</v>
      </c>
      <c r="X51" s="117">
        <v>0</v>
      </c>
      <c r="Y51" s="117">
        <v>0</v>
      </c>
      <c r="Z51" s="21" t="b">
        <v>0</v>
      </c>
      <c r="AA51" s="162">
        <f>+$AD$5-Tabla2[[#This Row],[FECHA DE FACTURACIÓN]]</f>
        <v>485</v>
      </c>
      <c r="AB51" s="163" t="str">
        <f>+IF(Tabla2[[#This Row],[dias de credito]]&gt;=Tabla2[[#This Row],[PLAZO Días]],"venc", "No venc")</f>
        <v>venc</v>
      </c>
      <c r="AC51" s="163" t="str">
        <f>+IF(Tabla2[[#This Row],[FECHA DE PAGO]]&gt;0,"pagada","por pagar")</f>
        <v>pagada</v>
      </c>
      <c r="AD51" s="164" t="str">
        <f>+IF(AND(Tabla2[[#This Row],[venc]]="venc",Tabla2[[#This Row],[estado pago]]="por pagar"),"vencida","no")</f>
        <v>no</v>
      </c>
    </row>
    <row r="52" spans="1:30" ht="19.5" hidden="1" customHeight="1" x14ac:dyDescent="0.25">
      <c r="A52" s="8" t="s">
        <v>1850</v>
      </c>
      <c r="B52" s="8" t="b">
        <v>0</v>
      </c>
      <c r="C52" s="8">
        <v>30</v>
      </c>
      <c r="D52" s="151">
        <v>352000</v>
      </c>
      <c r="E52" s="151"/>
      <c r="F52" s="24" t="s">
        <v>84</v>
      </c>
      <c r="G52" s="30">
        <v>44977</v>
      </c>
      <c r="H52" s="81" t="s">
        <v>527</v>
      </c>
      <c r="I52" s="30">
        <v>44958</v>
      </c>
      <c r="J52" s="16">
        <v>31</v>
      </c>
      <c r="K52" s="9" t="s">
        <v>1530</v>
      </c>
      <c r="L52" s="9"/>
      <c r="M52" s="152">
        <v>251000</v>
      </c>
      <c r="N52" s="153">
        <v>0</v>
      </c>
      <c r="O52" s="152">
        <v>0</v>
      </c>
      <c r="P52" s="154">
        <v>0</v>
      </c>
      <c r="Q52" s="152">
        <v>0</v>
      </c>
      <c r="R52" s="9">
        <v>251000</v>
      </c>
      <c r="S52" s="21" t="s">
        <v>1846</v>
      </c>
      <c r="T52" s="117">
        <v>0</v>
      </c>
      <c r="U52" s="117">
        <v>0</v>
      </c>
      <c r="V52" s="117">
        <v>2023</v>
      </c>
      <c r="W52" s="117">
        <v>6</v>
      </c>
      <c r="X52" s="117">
        <v>0</v>
      </c>
      <c r="Y52" s="117">
        <v>0</v>
      </c>
      <c r="Z52" s="21" t="b">
        <v>0</v>
      </c>
      <c r="AA52" s="162">
        <f>+$AD$5-Tabla2[[#This Row],[FECHA DE FACTURACIÓN]]</f>
        <v>485</v>
      </c>
      <c r="AB52" s="163" t="str">
        <f>+IF(Tabla2[[#This Row],[dias de credito]]&gt;=Tabla2[[#This Row],[PLAZO Días]],"venc", "No venc")</f>
        <v>venc</v>
      </c>
      <c r="AC52" s="163" t="str">
        <f>+IF(Tabla2[[#This Row],[FECHA DE PAGO]]&gt;0,"pagada","por pagar")</f>
        <v>pagada</v>
      </c>
      <c r="AD52" s="164" t="str">
        <f>+IF(AND(Tabla2[[#This Row],[venc]]="venc",Tabla2[[#This Row],[estado pago]]="por pagar"),"vencida","no")</f>
        <v>no</v>
      </c>
    </row>
    <row r="53" spans="1:30" ht="19.5" hidden="1" customHeight="1" x14ac:dyDescent="0.25">
      <c r="A53" s="8" t="s">
        <v>1850</v>
      </c>
      <c r="B53" s="8" t="b">
        <v>0</v>
      </c>
      <c r="C53" s="8">
        <v>30</v>
      </c>
      <c r="D53" s="151">
        <v>352000</v>
      </c>
      <c r="E53" s="151"/>
      <c r="F53" s="24" t="s">
        <v>84</v>
      </c>
      <c r="G53" s="30">
        <v>44977</v>
      </c>
      <c r="H53" s="81" t="s">
        <v>527</v>
      </c>
      <c r="I53" s="30">
        <v>44958</v>
      </c>
      <c r="J53" s="16">
        <v>33</v>
      </c>
      <c r="K53" s="9" t="s">
        <v>1530</v>
      </c>
      <c r="L53" s="9"/>
      <c r="M53" s="152">
        <v>339400</v>
      </c>
      <c r="N53" s="153">
        <v>0</v>
      </c>
      <c r="O53" s="152">
        <v>0</v>
      </c>
      <c r="P53" s="154">
        <v>0</v>
      </c>
      <c r="Q53" s="152">
        <v>0</v>
      </c>
      <c r="R53" s="9">
        <v>339400</v>
      </c>
      <c r="S53" s="21" t="s">
        <v>1846</v>
      </c>
      <c r="T53" s="117">
        <v>0</v>
      </c>
      <c r="U53" s="117">
        <v>0</v>
      </c>
      <c r="V53" s="117">
        <v>2023</v>
      </c>
      <c r="W53" s="117">
        <v>6</v>
      </c>
      <c r="X53" s="117">
        <v>0</v>
      </c>
      <c r="Y53" s="117">
        <v>0</v>
      </c>
      <c r="Z53" s="21" t="b">
        <v>0</v>
      </c>
      <c r="AA53" s="162">
        <f>+$AD$5-Tabla2[[#This Row],[FECHA DE FACTURACIÓN]]</f>
        <v>485</v>
      </c>
      <c r="AB53" s="163" t="str">
        <f>+IF(Tabla2[[#This Row],[dias de credito]]&gt;=Tabla2[[#This Row],[PLAZO Días]],"venc", "No venc")</f>
        <v>venc</v>
      </c>
      <c r="AC53" s="163" t="str">
        <f>+IF(Tabla2[[#This Row],[FECHA DE PAGO]]&gt;0,"pagada","por pagar")</f>
        <v>pagada</v>
      </c>
      <c r="AD53" s="164" t="str">
        <f>+IF(AND(Tabla2[[#This Row],[venc]]="venc",Tabla2[[#This Row],[estado pago]]="por pagar"),"vencida","no")</f>
        <v>no</v>
      </c>
    </row>
    <row r="54" spans="1:30" ht="19.5" hidden="1" customHeight="1" x14ac:dyDescent="0.25">
      <c r="A54" s="8" t="s">
        <v>1850</v>
      </c>
      <c r="B54" s="8" t="b">
        <v>0</v>
      </c>
      <c r="C54" s="8">
        <v>30</v>
      </c>
      <c r="D54" s="151">
        <v>0</v>
      </c>
      <c r="E54" s="151"/>
      <c r="F54" s="24" t="s">
        <v>253</v>
      </c>
      <c r="G54" s="30">
        <v>44977</v>
      </c>
      <c r="H54" s="81" t="s">
        <v>368</v>
      </c>
      <c r="I54" s="30">
        <v>44958</v>
      </c>
      <c r="J54" s="16" t="s">
        <v>578</v>
      </c>
      <c r="K54" s="9" t="s">
        <v>1530</v>
      </c>
      <c r="L54" s="9"/>
      <c r="M54" s="152">
        <v>527</v>
      </c>
      <c r="N54" s="153">
        <v>100.13</v>
      </c>
      <c r="O54" s="152">
        <v>0</v>
      </c>
      <c r="P54" s="154">
        <v>0</v>
      </c>
      <c r="Q54" s="152">
        <v>0</v>
      </c>
      <c r="R54" s="9">
        <v>627.13</v>
      </c>
      <c r="S54" s="21" t="s">
        <v>1846</v>
      </c>
      <c r="T54" s="117">
        <v>0</v>
      </c>
      <c r="U54" s="117">
        <v>0</v>
      </c>
      <c r="V54" s="117">
        <v>2023</v>
      </c>
      <c r="W54" s="117">
        <v>6</v>
      </c>
      <c r="X54" s="117">
        <v>0</v>
      </c>
      <c r="Y54" s="117">
        <v>0</v>
      </c>
      <c r="Z54" s="21" t="b">
        <v>1</v>
      </c>
      <c r="AA54" s="162">
        <f>+$AD$5-Tabla2[[#This Row],[FECHA DE FACTURACIÓN]]</f>
        <v>485</v>
      </c>
      <c r="AB54" s="163" t="str">
        <f>+IF(Tabla2[[#This Row],[dias de credito]]&gt;=Tabla2[[#This Row],[PLAZO Días]],"venc", "No venc")</f>
        <v>venc</v>
      </c>
      <c r="AC54" s="163" t="str">
        <f>+IF(Tabla2[[#This Row],[FECHA DE PAGO]]&gt;0,"pagada","por pagar")</f>
        <v>pagada</v>
      </c>
      <c r="AD54" s="164" t="str">
        <f>+IF(AND(Tabla2[[#This Row],[venc]]="venc",Tabla2[[#This Row],[estado pago]]="por pagar"),"vencida","no")</f>
        <v>no</v>
      </c>
    </row>
    <row r="55" spans="1:30" ht="19.5" hidden="1" customHeight="1" x14ac:dyDescent="0.25">
      <c r="A55" s="8" t="s">
        <v>1850</v>
      </c>
      <c r="B55" s="8" t="b">
        <v>0</v>
      </c>
      <c r="C55" s="8">
        <v>30</v>
      </c>
      <c r="D55" s="151">
        <v>0</v>
      </c>
      <c r="E55" s="151"/>
      <c r="F55" s="24" t="s">
        <v>253</v>
      </c>
      <c r="G55" s="30">
        <v>44977</v>
      </c>
      <c r="H55" s="81" t="s">
        <v>368</v>
      </c>
      <c r="I55" s="30">
        <v>44958</v>
      </c>
      <c r="J55" s="16" t="s">
        <v>577</v>
      </c>
      <c r="K55" s="9" t="s">
        <v>1530</v>
      </c>
      <c r="L55" s="9"/>
      <c r="M55" s="152">
        <v>2196</v>
      </c>
      <c r="N55" s="153">
        <v>417.24</v>
      </c>
      <c r="O55" s="152">
        <v>0</v>
      </c>
      <c r="P55" s="154">
        <v>0</v>
      </c>
      <c r="Q55" s="152">
        <v>0</v>
      </c>
      <c r="R55" s="9">
        <v>2613.2399999999998</v>
      </c>
      <c r="S55" s="21" t="s">
        <v>1846</v>
      </c>
      <c r="T55" s="117">
        <v>0</v>
      </c>
      <c r="U55" s="117">
        <v>0</v>
      </c>
      <c r="V55" s="117">
        <v>2023</v>
      </c>
      <c r="W55" s="117">
        <v>6</v>
      </c>
      <c r="X55" s="117">
        <v>0</v>
      </c>
      <c r="Y55" s="117">
        <v>0</v>
      </c>
      <c r="Z55" s="21" t="b">
        <v>1</v>
      </c>
      <c r="AA55" s="162">
        <f>+$AD$5-Tabla2[[#This Row],[FECHA DE FACTURACIÓN]]</f>
        <v>485</v>
      </c>
      <c r="AB55" s="163" t="str">
        <f>+IF(Tabla2[[#This Row],[dias de credito]]&gt;=Tabla2[[#This Row],[PLAZO Días]],"venc", "No venc")</f>
        <v>venc</v>
      </c>
      <c r="AC55" s="163" t="str">
        <f>+IF(Tabla2[[#This Row],[FECHA DE PAGO]]&gt;0,"pagada","por pagar")</f>
        <v>pagada</v>
      </c>
      <c r="AD55" s="164" t="str">
        <f>+IF(AND(Tabla2[[#This Row],[venc]]="venc",Tabla2[[#This Row],[estado pago]]="por pagar"),"vencida","no")</f>
        <v>no</v>
      </c>
    </row>
    <row r="56" spans="1:30" ht="19.5" hidden="1" customHeight="1" x14ac:dyDescent="0.25">
      <c r="A56" s="8" t="s">
        <v>1850</v>
      </c>
      <c r="B56" s="8" t="b">
        <v>0</v>
      </c>
      <c r="C56" s="8">
        <v>30</v>
      </c>
      <c r="D56" s="151">
        <v>0</v>
      </c>
      <c r="E56" s="151"/>
      <c r="F56" s="24" t="s">
        <v>253</v>
      </c>
      <c r="G56" s="30">
        <v>44977</v>
      </c>
      <c r="H56" s="81" t="s">
        <v>368</v>
      </c>
      <c r="I56" s="30">
        <v>44958</v>
      </c>
      <c r="J56" s="16" t="s">
        <v>579</v>
      </c>
      <c r="K56" s="9" t="s">
        <v>1530</v>
      </c>
      <c r="L56" s="9"/>
      <c r="M56" s="152">
        <v>37336</v>
      </c>
      <c r="N56" s="153">
        <v>7093.84</v>
      </c>
      <c r="O56" s="152">
        <v>0</v>
      </c>
      <c r="P56" s="154">
        <v>0</v>
      </c>
      <c r="Q56" s="152">
        <v>0</v>
      </c>
      <c r="R56" s="9">
        <v>44429.84</v>
      </c>
      <c r="S56" s="21" t="s">
        <v>1846</v>
      </c>
      <c r="T56" s="117">
        <v>0</v>
      </c>
      <c r="U56" s="117">
        <v>0</v>
      </c>
      <c r="V56" s="117">
        <v>2023</v>
      </c>
      <c r="W56" s="117">
        <v>6</v>
      </c>
      <c r="X56" s="117">
        <v>0</v>
      </c>
      <c r="Y56" s="117">
        <v>0</v>
      </c>
      <c r="Z56" s="21" t="b">
        <v>1</v>
      </c>
      <c r="AA56" s="162">
        <f>+$AD$5-Tabla2[[#This Row],[FECHA DE FACTURACIÓN]]</f>
        <v>485</v>
      </c>
      <c r="AB56" s="163" t="str">
        <f>+IF(Tabla2[[#This Row],[dias de credito]]&gt;=Tabla2[[#This Row],[PLAZO Días]],"venc", "No venc")</f>
        <v>venc</v>
      </c>
      <c r="AC56" s="163" t="str">
        <f>+IF(Tabla2[[#This Row],[FECHA DE PAGO]]&gt;0,"pagada","por pagar")</f>
        <v>pagada</v>
      </c>
      <c r="AD56" s="164" t="str">
        <f>+IF(AND(Tabla2[[#This Row],[venc]]="venc",Tabla2[[#This Row],[estado pago]]="por pagar"),"vencida","no")</f>
        <v>no</v>
      </c>
    </row>
    <row r="57" spans="1:30" ht="19.5" hidden="1" customHeight="1" x14ac:dyDescent="0.25">
      <c r="A57" s="8" t="s">
        <v>1850</v>
      </c>
      <c r="B57" s="8" t="b">
        <v>0</v>
      </c>
      <c r="C57" s="8">
        <v>30</v>
      </c>
      <c r="D57" s="151">
        <v>0</v>
      </c>
      <c r="E57" s="151"/>
      <c r="F57" s="24" t="s">
        <v>253</v>
      </c>
      <c r="G57" s="30">
        <v>44977</v>
      </c>
      <c r="H57" s="81" t="s">
        <v>368</v>
      </c>
      <c r="I57" s="30">
        <v>44958</v>
      </c>
      <c r="J57" s="16" t="s">
        <v>576</v>
      </c>
      <c r="K57" s="9" t="s">
        <v>1530</v>
      </c>
      <c r="L57" s="9"/>
      <c r="M57" s="152">
        <v>895662</v>
      </c>
      <c r="N57" s="153">
        <v>170175.78</v>
      </c>
      <c r="O57" s="152">
        <v>0</v>
      </c>
      <c r="P57" s="154">
        <v>0</v>
      </c>
      <c r="Q57" s="152">
        <v>0</v>
      </c>
      <c r="R57" s="9">
        <v>1065837.78</v>
      </c>
      <c r="S57" s="21" t="s">
        <v>1846</v>
      </c>
      <c r="T57" s="117">
        <v>0</v>
      </c>
      <c r="U57" s="117">
        <v>0</v>
      </c>
      <c r="V57" s="117">
        <v>2023</v>
      </c>
      <c r="W57" s="117">
        <v>6</v>
      </c>
      <c r="X57" s="117">
        <v>0</v>
      </c>
      <c r="Y57" s="117">
        <v>0</v>
      </c>
      <c r="Z57" s="21" t="b">
        <v>1</v>
      </c>
      <c r="AA57" s="162">
        <f>+$AD$5-Tabla2[[#This Row],[FECHA DE FACTURACIÓN]]</f>
        <v>485</v>
      </c>
      <c r="AB57" s="163" t="str">
        <f>+IF(Tabla2[[#This Row],[dias de credito]]&gt;=Tabla2[[#This Row],[PLAZO Días]],"venc", "No venc")</f>
        <v>venc</v>
      </c>
      <c r="AC57" s="163" t="str">
        <f>+IF(Tabla2[[#This Row],[FECHA DE PAGO]]&gt;0,"pagada","por pagar")</f>
        <v>pagada</v>
      </c>
      <c r="AD57" s="164" t="str">
        <f>+IF(AND(Tabla2[[#This Row],[venc]]="venc",Tabla2[[#This Row],[estado pago]]="por pagar"),"vencida","no")</f>
        <v>no</v>
      </c>
    </row>
    <row r="58" spans="1:30" ht="19.5" hidden="1" customHeight="1" x14ac:dyDescent="0.25">
      <c r="A58" s="8" t="s">
        <v>1850</v>
      </c>
      <c r="B58" s="8" t="b">
        <v>0</v>
      </c>
      <c r="C58" s="8">
        <v>30</v>
      </c>
      <c r="D58" s="151">
        <v>0</v>
      </c>
      <c r="E58" s="151"/>
      <c r="F58" s="24" t="s">
        <v>268</v>
      </c>
      <c r="G58" s="30">
        <v>44977</v>
      </c>
      <c r="H58" s="81" t="s">
        <v>376</v>
      </c>
      <c r="I58" s="30">
        <v>44958</v>
      </c>
      <c r="J58" s="16" t="s">
        <v>571</v>
      </c>
      <c r="K58" s="9" t="s">
        <v>1530</v>
      </c>
      <c r="L58" s="9"/>
      <c r="M58" s="152">
        <v>329981</v>
      </c>
      <c r="N58" s="153">
        <v>0</v>
      </c>
      <c r="O58" s="152">
        <v>0</v>
      </c>
      <c r="P58" s="154">
        <v>0</v>
      </c>
      <c r="Q58" s="152">
        <v>0</v>
      </c>
      <c r="R58" s="9">
        <v>329981</v>
      </c>
      <c r="S58" s="21" t="s">
        <v>1846</v>
      </c>
      <c r="T58" s="117">
        <v>0</v>
      </c>
      <c r="U58" s="117">
        <v>0</v>
      </c>
      <c r="V58" s="117">
        <v>2023</v>
      </c>
      <c r="W58" s="117">
        <v>6</v>
      </c>
      <c r="X58" s="117">
        <v>0</v>
      </c>
      <c r="Y58" s="117">
        <v>0</v>
      </c>
      <c r="Z58" s="21" t="b">
        <v>1</v>
      </c>
      <c r="AA58" s="162">
        <f>+$AD$5-Tabla2[[#This Row],[FECHA DE FACTURACIÓN]]</f>
        <v>485</v>
      </c>
      <c r="AB58" s="163" t="str">
        <f>+IF(Tabla2[[#This Row],[dias de credito]]&gt;=Tabla2[[#This Row],[PLAZO Días]],"venc", "No venc")</f>
        <v>venc</v>
      </c>
      <c r="AC58" s="163" t="str">
        <f>+IF(Tabla2[[#This Row],[FECHA DE PAGO]]&gt;0,"pagada","por pagar")</f>
        <v>pagada</v>
      </c>
      <c r="AD58" s="164" t="str">
        <f>+IF(AND(Tabla2[[#This Row],[venc]]="venc",Tabla2[[#This Row],[estado pago]]="por pagar"),"vencida","no")</f>
        <v>no</v>
      </c>
    </row>
    <row r="59" spans="1:30" ht="19.5" hidden="1" customHeight="1" x14ac:dyDescent="0.25">
      <c r="A59" s="8" t="s">
        <v>1850</v>
      </c>
      <c r="B59" s="8" t="b">
        <v>0</v>
      </c>
      <c r="C59" s="8">
        <v>30</v>
      </c>
      <c r="D59" s="151">
        <v>0</v>
      </c>
      <c r="E59" s="151"/>
      <c r="F59" s="24" t="s">
        <v>414</v>
      </c>
      <c r="G59" s="30">
        <v>44977</v>
      </c>
      <c r="H59" s="81" t="s">
        <v>382</v>
      </c>
      <c r="I59" s="30">
        <v>44958</v>
      </c>
      <c r="J59" s="16" t="s">
        <v>572</v>
      </c>
      <c r="K59" s="9" t="s">
        <v>1530</v>
      </c>
      <c r="L59" s="9"/>
      <c r="M59" s="152">
        <v>928304</v>
      </c>
      <c r="N59" s="153">
        <v>0</v>
      </c>
      <c r="O59" s="152">
        <v>0</v>
      </c>
      <c r="P59" s="154">
        <v>0</v>
      </c>
      <c r="Q59" s="152">
        <v>0</v>
      </c>
      <c r="R59" s="9">
        <v>928304</v>
      </c>
      <c r="S59" s="21" t="s">
        <v>1846</v>
      </c>
      <c r="T59" s="117">
        <v>0</v>
      </c>
      <c r="U59" s="117">
        <v>0</v>
      </c>
      <c r="V59" s="117">
        <v>2023</v>
      </c>
      <c r="W59" s="117">
        <v>6</v>
      </c>
      <c r="X59" s="117">
        <v>0</v>
      </c>
      <c r="Y59" s="117">
        <v>0</v>
      </c>
      <c r="Z59" s="21" t="b">
        <v>1</v>
      </c>
      <c r="AA59" s="162">
        <f>+$AD$5-Tabla2[[#This Row],[FECHA DE FACTURACIÓN]]</f>
        <v>485</v>
      </c>
      <c r="AB59" s="163" t="str">
        <f>+IF(Tabla2[[#This Row],[dias de credito]]&gt;=Tabla2[[#This Row],[PLAZO Días]],"venc", "No venc")</f>
        <v>venc</v>
      </c>
      <c r="AC59" s="163" t="str">
        <f>+IF(Tabla2[[#This Row],[FECHA DE PAGO]]&gt;0,"pagada","por pagar")</f>
        <v>pagada</v>
      </c>
      <c r="AD59" s="164" t="str">
        <f>+IF(AND(Tabla2[[#This Row],[venc]]="venc",Tabla2[[#This Row],[estado pago]]="por pagar"),"vencida","no")</f>
        <v>no</v>
      </c>
    </row>
    <row r="60" spans="1:30" ht="19.5" hidden="1" customHeight="1" x14ac:dyDescent="0.25">
      <c r="A60" s="8" t="s">
        <v>1850</v>
      </c>
      <c r="B60" s="8" t="b">
        <v>0</v>
      </c>
      <c r="C60" s="8">
        <v>30</v>
      </c>
      <c r="D60" s="151">
        <v>0</v>
      </c>
      <c r="E60" s="151"/>
      <c r="F60" s="24" t="s">
        <v>414</v>
      </c>
      <c r="G60" s="30">
        <v>44977</v>
      </c>
      <c r="H60" s="81" t="s">
        <v>382</v>
      </c>
      <c r="I60" s="30">
        <v>44958</v>
      </c>
      <c r="J60" s="16" t="s">
        <v>573</v>
      </c>
      <c r="K60" s="9" t="s">
        <v>1530</v>
      </c>
      <c r="L60" s="9"/>
      <c r="M60" s="152">
        <v>949891</v>
      </c>
      <c r="N60" s="153">
        <v>0</v>
      </c>
      <c r="O60" s="152">
        <v>0</v>
      </c>
      <c r="P60" s="154">
        <v>0</v>
      </c>
      <c r="Q60" s="152">
        <v>0</v>
      </c>
      <c r="R60" s="9">
        <v>949891</v>
      </c>
      <c r="S60" s="21" t="s">
        <v>1846</v>
      </c>
      <c r="T60" s="117">
        <v>0</v>
      </c>
      <c r="U60" s="117">
        <v>0</v>
      </c>
      <c r="V60" s="117">
        <v>2023</v>
      </c>
      <c r="W60" s="117">
        <v>6</v>
      </c>
      <c r="X60" s="117">
        <v>0</v>
      </c>
      <c r="Y60" s="117">
        <v>0</v>
      </c>
      <c r="Z60" s="21" t="b">
        <v>1</v>
      </c>
      <c r="AA60" s="162">
        <f>+$AD$5-Tabla2[[#This Row],[FECHA DE FACTURACIÓN]]</f>
        <v>485</v>
      </c>
      <c r="AB60" s="163" t="str">
        <f>+IF(Tabla2[[#This Row],[dias de credito]]&gt;=Tabla2[[#This Row],[PLAZO Días]],"venc", "No venc")</f>
        <v>venc</v>
      </c>
      <c r="AC60" s="163" t="str">
        <f>+IF(Tabla2[[#This Row],[FECHA DE PAGO]]&gt;0,"pagada","por pagar")</f>
        <v>pagada</v>
      </c>
      <c r="AD60" s="164" t="str">
        <f>+IF(AND(Tabla2[[#This Row],[venc]]="venc",Tabla2[[#This Row],[estado pago]]="por pagar"),"vencida","no")</f>
        <v>no</v>
      </c>
    </row>
    <row r="61" spans="1:30" ht="19.5" hidden="1" customHeight="1" x14ac:dyDescent="0.25">
      <c r="A61" s="8" t="s">
        <v>1850</v>
      </c>
      <c r="B61" s="8" t="b">
        <v>0</v>
      </c>
      <c r="C61" s="8">
        <v>30</v>
      </c>
      <c r="D61" s="151">
        <v>0</v>
      </c>
      <c r="E61" s="151"/>
      <c r="F61" s="24" t="s">
        <v>414</v>
      </c>
      <c r="G61" s="30">
        <v>44977</v>
      </c>
      <c r="H61" s="81" t="s">
        <v>382</v>
      </c>
      <c r="I61" s="30">
        <v>44958</v>
      </c>
      <c r="J61" s="16" t="s">
        <v>574</v>
      </c>
      <c r="K61" s="9" t="s">
        <v>1530</v>
      </c>
      <c r="L61" s="9"/>
      <c r="M61" s="152">
        <v>59583</v>
      </c>
      <c r="N61" s="153">
        <v>0</v>
      </c>
      <c r="O61" s="152">
        <v>0</v>
      </c>
      <c r="P61" s="154">
        <v>0</v>
      </c>
      <c r="Q61" s="152">
        <v>0</v>
      </c>
      <c r="R61" s="9">
        <v>59583</v>
      </c>
      <c r="S61" s="21" t="s">
        <v>1846</v>
      </c>
      <c r="T61" s="117">
        <v>0</v>
      </c>
      <c r="U61" s="117">
        <v>0</v>
      </c>
      <c r="V61" s="117">
        <v>2023</v>
      </c>
      <c r="W61" s="117">
        <v>6</v>
      </c>
      <c r="X61" s="117">
        <v>0</v>
      </c>
      <c r="Y61" s="117">
        <v>0</v>
      </c>
      <c r="Z61" s="21" t="b">
        <v>1</v>
      </c>
      <c r="AA61" s="162">
        <f>+$AD$5-Tabla2[[#This Row],[FECHA DE FACTURACIÓN]]</f>
        <v>485</v>
      </c>
      <c r="AB61" s="163" t="str">
        <f>+IF(Tabla2[[#This Row],[dias de credito]]&gt;=Tabla2[[#This Row],[PLAZO Días]],"venc", "No venc")</f>
        <v>venc</v>
      </c>
      <c r="AC61" s="163" t="str">
        <f>+IF(Tabla2[[#This Row],[FECHA DE PAGO]]&gt;0,"pagada","por pagar")</f>
        <v>pagada</v>
      </c>
      <c r="AD61" s="164" t="str">
        <f>+IF(AND(Tabla2[[#This Row],[venc]]="venc",Tabla2[[#This Row],[estado pago]]="por pagar"),"vencida","no")</f>
        <v>no</v>
      </c>
    </row>
    <row r="62" spans="1:30" ht="19.5" hidden="1" customHeight="1" x14ac:dyDescent="0.25">
      <c r="A62" s="8" t="s">
        <v>1850</v>
      </c>
      <c r="B62" s="8" t="b">
        <v>0</v>
      </c>
      <c r="C62" s="8">
        <v>30</v>
      </c>
      <c r="D62" s="151">
        <v>0</v>
      </c>
      <c r="E62" s="151"/>
      <c r="F62" s="24" t="s">
        <v>414</v>
      </c>
      <c r="G62" s="30">
        <v>44977</v>
      </c>
      <c r="H62" s="81" t="s">
        <v>382</v>
      </c>
      <c r="I62" s="30">
        <v>44958</v>
      </c>
      <c r="J62" s="16" t="s">
        <v>575</v>
      </c>
      <c r="K62" s="9" t="s">
        <v>1530</v>
      </c>
      <c r="L62" s="9"/>
      <c r="M62" s="152">
        <v>68166</v>
      </c>
      <c r="N62" s="153">
        <v>0</v>
      </c>
      <c r="O62" s="152">
        <v>0</v>
      </c>
      <c r="P62" s="154">
        <v>0</v>
      </c>
      <c r="Q62" s="152">
        <v>0</v>
      </c>
      <c r="R62" s="9">
        <v>68166</v>
      </c>
      <c r="S62" s="21" t="s">
        <v>1846</v>
      </c>
      <c r="T62" s="117">
        <v>0</v>
      </c>
      <c r="U62" s="117">
        <v>0</v>
      </c>
      <c r="V62" s="117">
        <v>2023</v>
      </c>
      <c r="W62" s="117">
        <v>6</v>
      </c>
      <c r="X62" s="117">
        <v>0</v>
      </c>
      <c r="Y62" s="117">
        <v>0</v>
      </c>
      <c r="Z62" s="21" t="b">
        <v>1</v>
      </c>
      <c r="AA62" s="162">
        <f>+$AD$5-Tabla2[[#This Row],[FECHA DE FACTURACIÓN]]</f>
        <v>485</v>
      </c>
      <c r="AB62" s="163" t="str">
        <f>+IF(Tabla2[[#This Row],[dias de credito]]&gt;=Tabla2[[#This Row],[PLAZO Días]],"venc", "No venc")</f>
        <v>venc</v>
      </c>
      <c r="AC62" s="163" t="str">
        <f>+IF(Tabla2[[#This Row],[FECHA DE PAGO]]&gt;0,"pagada","por pagar")</f>
        <v>pagada</v>
      </c>
      <c r="AD62" s="164" t="str">
        <f>+IF(AND(Tabla2[[#This Row],[venc]]="venc",Tabla2[[#This Row],[estado pago]]="por pagar"),"vencida","no")</f>
        <v>no</v>
      </c>
    </row>
    <row r="63" spans="1:30" ht="19.5" hidden="1" customHeight="1" x14ac:dyDescent="0.25">
      <c r="A63" s="8" t="s">
        <v>1850</v>
      </c>
      <c r="B63" s="8" t="b">
        <v>0</v>
      </c>
      <c r="C63" s="8">
        <v>30</v>
      </c>
      <c r="D63" s="151">
        <v>352000</v>
      </c>
      <c r="E63" s="151"/>
      <c r="F63" s="24" t="s">
        <v>84</v>
      </c>
      <c r="G63" s="30">
        <v>44977</v>
      </c>
      <c r="H63" s="81" t="s">
        <v>527</v>
      </c>
      <c r="I63" s="30">
        <v>44959</v>
      </c>
      <c r="J63" s="16">
        <v>29</v>
      </c>
      <c r="K63" s="9" t="s">
        <v>1530</v>
      </c>
      <c r="L63" s="9"/>
      <c r="M63" s="152">
        <v>33000</v>
      </c>
      <c r="N63" s="153">
        <v>0</v>
      </c>
      <c r="O63" s="152">
        <v>0</v>
      </c>
      <c r="P63" s="154">
        <v>0</v>
      </c>
      <c r="Q63" s="152">
        <v>0</v>
      </c>
      <c r="R63" s="9">
        <v>33000</v>
      </c>
      <c r="S63" s="21" t="s">
        <v>1846</v>
      </c>
      <c r="T63" s="117">
        <v>0</v>
      </c>
      <c r="U63" s="117">
        <v>0</v>
      </c>
      <c r="V63" s="117">
        <v>2023</v>
      </c>
      <c r="W63" s="117">
        <v>6</v>
      </c>
      <c r="X63" s="117">
        <v>0</v>
      </c>
      <c r="Y63" s="117">
        <v>0</v>
      </c>
      <c r="Z63" s="21" t="b">
        <v>0</v>
      </c>
      <c r="AA63" s="162">
        <f>+$AD$5-Tabla2[[#This Row],[FECHA DE FACTURACIÓN]]</f>
        <v>484</v>
      </c>
      <c r="AB63" s="163" t="str">
        <f>+IF(Tabla2[[#This Row],[dias de credito]]&gt;=Tabla2[[#This Row],[PLAZO Días]],"venc", "No venc")</f>
        <v>venc</v>
      </c>
      <c r="AC63" s="163" t="str">
        <f>+IF(Tabla2[[#This Row],[FECHA DE PAGO]]&gt;0,"pagada","por pagar")</f>
        <v>pagada</v>
      </c>
      <c r="AD63" s="164" t="str">
        <f>+IF(AND(Tabla2[[#This Row],[venc]]="venc",Tabla2[[#This Row],[estado pago]]="por pagar"),"vencida","no")</f>
        <v>no</v>
      </c>
    </row>
    <row r="64" spans="1:30" ht="19.5" hidden="1" customHeight="1" x14ac:dyDescent="0.25">
      <c r="A64" s="8" t="s">
        <v>1850</v>
      </c>
      <c r="B64" s="8" t="b">
        <v>0</v>
      </c>
      <c r="C64" s="8">
        <v>30</v>
      </c>
      <c r="D64" s="151">
        <v>352000</v>
      </c>
      <c r="E64" s="151"/>
      <c r="F64" s="24" t="s">
        <v>84</v>
      </c>
      <c r="G64" s="30">
        <v>44977</v>
      </c>
      <c r="H64" s="81" t="s">
        <v>527</v>
      </c>
      <c r="I64" s="30">
        <v>44959</v>
      </c>
      <c r="J64" s="16">
        <v>30</v>
      </c>
      <c r="K64" s="9" t="s">
        <v>1530</v>
      </c>
      <c r="L64" s="9"/>
      <c r="M64" s="152">
        <v>64500</v>
      </c>
      <c r="N64" s="153">
        <v>0</v>
      </c>
      <c r="O64" s="152">
        <v>0</v>
      </c>
      <c r="P64" s="154">
        <v>0</v>
      </c>
      <c r="Q64" s="152">
        <v>0</v>
      </c>
      <c r="R64" s="9">
        <v>64500</v>
      </c>
      <c r="S64" s="21" t="s">
        <v>1846</v>
      </c>
      <c r="T64" s="117">
        <v>0</v>
      </c>
      <c r="U64" s="117">
        <v>0</v>
      </c>
      <c r="V64" s="117">
        <v>2023</v>
      </c>
      <c r="W64" s="117">
        <v>6</v>
      </c>
      <c r="X64" s="117">
        <v>0</v>
      </c>
      <c r="Y64" s="117">
        <v>0</v>
      </c>
      <c r="Z64" s="21" t="b">
        <v>0</v>
      </c>
      <c r="AA64" s="162">
        <f>+$AD$5-Tabla2[[#This Row],[FECHA DE FACTURACIÓN]]</f>
        <v>484</v>
      </c>
      <c r="AB64" s="163" t="str">
        <f>+IF(Tabla2[[#This Row],[dias de credito]]&gt;=Tabla2[[#This Row],[PLAZO Días]],"venc", "No venc")</f>
        <v>venc</v>
      </c>
      <c r="AC64" s="163" t="str">
        <f>+IF(Tabla2[[#This Row],[FECHA DE PAGO]]&gt;0,"pagada","por pagar")</f>
        <v>pagada</v>
      </c>
      <c r="AD64" s="164" t="str">
        <f>+IF(AND(Tabla2[[#This Row],[venc]]="venc",Tabla2[[#This Row],[estado pago]]="por pagar"),"vencida","no")</f>
        <v>no</v>
      </c>
    </row>
    <row r="65" spans="1:30" ht="19.5" hidden="1" customHeight="1" x14ac:dyDescent="0.25">
      <c r="A65" s="8" t="s">
        <v>1850</v>
      </c>
      <c r="B65" s="8" t="b">
        <v>0</v>
      </c>
      <c r="C65" s="8">
        <v>30</v>
      </c>
      <c r="D65" s="151">
        <v>352000</v>
      </c>
      <c r="E65" s="151"/>
      <c r="F65" s="24" t="s">
        <v>84</v>
      </c>
      <c r="G65" s="30">
        <v>44977</v>
      </c>
      <c r="H65" s="81" t="s">
        <v>527</v>
      </c>
      <c r="I65" s="30">
        <v>44959</v>
      </c>
      <c r="J65" s="16">
        <v>25</v>
      </c>
      <c r="K65" s="9" t="s">
        <v>1530</v>
      </c>
      <c r="L65" s="9"/>
      <c r="M65" s="152">
        <v>87000</v>
      </c>
      <c r="N65" s="153">
        <v>0</v>
      </c>
      <c r="O65" s="152">
        <v>0</v>
      </c>
      <c r="P65" s="154">
        <v>0</v>
      </c>
      <c r="Q65" s="152">
        <v>0</v>
      </c>
      <c r="R65" s="9">
        <v>87000</v>
      </c>
      <c r="S65" s="21" t="s">
        <v>1846</v>
      </c>
      <c r="T65" s="117">
        <v>0</v>
      </c>
      <c r="U65" s="117">
        <v>0</v>
      </c>
      <c r="V65" s="117">
        <v>2023</v>
      </c>
      <c r="W65" s="117">
        <v>6</v>
      </c>
      <c r="X65" s="117">
        <v>0</v>
      </c>
      <c r="Y65" s="117">
        <v>0</v>
      </c>
      <c r="Z65" s="21" t="b">
        <v>0</v>
      </c>
      <c r="AA65" s="162">
        <f>+$AD$5-Tabla2[[#This Row],[FECHA DE FACTURACIÓN]]</f>
        <v>484</v>
      </c>
      <c r="AB65" s="163" t="str">
        <f>+IF(Tabla2[[#This Row],[dias de credito]]&gt;=Tabla2[[#This Row],[PLAZO Días]],"venc", "No venc")</f>
        <v>venc</v>
      </c>
      <c r="AC65" s="163" t="str">
        <f>+IF(Tabla2[[#This Row],[FECHA DE PAGO]]&gt;0,"pagada","por pagar")</f>
        <v>pagada</v>
      </c>
      <c r="AD65" s="164" t="str">
        <f>+IF(AND(Tabla2[[#This Row],[venc]]="venc",Tabla2[[#This Row],[estado pago]]="por pagar"),"vencida","no")</f>
        <v>no</v>
      </c>
    </row>
    <row r="66" spans="1:30" ht="19.5" hidden="1" customHeight="1" x14ac:dyDescent="0.25">
      <c r="A66" s="8" t="s">
        <v>1850</v>
      </c>
      <c r="B66" s="8" t="b">
        <v>0</v>
      </c>
      <c r="C66" s="8">
        <v>30</v>
      </c>
      <c r="D66" s="151">
        <v>352000</v>
      </c>
      <c r="E66" s="151"/>
      <c r="F66" s="24" t="s">
        <v>84</v>
      </c>
      <c r="G66" s="30">
        <v>44977</v>
      </c>
      <c r="H66" s="81" t="s">
        <v>527</v>
      </c>
      <c r="I66" s="30">
        <v>44959</v>
      </c>
      <c r="J66" s="16">
        <v>28</v>
      </c>
      <c r="K66" s="9" t="s">
        <v>1530</v>
      </c>
      <c r="L66" s="9"/>
      <c r="M66" s="152">
        <v>196500</v>
      </c>
      <c r="N66" s="153">
        <v>0</v>
      </c>
      <c r="O66" s="152">
        <v>0</v>
      </c>
      <c r="P66" s="154">
        <v>0</v>
      </c>
      <c r="Q66" s="152">
        <v>0</v>
      </c>
      <c r="R66" s="9">
        <v>196500</v>
      </c>
      <c r="S66" s="21" t="s">
        <v>1846</v>
      </c>
      <c r="T66" s="117">
        <v>0</v>
      </c>
      <c r="U66" s="117">
        <v>0</v>
      </c>
      <c r="V66" s="117">
        <v>2023</v>
      </c>
      <c r="W66" s="117">
        <v>6</v>
      </c>
      <c r="X66" s="117">
        <v>0</v>
      </c>
      <c r="Y66" s="117">
        <v>0</v>
      </c>
      <c r="Z66" s="21" t="b">
        <v>0</v>
      </c>
      <c r="AA66" s="162">
        <f>+$AD$5-Tabla2[[#This Row],[FECHA DE FACTURACIÓN]]</f>
        <v>484</v>
      </c>
      <c r="AB66" s="163" t="str">
        <f>+IF(Tabla2[[#This Row],[dias de credito]]&gt;=Tabla2[[#This Row],[PLAZO Días]],"venc", "No venc")</f>
        <v>venc</v>
      </c>
      <c r="AC66" s="163" t="str">
        <f>+IF(Tabla2[[#This Row],[FECHA DE PAGO]]&gt;0,"pagada","por pagar")</f>
        <v>pagada</v>
      </c>
      <c r="AD66" s="164" t="str">
        <f>+IF(AND(Tabla2[[#This Row],[venc]]="venc",Tabla2[[#This Row],[estado pago]]="por pagar"),"vencida","no")</f>
        <v>no</v>
      </c>
    </row>
    <row r="67" spans="1:30" ht="19.5" hidden="1" customHeight="1" x14ac:dyDescent="0.25">
      <c r="A67" s="8" t="s">
        <v>1850</v>
      </c>
      <c r="B67" s="8" t="b">
        <v>0</v>
      </c>
      <c r="C67" s="8">
        <v>30</v>
      </c>
      <c r="D67" s="151">
        <v>352000</v>
      </c>
      <c r="E67" s="151"/>
      <c r="F67" s="24" t="s">
        <v>84</v>
      </c>
      <c r="G67" s="30">
        <v>44977</v>
      </c>
      <c r="H67" s="81" t="s">
        <v>527</v>
      </c>
      <c r="I67" s="30">
        <v>44959</v>
      </c>
      <c r="J67" s="16">
        <v>35</v>
      </c>
      <c r="K67" s="9" t="s">
        <v>1530</v>
      </c>
      <c r="L67" s="9"/>
      <c r="M67" s="152">
        <v>207000</v>
      </c>
      <c r="N67" s="153">
        <v>0</v>
      </c>
      <c r="O67" s="152">
        <v>0</v>
      </c>
      <c r="P67" s="154">
        <v>0</v>
      </c>
      <c r="Q67" s="152">
        <v>0</v>
      </c>
      <c r="R67" s="9">
        <v>207000</v>
      </c>
      <c r="S67" s="21" t="s">
        <v>1846</v>
      </c>
      <c r="T67" s="117">
        <v>0</v>
      </c>
      <c r="U67" s="117">
        <v>0</v>
      </c>
      <c r="V67" s="117">
        <v>2023</v>
      </c>
      <c r="W67" s="117">
        <v>6</v>
      </c>
      <c r="X67" s="117">
        <v>0</v>
      </c>
      <c r="Y67" s="117">
        <v>0</v>
      </c>
      <c r="Z67" s="21" t="b">
        <v>0</v>
      </c>
      <c r="AA67" s="162">
        <f>+$AD$5-Tabla2[[#This Row],[FECHA DE FACTURACIÓN]]</f>
        <v>484</v>
      </c>
      <c r="AB67" s="163" t="str">
        <f>+IF(Tabla2[[#This Row],[dias de credito]]&gt;=Tabla2[[#This Row],[PLAZO Días]],"venc", "No venc")</f>
        <v>venc</v>
      </c>
      <c r="AC67" s="163" t="str">
        <f>+IF(Tabla2[[#This Row],[FECHA DE PAGO]]&gt;0,"pagada","por pagar")</f>
        <v>pagada</v>
      </c>
      <c r="AD67" s="164" t="str">
        <f>+IF(AND(Tabla2[[#This Row],[venc]]="venc",Tabla2[[#This Row],[estado pago]]="por pagar"),"vencida","no")</f>
        <v>no</v>
      </c>
    </row>
    <row r="68" spans="1:30" ht="19.5" hidden="1" customHeight="1" x14ac:dyDescent="0.25">
      <c r="A68" s="8" t="s">
        <v>1850</v>
      </c>
      <c r="B68" s="8" t="b">
        <v>0</v>
      </c>
      <c r="C68" s="8">
        <v>30</v>
      </c>
      <c r="D68" s="151">
        <v>352000</v>
      </c>
      <c r="E68" s="151"/>
      <c r="F68" s="24" t="s">
        <v>84</v>
      </c>
      <c r="G68" s="30">
        <v>44977</v>
      </c>
      <c r="H68" s="81" t="s">
        <v>527</v>
      </c>
      <c r="I68" s="30">
        <v>44959</v>
      </c>
      <c r="J68" s="16">
        <v>34</v>
      </c>
      <c r="K68" s="9" t="s">
        <v>1530</v>
      </c>
      <c r="L68" s="9"/>
      <c r="M68" s="152">
        <v>411500</v>
      </c>
      <c r="N68" s="153">
        <v>0</v>
      </c>
      <c r="O68" s="152">
        <v>0</v>
      </c>
      <c r="P68" s="154">
        <v>0</v>
      </c>
      <c r="Q68" s="152">
        <v>0</v>
      </c>
      <c r="R68" s="9">
        <v>411500</v>
      </c>
      <c r="S68" s="21" t="s">
        <v>1846</v>
      </c>
      <c r="T68" s="117">
        <v>0</v>
      </c>
      <c r="U68" s="117">
        <v>0</v>
      </c>
      <c r="V68" s="117">
        <v>2023</v>
      </c>
      <c r="W68" s="117">
        <v>6</v>
      </c>
      <c r="X68" s="117">
        <v>0</v>
      </c>
      <c r="Y68" s="117">
        <v>0</v>
      </c>
      <c r="Z68" s="21" t="b">
        <v>0</v>
      </c>
      <c r="AA68" s="162">
        <f>+$AD$5-Tabla2[[#This Row],[FECHA DE FACTURACIÓN]]</f>
        <v>484</v>
      </c>
      <c r="AB68" s="163" t="str">
        <f>+IF(Tabla2[[#This Row],[dias de credito]]&gt;=Tabla2[[#This Row],[PLAZO Días]],"venc", "No venc")</f>
        <v>venc</v>
      </c>
      <c r="AC68" s="163" t="str">
        <f>+IF(Tabla2[[#This Row],[FECHA DE PAGO]]&gt;0,"pagada","por pagar")</f>
        <v>pagada</v>
      </c>
      <c r="AD68" s="164" t="str">
        <f>+IF(AND(Tabla2[[#This Row],[venc]]="venc",Tabla2[[#This Row],[estado pago]]="por pagar"),"vencida","no")</f>
        <v>no</v>
      </c>
    </row>
    <row r="69" spans="1:30" ht="19.5" hidden="1" customHeight="1" x14ac:dyDescent="0.25">
      <c r="A69" s="8" t="s">
        <v>1850</v>
      </c>
      <c r="B69" s="8" t="b">
        <v>0</v>
      </c>
      <c r="C69" s="8">
        <v>30</v>
      </c>
      <c r="D69" s="151">
        <v>0</v>
      </c>
      <c r="E69" s="151"/>
      <c r="F69" s="24" t="s">
        <v>1447</v>
      </c>
      <c r="G69" s="30">
        <v>44977</v>
      </c>
      <c r="H69" s="81" t="s">
        <v>373</v>
      </c>
      <c r="I69" s="30">
        <v>44963</v>
      </c>
      <c r="J69" s="16" t="s">
        <v>570</v>
      </c>
      <c r="K69" s="9" t="s">
        <v>1530</v>
      </c>
      <c r="L69" s="9"/>
      <c r="M69" s="152">
        <v>1866320</v>
      </c>
      <c r="N69" s="153">
        <v>0</v>
      </c>
      <c r="O69" s="152">
        <v>0</v>
      </c>
      <c r="P69" s="154">
        <v>0</v>
      </c>
      <c r="Q69" s="152">
        <v>0</v>
      </c>
      <c r="R69" s="9">
        <v>1866320</v>
      </c>
      <c r="S69" s="21" t="s">
        <v>1846</v>
      </c>
      <c r="T69" s="117">
        <v>0</v>
      </c>
      <c r="U69" s="117">
        <v>0</v>
      </c>
      <c r="V69" s="117">
        <v>2023</v>
      </c>
      <c r="W69" s="117">
        <v>6</v>
      </c>
      <c r="X69" s="117">
        <v>0</v>
      </c>
      <c r="Y69" s="117">
        <v>0</v>
      </c>
      <c r="Z69" s="21" t="b">
        <v>1</v>
      </c>
      <c r="AA69" s="162">
        <f>+$AD$5-Tabla2[[#This Row],[FECHA DE FACTURACIÓN]]</f>
        <v>480</v>
      </c>
      <c r="AB69" s="163" t="str">
        <f>+IF(Tabla2[[#This Row],[dias de credito]]&gt;=Tabla2[[#This Row],[PLAZO Días]],"venc", "No venc")</f>
        <v>venc</v>
      </c>
      <c r="AC69" s="163" t="str">
        <f>+IF(Tabla2[[#This Row],[FECHA DE PAGO]]&gt;0,"pagada","por pagar")</f>
        <v>pagada</v>
      </c>
      <c r="AD69" s="164" t="str">
        <f>+IF(AND(Tabla2[[#This Row],[venc]]="venc",Tabla2[[#This Row],[estado pago]]="por pagar"),"vencida","no")</f>
        <v>no</v>
      </c>
    </row>
    <row r="70" spans="1:30" ht="19.5" hidden="1" customHeight="1" x14ac:dyDescent="0.25">
      <c r="A70" s="8" t="s">
        <v>1850</v>
      </c>
      <c r="B70" s="8" t="b">
        <v>0</v>
      </c>
      <c r="C70" s="8">
        <v>30</v>
      </c>
      <c r="D70" s="151">
        <v>0</v>
      </c>
      <c r="E70" s="151"/>
      <c r="F70" s="24" t="s">
        <v>427</v>
      </c>
      <c r="G70" s="30">
        <v>44983</v>
      </c>
      <c r="H70" s="81" t="s">
        <v>426</v>
      </c>
      <c r="I70" s="30">
        <v>44965</v>
      </c>
      <c r="J70" s="16" t="s">
        <v>566</v>
      </c>
      <c r="K70" s="9" t="s">
        <v>1530</v>
      </c>
      <c r="L70" s="9"/>
      <c r="M70" s="152">
        <v>579832</v>
      </c>
      <c r="N70" s="153">
        <v>110168.08</v>
      </c>
      <c r="O70" s="152">
        <v>0</v>
      </c>
      <c r="P70" s="154">
        <v>0</v>
      </c>
      <c r="Q70" s="152">
        <v>0</v>
      </c>
      <c r="R70" s="9">
        <v>690000.08</v>
      </c>
      <c r="S70" s="21" t="s">
        <v>1846</v>
      </c>
      <c r="T70" s="117">
        <v>0</v>
      </c>
      <c r="U70" s="117">
        <v>0</v>
      </c>
      <c r="V70" s="117">
        <v>2023</v>
      </c>
      <c r="W70" s="117">
        <v>6</v>
      </c>
      <c r="X70" s="117">
        <v>0</v>
      </c>
      <c r="Y70" s="117">
        <v>0</v>
      </c>
      <c r="Z70" s="21" t="b">
        <v>0</v>
      </c>
      <c r="AA70" s="162">
        <f>+$AD$5-Tabla2[[#This Row],[FECHA DE FACTURACIÓN]]</f>
        <v>478</v>
      </c>
      <c r="AB70" s="163" t="str">
        <f>+IF(Tabla2[[#This Row],[dias de credito]]&gt;=Tabla2[[#This Row],[PLAZO Días]],"venc", "No venc")</f>
        <v>venc</v>
      </c>
      <c r="AC70" s="163" t="str">
        <f>+IF(Tabla2[[#This Row],[FECHA DE PAGO]]&gt;0,"pagada","por pagar")</f>
        <v>pagada</v>
      </c>
      <c r="AD70" s="164" t="str">
        <f>+IF(AND(Tabla2[[#This Row],[venc]]="venc",Tabla2[[#This Row],[estado pago]]="por pagar"),"vencida","no")</f>
        <v>no</v>
      </c>
    </row>
    <row r="71" spans="1:30" ht="19.5" hidden="1" customHeight="1" x14ac:dyDescent="0.25">
      <c r="A71" s="8" t="s">
        <v>1850</v>
      </c>
      <c r="B71" s="8" t="b">
        <v>0</v>
      </c>
      <c r="C71" s="8">
        <v>30</v>
      </c>
      <c r="D71" s="151">
        <v>0</v>
      </c>
      <c r="E71" s="151"/>
      <c r="F71" s="24" t="s">
        <v>427</v>
      </c>
      <c r="G71" s="30">
        <v>44983</v>
      </c>
      <c r="H71" s="81" t="s">
        <v>426</v>
      </c>
      <c r="I71" s="30">
        <v>44967</v>
      </c>
      <c r="J71" s="16" t="s">
        <v>567</v>
      </c>
      <c r="K71" s="9" t="s">
        <v>1530</v>
      </c>
      <c r="L71" s="9"/>
      <c r="M71" s="152">
        <v>425210</v>
      </c>
      <c r="N71" s="153">
        <v>80789.899999999994</v>
      </c>
      <c r="O71" s="152">
        <v>0</v>
      </c>
      <c r="P71" s="154">
        <v>0</v>
      </c>
      <c r="Q71" s="152">
        <v>0</v>
      </c>
      <c r="R71" s="9">
        <v>505999.9</v>
      </c>
      <c r="S71" s="21" t="s">
        <v>1846</v>
      </c>
      <c r="T71" s="117">
        <v>0</v>
      </c>
      <c r="U71" s="117">
        <v>0</v>
      </c>
      <c r="V71" s="117">
        <v>2023</v>
      </c>
      <c r="W71" s="117">
        <v>6</v>
      </c>
      <c r="X71" s="117">
        <v>0</v>
      </c>
      <c r="Y71" s="117">
        <v>0</v>
      </c>
      <c r="Z71" s="21" t="b">
        <v>0</v>
      </c>
      <c r="AA71" s="162">
        <f>+$AD$5-Tabla2[[#This Row],[FECHA DE FACTURACIÓN]]</f>
        <v>476</v>
      </c>
      <c r="AB71" s="163" t="str">
        <f>+IF(Tabla2[[#This Row],[dias de credito]]&gt;=Tabla2[[#This Row],[PLAZO Días]],"venc", "No venc")</f>
        <v>venc</v>
      </c>
      <c r="AC71" s="163" t="str">
        <f>+IF(Tabla2[[#This Row],[FECHA DE PAGO]]&gt;0,"pagada","por pagar")</f>
        <v>pagada</v>
      </c>
      <c r="AD71" s="164" t="str">
        <f>+IF(AND(Tabla2[[#This Row],[venc]]="venc",Tabla2[[#This Row],[estado pago]]="por pagar"),"vencida","no")</f>
        <v>no</v>
      </c>
    </row>
    <row r="72" spans="1:30" ht="19.5" hidden="1" customHeight="1" x14ac:dyDescent="0.25">
      <c r="A72" s="8" t="s">
        <v>1850</v>
      </c>
      <c r="B72" s="8" t="b">
        <v>0</v>
      </c>
      <c r="C72" s="8">
        <v>30</v>
      </c>
      <c r="D72" s="151">
        <v>0</v>
      </c>
      <c r="E72" s="151"/>
      <c r="F72" s="24" t="s">
        <v>153</v>
      </c>
      <c r="G72" s="30">
        <v>44984</v>
      </c>
      <c r="H72" s="81" t="s">
        <v>394</v>
      </c>
      <c r="I72" s="30">
        <v>44958</v>
      </c>
      <c r="J72" s="16" t="s">
        <v>586</v>
      </c>
      <c r="K72" s="9" t="s">
        <v>1530</v>
      </c>
      <c r="L72" s="9"/>
      <c r="M72" s="152">
        <v>243611</v>
      </c>
      <c r="N72" s="153">
        <v>46286.090000000004</v>
      </c>
      <c r="O72" s="152">
        <v>0</v>
      </c>
      <c r="P72" s="154">
        <v>3.5000000000000003E-2</v>
      </c>
      <c r="Q72" s="152">
        <v>8526.3850000000002</v>
      </c>
      <c r="R72" s="9">
        <v>281370.70500000002</v>
      </c>
      <c r="S72" s="21" t="s">
        <v>1846</v>
      </c>
      <c r="T72" s="117">
        <v>0</v>
      </c>
      <c r="U72" s="117" t="s">
        <v>348</v>
      </c>
      <c r="V72" s="117">
        <v>2023</v>
      </c>
      <c r="W72" s="117">
        <v>6</v>
      </c>
      <c r="X72" s="117">
        <v>0</v>
      </c>
      <c r="Y72" s="117">
        <v>3.5000000000000003E-2</v>
      </c>
      <c r="Z72" s="21" t="b">
        <v>1</v>
      </c>
      <c r="AA72" s="162">
        <f>+$AD$5-Tabla2[[#This Row],[FECHA DE FACTURACIÓN]]</f>
        <v>485</v>
      </c>
      <c r="AB72" s="163" t="str">
        <f>+IF(Tabla2[[#This Row],[dias de credito]]&gt;=Tabla2[[#This Row],[PLAZO Días]],"venc", "No venc")</f>
        <v>venc</v>
      </c>
      <c r="AC72" s="163" t="str">
        <f>+IF(Tabla2[[#This Row],[FECHA DE PAGO]]&gt;0,"pagada","por pagar")</f>
        <v>pagada</v>
      </c>
      <c r="AD72" s="164" t="str">
        <f>+IF(AND(Tabla2[[#This Row],[venc]]="venc",Tabla2[[#This Row],[estado pago]]="por pagar"),"vencida","no")</f>
        <v>no</v>
      </c>
    </row>
    <row r="73" spans="1:30" ht="19.5" hidden="1" customHeight="1" x14ac:dyDescent="0.25">
      <c r="A73" s="8" t="s">
        <v>1850</v>
      </c>
      <c r="B73" s="8" t="b">
        <v>0</v>
      </c>
      <c r="C73" s="8">
        <v>30</v>
      </c>
      <c r="D73" s="151">
        <v>0</v>
      </c>
      <c r="E73" s="151"/>
      <c r="F73" s="24">
        <v>0</v>
      </c>
      <c r="G73" s="30">
        <v>44984</v>
      </c>
      <c r="H73" s="81" t="s">
        <v>550</v>
      </c>
      <c r="I73" s="30">
        <v>44965</v>
      </c>
      <c r="J73" s="16" t="s">
        <v>559</v>
      </c>
      <c r="K73" s="9" t="s">
        <v>1530</v>
      </c>
      <c r="L73" s="9"/>
      <c r="M73" s="152">
        <v>200000</v>
      </c>
      <c r="N73" s="153">
        <v>38000</v>
      </c>
      <c r="O73" s="152">
        <v>0</v>
      </c>
      <c r="P73" s="154">
        <v>0</v>
      </c>
      <c r="Q73" s="152">
        <v>0</v>
      </c>
      <c r="R73" s="9">
        <v>238000</v>
      </c>
      <c r="S73" s="21" t="s">
        <v>1846</v>
      </c>
      <c r="T73" s="117">
        <v>0</v>
      </c>
      <c r="U73" s="117" t="s">
        <v>347</v>
      </c>
      <c r="V73" s="117">
        <v>2023</v>
      </c>
      <c r="W73" s="117">
        <v>6</v>
      </c>
      <c r="X73" s="117">
        <v>1145000</v>
      </c>
      <c r="Y73" s="117">
        <v>2.5000000000000001E-2</v>
      </c>
      <c r="Z73" s="21" t="b">
        <v>1</v>
      </c>
      <c r="AA73" s="162">
        <f>+$AD$5-Tabla2[[#This Row],[FECHA DE FACTURACIÓN]]</f>
        <v>478</v>
      </c>
      <c r="AB73" s="163" t="str">
        <f>+IF(Tabla2[[#This Row],[dias de credito]]&gt;=Tabla2[[#This Row],[PLAZO Días]],"venc", "No venc")</f>
        <v>venc</v>
      </c>
      <c r="AC73" s="163" t="str">
        <f>+IF(Tabla2[[#This Row],[FECHA DE PAGO]]&gt;0,"pagada","por pagar")</f>
        <v>pagada</v>
      </c>
      <c r="AD73" s="164" t="str">
        <f>+IF(AND(Tabla2[[#This Row],[venc]]="venc",Tabla2[[#This Row],[estado pago]]="por pagar"),"vencida","no")</f>
        <v>no</v>
      </c>
    </row>
    <row r="74" spans="1:30" ht="19.5" hidden="1" customHeight="1" x14ac:dyDescent="0.25">
      <c r="A74" s="8" t="s">
        <v>1852</v>
      </c>
      <c r="B74" s="8" t="b">
        <v>0</v>
      </c>
      <c r="C74" s="8">
        <v>30</v>
      </c>
      <c r="D74" s="151">
        <v>0</v>
      </c>
      <c r="E74" s="151"/>
      <c r="F74" s="24" t="s">
        <v>84</v>
      </c>
      <c r="G74" s="30">
        <v>44985</v>
      </c>
      <c r="H74" s="81" t="s">
        <v>525</v>
      </c>
      <c r="I74" s="30">
        <v>44985</v>
      </c>
      <c r="J74" s="16" t="s">
        <v>502</v>
      </c>
      <c r="K74" s="9" t="s">
        <v>1530</v>
      </c>
      <c r="L74" s="9"/>
      <c r="M74" s="152">
        <v>0</v>
      </c>
      <c r="N74" s="153">
        <v>0</v>
      </c>
      <c r="O74" s="152">
        <v>0</v>
      </c>
      <c r="P74" s="154">
        <v>0</v>
      </c>
      <c r="Q74" s="152">
        <v>0</v>
      </c>
      <c r="R74" s="9">
        <v>0</v>
      </c>
      <c r="S74" s="21" t="s">
        <v>1846</v>
      </c>
      <c r="T74" s="117">
        <v>0</v>
      </c>
      <c r="U74" s="117">
        <v>0</v>
      </c>
      <c r="V74" s="117">
        <v>2023</v>
      </c>
      <c r="W74" s="117">
        <v>6</v>
      </c>
      <c r="X74" s="117">
        <v>0</v>
      </c>
      <c r="Y74" s="117">
        <v>0</v>
      </c>
      <c r="Z74" s="21" t="b">
        <v>0</v>
      </c>
      <c r="AA74" s="162">
        <f>+$AD$5-Tabla2[[#This Row],[FECHA DE FACTURACIÓN]]</f>
        <v>458</v>
      </c>
      <c r="AB74" s="163" t="str">
        <f>+IF(Tabla2[[#This Row],[dias de credito]]&gt;=Tabla2[[#This Row],[PLAZO Días]],"venc", "No venc")</f>
        <v>venc</v>
      </c>
      <c r="AC74" s="163" t="str">
        <f>+IF(Tabla2[[#This Row],[FECHA DE PAGO]]&gt;0,"pagada","por pagar")</f>
        <v>pagada</v>
      </c>
      <c r="AD74" s="164" t="str">
        <f>+IF(AND(Tabla2[[#This Row],[venc]]="venc",Tabla2[[#This Row],[estado pago]]="por pagar"),"vencida","no")</f>
        <v>no</v>
      </c>
    </row>
    <row r="75" spans="1:30" ht="19.5" hidden="1" customHeight="1" x14ac:dyDescent="0.25">
      <c r="A75" s="8" t="s">
        <v>1852</v>
      </c>
      <c r="B75" s="8" t="b">
        <v>0</v>
      </c>
      <c r="C75" s="8">
        <v>30</v>
      </c>
      <c r="D75" s="151">
        <v>0</v>
      </c>
      <c r="E75" s="151"/>
      <c r="F75" s="24" t="s">
        <v>84</v>
      </c>
      <c r="G75" s="30">
        <v>44985</v>
      </c>
      <c r="H75" s="81" t="s">
        <v>525</v>
      </c>
      <c r="I75" s="30">
        <v>44985</v>
      </c>
      <c r="J75" s="16" t="s">
        <v>1531</v>
      </c>
      <c r="K75" s="9" t="s">
        <v>1530</v>
      </c>
      <c r="L75" s="9"/>
      <c r="M75" s="152">
        <v>0</v>
      </c>
      <c r="N75" s="153">
        <v>0</v>
      </c>
      <c r="O75" s="152">
        <v>0</v>
      </c>
      <c r="P75" s="154">
        <v>0</v>
      </c>
      <c r="Q75" s="152">
        <v>0</v>
      </c>
      <c r="R75" s="9">
        <v>0</v>
      </c>
      <c r="S75" s="21" t="s">
        <v>1846</v>
      </c>
      <c r="T75" s="117">
        <v>0</v>
      </c>
      <c r="U75" s="117">
        <v>0</v>
      </c>
      <c r="V75" s="117">
        <v>2023</v>
      </c>
      <c r="W75" s="117">
        <v>6</v>
      </c>
      <c r="X75" s="117">
        <v>0</v>
      </c>
      <c r="Y75" s="117">
        <v>0</v>
      </c>
      <c r="Z75" s="21" t="b">
        <v>0</v>
      </c>
      <c r="AA75" s="162">
        <f>+$AD$5-Tabla2[[#This Row],[FECHA DE FACTURACIÓN]]</f>
        <v>458</v>
      </c>
      <c r="AB75" s="163" t="str">
        <f>+IF(Tabla2[[#This Row],[dias de credito]]&gt;=Tabla2[[#This Row],[PLAZO Días]],"venc", "No venc")</f>
        <v>venc</v>
      </c>
      <c r="AC75" s="163" t="str">
        <f>+IF(Tabla2[[#This Row],[FECHA DE PAGO]]&gt;0,"pagada","por pagar")</f>
        <v>pagada</v>
      </c>
      <c r="AD75" s="164" t="str">
        <f>+IF(AND(Tabla2[[#This Row],[venc]]="venc",Tabla2[[#This Row],[estado pago]]="por pagar"),"vencida","no")</f>
        <v>no</v>
      </c>
    </row>
    <row r="76" spans="1:30" ht="19.5" hidden="1" customHeight="1" x14ac:dyDescent="0.25">
      <c r="A76" s="8" t="s">
        <v>1852</v>
      </c>
      <c r="B76" s="8" t="b">
        <v>0</v>
      </c>
      <c r="C76" s="8">
        <v>30</v>
      </c>
      <c r="D76" s="151">
        <v>0</v>
      </c>
      <c r="E76" s="151"/>
      <c r="F76" s="24" t="s">
        <v>84</v>
      </c>
      <c r="G76" s="30">
        <v>44985</v>
      </c>
      <c r="H76" s="81" t="s">
        <v>525</v>
      </c>
      <c r="I76" s="30">
        <v>44985</v>
      </c>
      <c r="J76" s="16" t="s">
        <v>478</v>
      </c>
      <c r="K76" s="9" t="s">
        <v>1530</v>
      </c>
      <c r="L76" s="9"/>
      <c r="M76" s="152">
        <v>203500</v>
      </c>
      <c r="N76" s="153">
        <v>0</v>
      </c>
      <c r="O76" s="152">
        <v>0</v>
      </c>
      <c r="P76" s="154">
        <v>0</v>
      </c>
      <c r="Q76" s="152">
        <v>0</v>
      </c>
      <c r="R76" s="9">
        <v>203500</v>
      </c>
      <c r="S76" s="21" t="s">
        <v>1846</v>
      </c>
      <c r="T76" s="117">
        <v>0</v>
      </c>
      <c r="U76" s="117">
        <v>0</v>
      </c>
      <c r="V76" s="117">
        <v>2023</v>
      </c>
      <c r="W76" s="117">
        <v>6</v>
      </c>
      <c r="X76" s="117">
        <v>0</v>
      </c>
      <c r="Y76" s="117">
        <v>0</v>
      </c>
      <c r="Z76" s="21" t="b">
        <v>0</v>
      </c>
      <c r="AA76" s="162">
        <f>+$AD$5-Tabla2[[#This Row],[FECHA DE FACTURACIÓN]]</f>
        <v>458</v>
      </c>
      <c r="AB76" s="163" t="str">
        <f>+IF(Tabla2[[#This Row],[dias de credito]]&gt;=Tabla2[[#This Row],[PLAZO Días]],"venc", "No venc")</f>
        <v>venc</v>
      </c>
      <c r="AC76" s="163" t="str">
        <f>+IF(Tabla2[[#This Row],[FECHA DE PAGO]]&gt;0,"pagada","por pagar")</f>
        <v>pagada</v>
      </c>
      <c r="AD76" s="164" t="str">
        <f>+IF(AND(Tabla2[[#This Row],[venc]]="venc",Tabla2[[#This Row],[estado pago]]="por pagar"),"vencida","no")</f>
        <v>no</v>
      </c>
    </row>
    <row r="77" spans="1:30" ht="19.5" hidden="1" customHeight="1" x14ac:dyDescent="0.25">
      <c r="A77" s="8" t="s">
        <v>1852</v>
      </c>
      <c r="B77" s="8" t="b">
        <v>0</v>
      </c>
      <c r="C77" s="8">
        <v>30</v>
      </c>
      <c r="D77" s="151">
        <v>0</v>
      </c>
      <c r="E77" s="151"/>
      <c r="F77" s="24" t="s">
        <v>84</v>
      </c>
      <c r="G77" s="30">
        <v>44985</v>
      </c>
      <c r="H77" s="81" t="s">
        <v>525</v>
      </c>
      <c r="I77" s="30">
        <v>44985</v>
      </c>
      <c r="J77" s="16" t="s">
        <v>476</v>
      </c>
      <c r="K77" s="9" t="s">
        <v>1530</v>
      </c>
      <c r="L77" s="9"/>
      <c r="M77" s="152">
        <v>385700</v>
      </c>
      <c r="N77" s="153">
        <v>0</v>
      </c>
      <c r="O77" s="152">
        <v>0</v>
      </c>
      <c r="P77" s="154">
        <v>0</v>
      </c>
      <c r="Q77" s="152">
        <v>0</v>
      </c>
      <c r="R77" s="9">
        <v>385700</v>
      </c>
      <c r="S77" s="21" t="s">
        <v>1846</v>
      </c>
      <c r="T77" s="117">
        <v>0</v>
      </c>
      <c r="U77" s="117">
        <v>0</v>
      </c>
      <c r="V77" s="117">
        <v>2023</v>
      </c>
      <c r="W77" s="117">
        <v>6</v>
      </c>
      <c r="X77" s="117">
        <v>0</v>
      </c>
      <c r="Y77" s="117">
        <v>0</v>
      </c>
      <c r="Z77" s="21" t="b">
        <v>0</v>
      </c>
      <c r="AA77" s="162">
        <f>+$AD$5-Tabla2[[#This Row],[FECHA DE FACTURACIÓN]]</f>
        <v>458</v>
      </c>
      <c r="AB77" s="163" t="str">
        <f>+IF(Tabla2[[#This Row],[dias de credito]]&gt;=Tabla2[[#This Row],[PLAZO Días]],"venc", "No venc")</f>
        <v>venc</v>
      </c>
      <c r="AC77" s="163" t="str">
        <f>+IF(Tabla2[[#This Row],[FECHA DE PAGO]]&gt;0,"pagada","por pagar")</f>
        <v>pagada</v>
      </c>
      <c r="AD77" s="164" t="str">
        <f>+IF(AND(Tabla2[[#This Row],[venc]]="venc",Tabla2[[#This Row],[estado pago]]="por pagar"),"vencida","no")</f>
        <v>no</v>
      </c>
    </row>
    <row r="78" spans="1:30" ht="19.5" hidden="1" customHeight="1" x14ac:dyDescent="0.25">
      <c r="A78" s="8" t="s">
        <v>1852</v>
      </c>
      <c r="B78" s="8" t="b">
        <v>0</v>
      </c>
      <c r="C78" s="8">
        <v>30</v>
      </c>
      <c r="D78" s="151">
        <v>0</v>
      </c>
      <c r="E78" s="151"/>
      <c r="F78" s="24" t="s">
        <v>84</v>
      </c>
      <c r="G78" s="30">
        <v>44985</v>
      </c>
      <c r="H78" s="81" t="s">
        <v>525</v>
      </c>
      <c r="I78" s="30">
        <v>44985</v>
      </c>
      <c r="J78" s="16" t="s">
        <v>503</v>
      </c>
      <c r="K78" s="9" t="s">
        <v>1530</v>
      </c>
      <c r="L78" s="9"/>
      <c r="M78" s="152">
        <v>976000</v>
      </c>
      <c r="N78" s="153">
        <v>0</v>
      </c>
      <c r="O78" s="152">
        <v>0</v>
      </c>
      <c r="P78" s="154">
        <v>0</v>
      </c>
      <c r="Q78" s="152">
        <v>0</v>
      </c>
      <c r="R78" s="9">
        <v>976000</v>
      </c>
      <c r="S78" s="21" t="s">
        <v>1846</v>
      </c>
      <c r="T78" s="117">
        <v>0</v>
      </c>
      <c r="U78" s="117">
        <v>0</v>
      </c>
      <c r="V78" s="117">
        <v>2023</v>
      </c>
      <c r="W78" s="117">
        <v>6</v>
      </c>
      <c r="X78" s="117">
        <v>0</v>
      </c>
      <c r="Y78" s="117">
        <v>0</v>
      </c>
      <c r="Z78" s="21" t="b">
        <v>0</v>
      </c>
      <c r="AA78" s="162">
        <f>+$AD$5-Tabla2[[#This Row],[FECHA DE FACTURACIÓN]]</f>
        <v>458</v>
      </c>
      <c r="AB78" s="163" t="str">
        <f>+IF(Tabla2[[#This Row],[dias de credito]]&gt;=Tabla2[[#This Row],[PLAZO Días]],"venc", "No venc")</f>
        <v>venc</v>
      </c>
      <c r="AC78" s="163" t="str">
        <f>+IF(Tabla2[[#This Row],[FECHA DE PAGO]]&gt;0,"pagada","por pagar")</f>
        <v>pagada</v>
      </c>
      <c r="AD78" s="164" t="str">
        <f>+IF(AND(Tabla2[[#This Row],[venc]]="venc",Tabla2[[#This Row],[estado pago]]="por pagar"),"vencida","no")</f>
        <v>no</v>
      </c>
    </row>
    <row r="79" spans="1:30" ht="19.5" hidden="1" customHeight="1" x14ac:dyDescent="0.25">
      <c r="A79" s="8" t="s">
        <v>1852</v>
      </c>
      <c r="B79" s="8" t="b">
        <v>0</v>
      </c>
      <c r="C79" s="8">
        <v>30</v>
      </c>
      <c r="D79" s="151">
        <v>0</v>
      </c>
      <c r="E79" s="151"/>
      <c r="F79" s="24" t="s">
        <v>84</v>
      </c>
      <c r="G79" s="30">
        <v>44985</v>
      </c>
      <c r="H79" s="81" t="s">
        <v>525</v>
      </c>
      <c r="I79" s="30">
        <v>44985</v>
      </c>
      <c r="J79" s="16" t="s">
        <v>477</v>
      </c>
      <c r="K79" s="9" t="s">
        <v>1530</v>
      </c>
      <c r="L79" s="9"/>
      <c r="M79" s="152">
        <v>1657000</v>
      </c>
      <c r="N79" s="153">
        <v>0</v>
      </c>
      <c r="O79" s="152">
        <v>0</v>
      </c>
      <c r="P79" s="154">
        <v>0</v>
      </c>
      <c r="Q79" s="152">
        <v>0</v>
      </c>
      <c r="R79" s="9">
        <v>1657000</v>
      </c>
      <c r="S79" s="21" t="s">
        <v>1846</v>
      </c>
      <c r="T79" s="117">
        <v>0</v>
      </c>
      <c r="U79" s="117">
        <v>0</v>
      </c>
      <c r="V79" s="117">
        <v>2023</v>
      </c>
      <c r="W79" s="117">
        <v>6</v>
      </c>
      <c r="X79" s="117">
        <v>0</v>
      </c>
      <c r="Y79" s="117">
        <v>0</v>
      </c>
      <c r="Z79" s="21" t="b">
        <v>0</v>
      </c>
      <c r="AA79" s="162">
        <f>+$AD$5-Tabla2[[#This Row],[FECHA DE FACTURACIÓN]]</f>
        <v>458</v>
      </c>
      <c r="AB79" s="163" t="str">
        <f>+IF(Tabla2[[#This Row],[dias de credito]]&gt;=Tabla2[[#This Row],[PLAZO Días]],"venc", "No venc")</f>
        <v>venc</v>
      </c>
      <c r="AC79" s="163" t="str">
        <f>+IF(Tabla2[[#This Row],[FECHA DE PAGO]]&gt;0,"pagada","por pagar")</f>
        <v>pagada</v>
      </c>
      <c r="AD79" s="164" t="str">
        <f>+IF(AND(Tabla2[[#This Row],[venc]]="venc",Tabla2[[#This Row],[estado pago]]="por pagar"),"vencida","no")</f>
        <v>no</v>
      </c>
    </row>
    <row r="80" spans="1:30" ht="19.5" hidden="1" customHeight="1" x14ac:dyDescent="0.25">
      <c r="A80" s="8" t="s">
        <v>1850</v>
      </c>
      <c r="B80" s="8" t="b">
        <v>0</v>
      </c>
      <c r="C80" s="8">
        <v>30</v>
      </c>
      <c r="D80" s="151">
        <v>3130000</v>
      </c>
      <c r="E80" s="151"/>
      <c r="F80" s="24">
        <v>0</v>
      </c>
      <c r="G80" s="30">
        <v>44986</v>
      </c>
      <c r="H80" s="81" t="s">
        <v>472</v>
      </c>
      <c r="I80" s="30">
        <v>44958</v>
      </c>
      <c r="J80" s="16" t="s">
        <v>557</v>
      </c>
      <c r="K80" s="9" t="s">
        <v>1530</v>
      </c>
      <c r="L80" s="9"/>
      <c r="M80" s="152">
        <v>1075000</v>
      </c>
      <c r="N80" s="153">
        <v>0</v>
      </c>
      <c r="O80" s="152">
        <v>0</v>
      </c>
      <c r="P80" s="154">
        <v>0</v>
      </c>
      <c r="Q80" s="152">
        <v>0</v>
      </c>
      <c r="R80" s="9">
        <v>1075000</v>
      </c>
      <c r="S80" s="21" t="s">
        <v>1846</v>
      </c>
      <c r="T80" s="117">
        <v>0</v>
      </c>
      <c r="U80" s="117">
        <v>0</v>
      </c>
      <c r="V80" s="117">
        <v>2023</v>
      </c>
      <c r="W80" s="117">
        <v>6</v>
      </c>
      <c r="X80" s="117">
        <v>0</v>
      </c>
      <c r="Y80" s="117">
        <v>0</v>
      </c>
      <c r="Z80" s="21" t="b">
        <v>0</v>
      </c>
      <c r="AA80" s="162">
        <f>+$AD$5-Tabla2[[#This Row],[FECHA DE FACTURACIÓN]]</f>
        <v>485</v>
      </c>
      <c r="AB80" s="163" t="str">
        <f>+IF(Tabla2[[#This Row],[dias de credito]]&gt;=Tabla2[[#This Row],[PLAZO Días]],"venc", "No venc")</f>
        <v>venc</v>
      </c>
      <c r="AC80" s="163" t="str">
        <f>+IF(Tabla2[[#This Row],[FECHA DE PAGO]]&gt;0,"pagada","por pagar")</f>
        <v>pagada</v>
      </c>
      <c r="AD80" s="164" t="str">
        <f>+IF(AND(Tabla2[[#This Row],[venc]]="venc",Tabla2[[#This Row],[estado pago]]="por pagar"),"vencida","no")</f>
        <v>no</v>
      </c>
    </row>
    <row r="81" spans="1:30" ht="19.5" hidden="1" customHeight="1" x14ac:dyDescent="0.25">
      <c r="A81" s="8" t="s">
        <v>1850</v>
      </c>
      <c r="B81" s="8" t="b">
        <v>0</v>
      </c>
      <c r="C81" s="8">
        <v>30</v>
      </c>
      <c r="D81" s="151">
        <v>134000</v>
      </c>
      <c r="E81" s="151"/>
      <c r="F81" s="24" t="s">
        <v>192</v>
      </c>
      <c r="G81" s="30">
        <v>44986</v>
      </c>
      <c r="H81" s="81" t="s">
        <v>1808</v>
      </c>
      <c r="I81" s="30">
        <v>44972</v>
      </c>
      <c r="J81" s="16" t="s">
        <v>592</v>
      </c>
      <c r="K81" s="9" t="s">
        <v>1530</v>
      </c>
      <c r="L81" s="9"/>
      <c r="M81" s="152">
        <v>101500</v>
      </c>
      <c r="N81" s="153">
        <v>0</v>
      </c>
      <c r="O81" s="152">
        <v>0</v>
      </c>
      <c r="P81" s="154">
        <v>0</v>
      </c>
      <c r="Q81" s="152">
        <v>0</v>
      </c>
      <c r="R81" s="9">
        <v>101500</v>
      </c>
      <c r="S81" s="21" t="s">
        <v>1846</v>
      </c>
      <c r="T81" s="117">
        <v>0</v>
      </c>
      <c r="U81" s="117">
        <v>0</v>
      </c>
      <c r="V81" s="117">
        <v>2023</v>
      </c>
      <c r="W81" s="117">
        <v>6</v>
      </c>
      <c r="X81" s="117">
        <v>0</v>
      </c>
      <c r="Y81" s="117">
        <v>0</v>
      </c>
      <c r="Z81" s="21" t="b">
        <v>0</v>
      </c>
      <c r="AA81" s="162">
        <f>+$AD$5-Tabla2[[#This Row],[FECHA DE FACTURACIÓN]]</f>
        <v>471</v>
      </c>
      <c r="AB81" s="163" t="str">
        <f>+IF(Tabla2[[#This Row],[dias de credito]]&gt;=Tabla2[[#This Row],[PLAZO Días]],"venc", "No venc")</f>
        <v>venc</v>
      </c>
      <c r="AC81" s="163" t="str">
        <f>+IF(Tabla2[[#This Row],[FECHA DE PAGO]]&gt;0,"pagada","por pagar")</f>
        <v>pagada</v>
      </c>
      <c r="AD81" s="164" t="str">
        <f>+IF(AND(Tabla2[[#This Row],[venc]]="venc",Tabla2[[#This Row],[estado pago]]="por pagar"),"vencida","no")</f>
        <v>no</v>
      </c>
    </row>
    <row r="82" spans="1:30" ht="19.5" hidden="1" customHeight="1" x14ac:dyDescent="0.25">
      <c r="A82" s="8" t="s">
        <v>1850</v>
      </c>
      <c r="B82" s="8" t="s">
        <v>1851</v>
      </c>
      <c r="C82" s="8">
        <v>30</v>
      </c>
      <c r="D82" s="151">
        <v>4466504.835</v>
      </c>
      <c r="E82" s="151"/>
      <c r="F82" s="24" t="s">
        <v>1553</v>
      </c>
      <c r="G82" s="30">
        <v>44988</v>
      </c>
      <c r="H82" s="81" t="s">
        <v>18</v>
      </c>
      <c r="I82" s="30">
        <v>44936</v>
      </c>
      <c r="J82" s="16" t="s">
        <v>537</v>
      </c>
      <c r="K82" s="9" t="s">
        <v>1530</v>
      </c>
      <c r="L82" s="9"/>
      <c r="M82" s="152">
        <v>2030628</v>
      </c>
      <c r="N82" s="153">
        <v>385819.32</v>
      </c>
      <c r="O82" s="152">
        <v>0</v>
      </c>
      <c r="P82" s="154">
        <v>2.5000000000000001E-2</v>
      </c>
      <c r="Q82" s="152">
        <v>50765.700000000004</v>
      </c>
      <c r="R82" s="9">
        <v>2365681.6199999996</v>
      </c>
      <c r="S82" s="21" t="s">
        <v>1846</v>
      </c>
      <c r="T82" s="117">
        <v>0</v>
      </c>
      <c r="U82" s="117" t="s">
        <v>347</v>
      </c>
      <c r="V82" s="117">
        <v>2023</v>
      </c>
      <c r="W82" s="117">
        <v>6</v>
      </c>
      <c r="X82" s="117">
        <v>1145000</v>
      </c>
      <c r="Y82" s="117">
        <v>2.5000000000000001E-2</v>
      </c>
      <c r="Z82" s="21" t="b">
        <v>0</v>
      </c>
      <c r="AA82" s="162">
        <f>+$AD$5-Tabla2[[#This Row],[FECHA DE FACTURACIÓN]]</f>
        <v>507</v>
      </c>
      <c r="AB82" s="163" t="str">
        <f>+IF(Tabla2[[#This Row],[dias de credito]]&gt;=Tabla2[[#This Row],[PLAZO Días]],"venc", "No venc")</f>
        <v>venc</v>
      </c>
      <c r="AC82" s="163" t="str">
        <f>+IF(Tabla2[[#This Row],[FECHA DE PAGO]]&gt;0,"pagada","por pagar")</f>
        <v>pagada</v>
      </c>
      <c r="AD82" s="164" t="str">
        <f>+IF(AND(Tabla2[[#This Row],[venc]]="venc",Tabla2[[#This Row],[estado pago]]="por pagar"),"vencida","no")</f>
        <v>no</v>
      </c>
    </row>
    <row r="83" spans="1:30" ht="19.5" hidden="1" customHeight="1" x14ac:dyDescent="0.25">
      <c r="A83" s="8" t="s">
        <v>1850</v>
      </c>
      <c r="B83" s="8" t="s">
        <v>1851</v>
      </c>
      <c r="C83" s="8">
        <v>30</v>
      </c>
      <c r="D83" s="151">
        <v>4466504.835</v>
      </c>
      <c r="E83" s="151"/>
      <c r="F83" s="24" t="s">
        <v>1553</v>
      </c>
      <c r="G83" s="30">
        <v>44988</v>
      </c>
      <c r="H83" s="81" t="s">
        <v>18</v>
      </c>
      <c r="I83" s="30">
        <v>44937</v>
      </c>
      <c r="J83" s="16" t="s">
        <v>538</v>
      </c>
      <c r="K83" s="9" t="s">
        <v>1530</v>
      </c>
      <c r="L83" s="9"/>
      <c r="M83" s="152">
        <v>703990</v>
      </c>
      <c r="N83" s="153">
        <v>133758.1</v>
      </c>
      <c r="O83" s="152">
        <v>0</v>
      </c>
      <c r="P83" s="154">
        <v>0</v>
      </c>
      <c r="Q83" s="152">
        <v>0</v>
      </c>
      <c r="R83" s="9">
        <v>837748.1</v>
      </c>
      <c r="S83" s="21" t="s">
        <v>1846</v>
      </c>
      <c r="T83" s="117">
        <v>0</v>
      </c>
      <c r="U83" s="117" t="s">
        <v>347</v>
      </c>
      <c r="V83" s="117">
        <v>2023</v>
      </c>
      <c r="W83" s="117">
        <v>6</v>
      </c>
      <c r="X83" s="117">
        <v>1145000</v>
      </c>
      <c r="Y83" s="117">
        <v>2.5000000000000001E-2</v>
      </c>
      <c r="Z83" s="21" t="b">
        <v>0</v>
      </c>
      <c r="AA83" s="162">
        <f>+$AD$5-Tabla2[[#This Row],[FECHA DE FACTURACIÓN]]</f>
        <v>506</v>
      </c>
      <c r="AB83" s="163" t="str">
        <f>+IF(Tabla2[[#This Row],[dias de credito]]&gt;=Tabla2[[#This Row],[PLAZO Días]],"venc", "No venc")</f>
        <v>venc</v>
      </c>
      <c r="AC83" s="163" t="str">
        <f>+IF(Tabla2[[#This Row],[FECHA DE PAGO]]&gt;0,"pagada","por pagar")</f>
        <v>pagada</v>
      </c>
      <c r="AD83" s="164" t="str">
        <f>+IF(AND(Tabla2[[#This Row],[venc]]="venc",Tabla2[[#This Row],[estado pago]]="por pagar"),"vencida","no")</f>
        <v>no</v>
      </c>
    </row>
    <row r="84" spans="1:30" ht="19.5" hidden="1" customHeight="1" x14ac:dyDescent="0.25">
      <c r="A84" s="8" t="s">
        <v>1850</v>
      </c>
      <c r="B84" s="8" t="b">
        <v>0</v>
      </c>
      <c r="C84" s="8">
        <v>60</v>
      </c>
      <c r="D84" s="151">
        <v>50353355.590000004</v>
      </c>
      <c r="E84" s="151"/>
      <c r="F84" s="24" t="s">
        <v>157</v>
      </c>
      <c r="G84" s="30">
        <v>44988</v>
      </c>
      <c r="H84" s="81" t="s">
        <v>9</v>
      </c>
      <c r="I84" s="30">
        <v>44937</v>
      </c>
      <c r="J84" s="16" t="s">
        <v>541</v>
      </c>
      <c r="K84" s="9" t="s">
        <v>1530</v>
      </c>
      <c r="L84" s="9"/>
      <c r="M84" s="152">
        <v>612179</v>
      </c>
      <c r="N84" s="153">
        <v>116314.01</v>
      </c>
      <c r="O84" s="152">
        <v>0</v>
      </c>
      <c r="P84" s="154">
        <v>0</v>
      </c>
      <c r="Q84" s="152">
        <v>0</v>
      </c>
      <c r="R84" s="9">
        <v>728493.01</v>
      </c>
      <c r="S84" s="21" t="s">
        <v>1846</v>
      </c>
      <c r="T84" s="117">
        <v>0</v>
      </c>
      <c r="U84" s="117" t="s">
        <v>347</v>
      </c>
      <c r="V84" s="117">
        <v>2023</v>
      </c>
      <c r="W84" s="117">
        <v>6</v>
      </c>
      <c r="X84" s="117">
        <v>1145000</v>
      </c>
      <c r="Y84" s="117">
        <v>2.5000000000000001E-2</v>
      </c>
      <c r="Z84" s="21" t="b">
        <v>0</v>
      </c>
      <c r="AA84" s="162">
        <f>+$AD$5-Tabla2[[#This Row],[FECHA DE FACTURACIÓN]]</f>
        <v>506</v>
      </c>
      <c r="AB84" s="163" t="str">
        <f>+IF(Tabla2[[#This Row],[dias de credito]]&gt;=Tabla2[[#This Row],[PLAZO Días]],"venc", "No venc")</f>
        <v>venc</v>
      </c>
      <c r="AC84" s="163" t="str">
        <f>+IF(Tabla2[[#This Row],[FECHA DE PAGO]]&gt;0,"pagada","por pagar")</f>
        <v>pagada</v>
      </c>
      <c r="AD84" s="164" t="str">
        <f>+IF(AND(Tabla2[[#This Row],[venc]]="venc",Tabla2[[#This Row],[estado pago]]="por pagar"),"vencida","no")</f>
        <v>no</v>
      </c>
    </row>
    <row r="85" spans="1:30" ht="19.5" hidden="1" customHeight="1" x14ac:dyDescent="0.25">
      <c r="A85" s="8" t="s">
        <v>1850</v>
      </c>
      <c r="B85" s="8" t="s">
        <v>1851</v>
      </c>
      <c r="C85" s="8">
        <v>30</v>
      </c>
      <c r="D85" s="151">
        <v>4466504.835</v>
      </c>
      <c r="E85" s="151"/>
      <c r="F85" s="24" t="s">
        <v>1553</v>
      </c>
      <c r="G85" s="30">
        <v>44988</v>
      </c>
      <c r="H85" s="81" t="s">
        <v>18</v>
      </c>
      <c r="I85" s="30">
        <v>44938</v>
      </c>
      <c r="J85" s="16" t="s">
        <v>536</v>
      </c>
      <c r="K85" s="9" t="s">
        <v>1530</v>
      </c>
      <c r="L85" s="9"/>
      <c r="M85" s="152">
        <v>12580881</v>
      </c>
      <c r="N85" s="153">
        <v>2390367.39</v>
      </c>
      <c r="O85" s="152">
        <v>0</v>
      </c>
      <c r="P85" s="154">
        <v>2.5000000000000001E-2</v>
      </c>
      <c r="Q85" s="152">
        <v>314522.02500000002</v>
      </c>
      <c r="R85" s="9">
        <v>14656726.365</v>
      </c>
      <c r="S85" s="21" t="s">
        <v>1846</v>
      </c>
      <c r="T85" s="117">
        <v>0</v>
      </c>
      <c r="U85" s="117" t="s">
        <v>347</v>
      </c>
      <c r="V85" s="117">
        <v>2023</v>
      </c>
      <c r="W85" s="117">
        <v>6</v>
      </c>
      <c r="X85" s="117">
        <v>1145000</v>
      </c>
      <c r="Y85" s="117">
        <v>2.5000000000000001E-2</v>
      </c>
      <c r="Z85" s="21" t="b">
        <v>0</v>
      </c>
      <c r="AA85" s="162">
        <f>+$AD$5-Tabla2[[#This Row],[FECHA DE FACTURACIÓN]]</f>
        <v>505</v>
      </c>
      <c r="AB85" s="163" t="str">
        <f>+IF(Tabla2[[#This Row],[dias de credito]]&gt;=Tabla2[[#This Row],[PLAZO Días]],"venc", "No venc")</f>
        <v>venc</v>
      </c>
      <c r="AC85" s="163" t="str">
        <f>+IF(Tabla2[[#This Row],[FECHA DE PAGO]]&gt;0,"pagada","por pagar")</f>
        <v>pagada</v>
      </c>
      <c r="AD85" s="164" t="str">
        <f>+IF(AND(Tabla2[[#This Row],[venc]]="venc",Tabla2[[#This Row],[estado pago]]="por pagar"),"vencida","no")</f>
        <v>no</v>
      </c>
    </row>
    <row r="86" spans="1:30" ht="19.5" hidden="1" customHeight="1" x14ac:dyDescent="0.25">
      <c r="A86" s="8" t="s">
        <v>1850</v>
      </c>
      <c r="B86" s="8" t="s">
        <v>1851</v>
      </c>
      <c r="C86" s="8">
        <v>30</v>
      </c>
      <c r="D86" s="151">
        <v>9349257.8100000005</v>
      </c>
      <c r="E86" s="151"/>
      <c r="F86" s="24" t="s">
        <v>277</v>
      </c>
      <c r="G86" s="30">
        <v>44988</v>
      </c>
      <c r="H86" s="81" t="s">
        <v>226</v>
      </c>
      <c r="I86" s="30">
        <v>44949</v>
      </c>
      <c r="J86" s="16" t="s">
        <v>539</v>
      </c>
      <c r="K86" s="9" t="s">
        <v>1530</v>
      </c>
      <c r="L86" s="9"/>
      <c r="M86" s="152">
        <v>732750</v>
      </c>
      <c r="N86" s="153">
        <v>139222.5</v>
      </c>
      <c r="O86" s="152">
        <v>0</v>
      </c>
      <c r="P86" s="154">
        <v>0</v>
      </c>
      <c r="Q86" s="152">
        <v>0</v>
      </c>
      <c r="R86" s="9">
        <v>871972.5</v>
      </c>
      <c r="S86" s="21" t="s">
        <v>1846</v>
      </c>
      <c r="T86" s="117">
        <v>0</v>
      </c>
      <c r="U86" s="117" t="s">
        <v>347</v>
      </c>
      <c r="V86" s="117">
        <v>2023</v>
      </c>
      <c r="W86" s="117">
        <v>6</v>
      </c>
      <c r="X86" s="117">
        <v>1145000</v>
      </c>
      <c r="Y86" s="117">
        <v>2.5000000000000001E-2</v>
      </c>
      <c r="Z86" s="21" t="b">
        <v>0</v>
      </c>
      <c r="AA86" s="162">
        <f>+$AD$5-Tabla2[[#This Row],[FECHA DE FACTURACIÓN]]</f>
        <v>494</v>
      </c>
      <c r="AB86" s="163" t="str">
        <f>+IF(Tabla2[[#This Row],[dias de credito]]&gt;=Tabla2[[#This Row],[PLAZO Días]],"venc", "No venc")</f>
        <v>venc</v>
      </c>
      <c r="AC86" s="163" t="str">
        <f>+IF(Tabla2[[#This Row],[FECHA DE PAGO]]&gt;0,"pagada","por pagar")</f>
        <v>pagada</v>
      </c>
      <c r="AD86" s="164" t="str">
        <f>+IF(AND(Tabla2[[#This Row],[venc]]="venc",Tabla2[[#This Row],[estado pago]]="por pagar"),"vencida","no")</f>
        <v>no</v>
      </c>
    </row>
    <row r="87" spans="1:30" ht="19.5" hidden="1" customHeight="1" x14ac:dyDescent="0.25">
      <c r="A87" s="8" t="s">
        <v>1850</v>
      </c>
      <c r="B87" s="8" t="s">
        <v>1851</v>
      </c>
      <c r="C87" s="8">
        <v>30</v>
      </c>
      <c r="D87" s="151">
        <v>3152439.05</v>
      </c>
      <c r="E87" s="151"/>
      <c r="F87" s="24" t="s">
        <v>227</v>
      </c>
      <c r="G87" s="30">
        <v>44988</v>
      </c>
      <c r="H87" s="81" t="s">
        <v>220</v>
      </c>
      <c r="I87" s="30">
        <v>44950</v>
      </c>
      <c r="J87" s="16" t="s">
        <v>534</v>
      </c>
      <c r="K87" s="9" t="s">
        <v>1530</v>
      </c>
      <c r="L87" s="9"/>
      <c r="M87" s="152">
        <v>2040000</v>
      </c>
      <c r="N87" s="153">
        <v>387600</v>
      </c>
      <c r="O87" s="152">
        <v>0</v>
      </c>
      <c r="P87" s="154">
        <v>0</v>
      </c>
      <c r="Q87" s="152">
        <v>0</v>
      </c>
      <c r="R87" s="9">
        <v>2427600</v>
      </c>
      <c r="S87" s="21" t="s">
        <v>1846</v>
      </c>
      <c r="T87" s="117">
        <v>0</v>
      </c>
      <c r="U87" s="117">
        <v>0</v>
      </c>
      <c r="V87" s="117">
        <v>2023</v>
      </c>
      <c r="W87" s="117">
        <v>6</v>
      </c>
      <c r="X87" s="117">
        <v>0</v>
      </c>
      <c r="Y87" s="117">
        <v>0</v>
      </c>
      <c r="Z87" s="21" t="b">
        <v>0</v>
      </c>
      <c r="AA87" s="162">
        <f>+$AD$5-Tabla2[[#This Row],[FECHA DE FACTURACIÓN]]</f>
        <v>493</v>
      </c>
      <c r="AB87" s="163" t="str">
        <f>+IF(Tabla2[[#This Row],[dias de credito]]&gt;=Tabla2[[#This Row],[PLAZO Días]],"venc", "No venc")</f>
        <v>venc</v>
      </c>
      <c r="AC87" s="163" t="str">
        <f>+IF(Tabla2[[#This Row],[FECHA DE PAGO]]&gt;0,"pagada","por pagar")</f>
        <v>pagada</v>
      </c>
      <c r="AD87" s="164" t="str">
        <f>+IF(AND(Tabla2[[#This Row],[venc]]="venc",Tabla2[[#This Row],[estado pago]]="por pagar"),"vencida","no")</f>
        <v>no</v>
      </c>
    </row>
    <row r="88" spans="1:30" ht="19.5" hidden="1" customHeight="1" x14ac:dyDescent="0.25">
      <c r="A88" s="8" t="s">
        <v>1850</v>
      </c>
      <c r="B88" s="8" t="s">
        <v>1851</v>
      </c>
      <c r="C88" s="8">
        <v>30</v>
      </c>
      <c r="D88" s="151">
        <v>1776037.21</v>
      </c>
      <c r="E88" s="151"/>
      <c r="F88" s="24" t="s">
        <v>148</v>
      </c>
      <c r="G88" s="30">
        <v>44988</v>
      </c>
      <c r="H88" s="81" t="s">
        <v>17</v>
      </c>
      <c r="I88" s="30">
        <v>44951</v>
      </c>
      <c r="J88" s="16" t="s">
        <v>587</v>
      </c>
      <c r="K88" s="9" t="s">
        <v>1530</v>
      </c>
      <c r="L88" s="9"/>
      <c r="M88" s="152">
        <v>819316</v>
      </c>
      <c r="N88" s="153">
        <v>155670.04</v>
      </c>
      <c r="O88" s="152">
        <v>0</v>
      </c>
      <c r="P88" s="154">
        <v>0</v>
      </c>
      <c r="Q88" s="152">
        <v>0</v>
      </c>
      <c r="R88" s="9">
        <v>974986.04</v>
      </c>
      <c r="S88" s="21" t="s">
        <v>1846</v>
      </c>
      <c r="T88" s="117">
        <v>0</v>
      </c>
      <c r="U88" s="117">
        <v>0</v>
      </c>
      <c r="V88" s="117">
        <v>2023</v>
      </c>
      <c r="W88" s="117">
        <v>6</v>
      </c>
      <c r="X88" s="117">
        <v>0</v>
      </c>
      <c r="Y88" s="117">
        <v>0</v>
      </c>
      <c r="Z88" s="21" t="b">
        <v>0</v>
      </c>
      <c r="AA88" s="162">
        <f>+$AD$5-Tabla2[[#This Row],[FECHA DE FACTURACIÓN]]</f>
        <v>492</v>
      </c>
      <c r="AB88" s="163" t="str">
        <f>+IF(Tabla2[[#This Row],[dias de credito]]&gt;=Tabla2[[#This Row],[PLAZO Días]],"venc", "No venc")</f>
        <v>venc</v>
      </c>
      <c r="AC88" s="163" t="str">
        <f>+IF(Tabla2[[#This Row],[FECHA DE PAGO]]&gt;0,"pagada","por pagar")</f>
        <v>pagada</v>
      </c>
      <c r="AD88" s="164" t="str">
        <f>+IF(AND(Tabla2[[#This Row],[venc]]="venc",Tabla2[[#This Row],[estado pago]]="por pagar"),"vencida","no")</f>
        <v>no</v>
      </c>
    </row>
    <row r="89" spans="1:30" ht="19.5" hidden="1" customHeight="1" x14ac:dyDescent="0.25">
      <c r="A89" s="8" t="s">
        <v>1850</v>
      </c>
      <c r="B89" s="8" t="s">
        <v>1851</v>
      </c>
      <c r="C89" s="8">
        <v>30</v>
      </c>
      <c r="D89" s="151">
        <v>0</v>
      </c>
      <c r="E89" s="151"/>
      <c r="F89" s="24" t="s">
        <v>169</v>
      </c>
      <c r="G89" s="30">
        <v>44988</v>
      </c>
      <c r="H89" s="81" t="s">
        <v>1592</v>
      </c>
      <c r="I89" s="30">
        <v>44951</v>
      </c>
      <c r="J89" s="16" t="s">
        <v>543</v>
      </c>
      <c r="K89" s="9" t="s">
        <v>1530</v>
      </c>
      <c r="L89" s="9"/>
      <c r="M89" s="152">
        <v>3088000</v>
      </c>
      <c r="N89" s="153">
        <v>586720</v>
      </c>
      <c r="O89" s="152">
        <v>0</v>
      </c>
      <c r="P89" s="154">
        <v>2.5000000000000001E-2</v>
      </c>
      <c r="Q89" s="152">
        <v>77200</v>
      </c>
      <c r="R89" s="9">
        <v>3597520</v>
      </c>
      <c r="S89" s="21" t="s">
        <v>1846</v>
      </c>
      <c r="T89" s="117">
        <v>0</v>
      </c>
      <c r="U89" s="117" t="s">
        <v>347</v>
      </c>
      <c r="V89" s="117">
        <v>2023</v>
      </c>
      <c r="W89" s="117">
        <v>6</v>
      </c>
      <c r="X89" s="117">
        <v>1145000</v>
      </c>
      <c r="Y89" s="117">
        <v>2.5000000000000001E-2</v>
      </c>
      <c r="Z89" s="21" t="b">
        <v>0</v>
      </c>
      <c r="AA89" s="162">
        <f>+$AD$5-Tabla2[[#This Row],[FECHA DE FACTURACIÓN]]</f>
        <v>492</v>
      </c>
      <c r="AB89" s="163" t="str">
        <f>+IF(Tabla2[[#This Row],[dias de credito]]&gt;=Tabla2[[#This Row],[PLAZO Días]],"venc", "No venc")</f>
        <v>venc</v>
      </c>
      <c r="AC89" s="163" t="str">
        <f>+IF(Tabla2[[#This Row],[FECHA DE PAGO]]&gt;0,"pagada","por pagar")</f>
        <v>pagada</v>
      </c>
      <c r="AD89" s="164" t="str">
        <f>+IF(AND(Tabla2[[#This Row],[venc]]="venc",Tabla2[[#This Row],[estado pago]]="por pagar"),"vencida","no")</f>
        <v>no</v>
      </c>
    </row>
    <row r="90" spans="1:30" ht="19.5" hidden="1" customHeight="1" x14ac:dyDescent="0.25">
      <c r="A90" s="8" t="s">
        <v>1850</v>
      </c>
      <c r="B90" s="8" t="s">
        <v>1851</v>
      </c>
      <c r="C90" s="8">
        <v>30</v>
      </c>
      <c r="D90" s="151">
        <v>1460000.29</v>
      </c>
      <c r="E90" s="151"/>
      <c r="F90" s="24" t="s">
        <v>139</v>
      </c>
      <c r="G90" s="30">
        <v>44988</v>
      </c>
      <c r="H90" s="81" t="s">
        <v>131</v>
      </c>
      <c r="I90" s="30">
        <v>44951</v>
      </c>
      <c r="J90" s="16" t="s">
        <v>540</v>
      </c>
      <c r="K90" s="9" t="s">
        <v>1530</v>
      </c>
      <c r="L90" s="9"/>
      <c r="M90" s="152">
        <v>1216808</v>
      </c>
      <c r="N90" s="153">
        <v>231193.52</v>
      </c>
      <c r="O90" s="152">
        <v>0</v>
      </c>
      <c r="P90" s="154">
        <v>2.5000000000000001E-2</v>
      </c>
      <c r="Q90" s="152">
        <v>30420.2</v>
      </c>
      <c r="R90" s="9">
        <v>1417581.32</v>
      </c>
      <c r="S90" s="21" t="s">
        <v>1846</v>
      </c>
      <c r="T90" s="117">
        <v>0</v>
      </c>
      <c r="U90" s="117" t="s">
        <v>347</v>
      </c>
      <c r="V90" s="117">
        <v>2023</v>
      </c>
      <c r="W90" s="117">
        <v>6</v>
      </c>
      <c r="X90" s="117">
        <v>1145000</v>
      </c>
      <c r="Y90" s="117">
        <v>2.5000000000000001E-2</v>
      </c>
      <c r="Z90" s="21" t="b">
        <v>0</v>
      </c>
      <c r="AA90" s="162">
        <f>+$AD$5-Tabla2[[#This Row],[FECHA DE FACTURACIÓN]]</f>
        <v>492</v>
      </c>
      <c r="AB90" s="163" t="str">
        <f>+IF(Tabla2[[#This Row],[dias de credito]]&gt;=Tabla2[[#This Row],[PLAZO Días]],"venc", "No venc")</f>
        <v>venc</v>
      </c>
      <c r="AC90" s="163" t="str">
        <f>+IF(Tabla2[[#This Row],[FECHA DE PAGO]]&gt;0,"pagada","por pagar")</f>
        <v>pagada</v>
      </c>
      <c r="AD90" s="164" t="str">
        <f>+IF(AND(Tabla2[[#This Row],[venc]]="venc",Tabla2[[#This Row],[estado pago]]="por pagar"),"vencida","no")</f>
        <v>no</v>
      </c>
    </row>
    <row r="91" spans="1:30" ht="19.5" hidden="1" customHeight="1" x14ac:dyDescent="0.25">
      <c r="A91" s="8" t="s">
        <v>1850</v>
      </c>
      <c r="B91" s="8" t="b">
        <v>0</v>
      </c>
      <c r="C91" s="8">
        <v>60</v>
      </c>
      <c r="D91" s="151">
        <v>0</v>
      </c>
      <c r="E91" s="151"/>
      <c r="F91" s="24" t="s">
        <v>147</v>
      </c>
      <c r="G91" s="30">
        <v>44988</v>
      </c>
      <c r="H91" s="81" t="s">
        <v>221</v>
      </c>
      <c r="I91" s="30">
        <v>44952</v>
      </c>
      <c r="J91" s="16" t="s">
        <v>535</v>
      </c>
      <c r="K91" s="9" t="s">
        <v>1530</v>
      </c>
      <c r="L91" s="9"/>
      <c r="M91" s="152">
        <v>4892185</v>
      </c>
      <c r="N91" s="153">
        <v>929515.15</v>
      </c>
      <c r="O91" s="152">
        <v>0</v>
      </c>
      <c r="P91" s="154">
        <v>2.5000000000000001E-2</v>
      </c>
      <c r="Q91" s="152">
        <v>122304.625</v>
      </c>
      <c r="R91" s="9">
        <v>5699395.5250000004</v>
      </c>
      <c r="S91" s="21" t="s">
        <v>1846</v>
      </c>
      <c r="T91" s="117">
        <v>0</v>
      </c>
      <c r="U91" s="117" t="s">
        <v>347</v>
      </c>
      <c r="V91" s="117">
        <v>2023</v>
      </c>
      <c r="W91" s="117">
        <v>6</v>
      </c>
      <c r="X91" s="117">
        <v>1145000</v>
      </c>
      <c r="Y91" s="117">
        <v>2.5000000000000001E-2</v>
      </c>
      <c r="Z91" s="21" t="b">
        <v>0</v>
      </c>
      <c r="AA91" s="162">
        <f>+$AD$5-Tabla2[[#This Row],[FECHA DE FACTURACIÓN]]</f>
        <v>491</v>
      </c>
      <c r="AB91" s="163" t="str">
        <f>+IF(Tabla2[[#This Row],[dias de credito]]&gt;=Tabla2[[#This Row],[PLAZO Días]],"venc", "No venc")</f>
        <v>venc</v>
      </c>
      <c r="AC91" s="163" t="str">
        <f>+IF(Tabla2[[#This Row],[FECHA DE PAGO]]&gt;0,"pagada","por pagar")</f>
        <v>pagada</v>
      </c>
      <c r="AD91" s="164" t="str">
        <f>+IF(AND(Tabla2[[#This Row],[venc]]="venc",Tabla2[[#This Row],[estado pago]]="por pagar"),"vencida","no")</f>
        <v>no</v>
      </c>
    </row>
    <row r="92" spans="1:30" ht="19.5" hidden="1" customHeight="1" x14ac:dyDescent="0.25">
      <c r="A92" s="8" t="s">
        <v>1850</v>
      </c>
      <c r="B92" s="8" t="s">
        <v>1851</v>
      </c>
      <c r="C92" s="8">
        <v>30</v>
      </c>
      <c r="D92" s="151">
        <v>0</v>
      </c>
      <c r="E92" s="151"/>
      <c r="F92" s="24" t="s">
        <v>159</v>
      </c>
      <c r="G92" s="30">
        <v>44988</v>
      </c>
      <c r="H92" s="81" t="s">
        <v>452</v>
      </c>
      <c r="I92" s="30">
        <v>44952</v>
      </c>
      <c r="J92" s="16" t="s">
        <v>545</v>
      </c>
      <c r="K92" s="9" t="s">
        <v>1530</v>
      </c>
      <c r="L92" s="9"/>
      <c r="M92" s="152">
        <v>1278410</v>
      </c>
      <c r="N92" s="153">
        <v>242897.9</v>
      </c>
      <c r="O92" s="152">
        <v>0</v>
      </c>
      <c r="P92" s="154">
        <v>2.5000000000000001E-2</v>
      </c>
      <c r="Q92" s="152">
        <v>31960.25</v>
      </c>
      <c r="R92" s="9">
        <v>1489347.65</v>
      </c>
      <c r="S92" s="21" t="s">
        <v>1846</v>
      </c>
      <c r="T92" s="117">
        <v>0</v>
      </c>
      <c r="U92" s="117" t="s">
        <v>347</v>
      </c>
      <c r="V92" s="117">
        <v>2023</v>
      </c>
      <c r="W92" s="117">
        <v>6</v>
      </c>
      <c r="X92" s="117">
        <v>1145000</v>
      </c>
      <c r="Y92" s="117">
        <v>2.5000000000000001E-2</v>
      </c>
      <c r="Z92" s="21" t="b">
        <v>0</v>
      </c>
      <c r="AA92" s="162">
        <f>+$AD$5-Tabla2[[#This Row],[FECHA DE FACTURACIÓN]]</f>
        <v>491</v>
      </c>
      <c r="AB92" s="163" t="str">
        <f>+IF(Tabla2[[#This Row],[dias de credito]]&gt;=Tabla2[[#This Row],[PLAZO Días]],"venc", "No venc")</f>
        <v>venc</v>
      </c>
      <c r="AC92" s="163" t="str">
        <f>+IF(Tabla2[[#This Row],[FECHA DE PAGO]]&gt;0,"pagada","por pagar")</f>
        <v>pagada</v>
      </c>
      <c r="AD92" s="164" t="str">
        <f>+IF(AND(Tabla2[[#This Row],[venc]]="venc",Tabla2[[#This Row],[estado pago]]="por pagar"),"vencida","no")</f>
        <v>no</v>
      </c>
    </row>
    <row r="93" spans="1:30" ht="19.5" hidden="1" customHeight="1" x14ac:dyDescent="0.25">
      <c r="A93" s="8" t="s">
        <v>1850</v>
      </c>
      <c r="B93" s="8" t="s">
        <v>1851</v>
      </c>
      <c r="C93" s="8">
        <v>30</v>
      </c>
      <c r="D93" s="151">
        <v>5581100</v>
      </c>
      <c r="E93" s="151"/>
      <c r="F93" s="24" t="s">
        <v>150</v>
      </c>
      <c r="G93" s="30">
        <v>44988</v>
      </c>
      <c r="H93" s="81" t="s">
        <v>446</v>
      </c>
      <c r="I93" s="30">
        <v>44953</v>
      </c>
      <c r="J93" s="16">
        <v>40466</v>
      </c>
      <c r="K93" s="9" t="s">
        <v>1530</v>
      </c>
      <c r="L93" s="9"/>
      <c r="M93" s="152">
        <v>1636800</v>
      </c>
      <c r="N93" s="153">
        <v>310992</v>
      </c>
      <c r="O93" s="152">
        <v>0</v>
      </c>
      <c r="P93" s="154">
        <v>0</v>
      </c>
      <c r="Q93" s="152">
        <v>0</v>
      </c>
      <c r="R93" s="9">
        <v>1947792</v>
      </c>
      <c r="S93" s="21" t="s">
        <v>1846</v>
      </c>
      <c r="T93" s="117">
        <v>0</v>
      </c>
      <c r="U93" s="117">
        <v>0</v>
      </c>
      <c r="V93" s="117">
        <v>2023</v>
      </c>
      <c r="W93" s="117">
        <v>6</v>
      </c>
      <c r="X93" s="117">
        <v>0</v>
      </c>
      <c r="Y93" s="117">
        <v>0</v>
      </c>
      <c r="Z93" s="21" t="b">
        <v>0</v>
      </c>
      <c r="AA93" s="162">
        <f>+$AD$5-Tabla2[[#This Row],[FECHA DE FACTURACIÓN]]</f>
        <v>490</v>
      </c>
      <c r="AB93" s="163" t="str">
        <f>+IF(Tabla2[[#This Row],[dias de credito]]&gt;=Tabla2[[#This Row],[PLAZO Días]],"venc", "No venc")</f>
        <v>venc</v>
      </c>
      <c r="AC93" s="163" t="str">
        <f>+IF(Tabla2[[#This Row],[FECHA DE PAGO]]&gt;0,"pagada","por pagar")</f>
        <v>pagada</v>
      </c>
      <c r="AD93" s="164" t="str">
        <f>+IF(AND(Tabla2[[#This Row],[venc]]="venc",Tabla2[[#This Row],[estado pago]]="por pagar"),"vencida","no")</f>
        <v>no</v>
      </c>
    </row>
    <row r="94" spans="1:30" ht="19.5" hidden="1" customHeight="1" x14ac:dyDescent="0.25">
      <c r="A94" s="8" t="s">
        <v>1850</v>
      </c>
      <c r="B94" s="8" t="s">
        <v>1851</v>
      </c>
      <c r="C94" s="8">
        <v>30</v>
      </c>
      <c r="D94" s="151">
        <v>1776037.21</v>
      </c>
      <c r="E94" s="151"/>
      <c r="F94" s="24" t="s">
        <v>148</v>
      </c>
      <c r="G94" s="30">
        <v>44988</v>
      </c>
      <c r="H94" s="81" t="s">
        <v>17</v>
      </c>
      <c r="I94" s="30">
        <v>44957</v>
      </c>
      <c r="J94" s="16" t="s">
        <v>561</v>
      </c>
      <c r="K94" s="9" t="s">
        <v>1530</v>
      </c>
      <c r="L94" s="9"/>
      <c r="M94" s="152">
        <v>412700</v>
      </c>
      <c r="N94" s="153">
        <v>78413</v>
      </c>
      <c r="O94" s="152">
        <v>0</v>
      </c>
      <c r="P94" s="154">
        <v>0</v>
      </c>
      <c r="Q94" s="152">
        <v>0</v>
      </c>
      <c r="R94" s="9">
        <v>491113</v>
      </c>
      <c r="S94" s="21" t="s">
        <v>1846</v>
      </c>
      <c r="T94" s="117">
        <v>0</v>
      </c>
      <c r="U94" s="117">
        <v>0</v>
      </c>
      <c r="V94" s="117">
        <v>2023</v>
      </c>
      <c r="W94" s="117">
        <v>6</v>
      </c>
      <c r="X94" s="117">
        <v>0</v>
      </c>
      <c r="Y94" s="117">
        <v>0</v>
      </c>
      <c r="Z94" s="21" t="b">
        <v>0</v>
      </c>
      <c r="AA94" s="162">
        <f>+$AD$5-Tabla2[[#This Row],[FECHA DE FACTURACIÓN]]</f>
        <v>486</v>
      </c>
      <c r="AB94" s="163" t="str">
        <f>+IF(Tabla2[[#This Row],[dias de credito]]&gt;=Tabla2[[#This Row],[PLAZO Días]],"venc", "No venc")</f>
        <v>venc</v>
      </c>
      <c r="AC94" s="163" t="str">
        <f>+IF(Tabla2[[#This Row],[FECHA DE PAGO]]&gt;0,"pagada","por pagar")</f>
        <v>pagada</v>
      </c>
      <c r="AD94" s="164" t="str">
        <f>+IF(AND(Tabla2[[#This Row],[venc]]="venc",Tabla2[[#This Row],[estado pago]]="por pagar"),"vencida","no")</f>
        <v>no</v>
      </c>
    </row>
    <row r="95" spans="1:30" ht="19.5" hidden="1" customHeight="1" x14ac:dyDescent="0.25">
      <c r="A95" s="8" t="s">
        <v>1850</v>
      </c>
      <c r="B95" s="8" t="s">
        <v>1851</v>
      </c>
      <c r="C95" s="8">
        <v>30</v>
      </c>
      <c r="D95" s="151">
        <v>1460000.29</v>
      </c>
      <c r="E95" s="151"/>
      <c r="F95" s="24" t="s">
        <v>139</v>
      </c>
      <c r="G95" s="30">
        <v>44988</v>
      </c>
      <c r="H95" s="81" t="s">
        <v>131</v>
      </c>
      <c r="I95" s="30">
        <v>44957</v>
      </c>
      <c r="J95" s="16" t="s">
        <v>544</v>
      </c>
      <c r="K95" s="9" t="s">
        <v>1530</v>
      </c>
      <c r="L95" s="9"/>
      <c r="M95" s="152">
        <v>262185</v>
      </c>
      <c r="N95" s="153">
        <v>49815.15</v>
      </c>
      <c r="O95" s="152">
        <v>0</v>
      </c>
      <c r="P95" s="154">
        <v>0</v>
      </c>
      <c r="Q95" s="152">
        <v>0</v>
      </c>
      <c r="R95" s="9">
        <v>312000.15000000002</v>
      </c>
      <c r="S95" s="21" t="s">
        <v>1846</v>
      </c>
      <c r="T95" s="117">
        <v>0</v>
      </c>
      <c r="U95" s="117" t="s">
        <v>347</v>
      </c>
      <c r="V95" s="117">
        <v>2023</v>
      </c>
      <c r="W95" s="117">
        <v>6</v>
      </c>
      <c r="X95" s="117">
        <v>1145000</v>
      </c>
      <c r="Y95" s="117">
        <v>2.5000000000000001E-2</v>
      </c>
      <c r="Z95" s="21" t="b">
        <v>0</v>
      </c>
      <c r="AA95" s="162">
        <f>+$AD$5-Tabla2[[#This Row],[FECHA DE FACTURACIÓN]]</f>
        <v>486</v>
      </c>
      <c r="AB95" s="163" t="str">
        <f>+IF(Tabla2[[#This Row],[dias de credito]]&gt;=Tabla2[[#This Row],[PLAZO Días]],"venc", "No venc")</f>
        <v>venc</v>
      </c>
      <c r="AC95" s="163" t="str">
        <f>+IF(Tabla2[[#This Row],[FECHA DE PAGO]]&gt;0,"pagada","por pagar")</f>
        <v>pagada</v>
      </c>
      <c r="AD95" s="164" t="str">
        <f>+IF(AND(Tabla2[[#This Row],[venc]]="venc",Tabla2[[#This Row],[estado pago]]="por pagar"),"vencida","no")</f>
        <v>no</v>
      </c>
    </row>
    <row r="96" spans="1:30" ht="19.5" hidden="1" customHeight="1" x14ac:dyDescent="0.25">
      <c r="A96" s="8" t="s">
        <v>1850</v>
      </c>
      <c r="B96" s="8" t="b">
        <v>0</v>
      </c>
      <c r="C96" s="8">
        <v>30</v>
      </c>
      <c r="D96" s="151">
        <v>1776037.21</v>
      </c>
      <c r="E96" s="151"/>
      <c r="F96" s="24" t="s">
        <v>148</v>
      </c>
      <c r="G96" s="30">
        <v>44988</v>
      </c>
      <c r="H96" s="81" t="s">
        <v>17</v>
      </c>
      <c r="I96" s="30">
        <v>44960</v>
      </c>
      <c r="J96" s="16" t="s">
        <v>552</v>
      </c>
      <c r="K96" s="9" t="s">
        <v>1530</v>
      </c>
      <c r="L96" s="9"/>
      <c r="M96" s="152">
        <v>-14300</v>
      </c>
      <c r="N96" s="153">
        <v>-2717</v>
      </c>
      <c r="O96" s="152">
        <v>0</v>
      </c>
      <c r="P96" s="154">
        <v>0</v>
      </c>
      <c r="Q96" s="152">
        <v>0</v>
      </c>
      <c r="R96" s="9">
        <v>-17017</v>
      </c>
      <c r="S96" s="21" t="s">
        <v>1846</v>
      </c>
      <c r="T96" s="117">
        <v>0</v>
      </c>
      <c r="U96" s="117">
        <v>0</v>
      </c>
      <c r="V96" s="117">
        <v>2023</v>
      </c>
      <c r="W96" s="117">
        <v>6</v>
      </c>
      <c r="X96" s="117">
        <v>0</v>
      </c>
      <c r="Y96" s="117">
        <v>0</v>
      </c>
      <c r="Z96" s="21" t="b">
        <v>0</v>
      </c>
      <c r="AA96" s="162">
        <f>+$AD$5-Tabla2[[#This Row],[FECHA DE FACTURACIÓN]]</f>
        <v>483</v>
      </c>
      <c r="AB96" s="163" t="str">
        <f>+IF(Tabla2[[#This Row],[dias de credito]]&gt;=Tabla2[[#This Row],[PLAZO Días]],"venc", "No venc")</f>
        <v>venc</v>
      </c>
      <c r="AC96" s="163" t="str">
        <f>+IF(Tabla2[[#This Row],[FECHA DE PAGO]]&gt;0,"pagada","por pagar")</f>
        <v>pagada</v>
      </c>
      <c r="AD96" s="164" t="str">
        <f>+IF(AND(Tabla2[[#This Row],[venc]]="venc",Tabla2[[#This Row],[estado pago]]="por pagar"),"vencida","no")</f>
        <v>no</v>
      </c>
    </row>
    <row r="97" spans="1:30" ht="19.5" hidden="1" customHeight="1" x14ac:dyDescent="0.25">
      <c r="A97" s="8" t="s">
        <v>1850</v>
      </c>
      <c r="B97" s="8" t="b">
        <v>0</v>
      </c>
      <c r="C97" s="8">
        <v>30</v>
      </c>
      <c r="D97" s="151">
        <v>1776037.21</v>
      </c>
      <c r="E97" s="151"/>
      <c r="F97" s="24" t="s">
        <v>148</v>
      </c>
      <c r="G97" s="30">
        <v>44988</v>
      </c>
      <c r="H97" s="81" t="s">
        <v>17</v>
      </c>
      <c r="I97" s="30">
        <v>44960</v>
      </c>
      <c r="J97" s="16" t="s">
        <v>562</v>
      </c>
      <c r="K97" s="9" t="s">
        <v>1530</v>
      </c>
      <c r="L97" s="9"/>
      <c r="M97" s="152">
        <v>2018990</v>
      </c>
      <c r="N97" s="153">
        <v>383608.1</v>
      </c>
      <c r="O97" s="152">
        <v>0</v>
      </c>
      <c r="P97" s="154">
        <v>0</v>
      </c>
      <c r="Q97" s="152">
        <v>0</v>
      </c>
      <c r="R97" s="9">
        <v>2402598.1</v>
      </c>
      <c r="S97" s="21" t="s">
        <v>1846</v>
      </c>
      <c r="T97" s="117">
        <v>0</v>
      </c>
      <c r="U97" s="117">
        <v>0</v>
      </c>
      <c r="V97" s="117">
        <v>2023</v>
      </c>
      <c r="W97" s="117">
        <v>6</v>
      </c>
      <c r="X97" s="117">
        <v>0</v>
      </c>
      <c r="Y97" s="117">
        <v>0</v>
      </c>
      <c r="Z97" s="21" t="b">
        <v>0</v>
      </c>
      <c r="AA97" s="162">
        <f>+$AD$5-Tabla2[[#This Row],[FECHA DE FACTURACIÓN]]</f>
        <v>483</v>
      </c>
      <c r="AB97" s="163" t="str">
        <f>+IF(Tabla2[[#This Row],[dias de credito]]&gt;=Tabla2[[#This Row],[PLAZO Días]],"venc", "No venc")</f>
        <v>venc</v>
      </c>
      <c r="AC97" s="163" t="str">
        <f>+IF(Tabla2[[#This Row],[FECHA DE PAGO]]&gt;0,"pagada","por pagar")</f>
        <v>pagada</v>
      </c>
      <c r="AD97" s="164" t="str">
        <f>+IF(AND(Tabla2[[#This Row],[venc]]="venc",Tabla2[[#This Row],[estado pago]]="por pagar"),"vencida","no")</f>
        <v>no</v>
      </c>
    </row>
    <row r="98" spans="1:30" ht="19.5" hidden="1" customHeight="1" x14ac:dyDescent="0.25">
      <c r="A98" s="8" t="s">
        <v>1850</v>
      </c>
      <c r="B98" s="8" t="b">
        <v>0</v>
      </c>
      <c r="C98" s="8">
        <v>45</v>
      </c>
      <c r="D98" s="151">
        <v>22186260.039999999</v>
      </c>
      <c r="E98" s="151"/>
      <c r="F98" s="24" t="s">
        <v>357</v>
      </c>
      <c r="G98" s="30">
        <v>44988</v>
      </c>
      <c r="H98" s="81" t="s">
        <v>19</v>
      </c>
      <c r="I98" s="30">
        <v>44960</v>
      </c>
      <c r="J98" s="16" t="s">
        <v>553</v>
      </c>
      <c r="K98" s="9" t="s">
        <v>1530</v>
      </c>
      <c r="L98" s="9"/>
      <c r="M98" s="152">
        <v>8219280</v>
      </c>
      <c r="N98" s="153">
        <v>1561663.2</v>
      </c>
      <c r="O98" s="152">
        <v>0</v>
      </c>
      <c r="P98" s="154">
        <v>0</v>
      </c>
      <c r="Q98" s="152">
        <v>0</v>
      </c>
      <c r="R98" s="9">
        <v>9780943.1999999993</v>
      </c>
      <c r="S98" s="21" t="s">
        <v>1846</v>
      </c>
      <c r="T98" s="117">
        <v>0</v>
      </c>
      <c r="U98" s="117">
        <v>0</v>
      </c>
      <c r="V98" s="117">
        <v>2023</v>
      </c>
      <c r="W98" s="117">
        <v>6</v>
      </c>
      <c r="X98" s="117">
        <v>0</v>
      </c>
      <c r="Y98" s="117">
        <v>0</v>
      </c>
      <c r="Z98" s="21" t="b">
        <v>0</v>
      </c>
      <c r="AA98" s="162">
        <f>+$AD$5-Tabla2[[#This Row],[FECHA DE FACTURACIÓN]]</f>
        <v>483</v>
      </c>
      <c r="AB98" s="163" t="str">
        <f>+IF(Tabla2[[#This Row],[dias de credito]]&gt;=Tabla2[[#This Row],[PLAZO Días]],"venc", "No venc")</f>
        <v>venc</v>
      </c>
      <c r="AC98" s="163" t="str">
        <f>+IF(Tabla2[[#This Row],[FECHA DE PAGO]]&gt;0,"pagada","por pagar")</f>
        <v>pagada</v>
      </c>
      <c r="AD98" s="164" t="str">
        <f>+IF(AND(Tabla2[[#This Row],[venc]]="venc",Tabla2[[#This Row],[estado pago]]="por pagar"),"vencida","no")</f>
        <v>no</v>
      </c>
    </row>
    <row r="99" spans="1:30" ht="19.5" hidden="1" customHeight="1" x14ac:dyDescent="0.25">
      <c r="A99" s="8" t="s">
        <v>1850</v>
      </c>
      <c r="B99" s="8" t="b">
        <v>0</v>
      </c>
      <c r="C99" s="8">
        <v>30</v>
      </c>
      <c r="D99" s="151">
        <v>0</v>
      </c>
      <c r="E99" s="151"/>
      <c r="F99" s="24">
        <v>0</v>
      </c>
      <c r="G99" s="30">
        <v>44988</v>
      </c>
      <c r="H99" s="81" t="s">
        <v>1805</v>
      </c>
      <c r="I99" s="30">
        <v>44977</v>
      </c>
      <c r="J99" s="16" t="s">
        <v>591</v>
      </c>
      <c r="K99" s="9" t="s">
        <v>1530</v>
      </c>
      <c r="L99" s="9"/>
      <c r="M99" s="152">
        <v>1008000</v>
      </c>
      <c r="N99" s="153">
        <v>0</v>
      </c>
      <c r="O99" s="152">
        <v>0</v>
      </c>
      <c r="P99" s="154">
        <v>0</v>
      </c>
      <c r="Q99" s="152">
        <v>0</v>
      </c>
      <c r="R99" s="9">
        <v>1008000</v>
      </c>
      <c r="S99" s="21" t="s">
        <v>1846</v>
      </c>
      <c r="T99" s="117">
        <v>0</v>
      </c>
      <c r="U99" s="117">
        <v>0</v>
      </c>
      <c r="V99" s="117">
        <v>2023</v>
      </c>
      <c r="W99" s="117">
        <v>6</v>
      </c>
      <c r="X99" s="117">
        <v>0</v>
      </c>
      <c r="Y99" s="117">
        <v>0</v>
      </c>
      <c r="Z99" s="21" t="b">
        <v>0</v>
      </c>
      <c r="AA99" s="162">
        <f>+$AD$5-Tabla2[[#This Row],[FECHA DE FACTURACIÓN]]</f>
        <v>466</v>
      </c>
      <c r="AB99" s="163" t="str">
        <f>+IF(Tabla2[[#This Row],[dias de credito]]&gt;=Tabla2[[#This Row],[PLAZO Días]],"venc", "No venc")</f>
        <v>venc</v>
      </c>
      <c r="AC99" s="163" t="str">
        <f>+IF(Tabla2[[#This Row],[FECHA DE PAGO]]&gt;0,"pagada","por pagar")</f>
        <v>pagada</v>
      </c>
      <c r="AD99" s="164" t="str">
        <f>+IF(AND(Tabla2[[#This Row],[venc]]="venc",Tabla2[[#This Row],[estado pago]]="por pagar"),"vencida","no")</f>
        <v>no</v>
      </c>
    </row>
    <row r="100" spans="1:30" ht="19.5" hidden="1" customHeight="1" x14ac:dyDescent="0.25">
      <c r="A100" s="8" t="s">
        <v>1852</v>
      </c>
      <c r="B100" s="8" t="b">
        <v>0</v>
      </c>
      <c r="C100" s="8">
        <v>30</v>
      </c>
      <c r="D100" s="151">
        <v>0</v>
      </c>
      <c r="E100" s="151"/>
      <c r="F100" s="24" t="s">
        <v>84</v>
      </c>
      <c r="G100" s="30">
        <v>44988</v>
      </c>
      <c r="H100" s="81" t="s">
        <v>1813</v>
      </c>
      <c r="I100" s="30">
        <v>44988</v>
      </c>
      <c r="J100" s="16" t="s">
        <v>624</v>
      </c>
      <c r="K100" s="9" t="s">
        <v>1530</v>
      </c>
      <c r="L100" s="9"/>
      <c r="M100" s="152">
        <v>171400</v>
      </c>
      <c r="N100" s="153">
        <v>0</v>
      </c>
      <c r="O100" s="152">
        <v>0</v>
      </c>
      <c r="P100" s="154">
        <v>0</v>
      </c>
      <c r="Q100" s="152">
        <v>0</v>
      </c>
      <c r="R100" s="9">
        <v>171400</v>
      </c>
      <c r="S100" s="21" t="s">
        <v>1846</v>
      </c>
      <c r="T100" s="117">
        <v>0</v>
      </c>
      <c r="U100" s="117">
        <v>0</v>
      </c>
      <c r="V100" s="117">
        <v>2023</v>
      </c>
      <c r="W100" s="117">
        <v>6</v>
      </c>
      <c r="X100" s="117">
        <v>0</v>
      </c>
      <c r="Y100" s="117">
        <v>0</v>
      </c>
      <c r="Z100" s="21" t="b">
        <v>1</v>
      </c>
      <c r="AA100" s="162">
        <f>+$AD$5-Tabla2[[#This Row],[FECHA DE FACTURACIÓN]]</f>
        <v>455</v>
      </c>
      <c r="AB100" s="163" t="str">
        <f>+IF(Tabla2[[#This Row],[dias de credito]]&gt;=Tabla2[[#This Row],[PLAZO Días]],"venc", "No venc")</f>
        <v>venc</v>
      </c>
      <c r="AC100" s="163" t="str">
        <f>+IF(Tabla2[[#This Row],[FECHA DE PAGO]]&gt;0,"pagada","por pagar")</f>
        <v>pagada</v>
      </c>
      <c r="AD100" s="164" t="str">
        <f>+IF(AND(Tabla2[[#This Row],[venc]]="venc",Tabla2[[#This Row],[estado pago]]="por pagar"),"vencida","no")</f>
        <v>no</v>
      </c>
    </row>
    <row r="101" spans="1:30" ht="19.5" hidden="1" customHeight="1" x14ac:dyDescent="0.25">
      <c r="A101" s="8" t="s">
        <v>1850</v>
      </c>
      <c r="B101" s="8" t="s">
        <v>1851</v>
      </c>
      <c r="C101" s="8">
        <v>30</v>
      </c>
      <c r="D101" s="151">
        <v>0</v>
      </c>
      <c r="E101" s="151"/>
      <c r="F101" s="24">
        <v>0</v>
      </c>
      <c r="G101" s="30">
        <v>44991</v>
      </c>
      <c r="H101" s="81" t="s">
        <v>547</v>
      </c>
      <c r="I101" s="30">
        <v>44957</v>
      </c>
      <c r="J101" s="16" t="s">
        <v>548</v>
      </c>
      <c r="K101" s="9" t="s">
        <v>1530</v>
      </c>
      <c r="L101" s="9"/>
      <c r="M101" s="152">
        <v>430000</v>
      </c>
      <c r="N101" s="153">
        <v>81700</v>
      </c>
      <c r="O101" s="152">
        <v>0</v>
      </c>
      <c r="P101" s="154">
        <v>0</v>
      </c>
      <c r="Q101" s="152">
        <v>0</v>
      </c>
      <c r="R101" s="9">
        <v>511700</v>
      </c>
      <c r="S101" s="21" t="s">
        <v>1846</v>
      </c>
      <c r="T101" s="117">
        <v>0</v>
      </c>
      <c r="U101" s="117" t="s">
        <v>347</v>
      </c>
      <c r="V101" s="117">
        <v>2023</v>
      </c>
      <c r="W101" s="117">
        <v>6</v>
      </c>
      <c r="X101" s="117">
        <v>1145000</v>
      </c>
      <c r="Y101" s="117">
        <v>2.5000000000000001E-2</v>
      </c>
      <c r="Z101" s="21" t="b">
        <v>0</v>
      </c>
      <c r="AA101" s="162">
        <f>+$AD$5-Tabla2[[#This Row],[FECHA DE FACTURACIÓN]]</f>
        <v>486</v>
      </c>
      <c r="AB101" s="163" t="str">
        <f>+IF(Tabla2[[#This Row],[dias de credito]]&gt;=Tabla2[[#This Row],[PLAZO Días]],"venc", "No venc")</f>
        <v>venc</v>
      </c>
      <c r="AC101" s="163" t="str">
        <f>+IF(Tabla2[[#This Row],[FECHA DE PAGO]]&gt;0,"pagada","por pagar")</f>
        <v>pagada</v>
      </c>
      <c r="AD101" s="164" t="str">
        <f>+IF(AND(Tabla2[[#This Row],[venc]]="venc",Tabla2[[#This Row],[estado pago]]="por pagar"),"vencida","no")</f>
        <v>no</v>
      </c>
    </row>
    <row r="102" spans="1:30" ht="19.5" hidden="1" customHeight="1" x14ac:dyDescent="0.25">
      <c r="A102" s="8" t="s">
        <v>1850</v>
      </c>
      <c r="B102" s="8" t="b">
        <v>0</v>
      </c>
      <c r="C102" s="8">
        <v>30</v>
      </c>
      <c r="D102" s="151">
        <v>0</v>
      </c>
      <c r="E102" s="151"/>
      <c r="F102" s="24" t="s">
        <v>154</v>
      </c>
      <c r="G102" s="30">
        <v>44991</v>
      </c>
      <c r="H102" s="81" t="s">
        <v>385</v>
      </c>
      <c r="I102" s="30">
        <v>44966</v>
      </c>
      <c r="J102" s="16" t="s">
        <v>549</v>
      </c>
      <c r="K102" s="9" t="s">
        <v>1530</v>
      </c>
      <c r="L102" s="9"/>
      <c r="M102" s="152">
        <v>1520000</v>
      </c>
      <c r="N102" s="153">
        <v>0</v>
      </c>
      <c r="O102" s="152">
        <v>0</v>
      </c>
      <c r="P102" s="154">
        <v>3.5000000000000003E-2</v>
      </c>
      <c r="Q102" s="152">
        <v>53200.000000000007</v>
      </c>
      <c r="R102" s="9">
        <v>1466800</v>
      </c>
      <c r="S102" s="21" t="s">
        <v>1846</v>
      </c>
      <c r="T102" s="117">
        <v>0</v>
      </c>
      <c r="U102" s="117" t="s">
        <v>348</v>
      </c>
      <c r="V102" s="117">
        <v>2023</v>
      </c>
      <c r="W102" s="117">
        <v>6</v>
      </c>
      <c r="X102" s="117">
        <v>0</v>
      </c>
      <c r="Y102" s="117">
        <v>3.5000000000000003E-2</v>
      </c>
      <c r="Z102" s="21" t="b">
        <v>1</v>
      </c>
      <c r="AA102" s="162">
        <f>+$AD$5-Tabla2[[#This Row],[FECHA DE FACTURACIÓN]]</f>
        <v>477</v>
      </c>
      <c r="AB102" s="163" t="str">
        <f>+IF(Tabla2[[#This Row],[dias de credito]]&gt;=Tabla2[[#This Row],[PLAZO Días]],"venc", "No venc")</f>
        <v>venc</v>
      </c>
      <c r="AC102" s="163" t="str">
        <f>+IF(Tabla2[[#This Row],[FECHA DE PAGO]]&gt;0,"pagada","por pagar")</f>
        <v>pagada</v>
      </c>
      <c r="AD102" s="164" t="str">
        <f>+IF(AND(Tabla2[[#This Row],[venc]]="venc",Tabla2[[#This Row],[estado pago]]="por pagar"),"vencida","no")</f>
        <v>no</v>
      </c>
    </row>
    <row r="103" spans="1:30" ht="19.5" hidden="1" customHeight="1" x14ac:dyDescent="0.25">
      <c r="A103" s="8" t="s">
        <v>1852</v>
      </c>
      <c r="B103" s="8" t="b">
        <v>0</v>
      </c>
      <c r="C103" s="8">
        <v>30</v>
      </c>
      <c r="D103" s="151">
        <v>0</v>
      </c>
      <c r="E103" s="151"/>
      <c r="F103" s="24" t="s">
        <v>231</v>
      </c>
      <c r="G103" s="30">
        <v>44991</v>
      </c>
      <c r="H103" s="81" t="s">
        <v>1814</v>
      </c>
      <c r="I103" s="30">
        <v>44991</v>
      </c>
      <c r="J103" s="16" t="s">
        <v>660</v>
      </c>
      <c r="K103" s="9" t="s">
        <v>1530</v>
      </c>
      <c r="L103" s="9"/>
      <c r="M103" s="152">
        <v>430000</v>
      </c>
      <c r="N103" s="153">
        <v>0</v>
      </c>
      <c r="O103" s="152">
        <v>0</v>
      </c>
      <c r="P103" s="154">
        <v>0</v>
      </c>
      <c r="Q103" s="152">
        <v>0</v>
      </c>
      <c r="R103" s="9">
        <v>430000</v>
      </c>
      <c r="S103" s="21" t="s">
        <v>1846</v>
      </c>
      <c r="T103" s="117">
        <v>0</v>
      </c>
      <c r="U103" s="117">
        <v>0</v>
      </c>
      <c r="V103" s="117">
        <v>2023</v>
      </c>
      <c r="W103" s="117">
        <v>6</v>
      </c>
      <c r="X103" s="117">
        <v>0</v>
      </c>
      <c r="Y103" s="117">
        <v>0</v>
      </c>
      <c r="Z103" s="21" t="b">
        <v>0</v>
      </c>
      <c r="AA103" s="162">
        <f>+$AD$5-Tabla2[[#This Row],[FECHA DE FACTURACIÓN]]</f>
        <v>452</v>
      </c>
      <c r="AB103" s="163" t="str">
        <f>+IF(Tabla2[[#This Row],[dias de credito]]&gt;=Tabla2[[#This Row],[PLAZO Días]],"venc", "No venc")</f>
        <v>venc</v>
      </c>
      <c r="AC103" s="163" t="str">
        <f>+IF(Tabla2[[#This Row],[FECHA DE PAGO]]&gt;0,"pagada","por pagar")</f>
        <v>pagada</v>
      </c>
      <c r="AD103" s="164" t="str">
        <f>+IF(AND(Tabla2[[#This Row],[venc]]="venc",Tabla2[[#This Row],[estado pago]]="por pagar"),"vencida","no")</f>
        <v>no</v>
      </c>
    </row>
    <row r="104" spans="1:30" ht="19.5" hidden="1" customHeight="1" x14ac:dyDescent="0.25">
      <c r="A104" s="8" t="s">
        <v>1852</v>
      </c>
      <c r="B104" s="8" t="b">
        <v>0</v>
      </c>
      <c r="C104" s="8">
        <v>30</v>
      </c>
      <c r="D104" s="151">
        <v>0</v>
      </c>
      <c r="E104" s="151"/>
      <c r="F104" s="24" t="s">
        <v>1614</v>
      </c>
      <c r="G104" s="30">
        <v>44991</v>
      </c>
      <c r="H104" s="81" t="s">
        <v>1863</v>
      </c>
      <c r="I104" s="30">
        <v>44991</v>
      </c>
      <c r="J104" s="16" t="s">
        <v>688</v>
      </c>
      <c r="K104" s="9" t="s">
        <v>1530</v>
      </c>
      <c r="L104" s="9"/>
      <c r="M104" s="152">
        <v>1930000</v>
      </c>
      <c r="N104" s="153">
        <v>0</v>
      </c>
      <c r="O104" s="152">
        <v>0</v>
      </c>
      <c r="P104" s="154">
        <v>0</v>
      </c>
      <c r="Q104" s="152">
        <v>0</v>
      </c>
      <c r="R104" s="9">
        <v>1930000</v>
      </c>
      <c r="S104" s="21" t="s">
        <v>1846</v>
      </c>
      <c r="T104" s="117">
        <v>0</v>
      </c>
      <c r="U104" s="117">
        <v>0</v>
      </c>
      <c r="V104" s="117">
        <v>2023</v>
      </c>
      <c r="W104" s="117">
        <v>6</v>
      </c>
      <c r="X104" s="117">
        <v>0</v>
      </c>
      <c r="Y104" s="117">
        <v>0</v>
      </c>
      <c r="Z104" s="21" t="b">
        <v>0</v>
      </c>
      <c r="AA104" s="162">
        <f>+$AD$5-Tabla2[[#This Row],[FECHA DE FACTURACIÓN]]</f>
        <v>452</v>
      </c>
      <c r="AB104" s="163" t="str">
        <f>+IF(Tabla2[[#This Row],[dias de credito]]&gt;=Tabla2[[#This Row],[PLAZO Días]],"venc", "No venc")</f>
        <v>venc</v>
      </c>
      <c r="AC104" s="163" t="str">
        <f>+IF(Tabla2[[#This Row],[FECHA DE PAGO]]&gt;0,"pagada","por pagar")</f>
        <v>pagada</v>
      </c>
      <c r="AD104" s="164" t="str">
        <f>+IF(AND(Tabla2[[#This Row],[venc]]="venc",Tabla2[[#This Row],[estado pago]]="por pagar"),"vencida","no")</f>
        <v>no</v>
      </c>
    </row>
    <row r="105" spans="1:30" ht="19.5" hidden="1" customHeight="1" x14ac:dyDescent="0.25">
      <c r="A105" s="8" t="s">
        <v>1852</v>
      </c>
      <c r="B105" s="8" t="b">
        <v>0</v>
      </c>
      <c r="C105" s="8">
        <v>30</v>
      </c>
      <c r="D105" s="151">
        <v>0</v>
      </c>
      <c r="E105" s="151"/>
      <c r="F105" s="24">
        <v>0</v>
      </c>
      <c r="G105" s="30">
        <v>44991</v>
      </c>
      <c r="H105" s="81" t="s">
        <v>291</v>
      </c>
      <c r="I105" s="30">
        <v>44991</v>
      </c>
      <c r="J105" s="16" t="s">
        <v>602</v>
      </c>
      <c r="K105" s="9" t="s">
        <v>1530</v>
      </c>
      <c r="L105" s="9"/>
      <c r="M105" s="152">
        <v>1682849</v>
      </c>
      <c r="N105" s="153">
        <v>319741.31</v>
      </c>
      <c r="O105" s="152">
        <v>0</v>
      </c>
      <c r="P105" s="154">
        <v>2.5000000000000001E-2</v>
      </c>
      <c r="Q105" s="152">
        <v>42071.225000000006</v>
      </c>
      <c r="R105" s="9">
        <v>1960519.085</v>
      </c>
      <c r="S105" s="21" t="s">
        <v>1846</v>
      </c>
      <c r="T105" s="117">
        <v>0</v>
      </c>
      <c r="U105" s="117" t="s">
        <v>347</v>
      </c>
      <c r="V105" s="117">
        <v>2023</v>
      </c>
      <c r="W105" s="117">
        <v>6</v>
      </c>
      <c r="X105" s="117">
        <v>1145000</v>
      </c>
      <c r="Y105" s="117">
        <v>2.5000000000000001E-2</v>
      </c>
      <c r="Z105" s="21" t="b">
        <v>0</v>
      </c>
      <c r="AA105" s="162">
        <f>+$AD$5-Tabla2[[#This Row],[FECHA DE FACTURACIÓN]]</f>
        <v>452</v>
      </c>
      <c r="AB105" s="163" t="str">
        <f>+IF(Tabla2[[#This Row],[dias de credito]]&gt;=Tabla2[[#This Row],[PLAZO Días]],"venc", "No venc")</f>
        <v>venc</v>
      </c>
      <c r="AC105" s="163" t="str">
        <f>+IF(Tabla2[[#This Row],[FECHA DE PAGO]]&gt;0,"pagada","por pagar")</f>
        <v>pagada</v>
      </c>
      <c r="AD105" s="164" t="str">
        <f>+IF(AND(Tabla2[[#This Row],[venc]]="venc",Tabla2[[#This Row],[estado pago]]="por pagar"),"vencida","no")</f>
        <v>no</v>
      </c>
    </row>
    <row r="106" spans="1:30" ht="19.5" hidden="1" customHeight="1" x14ac:dyDescent="0.25">
      <c r="A106" s="8" t="s">
        <v>1852</v>
      </c>
      <c r="B106" s="8" t="b">
        <v>0</v>
      </c>
      <c r="C106" s="8">
        <v>30</v>
      </c>
      <c r="D106" s="151">
        <v>0</v>
      </c>
      <c r="E106" s="151"/>
      <c r="F106" s="24" t="s">
        <v>228</v>
      </c>
      <c r="G106" s="30">
        <v>44991</v>
      </c>
      <c r="H106" s="81" t="s">
        <v>199</v>
      </c>
      <c r="I106" s="30">
        <v>44991</v>
      </c>
      <c r="J106" s="16">
        <v>6922</v>
      </c>
      <c r="K106" s="9" t="s">
        <v>1530</v>
      </c>
      <c r="L106" s="9"/>
      <c r="M106" s="152">
        <v>4100000</v>
      </c>
      <c r="N106" s="153">
        <v>779000</v>
      </c>
      <c r="O106" s="152">
        <v>0</v>
      </c>
      <c r="P106" s="154">
        <v>2.5000000000000001E-2</v>
      </c>
      <c r="Q106" s="152">
        <v>102500</v>
      </c>
      <c r="R106" s="9">
        <v>4776500</v>
      </c>
      <c r="S106" s="21" t="s">
        <v>1846</v>
      </c>
      <c r="T106" s="117">
        <v>0</v>
      </c>
      <c r="U106" s="117" t="s">
        <v>347</v>
      </c>
      <c r="V106" s="117">
        <v>2023</v>
      </c>
      <c r="W106" s="117">
        <v>6</v>
      </c>
      <c r="X106" s="117">
        <v>1145000</v>
      </c>
      <c r="Y106" s="117">
        <v>2.5000000000000001E-2</v>
      </c>
      <c r="Z106" s="21" t="b">
        <v>0</v>
      </c>
      <c r="AA106" s="162">
        <f>+$AD$5-Tabla2[[#This Row],[FECHA DE FACTURACIÓN]]</f>
        <v>452</v>
      </c>
      <c r="AB106" s="163" t="str">
        <f>+IF(Tabla2[[#This Row],[dias de credito]]&gt;=Tabla2[[#This Row],[PLAZO Días]],"venc", "No venc")</f>
        <v>venc</v>
      </c>
      <c r="AC106" s="163" t="str">
        <f>+IF(Tabla2[[#This Row],[FECHA DE PAGO]]&gt;0,"pagada","por pagar")</f>
        <v>pagada</v>
      </c>
      <c r="AD106" s="164" t="str">
        <f>+IF(AND(Tabla2[[#This Row],[venc]]="venc",Tabla2[[#This Row],[estado pago]]="por pagar"),"vencida","no")</f>
        <v>no</v>
      </c>
    </row>
    <row r="107" spans="1:30" ht="19.5" hidden="1" customHeight="1" x14ac:dyDescent="0.25">
      <c r="A107" s="8" t="s">
        <v>1852</v>
      </c>
      <c r="B107" s="8" t="b">
        <v>0</v>
      </c>
      <c r="C107" s="8">
        <v>30</v>
      </c>
      <c r="D107" s="151">
        <v>9950488.6799999997</v>
      </c>
      <c r="E107" s="151"/>
      <c r="F107" s="24" t="s">
        <v>410</v>
      </c>
      <c r="G107" s="30">
        <v>44991</v>
      </c>
      <c r="H107" s="81" t="s">
        <v>11</v>
      </c>
      <c r="I107" s="30">
        <v>44991</v>
      </c>
      <c r="J107" s="16" t="s">
        <v>615</v>
      </c>
      <c r="K107" s="9" t="s">
        <v>1530</v>
      </c>
      <c r="L107" s="9"/>
      <c r="M107" s="152">
        <v>350379</v>
      </c>
      <c r="N107" s="153">
        <v>66572.009999999995</v>
      </c>
      <c r="O107" s="152">
        <v>0</v>
      </c>
      <c r="P107" s="154">
        <v>0</v>
      </c>
      <c r="Q107" s="152">
        <v>0</v>
      </c>
      <c r="R107" s="9">
        <v>416951.01</v>
      </c>
      <c r="S107" s="21" t="s">
        <v>1846</v>
      </c>
      <c r="T107" s="117">
        <v>0</v>
      </c>
      <c r="U107" s="117" t="s">
        <v>347</v>
      </c>
      <c r="V107" s="117">
        <v>2023</v>
      </c>
      <c r="W107" s="117">
        <v>6</v>
      </c>
      <c r="X107" s="117">
        <v>1145000</v>
      </c>
      <c r="Y107" s="117">
        <v>2.5000000000000001E-2</v>
      </c>
      <c r="Z107" s="21" t="b">
        <v>0</v>
      </c>
      <c r="AA107" s="162">
        <f>+$AD$5-Tabla2[[#This Row],[FECHA DE FACTURACIÓN]]</f>
        <v>452</v>
      </c>
      <c r="AB107" s="163" t="str">
        <f>+IF(Tabla2[[#This Row],[dias de credito]]&gt;=Tabla2[[#This Row],[PLAZO Días]],"venc", "No venc")</f>
        <v>venc</v>
      </c>
      <c r="AC107" s="163" t="str">
        <f>+IF(Tabla2[[#This Row],[FECHA DE PAGO]]&gt;0,"pagada","por pagar")</f>
        <v>pagada</v>
      </c>
      <c r="AD107" s="164" t="str">
        <f>+IF(AND(Tabla2[[#This Row],[venc]]="venc",Tabla2[[#This Row],[estado pago]]="por pagar"),"vencida","no")</f>
        <v>no</v>
      </c>
    </row>
    <row r="108" spans="1:30" ht="19.5" hidden="1" customHeight="1" x14ac:dyDescent="0.25">
      <c r="A108" s="8" t="s">
        <v>1850</v>
      </c>
      <c r="B108" s="8" t="s">
        <v>1851</v>
      </c>
      <c r="C108" s="8">
        <v>60</v>
      </c>
      <c r="D108" s="151">
        <v>1730482</v>
      </c>
      <c r="E108" s="151"/>
      <c r="F108" s="24" t="s">
        <v>603</v>
      </c>
      <c r="G108" s="30">
        <v>44992</v>
      </c>
      <c r="H108" s="81" t="s">
        <v>222</v>
      </c>
      <c r="I108" s="30">
        <v>44927</v>
      </c>
      <c r="J108" s="16">
        <v>1585</v>
      </c>
      <c r="K108" s="9" t="s">
        <v>1530</v>
      </c>
      <c r="L108" s="9"/>
      <c r="M108" s="152">
        <v>192000</v>
      </c>
      <c r="N108" s="153">
        <v>0</v>
      </c>
      <c r="O108" s="152">
        <v>0</v>
      </c>
      <c r="P108" s="154">
        <v>0</v>
      </c>
      <c r="Q108" s="152">
        <v>0</v>
      </c>
      <c r="R108" s="9">
        <v>192000</v>
      </c>
      <c r="S108" s="21" t="s">
        <v>1846</v>
      </c>
      <c r="T108" s="117">
        <v>0</v>
      </c>
      <c r="U108" s="117">
        <v>0</v>
      </c>
      <c r="V108" s="117">
        <v>2023</v>
      </c>
      <c r="W108" s="117">
        <v>6</v>
      </c>
      <c r="X108" s="117">
        <v>0</v>
      </c>
      <c r="Y108" s="117">
        <v>0</v>
      </c>
      <c r="Z108" s="21" t="b">
        <v>0</v>
      </c>
      <c r="AA108" s="162">
        <f>+$AD$5-Tabla2[[#This Row],[FECHA DE FACTURACIÓN]]</f>
        <v>516</v>
      </c>
      <c r="AB108" s="163" t="str">
        <f>+IF(Tabla2[[#This Row],[dias de credito]]&gt;=Tabla2[[#This Row],[PLAZO Días]],"venc", "No venc")</f>
        <v>venc</v>
      </c>
      <c r="AC108" s="163" t="str">
        <f>+IF(Tabla2[[#This Row],[FECHA DE PAGO]]&gt;0,"pagada","por pagar")</f>
        <v>pagada</v>
      </c>
      <c r="AD108" s="164" t="str">
        <f>+IF(AND(Tabla2[[#This Row],[venc]]="venc",Tabla2[[#This Row],[estado pago]]="por pagar"),"vencida","no")</f>
        <v>no</v>
      </c>
    </row>
    <row r="109" spans="1:30" ht="19.5" hidden="1" customHeight="1" x14ac:dyDescent="0.25">
      <c r="A109" s="8" t="s">
        <v>1850</v>
      </c>
      <c r="B109" s="8" t="s">
        <v>1851</v>
      </c>
      <c r="C109" s="8">
        <v>60</v>
      </c>
      <c r="D109" s="151">
        <v>1730482</v>
      </c>
      <c r="E109" s="151"/>
      <c r="F109" s="24" t="s">
        <v>603</v>
      </c>
      <c r="G109" s="30">
        <v>44992</v>
      </c>
      <c r="H109" s="81" t="s">
        <v>222</v>
      </c>
      <c r="I109" s="30">
        <v>44927</v>
      </c>
      <c r="J109" s="16">
        <v>1586</v>
      </c>
      <c r="K109" s="9" t="s">
        <v>1530</v>
      </c>
      <c r="L109" s="9"/>
      <c r="M109" s="152">
        <v>192000</v>
      </c>
      <c r="N109" s="153">
        <v>0</v>
      </c>
      <c r="O109" s="152">
        <v>0</v>
      </c>
      <c r="P109" s="154">
        <v>0</v>
      </c>
      <c r="Q109" s="152">
        <v>0</v>
      </c>
      <c r="R109" s="9">
        <v>192000</v>
      </c>
      <c r="S109" s="21" t="s">
        <v>1846</v>
      </c>
      <c r="T109" s="117">
        <v>0</v>
      </c>
      <c r="U109" s="117">
        <v>0</v>
      </c>
      <c r="V109" s="117">
        <v>2023</v>
      </c>
      <c r="W109" s="117">
        <v>6</v>
      </c>
      <c r="X109" s="117">
        <v>0</v>
      </c>
      <c r="Y109" s="117">
        <v>0</v>
      </c>
      <c r="Z109" s="21" t="b">
        <v>0</v>
      </c>
      <c r="AA109" s="162">
        <f>+$AD$5-Tabla2[[#This Row],[FECHA DE FACTURACIÓN]]</f>
        <v>516</v>
      </c>
      <c r="AB109" s="163" t="str">
        <f>+IF(Tabla2[[#This Row],[dias de credito]]&gt;=Tabla2[[#This Row],[PLAZO Días]],"venc", "No venc")</f>
        <v>venc</v>
      </c>
      <c r="AC109" s="163" t="str">
        <f>+IF(Tabla2[[#This Row],[FECHA DE PAGO]]&gt;0,"pagada","por pagar")</f>
        <v>pagada</v>
      </c>
      <c r="AD109" s="164" t="str">
        <f>+IF(AND(Tabla2[[#This Row],[venc]]="venc",Tabla2[[#This Row],[estado pago]]="por pagar"),"vencida","no")</f>
        <v>no</v>
      </c>
    </row>
    <row r="110" spans="1:30" ht="19.5" hidden="1" customHeight="1" x14ac:dyDescent="0.25">
      <c r="A110" s="8" t="s">
        <v>1850</v>
      </c>
      <c r="B110" s="8" t="b">
        <v>0</v>
      </c>
      <c r="C110" s="8">
        <v>60</v>
      </c>
      <c r="D110" s="151">
        <v>1730482</v>
      </c>
      <c r="E110" s="151"/>
      <c r="F110" s="24" t="s">
        <v>603</v>
      </c>
      <c r="G110" s="30">
        <v>44992</v>
      </c>
      <c r="H110" s="81" t="s">
        <v>222</v>
      </c>
      <c r="I110" s="30">
        <v>44949</v>
      </c>
      <c r="J110" s="16">
        <v>1591</v>
      </c>
      <c r="K110" s="9" t="s">
        <v>1530</v>
      </c>
      <c r="L110" s="9"/>
      <c r="M110" s="152">
        <v>519340</v>
      </c>
      <c r="N110" s="153">
        <v>0</v>
      </c>
      <c r="O110" s="152">
        <v>0</v>
      </c>
      <c r="P110" s="154">
        <v>0</v>
      </c>
      <c r="Q110" s="152">
        <v>0</v>
      </c>
      <c r="R110" s="9">
        <v>519340</v>
      </c>
      <c r="S110" s="21" t="s">
        <v>1846</v>
      </c>
      <c r="T110" s="117">
        <v>0</v>
      </c>
      <c r="U110" s="117">
        <v>0</v>
      </c>
      <c r="V110" s="117">
        <v>2023</v>
      </c>
      <c r="W110" s="117">
        <v>6</v>
      </c>
      <c r="X110" s="117">
        <v>0</v>
      </c>
      <c r="Y110" s="117">
        <v>0</v>
      </c>
      <c r="Z110" s="21" t="b">
        <v>0</v>
      </c>
      <c r="AA110" s="162">
        <f>+$AD$5-Tabla2[[#This Row],[FECHA DE FACTURACIÓN]]</f>
        <v>494</v>
      </c>
      <c r="AB110" s="163" t="str">
        <f>+IF(Tabla2[[#This Row],[dias de credito]]&gt;=Tabla2[[#This Row],[PLAZO Días]],"venc", "No venc")</f>
        <v>venc</v>
      </c>
      <c r="AC110" s="163" t="str">
        <f>+IF(Tabla2[[#This Row],[FECHA DE PAGO]]&gt;0,"pagada","por pagar")</f>
        <v>pagada</v>
      </c>
      <c r="AD110" s="164" t="str">
        <f>+IF(AND(Tabla2[[#This Row],[venc]]="venc",Tabla2[[#This Row],[estado pago]]="por pagar"),"vencida","no")</f>
        <v>no</v>
      </c>
    </row>
    <row r="111" spans="1:30" ht="19.5" hidden="1" customHeight="1" x14ac:dyDescent="0.25">
      <c r="A111" s="8" t="s">
        <v>1850</v>
      </c>
      <c r="B111" s="8" t="b">
        <v>0</v>
      </c>
      <c r="C111" s="8">
        <v>60</v>
      </c>
      <c r="D111" s="151">
        <v>1730482</v>
      </c>
      <c r="E111" s="151"/>
      <c r="F111" s="24" t="s">
        <v>603</v>
      </c>
      <c r="G111" s="30">
        <v>44992</v>
      </c>
      <c r="H111" s="81" t="s">
        <v>222</v>
      </c>
      <c r="I111" s="30">
        <v>44949</v>
      </c>
      <c r="J111" s="16">
        <v>1598</v>
      </c>
      <c r="K111" s="9" t="s">
        <v>1530</v>
      </c>
      <c r="L111" s="9"/>
      <c r="M111" s="152">
        <v>184000</v>
      </c>
      <c r="N111" s="153">
        <v>0</v>
      </c>
      <c r="O111" s="152">
        <v>0</v>
      </c>
      <c r="P111" s="154">
        <v>0</v>
      </c>
      <c r="Q111" s="152">
        <v>0</v>
      </c>
      <c r="R111" s="9">
        <v>184000</v>
      </c>
      <c r="S111" s="21" t="s">
        <v>1846</v>
      </c>
      <c r="T111" s="117">
        <v>0</v>
      </c>
      <c r="U111" s="117">
        <v>0</v>
      </c>
      <c r="V111" s="117">
        <v>2023</v>
      </c>
      <c r="W111" s="117">
        <v>6</v>
      </c>
      <c r="X111" s="117">
        <v>0</v>
      </c>
      <c r="Y111" s="117">
        <v>0</v>
      </c>
      <c r="Z111" s="21" t="b">
        <v>0</v>
      </c>
      <c r="AA111" s="162">
        <f>+$AD$5-Tabla2[[#This Row],[FECHA DE FACTURACIÓN]]</f>
        <v>494</v>
      </c>
      <c r="AB111" s="163" t="str">
        <f>+IF(Tabla2[[#This Row],[dias de credito]]&gt;=Tabla2[[#This Row],[PLAZO Días]],"venc", "No venc")</f>
        <v>venc</v>
      </c>
      <c r="AC111" s="163" t="str">
        <f>+IF(Tabla2[[#This Row],[FECHA DE PAGO]]&gt;0,"pagada","por pagar")</f>
        <v>pagada</v>
      </c>
      <c r="AD111" s="164" t="str">
        <f>+IF(AND(Tabla2[[#This Row],[venc]]="venc",Tabla2[[#This Row],[estado pago]]="por pagar"),"vencida","no")</f>
        <v>no</v>
      </c>
    </row>
    <row r="112" spans="1:30" ht="19.5" hidden="1" customHeight="1" x14ac:dyDescent="0.25">
      <c r="A112" s="8" t="s">
        <v>1850</v>
      </c>
      <c r="B112" s="8" t="b">
        <v>0</v>
      </c>
      <c r="C112" s="8">
        <v>45</v>
      </c>
      <c r="D112" s="151">
        <v>0</v>
      </c>
      <c r="E112" s="151"/>
      <c r="F112" s="24" t="s">
        <v>603</v>
      </c>
      <c r="G112" s="30">
        <v>44992</v>
      </c>
      <c r="H112" s="81" t="s">
        <v>224</v>
      </c>
      <c r="I112" s="30">
        <v>44949</v>
      </c>
      <c r="J112" s="16">
        <v>1589</v>
      </c>
      <c r="K112" s="9" t="s">
        <v>1530</v>
      </c>
      <c r="L112" s="9"/>
      <c r="M112" s="152">
        <v>2299080</v>
      </c>
      <c r="N112" s="153">
        <v>0</v>
      </c>
      <c r="O112" s="152">
        <v>0</v>
      </c>
      <c r="P112" s="154">
        <v>0</v>
      </c>
      <c r="Q112" s="152">
        <v>0</v>
      </c>
      <c r="R112" s="9">
        <v>2299080</v>
      </c>
      <c r="S112" s="21" t="s">
        <v>1846</v>
      </c>
      <c r="T112" s="117">
        <v>0</v>
      </c>
      <c r="U112" s="117">
        <v>0</v>
      </c>
      <c r="V112" s="117">
        <v>2023</v>
      </c>
      <c r="W112" s="117">
        <v>6</v>
      </c>
      <c r="X112" s="117">
        <v>0</v>
      </c>
      <c r="Y112" s="117">
        <v>0</v>
      </c>
      <c r="Z112" s="21" t="b">
        <v>0</v>
      </c>
      <c r="AA112" s="162">
        <f>+$AD$5-Tabla2[[#This Row],[FECHA DE FACTURACIÓN]]</f>
        <v>494</v>
      </c>
      <c r="AB112" s="163" t="str">
        <f>+IF(Tabla2[[#This Row],[dias de credito]]&gt;=Tabla2[[#This Row],[PLAZO Días]],"venc", "No venc")</f>
        <v>venc</v>
      </c>
      <c r="AC112" s="163" t="str">
        <f>+IF(Tabla2[[#This Row],[FECHA DE PAGO]]&gt;0,"pagada","por pagar")</f>
        <v>pagada</v>
      </c>
      <c r="AD112" s="164" t="str">
        <f>+IF(AND(Tabla2[[#This Row],[venc]]="venc",Tabla2[[#This Row],[estado pago]]="por pagar"),"vencida","no")</f>
        <v>no</v>
      </c>
    </row>
    <row r="113" spans="1:30" ht="19.5" hidden="1" customHeight="1" x14ac:dyDescent="0.25">
      <c r="A113" s="8" t="s">
        <v>1850</v>
      </c>
      <c r="B113" s="8" t="b">
        <v>0</v>
      </c>
      <c r="C113" s="8">
        <v>60</v>
      </c>
      <c r="D113" s="151">
        <v>1730482</v>
      </c>
      <c r="E113" s="151"/>
      <c r="F113" s="24" t="s">
        <v>603</v>
      </c>
      <c r="G113" s="30">
        <v>44992</v>
      </c>
      <c r="H113" s="81" t="s">
        <v>222</v>
      </c>
      <c r="I113" s="30">
        <v>44963</v>
      </c>
      <c r="J113" s="16">
        <v>1607</v>
      </c>
      <c r="K113" s="9" t="s">
        <v>1530</v>
      </c>
      <c r="L113" s="9"/>
      <c r="M113" s="152">
        <v>191200</v>
      </c>
      <c r="N113" s="153">
        <v>0</v>
      </c>
      <c r="O113" s="152">
        <v>0</v>
      </c>
      <c r="P113" s="154">
        <v>0</v>
      </c>
      <c r="Q113" s="152">
        <v>0</v>
      </c>
      <c r="R113" s="9">
        <v>191200</v>
      </c>
      <c r="S113" s="21" t="s">
        <v>1846</v>
      </c>
      <c r="T113" s="117">
        <v>0</v>
      </c>
      <c r="U113" s="117">
        <v>0</v>
      </c>
      <c r="V113" s="117">
        <v>2023</v>
      </c>
      <c r="W113" s="117">
        <v>6</v>
      </c>
      <c r="X113" s="117">
        <v>0</v>
      </c>
      <c r="Y113" s="117">
        <v>0</v>
      </c>
      <c r="Z113" s="21" t="b">
        <v>0</v>
      </c>
      <c r="AA113" s="162">
        <f>+$AD$5-Tabla2[[#This Row],[FECHA DE FACTURACIÓN]]</f>
        <v>480</v>
      </c>
      <c r="AB113" s="163" t="str">
        <f>+IF(Tabla2[[#This Row],[dias de credito]]&gt;=Tabla2[[#This Row],[PLAZO Días]],"venc", "No venc")</f>
        <v>venc</v>
      </c>
      <c r="AC113" s="163" t="str">
        <f>+IF(Tabla2[[#This Row],[FECHA DE PAGO]]&gt;0,"pagada","por pagar")</f>
        <v>pagada</v>
      </c>
      <c r="AD113" s="164" t="str">
        <f>+IF(AND(Tabla2[[#This Row],[venc]]="venc",Tabla2[[#This Row],[estado pago]]="por pagar"),"vencida","no")</f>
        <v>no</v>
      </c>
    </row>
    <row r="114" spans="1:30" ht="19.5" hidden="1" customHeight="1" x14ac:dyDescent="0.25">
      <c r="A114" s="8" t="s">
        <v>1850</v>
      </c>
      <c r="B114" s="8" t="b">
        <v>0</v>
      </c>
      <c r="C114" s="8">
        <v>60</v>
      </c>
      <c r="D114" s="151">
        <v>1730482</v>
      </c>
      <c r="E114" s="151"/>
      <c r="F114" s="24" t="s">
        <v>603</v>
      </c>
      <c r="G114" s="30">
        <v>44992</v>
      </c>
      <c r="H114" s="81" t="s">
        <v>222</v>
      </c>
      <c r="I114" s="30">
        <v>44963</v>
      </c>
      <c r="J114" s="16">
        <v>1608</v>
      </c>
      <c r="K114" s="9" t="s">
        <v>1530</v>
      </c>
      <c r="L114" s="9"/>
      <c r="M114" s="152">
        <v>191200</v>
      </c>
      <c r="N114" s="153">
        <v>0</v>
      </c>
      <c r="O114" s="152">
        <v>0</v>
      </c>
      <c r="P114" s="154">
        <v>0</v>
      </c>
      <c r="Q114" s="152">
        <v>0</v>
      </c>
      <c r="R114" s="9">
        <v>191200</v>
      </c>
      <c r="S114" s="21" t="s">
        <v>1846</v>
      </c>
      <c r="T114" s="117">
        <v>0</v>
      </c>
      <c r="U114" s="117">
        <v>0</v>
      </c>
      <c r="V114" s="117">
        <v>2023</v>
      </c>
      <c r="W114" s="117">
        <v>6</v>
      </c>
      <c r="X114" s="117">
        <v>0</v>
      </c>
      <c r="Y114" s="117">
        <v>0</v>
      </c>
      <c r="Z114" s="21" t="b">
        <v>0</v>
      </c>
      <c r="AA114" s="162">
        <f>+$AD$5-Tabla2[[#This Row],[FECHA DE FACTURACIÓN]]</f>
        <v>480</v>
      </c>
      <c r="AB114" s="163" t="str">
        <f>+IF(Tabla2[[#This Row],[dias de credito]]&gt;=Tabla2[[#This Row],[PLAZO Días]],"venc", "No venc")</f>
        <v>venc</v>
      </c>
      <c r="AC114" s="163" t="str">
        <f>+IF(Tabla2[[#This Row],[FECHA DE PAGO]]&gt;0,"pagada","por pagar")</f>
        <v>pagada</v>
      </c>
      <c r="AD114" s="164" t="str">
        <f>+IF(AND(Tabla2[[#This Row],[venc]]="venc",Tabla2[[#This Row],[estado pago]]="por pagar"),"vencida","no")</f>
        <v>no</v>
      </c>
    </row>
    <row r="115" spans="1:30" ht="19.5" hidden="1" customHeight="1" x14ac:dyDescent="0.25">
      <c r="A115" s="8" t="s">
        <v>1850</v>
      </c>
      <c r="B115" s="8" t="b">
        <v>0</v>
      </c>
      <c r="C115" s="8">
        <v>60</v>
      </c>
      <c r="D115" s="151">
        <v>1730482</v>
      </c>
      <c r="E115" s="151"/>
      <c r="F115" s="24" t="s">
        <v>603</v>
      </c>
      <c r="G115" s="30">
        <v>44992</v>
      </c>
      <c r="H115" s="81" t="s">
        <v>222</v>
      </c>
      <c r="I115" s="30">
        <v>44963</v>
      </c>
      <c r="J115" s="16">
        <v>1624</v>
      </c>
      <c r="K115" s="9" t="s">
        <v>1530</v>
      </c>
      <c r="L115" s="9"/>
      <c r="M115" s="152">
        <v>1178064</v>
      </c>
      <c r="N115" s="153">
        <v>0</v>
      </c>
      <c r="O115" s="152">
        <v>0</v>
      </c>
      <c r="P115" s="154">
        <v>0</v>
      </c>
      <c r="Q115" s="152">
        <v>0</v>
      </c>
      <c r="R115" s="9">
        <v>1178064</v>
      </c>
      <c r="S115" s="21" t="s">
        <v>1846</v>
      </c>
      <c r="T115" s="117">
        <v>0</v>
      </c>
      <c r="U115" s="117">
        <v>0</v>
      </c>
      <c r="V115" s="117">
        <v>2023</v>
      </c>
      <c r="W115" s="117">
        <v>6</v>
      </c>
      <c r="X115" s="117">
        <v>0</v>
      </c>
      <c r="Y115" s="117">
        <v>0</v>
      </c>
      <c r="Z115" s="21" t="b">
        <v>0</v>
      </c>
      <c r="AA115" s="162">
        <f>+$AD$5-Tabla2[[#This Row],[FECHA DE FACTURACIÓN]]</f>
        <v>480</v>
      </c>
      <c r="AB115" s="163" t="str">
        <f>+IF(Tabla2[[#This Row],[dias de credito]]&gt;=Tabla2[[#This Row],[PLAZO Días]],"venc", "No venc")</f>
        <v>venc</v>
      </c>
      <c r="AC115" s="163" t="str">
        <f>+IF(Tabla2[[#This Row],[FECHA DE PAGO]]&gt;0,"pagada","por pagar")</f>
        <v>pagada</v>
      </c>
      <c r="AD115" s="164" t="str">
        <f>+IF(AND(Tabla2[[#This Row],[venc]]="venc",Tabla2[[#This Row],[estado pago]]="por pagar"),"vencida","no")</f>
        <v>no</v>
      </c>
    </row>
    <row r="116" spans="1:30" ht="19.5" hidden="1" customHeight="1" x14ac:dyDescent="0.25">
      <c r="A116" s="8" t="s">
        <v>1850</v>
      </c>
      <c r="B116" s="8" t="b">
        <v>0</v>
      </c>
      <c r="C116" s="8">
        <v>60</v>
      </c>
      <c r="D116" s="151">
        <v>1730482</v>
      </c>
      <c r="E116" s="151"/>
      <c r="F116" s="24" t="s">
        <v>603</v>
      </c>
      <c r="G116" s="30">
        <v>44992</v>
      </c>
      <c r="H116" s="81" t="s">
        <v>222</v>
      </c>
      <c r="I116" s="30">
        <v>44963</v>
      </c>
      <c r="J116" s="16">
        <v>1623</v>
      </c>
      <c r="K116" s="9" t="s">
        <v>1530</v>
      </c>
      <c r="L116" s="9"/>
      <c r="M116" s="152">
        <v>349920</v>
      </c>
      <c r="N116" s="153">
        <v>0</v>
      </c>
      <c r="O116" s="152">
        <v>0</v>
      </c>
      <c r="P116" s="154">
        <v>0</v>
      </c>
      <c r="Q116" s="152">
        <v>0</v>
      </c>
      <c r="R116" s="9">
        <v>349920</v>
      </c>
      <c r="S116" s="21" t="s">
        <v>1846</v>
      </c>
      <c r="T116" s="117">
        <v>0</v>
      </c>
      <c r="U116" s="117">
        <v>0</v>
      </c>
      <c r="V116" s="117">
        <v>2023</v>
      </c>
      <c r="W116" s="117">
        <v>6</v>
      </c>
      <c r="X116" s="117">
        <v>0</v>
      </c>
      <c r="Y116" s="117">
        <v>0</v>
      </c>
      <c r="Z116" s="21" t="b">
        <v>0</v>
      </c>
      <c r="AA116" s="162">
        <f>+$AD$5-Tabla2[[#This Row],[FECHA DE FACTURACIÓN]]</f>
        <v>480</v>
      </c>
      <c r="AB116" s="163" t="str">
        <f>+IF(Tabla2[[#This Row],[dias de credito]]&gt;=Tabla2[[#This Row],[PLAZO Días]],"venc", "No venc")</f>
        <v>venc</v>
      </c>
      <c r="AC116" s="163" t="str">
        <f>+IF(Tabla2[[#This Row],[FECHA DE PAGO]]&gt;0,"pagada","por pagar")</f>
        <v>pagada</v>
      </c>
      <c r="AD116" s="164" t="str">
        <f>+IF(AND(Tabla2[[#This Row],[venc]]="venc",Tabla2[[#This Row],[estado pago]]="por pagar"),"vencida","no")</f>
        <v>no</v>
      </c>
    </row>
    <row r="117" spans="1:30" ht="19.5" hidden="1" customHeight="1" x14ac:dyDescent="0.25">
      <c r="A117" s="8" t="s">
        <v>1852</v>
      </c>
      <c r="B117" s="8" t="b">
        <v>0</v>
      </c>
      <c r="C117" s="8">
        <v>30</v>
      </c>
      <c r="D117" s="151">
        <v>0</v>
      </c>
      <c r="E117" s="151"/>
      <c r="F117" s="24" t="s">
        <v>84</v>
      </c>
      <c r="G117" s="30">
        <v>44993</v>
      </c>
      <c r="H117" s="81" t="s">
        <v>481</v>
      </c>
      <c r="I117" s="30">
        <v>44993</v>
      </c>
      <c r="J117" s="16" t="s">
        <v>625</v>
      </c>
      <c r="K117" s="9" t="s">
        <v>1530</v>
      </c>
      <c r="L117" s="9"/>
      <c r="M117" s="152">
        <v>5386000</v>
      </c>
      <c r="N117" s="153">
        <v>0</v>
      </c>
      <c r="O117" s="152">
        <v>0</v>
      </c>
      <c r="P117" s="154">
        <v>0</v>
      </c>
      <c r="Q117" s="152">
        <v>0</v>
      </c>
      <c r="R117" s="9">
        <v>5386000</v>
      </c>
      <c r="S117" s="21" t="s">
        <v>1846</v>
      </c>
      <c r="T117" s="117">
        <v>0</v>
      </c>
      <c r="U117" s="117">
        <v>0</v>
      </c>
      <c r="V117" s="117">
        <v>2023</v>
      </c>
      <c r="W117" s="117">
        <v>6</v>
      </c>
      <c r="X117" s="117">
        <v>0</v>
      </c>
      <c r="Y117" s="117">
        <v>0</v>
      </c>
      <c r="Z117" s="21" t="b">
        <v>0</v>
      </c>
      <c r="AA117" s="162">
        <f>+$AD$5-Tabla2[[#This Row],[FECHA DE FACTURACIÓN]]</f>
        <v>450</v>
      </c>
      <c r="AB117" s="163" t="str">
        <f>+IF(Tabla2[[#This Row],[dias de credito]]&gt;=Tabla2[[#This Row],[PLAZO Días]],"venc", "No venc")</f>
        <v>venc</v>
      </c>
      <c r="AC117" s="163" t="str">
        <f>+IF(Tabla2[[#This Row],[FECHA DE PAGO]]&gt;0,"pagada","por pagar")</f>
        <v>pagada</v>
      </c>
      <c r="AD117" s="164" t="str">
        <f>+IF(AND(Tabla2[[#This Row],[venc]]="venc",Tabla2[[#This Row],[estado pago]]="por pagar"),"vencida","no")</f>
        <v>no</v>
      </c>
    </row>
    <row r="118" spans="1:30" ht="19.5" hidden="1" customHeight="1" x14ac:dyDescent="0.25">
      <c r="A118" s="8" t="s">
        <v>1852</v>
      </c>
      <c r="B118" s="8" t="b">
        <v>0</v>
      </c>
      <c r="C118" s="8">
        <v>30</v>
      </c>
      <c r="D118" s="151">
        <v>0</v>
      </c>
      <c r="E118" s="151"/>
      <c r="F118" s="24" t="s">
        <v>84</v>
      </c>
      <c r="G118" s="30">
        <v>44993</v>
      </c>
      <c r="H118" s="81" t="s">
        <v>466</v>
      </c>
      <c r="I118" s="30">
        <v>44993</v>
      </c>
      <c r="J118" s="16" t="s">
        <v>661</v>
      </c>
      <c r="K118" s="9" t="s">
        <v>1530</v>
      </c>
      <c r="L118" s="9"/>
      <c r="M118" s="152">
        <v>330000</v>
      </c>
      <c r="N118" s="153">
        <v>0</v>
      </c>
      <c r="O118" s="152">
        <v>0</v>
      </c>
      <c r="P118" s="154">
        <v>0</v>
      </c>
      <c r="Q118" s="152">
        <v>0</v>
      </c>
      <c r="R118" s="9">
        <v>330000</v>
      </c>
      <c r="S118" s="21" t="s">
        <v>1846</v>
      </c>
      <c r="T118" s="117">
        <v>0</v>
      </c>
      <c r="U118" s="117">
        <v>0</v>
      </c>
      <c r="V118" s="117">
        <v>2023</v>
      </c>
      <c r="W118" s="117">
        <v>6</v>
      </c>
      <c r="X118" s="117">
        <v>0</v>
      </c>
      <c r="Y118" s="117">
        <v>0</v>
      </c>
      <c r="Z118" s="21" t="b">
        <v>0</v>
      </c>
      <c r="AA118" s="162">
        <f>+$AD$5-Tabla2[[#This Row],[FECHA DE FACTURACIÓN]]</f>
        <v>450</v>
      </c>
      <c r="AB118" s="163" t="str">
        <f>+IF(Tabla2[[#This Row],[dias de credito]]&gt;=Tabla2[[#This Row],[PLAZO Días]],"venc", "No venc")</f>
        <v>venc</v>
      </c>
      <c r="AC118" s="163" t="str">
        <f>+IF(Tabla2[[#This Row],[FECHA DE PAGO]]&gt;0,"pagada","por pagar")</f>
        <v>pagada</v>
      </c>
      <c r="AD118" s="164" t="str">
        <f>+IF(AND(Tabla2[[#This Row],[venc]]="venc",Tabla2[[#This Row],[estado pago]]="por pagar"),"vencida","no")</f>
        <v>no</v>
      </c>
    </row>
    <row r="119" spans="1:30" ht="19.5" hidden="1" customHeight="1" x14ac:dyDescent="0.25">
      <c r="A119" s="8" t="s">
        <v>1850</v>
      </c>
      <c r="B119" s="8" t="s">
        <v>1851</v>
      </c>
      <c r="C119" s="8">
        <v>30</v>
      </c>
      <c r="D119" s="151">
        <v>0</v>
      </c>
      <c r="E119" s="151"/>
      <c r="F119" s="24" t="s">
        <v>253</v>
      </c>
      <c r="G119" s="30">
        <v>44995</v>
      </c>
      <c r="H119" s="81" t="s">
        <v>368</v>
      </c>
      <c r="I119" s="30">
        <v>44958</v>
      </c>
      <c r="J119" s="16" t="s">
        <v>609</v>
      </c>
      <c r="K119" s="9" t="s">
        <v>1530</v>
      </c>
      <c r="L119" s="9"/>
      <c r="M119" s="152">
        <v>3294426</v>
      </c>
      <c r="N119" s="153">
        <v>625940.94000000006</v>
      </c>
      <c r="O119" s="152">
        <v>0</v>
      </c>
      <c r="P119" s="154">
        <v>0</v>
      </c>
      <c r="Q119" s="152">
        <v>0</v>
      </c>
      <c r="R119" s="9">
        <v>3920366.94</v>
      </c>
      <c r="S119" s="21" t="s">
        <v>1846</v>
      </c>
      <c r="T119" s="117">
        <v>0</v>
      </c>
      <c r="U119" s="117">
        <v>0</v>
      </c>
      <c r="V119" s="117">
        <v>2023</v>
      </c>
      <c r="W119" s="117">
        <v>6</v>
      </c>
      <c r="X119" s="117">
        <v>0</v>
      </c>
      <c r="Y119" s="117">
        <v>0</v>
      </c>
      <c r="Z119" s="21" t="b">
        <v>1</v>
      </c>
      <c r="AA119" s="162">
        <f>+$AD$5-Tabla2[[#This Row],[FECHA DE FACTURACIÓN]]</f>
        <v>485</v>
      </c>
      <c r="AB119" s="163" t="str">
        <f>+IF(Tabla2[[#This Row],[dias de credito]]&gt;=Tabla2[[#This Row],[PLAZO Días]],"venc", "No venc")</f>
        <v>venc</v>
      </c>
      <c r="AC119" s="163" t="str">
        <f>+IF(Tabla2[[#This Row],[FECHA DE PAGO]]&gt;0,"pagada","por pagar")</f>
        <v>pagada</v>
      </c>
      <c r="AD119" s="164" t="str">
        <f>+IF(AND(Tabla2[[#This Row],[venc]]="venc",Tabla2[[#This Row],[estado pago]]="por pagar"),"vencida","no")</f>
        <v>no</v>
      </c>
    </row>
    <row r="120" spans="1:30" ht="19.5" hidden="1" customHeight="1" x14ac:dyDescent="0.25">
      <c r="A120" s="8" t="s">
        <v>1850</v>
      </c>
      <c r="B120" s="8" t="s">
        <v>1851</v>
      </c>
      <c r="C120" s="8">
        <v>30</v>
      </c>
      <c r="D120" s="151">
        <v>0</v>
      </c>
      <c r="E120" s="151"/>
      <c r="F120" s="24" t="s">
        <v>206</v>
      </c>
      <c r="G120" s="30">
        <v>44995</v>
      </c>
      <c r="H120" s="81" t="s">
        <v>380</v>
      </c>
      <c r="I120" s="30">
        <v>44958</v>
      </c>
      <c r="J120" s="16" t="s">
        <v>610</v>
      </c>
      <c r="K120" s="9" t="s">
        <v>1530</v>
      </c>
      <c r="L120" s="9"/>
      <c r="M120" s="152">
        <v>3002200</v>
      </c>
      <c r="N120" s="153">
        <v>0</v>
      </c>
      <c r="O120" s="152">
        <v>0</v>
      </c>
      <c r="P120" s="154">
        <v>3.5000000000000003E-2</v>
      </c>
      <c r="Q120" s="152">
        <v>105077.00000000001</v>
      </c>
      <c r="R120" s="9">
        <v>2897123</v>
      </c>
      <c r="S120" s="21" t="s">
        <v>1846</v>
      </c>
      <c r="T120" s="117">
        <v>0</v>
      </c>
      <c r="U120" s="117" t="s">
        <v>348</v>
      </c>
      <c r="V120" s="117">
        <v>2023</v>
      </c>
      <c r="W120" s="117">
        <v>6</v>
      </c>
      <c r="X120" s="117">
        <v>0</v>
      </c>
      <c r="Y120" s="117">
        <v>3.5000000000000003E-2</v>
      </c>
      <c r="Z120" s="21" t="b">
        <v>1</v>
      </c>
      <c r="AA120" s="162">
        <f>+$AD$5-Tabla2[[#This Row],[FECHA DE FACTURACIÓN]]</f>
        <v>485</v>
      </c>
      <c r="AB120" s="163" t="str">
        <f>+IF(Tabla2[[#This Row],[dias de credito]]&gt;=Tabla2[[#This Row],[PLAZO Días]],"venc", "No venc")</f>
        <v>venc</v>
      </c>
      <c r="AC120" s="163" t="str">
        <f>+IF(Tabla2[[#This Row],[FECHA DE PAGO]]&gt;0,"pagada","por pagar")</f>
        <v>pagada</v>
      </c>
      <c r="AD120" s="164" t="str">
        <f>+IF(AND(Tabla2[[#This Row],[venc]]="venc",Tabla2[[#This Row],[estado pago]]="por pagar"),"vencida","no")</f>
        <v>no</v>
      </c>
    </row>
    <row r="121" spans="1:30" ht="19.5" hidden="1" customHeight="1" x14ac:dyDescent="0.25">
      <c r="A121" s="8" t="s">
        <v>1850</v>
      </c>
      <c r="B121" s="8" t="s">
        <v>1851</v>
      </c>
      <c r="C121" s="8">
        <v>10</v>
      </c>
      <c r="D121" s="151">
        <v>0</v>
      </c>
      <c r="E121" s="151"/>
      <c r="F121" s="24" t="s">
        <v>483</v>
      </c>
      <c r="G121" s="30">
        <v>44995</v>
      </c>
      <c r="H121" s="81" t="s">
        <v>482</v>
      </c>
      <c r="I121" s="30">
        <v>44959</v>
      </c>
      <c r="J121" s="16" t="s">
        <v>611</v>
      </c>
      <c r="K121" s="9" t="s">
        <v>1530</v>
      </c>
      <c r="L121" s="9"/>
      <c r="M121" s="152">
        <v>4730000</v>
      </c>
      <c r="N121" s="153">
        <v>898700</v>
      </c>
      <c r="O121" s="152">
        <v>0</v>
      </c>
      <c r="P121" s="154">
        <v>0</v>
      </c>
      <c r="Q121" s="152">
        <v>0</v>
      </c>
      <c r="R121" s="9">
        <v>5628700</v>
      </c>
      <c r="S121" s="21" t="s">
        <v>1846</v>
      </c>
      <c r="T121" s="117">
        <v>0</v>
      </c>
      <c r="U121" s="117">
        <v>0</v>
      </c>
      <c r="V121" s="117">
        <v>2023</v>
      </c>
      <c r="W121" s="117">
        <v>6</v>
      </c>
      <c r="X121" s="117">
        <v>0</v>
      </c>
      <c r="Y121" s="117">
        <v>0</v>
      </c>
      <c r="Z121" s="21" t="b">
        <v>1</v>
      </c>
      <c r="AA121" s="162">
        <f>+$AD$5-Tabla2[[#This Row],[FECHA DE FACTURACIÓN]]</f>
        <v>484</v>
      </c>
      <c r="AB121" s="163" t="str">
        <f>+IF(Tabla2[[#This Row],[dias de credito]]&gt;=Tabla2[[#This Row],[PLAZO Días]],"venc", "No venc")</f>
        <v>venc</v>
      </c>
      <c r="AC121" s="163" t="str">
        <f>+IF(Tabla2[[#This Row],[FECHA DE PAGO]]&gt;0,"pagada","por pagar")</f>
        <v>pagada</v>
      </c>
      <c r="AD121" s="164" t="str">
        <f>+IF(AND(Tabla2[[#This Row],[venc]]="venc",Tabla2[[#This Row],[estado pago]]="por pagar"),"vencida","no")</f>
        <v>no</v>
      </c>
    </row>
    <row r="122" spans="1:30" ht="19.5" hidden="1" customHeight="1" x14ac:dyDescent="0.25">
      <c r="A122" s="8" t="s">
        <v>1850</v>
      </c>
      <c r="B122" s="8" t="s">
        <v>1851</v>
      </c>
      <c r="C122" s="8">
        <v>30</v>
      </c>
      <c r="D122" s="151">
        <v>9950488.6799999997</v>
      </c>
      <c r="E122" s="151"/>
      <c r="F122" s="24" t="s">
        <v>410</v>
      </c>
      <c r="G122" s="30">
        <v>44998</v>
      </c>
      <c r="H122" s="81" t="s">
        <v>11</v>
      </c>
      <c r="I122" s="30">
        <v>44937</v>
      </c>
      <c r="J122" s="16" t="s">
        <v>505</v>
      </c>
      <c r="K122" s="9" t="s">
        <v>1530</v>
      </c>
      <c r="L122" s="9"/>
      <c r="M122" s="152">
        <v>-153013</v>
      </c>
      <c r="N122" s="153">
        <v>-29072.47</v>
      </c>
      <c r="O122" s="152">
        <v>0</v>
      </c>
      <c r="P122" s="154">
        <v>0</v>
      </c>
      <c r="Q122" s="152">
        <v>0</v>
      </c>
      <c r="R122" s="9">
        <v>-182085.47</v>
      </c>
      <c r="S122" s="21" t="s">
        <v>1846</v>
      </c>
      <c r="T122" s="117">
        <v>0</v>
      </c>
      <c r="U122" s="117" t="s">
        <v>347</v>
      </c>
      <c r="V122" s="117">
        <v>2023</v>
      </c>
      <c r="W122" s="117">
        <v>6</v>
      </c>
      <c r="X122" s="117">
        <v>1145000</v>
      </c>
      <c r="Y122" s="117">
        <v>2.5000000000000001E-2</v>
      </c>
      <c r="Z122" s="21" t="b">
        <v>0</v>
      </c>
      <c r="AA122" s="162">
        <f>+$AD$5-Tabla2[[#This Row],[FECHA DE FACTURACIÓN]]</f>
        <v>506</v>
      </c>
      <c r="AB122" s="163" t="str">
        <f>+IF(Tabla2[[#This Row],[dias de credito]]&gt;=Tabla2[[#This Row],[PLAZO Días]],"venc", "No venc")</f>
        <v>venc</v>
      </c>
      <c r="AC122" s="163" t="str">
        <f>+IF(Tabla2[[#This Row],[FECHA DE PAGO]]&gt;0,"pagada","por pagar")</f>
        <v>pagada</v>
      </c>
      <c r="AD122" s="164" t="str">
        <f>+IF(AND(Tabla2[[#This Row],[venc]]="venc",Tabla2[[#This Row],[estado pago]]="por pagar"),"vencida","no")</f>
        <v>no</v>
      </c>
    </row>
    <row r="123" spans="1:30" ht="19.5" hidden="1" customHeight="1" x14ac:dyDescent="0.25">
      <c r="A123" s="8" t="s">
        <v>1850</v>
      </c>
      <c r="B123" s="8" t="s">
        <v>1851</v>
      </c>
      <c r="C123" s="8">
        <v>30</v>
      </c>
      <c r="D123" s="151">
        <v>9950488.6799999997</v>
      </c>
      <c r="E123" s="151"/>
      <c r="F123" s="24" t="s">
        <v>410</v>
      </c>
      <c r="G123" s="30">
        <v>44998</v>
      </c>
      <c r="H123" s="81" t="s">
        <v>11</v>
      </c>
      <c r="I123" s="30">
        <v>44951</v>
      </c>
      <c r="J123" s="16" t="s">
        <v>542</v>
      </c>
      <c r="K123" s="9" t="s">
        <v>1530</v>
      </c>
      <c r="L123" s="9"/>
      <c r="M123" s="152">
        <v>2803032</v>
      </c>
      <c r="N123" s="153">
        <v>532576.07999999996</v>
      </c>
      <c r="O123" s="152">
        <v>0</v>
      </c>
      <c r="P123" s="154">
        <v>2.5000000000000001E-2</v>
      </c>
      <c r="Q123" s="152">
        <v>70075.8</v>
      </c>
      <c r="R123" s="9">
        <v>3265532.2800000003</v>
      </c>
      <c r="S123" s="21" t="s">
        <v>1846</v>
      </c>
      <c r="T123" s="117">
        <v>0</v>
      </c>
      <c r="U123" s="117" t="s">
        <v>347</v>
      </c>
      <c r="V123" s="117">
        <v>2023</v>
      </c>
      <c r="W123" s="117">
        <v>6</v>
      </c>
      <c r="X123" s="117">
        <v>1145000</v>
      </c>
      <c r="Y123" s="117">
        <v>2.5000000000000001E-2</v>
      </c>
      <c r="Z123" s="21" t="b">
        <v>0</v>
      </c>
      <c r="AA123" s="162">
        <f>+$AD$5-Tabla2[[#This Row],[FECHA DE FACTURACIÓN]]</f>
        <v>492</v>
      </c>
      <c r="AB123" s="163" t="str">
        <f>+IF(Tabla2[[#This Row],[dias de credito]]&gt;=Tabla2[[#This Row],[PLAZO Días]],"venc", "No venc")</f>
        <v>venc</v>
      </c>
      <c r="AC123" s="163" t="str">
        <f>+IF(Tabla2[[#This Row],[FECHA DE PAGO]]&gt;0,"pagada","por pagar")</f>
        <v>pagada</v>
      </c>
      <c r="AD123" s="164" t="str">
        <f>+IF(AND(Tabla2[[#This Row],[venc]]="venc",Tabla2[[#This Row],[estado pago]]="por pagar"),"vencida","no")</f>
        <v>no</v>
      </c>
    </row>
    <row r="124" spans="1:30" ht="19.5" hidden="1" customHeight="1" x14ac:dyDescent="0.25">
      <c r="A124" s="8" t="s">
        <v>1850</v>
      </c>
      <c r="B124" s="8" t="s">
        <v>1851</v>
      </c>
      <c r="C124" s="8">
        <v>30</v>
      </c>
      <c r="D124" s="151">
        <v>9950488.6799999997</v>
      </c>
      <c r="E124" s="151"/>
      <c r="F124" s="24" t="s">
        <v>410</v>
      </c>
      <c r="G124" s="30">
        <v>44998</v>
      </c>
      <c r="H124" s="81" t="s">
        <v>11</v>
      </c>
      <c r="I124" s="30">
        <v>44958</v>
      </c>
      <c r="J124" s="16" t="s">
        <v>554</v>
      </c>
      <c r="K124" s="9" t="s">
        <v>1530</v>
      </c>
      <c r="L124" s="9"/>
      <c r="M124" s="152">
        <v>700758</v>
      </c>
      <c r="N124" s="153">
        <v>133144.01999999999</v>
      </c>
      <c r="O124" s="152">
        <v>0</v>
      </c>
      <c r="P124" s="154">
        <v>0</v>
      </c>
      <c r="Q124" s="152">
        <v>0</v>
      </c>
      <c r="R124" s="9">
        <v>833902.02</v>
      </c>
      <c r="S124" s="21" t="s">
        <v>1846</v>
      </c>
      <c r="T124" s="117">
        <v>0</v>
      </c>
      <c r="U124" s="117" t="s">
        <v>347</v>
      </c>
      <c r="V124" s="117">
        <v>2023</v>
      </c>
      <c r="W124" s="117">
        <v>6</v>
      </c>
      <c r="X124" s="117">
        <v>1145000</v>
      </c>
      <c r="Y124" s="117">
        <v>2.5000000000000001E-2</v>
      </c>
      <c r="Z124" s="21" t="b">
        <v>0</v>
      </c>
      <c r="AA124" s="162">
        <f>+$AD$5-Tabla2[[#This Row],[FECHA DE FACTURACIÓN]]</f>
        <v>485</v>
      </c>
      <c r="AB124" s="163" t="str">
        <f>+IF(Tabla2[[#This Row],[dias de credito]]&gt;=Tabla2[[#This Row],[PLAZO Días]],"venc", "No venc")</f>
        <v>venc</v>
      </c>
      <c r="AC124" s="163" t="str">
        <f>+IF(Tabla2[[#This Row],[FECHA DE PAGO]]&gt;0,"pagada","por pagar")</f>
        <v>pagada</v>
      </c>
      <c r="AD124" s="164" t="str">
        <f>+IF(AND(Tabla2[[#This Row],[venc]]="venc",Tabla2[[#This Row],[estado pago]]="por pagar"),"vencida","no")</f>
        <v>no</v>
      </c>
    </row>
    <row r="125" spans="1:30" ht="19.5" hidden="1" customHeight="1" x14ac:dyDescent="0.25">
      <c r="A125" s="8" t="s">
        <v>1850</v>
      </c>
      <c r="B125" s="8" t="s">
        <v>1851</v>
      </c>
      <c r="C125" s="8">
        <v>30</v>
      </c>
      <c r="D125" s="151">
        <v>9950488.6799999997</v>
      </c>
      <c r="E125" s="151"/>
      <c r="F125" s="24" t="s">
        <v>410</v>
      </c>
      <c r="G125" s="30">
        <v>44998</v>
      </c>
      <c r="H125" s="81" t="s">
        <v>11</v>
      </c>
      <c r="I125" s="30">
        <v>44960</v>
      </c>
      <c r="J125" s="16" t="s">
        <v>555</v>
      </c>
      <c r="K125" s="9" t="s">
        <v>1530</v>
      </c>
      <c r="L125" s="9"/>
      <c r="M125" s="152">
        <v>2102274</v>
      </c>
      <c r="N125" s="153">
        <v>399432.06</v>
      </c>
      <c r="O125" s="152">
        <v>0</v>
      </c>
      <c r="P125" s="154">
        <v>2.5000000000000001E-2</v>
      </c>
      <c r="Q125" s="152">
        <v>52556.850000000006</v>
      </c>
      <c r="R125" s="9">
        <v>2449149.21</v>
      </c>
      <c r="S125" s="21" t="s">
        <v>1846</v>
      </c>
      <c r="T125" s="117">
        <v>0</v>
      </c>
      <c r="U125" s="117" t="s">
        <v>347</v>
      </c>
      <c r="V125" s="117">
        <v>2023</v>
      </c>
      <c r="W125" s="117">
        <v>6</v>
      </c>
      <c r="X125" s="117">
        <v>1145000</v>
      </c>
      <c r="Y125" s="117">
        <v>2.5000000000000001E-2</v>
      </c>
      <c r="Z125" s="21" t="b">
        <v>0</v>
      </c>
      <c r="AA125" s="162">
        <f>+$AD$5-Tabla2[[#This Row],[FECHA DE FACTURACIÓN]]</f>
        <v>483</v>
      </c>
      <c r="AB125" s="163" t="str">
        <f>+IF(Tabla2[[#This Row],[dias de credito]]&gt;=Tabla2[[#This Row],[PLAZO Días]],"venc", "No venc")</f>
        <v>venc</v>
      </c>
      <c r="AC125" s="163" t="str">
        <f>+IF(Tabla2[[#This Row],[FECHA DE PAGO]]&gt;0,"pagada","por pagar")</f>
        <v>pagada</v>
      </c>
      <c r="AD125" s="164" t="str">
        <f>+IF(AND(Tabla2[[#This Row],[venc]]="venc",Tabla2[[#This Row],[estado pago]]="por pagar"),"vencida","no")</f>
        <v>no</v>
      </c>
    </row>
    <row r="126" spans="1:30" ht="19.5" hidden="1" customHeight="1" x14ac:dyDescent="0.25">
      <c r="A126" s="8" t="s">
        <v>1850</v>
      </c>
      <c r="B126" s="8" t="b">
        <v>0</v>
      </c>
      <c r="C126" s="8">
        <v>30</v>
      </c>
      <c r="D126" s="151">
        <v>5813868.5099999998</v>
      </c>
      <c r="E126" s="151"/>
      <c r="F126" s="24" t="s">
        <v>455</v>
      </c>
      <c r="G126" s="30">
        <v>44998</v>
      </c>
      <c r="H126" s="81" t="s">
        <v>24</v>
      </c>
      <c r="I126" s="30">
        <v>44973</v>
      </c>
      <c r="J126" s="16" t="s">
        <v>580</v>
      </c>
      <c r="K126" s="9" t="s">
        <v>504</v>
      </c>
      <c r="L126" s="9"/>
      <c r="M126" s="152">
        <v>16645788</v>
      </c>
      <c r="N126" s="153">
        <v>3162699.72</v>
      </c>
      <c r="O126" s="152">
        <v>0</v>
      </c>
      <c r="P126" s="154">
        <v>2.5000000000000001E-2</v>
      </c>
      <c r="Q126" s="152">
        <v>416144.7</v>
      </c>
      <c r="R126" s="9">
        <v>19392343.02</v>
      </c>
      <c r="S126" s="21" t="s">
        <v>1846</v>
      </c>
      <c r="T126" s="117">
        <v>0</v>
      </c>
      <c r="U126" s="117" t="s">
        <v>347</v>
      </c>
      <c r="V126" s="117">
        <v>2023</v>
      </c>
      <c r="W126" s="117">
        <v>6</v>
      </c>
      <c r="X126" s="117">
        <v>1145000</v>
      </c>
      <c r="Y126" s="117">
        <v>2.5000000000000001E-2</v>
      </c>
      <c r="Z126" s="21" t="b">
        <v>0</v>
      </c>
      <c r="AA126" s="162">
        <f>+$AD$5-Tabla2[[#This Row],[FECHA DE FACTURACIÓN]]</f>
        <v>470</v>
      </c>
      <c r="AB126" s="163" t="str">
        <f>+IF(Tabla2[[#This Row],[dias de credito]]&gt;=Tabla2[[#This Row],[PLAZO Días]],"venc", "No venc")</f>
        <v>venc</v>
      </c>
      <c r="AC126" s="163" t="str">
        <f>+IF(Tabla2[[#This Row],[FECHA DE PAGO]]&gt;0,"pagada","por pagar")</f>
        <v>pagada</v>
      </c>
      <c r="AD126" s="164" t="str">
        <f>+IF(AND(Tabla2[[#This Row],[venc]]="venc",Tabla2[[#This Row],[estado pago]]="por pagar"),"vencida","no")</f>
        <v>no</v>
      </c>
    </row>
    <row r="127" spans="1:30" ht="19.5" hidden="1" customHeight="1" x14ac:dyDescent="0.25">
      <c r="A127" s="8" t="s">
        <v>1850</v>
      </c>
      <c r="B127" s="8" t="b">
        <v>0</v>
      </c>
      <c r="C127" s="8">
        <v>30</v>
      </c>
      <c r="D127" s="151">
        <v>5813868.5099999998</v>
      </c>
      <c r="E127" s="151"/>
      <c r="F127" s="24" t="s">
        <v>455</v>
      </c>
      <c r="G127" s="30">
        <v>44998</v>
      </c>
      <c r="H127" s="81" t="s">
        <v>24</v>
      </c>
      <c r="I127" s="30">
        <v>44985</v>
      </c>
      <c r="J127" s="16" t="s">
        <v>598</v>
      </c>
      <c r="K127" s="9" t="s">
        <v>504</v>
      </c>
      <c r="L127" s="9"/>
      <c r="M127" s="152">
        <v>-8403361</v>
      </c>
      <c r="N127" s="153">
        <v>-1596638.59</v>
      </c>
      <c r="O127" s="152">
        <v>0</v>
      </c>
      <c r="P127" s="154">
        <v>0</v>
      </c>
      <c r="Q127" s="152">
        <v>0</v>
      </c>
      <c r="R127" s="9">
        <v>-9999999.5899999999</v>
      </c>
      <c r="S127" s="21" t="s">
        <v>1846</v>
      </c>
      <c r="T127" s="117">
        <v>0</v>
      </c>
      <c r="U127" s="117" t="s">
        <v>347</v>
      </c>
      <c r="V127" s="117">
        <v>2023</v>
      </c>
      <c r="W127" s="117">
        <v>6</v>
      </c>
      <c r="X127" s="117">
        <v>1145000</v>
      </c>
      <c r="Y127" s="117">
        <v>2.5000000000000001E-2</v>
      </c>
      <c r="Z127" s="21" t="b">
        <v>0</v>
      </c>
      <c r="AA127" s="162">
        <f>+$AD$5-Tabla2[[#This Row],[FECHA DE FACTURACIÓN]]</f>
        <v>458</v>
      </c>
      <c r="AB127" s="163" t="str">
        <f>+IF(Tabla2[[#This Row],[dias de credito]]&gt;=Tabla2[[#This Row],[PLAZO Días]],"venc", "No venc")</f>
        <v>venc</v>
      </c>
      <c r="AC127" s="163" t="str">
        <f>+IF(Tabla2[[#This Row],[FECHA DE PAGO]]&gt;0,"pagada","por pagar")</f>
        <v>pagada</v>
      </c>
      <c r="AD127" s="164" t="str">
        <f>+IF(AND(Tabla2[[#This Row],[venc]]="venc",Tabla2[[#This Row],[estado pago]]="por pagar"),"vencida","no")</f>
        <v>no</v>
      </c>
    </row>
    <row r="128" spans="1:30" ht="19.5" hidden="1" customHeight="1" x14ac:dyDescent="0.25">
      <c r="A128" s="8" t="s">
        <v>1850</v>
      </c>
      <c r="B128" s="8" t="b">
        <v>0</v>
      </c>
      <c r="C128" s="8">
        <v>30</v>
      </c>
      <c r="D128" s="151">
        <v>12628497</v>
      </c>
      <c r="E128" s="151"/>
      <c r="F128" s="24" t="s">
        <v>149</v>
      </c>
      <c r="G128" s="30">
        <v>44998</v>
      </c>
      <c r="H128" s="81" t="s">
        <v>451</v>
      </c>
      <c r="I128" s="30">
        <v>44993</v>
      </c>
      <c r="J128" s="16">
        <v>29650</v>
      </c>
      <c r="K128" s="9" t="s">
        <v>1530</v>
      </c>
      <c r="L128" s="9"/>
      <c r="M128" s="152">
        <v>740000</v>
      </c>
      <c r="N128" s="153">
        <v>140600</v>
      </c>
      <c r="O128" s="152">
        <v>0</v>
      </c>
      <c r="P128" s="154">
        <v>0</v>
      </c>
      <c r="Q128" s="152">
        <v>0</v>
      </c>
      <c r="R128" s="9">
        <v>880600</v>
      </c>
      <c r="S128" s="21" t="s">
        <v>1846</v>
      </c>
      <c r="T128" s="117">
        <v>0</v>
      </c>
      <c r="U128" s="117" t="s">
        <v>347</v>
      </c>
      <c r="V128" s="117">
        <v>2023</v>
      </c>
      <c r="W128" s="117">
        <v>6</v>
      </c>
      <c r="X128" s="117">
        <v>1145000</v>
      </c>
      <c r="Y128" s="117">
        <v>2.5000000000000001E-2</v>
      </c>
      <c r="Z128" s="21" t="b">
        <v>0</v>
      </c>
      <c r="AA128" s="162">
        <f>+$AD$5-Tabla2[[#This Row],[FECHA DE FACTURACIÓN]]</f>
        <v>450</v>
      </c>
      <c r="AB128" s="163" t="str">
        <f>+IF(Tabla2[[#This Row],[dias de credito]]&gt;=Tabla2[[#This Row],[PLAZO Días]],"venc", "No venc")</f>
        <v>venc</v>
      </c>
      <c r="AC128" s="163" t="str">
        <f>+IF(Tabla2[[#This Row],[FECHA DE PAGO]]&gt;0,"pagada","por pagar")</f>
        <v>pagada</v>
      </c>
      <c r="AD128" s="164" t="str">
        <f>+IF(AND(Tabla2[[#This Row],[venc]]="venc",Tabla2[[#This Row],[estado pago]]="por pagar"),"vencida","no")</f>
        <v>no</v>
      </c>
    </row>
    <row r="129" spans="1:30" ht="19.5" hidden="1" customHeight="1" x14ac:dyDescent="0.25">
      <c r="A129" s="8" t="s">
        <v>1852</v>
      </c>
      <c r="B129" s="8" t="b">
        <v>0</v>
      </c>
      <c r="C129" s="8">
        <v>30</v>
      </c>
      <c r="D129" s="151">
        <v>0</v>
      </c>
      <c r="E129" s="151"/>
      <c r="F129" s="24" t="s">
        <v>84</v>
      </c>
      <c r="G129" s="30">
        <v>44998</v>
      </c>
      <c r="H129" s="81" t="s">
        <v>481</v>
      </c>
      <c r="I129" s="30">
        <v>44998</v>
      </c>
      <c r="J129" s="16" t="s">
        <v>626</v>
      </c>
      <c r="K129" s="9" t="s">
        <v>1530</v>
      </c>
      <c r="L129" s="9"/>
      <c r="M129" s="152">
        <v>2077000</v>
      </c>
      <c r="N129" s="153">
        <v>0</v>
      </c>
      <c r="O129" s="152">
        <v>0</v>
      </c>
      <c r="P129" s="154">
        <v>0</v>
      </c>
      <c r="Q129" s="152">
        <v>0</v>
      </c>
      <c r="R129" s="9">
        <v>2077000</v>
      </c>
      <c r="S129" s="21" t="s">
        <v>1846</v>
      </c>
      <c r="T129" s="117">
        <v>0</v>
      </c>
      <c r="U129" s="117">
        <v>0</v>
      </c>
      <c r="V129" s="117">
        <v>2023</v>
      </c>
      <c r="W129" s="117">
        <v>6</v>
      </c>
      <c r="X129" s="117">
        <v>0</v>
      </c>
      <c r="Y129" s="117">
        <v>0</v>
      </c>
      <c r="Z129" s="21" t="b">
        <v>0</v>
      </c>
      <c r="AA129" s="162">
        <f>+$AD$5-Tabla2[[#This Row],[FECHA DE FACTURACIÓN]]</f>
        <v>445</v>
      </c>
      <c r="AB129" s="163" t="str">
        <f>+IF(Tabla2[[#This Row],[dias de credito]]&gt;=Tabla2[[#This Row],[PLAZO Días]],"venc", "No venc")</f>
        <v>venc</v>
      </c>
      <c r="AC129" s="163" t="str">
        <f>+IF(Tabla2[[#This Row],[FECHA DE PAGO]]&gt;0,"pagada","por pagar")</f>
        <v>pagada</v>
      </c>
      <c r="AD129" s="164" t="str">
        <f>+IF(AND(Tabla2[[#This Row],[venc]]="venc",Tabla2[[#This Row],[estado pago]]="por pagar"),"vencida","no")</f>
        <v>no</v>
      </c>
    </row>
    <row r="130" spans="1:30" ht="19.5" hidden="1" customHeight="1" x14ac:dyDescent="0.25">
      <c r="A130" s="8" t="s">
        <v>1850</v>
      </c>
      <c r="B130" s="8" t="s">
        <v>1851</v>
      </c>
      <c r="C130" s="8">
        <v>30</v>
      </c>
      <c r="D130" s="151">
        <v>818443.92</v>
      </c>
      <c r="E130" s="151"/>
      <c r="F130" s="24" t="s">
        <v>111</v>
      </c>
      <c r="G130" s="30">
        <v>44999</v>
      </c>
      <c r="H130" s="81" t="s">
        <v>20</v>
      </c>
      <c r="I130" s="30">
        <v>44958</v>
      </c>
      <c r="J130" s="16" t="s">
        <v>556</v>
      </c>
      <c r="K130" s="9" t="s">
        <v>1530</v>
      </c>
      <c r="L130" s="9"/>
      <c r="M130" s="152">
        <v>1955960</v>
      </c>
      <c r="N130" s="153">
        <v>371632.4</v>
      </c>
      <c r="O130" s="152">
        <v>0</v>
      </c>
      <c r="P130" s="154">
        <v>2.5000000000000001E-2</v>
      </c>
      <c r="Q130" s="152">
        <v>48899</v>
      </c>
      <c r="R130" s="9">
        <v>2278693.4</v>
      </c>
      <c r="S130" s="21" t="s">
        <v>1846</v>
      </c>
      <c r="T130" s="117">
        <v>0</v>
      </c>
      <c r="U130" s="117" t="s">
        <v>347</v>
      </c>
      <c r="V130" s="117">
        <v>2023</v>
      </c>
      <c r="W130" s="117">
        <v>6</v>
      </c>
      <c r="X130" s="117">
        <v>1145000</v>
      </c>
      <c r="Y130" s="117">
        <v>2.5000000000000001E-2</v>
      </c>
      <c r="Z130" s="21" t="b">
        <v>0</v>
      </c>
      <c r="AA130" s="162">
        <f>+$AD$5-Tabla2[[#This Row],[FECHA DE FACTURACIÓN]]</f>
        <v>485</v>
      </c>
      <c r="AB130" s="163" t="str">
        <f>+IF(Tabla2[[#This Row],[dias de credito]]&gt;=Tabla2[[#This Row],[PLAZO Días]],"venc", "No venc")</f>
        <v>venc</v>
      </c>
      <c r="AC130" s="163" t="str">
        <f>+IF(Tabla2[[#This Row],[FECHA DE PAGO]]&gt;0,"pagada","por pagar")</f>
        <v>pagada</v>
      </c>
      <c r="AD130" s="164" t="str">
        <f>+IF(AND(Tabla2[[#This Row],[venc]]="venc",Tabla2[[#This Row],[estado pago]]="por pagar"),"vencida","no")</f>
        <v>no</v>
      </c>
    </row>
    <row r="131" spans="1:30" ht="19.5" hidden="1" customHeight="1" x14ac:dyDescent="0.25">
      <c r="A131" s="8" t="s">
        <v>1850</v>
      </c>
      <c r="B131" s="8" t="s">
        <v>1851</v>
      </c>
      <c r="C131" s="8">
        <v>30</v>
      </c>
      <c r="D131" s="151">
        <v>1776037.21</v>
      </c>
      <c r="E131" s="151"/>
      <c r="F131" s="24" t="s">
        <v>148</v>
      </c>
      <c r="G131" s="30">
        <v>44999</v>
      </c>
      <c r="H131" s="81" t="s">
        <v>17</v>
      </c>
      <c r="I131" s="30">
        <v>44959</v>
      </c>
      <c r="J131" s="16">
        <v>20088404</v>
      </c>
      <c r="K131" s="9" t="s">
        <v>1530</v>
      </c>
      <c r="L131" s="9"/>
      <c r="M131" s="152">
        <v>205800</v>
      </c>
      <c r="N131" s="153">
        <v>39102</v>
      </c>
      <c r="O131" s="152">
        <v>0</v>
      </c>
      <c r="P131" s="154">
        <v>0</v>
      </c>
      <c r="Q131" s="152">
        <v>0</v>
      </c>
      <c r="R131" s="9">
        <v>244902</v>
      </c>
      <c r="S131" s="21" t="s">
        <v>1846</v>
      </c>
      <c r="T131" s="117">
        <v>0</v>
      </c>
      <c r="U131" s="117">
        <v>0</v>
      </c>
      <c r="V131" s="117">
        <v>2023</v>
      </c>
      <c r="W131" s="117">
        <v>6</v>
      </c>
      <c r="X131" s="117">
        <v>0</v>
      </c>
      <c r="Y131" s="117">
        <v>0</v>
      </c>
      <c r="Z131" s="21" t="b">
        <v>0</v>
      </c>
      <c r="AA131" s="162">
        <f>+$AD$5-Tabla2[[#This Row],[FECHA DE FACTURACIÓN]]</f>
        <v>484</v>
      </c>
      <c r="AB131" s="163" t="str">
        <f>+IF(Tabla2[[#This Row],[dias de credito]]&gt;=Tabla2[[#This Row],[PLAZO Días]],"venc", "No venc")</f>
        <v>venc</v>
      </c>
      <c r="AC131" s="163" t="str">
        <f>+IF(Tabla2[[#This Row],[FECHA DE PAGO]]&gt;0,"pagada","por pagar")</f>
        <v>pagada</v>
      </c>
      <c r="AD131" s="164" t="str">
        <f>+IF(AND(Tabla2[[#This Row],[venc]]="venc",Tabla2[[#This Row],[estado pago]]="por pagar"),"vencida","no")</f>
        <v>no</v>
      </c>
    </row>
    <row r="132" spans="1:30" ht="19.5" hidden="1" customHeight="1" x14ac:dyDescent="0.25">
      <c r="A132" s="8" t="s">
        <v>1850</v>
      </c>
      <c r="B132" s="8" t="s">
        <v>1851</v>
      </c>
      <c r="C132" s="8">
        <v>30</v>
      </c>
      <c r="D132" s="151">
        <v>0</v>
      </c>
      <c r="E132" s="151"/>
      <c r="F132" s="24" t="s">
        <v>168</v>
      </c>
      <c r="G132" s="30">
        <v>44999</v>
      </c>
      <c r="H132" s="81" t="s">
        <v>43</v>
      </c>
      <c r="I132" s="30">
        <v>44965</v>
      </c>
      <c r="J132" s="16" t="s">
        <v>564</v>
      </c>
      <c r="K132" s="9" t="s">
        <v>1530</v>
      </c>
      <c r="L132" s="9"/>
      <c r="M132" s="152">
        <v>1123137</v>
      </c>
      <c r="N132" s="153">
        <v>213396.03</v>
      </c>
      <c r="O132" s="152">
        <v>0</v>
      </c>
      <c r="P132" s="154">
        <v>0</v>
      </c>
      <c r="Q132" s="152">
        <v>0</v>
      </c>
      <c r="R132" s="9">
        <v>1336533.03</v>
      </c>
      <c r="S132" s="21" t="s">
        <v>1846</v>
      </c>
      <c r="T132" s="117">
        <v>0</v>
      </c>
      <c r="U132" s="117" t="s">
        <v>347</v>
      </c>
      <c r="V132" s="117">
        <v>2023</v>
      </c>
      <c r="W132" s="117">
        <v>6</v>
      </c>
      <c r="X132" s="117">
        <v>1145000</v>
      </c>
      <c r="Y132" s="117">
        <v>2.5000000000000001E-2</v>
      </c>
      <c r="Z132" s="21" t="b">
        <v>0</v>
      </c>
      <c r="AA132" s="162">
        <f>+$AD$5-Tabla2[[#This Row],[FECHA DE FACTURACIÓN]]</f>
        <v>478</v>
      </c>
      <c r="AB132" s="163" t="str">
        <f>+IF(Tabla2[[#This Row],[dias de credito]]&gt;=Tabla2[[#This Row],[PLAZO Días]],"venc", "No venc")</f>
        <v>venc</v>
      </c>
      <c r="AC132" s="163" t="str">
        <f>+IF(Tabla2[[#This Row],[FECHA DE PAGO]]&gt;0,"pagada","por pagar")</f>
        <v>pagada</v>
      </c>
      <c r="AD132" s="164" t="str">
        <f>+IF(AND(Tabla2[[#This Row],[venc]]="venc",Tabla2[[#This Row],[estado pago]]="por pagar"),"vencida","no")</f>
        <v>no</v>
      </c>
    </row>
    <row r="133" spans="1:30" ht="19.5" hidden="1" customHeight="1" x14ac:dyDescent="0.25">
      <c r="A133" s="8" t="s">
        <v>1852</v>
      </c>
      <c r="B133" s="8" t="b">
        <v>0</v>
      </c>
      <c r="C133" s="8">
        <v>30</v>
      </c>
      <c r="D133" s="151">
        <v>4198834.75</v>
      </c>
      <c r="E133" s="151"/>
      <c r="F133" s="24" t="s">
        <v>434</v>
      </c>
      <c r="G133" s="30">
        <v>44999</v>
      </c>
      <c r="H133" s="81" t="s">
        <v>422</v>
      </c>
      <c r="I133" s="30">
        <v>44999</v>
      </c>
      <c r="J133" s="16">
        <v>2672</v>
      </c>
      <c r="K133" s="9" t="s">
        <v>1530</v>
      </c>
      <c r="L133" s="9"/>
      <c r="M133" s="152">
        <v>858000</v>
      </c>
      <c r="N133" s="153">
        <v>163020</v>
      </c>
      <c r="O133" s="152">
        <v>0</v>
      </c>
      <c r="P133" s="154">
        <v>0</v>
      </c>
      <c r="Q133" s="152">
        <v>0</v>
      </c>
      <c r="R133" s="9">
        <v>1021020</v>
      </c>
      <c r="S133" s="21" t="s">
        <v>1846</v>
      </c>
      <c r="T133" s="117">
        <v>0</v>
      </c>
      <c r="U133" s="117" t="s">
        <v>347</v>
      </c>
      <c r="V133" s="117">
        <v>2023</v>
      </c>
      <c r="W133" s="117">
        <v>6</v>
      </c>
      <c r="X133" s="117">
        <v>1145000</v>
      </c>
      <c r="Y133" s="117">
        <v>2.5000000000000001E-2</v>
      </c>
      <c r="Z133" s="21" t="b">
        <v>0</v>
      </c>
      <c r="AA133" s="162">
        <f>+$AD$5-Tabla2[[#This Row],[FECHA DE FACTURACIÓN]]</f>
        <v>444</v>
      </c>
      <c r="AB133" s="163" t="str">
        <f>+IF(Tabla2[[#This Row],[dias de credito]]&gt;=Tabla2[[#This Row],[PLAZO Días]],"venc", "No venc")</f>
        <v>venc</v>
      </c>
      <c r="AC133" s="163" t="str">
        <f>+IF(Tabla2[[#This Row],[FECHA DE PAGO]]&gt;0,"pagada","por pagar")</f>
        <v>pagada</v>
      </c>
      <c r="AD133" s="164" t="str">
        <f>+IF(AND(Tabla2[[#This Row],[venc]]="venc",Tabla2[[#This Row],[estado pago]]="por pagar"),"vencida","no")</f>
        <v>no</v>
      </c>
    </row>
    <row r="134" spans="1:30" ht="19.5" hidden="1" customHeight="1" x14ac:dyDescent="0.25">
      <c r="A134" s="8" t="s">
        <v>1850</v>
      </c>
      <c r="B134" s="8" t="b">
        <v>0</v>
      </c>
      <c r="C134" s="8">
        <v>60</v>
      </c>
      <c r="D134" s="151">
        <v>0</v>
      </c>
      <c r="E134" s="151"/>
      <c r="F134" s="24" t="s">
        <v>583</v>
      </c>
      <c r="G134" s="30">
        <v>45000</v>
      </c>
      <c r="H134" s="81" t="s">
        <v>582</v>
      </c>
      <c r="I134" s="30">
        <v>44966</v>
      </c>
      <c r="J134" s="16" t="s">
        <v>584</v>
      </c>
      <c r="K134" s="9" t="s">
        <v>1530</v>
      </c>
      <c r="L134" s="9"/>
      <c r="M134" s="152">
        <v>2906000</v>
      </c>
      <c r="N134" s="153">
        <v>552140</v>
      </c>
      <c r="O134" s="152">
        <v>0</v>
      </c>
      <c r="P134" s="154">
        <v>2.5000000000000001E-2</v>
      </c>
      <c r="Q134" s="152">
        <v>72650</v>
      </c>
      <c r="R134" s="9">
        <v>3385490</v>
      </c>
      <c r="S134" s="21" t="s">
        <v>1846</v>
      </c>
      <c r="T134" s="117">
        <v>0</v>
      </c>
      <c r="U134" s="117" t="s">
        <v>347</v>
      </c>
      <c r="V134" s="117">
        <v>2023</v>
      </c>
      <c r="W134" s="117">
        <v>6</v>
      </c>
      <c r="X134" s="117">
        <v>1145000</v>
      </c>
      <c r="Y134" s="117">
        <v>2.5000000000000001E-2</v>
      </c>
      <c r="Z134" s="21" t="b">
        <v>0</v>
      </c>
      <c r="AA134" s="162">
        <f>+$AD$5-Tabla2[[#This Row],[FECHA DE FACTURACIÓN]]</f>
        <v>477</v>
      </c>
      <c r="AB134" s="163" t="str">
        <f>+IF(Tabla2[[#This Row],[dias de credito]]&gt;=Tabla2[[#This Row],[PLAZO Días]],"venc", "No venc")</f>
        <v>venc</v>
      </c>
      <c r="AC134" s="163" t="str">
        <f>+IF(Tabla2[[#This Row],[FECHA DE PAGO]]&gt;0,"pagada","por pagar")</f>
        <v>pagada</v>
      </c>
      <c r="AD134" s="164" t="str">
        <f>+IF(AND(Tabla2[[#This Row],[venc]]="venc",Tabla2[[#This Row],[estado pago]]="por pagar"),"vencida","no")</f>
        <v>no</v>
      </c>
    </row>
    <row r="135" spans="1:30" ht="19.5" hidden="1" customHeight="1" x14ac:dyDescent="0.25">
      <c r="A135" s="8" t="s">
        <v>1852</v>
      </c>
      <c r="B135" s="8" t="b">
        <v>0</v>
      </c>
      <c r="C135" s="8">
        <v>30</v>
      </c>
      <c r="D135" s="151">
        <v>0</v>
      </c>
      <c r="E135" s="151"/>
      <c r="F135" s="24" t="s">
        <v>206</v>
      </c>
      <c r="G135" s="30">
        <v>45001</v>
      </c>
      <c r="H135" s="81" t="s">
        <v>380</v>
      </c>
      <c r="I135" s="30">
        <v>45001</v>
      </c>
      <c r="J135" s="16" t="s">
        <v>630</v>
      </c>
      <c r="K135" s="9" t="s">
        <v>1530</v>
      </c>
      <c r="L135" s="9"/>
      <c r="M135" s="152">
        <v>3002200</v>
      </c>
      <c r="N135" s="153">
        <v>0</v>
      </c>
      <c r="O135" s="152">
        <v>0</v>
      </c>
      <c r="P135" s="154">
        <v>3.5000000000000003E-2</v>
      </c>
      <c r="Q135" s="152">
        <v>105077.00000000001</v>
      </c>
      <c r="R135" s="9">
        <v>2897123</v>
      </c>
      <c r="S135" s="21" t="s">
        <v>1846</v>
      </c>
      <c r="T135" s="117">
        <v>0</v>
      </c>
      <c r="U135" s="117" t="s">
        <v>348</v>
      </c>
      <c r="V135" s="117">
        <v>2023</v>
      </c>
      <c r="W135" s="117">
        <v>6</v>
      </c>
      <c r="X135" s="117">
        <v>0</v>
      </c>
      <c r="Y135" s="117">
        <v>3.5000000000000003E-2</v>
      </c>
      <c r="Z135" s="21" t="b">
        <v>1</v>
      </c>
      <c r="AA135" s="162">
        <f>+$AD$5-Tabla2[[#This Row],[FECHA DE FACTURACIÓN]]</f>
        <v>442</v>
      </c>
      <c r="AB135" s="163" t="str">
        <f>+IF(Tabla2[[#This Row],[dias de credito]]&gt;=Tabla2[[#This Row],[PLAZO Días]],"venc", "No venc")</f>
        <v>venc</v>
      </c>
      <c r="AC135" s="163" t="str">
        <f>+IF(Tabla2[[#This Row],[FECHA DE PAGO]]&gt;0,"pagada","por pagar")</f>
        <v>pagada</v>
      </c>
      <c r="AD135" s="164" t="str">
        <f>+IF(AND(Tabla2[[#This Row],[venc]]="venc",Tabla2[[#This Row],[estado pago]]="por pagar"),"vencida","no")</f>
        <v>no</v>
      </c>
    </row>
    <row r="136" spans="1:30" ht="19.5" hidden="1" customHeight="1" x14ac:dyDescent="0.25">
      <c r="A136" s="8" t="s">
        <v>1850</v>
      </c>
      <c r="B136" s="8" t="s">
        <v>1851</v>
      </c>
      <c r="C136" s="8">
        <v>30</v>
      </c>
      <c r="D136" s="151">
        <v>0</v>
      </c>
      <c r="E136" s="151"/>
      <c r="F136" s="24" t="s">
        <v>344</v>
      </c>
      <c r="G136" s="30">
        <v>45002</v>
      </c>
      <c r="H136" s="81" t="s">
        <v>1810</v>
      </c>
      <c r="I136" s="30">
        <v>44964</v>
      </c>
      <c r="J136" s="16" t="s">
        <v>594</v>
      </c>
      <c r="K136" s="9" t="s">
        <v>1530</v>
      </c>
      <c r="L136" s="9"/>
      <c r="M136" s="152">
        <v>2417600</v>
      </c>
      <c r="N136" s="153">
        <v>0</v>
      </c>
      <c r="O136" s="152">
        <v>0</v>
      </c>
      <c r="P136" s="154">
        <v>0</v>
      </c>
      <c r="Q136" s="152">
        <v>0</v>
      </c>
      <c r="R136" s="9">
        <v>2417600</v>
      </c>
      <c r="S136" s="21" t="s">
        <v>1846</v>
      </c>
      <c r="T136" s="117">
        <v>0</v>
      </c>
      <c r="U136" s="117">
        <v>0</v>
      </c>
      <c r="V136" s="117">
        <v>2023</v>
      </c>
      <c r="W136" s="117">
        <v>6</v>
      </c>
      <c r="X136" s="117">
        <v>0</v>
      </c>
      <c r="Y136" s="117">
        <v>0</v>
      </c>
      <c r="Z136" s="21" t="b">
        <v>0</v>
      </c>
      <c r="AA136" s="162">
        <f>+$AD$5-Tabla2[[#This Row],[FECHA DE FACTURACIÓN]]</f>
        <v>479</v>
      </c>
      <c r="AB136" s="163" t="str">
        <f>+IF(Tabla2[[#This Row],[dias de credito]]&gt;=Tabla2[[#This Row],[PLAZO Días]],"venc", "No venc")</f>
        <v>venc</v>
      </c>
      <c r="AC136" s="163" t="str">
        <f>+IF(Tabla2[[#This Row],[FECHA DE PAGO]]&gt;0,"pagada","por pagar")</f>
        <v>pagada</v>
      </c>
      <c r="AD136" s="164" t="str">
        <f>+IF(AND(Tabla2[[#This Row],[venc]]="venc",Tabla2[[#This Row],[estado pago]]="por pagar"),"vencida","no")</f>
        <v>no</v>
      </c>
    </row>
    <row r="137" spans="1:30" ht="19.5" hidden="1" customHeight="1" x14ac:dyDescent="0.25">
      <c r="A137" s="8" t="s">
        <v>1850</v>
      </c>
      <c r="B137" s="8" t="b">
        <v>0</v>
      </c>
      <c r="C137" s="8">
        <v>30</v>
      </c>
      <c r="D137" s="151">
        <v>0</v>
      </c>
      <c r="E137" s="151"/>
      <c r="F137" s="24" t="s">
        <v>1579</v>
      </c>
      <c r="G137" s="30">
        <v>45002</v>
      </c>
      <c r="H137" s="81" t="s">
        <v>207</v>
      </c>
      <c r="I137" s="30">
        <v>45001</v>
      </c>
      <c r="J137" s="16" t="s">
        <v>654</v>
      </c>
      <c r="K137" s="9" t="s">
        <v>1530</v>
      </c>
      <c r="L137" s="9"/>
      <c r="M137" s="152">
        <v>428572</v>
      </c>
      <c r="N137" s="153">
        <v>81428.680000000008</v>
      </c>
      <c r="O137" s="152">
        <v>0</v>
      </c>
      <c r="P137" s="154">
        <v>0</v>
      </c>
      <c r="Q137" s="152">
        <v>0</v>
      </c>
      <c r="R137" s="9">
        <v>510000.68</v>
      </c>
      <c r="S137" s="21" t="s">
        <v>1846</v>
      </c>
      <c r="T137" s="117">
        <v>0</v>
      </c>
      <c r="U137" s="117" t="s">
        <v>347</v>
      </c>
      <c r="V137" s="117">
        <v>2023</v>
      </c>
      <c r="W137" s="117">
        <v>6</v>
      </c>
      <c r="X137" s="117">
        <v>1145000</v>
      </c>
      <c r="Y137" s="117">
        <v>2.5000000000000001E-2</v>
      </c>
      <c r="Z137" s="21" t="b">
        <v>0</v>
      </c>
      <c r="AA137" s="162">
        <f>+$AD$5-Tabla2[[#This Row],[FECHA DE FACTURACIÓN]]</f>
        <v>442</v>
      </c>
      <c r="AB137" s="163" t="str">
        <f>+IF(Tabla2[[#This Row],[dias de credito]]&gt;=Tabla2[[#This Row],[PLAZO Días]],"venc", "No venc")</f>
        <v>venc</v>
      </c>
      <c r="AC137" s="163" t="str">
        <f>+IF(Tabla2[[#This Row],[FECHA DE PAGO]]&gt;0,"pagada","por pagar")</f>
        <v>pagada</v>
      </c>
      <c r="AD137" s="164" t="str">
        <f>+IF(AND(Tabla2[[#This Row],[venc]]="venc",Tabla2[[#This Row],[estado pago]]="por pagar"),"vencida","no")</f>
        <v>no</v>
      </c>
    </row>
    <row r="138" spans="1:30" ht="19.5" hidden="1" customHeight="1" x14ac:dyDescent="0.25">
      <c r="A138" s="8" t="s">
        <v>1850</v>
      </c>
      <c r="B138" s="8" t="s">
        <v>1851</v>
      </c>
      <c r="C138" s="8">
        <v>30</v>
      </c>
      <c r="D138" s="151">
        <v>0</v>
      </c>
      <c r="E138" s="151"/>
      <c r="F138" s="24" t="s">
        <v>156</v>
      </c>
      <c r="G138" s="30">
        <v>45006</v>
      </c>
      <c r="H138" s="81" t="s">
        <v>1580</v>
      </c>
      <c r="I138" s="30">
        <v>44960</v>
      </c>
      <c r="J138" s="16" t="s">
        <v>551</v>
      </c>
      <c r="K138" s="9" t="s">
        <v>1530</v>
      </c>
      <c r="L138" s="9"/>
      <c r="M138" s="152">
        <v>756000</v>
      </c>
      <c r="N138" s="153">
        <v>143640</v>
      </c>
      <c r="O138" s="152">
        <v>0</v>
      </c>
      <c r="P138" s="154">
        <v>0</v>
      </c>
      <c r="Q138" s="152">
        <v>0</v>
      </c>
      <c r="R138" s="9">
        <v>899640</v>
      </c>
      <c r="S138" s="21" t="s">
        <v>1846</v>
      </c>
      <c r="T138" s="117">
        <v>0</v>
      </c>
      <c r="U138" s="117" t="s">
        <v>347</v>
      </c>
      <c r="V138" s="117">
        <v>2023</v>
      </c>
      <c r="W138" s="117">
        <v>6</v>
      </c>
      <c r="X138" s="117">
        <v>1145000</v>
      </c>
      <c r="Y138" s="117">
        <v>2.5000000000000001E-2</v>
      </c>
      <c r="Z138" s="21" t="b">
        <v>0</v>
      </c>
      <c r="AA138" s="162">
        <f>+$AD$5-Tabla2[[#This Row],[FECHA DE FACTURACIÓN]]</f>
        <v>483</v>
      </c>
      <c r="AB138" s="163" t="str">
        <f>+IF(Tabla2[[#This Row],[dias de credito]]&gt;=Tabla2[[#This Row],[PLAZO Días]],"venc", "No venc")</f>
        <v>venc</v>
      </c>
      <c r="AC138" s="163" t="str">
        <f>+IF(Tabla2[[#This Row],[FECHA DE PAGO]]&gt;0,"pagada","por pagar")</f>
        <v>pagada</v>
      </c>
      <c r="AD138" s="164" t="str">
        <f>+IF(AND(Tabla2[[#This Row],[venc]]="venc",Tabla2[[#This Row],[estado pago]]="por pagar"),"vencida","no")</f>
        <v>no</v>
      </c>
    </row>
    <row r="139" spans="1:30" ht="19.5" hidden="1" customHeight="1" x14ac:dyDescent="0.25">
      <c r="A139" s="8" t="s">
        <v>1850</v>
      </c>
      <c r="B139" s="8" t="s">
        <v>1851</v>
      </c>
      <c r="C139" s="8">
        <v>30</v>
      </c>
      <c r="D139" s="151">
        <v>8456975.129999999</v>
      </c>
      <c r="E139" s="151"/>
      <c r="F139" s="24" t="s">
        <v>1476</v>
      </c>
      <c r="G139" s="30">
        <v>45006</v>
      </c>
      <c r="H139" s="81" t="s">
        <v>1464</v>
      </c>
      <c r="I139" s="30">
        <v>44964</v>
      </c>
      <c r="J139" s="16" t="s">
        <v>563</v>
      </c>
      <c r="K139" s="9" t="s">
        <v>1530</v>
      </c>
      <c r="L139" s="9"/>
      <c r="M139" s="152">
        <v>3909400</v>
      </c>
      <c r="N139" s="153">
        <v>742786</v>
      </c>
      <c r="O139" s="152">
        <v>0</v>
      </c>
      <c r="P139" s="154">
        <v>2.5000000000000001E-2</v>
      </c>
      <c r="Q139" s="152">
        <v>97735</v>
      </c>
      <c r="R139" s="9">
        <v>4554451</v>
      </c>
      <c r="S139" s="21" t="s">
        <v>1846</v>
      </c>
      <c r="T139" s="117">
        <v>0</v>
      </c>
      <c r="U139" s="117" t="s">
        <v>347</v>
      </c>
      <c r="V139" s="117">
        <v>2023</v>
      </c>
      <c r="W139" s="117">
        <v>6</v>
      </c>
      <c r="X139" s="117">
        <v>1145000</v>
      </c>
      <c r="Y139" s="117">
        <v>2.5000000000000001E-2</v>
      </c>
      <c r="Z139" s="21" t="b">
        <v>0</v>
      </c>
      <c r="AA139" s="162">
        <f>+$AD$5-Tabla2[[#This Row],[FECHA DE FACTURACIÓN]]</f>
        <v>479</v>
      </c>
      <c r="AB139" s="163" t="str">
        <f>+IF(Tabla2[[#This Row],[dias de credito]]&gt;=Tabla2[[#This Row],[PLAZO Días]],"venc", "No venc")</f>
        <v>venc</v>
      </c>
      <c r="AC139" s="163" t="str">
        <f>+IF(Tabla2[[#This Row],[FECHA DE PAGO]]&gt;0,"pagada","por pagar")</f>
        <v>pagada</v>
      </c>
      <c r="AD139" s="164" t="str">
        <f>+IF(AND(Tabla2[[#This Row],[venc]]="venc",Tabla2[[#This Row],[estado pago]]="por pagar"),"vencida","no")</f>
        <v>no</v>
      </c>
    </row>
    <row r="140" spans="1:30" ht="19.5" hidden="1" customHeight="1" x14ac:dyDescent="0.25">
      <c r="A140" s="8" t="s">
        <v>1850</v>
      </c>
      <c r="B140" s="8" t="b">
        <v>0</v>
      </c>
      <c r="C140" s="8">
        <v>30</v>
      </c>
      <c r="D140" s="151">
        <v>8456975.129999999</v>
      </c>
      <c r="E140" s="151"/>
      <c r="F140" s="24" t="s">
        <v>1476</v>
      </c>
      <c r="G140" s="30">
        <v>45006</v>
      </c>
      <c r="H140" s="81" t="s">
        <v>1464</v>
      </c>
      <c r="I140" s="30">
        <v>44978</v>
      </c>
      <c r="J140" s="16" t="s">
        <v>590</v>
      </c>
      <c r="K140" s="9" t="s">
        <v>1530</v>
      </c>
      <c r="L140" s="9"/>
      <c r="M140" s="152">
        <v>346497</v>
      </c>
      <c r="N140" s="153">
        <v>65834.430000000008</v>
      </c>
      <c r="O140" s="152">
        <v>0</v>
      </c>
      <c r="P140" s="154">
        <v>0</v>
      </c>
      <c r="Q140" s="152">
        <v>0</v>
      </c>
      <c r="R140" s="9">
        <v>412331.43</v>
      </c>
      <c r="S140" s="21" t="s">
        <v>1846</v>
      </c>
      <c r="T140" s="117">
        <v>0</v>
      </c>
      <c r="U140" s="117" t="s">
        <v>347</v>
      </c>
      <c r="V140" s="117">
        <v>2023</v>
      </c>
      <c r="W140" s="117">
        <v>6</v>
      </c>
      <c r="X140" s="117">
        <v>1145000</v>
      </c>
      <c r="Y140" s="117">
        <v>2.5000000000000001E-2</v>
      </c>
      <c r="Z140" s="21" t="b">
        <v>0</v>
      </c>
      <c r="AA140" s="162">
        <f>+$AD$5-Tabla2[[#This Row],[FECHA DE FACTURACIÓN]]</f>
        <v>465</v>
      </c>
      <c r="AB140" s="163" t="str">
        <f>+IF(Tabla2[[#This Row],[dias de credito]]&gt;=Tabla2[[#This Row],[PLAZO Días]],"venc", "No venc")</f>
        <v>venc</v>
      </c>
      <c r="AC140" s="163" t="str">
        <f>+IF(Tabla2[[#This Row],[FECHA DE PAGO]]&gt;0,"pagada","por pagar")</f>
        <v>pagada</v>
      </c>
      <c r="AD140" s="164" t="str">
        <f>+IF(AND(Tabla2[[#This Row],[venc]]="venc",Tabla2[[#This Row],[estado pago]]="por pagar"),"vencida","no")</f>
        <v>no</v>
      </c>
    </row>
    <row r="141" spans="1:30" ht="19.5" hidden="1" customHeight="1" x14ac:dyDescent="0.25">
      <c r="A141" s="8" t="s">
        <v>1850</v>
      </c>
      <c r="B141" s="8" t="b">
        <v>0</v>
      </c>
      <c r="C141" s="8">
        <v>30</v>
      </c>
      <c r="D141" s="151">
        <v>12628497</v>
      </c>
      <c r="E141" s="151"/>
      <c r="F141" s="24" t="s">
        <v>149</v>
      </c>
      <c r="G141" s="30">
        <v>45006</v>
      </c>
      <c r="H141" s="81" t="s">
        <v>451</v>
      </c>
      <c r="I141" s="30">
        <v>45002</v>
      </c>
      <c r="J141" s="16">
        <v>29742</v>
      </c>
      <c r="K141" s="9" t="s">
        <v>1530</v>
      </c>
      <c r="L141" s="9"/>
      <c r="M141" s="152">
        <v>188000</v>
      </c>
      <c r="N141" s="153">
        <v>35720</v>
      </c>
      <c r="O141" s="152">
        <v>0</v>
      </c>
      <c r="P141" s="154">
        <v>0</v>
      </c>
      <c r="Q141" s="152">
        <v>0</v>
      </c>
      <c r="R141" s="9">
        <v>223720</v>
      </c>
      <c r="S141" s="21" t="s">
        <v>1846</v>
      </c>
      <c r="T141" s="117">
        <v>0</v>
      </c>
      <c r="U141" s="117" t="s">
        <v>347</v>
      </c>
      <c r="V141" s="117">
        <v>2023</v>
      </c>
      <c r="W141" s="117">
        <v>6</v>
      </c>
      <c r="X141" s="117">
        <v>1145000</v>
      </c>
      <c r="Y141" s="117">
        <v>2.5000000000000001E-2</v>
      </c>
      <c r="Z141" s="21" t="b">
        <v>0</v>
      </c>
      <c r="AA141" s="162">
        <f>+$AD$5-Tabla2[[#This Row],[FECHA DE FACTURACIÓN]]</f>
        <v>441</v>
      </c>
      <c r="AB141" s="163" t="str">
        <f>+IF(Tabla2[[#This Row],[dias de credito]]&gt;=Tabla2[[#This Row],[PLAZO Días]],"venc", "No venc")</f>
        <v>venc</v>
      </c>
      <c r="AC141" s="163" t="str">
        <f>+IF(Tabla2[[#This Row],[FECHA DE PAGO]]&gt;0,"pagada","por pagar")</f>
        <v>pagada</v>
      </c>
      <c r="AD141" s="164" t="str">
        <f>+IF(AND(Tabla2[[#This Row],[venc]]="venc",Tabla2[[#This Row],[estado pago]]="por pagar"),"vencida","no")</f>
        <v>no</v>
      </c>
    </row>
    <row r="142" spans="1:30" ht="19.5" hidden="1" customHeight="1" x14ac:dyDescent="0.25">
      <c r="A142" s="8" t="s">
        <v>1852</v>
      </c>
      <c r="B142" s="8" t="b">
        <v>0</v>
      </c>
      <c r="C142" s="8">
        <v>30</v>
      </c>
      <c r="D142" s="151">
        <v>0</v>
      </c>
      <c r="E142" s="151"/>
      <c r="F142" s="24" t="s">
        <v>1497</v>
      </c>
      <c r="G142" s="30">
        <v>45008</v>
      </c>
      <c r="H142" s="81" t="s">
        <v>1865</v>
      </c>
      <c r="I142" s="30">
        <v>45008</v>
      </c>
      <c r="J142" s="16" t="s">
        <v>650</v>
      </c>
      <c r="K142" s="9" t="s">
        <v>1530</v>
      </c>
      <c r="L142" s="9"/>
      <c r="M142" s="152">
        <v>1690000</v>
      </c>
      <c r="N142" s="153">
        <v>0</v>
      </c>
      <c r="O142" s="152">
        <v>0</v>
      </c>
      <c r="P142" s="154">
        <v>0</v>
      </c>
      <c r="Q142" s="152">
        <v>0</v>
      </c>
      <c r="R142" s="9">
        <v>1690000</v>
      </c>
      <c r="S142" s="21" t="s">
        <v>1846</v>
      </c>
      <c r="T142" s="117">
        <v>0</v>
      </c>
      <c r="U142" s="117">
        <v>0</v>
      </c>
      <c r="V142" s="117">
        <v>2023</v>
      </c>
      <c r="W142" s="117">
        <v>6</v>
      </c>
      <c r="X142" s="117">
        <v>0</v>
      </c>
      <c r="Y142" s="117">
        <v>0</v>
      </c>
      <c r="Z142" s="21" t="b">
        <v>0</v>
      </c>
      <c r="AA142" s="162">
        <f>+$AD$5-Tabla2[[#This Row],[FECHA DE FACTURACIÓN]]</f>
        <v>435</v>
      </c>
      <c r="AB142" s="163" t="str">
        <f>+IF(Tabla2[[#This Row],[dias de credito]]&gt;=Tabla2[[#This Row],[PLAZO Días]],"venc", "No venc")</f>
        <v>venc</v>
      </c>
      <c r="AC142" s="163" t="str">
        <f>+IF(Tabla2[[#This Row],[FECHA DE PAGO]]&gt;0,"pagada","por pagar")</f>
        <v>pagada</v>
      </c>
      <c r="AD142" s="164" t="str">
        <f>+IF(AND(Tabla2[[#This Row],[venc]]="venc",Tabla2[[#This Row],[estado pago]]="por pagar"),"vencida","no")</f>
        <v>no</v>
      </c>
    </row>
    <row r="143" spans="1:30" ht="19.5" hidden="1" customHeight="1" x14ac:dyDescent="0.25">
      <c r="A143" s="8" t="s">
        <v>1850</v>
      </c>
      <c r="B143" s="8" t="b">
        <v>0</v>
      </c>
      <c r="C143" s="8">
        <v>30</v>
      </c>
      <c r="D143" s="151">
        <v>0</v>
      </c>
      <c r="E143" s="151"/>
      <c r="F143" s="24" t="s">
        <v>84</v>
      </c>
      <c r="G143" s="30">
        <v>45010</v>
      </c>
      <c r="H143" s="81" t="s">
        <v>481</v>
      </c>
      <c r="I143" s="30">
        <v>45009</v>
      </c>
      <c r="J143" s="16" t="s">
        <v>655</v>
      </c>
      <c r="K143" s="9" t="s">
        <v>1530</v>
      </c>
      <c r="L143" s="9"/>
      <c r="M143" s="152">
        <v>650000</v>
      </c>
      <c r="N143" s="153">
        <v>0</v>
      </c>
      <c r="O143" s="152">
        <v>0</v>
      </c>
      <c r="P143" s="154">
        <v>0</v>
      </c>
      <c r="Q143" s="152">
        <v>0</v>
      </c>
      <c r="R143" s="9">
        <v>650000</v>
      </c>
      <c r="S143" s="21" t="s">
        <v>1846</v>
      </c>
      <c r="T143" s="117">
        <v>0</v>
      </c>
      <c r="U143" s="117">
        <v>0</v>
      </c>
      <c r="V143" s="117">
        <v>2023</v>
      </c>
      <c r="W143" s="117">
        <v>6</v>
      </c>
      <c r="X143" s="117">
        <v>0</v>
      </c>
      <c r="Y143" s="117">
        <v>0</v>
      </c>
      <c r="Z143" s="21" t="b">
        <v>0</v>
      </c>
      <c r="AA143" s="162">
        <f>+$AD$5-Tabla2[[#This Row],[FECHA DE FACTURACIÓN]]</f>
        <v>434</v>
      </c>
      <c r="AB143" s="163" t="str">
        <f>+IF(Tabla2[[#This Row],[dias de credito]]&gt;=Tabla2[[#This Row],[PLAZO Días]],"venc", "No venc")</f>
        <v>venc</v>
      </c>
      <c r="AC143" s="163" t="str">
        <f>+IF(Tabla2[[#This Row],[FECHA DE PAGO]]&gt;0,"pagada","por pagar")</f>
        <v>pagada</v>
      </c>
      <c r="AD143" s="164" t="str">
        <f>+IF(AND(Tabla2[[#This Row],[venc]]="venc",Tabla2[[#This Row],[estado pago]]="por pagar"),"vencida","no")</f>
        <v>no</v>
      </c>
    </row>
    <row r="144" spans="1:30" ht="19.5" hidden="1" customHeight="1" x14ac:dyDescent="0.25">
      <c r="A144" s="8" t="s">
        <v>1850</v>
      </c>
      <c r="B144" s="8" t="b">
        <v>0</v>
      </c>
      <c r="C144" s="8">
        <v>30</v>
      </c>
      <c r="D144" s="151">
        <v>1350000</v>
      </c>
      <c r="E144" s="151"/>
      <c r="F144" s="24" t="s">
        <v>84</v>
      </c>
      <c r="G144" s="30">
        <v>45010</v>
      </c>
      <c r="H144" s="81" t="s">
        <v>1807</v>
      </c>
      <c r="I144" s="30">
        <v>45009</v>
      </c>
      <c r="J144" s="16" t="s">
        <v>658</v>
      </c>
      <c r="K144" s="9" t="s">
        <v>1530</v>
      </c>
      <c r="L144" s="9"/>
      <c r="M144" s="152">
        <v>1440000</v>
      </c>
      <c r="N144" s="153">
        <v>0</v>
      </c>
      <c r="O144" s="152">
        <v>0</v>
      </c>
      <c r="P144" s="154">
        <v>0</v>
      </c>
      <c r="Q144" s="152">
        <v>0</v>
      </c>
      <c r="R144" s="9">
        <v>1440000</v>
      </c>
      <c r="S144" s="21" t="s">
        <v>1846</v>
      </c>
      <c r="T144" s="117">
        <v>0</v>
      </c>
      <c r="U144" s="117">
        <v>0</v>
      </c>
      <c r="V144" s="117">
        <v>2023</v>
      </c>
      <c r="W144" s="117">
        <v>6</v>
      </c>
      <c r="X144" s="117">
        <v>0</v>
      </c>
      <c r="Y144" s="117">
        <v>0</v>
      </c>
      <c r="Z144" s="21" t="b">
        <v>0</v>
      </c>
      <c r="AA144" s="162">
        <f>+$AD$5-Tabla2[[#This Row],[FECHA DE FACTURACIÓN]]</f>
        <v>434</v>
      </c>
      <c r="AB144" s="163" t="str">
        <f>+IF(Tabla2[[#This Row],[dias de credito]]&gt;=Tabla2[[#This Row],[PLAZO Días]],"venc", "No venc")</f>
        <v>venc</v>
      </c>
      <c r="AC144" s="163" t="str">
        <f>+IF(Tabla2[[#This Row],[FECHA DE PAGO]]&gt;0,"pagada","por pagar")</f>
        <v>pagada</v>
      </c>
      <c r="AD144" s="164" t="str">
        <f>+IF(AND(Tabla2[[#This Row],[venc]]="venc",Tabla2[[#This Row],[estado pago]]="por pagar"),"vencida","no")</f>
        <v>no</v>
      </c>
    </row>
    <row r="145" spans="1:30" ht="19.5" hidden="1" customHeight="1" x14ac:dyDescent="0.25">
      <c r="A145" s="8" t="s">
        <v>1850</v>
      </c>
      <c r="B145" s="8" t="s">
        <v>1851</v>
      </c>
      <c r="C145" s="8">
        <v>30</v>
      </c>
      <c r="D145" s="151">
        <v>0</v>
      </c>
      <c r="E145" s="151"/>
      <c r="F145" s="24" t="s">
        <v>84</v>
      </c>
      <c r="G145" s="30">
        <v>45012</v>
      </c>
      <c r="H145" s="81" t="s">
        <v>1811</v>
      </c>
      <c r="I145" s="30">
        <v>44965</v>
      </c>
      <c r="J145" s="16" t="s">
        <v>596</v>
      </c>
      <c r="K145" s="9" t="s">
        <v>1530</v>
      </c>
      <c r="L145" s="9"/>
      <c r="M145" s="152">
        <v>2260000</v>
      </c>
      <c r="N145" s="153">
        <v>0</v>
      </c>
      <c r="O145" s="152">
        <v>0</v>
      </c>
      <c r="P145" s="154">
        <v>0</v>
      </c>
      <c r="Q145" s="152">
        <v>0</v>
      </c>
      <c r="R145" s="9">
        <v>2260000</v>
      </c>
      <c r="S145" s="21" t="s">
        <v>1846</v>
      </c>
      <c r="T145" s="117">
        <v>0</v>
      </c>
      <c r="U145" s="117">
        <v>0</v>
      </c>
      <c r="V145" s="117">
        <v>2023</v>
      </c>
      <c r="W145" s="117">
        <v>6</v>
      </c>
      <c r="X145" s="117">
        <v>0</v>
      </c>
      <c r="Y145" s="117">
        <v>0</v>
      </c>
      <c r="Z145" s="21" t="b">
        <v>0</v>
      </c>
      <c r="AA145" s="162">
        <f>+$AD$5-Tabla2[[#This Row],[FECHA DE FACTURACIÓN]]</f>
        <v>478</v>
      </c>
      <c r="AB145" s="163" t="str">
        <f>+IF(Tabla2[[#This Row],[dias de credito]]&gt;=Tabla2[[#This Row],[PLAZO Días]],"venc", "No venc")</f>
        <v>venc</v>
      </c>
      <c r="AC145" s="163" t="str">
        <f>+IF(Tabla2[[#This Row],[FECHA DE PAGO]]&gt;0,"pagada","por pagar")</f>
        <v>pagada</v>
      </c>
      <c r="AD145" s="164" t="str">
        <f>+IF(AND(Tabla2[[#This Row],[venc]]="venc",Tabla2[[#This Row],[estado pago]]="por pagar"),"vencida","no")</f>
        <v>no</v>
      </c>
    </row>
    <row r="146" spans="1:30" ht="19.5" hidden="1" customHeight="1" x14ac:dyDescent="0.25">
      <c r="A146" s="8" t="s">
        <v>1850</v>
      </c>
      <c r="B146" s="8" t="b">
        <v>0</v>
      </c>
      <c r="C146" s="8">
        <v>30</v>
      </c>
      <c r="D146" s="151">
        <v>0</v>
      </c>
      <c r="E146" s="151"/>
      <c r="F146" s="24" t="s">
        <v>253</v>
      </c>
      <c r="G146" s="30">
        <v>45012</v>
      </c>
      <c r="H146" s="81" t="s">
        <v>368</v>
      </c>
      <c r="I146" s="30">
        <v>44986</v>
      </c>
      <c r="J146" s="16" t="s">
        <v>636</v>
      </c>
      <c r="K146" s="9" t="s">
        <v>1530</v>
      </c>
      <c r="L146" s="9"/>
      <c r="M146" s="152">
        <v>7165</v>
      </c>
      <c r="N146" s="153">
        <v>1361.35</v>
      </c>
      <c r="O146" s="152">
        <v>0</v>
      </c>
      <c r="P146" s="154">
        <v>0</v>
      </c>
      <c r="Q146" s="152">
        <v>0</v>
      </c>
      <c r="R146" s="9">
        <v>8526.35</v>
      </c>
      <c r="S146" s="21" t="s">
        <v>1846</v>
      </c>
      <c r="T146" s="117">
        <v>0</v>
      </c>
      <c r="U146" s="117">
        <v>0</v>
      </c>
      <c r="V146" s="117">
        <v>2023</v>
      </c>
      <c r="W146" s="117">
        <v>6</v>
      </c>
      <c r="X146" s="117">
        <v>0</v>
      </c>
      <c r="Y146" s="117">
        <v>0</v>
      </c>
      <c r="Z146" s="21" t="b">
        <v>1</v>
      </c>
      <c r="AA146" s="162">
        <f>+$AD$5-Tabla2[[#This Row],[FECHA DE FACTURACIÓN]]</f>
        <v>457</v>
      </c>
      <c r="AB146" s="163" t="str">
        <f>+IF(Tabla2[[#This Row],[dias de credito]]&gt;=Tabla2[[#This Row],[PLAZO Días]],"venc", "No venc")</f>
        <v>venc</v>
      </c>
      <c r="AC146" s="163" t="str">
        <f>+IF(Tabla2[[#This Row],[FECHA DE PAGO]]&gt;0,"pagada","por pagar")</f>
        <v>pagada</v>
      </c>
      <c r="AD146" s="164" t="str">
        <f>+IF(AND(Tabla2[[#This Row],[venc]]="venc",Tabla2[[#This Row],[estado pago]]="por pagar"),"vencida","no")</f>
        <v>no</v>
      </c>
    </row>
    <row r="147" spans="1:30" ht="19.5" hidden="1" customHeight="1" x14ac:dyDescent="0.25">
      <c r="A147" s="8" t="s">
        <v>1850</v>
      </c>
      <c r="B147" s="8" t="b">
        <v>0</v>
      </c>
      <c r="C147" s="8">
        <v>30</v>
      </c>
      <c r="D147" s="151">
        <v>0</v>
      </c>
      <c r="E147" s="151"/>
      <c r="F147" s="24" t="s">
        <v>253</v>
      </c>
      <c r="G147" s="30">
        <v>45012</v>
      </c>
      <c r="H147" s="81" t="s">
        <v>368</v>
      </c>
      <c r="I147" s="30">
        <v>44986</v>
      </c>
      <c r="J147" s="16" t="s">
        <v>637</v>
      </c>
      <c r="K147" s="9" t="s">
        <v>1530</v>
      </c>
      <c r="L147" s="9"/>
      <c r="M147" s="152">
        <v>10150</v>
      </c>
      <c r="N147" s="153">
        <v>1928.5</v>
      </c>
      <c r="O147" s="152">
        <v>0</v>
      </c>
      <c r="P147" s="154">
        <v>0</v>
      </c>
      <c r="Q147" s="152">
        <v>0</v>
      </c>
      <c r="R147" s="9">
        <v>12078.5</v>
      </c>
      <c r="S147" s="21" t="s">
        <v>1846</v>
      </c>
      <c r="T147" s="117">
        <v>0</v>
      </c>
      <c r="U147" s="117">
        <v>0</v>
      </c>
      <c r="V147" s="117">
        <v>2023</v>
      </c>
      <c r="W147" s="117">
        <v>6</v>
      </c>
      <c r="X147" s="117">
        <v>0</v>
      </c>
      <c r="Y147" s="117">
        <v>0</v>
      </c>
      <c r="Z147" s="21" t="b">
        <v>1</v>
      </c>
      <c r="AA147" s="162">
        <f>+$AD$5-Tabla2[[#This Row],[FECHA DE FACTURACIÓN]]</f>
        <v>457</v>
      </c>
      <c r="AB147" s="163" t="str">
        <f>+IF(Tabla2[[#This Row],[dias de credito]]&gt;=Tabla2[[#This Row],[PLAZO Días]],"venc", "No venc")</f>
        <v>venc</v>
      </c>
      <c r="AC147" s="163" t="str">
        <f>+IF(Tabla2[[#This Row],[FECHA DE PAGO]]&gt;0,"pagada","por pagar")</f>
        <v>pagada</v>
      </c>
      <c r="AD147" s="164" t="str">
        <f>+IF(AND(Tabla2[[#This Row],[venc]]="venc",Tabla2[[#This Row],[estado pago]]="por pagar"),"vencida","no")</f>
        <v>no</v>
      </c>
    </row>
    <row r="148" spans="1:30" ht="19.5" hidden="1" customHeight="1" x14ac:dyDescent="0.25">
      <c r="A148" s="8" t="s">
        <v>1850</v>
      </c>
      <c r="B148" s="8" t="b">
        <v>0</v>
      </c>
      <c r="C148" s="8">
        <v>30</v>
      </c>
      <c r="D148" s="151">
        <v>0</v>
      </c>
      <c r="E148" s="151"/>
      <c r="F148" s="24" t="s">
        <v>253</v>
      </c>
      <c r="G148" s="30">
        <v>45012</v>
      </c>
      <c r="H148" s="81" t="s">
        <v>368</v>
      </c>
      <c r="I148" s="30">
        <v>44986</v>
      </c>
      <c r="J148" s="16" t="s">
        <v>638</v>
      </c>
      <c r="K148" s="9" t="s">
        <v>1530</v>
      </c>
      <c r="L148" s="9"/>
      <c r="M148" s="152">
        <v>39533</v>
      </c>
      <c r="N148" s="153">
        <v>7511.27</v>
      </c>
      <c r="O148" s="152">
        <v>0</v>
      </c>
      <c r="P148" s="154">
        <v>0</v>
      </c>
      <c r="Q148" s="152">
        <v>0</v>
      </c>
      <c r="R148" s="9">
        <v>47044.270000000004</v>
      </c>
      <c r="S148" s="21" t="s">
        <v>1846</v>
      </c>
      <c r="T148" s="117">
        <v>0</v>
      </c>
      <c r="U148" s="117">
        <v>0</v>
      </c>
      <c r="V148" s="117">
        <v>2023</v>
      </c>
      <c r="W148" s="117">
        <v>6</v>
      </c>
      <c r="X148" s="117">
        <v>0</v>
      </c>
      <c r="Y148" s="117">
        <v>0</v>
      </c>
      <c r="Z148" s="21" t="b">
        <v>1</v>
      </c>
      <c r="AA148" s="162">
        <f>+$AD$5-Tabla2[[#This Row],[FECHA DE FACTURACIÓN]]</f>
        <v>457</v>
      </c>
      <c r="AB148" s="163" t="str">
        <f>+IF(Tabla2[[#This Row],[dias de credito]]&gt;=Tabla2[[#This Row],[PLAZO Días]],"venc", "No venc")</f>
        <v>venc</v>
      </c>
      <c r="AC148" s="163" t="str">
        <f>+IF(Tabla2[[#This Row],[FECHA DE PAGO]]&gt;0,"pagada","por pagar")</f>
        <v>pagada</v>
      </c>
      <c r="AD148" s="164" t="str">
        <f>+IF(AND(Tabla2[[#This Row],[venc]]="venc",Tabla2[[#This Row],[estado pago]]="por pagar"),"vencida","no")</f>
        <v>no</v>
      </c>
    </row>
    <row r="149" spans="1:30" ht="19.5" hidden="1" customHeight="1" x14ac:dyDescent="0.25">
      <c r="A149" s="8" t="s">
        <v>1850</v>
      </c>
      <c r="B149" s="8" t="b">
        <v>0</v>
      </c>
      <c r="C149" s="8">
        <v>30</v>
      </c>
      <c r="D149" s="151">
        <v>0</v>
      </c>
      <c r="E149" s="151"/>
      <c r="F149" s="24" t="s">
        <v>253</v>
      </c>
      <c r="G149" s="30">
        <v>45012</v>
      </c>
      <c r="H149" s="81" t="s">
        <v>368</v>
      </c>
      <c r="I149" s="30">
        <v>44986</v>
      </c>
      <c r="J149" s="16" t="s">
        <v>639</v>
      </c>
      <c r="K149" s="9" t="s">
        <v>1530</v>
      </c>
      <c r="L149" s="9"/>
      <c r="M149" s="152">
        <v>933193</v>
      </c>
      <c r="N149" s="153">
        <v>177306.67</v>
      </c>
      <c r="O149" s="152">
        <v>0</v>
      </c>
      <c r="P149" s="154">
        <v>0</v>
      </c>
      <c r="Q149" s="152">
        <v>0</v>
      </c>
      <c r="R149" s="9">
        <v>1110499.67</v>
      </c>
      <c r="S149" s="21" t="s">
        <v>1846</v>
      </c>
      <c r="T149" s="117">
        <v>0</v>
      </c>
      <c r="U149" s="117">
        <v>0</v>
      </c>
      <c r="V149" s="117">
        <v>2023</v>
      </c>
      <c r="W149" s="117">
        <v>6</v>
      </c>
      <c r="X149" s="117">
        <v>0</v>
      </c>
      <c r="Y149" s="117">
        <v>0</v>
      </c>
      <c r="Z149" s="21" t="b">
        <v>1</v>
      </c>
      <c r="AA149" s="162">
        <f>+$AD$5-Tabla2[[#This Row],[FECHA DE FACTURACIÓN]]</f>
        <v>457</v>
      </c>
      <c r="AB149" s="163" t="str">
        <f>+IF(Tabla2[[#This Row],[dias de credito]]&gt;=Tabla2[[#This Row],[PLAZO Días]],"venc", "No venc")</f>
        <v>venc</v>
      </c>
      <c r="AC149" s="163" t="str">
        <f>+IF(Tabla2[[#This Row],[FECHA DE PAGO]]&gt;0,"pagada","por pagar")</f>
        <v>pagada</v>
      </c>
      <c r="AD149" s="164" t="str">
        <f>+IF(AND(Tabla2[[#This Row],[venc]]="venc",Tabla2[[#This Row],[estado pago]]="por pagar"),"vencida","no")</f>
        <v>no</v>
      </c>
    </row>
    <row r="150" spans="1:30" ht="19.5" hidden="1" customHeight="1" x14ac:dyDescent="0.25">
      <c r="A150" s="8" t="s">
        <v>1850</v>
      </c>
      <c r="B150" s="8" t="b">
        <v>0</v>
      </c>
      <c r="C150" s="8">
        <v>30</v>
      </c>
      <c r="D150" s="151">
        <v>0</v>
      </c>
      <c r="E150" s="151"/>
      <c r="F150" s="24" t="s">
        <v>268</v>
      </c>
      <c r="G150" s="30">
        <v>45012</v>
      </c>
      <c r="H150" s="81" t="s">
        <v>376</v>
      </c>
      <c r="I150" s="30">
        <v>44986</v>
      </c>
      <c r="J150" s="16" t="s">
        <v>694</v>
      </c>
      <c r="K150" s="9" t="s">
        <v>1530</v>
      </c>
      <c r="L150" s="9"/>
      <c r="M150" s="152">
        <v>329981</v>
      </c>
      <c r="N150" s="153">
        <v>0</v>
      </c>
      <c r="O150" s="152">
        <v>0</v>
      </c>
      <c r="P150" s="154">
        <v>0</v>
      </c>
      <c r="Q150" s="152">
        <v>0</v>
      </c>
      <c r="R150" s="9">
        <v>329981</v>
      </c>
      <c r="S150" s="21" t="s">
        <v>1846</v>
      </c>
      <c r="T150" s="117">
        <v>0</v>
      </c>
      <c r="U150" s="117">
        <v>0</v>
      </c>
      <c r="V150" s="117">
        <v>2023</v>
      </c>
      <c r="W150" s="117">
        <v>6</v>
      </c>
      <c r="X150" s="117">
        <v>0</v>
      </c>
      <c r="Y150" s="117">
        <v>0</v>
      </c>
      <c r="Z150" s="21" t="b">
        <v>1</v>
      </c>
      <c r="AA150" s="162">
        <f>+$AD$5-Tabla2[[#This Row],[FECHA DE FACTURACIÓN]]</f>
        <v>457</v>
      </c>
      <c r="AB150" s="163" t="str">
        <f>+IF(Tabla2[[#This Row],[dias de credito]]&gt;=Tabla2[[#This Row],[PLAZO Días]],"venc", "No venc")</f>
        <v>venc</v>
      </c>
      <c r="AC150" s="163" t="str">
        <f>+IF(Tabla2[[#This Row],[FECHA DE PAGO]]&gt;0,"pagada","por pagar")</f>
        <v>pagada</v>
      </c>
      <c r="AD150" s="164" t="str">
        <f>+IF(AND(Tabla2[[#This Row],[venc]]="venc",Tabla2[[#This Row],[estado pago]]="por pagar"),"vencida","no")</f>
        <v>no</v>
      </c>
    </row>
    <row r="151" spans="1:30" ht="19.5" hidden="1" customHeight="1" x14ac:dyDescent="0.25">
      <c r="A151" s="8" t="s">
        <v>1850</v>
      </c>
      <c r="B151" s="8" t="b">
        <v>0</v>
      </c>
      <c r="C151" s="8">
        <v>30</v>
      </c>
      <c r="D151" s="151">
        <v>0</v>
      </c>
      <c r="E151" s="151"/>
      <c r="F151" s="24" t="s">
        <v>153</v>
      </c>
      <c r="G151" s="30">
        <v>45012</v>
      </c>
      <c r="H151" s="81" t="s">
        <v>394</v>
      </c>
      <c r="I151" s="30">
        <v>44986</v>
      </c>
      <c r="J151" s="16" t="s">
        <v>631</v>
      </c>
      <c r="K151" s="9" t="s">
        <v>1530</v>
      </c>
      <c r="L151" s="9"/>
      <c r="M151" s="152">
        <v>243611</v>
      </c>
      <c r="N151" s="153">
        <v>46286.090000000004</v>
      </c>
      <c r="O151" s="152">
        <v>0</v>
      </c>
      <c r="P151" s="154">
        <v>3.5000000000000003E-2</v>
      </c>
      <c r="Q151" s="152">
        <v>8526.3850000000002</v>
      </c>
      <c r="R151" s="9">
        <v>281370.70500000002</v>
      </c>
      <c r="S151" s="21" t="s">
        <v>1846</v>
      </c>
      <c r="T151" s="117">
        <v>0</v>
      </c>
      <c r="U151" s="117" t="s">
        <v>348</v>
      </c>
      <c r="V151" s="117">
        <v>2023</v>
      </c>
      <c r="W151" s="117">
        <v>6</v>
      </c>
      <c r="X151" s="117">
        <v>0</v>
      </c>
      <c r="Y151" s="117">
        <v>3.5000000000000003E-2</v>
      </c>
      <c r="Z151" s="21" t="b">
        <v>1</v>
      </c>
      <c r="AA151" s="162">
        <f>+$AD$5-Tabla2[[#This Row],[FECHA DE FACTURACIÓN]]</f>
        <v>457</v>
      </c>
      <c r="AB151" s="163" t="str">
        <f>+IF(Tabla2[[#This Row],[dias de credito]]&gt;=Tabla2[[#This Row],[PLAZO Días]],"venc", "No venc")</f>
        <v>venc</v>
      </c>
      <c r="AC151" s="163" t="str">
        <f>+IF(Tabla2[[#This Row],[FECHA DE PAGO]]&gt;0,"pagada","por pagar")</f>
        <v>pagada</v>
      </c>
      <c r="AD151" s="164" t="str">
        <f>+IF(AND(Tabla2[[#This Row],[venc]]="venc",Tabla2[[#This Row],[estado pago]]="por pagar"),"vencida","no")</f>
        <v>no</v>
      </c>
    </row>
    <row r="152" spans="1:30" ht="19.5" hidden="1" customHeight="1" x14ac:dyDescent="0.25">
      <c r="A152" s="8" t="s">
        <v>1850</v>
      </c>
      <c r="B152" s="8" t="b">
        <v>0</v>
      </c>
      <c r="C152" s="8">
        <v>30</v>
      </c>
      <c r="D152" s="151">
        <v>0</v>
      </c>
      <c r="E152" s="151"/>
      <c r="F152" s="24" t="s">
        <v>138</v>
      </c>
      <c r="G152" s="30">
        <v>45012</v>
      </c>
      <c r="H152" s="81" t="s">
        <v>1806</v>
      </c>
      <c r="I152" s="30">
        <v>44993</v>
      </c>
      <c r="J152" s="16">
        <v>403</v>
      </c>
      <c r="K152" s="9" t="s">
        <v>1530</v>
      </c>
      <c r="L152" s="9"/>
      <c r="M152" s="152">
        <v>300000</v>
      </c>
      <c r="N152" s="153">
        <v>0</v>
      </c>
      <c r="O152" s="152">
        <v>0</v>
      </c>
      <c r="P152" s="154">
        <v>0</v>
      </c>
      <c r="Q152" s="152">
        <v>0</v>
      </c>
      <c r="R152" s="9">
        <v>300000</v>
      </c>
      <c r="S152" s="21" t="s">
        <v>1846</v>
      </c>
      <c r="T152" s="117">
        <v>0</v>
      </c>
      <c r="U152" s="117">
        <v>0</v>
      </c>
      <c r="V152" s="117">
        <v>2023</v>
      </c>
      <c r="W152" s="117">
        <v>6</v>
      </c>
      <c r="X152" s="117">
        <v>0</v>
      </c>
      <c r="Y152" s="117">
        <v>0</v>
      </c>
      <c r="Z152" s="21" t="b">
        <v>0</v>
      </c>
      <c r="AA152" s="162">
        <f>+$AD$5-Tabla2[[#This Row],[FECHA DE FACTURACIÓN]]</f>
        <v>450</v>
      </c>
      <c r="AB152" s="163" t="str">
        <f>+IF(Tabla2[[#This Row],[dias de credito]]&gt;=Tabla2[[#This Row],[PLAZO Días]],"venc", "No venc")</f>
        <v>venc</v>
      </c>
      <c r="AC152" s="163" t="str">
        <f>+IF(Tabla2[[#This Row],[FECHA DE PAGO]]&gt;0,"pagada","por pagar")</f>
        <v>pagada</v>
      </c>
      <c r="AD152" s="164" t="str">
        <f>+IF(AND(Tabla2[[#This Row],[venc]]="venc",Tabla2[[#This Row],[estado pago]]="por pagar"),"vencida","no")</f>
        <v>no</v>
      </c>
    </row>
    <row r="153" spans="1:30" ht="19.5" hidden="1" customHeight="1" x14ac:dyDescent="0.25">
      <c r="A153" s="8" t="s">
        <v>1850</v>
      </c>
      <c r="B153" s="8" t="b">
        <v>0</v>
      </c>
      <c r="C153" s="8">
        <v>30</v>
      </c>
      <c r="D153" s="151">
        <v>0</v>
      </c>
      <c r="E153" s="151"/>
      <c r="F153" s="24" t="s">
        <v>138</v>
      </c>
      <c r="G153" s="30">
        <v>45012</v>
      </c>
      <c r="H153" s="81" t="s">
        <v>448</v>
      </c>
      <c r="I153" s="30">
        <v>44993</v>
      </c>
      <c r="J153" s="16" t="s">
        <v>640</v>
      </c>
      <c r="K153" s="9" t="s">
        <v>1530</v>
      </c>
      <c r="L153" s="9"/>
      <c r="M153" s="152">
        <v>290000</v>
      </c>
      <c r="N153" s="153">
        <v>0</v>
      </c>
      <c r="O153" s="152">
        <v>0</v>
      </c>
      <c r="P153" s="154">
        <v>0.01</v>
      </c>
      <c r="Q153" s="152">
        <v>2900</v>
      </c>
      <c r="R153" s="9">
        <v>287100</v>
      </c>
      <c r="S153" s="21" t="s">
        <v>1846</v>
      </c>
      <c r="T153" s="117">
        <v>0</v>
      </c>
      <c r="U153" s="117" t="s">
        <v>346</v>
      </c>
      <c r="V153" s="117">
        <v>2023</v>
      </c>
      <c r="W153" s="117">
        <v>6</v>
      </c>
      <c r="X153" s="117">
        <v>170000</v>
      </c>
      <c r="Y153" s="117">
        <v>0.01</v>
      </c>
      <c r="Z153" s="21" t="b">
        <v>0</v>
      </c>
      <c r="AA153" s="162">
        <f>+$AD$5-Tabla2[[#This Row],[FECHA DE FACTURACIÓN]]</f>
        <v>450</v>
      </c>
      <c r="AB153" s="163" t="str">
        <f>+IF(Tabla2[[#This Row],[dias de credito]]&gt;=Tabla2[[#This Row],[PLAZO Días]],"venc", "No venc")</f>
        <v>venc</v>
      </c>
      <c r="AC153" s="163" t="str">
        <f>+IF(Tabla2[[#This Row],[FECHA DE PAGO]]&gt;0,"pagada","por pagar")</f>
        <v>pagada</v>
      </c>
      <c r="AD153" s="164" t="str">
        <f>+IF(AND(Tabla2[[#This Row],[venc]]="venc",Tabla2[[#This Row],[estado pago]]="por pagar"),"vencida","no")</f>
        <v>no</v>
      </c>
    </row>
    <row r="154" spans="1:30" ht="19.5" hidden="1" customHeight="1" x14ac:dyDescent="0.25">
      <c r="A154" s="8" t="s">
        <v>1850</v>
      </c>
      <c r="B154" s="8" t="b">
        <v>0</v>
      </c>
      <c r="C154" s="8">
        <v>30</v>
      </c>
      <c r="D154" s="151">
        <v>0</v>
      </c>
      <c r="E154" s="151"/>
      <c r="F154" s="24" t="s">
        <v>159</v>
      </c>
      <c r="G154" s="30">
        <v>45012</v>
      </c>
      <c r="H154" s="81" t="s">
        <v>452</v>
      </c>
      <c r="I154" s="30">
        <v>45008</v>
      </c>
      <c r="J154" s="16" t="s">
        <v>641</v>
      </c>
      <c r="K154" s="9" t="s">
        <v>1530</v>
      </c>
      <c r="L154" s="9"/>
      <c r="M154" s="152">
        <v>16180800</v>
      </c>
      <c r="N154" s="153">
        <v>3074352</v>
      </c>
      <c r="O154" s="152">
        <v>0</v>
      </c>
      <c r="P154" s="154">
        <v>2.5000000000000001E-2</v>
      </c>
      <c r="Q154" s="152">
        <v>404520</v>
      </c>
      <c r="R154" s="9">
        <v>18850632</v>
      </c>
      <c r="S154" s="21" t="s">
        <v>1846</v>
      </c>
      <c r="T154" s="117">
        <v>0</v>
      </c>
      <c r="U154" s="117" t="s">
        <v>347</v>
      </c>
      <c r="V154" s="117">
        <v>2023</v>
      </c>
      <c r="W154" s="117">
        <v>6</v>
      </c>
      <c r="X154" s="117">
        <v>1145000</v>
      </c>
      <c r="Y154" s="117">
        <v>2.5000000000000001E-2</v>
      </c>
      <c r="Z154" s="21" t="b">
        <v>0</v>
      </c>
      <c r="AA154" s="162">
        <f>+$AD$5-Tabla2[[#This Row],[FECHA DE FACTURACIÓN]]</f>
        <v>435</v>
      </c>
      <c r="AB154" s="163" t="str">
        <f>+IF(Tabla2[[#This Row],[dias de credito]]&gt;=Tabla2[[#This Row],[PLAZO Días]],"venc", "No venc")</f>
        <v>venc</v>
      </c>
      <c r="AC154" s="163" t="str">
        <f>+IF(Tabla2[[#This Row],[FECHA DE PAGO]]&gt;0,"pagada","por pagar")</f>
        <v>pagada</v>
      </c>
      <c r="AD154" s="164" t="str">
        <f>+IF(AND(Tabla2[[#This Row],[venc]]="venc",Tabla2[[#This Row],[estado pago]]="por pagar"),"vencida","no")</f>
        <v>no</v>
      </c>
    </row>
    <row r="155" spans="1:30" ht="19.5" hidden="1" customHeight="1" x14ac:dyDescent="0.25">
      <c r="A155" s="8" t="s">
        <v>1850</v>
      </c>
      <c r="B155" s="8" t="b">
        <v>0</v>
      </c>
      <c r="C155" s="8">
        <v>30</v>
      </c>
      <c r="D155" s="151">
        <v>0</v>
      </c>
      <c r="E155" s="151"/>
      <c r="F155" s="24" t="s">
        <v>253</v>
      </c>
      <c r="G155" s="30">
        <v>45014</v>
      </c>
      <c r="H155" s="81" t="s">
        <v>368</v>
      </c>
      <c r="I155" s="30">
        <v>44986</v>
      </c>
      <c r="J155" s="16" t="s">
        <v>643</v>
      </c>
      <c r="K155" s="9" t="s">
        <v>1530</v>
      </c>
      <c r="L155" s="9"/>
      <c r="M155" s="152">
        <v>3294426</v>
      </c>
      <c r="N155" s="153">
        <v>625940.94000000006</v>
      </c>
      <c r="O155" s="152">
        <v>0</v>
      </c>
      <c r="P155" s="154">
        <v>0</v>
      </c>
      <c r="Q155" s="152">
        <v>0</v>
      </c>
      <c r="R155" s="9">
        <v>3920366.94</v>
      </c>
      <c r="S155" s="21" t="s">
        <v>1846</v>
      </c>
      <c r="T155" s="117">
        <v>0</v>
      </c>
      <c r="U155" s="117">
        <v>0</v>
      </c>
      <c r="V155" s="117">
        <v>2023</v>
      </c>
      <c r="W155" s="117">
        <v>6</v>
      </c>
      <c r="X155" s="117">
        <v>0</v>
      </c>
      <c r="Y155" s="117">
        <v>0</v>
      </c>
      <c r="Z155" s="21" t="b">
        <v>1</v>
      </c>
      <c r="AA155" s="162">
        <f>+$AD$5-Tabla2[[#This Row],[FECHA DE FACTURACIÓN]]</f>
        <v>457</v>
      </c>
      <c r="AB155" s="163" t="str">
        <f>+IF(Tabla2[[#This Row],[dias de credito]]&gt;=Tabla2[[#This Row],[PLAZO Días]],"venc", "No venc")</f>
        <v>venc</v>
      </c>
      <c r="AC155" s="163" t="str">
        <f>+IF(Tabla2[[#This Row],[FECHA DE PAGO]]&gt;0,"pagada","por pagar")</f>
        <v>pagada</v>
      </c>
      <c r="AD155" s="164" t="str">
        <f>+IF(AND(Tabla2[[#This Row],[venc]]="venc",Tabla2[[#This Row],[estado pago]]="por pagar"),"vencida","no")</f>
        <v>no</v>
      </c>
    </row>
    <row r="156" spans="1:30" ht="19.5" hidden="1" customHeight="1" x14ac:dyDescent="0.25">
      <c r="A156" s="8" t="s">
        <v>1850</v>
      </c>
      <c r="B156" s="8" t="b">
        <v>0</v>
      </c>
      <c r="C156" s="8">
        <v>30</v>
      </c>
      <c r="D156" s="151">
        <v>0</v>
      </c>
      <c r="E156" s="151"/>
      <c r="F156" s="24" t="s">
        <v>414</v>
      </c>
      <c r="G156" s="30">
        <v>45014</v>
      </c>
      <c r="H156" s="81" t="s">
        <v>382</v>
      </c>
      <c r="I156" s="30">
        <v>44986</v>
      </c>
      <c r="J156" s="16" t="s">
        <v>632</v>
      </c>
      <c r="K156" s="9" t="s">
        <v>1530</v>
      </c>
      <c r="L156" s="9"/>
      <c r="M156" s="152">
        <v>59583</v>
      </c>
      <c r="N156" s="153">
        <v>0</v>
      </c>
      <c r="O156" s="152">
        <v>0</v>
      </c>
      <c r="P156" s="154">
        <v>0</v>
      </c>
      <c r="Q156" s="152">
        <v>0</v>
      </c>
      <c r="R156" s="9">
        <v>59583</v>
      </c>
      <c r="S156" s="21" t="s">
        <v>1846</v>
      </c>
      <c r="T156" s="117">
        <v>0</v>
      </c>
      <c r="U156" s="117">
        <v>0</v>
      </c>
      <c r="V156" s="117">
        <v>2023</v>
      </c>
      <c r="W156" s="117">
        <v>6</v>
      </c>
      <c r="X156" s="117">
        <v>0</v>
      </c>
      <c r="Y156" s="117">
        <v>0</v>
      </c>
      <c r="Z156" s="21" t="b">
        <v>1</v>
      </c>
      <c r="AA156" s="162">
        <f>+$AD$5-Tabla2[[#This Row],[FECHA DE FACTURACIÓN]]</f>
        <v>457</v>
      </c>
      <c r="AB156" s="163" t="str">
        <f>+IF(Tabla2[[#This Row],[dias de credito]]&gt;=Tabla2[[#This Row],[PLAZO Días]],"venc", "No venc")</f>
        <v>venc</v>
      </c>
      <c r="AC156" s="163" t="str">
        <f>+IF(Tabla2[[#This Row],[FECHA DE PAGO]]&gt;0,"pagada","por pagar")</f>
        <v>pagada</v>
      </c>
      <c r="AD156" s="164" t="str">
        <f>+IF(AND(Tabla2[[#This Row],[venc]]="venc",Tabla2[[#This Row],[estado pago]]="por pagar"),"vencida","no")</f>
        <v>no</v>
      </c>
    </row>
    <row r="157" spans="1:30" ht="19.5" hidden="1" customHeight="1" x14ac:dyDescent="0.25">
      <c r="A157" s="8" t="s">
        <v>1850</v>
      </c>
      <c r="B157" s="8" t="b">
        <v>0</v>
      </c>
      <c r="C157" s="8">
        <v>30</v>
      </c>
      <c r="D157" s="151">
        <v>0</v>
      </c>
      <c r="E157" s="151"/>
      <c r="F157" s="24" t="s">
        <v>414</v>
      </c>
      <c r="G157" s="30">
        <v>45014</v>
      </c>
      <c r="H157" s="81" t="s">
        <v>382</v>
      </c>
      <c r="I157" s="30">
        <v>44986</v>
      </c>
      <c r="J157" s="16" t="s">
        <v>633</v>
      </c>
      <c r="K157" s="9" t="s">
        <v>1530</v>
      </c>
      <c r="L157" s="9"/>
      <c r="M157" s="152">
        <v>928304</v>
      </c>
      <c r="N157" s="153">
        <v>0</v>
      </c>
      <c r="O157" s="152">
        <v>0</v>
      </c>
      <c r="P157" s="154">
        <v>0</v>
      </c>
      <c r="Q157" s="152">
        <v>0</v>
      </c>
      <c r="R157" s="9">
        <v>928304</v>
      </c>
      <c r="S157" s="21" t="s">
        <v>1846</v>
      </c>
      <c r="T157" s="117">
        <v>0</v>
      </c>
      <c r="U157" s="117">
        <v>0</v>
      </c>
      <c r="V157" s="117">
        <v>2023</v>
      </c>
      <c r="W157" s="117">
        <v>6</v>
      </c>
      <c r="X157" s="117">
        <v>0</v>
      </c>
      <c r="Y157" s="117">
        <v>0</v>
      </c>
      <c r="Z157" s="21" t="b">
        <v>1</v>
      </c>
      <c r="AA157" s="162">
        <f>+$AD$5-Tabla2[[#This Row],[FECHA DE FACTURACIÓN]]</f>
        <v>457</v>
      </c>
      <c r="AB157" s="163" t="str">
        <f>+IF(Tabla2[[#This Row],[dias de credito]]&gt;=Tabla2[[#This Row],[PLAZO Días]],"venc", "No venc")</f>
        <v>venc</v>
      </c>
      <c r="AC157" s="163" t="str">
        <f>+IF(Tabla2[[#This Row],[FECHA DE PAGO]]&gt;0,"pagada","por pagar")</f>
        <v>pagada</v>
      </c>
      <c r="AD157" s="164" t="str">
        <f>+IF(AND(Tabla2[[#This Row],[venc]]="venc",Tabla2[[#This Row],[estado pago]]="por pagar"),"vencida","no")</f>
        <v>no</v>
      </c>
    </row>
    <row r="158" spans="1:30" ht="19.5" hidden="1" customHeight="1" x14ac:dyDescent="0.25">
      <c r="A158" s="8" t="s">
        <v>1850</v>
      </c>
      <c r="B158" s="8" t="b">
        <v>0</v>
      </c>
      <c r="C158" s="8">
        <v>30</v>
      </c>
      <c r="D158" s="151">
        <v>0</v>
      </c>
      <c r="E158" s="151"/>
      <c r="F158" s="24" t="s">
        <v>414</v>
      </c>
      <c r="G158" s="30">
        <v>45014</v>
      </c>
      <c r="H158" s="81" t="s">
        <v>382</v>
      </c>
      <c r="I158" s="30">
        <v>44986</v>
      </c>
      <c r="J158" s="16" t="s">
        <v>634</v>
      </c>
      <c r="K158" s="9" t="s">
        <v>1530</v>
      </c>
      <c r="L158" s="9"/>
      <c r="M158" s="152">
        <v>68166</v>
      </c>
      <c r="N158" s="153">
        <v>0</v>
      </c>
      <c r="O158" s="152">
        <v>0</v>
      </c>
      <c r="P158" s="154">
        <v>0</v>
      </c>
      <c r="Q158" s="152">
        <v>0</v>
      </c>
      <c r="R158" s="9">
        <v>68166</v>
      </c>
      <c r="S158" s="21" t="s">
        <v>1846</v>
      </c>
      <c r="T158" s="117">
        <v>0</v>
      </c>
      <c r="U158" s="117">
        <v>0</v>
      </c>
      <c r="V158" s="117">
        <v>2023</v>
      </c>
      <c r="W158" s="117">
        <v>6</v>
      </c>
      <c r="X158" s="117">
        <v>0</v>
      </c>
      <c r="Y158" s="117">
        <v>0</v>
      </c>
      <c r="Z158" s="21" t="b">
        <v>1</v>
      </c>
      <c r="AA158" s="162">
        <f>+$AD$5-Tabla2[[#This Row],[FECHA DE FACTURACIÓN]]</f>
        <v>457</v>
      </c>
      <c r="AB158" s="163" t="str">
        <f>+IF(Tabla2[[#This Row],[dias de credito]]&gt;=Tabla2[[#This Row],[PLAZO Días]],"venc", "No venc")</f>
        <v>venc</v>
      </c>
      <c r="AC158" s="163" t="str">
        <f>+IF(Tabla2[[#This Row],[FECHA DE PAGO]]&gt;0,"pagada","por pagar")</f>
        <v>pagada</v>
      </c>
      <c r="AD158" s="164" t="str">
        <f>+IF(AND(Tabla2[[#This Row],[venc]]="venc",Tabla2[[#This Row],[estado pago]]="por pagar"),"vencida","no")</f>
        <v>no</v>
      </c>
    </row>
    <row r="159" spans="1:30" ht="19.5" hidden="1" customHeight="1" x14ac:dyDescent="0.25">
      <c r="A159" s="8" t="s">
        <v>1850</v>
      </c>
      <c r="B159" s="8" t="b">
        <v>0</v>
      </c>
      <c r="C159" s="8">
        <v>30</v>
      </c>
      <c r="D159" s="151">
        <v>0</v>
      </c>
      <c r="E159" s="151"/>
      <c r="F159" s="24" t="s">
        <v>414</v>
      </c>
      <c r="G159" s="30">
        <v>45014</v>
      </c>
      <c r="H159" s="81" t="s">
        <v>382</v>
      </c>
      <c r="I159" s="30">
        <v>44986</v>
      </c>
      <c r="J159" s="16" t="s">
        <v>635</v>
      </c>
      <c r="K159" s="9" t="s">
        <v>1530</v>
      </c>
      <c r="L159" s="9"/>
      <c r="M159" s="152">
        <v>949891</v>
      </c>
      <c r="N159" s="153">
        <v>0</v>
      </c>
      <c r="O159" s="152">
        <v>0</v>
      </c>
      <c r="P159" s="154">
        <v>0</v>
      </c>
      <c r="Q159" s="152">
        <v>0</v>
      </c>
      <c r="R159" s="9">
        <v>949891</v>
      </c>
      <c r="S159" s="21" t="s">
        <v>1846</v>
      </c>
      <c r="T159" s="117">
        <v>0</v>
      </c>
      <c r="U159" s="117">
        <v>0</v>
      </c>
      <c r="V159" s="117">
        <v>2023</v>
      </c>
      <c r="W159" s="117">
        <v>6</v>
      </c>
      <c r="X159" s="117">
        <v>0</v>
      </c>
      <c r="Y159" s="117">
        <v>0</v>
      </c>
      <c r="Z159" s="21" t="b">
        <v>1</v>
      </c>
      <c r="AA159" s="162">
        <f>+$AD$5-Tabla2[[#This Row],[FECHA DE FACTURACIÓN]]</f>
        <v>457</v>
      </c>
      <c r="AB159" s="163" t="str">
        <f>+IF(Tabla2[[#This Row],[dias de credito]]&gt;=Tabla2[[#This Row],[PLAZO Días]],"venc", "No venc")</f>
        <v>venc</v>
      </c>
      <c r="AC159" s="163" t="str">
        <f>+IF(Tabla2[[#This Row],[FECHA DE PAGO]]&gt;0,"pagada","por pagar")</f>
        <v>pagada</v>
      </c>
      <c r="AD159" s="164" t="str">
        <f>+IF(AND(Tabla2[[#This Row],[venc]]="venc",Tabla2[[#This Row],[estado pago]]="por pagar"),"vencida","no")</f>
        <v>no</v>
      </c>
    </row>
    <row r="160" spans="1:30" ht="19.5" hidden="1" customHeight="1" x14ac:dyDescent="0.25">
      <c r="A160" s="8" t="s">
        <v>1850</v>
      </c>
      <c r="B160" s="8" t="b">
        <v>0</v>
      </c>
      <c r="C160" s="8">
        <v>30</v>
      </c>
      <c r="D160" s="151">
        <v>0</v>
      </c>
      <c r="E160" s="151"/>
      <c r="F160" s="24" t="s">
        <v>1540</v>
      </c>
      <c r="G160" s="30">
        <v>45014</v>
      </c>
      <c r="H160" s="81" t="s">
        <v>383</v>
      </c>
      <c r="I160" s="30">
        <v>44986</v>
      </c>
      <c r="J160" s="16" t="s">
        <v>645</v>
      </c>
      <c r="K160" s="9" t="s">
        <v>1530</v>
      </c>
      <c r="L160" s="9"/>
      <c r="M160" s="152">
        <v>3945038</v>
      </c>
      <c r="N160" s="153">
        <v>749557.22</v>
      </c>
      <c r="O160" s="152">
        <v>0</v>
      </c>
      <c r="P160" s="154">
        <v>3.5000000000000003E-2</v>
      </c>
      <c r="Q160" s="152">
        <v>138076.33000000002</v>
      </c>
      <c r="R160" s="9">
        <v>4556518.8899999997</v>
      </c>
      <c r="S160" s="21" t="s">
        <v>1846</v>
      </c>
      <c r="T160" s="117">
        <v>0</v>
      </c>
      <c r="U160" s="117" t="s">
        <v>348</v>
      </c>
      <c r="V160" s="117">
        <v>2023</v>
      </c>
      <c r="W160" s="117">
        <v>6</v>
      </c>
      <c r="X160" s="117">
        <v>0</v>
      </c>
      <c r="Y160" s="117">
        <v>3.5000000000000003E-2</v>
      </c>
      <c r="Z160" s="21" t="b">
        <v>1</v>
      </c>
      <c r="AA160" s="162">
        <f>+$AD$5-Tabla2[[#This Row],[FECHA DE FACTURACIÓN]]</f>
        <v>457</v>
      </c>
      <c r="AB160" s="163" t="str">
        <f>+IF(Tabla2[[#This Row],[dias de credito]]&gt;=Tabla2[[#This Row],[PLAZO Días]],"venc", "No venc")</f>
        <v>venc</v>
      </c>
      <c r="AC160" s="163" t="str">
        <f>+IF(Tabla2[[#This Row],[FECHA DE PAGO]]&gt;0,"pagada","por pagar")</f>
        <v>pagada</v>
      </c>
      <c r="AD160" s="164" t="str">
        <f>+IF(AND(Tabla2[[#This Row],[venc]]="venc",Tabla2[[#This Row],[estado pago]]="por pagar"),"vencida","no")</f>
        <v>no</v>
      </c>
    </row>
    <row r="161" spans="1:30" ht="19.5" hidden="1" customHeight="1" x14ac:dyDescent="0.25">
      <c r="A161" s="8" t="s">
        <v>1850</v>
      </c>
      <c r="B161" s="8" t="b">
        <v>0</v>
      </c>
      <c r="C161" s="8">
        <v>30</v>
      </c>
      <c r="D161" s="151">
        <v>0</v>
      </c>
      <c r="E161" s="151"/>
      <c r="F161" s="24" t="s">
        <v>1540</v>
      </c>
      <c r="G161" s="30">
        <v>45014</v>
      </c>
      <c r="H161" s="81" t="s">
        <v>383</v>
      </c>
      <c r="I161" s="30">
        <v>44986</v>
      </c>
      <c r="J161" s="16" t="s">
        <v>646</v>
      </c>
      <c r="K161" s="9" t="s">
        <v>1530</v>
      </c>
      <c r="L161" s="9"/>
      <c r="M161" s="152">
        <v>92201</v>
      </c>
      <c r="N161" s="153">
        <v>17518.189999999999</v>
      </c>
      <c r="O161" s="152">
        <v>0</v>
      </c>
      <c r="P161" s="154">
        <v>3.5000000000000003E-2</v>
      </c>
      <c r="Q161" s="152">
        <v>3227.0350000000003</v>
      </c>
      <c r="R161" s="9">
        <v>106492.155</v>
      </c>
      <c r="S161" s="21" t="s">
        <v>1846</v>
      </c>
      <c r="T161" s="117">
        <v>0</v>
      </c>
      <c r="U161" s="117" t="s">
        <v>348</v>
      </c>
      <c r="V161" s="117">
        <v>2023</v>
      </c>
      <c r="W161" s="117">
        <v>6</v>
      </c>
      <c r="X161" s="117">
        <v>0</v>
      </c>
      <c r="Y161" s="117">
        <v>3.5000000000000003E-2</v>
      </c>
      <c r="Z161" s="21" t="b">
        <v>1</v>
      </c>
      <c r="AA161" s="162">
        <f>+$AD$5-Tabla2[[#This Row],[FECHA DE FACTURACIÓN]]</f>
        <v>457</v>
      </c>
      <c r="AB161" s="163" t="str">
        <f>+IF(Tabla2[[#This Row],[dias de credito]]&gt;=Tabla2[[#This Row],[PLAZO Días]],"venc", "No venc")</f>
        <v>venc</v>
      </c>
      <c r="AC161" s="163" t="str">
        <f>+IF(Tabla2[[#This Row],[FECHA DE PAGO]]&gt;0,"pagada","por pagar")</f>
        <v>pagada</v>
      </c>
      <c r="AD161" s="164" t="str">
        <f>+IF(AND(Tabla2[[#This Row],[venc]]="venc",Tabla2[[#This Row],[estado pago]]="por pagar"),"vencida","no")</f>
        <v>no</v>
      </c>
    </row>
    <row r="162" spans="1:30" ht="19.5" hidden="1" customHeight="1" x14ac:dyDescent="0.25">
      <c r="A162" s="8" t="s">
        <v>1850</v>
      </c>
      <c r="B162" s="8" t="b">
        <v>0</v>
      </c>
      <c r="C162" s="8">
        <v>30</v>
      </c>
      <c r="D162" s="151">
        <v>0</v>
      </c>
      <c r="E162" s="151"/>
      <c r="F162" s="24" t="s">
        <v>1540</v>
      </c>
      <c r="G162" s="30">
        <v>45014</v>
      </c>
      <c r="H162" s="81" t="s">
        <v>383</v>
      </c>
      <c r="I162" s="30">
        <v>44986</v>
      </c>
      <c r="J162" s="16" t="s">
        <v>647</v>
      </c>
      <c r="K162" s="9" t="s">
        <v>1530</v>
      </c>
      <c r="L162" s="9"/>
      <c r="M162" s="152">
        <v>-7783</v>
      </c>
      <c r="N162" s="153">
        <v>-1478.77</v>
      </c>
      <c r="O162" s="152">
        <v>0</v>
      </c>
      <c r="P162" s="154">
        <v>0</v>
      </c>
      <c r="Q162" s="152">
        <v>0</v>
      </c>
      <c r="R162" s="9">
        <v>-9261.77</v>
      </c>
      <c r="S162" s="21" t="s">
        <v>1846</v>
      </c>
      <c r="T162" s="117">
        <v>0</v>
      </c>
      <c r="U162" s="117" t="s">
        <v>348</v>
      </c>
      <c r="V162" s="117">
        <v>2023</v>
      </c>
      <c r="W162" s="117">
        <v>6</v>
      </c>
      <c r="X162" s="117">
        <v>0</v>
      </c>
      <c r="Y162" s="117">
        <v>3.5000000000000003E-2</v>
      </c>
      <c r="Z162" s="21" t="b">
        <v>1</v>
      </c>
      <c r="AA162" s="162">
        <f>+$AD$5-Tabla2[[#This Row],[FECHA DE FACTURACIÓN]]</f>
        <v>457</v>
      </c>
      <c r="AB162" s="163" t="str">
        <f>+IF(Tabla2[[#This Row],[dias de credito]]&gt;=Tabla2[[#This Row],[PLAZO Días]],"venc", "No venc")</f>
        <v>venc</v>
      </c>
      <c r="AC162" s="163" t="str">
        <f>+IF(Tabla2[[#This Row],[FECHA DE PAGO]]&gt;0,"pagada","por pagar")</f>
        <v>pagada</v>
      </c>
      <c r="AD162" s="164" t="str">
        <f>+IF(AND(Tabla2[[#This Row],[venc]]="venc",Tabla2[[#This Row],[estado pago]]="por pagar"),"vencida","no")</f>
        <v>no</v>
      </c>
    </row>
    <row r="163" spans="1:30" ht="19.5" hidden="1" customHeight="1" x14ac:dyDescent="0.25">
      <c r="A163" s="8" t="s">
        <v>1850</v>
      </c>
      <c r="B163" s="8" t="s">
        <v>1851</v>
      </c>
      <c r="C163" s="8">
        <v>10</v>
      </c>
      <c r="D163" s="151">
        <v>0</v>
      </c>
      <c r="E163" s="151"/>
      <c r="F163" s="24" t="s">
        <v>483</v>
      </c>
      <c r="G163" s="30">
        <v>45014</v>
      </c>
      <c r="H163" s="81" t="s">
        <v>482</v>
      </c>
      <c r="I163" s="30">
        <v>44986</v>
      </c>
      <c r="J163" s="16" t="s">
        <v>644</v>
      </c>
      <c r="K163" s="9" t="s">
        <v>1530</v>
      </c>
      <c r="L163" s="9"/>
      <c r="M163" s="152">
        <v>4730000</v>
      </c>
      <c r="N163" s="153">
        <v>898700</v>
      </c>
      <c r="O163" s="152">
        <v>0</v>
      </c>
      <c r="P163" s="154">
        <v>0</v>
      </c>
      <c r="Q163" s="152">
        <v>0</v>
      </c>
      <c r="R163" s="9">
        <v>5628700</v>
      </c>
      <c r="S163" s="21" t="s">
        <v>1846</v>
      </c>
      <c r="T163" s="117">
        <v>0</v>
      </c>
      <c r="U163" s="117">
        <v>0</v>
      </c>
      <c r="V163" s="117">
        <v>2023</v>
      </c>
      <c r="W163" s="117">
        <v>6</v>
      </c>
      <c r="X163" s="117">
        <v>0</v>
      </c>
      <c r="Y163" s="117">
        <v>0</v>
      </c>
      <c r="Z163" s="21" t="b">
        <v>1</v>
      </c>
      <c r="AA163" s="162">
        <f>+$AD$5-Tabla2[[#This Row],[FECHA DE FACTURACIÓN]]</f>
        <v>457</v>
      </c>
      <c r="AB163" s="163" t="str">
        <f>+IF(Tabla2[[#This Row],[dias de credito]]&gt;=Tabla2[[#This Row],[PLAZO Días]],"venc", "No venc")</f>
        <v>venc</v>
      </c>
      <c r="AC163" s="163" t="str">
        <f>+IF(Tabla2[[#This Row],[FECHA DE PAGO]]&gt;0,"pagada","por pagar")</f>
        <v>pagada</v>
      </c>
      <c r="AD163" s="164" t="str">
        <f>+IF(AND(Tabla2[[#This Row],[venc]]="venc",Tabla2[[#This Row],[estado pago]]="por pagar"),"vencida","no")</f>
        <v>no</v>
      </c>
    </row>
    <row r="164" spans="1:30" ht="19.5" hidden="1" customHeight="1" x14ac:dyDescent="0.25">
      <c r="A164" s="8" t="s">
        <v>1850</v>
      </c>
      <c r="B164" s="8" t="b">
        <v>0</v>
      </c>
      <c r="C164" s="8">
        <v>30</v>
      </c>
      <c r="D164" s="151">
        <v>0</v>
      </c>
      <c r="E164" s="151"/>
      <c r="F164" s="24" t="s">
        <v>1447</v>
      </c>
      <c r="G164" s="30">
        <v>45014</v>
      </c>
      <c r="H164" s="81" t="s">
        <v>373</v>
      </c>
      <c r="I164" s="30">
        <v>44988</v>
      </c>
      <c r="J164" s="16" t="s">
        <v>642</v>
      </c>
      <c r="K164" s="9" t="s">
        <v>1530</v>
      </c>
      <c r="L164" s="9"/>
      <c r="M164" s="152">
        <v>1840056</v>
      </c>
      <c r="N164" s="153">
        <v>0</v>
      </c>
      <c r="O164" s="152">
        <v>0</v>
      </c>
      <c r="P164" s="154">
        <v>0</v>
      </c>
      <c r="Q164" s="152">
        <v>0</v>
      </c>
      <c r="R164" s="9">
        <v>1840056</v>
      </c>
      <c r="S164" s="21" t="s">
        <v>1846</v>
      </c>
      <c r="T164" s="117">
        <v>0</v>
      </c>
      <c r="U164" s="117">
        <v>0</v>
      </c>
      <c r="V164" s="117">
        <v>2023</v>
      </c>
      <c r="W164" s="117">
        <v>6</v>
      </c>
      <c r="X164" s="117">
        <v>0</v>
      </c>
      <c r="Y164" s="117">
        <v>0</v>
      </c>
      <c r="Z164" s="21" t="b">
        <v>1</v>
      </c>
      <c r="AA164" s="162">
        <f>+$AD$5-Tabla2[[#This Row],[FECHA DE FACTURACIÓN]]</f>
        <v>455</v>
      </c>
      <c r="AB164" s="163" t="str">
        <f>+IF(Tabla2[[#This Row],[dias de credito]]&gt;=Tabla2[[#This Row],[PLAZO Días]],"venc", "No venc")</f>
        <v>venc</v>
      </c>
      <c r="AC164" s="163" t="str">
        <f>+IF(Tabla2[[#This Row],[FECHA DE PAGO]]&gt;0,"pagada","por pagar")</f>
        <v>pagada</v>
      </c>
      <c r="AD164" s="164" t="str">
        <f>+IF(AND(Tabla2[[#This Row],[venc]]="venc",Tabla2[[#This Row],[estado pago]]="por pagar"),"vencida","no")</f>
        <v>no</v>
      </c>
    </row>
    <row r="165" spans="1:30" ht="19.5" hidden="1" customHeight="1" x14ac:dyDescent="0.25">
      <c r="A165" s="8" t="s">
        <v>1850</v>
      </c>
      <c r="B165" s="8" t="b">
        <v>0</v>
      </c>
      <c r="C165" s="8">
        <v>60</v>
      </c>
      <c r="D165" s="151">
        <v>0</v>
      </c>
      <c r="E165" s="151"/>
      <c r="F165" s="24">
        <v>0</v>
      </c>
      <c r="G165" s="30">
        <v>45016</v>
      </c>
      <c r="H165" s="81" t="s">
        <v>445</v>
      </c>
      <c r="I165" s="30">
        <v>44970</v>
      </c>
      <c r="J165" s="16" t="s">
        <v>598</v>
      </c>
      <c r="K165" s="9" t="s">
        <v>1530</v>
      </c>
      <c r="L165" s="9"/>
      <c r="M165" s="152">
        <v>-2521008</v>
      </c>
      <c r="N165" s="153">
        <v>-478991.52</v>
      </c>
      <c r="O165" s="152">
        <v>0</v>
      </c>
      <c r="P165" s="154">
        <v>0</v>
      </c>
      <c r="Q165" s="152">
        <v>0</v>
      </c>
      <c r="R165" s="9">
        <v>-2999999.52</v>
      </c>
      <c r="S165" s="21" t="s">
        <v>1846</v>
      </c>
      <c r="T165" s="117">
        <v>0</v>
      </c>
      <c r="U165" s="117">
        <v>0</v>
      </c>
      <c r="V165" s="117">
        <v>2023</v>
      </c>
      <c r="W165" s="117">
        <v>6</v>
      </c>
      <c r="X165" s="117">
        <v>0</v>
      </c>
      <c r="Y165" s="117">
        <v>0</v>
      </c>
      <c r="Z165" s="21" t="b">
        <v>1</v>
      </c>
      <c r="AA165" s="162">
        <f>+$AD$5-Tabla2[[#This Row],[FECHA DE FACTURACIÓN]]</f>
        <v>473</v>
      </c>
      <c r="AB165" s="163" t="str">
        <f>+IF(Tabla2[[#This Row],[dias de credito]]&gt;=Tabla2[[#This Row],[PLAZO Días]],"venc", "No venc")</f>
        <v>venc</v>
      </c>
      <c r="AC165" s="163" t="str">
        <f>+IF(Tabla2[[#This Row],[FECHA DE PAGO]]&gt;0,"pagada","por pagar")</f>
        <v>pagada</v>
      </c>
      <c r="AD165" s="164" t="str">
        <f>+IF(AND(Tabla2[[#This Row],[venc]]="venc",Tabla2[[#This Row],[estado pago]]="por pagar"),"vencida","no")</f>
        <v>no</v>
      </c>
    </row>
    <row r="166" spans="1:30" ht="19.5" hidden="1" customHeight="1" x14ac:dyDescent="0.25">
      <c r="A166" s="8" t="s">
        <v>1850</v>
      </c>
      <c r="B166" s="8" t="b">
        <v>0</v>
      </c>
      <c r="C166" s="8">
        <v>60</v>
      </c>
      <c r="D166" s="151">
        <v>0</v>
      </c>
      <c r="E166" s="151"/>
      <c r="F166" s="24">
        <v>0</v>
      </c>
      <c r="G166" s="30">
        <v>45016</v>
      </c>
      <c r="H166" s="81" t="s">
        <v>445</v>
      </c>
      <c r="I166" s="30">
        <v>44980</v>
      </c>
      <c r="J166" s="16" t="s">
        <v>598</v>
      </c>
      <c r="K166" s="9" t="s">
        <v>1530</v>
      </c>
      <c r="L166" s="9"/>
      <c r="M166" s="152">
        <v>-2689076</v>
      </c>
      <c r="N166" s="153">
        <v>-510924.44</v>
      </c>
      <c r="O166" s="152">
        <v>0</v>
      </c>
      <c r="P166" s="154">
        <v>0</v>
      </c>
      <c r="Q166" s="152">
        <v>0</v>
      </c>
      <c r="R166" s="9">
        <v>-3200000.44</v>
      </c>
      <c r="S166" s="21" t="s">
        <v>1846</v>
      </c>
      <c r="T166" s="117">
        <v>0</v>
      </c>
      <c r="U166" s="117">
        <v>0</v>
      </c>
      <c r="V166" s="117">
        <v>2023</v>
      </c>
      <c r="W166" s="117">
        <v>6</v>
      </c>
      <c r="X166" s="117">
        <v>0</v>
      </c>
      <c r="Y166" s="117">
        <v>0</v>
      </c>
      <c r="Z166" s="21" t="b">
        <v>1</v>
      </c>
      <c r="AA166" s="162">
        <f>+$AD$5-Tabla2[[#This Row],[FECHA DE FACTURACIÓN]]</f>
        <v>463</v>
      </c>
      <c r="AB166" s="163" t="str">
        <f>+IF(Tabla2[[#This Row],[dias de credito]]&gt;=Tabla2[[#This Row],[PLAZO Días]],"venc", "No venc")</f>
        <v>venc</v>
      </c>
      <c r="AC166" s="163" t="str">
        <f>+IF(Tabla2[[#This Row],[FECHA DE PAGO]]&gt;0,"pagada","por pagar")</f>
        <v>pagada</v>
      </c>
      <c r="AD166" s="164" t="str">
        <f>+IF(AND(Tabla2[[#This Row],[venc]]="venc",Tabla2[[#This Row],[estado pago]]="por pagar"),"vencida","no")</f>
        <v>no</v>
      </c>
    </row>
    <row r="167" spans="1:30" ht="19.5" hidden="1" customHeight="1" x14ac:dyDescent="0.25">
      <c r="A167" s="8" t="s">
        <v>1850</v>
      </c>
      <c r="B167" s="8" t="b">
        <v>0</v>
      </c>
      <c r="C167" s="8">
        <v>60</v>
      </c>
      <c r="D167" s="151">
        <v>0</v>
      </c>
      <c r="E167" s="151"/>
      <c r="F167" s="24">
        <v>0</v>
      </c>
      <c r="G167" s="30">
        <v>45016</v>
      </c>
      <c r="H167" s="81" t="s">
        <v>445</v>
      </c>
      <c r="I167" s="30">
        <v>44984</v>
      </c>
      <c r="J167" s="16" t="s">
        <v>598</v>
      </c>
      <c r="K167" s="9" t="s">
        <v>1530</v>
      </c>
      <c r="L167" s="9"/>
      <c r="M167" s="152">
        <v>-840336</v>
      </c>
      <c r="N167" s="153">
        <v>-159663.84</v>
      </c>
      <c r="O167" s="152">
        <v>0</v>
      </c>
      <c r="P167" s="154">
        <v>0</v>
      </c>
      <c r="Q167" s="152">
        <v>0</v>
      </c>
      <c r="R167" s="9">
        <v>-999999.84</v>
      </c>
      <c r="S167" s="21" t="s">
        <v>1846</v>
      </c>
      <c r="T167" s="117">
        <v>0</v>
      </c>
      <c r="U167" s="117">
        <v>0</v>
      </c>
      <c r="V167" s="117">
        <v>2023</v>
      </c>
      <c r="W167" s="117">
        <v>6</v>
      </c>
      <c r="X167" s="117">
        <v>0</v>
      </c>
      <c r="Y167" s="117">
        <v>0</v>
      </c>
      <c r="Z167" s="21" t="b">
        <v>1</v>
      </c>
      <c r="AA167" s="162">
        <f>+$AD$5-Tabla2[[#This Row],[FECHA DE FACTURACIÓN]]</f>
        <v>459</v>
      </c>
      <c r="AB167" s="163" t="str">
        <f>+IF(Tabla2[[#This Row],[dias de credito]]&gt;=Tabla2[[#This Row],[PLAZO Días]],"venc", "No venc")</f>
        <v>venc</v>
      </c>
      <c r="AC167" s="163" t="str">
        <f>+IF(Tabla2[[#This Row],[FECHA DE PAGO]]&gt;0,"pagada","por pagar")</f>
        <v>pagada</v>
      </c>
      <c r="AD167" s="164" t="str">
        <f>+IF(AND(Tabla2[[#This Row],[venc]]="venc",Tabla2[[#This Row],[estado pago]]="por pagar"),"vencida","no")</f>
        <v>no</v>
      </c>
    </row>
    <row r="168" spans="1:30" ht="19.5" hidden="1" customHeight="1" x14ac:dyDescent="0.25">
      <c r="A168" s="8" t="s">
        <v>1850</v>
      </c>
      <c r="B168" s="8" t="b">
        <v>0</v>
      </c>
      <c r="C168" s="8">
        <v>60</v>
      </c>
      <c r="D168" s="151">
        <v>0</v>
      </c>
      <c r="E168" s="151"/>
      <c r="F168" s="24">
        <v>0</v>
      </c>
      <c r="G168" s="30">
        <v>45016</v>
      </c>
      <c r="H168" s="81" t="s">
        <v>445</v>
      </c>
      <c r="I168" s="30">
        <v>44985</v>
      </c>
      <c r="J168" s="16" t="s">
        <v>598</v>
      </c>
      <c r="K168" s="9" t="s">
        <v>1530</v>
      </c>
      <c r="L168" s="9"/>
      <c r="M168" s="152">
        <v>-840336</v>
      </c>
      <c r="N168" s="153">
        <v>-159663.84</v>
      </c>
      <c r="O168" s="152">
        <v>0</v>
      </c>
      <c r="P168" s="154">
        <v>0</v>
      </c>
      <c r="Q168" s="152">
        <v>0</v>
      </c>
      <c r="R168" s="9">
        <v>-999999.84</v>
      </c>
      <c r="S168" s="21" t="s">
        <v>1846</v>
      </c>
      <c r="T168" s="117">
        <v>0</v>
      </c>
      <c r="U168" s="117">
        <v>0</v>
      </c>
      <c r="V168" s="117">
        <v>2023</v>
      </c>
      <c r="W168" s="117">
        <v>6</v>
      </c>
      <c r="X168" s="117">
        <v>0</v>
      </c>
      <c r="Y168" s="117">
        <v>0</v>
      </c>
      <c r="Z168" s="21" t="b">
        <v>1</v>
      </c>
      <c r="AA168" s="162">
        <f>+$AD$5-Tabla2[[#This Row],[FECHA DE FACTURACIÓN]]</f>
        <v>458</v>
      </c>
      <c r="AB168" s="163" t="str">
        <f>+IF(Tabla2[[#This Row],[dias de credito]]&gt;=Tabla2[[#This Row],[PLAZO Días]],"venc", "No venc")</f>
        <v>venc</v>
      </c>
      <c r="AC168" s="163" t="str">
        <f>+IF(Tabla2[[#This Row],[FECHA DE PAGO]]&gt;0,"pagada","por pagar")</f>
        <v>pagada</v>
      </c>
      <c r="AD168" s="164" t="str">
        <f>+IF(AND(Tabla2[[#This Row],[venc]]="venc",Tabla2[[#This Row],[estado pago]]="por pagar"),"vencida","no")</f>
        <v>no</v>
      </c>
    </row>
    <row r="169" spans="1:30" ht="19.5" hidden="1" customHeight="1" x14ac:dyDescent="0.25">
      <c r="A169" s="8" t="s">
        <v>1850</v>
      </c>
      <c r="B169" s="8" t="b">
        <v>0</v>
      </c>
      <c r="C169" s="8">
        <v>60</v>
      </c>
      <c r="D169" s="151">
        <v>0</v>
      </c>
      <c r="E169" s="151"/>
      <c r="F169" s="24">
        <v>0</v>
      </c>
      <c r="G169" s="30">
        <v>45016</v>
      </c>
      <c r="H169" s="81" t="s">
        <v>445</v>
      </c>
      <c r="I169" s="30">
        <v>45009</v>
      </c>
      <c r="J169" s="16" t="s">
        <v>598</v>
      </c>
      <c r="K169" s="9" t="s">
        <v>1530</v>
      </c>
      <c r="L169" s="9"/>
      <c r="M169" s="152">
        <v>-1059244</v>
      </c>
      <c r="N169" s="153">
        <v>-201256.36000000002</v>
      </c>
      <c r="O169" s="152">
        <v>0</v>
      </c>
      <c r="P169" s="154">
        <v>0</v>
      </c>
      <c r="Q169" s="152">
        <v>0</v>
      </c>
      <c r="R169" s="9">
        <v>-1260500.3600000001</v>
      </c>
      <c r="S169" s="21" t="s">
        <v>1846</v>
      </c>
      <c r="T169" s="117">
        <v>0</v>
      </c>
      <c r="U169" s="117">
        <v>0</v>
      </c>
      <c r="V169" s="117">
        <v>2023</v>
      </c>
      <c r="W169" s="117">
        <v>6</v>
      </c>
      <c r="X169" s="117">
        <v>0</v>
      </c>
      <c r="Y169" s="117">
        <v>0</v>
      </c>
      <c r="Z169" s="21" t="b">
        <v>1</v>
      </c>
      <c r="AA169" s="162">
        <f>+$AD$5-Tabla2[[#This Row],[FECHA DE FACTURACIÓN]]</f>
        <v>434</v>
      </c>
      <c r="AB169" s="163" t="str">
        <f>+IF(Tabla2[[#This Row],[dias de credito]]&gt;=Tabla2[[#This Row],[PLAZO Días]],"venc", "No venc")</f>
        <v>venc</v>
      </c>
      <c r="AC169" s="163" t="str">
        <f>+IF(Tabla2[[#This Row],[FECHA DE PAGO]]&gt;0,"pagada","por pagar")</f>
        <v>pagada</v>
      </c>
      <c r="AD169" s="164" t="str">
        <f>+IF(AND(Tabla2[[#This Row],[venc]]="venc",Tabla2[[#This Row],[estado pago]]="por pagar"),"vencida","no")</f>
        <v>no</v>
      </c>
    </row>
    <row r="170" spans="1:30" ht="19.5" hidden="1" customHeight="1" x14ac:dyDescent="0.25">
      <c r="A170" s="8" t="s">
        <v>1852</v>
      </c>
      <c r="B170" s="8" t="b">
        <v>0</v>
      </c>
      <c r="C170" s="8">
        <v>30</v>
      </c>
      <c r="D170" s="151">
        <v>0</v>
      </c>
      <c r="E170" s="151"/>
      <c r="F170" s="24" t="s">
        <v>84</v>
      </c>
      <c r="G170" s="30">
        <v>45016</v>
      </c>
      <c r="H170" s="81" t="s">
        <v>525</v>
      </c>
      <c r="I170" s="30">
        <v>45016</v>
      </c>
      <c r="J170" s="16" t="s">
        <v>1531</v>
      </c>
      <c r="K170" s="9" t="s">
        <v>1530</v>
      </c>
      <c r="L170" s="9"/>
      <c r="M170" s="152">
        <v>0</v>
      </c>
      <c r="N170" s="153">
        <v>0</v>
      </c>
      <c r="O170" s="152">
        <v>0</v>
      </c>
      <c r="P170" s="154">
        <v>0</v>
      </c>
      <c r="Q170" s="152">
        <v>0</v>
      </c>
      <c r="R170" s="9">
        <v>0</v>
      </c>
      <c r="S170" s="21" t="s">
        <v>1846</v>
      </c>
      <c r="T170" s="117">
        <v>0</v>
      </c>
      <c r="U170" s="117">
        <v>0</v>
      </c>
      <c r="V170" s="117">
        <v>2023</v>
      </c>
      <c r="W170" s="117">
        <v>6</v>
      </c>
      <c r="X170" s="117">
        <v>0</v>
      </c>
      <c r="Y170" s="117">
        <v>0</v>
      </c>
      <c r="Z170" s="21" t="b">
        <v>0</v>
      </c>
      <c r="AA170" s="162">
        <f>+$AD$5-Tabla2[[#This Row],[FECHA DE FACTURACIÓN]]</f>
        <v>427</v>
      </c>
      <c r="AB170" s="163" t="str">
        <f>+IF(Tabla2[[#This Row],[dias de credito]]&gt;=Tabla2[[#This Row],[PLAZO Días]],"venc", "No venc")</f>
        <v>venc</v>
      </c>
      <c r="AC170" s="163" t="str">
        <f>+IF(Tabla2[[#This Row],[FECHA DE PAGO]]&gt;0,"pagada","por pagar")</f>
        <v>pagada</v>
      </c>
      <c r="AD170" s="164" t="str">
        <f>+IF(AND(Tabla2[[#This Row],[venc]]="venc",Tabla2[[#This Row],[estado pago]]="por pagar"),"vencida","no")</f>
        <v>no</v>
      </c>
    </row>
    <row r="171" spans="1:30" ht="19.5" hidden="1" customHeight="1" x14ac:dyDescent="0.25">
      <c r="A171" s="8" t="s">
        <v>1852</v>
      </c>
      <c r="B171" s="8" t="b">
        <v>0</v>
      </c>
      <c r="C171" s="8">
        <v>30</v>
      </c>
      <c r="D171" s="151">
        <v>0</v>
      </c>
      <c r="E171" s="151"/>
      <c r="F171" s="24" t="s">
        <v>84</v>
      </c>
      <c r="G171" s="30">
        <v>45016</v>
      </c>
      <c r="H171" s="81" t="s">
        <v>525</v>
      </c>
      <c r="I171" s="30">
        <v>45016</v>
      </c>
      <c r="J171" s="16" t="s">
        <v>502</v>
      </c>
      <c r="K171" s="9" t="s">
        <v>1530</v>
      </c>
      <c r="L171" s="9"/>
      <c r="M171" s="152">
        <v>82500</v>
      </c>
      <c r="N171" s="153">
        <v>0</v>
      </c>
      <c r="O171" s="152">
        <v>0</v>
      </c>
      <c r="P171" s="154">
        <v>0</v>
      </c>
      <c r="Q171" s="152">
        <v>0</v>
      </c>
      <c r="R171" s="9">
        <v>82500</v>
      </c>
      <c r="S171" s="21" t="s">
        <v>1846</v>
      </c>
      <c r="T171" s="117">
        <v>0</v>
      </c>
      <c r="U171" s="117">
        <v>0</v>
      </c>
      <c r="V171" s="117">
        <v>2023</v>
      </c>
      <c r="W171" s="117">
        <v>6</v>
      </c>
      <c r="X171" s="117">
        <v>0</v>
      </c>
      <c r="Y171" s="117">
        <v>0</v>
      </c>
      <c r="Z171" s="21" t="b">
        <v>0</v>
      </c>
      <c r="AA171" s="162">
        <f>+$AD$5-Tabla2[[#This Row],[FECHA DE FACTURACIÓN]]</f>
        <v>427</v>
      </c>
      <c r="AB171" s="163" t="str">
        <f>+IF(Tabla2[[#This Row],[dias de credito]]&gt;=Tabla2[[#This Row],[PLAZO Días]],"venc", "No venc")</f>
        <v>venc</v>
      </c>
      <c r="AC171" s="163" t="str">
        <f>+IF(Tabla2[[#This Row],[FECHA DE PAGO]]&gt;0,"pagada","por pagar")</f>
        <v>pagada</v>
      </c>
      <c r="AD171" s="164" t="str">
        <f>+IF(AND(Tabla2[[#This Row],[venc]]="venc",Tabla2[[#This Row],[estado pago]]="por pagar"),"vencida","no")</f>
        <v>no</v>
      </c>
    </row>
    <row r="172" spans="1:30" ht="19.5" hidden="1" customHeight="1" x14ac:dyDescent="0.25">
      <c r="A172" s="8" t="s">
        <v>1852</v>
      </c>
      <c r="B172" s="8" t="b">
        <v>0</v>
      </c>
      <c r="C172" s="8">
        <v>30</v>
      </c>
      <c r="D172" s="151">
        <v>0</v>
      </c>
      <c r="E172" s="151"/>
      <c r="F172" s="24" t="s">
        <v>84</v>
      </c>
      <c r="G172" s="30">
        <v>45016</v>
      </c>
      <c r="H172" s="81" t="s">
        <v>525</v>
      </c>
      <c r="I172" s="30">
        <v>45016</v>
      </c>
      <c r="J172" s="16" t="s">
        <v>476</v>
      </c>
      <c r="K172" s="9" t="s">
        <v>1530</v>
      </c>
      <c r="L172" s="9"/>
      <c r="M172" s="152">
        <v>562500</v>
      </c>
      <c r="N172" s="153">
        <v>0</v>
      </c>
      <c r="O172" s="152">
        <v>0</v>
      </c>
      <c r="P172" s="154">
        <v>0</v>
      </c>
      <c r="Q172" s="152">
        <v>0</v>
      </c>
      <c r="R172" s="9">
        <v>562500</v>
      </c>
      <c r="S172" s="21" t="s">
        <v>1846</v>
      </c>
      <c r="T172" s="117">
        <v>0</v>
      </c>
      <c r="U172" s="117">
        <v>0</v>
      </c>
      <c r="V172" s="117">
        <v>2023</v>
      </c>
      <c r="W172" s="117">
        <v>6</v>
      </c>
      <c r="X172" s="117">
        <v>0</v>
      </c>
      <c r="Y172" s="117">
        <v>0</v>
      </c>
      <c r="Z172" s="21" t="b">
        <v>0</v>
      </c>
      <c r="AA172" s="162">
        <f>+$AD$5-Tabla2[[#This Row],[FECHA DE FACTURACIÓN]]</f>
        <v>427</v>
      </c>
      <c r="AB172" s="163" t="str">
        <f>+IF(Tabla2[[#This Row],[dias de credito]]&gt;=Tabla2[[#This Row],[PLAZO Días]],"venc", "No venc")</f>
        <v>venc</v>
      </c>
      <c r="AC172" s="163" t="str">
        <f>+IF(Tabla2[[#This Row],[FECHA DE PAGO]]&gt;0,"pagada","por pagar")</f>
        <v>pagada</v>
      </c>
      <c r="AD172" s="164" t="str">
        <f>+IF(AND(Tabla2[[#This Row],[venc]]="venc",Tabla2[[#This Row],[estado pago]]="por pagar"),"vencida","no")</f>
        <v>no</v>
      </c>
    </row>
    <row r="173" spans="1:30" ht="19.5" hidden="1" customHeight="1" x14ac:dyDescent="0.25">
      <c r="A173" s="8" t="s">
        <v>1852</v>
      </c>
      <c r="B173" s="8" t="b">
        <v>0</v>
      </c>
      <c r="C173" s="8">
        <v>30</v>
      </c>
      <c r="D173" s="151">
        <v>0</v>
      </c>
      <c r="E173" s="151"/>
      <c r="F173" s="24" t="s">
        <v>84</v>
      </c>
      <c r="G173" s="30">
        <v>45016</v>
      </c>
      <c r="H173" s="81" t="s">
        <v>525</v>
      </c>
      <c r="I173" s="30">
        <v>45016</v>
      </c>
      <c r="J173" s="16" t="s">
        <v>480</v>
      </c>
      <c r="K173" s="9" t="s">
        <v>1530</v>
      </c>
      <c r="L173" s="9"/>
      <c r="M173" s="152">
        <v>645900</v>
      </c>
      <c r="N173" s="153">
        <v>0</v>
      </c>
      <c r="O173" s="152">
        <v>0</v>
      </c>
      <c r="P173" s="154">
        <v>0</v>
      </c>
      <c r="Q173" s="152">
        <v>0</v>
      </c>
      <c r="R173" s="9">
        <v>645900</v>
      </c>
      <c r="S173" s="21" t="s">
        <v>1846</v>
      </c>
      <c r="T173" s="117">
        <v>0</v>
      </c>
      <c r="U173" s="117">
        <v>0</v>
      </c>
      <c r="V173" s="117">
        <v>2023</v>
      </c>
      <c r="W173" s="117">
        <v>6</v>
      </c>
      <c r="X173" s="117">
        <v>0</v>
      </c>
      <c r="Y173" s="117">
        <v>0</v>
      </c>
      <c r="Z173" s="21" t="b">
        <v>0</v>
      </c>
      <c r="AA173" s="162">
        <f>+$AD$5-Tabla2[[#This Row],[FECHA DE FACTURACIÓN]]</f>
        <v>427</v>
      </c>
      <c r="AB173" s="163" t="str">
        <f>+IF(Tabla2[[#This Row],[dias de credito]]&gt;=Tabla2[[#This Row],[PLAZO Días]],"venc", "No venc")</f>
        <v>venc</v>
      </c>
      <c r="AC173" s="163" t="str">
        <f>+IF(Tabla2[[#This Row],[FECHA DE PAGO]]&gt;0,"pagada","por pagar")</f>
        <v>pagada</v>
      </c>
      <c r="AD173" s="164" t="str">
        <f>+IF(AND(Tabla2[[#This Row],[venc]]="venc",Tabla2[[#This Row],[estado pago]]="por pagar"),"vencida","no")</f>
        <v>no</v>
      </c>
    </row>
    <row r="174" spans="1:30" ht="19.5" hidden="1" customHeight="1" x14ac:dyDescent="0.25">
      <c r="A174" s="8" t="s">
        <v>1852</v>
      </c>
      <c r="B174" s="8" t="b">
        <v>0</v>
      </c>
      <c r="C174" s="8">
        <v>30</v>
      </c>
      <c r="D174" s="151">
        <v>0</v>
      </c>
      <c r="E174" s="151"/>
      <c r="F174" s="24" t="s">
        <v>84</v>
      </c>
      <c r="G174" s="30">
        <v>45016</v>
      </c>
      <c r="H174" s="81" t="s">
        <v>525</v>
      </c>
      <c r="I174" s="30">
        <v>45016</v>
      </c>
      <c r="J174" s="16" t="s">
        <v>477</v>
      </c>
      <c r="K174" s="9" t="s">
        <v>1530</v>
      </c>
      <c r="L174" s="9"/>
      <c r="M174" s="152">
        <v>4188400</v>
      </c>
      <c r="N174" s="153">
        <v>0</v>
      </c>
      <c r="O174" s="152">
        <v>0</v>
      </c>
      <c r="P174" s="154">
        <v>0</v>
      </c>
      <c r="Q174" s="152">
        <v>0</v>
      </c>
      <c r="R174" s="9">
        <v>4188400</v>
      </c>
      <c r="S174" s="21" t="s">
        <v>1846</v>
      </c>
      <c r="T174" s="117">
        <v>0</v>
      </c>
      <c r="U174" s="117">
        <v>0</v>
      </c>
      <c r="V174" s="117">
        <v>2023</v>
      </c>
      <c r="W174" s="117">
        <v>6</v>
      </c>
      <c r="X174" s="117">
        <v>0</v>
      </c>
      <c r="Y174" s="117">
        <v>0</v>
      </c>
      <c r="Z174" s="21" t="b">
        <v>0</v>
      </c>
      <c r="AA174" s="162">
        <f>+$AD$5-Tabla2[[#This Row],[FECHA DE FACTURACIÓN]]</f>
        <v>427</v>
      </c>
      <c r="AB174" s="163" t="str">
        <f>+IF(Tabla2[[#This Row],[dias de credito]]&gt;=Tabla2[[#This Row],[PLAZO Días]],"venc", "No venc")</f>
        <v>venc</v>
      </c>
      <c r="AC174" s="163" t="str">
        <f>+IF(Tabla2[[#This Row],[FECHA DE PAGO]]&gt;0,"pagada","por pagar")</f>
        <v>pagada</v>
      </c>
      <c r="AD174" s="164" t="str">
        <f>+IF(AND(Tabla2[[#This Row],[venc]]="venc",Tabla2[[#This Row],[estado pago]]="por pagar"),"vencida","no")</f>
        <v>no</v>
      </c>
    </row>
    <row r="175" spans="1:30" ht="19.5" hidden="1" customHeight="1" x14ac:dyDescent="0.25">
      <c r="A175" s="8" t="s">
        <v>1852</v>
      </c>
      <c r="B175" s="8" t="b">
        <v>0</v>
      </c>
      <c r="C175" s="8">
        <v>60</v>
      </c>
      <c r="D175" s="151">
        <v>0</v>
      </c>
      <c r="E175" s="151"/>
      <c r="F175" s="24">
        <v>0</v>
      </c>
      <c r="G175" s="30">
        <v>45016</v>
      </c>
      <c r="H175" s="81" t="s">
        <v>445</v>
      </c>
      <c r="I175" s="30">
        <v>45016</v>
      </c>
      <c r="J175" s="16" t="s">
        <v>667</v>
      </c>
      <c r="K175" s="9" t="s">
        <v>1530</v>
      </c>
      <c r="L175" s="9"/>
      <c r="M175" s="152">
        <v>-4550000</v>
      </c>
      <c r="N175" s="153">
        <v>-864500</v>
      </c>
      <c r="O175" s="152">
        <v>0</v>
      </c>
      <c r="P175" s="154">
        <v>0</v>
      </c>
      <c r="Q175" s="152">
        <v>0</v>
      </c>
      <c r="R175" s="9">
        <v>-5414500</v>
      </c>
      <c r="S175" s="21" t="s">
        <v>1846</v>
      </c>
      <c r="T175" s="117">
        <v>0</v>
      </c>
      <c r="U175" s="117">
        <v>0</v>
      </c>
      <c r="V175" s="117">
        <v>2023</v>
      </c>
      <c r="W175" s="117">
        <v>6</v>
      </c>
      <c r="X175" s="117">
        <v>0</v>
      </c>
      <c r="Y175" s="117">
        <v>0</v>
      </c>
      <c r="Z175" s="21" t="b">
        <v>1</v>
      </c>
      <c r="AA175" s="162">
        <f>+$AD$5-Tabla2[[#This Row],[FECHA DE FACTURACIÓN]]</f>
        <v>427</v>
      </c>
      <c r="AB175" s="163" t="str">
        <f>+IF(Tabla2[[#This Row],[dias de credito]]&gt;=Tabla2[[#This Row],[PLAZO Días]],"venc", "No venc")</f>
        <v>venc</v>
      </c>
      <c r="AC175" s="163" t="str">
        <f>+IF(Tabla2[[#This Row],[FECHA DE PAGO]]&gt;0,"pagada","por pagar")</f>
        <v>pagada</v>
      </c>
      <c r="AD175" s="164" t="str">
        <f>+IF(AND(Tabla2[[#This Row],[venc]]="venc",Tabla2[[#This Row],[estado pago]]="por pagar"),"vencida","no")</f>
        <v>no</v>
      </c>
    </row>
    <row r="176" spans="1:30" ht="19.5" hidden="1" customHeight="1" x14ac:dyDescent="0.25">
      <c r="A176" s="8" t="s">
        <v>1850</v>
      </c>
      <c r="B176" s="8" t="s">
        <v>1851</v>
      </c>
      <c r="C176" s="8">
        <v>30</v>
      </c>
      <c r="D176" s="151">
        <v>0</v>
      </c>
      <c r="E176" s="151"/>
      <c r="F176" s="24">
        <v>0</v>
      </c>
      <c r="G176" s="30">
        <v>45017</v>
      </c>
      <c r="H176" s="81" t="s">
        <v>1809</v>
      </c>
      <c r="I176" s="30">
        <v>44958</v>
      </c>
      <c r="J176" s="16">
        <v>6657</v>
      </c>
      <c r="K176" s="9" t="s">
        <v>1530</v>
      </c>
      <c r="L176" s="9"/>
      <c r="M176" s="152">
        <v>1144000</v>
      </c>
      <c r="N176" s="153">
        <v>0</v>
      </c>
      <c r="O176" s="152">
        <v>0</v>
      </c>
      <c r="P176" s="154">
        <v>0</v>
      </c>
      <c r="Q176" s="152">
        <v>0</v>
      </c>
      <c r="R176" s="9">
        <v>1144000</v>
      </c>
      <c r="S176" s="21" t="s">
        <v>1846</v>
      </c>
      <c r="T176" s="117">
        <v>0</v>
      </c>
      <c r="U176" s="117">
        <v>0</v>
      </c>
      <c r="V176" s="117">
        <v>2023</v>
      </c>
      <c r="W176" s="117">
        <v>6</v>
      </c>
      <c r="X176" s="117">
        <v>0</v>
      </c>
      <c r="Y176" s="117">
        <v>0</v>
      </c>
      <c r="Z176" s="21" t="b">
        <v>0</v>
      </c>
      <c r="AA176" s="162">
        <f>+$AD$5-Tabla2[[#This Row],[FECHA DE FACTURACIÓN]]</f>
        <v>485</v>
      </c>
      <c r="AB176" s="163" t="str">
        <f>+IF(Tabla2[[#This Row],[dias de credito]]&gt;=Tabla2[[#This Row],[PLAZO Días]],"venc", "No venc")</f>
        <v>venc</v>
      </c>
      <c r="AC176" s="163" t="str">
        <f>+IF(Tabla2[[#This Row],[FECHA DE PAGO]]&gt;0,"pagada","por pagar")</f>
        <v>pagada</v>
      </c>
      <c r="AD176" s="164" t="str">
        <f>+IF(AND(Tabla2[[#This Row],[venc]]="venc",Tabla2[[#This Row],[estado pago]]="por pagar"),"vencida","no")</f>
        <v>no</v>
      </c>
    </row>
    <row r="177" spans="1:30" ht="19.5" hidden="1" customHeight="1" x14ac:dyDescent="0.25">
      <c r="A177" s="8" t="s">
        <v>1850</v>
      </c>
      <c r="B177" s="8" t="b">
        <v>0</v>
      </c>
      <c r="C177" s="8">
        <v>30</v>
      </c>
      <c r="D177" s="151">
        <v>8456975.129999999</v>
      </c>
      <c r="E177" s="151"/>
      <c r="F177" s="24" t="s">
        <v>1476</v>
      </c>
      <c r="G177" s="30">
        <v>45018</v>
      </c>
      <c r="H177" s="81" t="s">
        <v>1464</v>
      </c>
      <c r="I177" s="30">
        <v>44999</v>
      </c>
      <c r="J177" s="16" t="s">
        <v>695</v>
      </c>
      <c r="K177" s="9" t="s">
        <v>1530</v>
      </c>
      <c r="L177" s="9"/>
      <c r="M177" s="152">
        <v>55353</v>
      </c>
      <c r="N177" s="153">
        <v>10517.07</v>
      </c>
      <c r="O177" s="152">
        <v>0</v>
      </c>
      <c r="P177" s="154">
        <v>0</v>
      </c>
      <c r="Q177" s="152">
        <v>0</v>
      </c>
      <c r="R177" s="9">
        <v>65870.070000000007</v>
      </c>
      <c r="S177" s="21" t="s">
        <v>1846</v>
      </c>
      <c r="T177" s="117">
        <v>0</v>
      </c>
      <c r="U177" s="117" t="s">
        <v>347</v>
      </c>
      <c r="V177" s="117">
        <v>2023</v>
      </c>
      <c r="W177" s="117">
        <v>6</v>
      </c>
      <c r="X177" s="117">
        <v>1145000</v>
      </c>
      <c r="Y177" s="117">
        <v>2.5000000000000001E-2</v>
      </c>
      <c r="Z177" s="21" t="b">
        <v>0</v>
      </c>
      <c r="AA177" s="162">
        <f>+$AD$5-Tabla2[[#This Row],[FECHA DE FACTURACIÓN]]</f>
        <v>444</v>
      </c>
      <c r="AB177" s="163" t="str">
        <f>+IF(Tabla2[[#This Row],[dias de credito]]&gt;=Tabla2[[#This Row],[PLAZO Días]],"venc", "No venc")</f>
        <v>venc</v>
      </c>
      <c r="AC177" s="163" t="str">
        <f>+IF(Tabla2[[#This Row],[FECHA DE PAGO]]&gt;0,"pagada","por pagar")</f>
        <v>pagada</v>
      </c>
      <c r="AD177" s="164" t="str">
        <f>+IF(AND(Tabla2[[#This Row],[venc]]="venc",Tabla2[[#This Row],[estado pago]]="por pagar"),"vencida","no")</f>
        <v>no</v>
      </c>
    </row>
    <row r="178" spans="1:30" ht="19.5" hidden="1" customHeight="1" x14ac:dyDescent="0.25">
      <c r="A178" s="8" t="s">
        <v>1850</v>
      </c>
      <c r="B178" s="8" t="b">
        <v>0</v>
      </c>
      <c r="C178" s="8">
        <v>30</v>
      </c>
      <c r="D178" s="151">
        <v>0</v>
      </c>
      <c r="E178" s="151"/>
      <c r="F178" s="24" t="s">
        <v>84</v>
      </c>
      <c r="G178" s="30">
        <v>45018</v>
      </c>
      <c r="H178" s="81" t="s">
        <v>481</v>
      </c>
      <c r="I178" s="30">
        <v>45017</v>
      </c>
      <c r="J178" s="16" t="s">
        <v>720</v>
      </c>
      <c r="K178" s="9" t="s">
        <v>1530</v>
      </c>
      <c r="L178" s="9"/>
      <c r="M178" s="152">
        <v>2200000</v>
      </c>
      <c r="N178" s="153">
        <v>0</v>
      </c>
      <c r="O178" s="152">
        <v>0</v>
      </c>
      <c r="P178" s="154">
        <v>0</v>
      </c>
      <c r="Q178" s="152">
        <v>0</v>
      </c>
      <c r="R178" s="9">
        <v>2200000</v>
      </c>
      <c r="S178" s="21" t="s">
        <v>1846</v>
      </c>
      <c r="T178" s="117">
        <v>0</v>
      </c>
      <c r="U178" s="117">
        <v>0</v>
      </c>
      <c r="V178" s="117">
        <v>2023</v>
      </c>
      <c r="W178" s="117">
        <v>6</v>
      </c>
      <c r="X178" s="117">
        <v>0</v>
      </c>
      <c r="Y178" s="117">
        <v>0</v>
      </c>
      <c r="Z178" s="21" t="b">
        <v>0</v>
      </c>
      <c r="AA178" s="162">
        <f>+$AD$5-Tabla2[[#This Row],[FECHA DE FACTURACIÓN]]</f>
        <v>426</v>
      </c>
      <c r="AB178" s="163" t="str">
        <f>+IF(Tabla2[[#This Row],[dias de credito]]&gt;=Tabla2[[#This Row],[PLAZO Días]],"venc", "No venc")</f>
        <v>venc</v>
      </c>
      <c r="AC178" s="163" t="str">
        <f>+IF(Tabla2[[#This Row],[FECHA DE PAGO]]&gt;0,"pagada","por pagar")</f>
        <v>pagada</v>
      </c>
      <c r="AD178" s="164" t="str">
        <f>+IF(AND(Tabla2[[#This Row],[venc]]="venc",Tabla2[[#This Row],[estado pago]]="por pagar"),"vencida","no")</f>
        <v>no</v>
      </c>
    </row>
    <row r="179" spans="1:30" ht="19.5" hidden="1" customHeight="1" x14ac:dyDescent="0.25">
      <c r="A179" s="8" t="s">
        <v>1850</v>
      </c>
      <c r="B179" s="8" t="s">
        <v>1851</v>
      </c>
      <c r="C179" s="8">
        <v>30</v>
      </c>
      <c r="D179" s="151">
        <v>1695707.16</v>
      </c>
      <c r="E179" s="151"/>
      <c r="F179" s="24" t="s">
        <v>217</v>
      </c>
      <c r="G179" s="30">
        <v>45019</v>
      </c>
      <c r="H179" s="81" t="s">
        <v>194</v>
      </c>
      <c r="I179" s="30">
        <v>44950</v>
      </c>
      <c r="J179" s="16" t="s">
        <v>546</v>
      </c>
      <c r="K179" s="9" t="s">
        <v>1530</v>
      </c>
      <c r="L179" s="9"/>
      <c r="M179" s="152">
        <v>-396847</v>
      </c>
      <c r="N179" s="153">
        <v>-75400.930000000008</v>
      </c>
      <c r="O179" s="152">
        <v>0</v>
      </c>
      <c r="P179" s="154">
        <v>0</v>
      </c>
      <c r="Q179" s="152">
        <v>0</v>
      </c>
      <c r="R179" s="9">
        <v>-472247.93</v>
      </c>
      <c r="S179" s="21" t="s">
        <v>1846</v>
      </c>
      <c r="T179" s="117">
        <v>0</v>
      </c>
      <c r="U179" s="117">
        <v>0</v>
      </c>
      <c r="V179" s="117">
        <v>2023</v>
      </c>
      <c r="W179" s="117">
        <v>6</v>
      </c>
      <c r="X179" s="117">
        <v>0</v>
      </c>
      <c r="Y179" s="117">
        <v>0</v>
      </c>
      <c r="Z179" s="21" t="b">
        <v>0</v>
      </c>
      <c r="AA179" s="162">
        <f>+$AD$5-Tabla2[[#This Row],[FECHA DE FACTURACIÓN]]</f>
        <v>493</v>
      </c>
      <c r="AB179" s="163" t="str">
        <f>+IF(Tabla2[[#This Row],[dias de credito]]&gt;=Tabla2[[#This Row],[PLAZO Días]],"venc", "No venc")</f>
        <v>venc</v>
      </c>
      <c r="AC179" s="163" t="str">
        <f>+IF(Tabla2[[#This Row],[FECHA DE PAGO]]&gt;0,"pagada","por pagar")</f>
        <v>pagada</v>
      </c>
      <c r="AD179" s="164" t="str">
        <f>+IF(AND(Tabla2[[#This Row],[venc]]="venc",Tabla2[[#This Row],[estado pago]]="por pagar"),"vencida","no")</f>
        <v>no</v>
      </c>
    </row>
    <row r="180" spans="1:30" ht="19.5" hidden="1" customHeight="1" x14ac:dyDescent="0.25">
      <c r="A180" s="8" t="s">
        <v>1850</v>
      </c>
      <c r="B180" s="8" t="s">
        <v>1851</v>
      </c>
      <c r="C180" s="8">
        <v>30</v>
      </c>
      <c r="D180" s="151">
        <v>1695707.16</v>
      </c>
      <c r="E180" s="151"/>
      <c r="F180" s="24" t="s">
        <v>217</v>
      </c>
      <c r="G180" s="30">
        <v>45019</v>
      </c>
      <c r="H180" s="81" t="s">
        <v>194</v>
      </c>
      <c r="I180" s="30">
        <v>44950</v>
      </c>
      <c r="J180" s="16" t="s">
        <v>648</v>
      </c>
      <c r="K180" s="9" t="s">
        <v>1530</v>
      </c>
      <c r="L180" s="9"/>
      <c r="M180" s="152">
        <v>-254663</v>
      </c>
      <c r="N180" s="153">
        <v>-48385.97</v>
      </c>
      <c r="O180" s="152">
        <v>0</v>
      </c>
      <c r="P180" s="154">
        <v>0</v>
      </c>
      <c r="Q180" s="152">
        <v>0</v>
      </c>
      <c r="R180" s="9">
        <v>-303048.96999999997</v>
      </c>
      <c r="S180" s="21" t="s">
        <v>1846</v>
      </c>
      <c r="T180" s="117">
        <v>0</v>
      </c>
      <c r="U180" s="117">
        <v>0</v>
      </c>
      <c r="V180" s="117">
        <v>2023</v>
      </c>
      <c r="W180" s="117">
        <v>6</v>
      </c>
      <c r="X180" s="117">
        <v>0</v>
      </c>
      <c r="Y180" s="117">
        <v>0</v>
      </c>
      <c r="Z180" s="21" t="b">
        <v>0</v>
      </c>
      <c r="AA180" s="162">
        <f>+$AD$5-Tabla2[[#This Row],[FECHA DE FACTURACIÓN]]</f>
        <v>493</v>
      </c>
      <c r="AB180" s="163" t="str">
        <f>+IF(Tabla2[[#This Row],[dias de credito]]&gt;=Tabla2[[#This Row],[PLAZO Días]],"venc", "No venc")</f>
        <v>venc</v>
      </c>
      <c r="AC180" s="163" t="str">
        <f>+IF(Tabla2[[#This Row],[FECHA DE PAGO]]&gt;0,"pagada","por pagar")</f>
        <v>pagada</v>
      </c>
      <c r="AD180" s="164" t="str">
        <f>+IF(AND(Tabla2[[#This Row],[venc]]="venc",Tabla2[[#This Row],[estado pago]]="por pagar"),"vencida","no")</f>
        <v>no</v>
      </c>
    </row>
    <row r="181" spans="1:30" ht="19.5" hidden="1" customHeight="1" x14ac:dyDescent="0.25">
      <c r="A181" s="8" t="s">
        <v>1850</v>
      </c>
      <c r="B181" s="8" t="s">
        <v>1851</v>
      </c>
      <c r="C181" s="8">
        <v>45</v>
      </c>
      <c r="D181" s="151">
        <v>2446500</v>
      </c>
      <c r="E181" s="151"/>
      <c r="F181" s="24" t="s">
        <v>158</v>
      </c>
      <c r="G181" s="30">
        <v>45019</v>
      </c>
      <c r="H181" s="81" t="s">
        <v>10</v>
      </c>
      <c r="I181" s="30">
        <v>44965</v>
      </c>
      <c r="J181" s="16" t="s">
        <v>569</v>
      </c>
      <c r="K181" s="9" t="s">
        <v>1530</v>
      </c>
      <c r="L181" s="9"/>
      <c r="M181" s="152">
        <v>768000</v>
      </c>
      <c r="N181" s="153">
        <v>145920</v>
      </c>
      <c r="O181" s="152">
        <v>0</v>
      </c>
      <c r="P181" s="154">
        <v>0</v>
      </c>
      <c r="Q181" s="152">
        <v>0</v>
      </c>
      <c r="R181" s="9">
        <v>913920</v>
      </c>
      <c r="S181" s="21" t="s">
        <v>1846</v>
      </c>
      <c r="T181" s="117">
        <v>0</v>
      </c>
      <c r="U181" s="117" t="s">
        <v>347</v>
      </c>
      <c r="V181" s="117">
        <v>2023</v>
      </c>
      <c r="W181" s="117">
        <v>6</v>
      </c>
      <c r="X181" s="117">
        <v>1145000</v>
      </c>
      <c r="Y181" s="117">
        <v>2.5000000000000001E-2</v>
      </c>
      <c r="Z181" s="21" t="b">
        <v>0</v>
      </c>
      <c r="AA181" s="162">
        <f>+$AD$5-Tabla2[[#This Row],[FECHA DE FACTURACIÓN]]</f>
        <v>478</v>
      </c>
      <c r="AB181" s="163" t="str">
        <f>+IF(Tabla2[[#This Row],[dias de credito]]&gt;=Tabla2[[#This Row],[PLAZO Días]],"venc", "No venc")</f>
        <v>venc</v>
      </c>
      <c r="AC181" s="163" t="str">
        <f>+IF(Tabla2[[#This Row],[FECHA DE PAGO]]&gt;0,"pagada","por pagar")</f>
        <v>pagada</v>
      </c>
      <c r="AD181" s="164" t="str">
        <f>+IF(AND(Tabla2[[#This Row],[venc]]="venc",Tabla2[[#This Row],[estado pago]]="por pagar"),"vencida","no")</f>
        <v>no</v>
      </c>
    </row>
    <row r="182" spans="1:30" ht="19.5" hidden="1" customHeight="1" x14ac:dyDescent="0.25">
      <c r="A182" s="8" t="s">
        <v>1850</v>
      </c>
      <c r="B182" s="8" t="s">
        <v>1851</v>
      </c>
      <c r="C182" s="8">
        <v>30</v>
      </c>
      <c r="D182" s="151">
        <v>1695707.16</v>
      </c>
      <c r="E182" s="151"/>
      <c r="F182" s="24" t="s">
        <v>217</v>
      </c>
      <c r="G182" s="30">
        <v>45019</v>
      </c>
      <c r="H182" s="81" t="s">
        <v>194</v>
      </c>
      <c r="I182" s="30">
        <v>44984</v>
      </c>
      <c r="J182" s="16" t="s">
        <v>599</v>
      </c>
      <c r="K182" s="9" t="s">
        <v>1530</v>
      </c>
      <c r="L182" s="9"/>
      <c r="M182" s="152">
        <v>940839</v>
      </c>
      <c r="N182" s="153">
        <v>178759.41</v>
      </c>
      <c r="O182" s="152">
        <v>0</v>
      </c>
      <c r="P182" s="154">
        <v>0</v>
      </c>
      <c r="Q182" s="152">
        <v>0</v>
      </c>
      <c r="R182" s="9">
        <v>1119598.4099999999</v>
      </c>
      <c r="S182" s="21" t="s">
        <v>1846</v>
      </c>
      <c r="T182" s="117">
        <v>0</v>
      </c>
      <c r="U182" s="117">
        <v>0</v>
      </c>
      <c r="V182" s="117">
        <v>2023</v>
      </c>
      <c r="W182" s="117">
        <v>6</v>
      </c>
      <c r="X182" s="117">
        <v>0</v>
      </c>
      <c r="Y182" s="117">
        <v>0</v>
      </c>
      <c r="Z182" s="21" t="b">
        <v>0</v>
      </c>
      <c r="AA182" s="162">
        <f>+$AD$5-Tabla2[[#This Row],[FECHA DE FACTURACIÓN]]</f>
        <v>459</v>
      </c>
      <c r="AB182" s="163" t="str">
        <f>+IF(Tabla2[[#This Row],[dias de credito]]&gt;=Tabla2[[#This Row],[PLAZO Días]],"venc", "No venc")</f>
        <v>venc</v>
      </c>
      <c r="AC182" s="163" t="str">
        <f>+IF(Tabla2[[#This Row],[FECHA DE PAGO]]&gt;0,"pagada","por pagar")</f>
        <v>pagada</v>
      </c>
      <c r="AD182" s="164" t="str">
        <f>+IF(AND(Tabla2[[#This Row],[venc]]="venc",Tabla2[[#This Row],[estado pago]]="por pagar"),"vencida","no")</f>
        <v>no</v>
      </c>
    </row>
    <row r="183" spans="1:30" ht="19.5" hidden="1" customHeight="1" x14ac:dyDescent="0.25">
      <c r="A183" s="8" t="s">
        <v>1850</v>
      </c>
      <c r="B183" s="8" t="s">
        <v>1851</v>
      </c>
      <c r="C183" s="8">
        <v>30</v>
      </c>
      <c r="D183" s="151">
        <v>1776037.21</v>
      </c>
      <c r="E183" s="151"/>
      <c r="F183" s="24" t="s">
        <v>148</v>
      </c>
      <c r="G183" s="30">
        <v>45019</v>
      </c>
      <c r="H183" s="81" t="s">
        <v>17</v>
      </c>
      <c r="I183" s="30">
        <v>44985</v>
      </c>
      <c r="J183" s="16" t="s">
        <v>600</v>
      </c>
      <c r="K183" s="9" t="s">
        <v>1530</v>
      </c>
      <c r="L183" s="9"/>
      <c r="M183" s="152">
        <v>1457850</v>
      </c>
      <c r="N183" s="153">
        <v>276991.5</v>
      </c>
      <c r="O183" s="152">
        <v>0</v>
      </c>
      <c r="P183" s="154">
        <v>0</v>
      </c>
      <c r="Q183" s="152">
        <v>0</v>
      </c>
      <c r="R183" s="9">
        <v>1734841.5</v>
      </c>
      <c r="S183" s="21" t="s">
        <v>1846</v>
      </c>
      <c r="T183" s="117">
        <v>0</v>
      </c>
      <c r="U183" s="117">
        <v>0</v>
      </c>
      <c r="V183" s="117">
        <v>2023</v>
      </c>
      <c r="W183" s="117">
        <v>6</v>
      </c>
      <c r="X183" s="117">
        <v>0</v>
      </c>
      <c r="Y183" s="117">
        <v>0</v>
      </c>
      <c r="Z183" s="21" t="b">
        <v>0</v>
      </c>
      <c r="AA183" s="162">
        <f>+$AD$5-Tabla2[[#This Row],[FECHA DE FACTURACIÓN]]</f>
        <v>458</v>
      </c>
      <c r="AB183" s="163" t="str">
        <f>+IF(Tabla2[[#This Row],[dias de credito]]&gt;=Tabla2[[#This Row],[PLAZO Días]],"venc", "No venc")</f>
        <v>venc</v>
      </c>
      <c r="AC183" s="163" t="str">
        <f>+IF(Tabla2[[#This Row],[FECHA DE PAGO]]&gt;0,"pagada","por pagar")</f>
        <v>pagada</v>
      </c>
      <c r="AD183" s="164" t="str">
        <f>+IF(AND(Tabla2[[#This Row],[venc]]="venc",Tabla2[[#This Row],[estado pago]]="por pagar"),"vencida","no")</f>
        <v>no</v>
      </c>
    </row>
    <row r="184" spans="1:30" ht="19.5" hidden="1" customHeight="1" x14ac:dyDescent="0.25">
      <c r="A184" s="8" t="s">
        <v>1852</v>
      </c>
      <c r="B184" s="8" t="b">
        <v>0</v>
      </c>
      <c r="C184" s="8">
        <v>30</v>
      </c>
      <c r="D184" s="151">
        <v>0</v>
      </c>
      <c r="E184" s="151"/>
      <c r="F184" s="24" t="s">
        <v>1497</v>
      </c>
      <c r="G184" s="30">
        <v>45020</v>
      </c>
      <c r="H184" s="81" t="s">
        <v>1865</v>
      </c>
      <c r="I184" s="30">
        <v>45020</v>
      </c>
      <c r="J184" s="16" t="s">
        <v>682</v>
      </c>
      <c r="K184" s="9" t="s">
        <v>1530</v>
      </c>
      <c r="L184" s="9"/>
      <c r="M184" s="152">
        <v>1800000</v>
      </c>
      <c r="N184" s="153">
        <v>0</v>
      </c>
      <c r="O184" s="152">
        <v>0</v>
      </c>
      <c r="P184" s="154">
        <v>0</v>
      </c>
      <c r="Q184" s="152">
        <v>0</v>
      </c>
      <c r="R184" s="9">
        <v>1800000</v>
      </c>
      <c r="S184" s="21" t="s">
        <v>1846</v>
      </c>
      <c r="T184" s="117">
        <v>0</v>
      </c>
      <c r="U184" s="117">
        <v>0</v>
      </c>
      <c r="V184" s="117">
        <v>2023</v>
      </c>
      <c r="W184" s="117">
        <v>6</v>
      </c>
      <c r="X184" s="117">
        <v>0</v>
      </c>
      <c r="Y184" s="117">
        <v>0</v>
      </c>
      <c r="Z184" s="21" t="b">
        <v>0</v>
      </c>
      <c r="AA184" s="162">
        <f>+$AD$5-Tabla2[[#This Row],[FECHA DE FACTURACIÓN]]</f>
        <v>423</v>
      </c>
      <c r="AB184" s="163" t="str">
        <f>+IF(Tabla2[[#This Row],[dias de credito]]&gt;=Tabla2[[#This Row],[PLAZO Días]],"venc", "No venc")</f>
        <v>venc</v>
      </c>
      <c r="AC184" s="163" t="str">
        <f>+IF(Tabla2[[#This Row],[FECHA DE PAGO]]&gt;0,"pagada","por pagar")</f>
        <v>pagada</v>
      </c>
      <c r="AD184" s="164" t="str">
        <f>+IF(AND(Tabla2[[#This Row],[venc]]="venc",Tabla2[[#This Row],[estado pago]]="por pagar"),"vencida","no")</f>
        <v>no</v>
      </c>
    </row>
    <row r="185" spans="1:30" ht="19.5" hidden="1" customHeight="1" x14ac:dyDescent="0.25">
      <c r="A185" s="8" t="s">
        <v>1852</v>
      </c>
      <c r="B185" s="8" t="b">
        <v>0</v>
      </c>
      <c r="C185" s="8">
        <v>30</v>
      </c>
      <c r="D185" s="151">
        <v>1350000</v>
      </c>
      <c r="E185" s="151"/>
      <c r="F185" s="24" t="s">
        <v>84</v>
      </c>
      <c r="G185" s="30">
        <v>45021</v>
      </c>
      <c r="H185" s="81" t="s">
        <v>1807</v>
      </c>
      <c r="I185" s="30">
        <v>45021</v>
      </c>
      <c r="J185" s="16" t="s">
        <v>721</v>
      </c>
      <c r="K185" s="9" t="s">
        <v>1530</v>
      </c>
      <c r="L185" s="9"/>
      <c r="M185" s="152">
        <v>360000</v>
      </c>
      <c r="N185" s="153">
        <v>0</v>
      </c>
      <c r="O185" s="152">
        <v>0</v>
      </c>
      <c r="P185" s="154">
        <v>0</v>
      </c>
      <c r="Q185" s="152">
        <v>0</v>
      </c>
      <c r="R185" s="9">
        <v>360000</v>
      </c>
      <c r="S185" s="21" t="s">
        <v>1846</v>
      </c>
      <c r="T185" s="117">
        <v>0</v>
      </c>
      <c r="U185" s="117">
        <v>0</v>
      </c>
      <c r="V185" s="117">
        <v>2023</v>
      </c>
      <c r="W185" s="117">
        <v>6</v>
      </c>
      <c r="X185" s="117">
        <v>0</v>
      </c>
      <c r="Y185" s="117">
        <v>0</v>
      </c>
      <c r="Z185" s="21" t="b">
        <v>0</v>
      </c>
      <c r="AA185" s="162">
        <f>+$AD$5-Tabla2[[#This Row],[FECHA DE FACTURACIÓN]]</f>
        <v>422</v>
      </c>
      <c r="AB185" s="163" t="str">
        <f>+IF(Tabla2[[#This Row],[dias de credito]]&gt;=Tabla2[[#This Row],[PLAZO Días]],"venc", "No venc")</f>
        <v>venc</v>
      </c>
      <c r="AC185" s="163" t="str">
        <f>+IF(Tabla2[[#This Row],[FECHA DE PAGO]]&gt;0,"pagada","por pagar")</f>
        <v>pagada</v>
      </c>
      <c r="AD185" s="164" t="str">
        <f>+IF(AND(Tabla2[[#This Row],[venc]]="venc",Tabla2[[#This Row],[estado pago]]="por pagar"),"vencida","no")</f>
        <v>no</v>
      </c>
    </row>
    <row r="186" spans="1:30" ht="19.5" hidden="1" customHeight="1" x14ac:dyDescent="0.25">
      <c r="A186" s="8" t="s">
        <v>1850</v>
      </c>
      <c r="B186" s="8" t="b">
        <v>0</v>
      </c>
      <c r="C186" s="8">
        <v>60</v>
      </c>
      <c r="D186" s="151">
        <v>1730482</v>
      </c>
      <c r="E186" s="151"/>
      <c r="F186" s="24" t="s">
        <v>603</v>
      </c>
      <c r="G186" s="30">
        <v>45026</v>
      </c>
      <c r="H186" s="81" t="s">
        <v>222</v>
      </c>
      <c r="I186" s="30">
        <v>44999</v>
      </c>
      <c r="J186" s="16">
        <v>1627</v>
      </c>
      <c r="K186" s="9" t="s">
        <v>1530</v>
      </c>
      <c r="L186" s="9"/>
      <c r="M186" s="152">
        <v>312320</v>
      </c>
      <c r="N186" s="153">
        <v>0</v>
      </c>
      <c r="O186" s="152">
        <v>0</v>
      </c>
      <c r="P186" s="154">
        <v>0</v>
      </c>
      <c r="Q186" s="152">
        <v>0</v>
      </c>
      <c r="R186" s="9">
        <v>312320</v>
      </c>
      <c r="S186" s="21" t="s">
        <v>1846</v>
      </c>
      <c r="T186" s="117">
        <v>0</v>
      </c>
      <c r="U186" s="117">
        <v>0</v>
      </c>
      <c r="V186" s="117">
        <v>2023</v>
      </c>
      <c r="W186" s="117">
        <v>6</v>
      </c>
      <c r="X186" s="117">
        <v>0</v>
      </c>
      <c r="Y186" s="117">
        <v>0</v>
      </c>
      <c r="Z186" s="21" t="b">
        <v>0</v>
      </c>
      <c r="AA186" s="162">
        <f>+$AD$5-Tabla2[[#This Row],[FECHA DE FACTURACIÓN]]</f>
        <v>444</v>
      </c>
      <c r="AB186" s="163" t="str">
        <f>+IF(Tabla2[[#This Row],[dias de credito]]&gt;=Tabla2[[#This Row],[PLAZO Días]],"venc", "No venc")</f>
        <v>venc</v>
      </c>
      <c r="AC186" s="163" t="str">
        <f>+IF(Tabla2[[#This Row],[FECHA DE PAGO]]&gt;0,"pagada","por pagar")</f>
        <v>pagada</v>
      </c>
      <c r="AD186" s="164" t="str">
        <f>+IF(AND(Tabla2[[#This Row],[venc]]="venc",Tabla2[[#This Row],[estado pago]]="por pagar"),"vencida","no")</f>
        <v>no</v>
      </c>
    </row>
    <row r="187" spans="1:30" ht="19.5" hidden="1" customHeight="1" x14ac:dyDescent="0.25">
      <c r="A187" s="8" t="s">
        <v>1850</v>
      </c>
      <c r="B187" s="8" t="b">
        <v>0</v>
      </c>
      <c r="C187" s="8">
        <v>60</v>
      </c>
      <c r="D187" s="151">
        <v>1730482</v>
      </c>
      <c r="E187" s="151"/>
      <c r="F187" s="24" t="s">
        <v>603</v>
      </c>
      <c r="G187" s="30">
        <v>45026</v>
      </c>
      <c r="H187" s="81" t="s">
        <v>222</v>
      </c>
      <c r="I187" s="30">
        <v>44999</v>
      </c>
      <c r="J187" s="16">
        <v>1628</v>
      </c>
      <c r="K187" s="9" t="s">
        <v>1530</v>
      </c>
      <c r="L187" s="9"/>
      <c r="M187" s="152">
        <v>214720</v>
      </c>
      <c r="N187" s="153">
        <v>0</v>
      </c>
      <c r="O187" s="152">
        <v>0</v>
      </c>
      <c r="P187" s="154">
        <v>0</v>
      </c>
      <c r="Q187" s="152">
        <v>0</v>
      </c>
      <c r="R187" s="9">
        <v>214720</v>
      </c>
      <c r="S187" s="21" t="s">
        <v>1846</v>
      </c>
      <c r="T187" s="117">
        <v>0</v>
      </c>
      <c r="U187" s="117">
        <v>0</v>
      </c>
      <c r="V187" s="117">
        <v>2023</v>
      </c>
      <c r="W187" s="117">
        <v>6</v>
      </c>
      <c r="X187" s="117">
        <v>0</v>
      </c>
      <c r="Y187" s="117">
        <v>0</v>
      </c>
      <c r="Z187" s="21" t="b">
        <v>0</v>
      </c>
      <c r="AA187" s="162">
        <f>+$AD$5-Tabla2[[#This Row],[FECHA DE FACTURACIÓN]]</f>
        <v>444</v>
      </c>
      <c r="AB187" s="163" t="str">
        <f>+IF(Tabla2[[#This Row],[dias de credito]]&gt;=Tabla2[[#This Row],[PLAZO Días]],"venc", "No venc")</f>
        <v>venc</v>
      </c>
      <c r="AC187" s="163" t="str">
        <f>+IF(Tabla2[[#This Row],[FECHA DE PAGO]]&gt;0,"pagada","por pagar")</f>
        <v>pagada</v>
      </c>
      <c r="AD187" s="164" t="str">
        <f>+IF(AND(Tabla2[[#This Row],[venc]]="venc",Tabla2[[#This Row],[estado pago]]="por pagar"),"vencida","no")</f>
        <v>no</v>
      </c>
    </row>
    <row r="188" spans="1:30" ht="19.5" hidden="1" customHeight="1" x14ac:dyDescent="0.25">
      <c r="A188" s="8" t="s">
        <v>1850</v>
      </c>
      <c r="B188" s="8" t="b">
        <v>0</v>
      </c>
      <c r="C188" s="8">
        <v>60</v>
      </c>
      <c r="D188" s="151">
        <v>1730482</v>
      </c>
      <c r="E188" s="151"/>
      <c r="F188" s="24" t="s">
        <v>603</v>
      </c>
      <c r="G188" s="30">
        <v>45026</v>
      </c>
      <c r="H188" s="81" t="s">
        <v>222</v>
      </c>
      <c r="I188" s="30">
        <v>44999</v>
      </c>
      <c r="J188" s="16">
        <v>1635</v>
      </c>
      <c r="K188" s="9" t="s">
        <v>1530</v>
      </c>
      <c r="L188" s="9"/>
      <c r="M188" s="152">
        <v>191200</v>
      </c>
      <c r="N188" s="153">
        <v>0</v>
      </c>
      <c r="O188" s="152">
        <v>0</v>
      </c>
      <c r="P188" s="154">
        <v>0</v>
      </c>
      <c r="Q188" s="152">
        <v>0</v>
      </c>
      <c r="R188" s="9">
        <v>191200</v>
      </c>
      <c r="S188" s="21" t="s">
        <v>1846</v>
      </c>
      <c r="T188" s="117">
        <v>0</v>
      </c>
      <c r="U188" s="117">
        <v>0</v>
      </c>
      <c r="V188" s="117">
        <v>2023</v>
      </c>
      <c r="W188" s="117">
        <v>6</v>
      </c>
      <c r="X188" s="117">
        <v>0</v>
      </c>
      <c r="Y188" s="117">
        <v>0</v>
      </c>
      <c r="Z188" s="21" t="b">
        <v>0</v>
      </c>
      <c r="AA188" s="162">
        <f>+$AD$5-Tabla2[[#This Row],[FECHA DE FACTURACIÓN]]</f>
        <v>444</v>
      </c>
      <c r="AB188" s="163" t="str">
        <f>+IF(Tabla2[[#This Row],[dias de credito]]&gt;=Tabla2[[#This Row],[PLAZO Días]],"venc", "No venc")</f>
        <v>venc</v>
      </c>
      <c r="AC188" s="163" t="str">
        <f>+IF(Tabla2[[#This Row],[FECHA DE PAGO]]&gt;0,"pagada","por pagar")</f>
        <v>pagada</v>
      </c>
      <c r="AD188" s="164" t="str">
        <f>+IF(AND(Tabla2[[#This Row],[venc]]="venc",Tabla2[[#This Row],[estado pago]]="por pagar"),"vencida","no")</f>
        <v>no</v>
      </c>
    </row>
    <row r="189" spans="1:30" ht="19.5" hidden="1" customHeight="1" x14ac:dyDescent="0.25">
      <c r="A189" s="8" t="s">
        <v>1850</v>
      </c>
      <c r="B189" s="8" t="b">
        <v>0</v>
      </c>
      <c r="C189" s="8">
        <v>45</v>
      </c>
      <c r="D189" s="151">
        <v>0</v>
      </c>
      <c r="E189" s="151"/>
      <c r="F189" s="24" t="s">
        <v>603</v>
      </c>
      <c r="G189" s="30">
        <v>45026</v>
      </c>
      <c r="H189" s="81" t="s">
        <v>224</v>
      </c>
      <c r="I189" s="30">
        <v>44999</v>
      </c>
      <c r="J189" s="16">
        <v>1629</v>
      </c>
      <c r="K189" s="9" t="s">
        <v>1530</v>
      </c>
      <c r="L189" s="9"/>
      <c r="M189" s="152">
        <v>3635600</v>
      </c>
      <c r="N189" s="153">
        <v>0</v>
      </c>
      <c r="O189" s="152">
        <v>0</v>
      </c>
      <c r="P189" s="154">
        <v>0</v>
      </c>
      <c r="Q189" s="152">
        <v>0</v>
      </c>
      <c r="R189" s="9">
        <v>3635600</v>
      </c>
      <c r="S189" s="21" t="s">
        <v>1846</v>
      </c>
      <c r="T189" s="117">
        <v>0</v>
      </c>
      <c r="U189" s="117">
        <v>0</v>
      </c>
      <c r="V189" s="117">
        <v>2023</v>
      </c>
      <c r="W189" s="117">
        <v>6</v>
      </c>
      <c r="X189" s="117">
        <v>0</v>
      </c>
      <c r="Y189" s="117">
        <v>0</v>
      </c>
      <c r="Z189" s="21" t="b">
        <v>0</v>
      </c>
      <c r="AA189" s="162">
        <f>+$AD$5-Tabla2[[#This Row],[FECHA DE FACTURACIÓN]]</f>
        <v>444</v>
      </c>
      <c r="AB189" s="163" t="str">
        <f>+IF(Tabla2[[#This Row],[dias de credito]]&gt;=Tabla2[[#This Row],[PLAZO Días]],"venc", "No venc")</f>
        <v>venc</v>
      </c>
      <c r="AC189" s="163" t="str">
        <f>+IF(Tabla2[[#This Row],[FECHA DE PAGO]]&gt;0,"pagada","por pagar")</f>
        <v>pagada</v>
      </c>
      <c r="AD189" s="164" t="str">
        <f>+IF(AND(Tabla2[[#This Row],[venc]]="venc",Tabla2[[#This Row],[estado pago]]="por pagar"),"vencida","no")</f>
        <v>no</v>
      </c>
    </row>
    <row r="190" spans="1:30" ht="19.5" hidden="1" customHeight="1" x14ac:dyDescent="0.25">
      <c r="A190" s="8" t="s">
        <v>1850</v>
      </c>
      <c r="B190" s="8" t="b">
        <v>0</v>
      </c>
      <c r="C190" s="8">
        <v>60</v>
      </c>
      <c r="D190" s="151">
        <v>1730482</v>
      </c>
      <c r="E190" s="151"/>
      <c r="F190" s="24" t="s">
        <v>603</v>
      </c>
      <c r="G190" s="30">
        <v>45026</v>
      </c>
      <c r="H190" s="81" t="s">
        <v>222</v>
      </c>
      <c r="I190" s="30">
        <v>45002</v>
      </c>
      <c r="J190" s="16">
        <v>1634</v>
      </c>
      <c r="K190" s="9" t="s">
        <v>1530</v>
      </c>
      <c r="L190" s="9"/>
      <c r="M190" s="152">
        <v>191200</v>
      </c>
      <c r="N190" s="153">
        <v>0</v>
      </c>
      <c r="O190" s="152">
        <v>0</v>
      </c>
      <c r="P190" s="154">
        <v>0</v>
      </c>
      <c r="Q190" s="152">
        <v>0</v>
      </c>
      <c r="R190" s="9">
        <v>191200</v>
      </c>
      <c r="S190" s="21" t="s">
        <v>1846</v>
      </c>
      <c r="T190" s="117">
        <v>0</v>
      </c>
      <c r="U190" s="117">
        <v>0</v>
      </c>
      <c r="V190" s="117">
        <v>2023</v>
      </c>
      <c r="W190" s="117">
        <v>6</v>
      </c>
      <c r="X190" s="117">
        <v>0</v>
      </c>
      <c r="Y190" s="117">
        <v>0</v>
      </c>
      <c r="Z190" s="21" t="b">
        <v>0</v>
      </c>
      <c r="AA190" s="162">
        <f>+$AD$5-Tabla2[[#This Row],[FECHA DE FACTURACIÓN]]</f>
        <v>441</v>
      </c>
      <c r="AB190" s="163" t="str">
        <f>+IF(Tabla2[[#This Row],[dias de credito]]&gt;=Tabla2[[#This Row],[PLAZO Días]],"venc", "No venc")</f>
        <v>venc</v>
      </c>
      <c r="AC190" s="163" t="str">
        <f>+IF(Tabla2[[#This Row],[FECHA DE PAGO]]&gt;0,"pagada","por pagar")</f>
        <v>pagada</v>
      </c>
      <c r="AD190" s="164" t="str">
        <f>+IF(AND(Tabla2[[#This Row],[venc]]="venc",Tabla2[[#This Row],[estado pago]]="por pagar"),"vencida","no")</f>
        <v>no</v>
      </c>
    </row>
    <row r="191" spans="1:30" ht="19.5" hidden="1" customHeight="1" x14ac:dyDescent="0.25">
      <c r="A191" s="8" t="s">
        <v>1850</v>
      </c>
      <c r="B191" s="8" t="b">
        <v>0</v>
      </c>
      <c r="C191" s="8">
        <v>60</v>
      </c>
      <c r="D191" s="151">
        <v>1730482</v>
      </c>
      <c r="E191" s="151"/>
      <c r="F191" s="24" t="s">
        <v>603</v>
      </c>
      <c r="G191" s="30">
        <v>45026</v>
      </c>
      <c r="H191" s="81" t="s">
        <v>222</v>
      </c>
      <c r="I191" s="30">
        <v>45009</v>
      </c>
      <c r="J191" s="16">
        <v>1640</v>
      </c>
      <c r="K191" s="9" t="s">
        <v>1530</v>
      </c>
      <c r="L191" s="9"/>
      <c r="M191" s="152">
        <v>206800</v>
      </c>
      <c r="N191" s="153">
        <v>0</v>
      </c>
      <c r="O191" s="152">
        <v>0</v>
      </c>
      <c r="P191" s="154">
        <v>0</v>
      </c>
      <c r="Q191" s="152">
        <v>0</v>
      </c>
      <c r="R191" s="9">
        <v>206800</v>
      </c>
      <c r="S191" s="21" t="s">
        <v>1846</v>
      </c>
      <c r="T191" s="117">
        <v>0</v>
      </c>
      <c r="U191" s="117">
        <v>0</v>
      </c>
      <c r="V191" s="117">
        <v>2023</v>
      </c>
      <c r="W191" s="117">
        <v>6</v>
      </c>
      <c r="X191" s="117">
        <v>0</v>
      </c>
      <c r="Y191" s="117">
        <v>0</v>
      </c>
      <c r="Z191" s="21" t="b">
        <v>0</v>
      </c>
      <c r="AA191" s="162">
        <f>+$AD$5-Tabla2[[#This Row],[FECHA DE FACTURACIÓN]]</f>
        <v>434</v>
      </c>
      <c r="AB191" s="163" t="str">
        <f>+IF(Tabla2[[#This Row],[dias de credito]]&gt;=Tabla2[[#This Row],[PLAZO Días]],"venc", "No venc")</f>
        <v>venc</v>
      </c>
      <c r="AC191" s="163" t="str">
        <f>+IF(Tabla2[[#This Row],[FECHA DE PAGO]]&gt;0,"pagada","por pagar")</f>
        <v>pagada</v>
      </c>
      <c r="AD191" s="164" t="str">
        <f>+IF(AND(Tabla2[[#This Row],[venc]]="venc",Tabla2[[#This Row],[estado pago]]="por pagar"),"vencida","no")</f>
        <v>no</v>
      </c>
    </row>
    <row r="192" spans="1:30" ht="19.5" hidden="1" customHeight="1" x14ac:dyDescent="0.25">
      <c r="A192" s="8" t="s">
        <v>1850</v>
      </c>
      <c r="B192" s="8" t="b">
        <v>0</v>
      </c>
      <c r="C192" s="8">
        <v>30</v>
      </c>
      <c r="D192" s="151">
        <v>0</v>
      </c>
      <c r="E192" s="151"/>
      <c r="F192" s="24" t="s">
        <v>253</v>
      </c>
      <c r="G192" s="30">
        <v>45026</v>
      </c>
      <c r="H192" s="81" t="s">
        <v>368</v>
      </c>
      <c r="I192" s="30">
        <v>45017</v>
      </c>
      <c r="J192" s="16" t="s">
        <v>678</v>
      </c>
      <c r="K192" s="9" t="s">
        <v>1530</v>
      </c>
      <c r="L192" s="9"/>
      <c r="M192" s="152">
        <v>10576</v>
      </c>
      <c r="N192" s="153">
        <v>2009.44</v>
      </c>
      <c r="O192" s="152">
        <v>0</v>
      </c>
      <c r="P192" s="154">
        <v>0</v>
      </c>
      <c r="Q192" s="152">
        <v>0</v>
      </c>
      <c r="R192" s="9">
        <v>12585.44</v>
      </c>
      <c r="S192" s="21" t="s">
        <v>1846</v>
      </c>
      <c r="T192" s="117">
        <v>0</v>
      </c>
      <c r="U192" s="117">
        <v>0</v>
      </c>
      <c r="V192" s="117">
        <v>2023</v>
      </c>
      <c r="W192" s="117">
        <v>6</v>
      </c>
      <c r="X192" s="117">
        <v>0</v>
      </c>
      <c r="Y192" s="117">
        <v>0</v>
      </c>
      <c r="Z192" s="21" t="b">
        <v>1</v>
      </c>
      <c r="AA192" s="162">
        <f>+$AD$5-Tabla2[[#This Row],[FECHA DE FACTURACIÓN]]</f>
        <v>426</v>
      </c>
      <c r="AB192" s="163" t="str">
        <f>+IF(Tabla2[[#This Row],[dias de credito]]&gt;=Tabla2[[#This Row],[PLAZO Días]],"venc", "No venc")</f>
        <v>venc</v>
      </c>
      <c r="AC192" s="163" t="str">
        <f>+IF(Tabla2[[#This Row],[FECHA DE PAGO]]&gt;0,"pagada","por pagar")</f>
        <v>pagada</v>
      </c>
      <c r="AD192" s="164" t="str">
        <f>+IF(AND(Tabla2[[#This Row],[venc]]="venc",Tabla2[[#This Row],[estado pago]]="por pagar"),"vencida","no")</f>
        <v>no</v>
      </c>
    </row>
    <row r="193" spans="1:30" ht="19.5" hidden="1" customHeight="1" x14ac:dyDescent="0.25">
      <c r="A193" s="8" t="s">
        <v>1850</v>
      </c>
      <c r="B193" s="8" t="b">
        <v>0</v>
      </c>
      <c r="C193" s="8">
        <v>30</v>
      </c>
      <c r="D193" s="151">
        <v>0</v>
      </c>
      <c r="E193" s="151"/>
      <c r="F193" s="24" t="s">
        <v>253</v>
      </c>
      <c r="G193" s="30">
        <v>45026</v>
      </c>
      <c r="H193" s="81" t="s">
        <v>368</v>
      </c>
      <c r="I193" s="30">
        <v>45017</v>
      </c>
      <c r="J193" s="16" t="s">
        <v>676</v>
      </c>
      <c r="K193" s="9" t="s">
        <v>1530</v>
      </c>
      <c r="L193" s="9"/>
      <c r="M193" s="152">
        <v>21962</v>
      </c>
      <c r="N193" s="153">
        <v>4172.78</v>
      </c>
      <c r="O193" s="152">
        <v>0</v>
      </c>
      <c r="P193" s="154">
        <v>0</v>
      </c>
      <c r="Q193" s="152">
        <v>0</v>
      </c>
      <c r="R193" s="9">
        <v>26134.78</v>
      </c>
      <c r="S193" s="21" t="s">
        <v>1846</v>
      </c>
      <c r="T193" s="117">
        <v>0</v>
      </c>
      <c r="U193" s="117">
        <v>0</v>
      </c>
      <c r="V193" s="117">
        <v>2023</v>
      </c>
      <c r="W193" s="117">
        <v>6</v>
      </c>
      <c r="X193" s="117">
        <v>0</v>
      </c>
      <c r="Y193" s="117">
        <v>0</v>
      </c>
      <c r="Z193" s="21" t="b">
        <v>1</v>
      </c>
      <c r="AA193" s="162">
        <f>+$AD$5-Tabla2[[#This Row],[FECHA DE FACTURACIÓN]]</f>
        <v>426</v>
      </c>
      <c r="AB193" s="163" t="str">
        <f>+IF(Tabla2[[#This Row],[dias de credito]]&gt;=Tabla2[[#This Row],[PLAZO Días]],"venc", "No venc")</f>
        <v>venc</v>
      </c>
      <c r="AC193" s="163" t="str">
        <f>+IF(Tabla2[[#This Row],[FECHA DE PAGO]]&gt;0,"pagada","por pagar")</f>
        <v>pagada</v>
      </c>
      <c r="AD193" s="164" t="str">
        <f>+IF(AND(Tabla2[[#This Row],[venc]]="venc",Tabla2[[#This Row],[estado pago]]="por pagar"),"vencida","no")</f>
        <v>no</v>
      </c>
    </row>
    <row r="194" spans="1:30" ht="19.5" hidden="1" customHeight="1" x14ac:dyDescent="0.25">
      <c r="A194" s="8" t="s">
        <v>1850</v>
      </c>
      <c r="B194" s="8" t="b">
        <v>0</v>
      </c>
      <c r="C194" s="8">
        <v>30</v>
      </c>
      <c r="D194" s="151">
        <v>0</v>
      </c>
      <c r="E194" s="151"/>
      <c r="F194" s="24" t="s">
        <v>253</v>
      </c>
      <c r="G194" s="30">
        <v>45026</v>
      </c>
      <c r="H194" s="81" t="s">
        <v>368</v>
      </c>
      <c r="I194" s="30">
        <v>45017</v>
      </c>
      <c r="J194" s="16" t="s">
        <v>677</v>
      </c>
      <c r="K194" s="9" t="s">
        <v>1530</v>
      </c>
      <c r="L194" s="9"/>
      <c r="M194" s="152">
        <v>41729</v>
      </c>
      <c r="N194" s="153">
        <v>7928.51</v>
      </c>
      <c r="O194" s="152">
        <v>0</v>
      </c>
      <c r="P194" s="154">
        <v>0</v>
      </c>
      <c r="Q194" s="152">
        <v>0</v>
      </c>
      <c r="R194" s="9">
        <v>49657.51</v>
      </c>
      <c r="S194" s="21" t="s">
        <v>1846</v>
      </c>
      <c r="T194" s="117">
        <v>0</v>
      </c>
      <c r="U194" s="117">
        <v>0</v>
      </c>
      <c r="V194" s="117">
        <v>2023</v>
      </c>
      <c r="W194" s="117">
        <v>6</v>
      </c>
      <c r="X194" s="117">
        <v>0</v>
      </c>
      <c r="Y194" s="117">
        <v>0</v>
      </c>
      <c r="Z194" s="21" t="b">
        <v>1</v>
      </c>
      <c r="AA194" s="162">
        <f>+$AD$5-Tabla2[[#This Row],[FECHA DE FACTURACIÓN]]</f>
        <v>426</v>
      </c>
      <c r="AB194" s="163" t="str">
        <f>+IF(Tabla2[[#This Row],[dias de credito]]&gt;=Tabla2[[#This Row],[PLAZO Días]],"venc", "No venc")</f>
        <v>venc</v>
      </c>
      <c r="AC194" s="163" t="str">
        <f>+IF(Tabla2[[#This Row],[FECHA DE PAGO]]&gt;0,"pagada","por pagar")</f>
        <v>pagada</v>
      </c>
      <c r="AD194" s="164" t="str">
        <f>+IF(AND(Tabla2[[#This Row],[venc]]="venc",Tabla2[[#This Row],[estado pago]]="por pagar"),"vencida","no")</f>
        <v>no</v>
      </c>
    </row>
    <row r="195" spans="1:30" ht="19.5" hidden="1" customHeight="1" x14ac:dyDescent="0.25">
      <c r="A195" s="8" t="s">
        <v>1850</v>
      </c>
      <c r="B195" s="8" t="b">
        <v>0</v>
      </c>
      <c r="C195" s="8">
        <v>30</v>
      </c>
      <c r="D195" s="151">
        <v>0</v>
      </c>
      <c r="E195" s="151"/>
      <c r="F195" s="24" t="s">
        <v>253</v>
      </c>
      <c r="G195" s="30">
        <v>45026</v>
      </c>
      <c r="H195" s="81" t="s">
        <v>368</v>
      </c>
      <c r="I195" s="30">
        <v>45017</v>
      </c>
      <c r="J195" s="16" t="s">
        <v>675</v>
      </c>
      <c r="K195" s="9" t="s">
        <v>1530</v>
      </c>
      <c r="L195" s="9"/>
      <c r="M195" s="152">
        <v>908172</v>
      </c>
      <c r="N195" s="153">
        <v>172552.68</v>
      </c>
      <c r="O195" s="152">
        <v>0</v>
      </c>
      <c r="P195" s="154">
        <v>0</v>
      </c>
      <c r="Q195" s="152">
        <v>0</v>
      </c>
      <c r="R195" s="9">
        <v>1080724.68</v>
      </c>
      <c r="S195" s="21" t="s">
        <v>1846</v>
      </c>
      <c r="T195" s="117">
        <v>0</v>
      </c>
      <c r="U195" s="117">
        <v>0</v>
      </c>
      <c r="V195" s="117">
        <v>2023</v>
      </c>
      <c r="W195" s="117">
        <v>6</v>
      </c>
      <c r="X195" s="117">
        <v>0</v>
      </c>
      <c r="Y195" s="117">
        <v>0</v>
      </c>
      <c r="Z195" s="21" t="b">
        <v>1</v>
      </c>
      <c r="AA195" s="162">
        <f>+$AD$5-Tabla2[[#This Row],[FECHA DE FACTURACIÓN]]</f>
        <v>426</v>
      </c>
      <c r="AB195" s="163" t="str">
        <f>+IF(Tabla2[[#This Row],[dias de credito]]&gt;=Tabla2[[#This Row],[PLAZO Días]],"venc", "No venc")</f>
        <v>venc</v>
      </c>
      <c r="AC195" s="163" t="str">
        <f>+IF(Tabla2[[#This Row],[FECHA DE PAGO]]&gt;0,"pagada","por pagar")</f>
        <v>pagada</v>
      </c>
      <c r="AD195" s="164" t="str">
        <f>+IF(AND(Tabla2[[#This Row],[venc]]="venc",Tabla2[[#This Row],[estado pago]]="por pagar"),"vencida","no")</f>
        <v>no</v>
      </c>
    </row>
    <row r="196" spans="1:30" ht="19.5" hidden="1" customHeight="1" x14ac:dyDescent="0.25">
      <c r="A196" s="8" t="s">
        <v>1850</v>
      </c>
      <c r="B196" s="8" t="b">
        <v>0</v>
      </c>
      <c r="C196" s="8">
        <v>30</v>
      </c>
      <c r="D196" s="151">
        <v>0</v>
      </c>
      <c r="E196" s="151"/>
      <c r="F196" s="24" t="s">
        <v>253</v>
      </c>
      <c r="G196" s="30">
        <v>45026</v>
      </c>
      <c r="H196" s="81" t="s">
        <v>368</v>
      </c>
      <c r="I196" s="30">
        <v>45017</v>
      </c>
      <c r="J196" s="16" t="s">
        <v>674</v>
      </c>
      <c r="K196" s="9" t="s">
        <v>1530</v>
      </c>
      <c r="L196" s="9"/>
      <c r="M196" s="152">
        <v>3792544</v>
      </c>
      <c r="N196" s="153">
        <v>720583.36</v>
      </c>
      <c r="O196" s="152">
        <v>0</v>
      </c>
      <c r="P196" s="154">
        <v>0</v>
      </c>
      <c r="Q196" s="152">
        <v>0</v>
      </c>
      <c r="R196" s="9">
        <v>4513127.3600000003</v>
      </c>
      <c r="S196" s="21" t="s">
        <v>1846</v>
      </c>
      <c r="T196" s="117">
        <v>0</v>
      </c>
      <c r="U196" s="117">
        <v>0</v>
      </c>
      <c r="V196" s="117">
        <v>2023</v>
      </c>
      <c r="W196" s="117">
        <v>6</v>
      </c>
      <c r="X196" s="117">
        <v>0</v>
      </c>
      <c r="Y196" s="117">
        <v>0</v>
      </c>
      <c r="Z196" s="21" t="b">
        <v>1</v>
      </c>
      <c r="AA196" s="162">
        <f>+$AD$5-Tabla2[[#This Row],[FECHA DE FACTURACIÓN]]</f>
        <v>426</v>
      </c>
      <c r="AB196" s="163" t="str">
        <f>+IF(Tabla2[[#This Row],[dias de credito]]&gt;=Tabla2[[#This Row],[PLAZO Días]],"venc", "No venc")</f>
        <v>venc</v>
      </c>
      <c r="AC196" s="163" t="str">
        <f>+IF(Tabla2[[#This Row],[FECHA DE PAGO]]&gt;0,"pagada","por pagar")</f>
        <v>pagada</v>
      </c>
      <c r="AD196" s="164" t="str">
        <f>+IF(AND(Tabla2[[#This Row],[venc]]="venc",Tabla2[[#This Row],[estado pago]]="por pagar"),"vencida","no")</f>
        <v>no</v>
      </c>
    </row>
    <row r="197" spans="1:30" ht="19.5" hidden="1" customHeight="1" x14ac:dyDescent="0.25">
      <c r="A197" s="8" t="s">
        <v>1850</v>
      </c>
      <c r="B197" s="8" t="b">
        <v>0</v>
      </c>
      <c r="C197" s="8">
        <v>30</v>
      </c>
      <c r="D197" s="151">
        <v>0</v>
      </c>
      <c r="E197" s="151"/>
      <c r="F197" s="24" t="s">
        <v>414</v>
      </c>
      <c r="G197" s="30">
        <v>45026</v>
      </c>
      <c r="H197" s="81" t="s">
        <v>382</v>
      </c>
      <c r="I197" s="30">
        <v>45017</v>
      </c>
      <c r="J197" s="16" t="s">
        <v>670</v>
      </c>
      <c r="K197" s="9" t="s">
        <v>1530</v>
      </c>
      <c r="L197" s="9"/>
      <c r="M197" s="152">
        <v>934499</v>
      </c>
      <c r="N197" s="153">
        <v>0</v>
      </c>
      <c r="O197" s="152">
        <v>0</v>
      </c>
      <c r="P197" s="154">
        <v>0</v>
      </c>
      <c r="Q197" s="152">
        <v>0</v>
      </c>
      <c r="R197" s="9">
        <v>934499</v>
      </c>
      <c r="S197" s="21" t="s">
        <v>1846</v>
      </c>
      <c r="T197" s="117">
        <v>0</v>
      </c>
      <c r="U197" s="117">
        <v>0</v>
      </c>
      <c r="V197" s="117">
        <v>2023</v>
      </c>
      <c r="W197" s="117">
        <v>6</v>
      </c>
      <c r="X197" s="117">
        <v>0</v>
      </c>
      <c r="Y197" s="117">
        <v>0</v>
      </c>
      <c r="Z197" s="21" t="b">
        <v>1</v>
      </c>
      <c r="AA197" s="162">
        <f>+$AD$5-Tabla2[[#This Row],[FECHA DE FACTURACIÓN]]</f>
        <v>426</v>
      </c>
      <c r="AB197" s="163" t="str">
        <f>+IF(Tabla2[[#This Row],[dias de credito]]&gt;=Tabla2[[#This Row],[PLAZO Días]],"venc", "No venc")</f>
        <v>venc</v>
      </c>
      <c r="AC197" s="163" t="str">
        <f>+IF(Tabla2[[#This Row],[FECHA DE PAGO]]&gt;0,"pagada","por pagar")</f>
        <v>pagada</v>
      </c>
      <c r="AD197" s="164" t="str">
        <f>+IF(AND(Tabla2[[#This Row],[venc]]="venc",Tabla2[[#This Row],[estado pago]]="por pagar"),"vencida","no")</f>
        <v>no</v>
      </c>
    </row>
    <row r="198" spans="1:30" ht="19.5" hidden="1" customHeight="1" x14ac:dyDescent="0.25">
      <c r="A198" s="8" t="s">
        <v>1850</v>
      </c>
      <c r="B198" s="8" t="b">
        <v>0</v>
      </c>
      <c r="C198" s="8">
        <v>30</v>
      </c>
      <c r="D198" s="151">
        <v>0</v>
      </c>
      <c r="E198" s="151"/>
      <c r="F198" s="24" t="s">
        <v>414</v>
      </c>
      <c r="G198" s="30">
        <v>45026</v>
      </c>
      <c r="H198" s="81" t="s">
        <v>382</v>
      </c>
      <c r="I198" s="30">
        <v>45017</v>
      </c>
      <c r="J198" s="16" t="s">
        <v>671</v>
      </c>
      <c r="K198" s="9" t="s">
        <v>1530</v>
      </c>
      <c r="L198" s="9"/>
      <c r="M198" s="152">
        <v>913261</v>
      </c>
      <c r="N198" s="153">
        <v>0</v>
      </c>
      <c r="O198" s="152">
        <v>0</v>
      </c>
      <c r="P198" s="154">
        <v>0</v>
      </c>
      <c r="Q198" s="152">
        <v>0</v>
      </c>
      <c r="R198" s="9">
        <v>913261</v>
      </c>
      <c r="S198" s="21" t="s">
        <v>1846</v>
      </c>
      <c r="T198" s="117">
        <v>0</v>
      </c>
      <c r="U198" s="117">
        <v>0</v>
      </c>
      <c r="V198" s="117">
        <v>2023</v>
      </c>
      <c r="W198" s="117">
        <v>6</v>
      </c>
      <c r="X198" s="117">
        <v>0</v>
      </c>
      <c r="Y198" s="117">
        <v>0</v>
      </c>
      <c r="Z198" s="21" t="b">
        <v>1</v>
      </c>
      <c r="AA198" s="162">
        <f>+$AD$5-Tabla2[[#This Row],[FECHA DE FACTURACIÓN]]</f>
        <v>426</v>
      </c>
      <c r="AB198" s="163" t="str">
        <f>+IF(Tabla2[[#This Row],[dias de credito]]&gt;=Tabla2[[#This Row],[PLAZO Días]],"venc", "No venc")</f>
        <v>venc</v>
      </c>
      <c r="AC198" s="163" t="str">
        <f>+IF(Tabla2[[#This Row],[FECHA DE PAGO]]&gt;0,"pagada","por pagar")</f>
        <v>pagada</v>
      </c>
      <c r="AD198" s="164" t="str">
        <f>+IF(AND(Tabla2[[#This Row],[venc]]="venc",Tabla2[[#This Row],[estado pago]]="por pagar"),"vencida","no")</f>
        <v>no</v>
      </c>
    </row>
    <row r="199" spans="1:30" ht="19.5" hidden="1" customHeight="1" x14ac:dyDescent="0.25">
      <c r="A199" s="8" t="s">
        <v>1850</v>
      </c>
      <c r="B199" s="8" t="b">
        <v>0</v>
      </c>
      <c r="C199" s="8">
        <v>30</v>
      </c>
      <c r="D199" s="151">
        <v>0</v>
      </c>
      <c r="E199" s="151"/>
      <c r="F199" s="24" t="s">
        <v>1540</v>
      </c>
      <c r="G199" s="30">
        <v>45026</v>
      </c>
      <c r="H199" s="81" t="s">
        <v>383</v>
      </c>
      <c r="I199" s="30">
        <v>45017</v>
      </c>
      <c r="J199" s="16" t="s">
        <v>673</v>
      </c>
      <c r="K199" s="9" t="s">
        <v>1530</v>
      </c>
      <c r="L199" s="9"/>
      <c r="M199" s="152">
        <v>3935776</v>
      </c>
      <c r="N199" s="153">
        <v>747797.44000000006</v>
      </c>
      <c r="O199" s="152">
        <v>0</v>
      </c>
      <c r="P199" s="154">
        <v>3.5000000000000003E-2</v>
      </c>
      <c r="Q199" s="152">
        <v>137752.16</v>
      </c>
      <c r="R199" s="9">
        <v>4545821.28</v>
      </c>
      <c r="S199" s="21" t="s">
        <v>1846</v>
      </c>
      <c r="T199" s="117">
        <v>0</v>
      </c>
      <c r="U199" s="117" t="s">
        <v>348</v>
      </c>
      <c r="V199" s="117">
        <v>2023</v>
      </c>
      <c r="W199" s="117">
        <v>6</v>
      </c>
      <c r="X199" s="117">
        <v>0</v>
      </c>
      <c r="Y199" s="117">
        <v>3.5000000000000003E-2</v>
      </c>
      <c r="Z199" s="21" t="b">
        <v>1</v>
      </c>
      <c r="AA199" s="162">
        <f>+$AD$5-Tabla2[[#This Row],[FECHA DE FACTURACIÓN]]</f>
        <v>426</v>
      </c>
      <c r="AB199" s="163" t="str">
        <f>+IF(Tabla2[[#This Row],[dias de credito]]&gt;=Tabla2[[#This Row],[PLAZO Días]],"venc", "No venc")</f>
        <v>venc</v>
      </c>
      <c r="AC199" s="163" t="str">
        <f>+IF(Tabla2[[#This Row],[FECHA DE PAGO]]&gt;0,"pagada","por pagar")</f>
        <v>pagada</v>
      </c>
      <c r="AD199" s="164" t="str">
        <f>+IF(AND(Tabla2[[#This Row],[venc]]="venc",Tabla2[[#This Row],[estado pago]]="por pagar"),"vencida","no")</f>
        <v>no</v>
      </c>
    </row>
    <row r="200" spans="1:30" ht="19.5" hidden="1" customHeight="1" x14ac:dyDescent="0.25">
      <c r="A200" s="8" t="s">
        <v>1850</v>
      </c>
      <c r="B200" s="8" t="b">
        <v>0</v>
      </c>
      <c r="C200" s="8">
        <v>10</v>
      </c>
      <c r="D200" s="151">
        <v>0</v>
      </c>
      <c r="E200" s="151"/>
      <c r="F200" s="24" t="s">
        <v>483</v>
      </c>
      <c r="G200" s="30">
        <v>45026</v>
      </c>
      <c r="H200" s="81" t="s">
        <v>482</v>
      </c>
      <c r="I200" s="30">
        <v>45017</v>
      </c>
      <c r="J200" s="16" t="s">
        <v>672</v>
      </c>
      <c r="K200" s="9" t="s">
        <v>1530</v>
      </c>
      <c r="L200" s="9"/>
      <c r="M200" s="152">
        <v>4730000</v>
      </c>
      <c r="N200" s="153">
        <v>898700</v>
      </c>
      <c r="O200" s="152">
        <v>0</v>
      </c>
      <c r="P200" s="154">
        <v>0</v>
      </c>
      <c r="Q200" s="152">
        <v>0</v>
      </c>
      <c r="R200" s="9">
        <v>5628700</v>
      </c>
      <c r="S200" s="21" t="s">
        <v>1846</v>
      </c>
      <c r="T200" s="117">
        <v>0</v>
      </c>
      <c r="U200" s="117">
        <v>0</v>
      </c>
      <c r="V200" s="117">
        <v>2023</v>
      </c>
      <c r="W200" s="117">
        <v>6</v>
      </c>
      <c r="X200" s="117">
        <v>0</v>
      </c>
      <c r="Y200" s="117">
        <v>0</v>
      </c>
      <c r="Z200" s="21" t="b">
        <v>1</v>
      </c>
      <c r="AA200" s="162">
        <f>+$AD$5-Tabla2[[#This Row],[FECHA DE FACTURACIÓN]]</f>
        <v>426</v>
      </c>
      <c r="AB200" s="163" t="str">
        <f>+IF(Tabla2[[#This Row],[dias de credito]]&gt;=Tabla2[[#This Row],[PLAZO Días]],"venc", "No venc")</f>
        <v>venc</v>
      </c>
      <c r="AC200" s="163" t="str">
        <f>+IF(Tabla2[[#This Row],[FECHA DE PAGO]]&gt;0,"pagada","por pagar")</f>
        <v>pagada</v>
      </c>
      <c r="AD200" s="164" t="str">
        <f>+IF(AND(Tabla2[[#This Row],[venc]]="venc",Tabla2[[#This Row],[estado pago]]="por pagar"),"vencida","no")</f>
        <v>no</v>
      </c>
    </row>
    <row r="201" spans="1:30" ht="19.5" hidden="1" customHeight="1" x14ac:dyDescent="0.25">
      <c r="A201" s="8" t="s">
        <v>1850</v>
      </c>
      <c r="B201" s="8" t="s">
        <v>1851</v>
      </c>
      <c r="C201" s="8">
        <v>30</v>
      </c>
      <c r="D201" s="151">
        <v>0</v>
      </c>
      <c r="E201" s="151"/>
      <c r="F201" s="24" t="s">
        <v>214</v>
      </c>
      <c r="G201" s="30">
        <v>45027</v>
      </c>
      <c r="H201" s="81" t="s">
        <v>1802</v>
      </c>
      <c r="I201" s="30">
        <v>44928</v>
      </c>
      <c r="J201" s="16">
        <v>2739</v>
      </c>
      <c r="K201" s="9" t="s">
        <v>1530</v>
      </c>
      <c r="L201" s="9"/>
      <c r="M201" s="152">
        <v>2244350</v>
      </c>
      <c r="N201" s="153">
        <v>0</v>
      </c>
      <c r="O201" s="152">
        <v>0</v>
      </c>
      <c r="P201" s="154">
        <v>0</v>
      </c>
      <c r="Q201" s="152">
        <v>0</v>
      </c>
      <c r="R201" s="9">
        <v>2244350</v>
      </c>
      <c r="S201" s="21" t="s">
        <v>1846</v>
      </c>
      <c r="T201" s="117">
        <v>0</v>
      </c>
      <c r="U201" s="117">
        <v>0</v>
      </c>
      <c r="V201" s="117">
        <v>2023</v>
      </c>
      <c r="W201" s="117">
        <v>6</v>
      </c>
      <c r="X201" s="117">
        <v>0</v>
      </c>
      <c r="Y201" s="117">
        <v>0</v>
      </c>
      <c r="Z201" s="21" t="b">
        <v>0</v>
      </c>
      <c r="AA201" s="162">
        <f>+$AD$5-Tabla2[[#This Row],[FECHA DE FACTURACIÓN]]</f>
        <v>515</v>
      </c>
      <c r="AB201" s="163" t="str">
        <f>+IF(Tabla2[[#This Row],[dias de credito]]&gt;=Tabla2[[#This Row],[PLAZO Días]],"venc", "No venc")</f>
        <v>venc</v>
      </c>
      <c r="AC201" s="163" t="str">
        <f>+IF(Tabla2[[#This Row],[FECHA DE PAGO]]&gt;0,"pagada","por pagar")</f>
        <v>pagada</v>
      </c>
      <c r="AD201" s="164" t="str">
        <f>+IF(AND(Tabla2[[#This Row],[venc]]="venc",Tabla2[[#This Row],[estado pago]]="por pagar"),"vencida","no")</f>
        <v>no</v>
      </c>
    </row>
    <row r="202" spans="1:30" ht="19.5" hidden="1" customHeight="1" x14ac:dyDescent="0.25">
      <c r="A202" s="8" t="s">
        <v>1850</v>
      </c>
      <c r="B202" s="8" t="s">
        <v>1851</v>
      </c>
      <c r="C202" s="8">
        <v>30</v>
      </c>
      <c r="D202" s="151">
        <v>3130000</v>
      </c>
      <c r="E202" s="151"/>
      <c r="F202" s="24">
        <v>0</v>
      </c>
      <c r="G202" s="30">
        <v>45027</v>
      </c>
      <c r="H202" s="81" t="s">
        <v>472</v>
      </c>
      <c r="I202" s="30">
        <v>44992</v>
      </c>
      <c r="J202" s="16">
        <v>9740</v>
      </c>
      <c r="K202" s="9" t="s">
        <v>1530</v>
      </c>
      <c r="L202" s="9"/>
      <c r="M202" s="152">
        <v>1237000</v>
      </c>
      <c r="N202" s="153">
        <v>0</v>
      </c>
      <c r="O202" s="152">
        <v>0</v>
      </c>
      <c r="P202" s="154">
        <v>0</v>
      </c>
      <c r="Q202" s="152">
        <v>0</v>
      </c>
      <c r="R202" s="9">
        <v>1237000</v>
      </c>
      <c r="S202" s="21" t="s">
        <v>1846</v>
      </c>
      <c r="T202" s="117">
        <v>0</v>
      </c>
      <c r="U202" s="117">
        <v>0</v>
      </c>
      <c r="V202" s="117">
        <v>2023</v>
      </c>
      <c r="W202" s="117">
        <v>6</v>
      </c>
      <c r="X202" s="117">
        <v>0</v>
      </c>
      <c r="Y202" s="117">
        <v>0</v>
      </c>
      <c r="Z202" s="21" t="b">
        <v>0</v>
      </c>
      <c r="AA202" s="162">
        <f>+$AD$5-Tabla2[[#This Row],[FECHA DE FACTURACIÓN]]</f>
        <v>451</v>
      </c>
      <c r="AB202" s="163" t="str">
        <f>+IF(Tabla2[[#This Row],[dias de credito]]&gt;=Tabla2[[#This Row],[PLAZO Días]],"venc", "No venc")</f>
        <v>venc</v>
      </c>
      <c r="AC202" s="163" t="str">
        <f>+IF(Tabla2[[#This Row],[FECHA DE PAGO]]&gt;0,"pagada","por pagar")</f>
        <v>pagada</v>
      </c>
      <c r="AD202" s="164" t="str">
        <f>+IF(AND(Tabla2[[#This Row],[venc]]="venc",Tabla2[[#This Row],[estado pago]]="por pagar"),"vencida","no")</f>
        <v>no</v>
      </c>
    </row>
    <row r="203" spans="1:30" ht="19.5" hidden="1" customHeight="1" x14ac:dyDescent="0.25">
      <c r="A203" s="8" t="s">
        <v>1850</v>
      </c>
      <c r="B203" s="8" t="b">
        <v>0</v>
      </c>
      <c r="C203" s="8">
        <v>30</v>
      </c>
      <c r="D203" s="151">
        <v>0</v>
      </c>
      <c r="E203" s="151"/>
      <c r="F203" s="24">
        <v>0</v>
      </c>
      <c r="G203" s="30">
        <v>45027</v>
      </c>
      <c r="H203" s="81" t="s">
        <v>492</v>
      </c>
      <c r="I203" s="30">
        <v>45002</v>
      </c>
      <c r="J203" s="16">
        <v>420</v>
      </c>
      <c r="K203" s="9" t="s">
        <v>1530</v>
      </c>
      <c r="L203" s="9"/>
      <c r="M203" s="152">
        <v>468000</v>
      </c>
      <c r="N203" s="153">
        <v>0</v>
      </c>
      <c r="O203" s="152">
        <v>0</v>
      </c>
      <c r="P203" s="154">
        <v>0</v>
      </c>
      <c r="Q203" s="152">
        <v>0</v>
      </c>
      <c r="R203" s="9">
        <v>468000</v>
      </c>
      <c r="S203" s="21" t="s">
        <v>1846</v>
      </c>
      <c r="T203" s="117">
        <v>0</v>
      </c>
      <c r="U203" s="117">
        <v>0</v>
      </c>
      <c r="V203" s="117">
        <v>2023</v>
      </c>
      <c r="W203" s="117">
        <v>6</v>
      </c>
      <c r="X203" s="117">
        <v>0</v>
      </c>
      <c r="Y203" s="117">
        <v>0</v>
      </c>
      <c r="Z203" s="21" t="b">
        <v>0</v>
      </c>
      <c r="AA203" s="162">
        <f>+$AD$5-Tabla2[[#This Row],[FECHA DE FACTURACIÓN]]</f>
        <v>441</v>
      </c>
      <c r="AB203" s="163" t="str">
        <f>+IF(Tabla2[[#This Row],[dias de credito]]&gt;=Tabla2[[#This Row],[PLAZO Días]],"venc", "No venc")</f>
        <v>venc</v>
      </c>
      <c r="AC203" s="163" t="str">
        <f>+IF(Tabla2[[#This Row],[FECHA DE PAGO]]&gt;0,"pagada","por pagar")</f>
        <v>pagada</v>
      </c>
      <c r="AD203" s="164" t="str">
        <f>+IF(AND(Tabla2[[#This Row],[venc]]="venc",Tabla2[[#This Row],[estado pago]]="por pagar"),"vencida","no")</f>
        <v>no</v>
      </c>
    </row>
    <row r="204" spans="1:30" ht="19.5" hidden="1" customHeight="1" x14ac:dyDescent="0.25">
      <c r="A204" s="8" t="s">
        <v>1850</v>
      </c>
      <c r="B204" s="8" t="b">
        <v>0</v>
      </c>
      <c r="C204" s="8">
        <v>30</v>
      </c>
      <c r="D204" s="151">
        <v>0</v>
      </c>
      <c r="E204" s="151"/>
      <c r="F204" s="24">
        <v>0</v>
      </c>
      <c r="G204" s="30">
        <v>45027</v>
      </c>
      <c r="H204" s="81" t="s">
        <v>492</v>
      </c>
      <c r="I204" s="30">
        <v>45014</v>
      </c>
      <c r="J204" s="16">
        <v>423</v>
      </c>
      <c r="K204" s="9" t="s">
        <v>1530</v>
      </c>
      <c r="L204" s="9"/>
      <c r="M204" s="152">
        <v>468000</v>
      </c>
      <c r="N204" s="153">
        <v>0</v>
      </c>
      <c r="O204" s="152">
        <v>0</v>
      </c>
      <c r="P204" s="154">
        <v>0</v>
      </c>
      <c r="Q204" s="152">
        <v>0</v>
      </c>
      <c r="R204" s="9">
        <v>468000</v>
      </c>
      <c r="S204" s="21" t="s">
        <v>1846</v>
      </c>
      <c r="T204" s="117">
        <v>0</v>
      </c>
      <c r="U204" s="117">
        <v>0</v>
      </c>
      <c r="V204" s="117">
        <v>2023</v>
      </c>
      <c r="W204" s="117">
        <v>6</v>
      </c>
      <c r="X204" s="117">
        <v>0</v>
      </c>
      <c r="Y204" s="117">
        <v>0</v>
      </c>
      <c r="Z204" s="21" t="b">
        <v>0</v>
      </c>
      <c r="AA204" s="162">
        <f>+$AD$5-Tabla2[[#This Row],[FECHA DE FACTURACIÓN]]</f>
        <v>429</v>
      </c>
      <c r="AB204" s="163" t="str">
        <f>+IF(Tabla2[[#This Row],[dias de credito]]&gt;=Tabla2[[#This Row],[PLAZO Días]],"venc", "No venc")</f>
        <v>venc</v>
      </c>
      <c r="AC204" s="163" t="str">
        <f>+IF(Tabla2[[#This Row],[FECHA DE PAGO]]&gt;0,"pagada","por pagar")</f>
        <v>pagada</v>
      </c>
      <c r="AD204" s="164" t="str">
        <f>+IF(AND(Tabla2[[#This Row],[venc]]="venc",Tabla2[[#This Row],[estado pago]]="por pagar"),"vencida","no")</f>
        <v>no</v>
      </c>
    </row>
    <row r="205" spans="1:30" ht="19.5" hidden="1" customHeight="1" x14ac:dyDescent="0.25">
      <c r="A205" s="8" t="s">
        <v>1850</v>
      </c>
      <c r="B205" s="8" t="b">
        <v>0</v>
      </c>
      <c r="C205" s="8">
        <v>30</v>
      </c>
      <c r="D205" s="151">
        <v>0</v>
      </c>
      <c r="E205" s="151"/>
      <c r="F205" s="24">
        <v>0</v>
      </c>
      <c r="G205" s="30">
        <v>45027</v>
      </c>
      <c r="H205" s="81" t="s">
        <v>475</v>
      </c>
      <c r="I205" s="30">
        <v>45017</v>
      </c>
      <c r="J205" s="16">
        <v>6724</v>
      </c>
      <c r="K205" s="9" t="s">
        <v>1530</v>
      </c>
      <c r="L205" s="9"/>
      <c r="M205" s="152">
        <v>300000</v>
      </c>
      <c r="N205" s="153">
        <v>0</v>
      </c>
      <c r="O205" s="152">
        <v>0</v>
      </c>
      <c r="P205" s="154">
        <v>0</v>
      </c>
      <c r="Q205" s="152">
        <v>0</v>
      </c>
      <c r="R205" s="9">
        <v>300000</v>
      </c>
      <c r="S205" s="21" t="s">
        <v>1846</v>
      </c>
      <c r="T205" s="117">
        <v>0</v>
      </c>
      <c r="U205" s="117">
        <v>0</v>
      </c>
      <c r="V205" s="117">
        <v>2023</v>
      </c>
      <c r="W205" s="117">
        <v>6</v>
      </c>
      <c r="X205" s="117">
        <v>0</v>
      </c>
      <c r="Y205" s="117">
        <v>0</v>
      </c>
      <c r="Z205" s="21" t="b">
        <v>0</v>
      </c>
      <c r="AA205" s="162">
        <f>+$AD$5-Tabla2[[#This Row],[FECHA DE FACTURACIÓN]]</f>
        <v>426</v>
      </c>
      <c r="AB205" s="163" t="str">
        <f>+IF(Tabla2[[#This Row],[dias de credito]]&gt;=Tabla2[[#This Row],[PLAZO Días]],"venc", "No venc")</f>
        <v>venc</v>
      </c>
      <c r="AC205" s="163" t="str">
        <f>+IF(Tabla2[[#This Row],[FECHA DE PAGO]]&gt;0,"pagada","por pagar")</f>
        <v>pagada</v>
      </c>
      <c r="AD205" s="164" t="str">
        <f>+IF(AND(Tabla2[[#This Row],[venc]]="venc",Tabla2[[#This Row],[estado pago]]="por pagar"),"vencida","no")</f>
        <v>no</v>
      </c>
    </row>
    <row r="206" spans="1:30" ht="19.5" hidden="1" customHeight="1" x14ac:dyDescent="0.25">
      <c r="A206" s="8" t="s">
        <v>1850</v>
      </c>
      <c r="B206" s="8" t="b">
        <v>0</v>
      </c>
      <c r="C206" s="8">
        <v>30</v>
      </c>
      <c r="D206" s="151">
        <v>0</v>
      </c>
      <c r="E206" s="151"/>
      <c r="F206" s="24" t="s">
        <v>153</v>
      </c>
      <c r="G206" s="30">
        <v>45027</v>
      </c>
      <c r="H206" s="81" t="s">
        <v>394</v>
      </c>
      <c r="I206" s="30">
        <v>45017</v>
      </c>
      <c r="J206" s="16" t="s">
        <v>691</v>
      </c>
      <c r="K206" s="9" t="s">
        <v>1530</v>
      </c>
      <c r="L206" s="9"/>
      <c r="M206" s="152">
        <v>243611</v>
      </c>
      <c r="N206" s="153">
        <v>46286.090000000004</v>
      </c>
      <c r="O206" s="152">
        <v>0</v>
      </c>
      <c r="P206" s="154">
        <v>3.5000000000000003E-2</v>
      </c>
      <c r="Q206" s="152">
        <v>8526.3850000000002</v>
      </c>
      <c r="R206" s="9">
        <v>281370.70500000002</v>
      </c>
      <c r="S206" s="21" t="s">
        <v>1846</v>
      </c>
      <c r="T206" s="117">
        <v>0</v>
      </c>
      <c r="U206" s="117" t="s">
        <v>348</v>
      </c>
      <c r="V206" s="117">
        <v>2023</v>
      </c>
      <c r="W206" s="117">
        <v>6</v>
      </c>
      <c r="X206" s="117">
        <v>0</v>
      </c>
      <c r="Y206" s="117">
        <v>3.5000000000000003E-2</v>
      </c>
      <c r="Z206" s="21" t="b">
        <v>1</v>
      </c>
      <c r="AA206" s="162">
        <f>+$AD$5-Tabla2[[#This Row],[FECHA DE FACTURACIÓN]]</f>
        <v>426</v>
      </c>
      <c r="AB206" s="163" t="str">
        <f>+IF(Tabla2[[#This Row],[dias de credito]]&gt;=Tabla2[[#This Row],[PLAZO Días]],"venc", "No venc")</f>
        <v>venc</v>
      </c>
      <c r="AC206" s="163" t="str">
        <f>+IF(Tabla2[[#This Row],[FECHA DE PAGO]]&gt;0,"pagada","por pagar")</f>
        <v>pagada</v>
      </c>
      <c r="AD206" s="164" t="str">
        <f>+IF(AND(Tabla2[[#This Row],[venc]]="venc",Tabla2[[#This Row],[estado pago]]="por pagar"),"vencida","no")</f>
        <v>no</v>
      </c>
    </row>
    <row r="207" spans="1:30" ht="19.5" hidden="1" customHeight="1" x14ac:dyDescent="0.25">
      <c r="A207" s="8" t="s">
        <v>1850</v>
      </c>
      <c r="B207" s="8" t="b">
        <v>0</v>
      </c>
      <c r="C207" s="8">
        <v>30</v>
      </c>
      <c r="D207" s="151">
        <v>0</v>
      </c>
      <c r="E207" s="151"/>
      <c r="F207" s="24" t="s">
        <v>84</v>
      </c>
      <c r="G207" s="30">
        <v>45027</v>
      </c>
      <c r="H207" s="81" t="s">
        <v>481</v>
      </c>
      <c r="I207" s="30">
        <v>45026</v>
      </c>
      <c r="J207" s="16" t="s">
        <v>719</v>
      </c>
      <c r="K207" s="9" t="s">
        <v>1530</v>
      </c>
      <c r="L207" s="9"/>
      <c r="M207" s="152">
        <v>5304000</v>
      </c>
      <c r="N207" s="153">
        <v>0</v>
      </c>
      <c r="O207" s="152">
        <v>0</v>
      </c>
      <c r="P207" s="154">
        <v>0</v>
      </c>
      <c r="Q207" s="152">
        <v>0</v>
      </c>
      <c r="R207" s="9">
        <v>5304000</v>
      </c>
      <c r="S207" s="21" t="s">
        <v>1846</v>
      </c>
      <c r="T207" s="117">
        <v>0</v>
      </c>
      <c r="U207" s="117">
        <v>0</v>
      </c>
      <c r="V207" s="117">
        <v>2023</v>
      </c>
      <c r="W207" s="117">
        <v>6</v>
      </c>
      <c r="X207" s="117">
        <v>0</v>
      </c>
      <c r="Y207" s="117">
        <v>0</v>
      </c>
      <c r="Z207" s="21" t="b">
        <v>0</v>
      </c>
      <c r="AA207" s="162">
        <f>+$AD$5-Tabla2[[#This Row],[FECHA DE FACTURACIÓN]]</f>
        <v>417</v>
      </c>
      <c r="AB207" s="163" t="str">
        <f>+IF(Tabla2[[#This Row],[dias de credito]]&gt;=Tabla2[[#This Row],[PLAZO Días]],"venc", "No venc")</f>
        <v>venc</v>
      </c>
      <c r="AC207" s="163" t="str">
        <f>+IF(Tabla2[[#This Row],[FECHA DE PAGO]]&gt;0,"pagada","por pagar")</f>
        <v>pagada</v>
      </c>
      <c r="AD207" s="164" t="str">
        <f>+IF(AND(Tabla2[[#This Row],[venc]]="venc",Tabla2[[#This Row],[estado pago]]="por pagar"),"vencida","no")</f>
        <v>no</v>
      </c>
    </row>
    <row r="208" spans="1:30" ht="19.5" hidden="1" customHeight="1" x14ac:dyDescent="0.25">
      <c r="A208" s="8" t="s">
        <v>1850</v>
      </c>
      <c r="B208" s="8" t="b">
        <v>0</v>
      </c>
      <c r="C208" s="8">
        <v>30</v>
      </c>
      <c r="D208" s="151">
        <v>0</v>
      </c>
      <c r="E208" s="151"/>
      <c r="F208" s="24" t="s">
        <v>138</v>
      </c>
      <c r="G208" s="30">
        <v>45027</v>
      </c>
      <c r="H208" s="81" t="s">
        <v>1806</v>
      </c>
      <c r="I208" s="30">
        <v>45026</v>
      </c>
      <c r="J208" s="16">
        <v>408</v>
      </c>
      <c r="K208" s="9" t="s">
        <v>1530</v>
      </c>
      <c r="L208" s="9"/>
      <c r="M208" s="152">
        <v>470000</v>
      </c>
      <c r="N208" s="153">
        <v>0</v>
      </c>
      <c r="O208" s="152">
        <v>0</v>
      </c>
      <c r="P208" s="154">
        <v>0</v>
      </c>
      <c r="Q208" s="152">
        <v>0</v>
      </c>
      <c r="R208" s="9">
        <v>470000</v>
      </c>
      <c r="S208" s="21" t="s">
        <v>1846</v>
      </c>
      <c r="T208" s="117">
        <v>0</v>
      </c>
      <c r="U208" s="117">
        <v>0</v>
      </c>
      <c r="V208" s="117">
        <v>2023</v>
      </c>
      <c r="W208" s="117">
        <v>6</v>
      </c>
      <c r="X208" s="117">
        <v>0</v>
      </c>
      <c r="Y208" s="117">
        <v>0</v>
      </c>
      <c r="Z208" s="21" t="b">
        <v>0</v>
      </c>
      <c r="AA208" s="162">
        <f>+$AD$5-Tabla2[[#This Row],[FECHA DE FACTURACIÓN]]</f>
        <v>417</v>
      </c>
      <c r="AB208" s="163" t="str">
        <f>+IF(Tabla2[[#This Row],[dias de credito]]&gt;=Tabla2[[#This Row],[PLAZO Días]],"venc", "No venc")</f>
        <v>venc</v>
      </c>
      <c r="AC208" s="163" t="str">
        <f>+IF(Tabla2[[#This Row],[FECHA DE PAGO]]&gt;0,"pagada","por pagar")</f>
        <v>pagada</v>
      </c>
      <c r="AD208" s="164" t="str">
        <f>+IF(AND(Tabla2[[#This Row],[venc]]="venc",Tabla2[[#This Row],[estado pago]]="por pagar"),"vencida","no")</f>
        <v>no</v>
      </c>
    </row>
    <row r="209" spans="1:30" ht="19.5" hidden="1" customHeight="1" x14ac:dyDescent="0.25">
      <c r="A209" s="8" t="s">
        <v>1850</v>
      </c>
      <c r="B209" s="8" t="b">
        <v>0</v>
      </c>
      <c r="C209" s="8">
        <v>30</v>
      </c>
      <c r="D209" s="151">
        <v>0</v>
      </c>
      <c r="E209" s="151"/>
      <c r="F209" s="24" t="s">
        <v>138</v>
      </c>
      <c r="G209" s="30">
        <v>45027</v>
      </c>
      <c r="H209" s="81" t="s">
        <v>448</v>
      </c>
      <c r="I209" s="30">
        <v>45026</v>
      </c>
      <c r="J209" s="16" t="s">
        <v>692</v>
      </c>
      <c r="K209" s="9" t="s">
        <v>1530</v>
      </c>
      <c r="L209" s="9"/>
      <c r="M209" s="152">
        <v>300000</v>
      </c>
      <c r="N209" s="153">
        <v>0</v>
      </c>
      <c r="O209" s="152">
        <v>0</v>
      </c>
      <c r="P209" s="154">
        <v>0.01</v>
      </c>
      <c r="Q209" s="152">
        <v>3000</v>
      </c>
      <c r="R209" s="9">
        <v>297000</v>
      </c>
      <c r="S209" s="21" t="s">
        <v>1846</v>
      </c>
      <c r="T209" s="117">
        <v>0</v>
      </c>
      <c r="U209" s="117" t="s">
        <v>346</v>
      </c>
      <c r="V209" s="117">
        <v>2023</v>
      </c>
      <c r="W209" s="117">
        <v>6</v>
      </c>
      <c r="X209" s="117">
        <v>170000</v>
      </c>
      <c r="Y209" s="117">
        <v>0.01</v>
      </c>
      <c r="Z209" s="21" t="b">
        <v>0</v>
      </c>
      <c r="AA209" s="162">
        <f>+$AD$5-Tabla2[[#This Row],[FECHA DE FACTURACIÓN]]</f>
        <v>417</v>
      </c>
      <c r="AB209" s="163" t="str">
        <f>+IF(Tabla2[[#This Row],[dias de credito]]&gt;=Tabla2[[#This Row],[PLAZO Días]],"venc", "No venc")</f>
        <v>venc</v>
      </c>
      <c r="AC209" s="163" t="str">
        <f>+IF(Tabla2[[#This Row],[FECHA DE PAGO]]&gt;0,"pagada","por pagar")</f>
        <v>pagada</v>
      </c>
      <c r="AD209" s="164" t="str">
        <f>+IF(AND(Tabla2[[#This Row],[venc]]="venc",Tabla2[[#This Row],[estado pago]]="por pagar"),"vencida","no")</f>
        <v>no</v>
      </c>
    </row>
    <row r="210" spans="1:30" ht="19.5" hidden="1" customHeight="1" x14ac:dyDescent="0.25">
      <c r="A210" s="8" t="s">
        <v>1852</v>
      </c>
      <c r="B210" s="8" t="b">
        <v>0</v>
      </c>
      <c r="C210" s="8">
        <v>30</v>
      </c>
      <c r="D210" s="151">
        <v>0</v>
      </c>
      <c r="E210" s="151"/>
      <c r="F210" s="24" t="s">
        <v>398</v>
      </c>
      <c r="G210" s="30">
        <v>45027</v>
      </c>
      <c r="H210" s="81" t="s">
        <v>424</v>
      </c>
      <c r="I210" s="30">
        <v>45027</v>
      </c>
      <c r="J210" s="16">
        <v>20549</v>
      </c>
      <c r="K210" s="9" t="s">
        <v>1530</v>
      </c>
      <c r="L210" s="9"/>
      <c r="M210" s="152">
        <v>240000</v>
      </c>
      <c r="N210" s="153">
        <v>45600</v>
      </c>
      <c r="O210" s="152">
        <v>0</v>
      </c>
      <c r="P210" s="154">
        <v>0</v>
      </c>
      <c r="Q210" s="152">
        <v>0</v>
      </c>
      <c r="R210" s="9">
        <v>285600</v>
      </c>
      <c r="S210" s="21" t="s">
        <v>1846</v>
      </c>
      <c r="T210" s="117">
        <v>0</v>
      </c>
      <c r="U210" s="117">
        <v>0</v>
      </c>
      <c r="V210" s="117">
        <v>2023</v>
      </c>
      <c r="W210" s="117">
        <v>6</v>
      </c>
      <c r="X210" s="117">
        <v>0</v>
      </c>
      <c r="Y210" s="117">
        <v>0</v>
      </c>
      <c r="Z210" s="21" t="b">
        <v>1</v>
      </c>
      <c r="AA210" s="162">
        <f>+$AD$5-Tabla2[[#This Row],[FECHA DE FACTURACIÓN]]</f>
        <v>416</v>
      </c>
      <c r="AB210" s="163" t="str">
        <f>+IF(Tabla2[[#This Row],[dias de credito]]&gt;=Tabla2[[#This Row],[PLAZO Días]],"venc", "No venc")</f>
        <v>venc</v>
      </c>
      <c r="AC210" s="163" t="str">
        <f>+IF(Tabla2[[#This Row],[FECHA DE PAGO]]&gt;0,"pagada","por pagar")</f>
        <v>pagada</v>
      </c>
      <c r="AD210" s="164" t="str">
        <f>+IF(AND(Tabla2[[#This Row],[venc]]="venc",Tabla2[[#This Row],[estado pago]]="por pagar"),"vencida","no")</f>
        <v>no</v>
      </c>
    </row>
    <row r="211" spans="1:30" ht="19.5" hidden="1" customHeight="1" x14ac:dyDescent="0.25">
      <c r="A211" s="8" t="s">
        <v>1850</v>
      </c>
      <c r="B211" s="8" t="s">
        <v>1851</v>
      </c>
      <c r="C211" s="8">
        <v>30</v>
      </c>
      <c r="D211" s="151">
        <v>2080356.81</v>
      </c>
      <c r="E211" s="151"/>
      <c r="F211" s="24" t="s">
        <v>409</v>
      </c>
      <c r="G211" s="30">
        <v>45028</v>
      </c>
      <c r="H211" s="81" t="s">
        <v>31</v>
      </c>
      <c r="I211" s="30">
        <v>44967</v>
      </c>
      <c r="J211" s="16" t="s">
        <v>568</v>
      </c>
      <c r="K211" s="9" t="s">
        <v>1530</v>
      </c>
      <c r="L211" s="9"/>
      <c r="M211" s="152">
        <v>4044034</v>
      </c>
      <c r="N211" s="153">
        <v>768366.46</v>
      </c>
      <c r="O211" s="152">
        <v>0</v>
      </c>
      <c r="P211" s="154">
        <v>2.5000000000000001E-2</v>
      </c>
      <c r="Q211" s="152">
        <v>101100.85</v>
      </c>
      <c r="R211" s="9">
        <v>4711299.6100000003</v>
      </c>
      <c r="S211" s="21" t="s">
        <v>1846</v>
      </c>
      <c r="T211" s="117">
        <v>0</v>
      </c>
      <c r="U211" s="117" t="s">
        <v>347</v>
      </c>
      <c r="V211" s="117">
        <v>2023</v>
      </c>
      <c r="W211" s="117">
        <v>6</v>
      </c>
      <c r="X211" s="117">
        <v>1145000</v>
      </c>
      <c r="Y211" s="117">
        <v>2.5000000000000001E-2</v>
      </c>
      <c r="Z211" s="21" t="b">
        <v>0</v>
      </c>
      <c r="AA211" s="162">
        <f>+$AD$5-Tabla2[[#This Row],[FECHA DE FACTURACIÓN]]</f>
        <v>476</v>
      </c>
      <c r="AB211" s="163" t="str">
        <f>+IF(Tabla2[[#This Row],[dias de credito]]&gt;=Tabla2[[#This Row],[PLAZO Días]],"venc", "No venc")</f>
        <v>venc</v>
      </c>
      <c r="AC211" s="163" t="str">
        <f>+IF(Tabla2[[#This Row],[FECHA DE PAGO]]&gt;0,"pagada","por pagar")</f>
        <v>pagada</v>
      </c>
      <c r="AD211" s="164" t="str">
        <f>+IF(AND(Tabla2[[#This Row],[venc]]="venc",Tabla2[[#This Row],[estado pago]]="por pagar"),"vencida","no")</f>
        <v>no</v>
      </c>
    </row>
    <row r="212" spans="1:30" ht="19.5" hidden="1" customHeight="1" x14ac:dyDescent="0.25">
      <c r="A212" s="8" t="s">
        <v>1850</v>
      </c>
      <c r="B212" s="8" t="s">
        <v>1851</v>
      </c>
      <c r="C212" s="8">
        <v>30</v>
      </c>
      <c r="D212" s="151">
        <v>2095000</v>
      </c>
      <c r="E212" s="151"/>
      <c r="F212" s="24" t="s">
        <v>204</v>
      </c>
      <c r="G212" s="30">
        <v>45028</v>
      </c>
      <c r="H212" s="81" t="s">
        <v>1804</v>
      </c>
      <c r="I212" s="30">
        <v>44983</v>
      </c>
      <c r="J212" s="16" t="s">
        <v>593</v>
      </c>
      <c r="K212" s="9" t="s">
        <v>1530</v>
      </c>
      <c r="L212" s="9"/>
      <c r="M212" s="152">
        <v>2550000</v>
      </c>
      <c r="N212" s="153">
        <v>0</v>
      </c>
      <c r="O212" s="152">
        <v>0</v>
      </c>
      <c r="P212" s="154">
        <v>0</v>
      </c>
      <c r="Q212" s="152">
        <v>0</v>
      </c>
      <c r="R212" s="9">
        <v>2550000</v>
      </c>
      <c r="S212" s="21" t="s">
        <v>1846</v>
      </c>
      <c r="T212" s="117">
        <v>0</v>
      </c>
      <c r="U212" s="117">
        <v>0</v>
      </c>
      <c r="V212" s="117">
        <v>2023</v>
      </c>
      <c r="W212" s="117">
        <v>6</v>
      </c>
      <c r="X212" s="117">
        <v>0</v>
      </c>
      <c r="Y212" s="117">
        <v>0</v>
      </c>
      <c r="Z212" s="21" t="b">
        <v>0</v>
      </c>
      <c r="AA212" s="162">
        <f>+$AD$5-Tabla2[[#This Row],[FECHA DE FACTURACIÓN]]</f>
        <v>460</v>
      </c>
      <c r="AB212" s="163" t="str">
        <f>+IF(Tabla2[[#This Row],[dias de credito]]&gt;=Tabla2[[#This Row],[PLAZO Días]],"venc", "No venc")</f>
        <v>venc</v>
      </c>
      <c r="AC212" s="163" t="str">
        <f>+IF(Tabla2[[#This Row],[FECHA DE PAGO]]&gt;0,"pagada","por pagar")</f>
        <v>pagada</v>
      </c>
      <c r="AD212" s="164" t="str">
        <f>+IF(AND(Tabla2[[#This Row],[venc]]="venc",Tabla2[[#This Row],[estado pago]]="por pagar"),"vencida","no")</f>
        <v>no</v>
      </c>
    </row>
    <row r="213" spans="1:30" ht="19.5" hidden="1" customHeight="1" x14ac:dyDescent="0.25">
      <c r="A213" s="8" t="s">
        <v>1850</v>
      </c>
      <c r="B213" s="8" t="s">
        <v>1851</v>
      </c>
      <c r="C213" s="8">
        <v>30</v>
      </c>
      <c r="D213" s="151">
        <v>0</v>
      </c>
      <c r="E213" s="151"/>
      <c r="F213" s="24" t="s">
        <v>169</v>
      </c>
      <c r="G213" s="30">
        <v>45029</v>
      </c>
      <c r="H213" s="81" t="s">
        <v>499</v>
      </c>
      <c r="I213" s="30">
        <v>44929</v>
      </c>
      <c r="J213" s="16">
        <v>2740</v>
      </c>
      <c r="K213" s="9" t="s">
        <v>1530</v>
      </c>
      <c r="L213" s="9"/>
      <c r="M213" s="152">
        <v>2348000</v>
      </c>
      <c r="N213" s="153">
        <v>0</v>
      </c>
      <c r="O213" s="152">
        <v>0</v>
      </c>
      <c r="P213" s="154">
        <v>0</v>
      </c>
      <c r="Q213" s="152">
        <v>0</v>
      </c>
      <c r="R213" s="9">
        <v>2348000</v>
      </c>
      <c r="S213" s="21" t="s">
        <v>1846</v>
      </c>
      <c r="T213" s="117">
        <v>0</v>
      </c>
      <c r="U213" s="117">
        <v>0</v>
      </c>
      <c r="V213" s="117">
        <v>2023</v>
      </c>
      <c r="W213" s="117">
        <v>6</v>
      </c>
      <c r="X213" s="117">
        <v>0</v>
      </c>
      <c r="Y213" s="117">
        <v>0</v>
      </c>
      <c r="Z213" s="21" t="b">
        <v>0</v>
      </c>
      <c r="AA213" s="162">
        <f>+$AD$5-Tabla2[[#This Row],[FECHA DE FACTURACIÓN]]</f>
        <v>514</v>
      </c>
      <c r="AB213" s="163" t="str">
        <f>+IF(Tabla2[[#This Row],[dias de credito]]&gt;=Tabla2[[#This Row],[PLAZO Días]],"venc", "No venc")</f>
        <v>venc</v>
      </c>
      <c r="AC213" s="163" t="str">
        <f>+IF(Tabla2[[#This Row],[FECHA DE PAGO]]&gt;0,"pagada","por pagar")</f>
        <v>pagada</v>
      </c>
      <c r="AD213" s="164" t="str">
        <f>+IF(AND(Tabla2[[#This Row],[venc]]="venc",Tabla2[[#This Row],[estado pago]]="por pagar"),"vencida","no")</f>
        <v>no</v>
      </c>
    </row>
    <row r="214" spans="1:30" ht="19.5" hidden="1" customHeight="1" x14ac:dyDescent="0.25">
      <c r="A214" s="8" t="s">
        <v>1850</v>
      </c>
      <c r="B214" s="8" t="s">
        <v>1851</v>
      </c>
      <c r="C214" s="8">
        <v>30</v>
      </c>
      <c r="D214" s="151">
        <v>0</v>
      </c>
      <c r="E214" s="151"/>
      <c r="F214" s="24" t="s">
        <v>84</v>
      </c>
      <c r="G214" s="30">
        <v>45029</v>
      </c>
      <c r="H214" s="81" t="s">
        <v>525</v>
      </c>
      <c r="I214" s="30">
        <v>44942</v>
      </c>
      <c r="J214" s="16" t="s">
        <v>521</v>
      </c>
      <c r="K214" s="9" t="s">
        <v>1530</v>
      </c>
      <c r="L214" s="9"/>
      <c r="M214" s="152">
        <v>258684</v>
      </c>
      <c r="N214" s="153">
        <v>0</v>
      </c>
      <c r="O214" s="152">
        <v>0</v>
      </c>
      <c r="P214" s="154">
        <v>0</v>
      </c>
      <c r="Q214" s="152">
        <v>0</v>
      </c>
      <c r="R214" s="9">
        <v>258684</v>
      </c>
      <c r="S214" s="21" t="s">
        <v>1846</v>
      </c>
      <c r="T214" s="117">
        <v>0</v>
      </c>
      <c r="U214" s="117">
        <v>0</v>
      </c>
      <c r="V214" s="117">
        <v>2023</v>
      </c>
      <c r="W214" s="117">
        <v>6</v>
      </c>
      <c r="X214" s="117">
        <v>0</v>
      </c>
      <c r="Y214" s="117">
        <v>0</v>
      </c>
      <c r="Z214" s="21" t="b">
        <v>0</v>
      </c>
      <c r="AA214" s="162">
        <f>+$AD$5-Tabla2[[#This Row],[FECHA DE FACTURACIÓN]]</f>
        <v>501</v>
      </c>
      <c r="AB214" s="163" t="str">
        <f>+IF(Tabla2[[#This Row],[dias de credito]]&gt;=Tabla2[[#This Row],[PLAZO Días]],"venc", "No venc")</f>
        <v>venc</v>
      </c>
      <c r="AC214" s="163" t="str">
        <f>+IF(Tabla2[[#This Row],[FECHA DE PAGO]]&gt;0,"pagada","por pagar")</f>
        <v>pagada</v>
      </c>
      <c r="AD214" s="164" t="str">
        <f>+IF(AND(Tabla2[[#This Row],[venc]]="venc",Tabla2[[#This Row],[estado pago]]="por pagar"),"vencida","no")</f>
        <v>no</v>
      </c>
    </row>
    <row r="215" spans="1:30" ht="19.5" hidden="1" customHeight="1" x14ac:dyDescent="0.25">
      <c r="A215" s="8" t="s">
        <v>1850</v>
      </c>
      <c r="B215" s="8" t="s">
        <v>1851</v>
      </c>
      <c r="C215" s="8">
        <v>30</v>
      </c>
      <c r="D215" s="151">
        <v>134000</v>
      </c>
      <c r="E215" s="151"/>
      <c r="F215" s="24" t="s">
        <v>192</v>
      </c>
      <c r="G215" s="30">
        <v>45029</v>
      </c>
      <c r="H215" s="81" t="s">
        <v>1808</v>
      </c>
      <c r="I215" s="30">
        <v>44953</v>
      </c>
      <c r="J215" s="16" t="s">
        <v>532</v>
      </c>
      <c r="K215" s="9" t="s">
        <v>1530</v>
      </c>
      <c r="L215" s="9"/>
      <c r="M215" s="152">
        <v>1808800</v>
      </c>
      <c r="N215" s="153">
        <v>0</v>
      </c>
      <c r="O215" s="152">
        <v>0</v>
      </c>
      <c r="P215" s="154">
        <v>0</v>
      </c>
      <c r="Q215" s="152">
        <v>0</v>
      </c>
      <c r="R215" s="9">
        <v>1808800</v>
      </c>
      <c r="S215" s="21" t="s">
        <v>1846</v>
      </c>
      <c r="T215" s="117">
        <v>0</v>
      </c>
      <c r="U215" s="117">
        <v>0</v>
      </c>
      <c r="V215" s="117">
        <v>2023</v>
      </c>
      <c r="W215" s="117">
        <v>6</v>
      </c>
      <c r="X215" s="117">
        <v>0</v>
      </c>
      <c r="Y215" s="117">
        <v>0</v>
      </c>
      <c r="Z215" s="21" t="b">
        <v>0</v>
      </c>
      <c r="AA215" s="162">
        <f>+$AD$5-Tabla2[[#This Row],[FECHA DE FACTURACIÓN]]</f>
        <v>490</v>
      </c>
      <c r="AB215" s="163" t="str">
        <f>+IF(Tabla2[[#This Row],[dias de credito]]&gt;=Tabla2[[#This Row],[PLAZO Días]],"venc", "No venc")</f>
        <v>venc</v>
      </c>
      <c r="AC215" s="163" t="str">
        <f>+IF(Tabla2[[#This Row],[FECHA DE PAGO]]&gt;0,"pagada","por pagar")</f>
        <v>pagada</v>
      </c>
      <c r="AD215" s="164" t="str">
        <f>+IF(AND(Tabla2[[#This Row],[venc]]="venc",Tabla2[[#This Row],[estado pago]]="por pagar"),"vencida","no")</f>
        <v>no</v>
      </c>
    </row>
    <row r="216" spans="1:30" ht="19.5" hidden="1" customHeight="1" x14ac:dyDescent="0.25">
      <c r="A216" s="8" t="s">
        <v>1850</v>
      </c>
      <c r="B216" s="8" t="s">
        <v>1851</v>
      </c>
      <c r="C216" s="8">
        <v>30</v>
      </c>
      <c r="D216" s="151">
        <v>4316000</v>
      </c>
      <c r="E216" s="151"/>
      <c r="F216" s="24" t="s">
        <v>84</v>
      </c>
      <c r="G216" s="30">
        <v>45029</v>
      </c>
      <c r="H216" s="81" t="s">
        <v>1812</v>
      </c>
      <c r="I216" s="30">
        <v>44986</v>
      </c>
      <c r="J216" s="16" t="s">
        <v>656</v>
      </c>
      <c r="K216" s="9" t="s">
        <v>1530</v>
      </c>
      <c r="L216" s="9"/>
      <c r="M216" s="152">
        <v>764000</v>
      </c>
      <c r="N216" s="153">
        <v>0</v>
      </c>
      <c r="O216" s="152">
        <v>0</v>
      </c>
      <c r="P216" s="154">
        <v>0</v>
      </c>
      <c r="Q216" s="152">
        <v>0</v>
      </c>
      <c r="R216" s="9">
        <v>764000</v>
      </c>
      <c r="S216" s="21" t="s">
        <v>1846</v>
      </c>
      <c r="T216" s="117">
        <v>0</v>
      </c>
      <c r="U216" s="117">
        <v>0</v>
      </c>
      <c r="V216" s="117">
        <v>2023</v>
      </c>
      <c r="W216" s="117">
        <v>6</v>
      </c>
      <c r="X216" s="117">
        <v>0</v>
      </c>
      <c r="Y216" s="117">
        <v>0</v>
      </c>
      <c r="Z216" s="21" t="b">
        <v>0</v>
      </c>
      <c r="AA216" s="162">
        <f>+$AD$5-Tabla2[[#This Row],[FECHA DE FACTURACIÓN]]</f>
        <v>457</v>
      </c>
      <c r="AB216" s="163" t="str">
        <f>+IF(Tabla2[[#This Row],[dias de credito]]&gt;=Tabla2[[#This Row],[PLAZO Días]],"venc", "No venc")</f>
        <v>venc</v>
      </c>
      <c r="AC216" s="163" t="str">
        <f>+IF(Tabla2[[#This Row],[FECHA DE PAGO]]&gt;0,"pagada","por pagar")</f>
        <v>pagada</v>
      </c>
      <c r="AD216" s="164" t="str">
        <f>+IF(AND(Tabla2[[#This Row],[venc]]="venc",Tabla2[[#This Row],[estado pago]]="por pagar"),"vencida","no")</f>
        <v>no</v>
      </c>
    </row>
    <row r="217" spans="1:30" ht="19.5" hidden="1" customHeight="1" x14ac:dyDescent="0.25">
      <c r="A217" s="8" t="s">
        <v>1852</v>
      </c>
      <c r="B217" s="8" t="b">
        <v>0</v>
      </c>
      <c r="C217" s="8">
        <v>30</v>
      </c>
      <c r="D217" s="151">
        <v>0</v>
      </c>
      <c r="E217" s="151"/>
      <c r="F217" s="24">
        <v>0</v>
      </c>
      <c r="G217" s="30">
        <v>45029</v>
      </c>
      <c r="H217" s="81" t="s">
        <v>164</v>
      </c>
      <c r="I217" s="30">
        <v>45029</v>
      </c>
      <c r="J217" s="16" t="s">
        <v>733</v>
      </c>
      <c r="K217" s="9" t="s">
        <v>1530</v>
      </c>
      <c r="L217" s="9"/>
      <c r="M217" s="152">
        <v>175456</v>
      </c>
      <c r="N217" s="153">
        <v>33336.639999999999</v>
      </c>
      <c r="O217" s="152">
        <v>0</v>
      </c>
      <c r="P217" s="154">
        <v>0</v>
      </c>
      <c r="Q217" s="152">
        <v>0</v>
      </c>
      <c r="R217" s="9">
        <v>208792.64</v>
      </c>
      <c r="S217" s="21" t="s">
        <v>1846</v>
      </c>
      <c r="T217" s="117">
        <v>0</v>
      </c>
      <c r="U217" s="117" t="s">
        <v>347</v>
      </c>
      <c r="V217" s="117">
        <v>2023</v>
      </c>
      <c r="W217" s="117">
        <v>6</v>
      </c>
      <c r="X217" s="117">
        <v>1145000</v>
      </c>
      <c r="Y217" s="117">
        <v>2.5000000000000001E-2</v>
      </c>
      <c r="Z217" s="21" t="b">
        <v>0</v>
      </c>
      <c r="AA217" s="162">
        <f>+$AD$5-Tabla2[[#This Row],[FECHA DE FACTURACIÓN]]</f>
        <v>414</v>
      </c>
      <c r="AB217" s="163" t="str">
        <f>+IF(Tabla2[[#This Row],[dias de credito]]&gt;=Tabla2[[#This Row],[PLAZO Días]],"venc", "No venc")</f>
        <v>venc</v>
      </c>
      <c r="AC217" s="163" t="str">
        <f>+IF(Tabla2[[#This Row],[FECHA DE PAGO]]&gt;0,"pagada","por pagar")</f>
        <v>pagada</v>
      </c>
      <c r="AD217" s="164" t="str">
        <f>+IF(AND(Tabla2[[#This Row],[venc]]="venc",Tabla2[[#This Row],[estado pago]]="por pagar"),"vencida","no")</f>
        <v>no</v>
      </c>
    </row>
    <row r="218" spans="1:30" ht="19.5" hidden="1" customHeight="1" x14ac:dyDescent="0.25">
      <c r="A218" s="8" t="s">
        <v>1850</v>
      </c>
      <c r="B218" s="8" t="b">
        <v>0</v>
      </c>
      <c r="C218" s="8">
        <v>90</v>
      </c>
      <c r="D218" s="151">
        <v>0</v>
      </c>
      <c r="E218" s="151"/>
      <c r="F218" s="24" t="s">
        <v>205</v>
      </c>
      <c r="G218" s="30">
        <v>45030</v>
      </c>
      <c r="H218" s="81" t="s">
        <v>32</v>
      </c>
      <c r="I218" s="30">
        <v>44964</v>
      </c>
      <c r="J218" s="16" t="s">
        <v>565</v>
      </c>
      <c r="K218" s="9" t="s">
        <v>1530</v>
      </c>
      <c r="L218" s="9"/>
      <c r="M218" s="152">
        <v>8898000</v>
      </c>
      <c r="N218" s="153">
        <v>1690620</v>
      </c>
      <c r="O218" s="152">
        <v>0</v>
      </c>
      <c r="P218" s="154">
        <v>2.5000000000000001E-2</v>
      </c>
      <c r="Q218" s="152">
        <v>222450</v>
      </c>
      <c r="R218" s="9">
        <v>10366170</v>
      </c>
      <c r="S218" s="21" t="s">
        <v>1846</v>
      </c>
      <c r="T218" s="117">
        <v>0</v>
      </c>
      <c r="U218" s="117" t="s">
        <v>347</v>
      </c>
      <c r="V218" s="117">
        <v>2023</v>
      </c>
      <c r="W218" s="117">
        <v>6</v>
      </c>
      <c r="X218" s="117">
        <v>1145000</v>
      </c>
      <c r="Y218" s="117">
        <v>2.5000000000000001E-2</v>
      </c>
      <c r="Z218" s="21" t="b">
        <v>0</v>
      </c>
      <c r="AA218" s="162">
        <f>+$AD$5-Tabla2[[#This Row],[FECHA DE FACTURACIÓN]]</f>
        <v>479</v>
      </c>
      <c r="AB218" s="163" t="str">
        <f>+IF(Tabla2[[#This Row],[dias de credito]]&gt;=Tabla2[[#This Row],[PLAZO Días]],"venc", "No venc")</f>
        <v>venc</v>
      </c>
      <c r="AC218" s="163" t="str">
        <f>+IF(Tabla2[[#This Row],[FECHA DE PAGO]]&gt;0,"pagada","por pagar")</f>
        <v>pagada</v>
      </c>
      <c r="AD218" s="164" t="str">
        <f>+IF(AND(Tabla2[[#This Row],[venc]]="venc",Tabla2[[#This Row],[estado pago]]="por pagar"),"vencida","no")</f>
        <v>no</v>
      </c>
    </row>
    <row r="219" spans="1:30" ht="19.5" hidden="1" customHeight="1" x14ac:dyDescent="0.25">
      <c r="A219" s="8" t="s">
        <v>1850</v>
      </c>
      <c r="B219" s="8" t="s">
        <v>1851</v>
      </c>
      <c r="C219" s="8">
        <v>30</v>
      </c>
      <c r="D219" s="151">
        <v>0</v>
      </c>
      <c r="E219" s="151"/>
      <c r="F219" s="24" t="s">
        <v>84</v>
      </c>
      <c r="G219" s="30">
        <v>45030</v>
      </c>
      <c r="H219" s="81" t="s">
        <v>1811</v>
      </c>
      <c r="I219" s="30">
        <v>44978</v>
      </c>
      <c r="J219" s="16" t="s">
        <v>597</v>
      </c>
      <c r="K219" s="9" t="s">
        <v>1530</v>
      </c>
      <c r="L219" s="9"/>
      <c r="M219" s="152">
        <v>1395000</v>
      </c>
      <c r="N219" s="153">
        <v>0</v>
      </c>
      <c r="O219" s="152">
        <v>0</v>
      </c>
      <c r="P219" s="154">
        <v>0</v>
      </c>
      <c r="Q219" s="152">
        <v>0</v>
      </c>
      <c r="R219" s="9">
        <v>1395000</v>
      </c>
      <c r="S219" s="21" t="s">
        <v>1846</v>
      </c>
      <c r="T219" s="117">
        <v>0</v>
      </c>
      <c r="U219" s="117">
        <v>0</v>
      </c>
      <c r="V219" s="117">
        <v>2023</v>
      </c>
      <c r="W219" s="117">
        <v>6</v>
      </c>
      <c r="X219" s="117">
        <v>0</v>
      </c>
      <c r="Y219" s="117">
        <v>0</v>
      </c>
      <c r="Z219" s="21" t="b">
        <v>0</v>
      </c>
      <c r="AA219" s="162">
        <f>+$AD$5-Tabla2[[#This Row],[FECHA DE FACTURACIÓN]]</f>
        <v>465</v>
      </c>
      <c r="AB219" s="163" t="str">
        <f>+IF(Tabla2[[#This Row],[dias de credito]]&gt;=Tabla2[[#This Row],[PLAZO Días]],"venc", "No venc")</f>
        <v>venc</v>
      </c>
      <c r="AC219" s="163" t="str">
        <f>+IF(Tabla2[[#This Row],[FECHA DE PAGO]]&gt;0,"pagada","por pagar")</f>
        <v>pagada</v>
      </c>
      <c r="AD219" s="164" t="str">
        <f>+IF(AND(Tabla2[[#This Row],[venc]]="venc",Tabla2[[#This Row],[estado pago]]="por pagar"),"vencida","no")</f>
        <v>no</v>
      </c>
    </row>
    <row r="220" spans="1:30" ht="19.5" hidden="1" customHeight="1" x14ac:dyDescent="0.25">
      <c r="A220" s="8" t="s">
        <v>1850</v>
      </c>
      <c r="B220" s="8" t="b">
        <v>0</v>
      </c>
      <c r="C220" s="8">
        <v>30</v>
      </c>
      <c r="D220" s="151">
        <v>0</v>
      </c>
      <c r="E220" s="151"/>
      <c r="F220" s="24" t="s">
        <v>1447</v>
      </c>
      <c r="G220" s="30">
        <v>45030</v>
      </c>
      <c r="H220" s="81" t="s">
        <v>373</v>
      </c>
      <c r="I220" s="30">
        <v>45019</v>
      </c>
      <c r="J220" s="16" t="s">
        <v>687</v>
      </c>
      <c r="K220" s="9" t="s">
        <v>1530</v>
      </c>
      <c r="L220" s="9"/>
      <c r="M220" s="152">
        <v>1840056</v>
      </c>
      <c r="N220" s="153">
        <v>0</v>
      </c>
      <c r="O220" s="152">
        <v>0</v>
      </c>
      <c r="P220" s="154">
        <v>0</v>
      </c>
      <c r="Q220" s="152">
        <v>0</v>
      </c>
      <c r="R220" s="9">
        <v>1840056</v>
      </c>
      <c r="S220" s="21" t="s">
        <v>1846</v>
      </c>
      <c r="T220" s="117">
        <v>0</v>
      </c>
      <c r="U220" s="117">
        <v>0</v>
      </c>
      <c r="V220" s="117">
        <v>2023</v>
      </c>
      <c r="W220" s="117">
        <v>6</v>
      </c>
      <c r="X220" s="117">
        <v>0</v>
      </c>
      <c r="Y220" s="117">
        <v>0</v>
      </c>
      <c r="Z220" s="21" t="b">
        <v>1</v>
      </c>
      <c r="AA220" s="162">
        <f>+$AD$5-Tabla2[[#This Row],[FECHA DE FACTURACIÓN]]</f>
        <v>424</v>
      </c>
      <c r="AB220" s="163" t="str">
        <f>+IF(Tabla2[[#This Row],[dias de credito]]&gt;=Tabla2[[#This Row],[PLAZO Días]],"venc", "No venc")</f>
        <v>venc</v>
      </c>
      <c r="AC220" s="163" t="str">
        <f>+IF(Tabla2[[#This Row],[FECHA DE PAGO]]&gt;0,"pagada","por pagar")</f>
        <v>pagada</v>
      </c>
      <c r="AD220" s="164" t="str">
        <f>+IF(AND(Tabla2[[#This Row],[venc]]="venc",Tabla2[[#This Row],[estado pago]]="por pagar"),"vencida","no")</f>
        <v>no</v>
      </c>
    </row>
    <row r="221" spans="1:30" ht="19.5" hidden="1" customHeight="1" x14ac:dyDescent="0.25">
      <c r="A221" s="8" t="s">
        <v>1850</v>
      </c>
      <c r="B221" s="8" t="b">
        <v>0</v>
      </c>
      <c r="C221" s="8">
        <v>30</v>
      </c>
      <c r="D221" s="151">
        <v>0</v>
      </c>
      <c r="E221" s="151"/>
      <c r="F221" s="24" t="s">
        <v>84</v>
      </c>
      <c r="G221" s="30">
        <v>45030</v>
      </c>
      <c r="H221" s="81" t="s">
        <v>481</v>
      </c>
      <c r="I221" s="30">
        <v>45029</v>
      </c>
      <c r="J221" s="16" t="s">
        <v>728</v>
      </c>
      <c r="K221" s="9" t="s">
        <v>1530</v>
      </c>
      <c r="L221" s="9"/>
      <c r="M221" s="152">
        <v>2877000</v>
      </c>
      <c r="N221" s="153">
        <v>0</v>
      </c>
      <c r="O221" s="152">
        <v>0</v>
      </c>
      <c r="P221" s="154">
        <v>0</v>
      </c>
      <c r="Q221" s="152">
        <v>0</v>
      </c>
      <c r="R221" s="9">
        <v>2877000</v>
      </c>
      <c r="S221" s="21" t="s">
        <v>1846</v>
      </c>
      <c r="T221" s="117">
        <v>0</v>
      </c>
      <c r="U221" s="117">
        <v>0</v>
      </c>
      <c r="V221" s="117">
        <v>2023</v>
      </c>
      <c r="W221" s="117">
        <v>6</v>
      </c>
      <c r="X221" s="117">
        <v>0</v>
      </c>
      <c r="Y221" s="117">
        <v>0</v>
      </c>
      <c r="Z221" s="21" t="b">
        <v>0</v>
      </c>
      <c r="AA221" s="162">
        <f>+$AD$5-Tabla2[[#This Row],[FECHA DE FACTURACIÓN]]</f>
        <v>414</v>
      </c>
      <c r="AB221" s="163" t="str">
        <f>+IF(Tabla2[[#This Row],[dias de credito]]&gt;=Tabla2[[#This Row],[PLAZO Días]],"venc", "No venc")</f>
        <v>venc</v>
      </c>
      <c r="AC221" s="163" t="str">
        <f>+IF(Tabla2[[#This Row],[FECHA DE PAGO]]&gt;0,"pagada","por pagar")</f>
        <v>pagada</v>
      </c>
      <c r="AD221" s="164" t="str">
        <f>+IF(AND(Tabla2[[#This Row],[venc]]="venc",Tabla2[[#This Row],[estado pago]]="por pagar"),"vencida","no")</f>
        <v>no</v>
      </c>
    </row>
    <row r="222" spans="1:30" ht="19.5" hidden="1" customHeight="1" x14ac:dyDescent="0.25">
      <c r="A222" s="8" t="s">
        <v>1852</v>
      </c>
      <c r="B222" s="8" t="b">
        <v>0</v>
      </c>
      <c r="C222" s="8">
        <v>30</v>
      </c>
      <c r="D222" s="151">
        <v>134000</v>
      </c>
      <c r="E222" s="151"/>
      <c r="F222" s="24" t="s">
        <v>192</v>
      </c>
      <c r="G222" s="30">
        <v>45030</v>
      </c>
      <c r="H222" s="81" t="s">
        <v>1808</v>
      </c>
      <c r="I222" s="30">
        <v>45030</v>
      </c>
      <c r="J222" s="16" t="s">
        <v>1047</v>
      </c>
      <c r="K222" s="9" t="s">
        <v>1530</v>
      </c>
      <c r="L222" s="9"/>
      <c r="M222" s="152">
        <v>89000</v>
      </c>
      <c r="N222" s="153">
        <v>0</v>
      </c>
      <c r="O222" s="152">
        <v>0</v>
      </c>
      <c r="P222" s="154">
        <v>0</v>
      </c>
      <c r="Q222" s="152">
        <v>0</v>
      </c>
      <c r="R222" s="9">
        <v>89000</v>
      </c>
      <c r="S222" s="21" t="s">
        <v>1846</v>
      </c>
      <c r="T222" s="117">
        <v>0</v>
      </c>
      <c r="U222" s="117">
        <v>0</v>
      </c>
      <c r="V222" s="117">
        <v>2023</v>
      </c>
      <c r="W222" s="117">
        <v>6</v>
      </c>
      <c r="X222" s="117">
        <v>0</v>
      </c>
      <c r="Y222" s="117">
        <v>0</v>
      </c>
      <c r="Z222" s="21" t="b">
        <v>0</v>
      </c>
      <c r="AA222" s="162">
        <f>+$AD$5-Tabla2[[#This Row],[FECHA DE FACTURACIÓN]]</f>
        <v>413</v>
      </c>
      <c r="AB222" s="163" t="str">
        <f>+IF(Tabla2[[#This Row],[dias de credito]]&gt;=Tabla2[[#This Row],[PLAZO Días]],"venc", "No venc")</f>
        <v>venc</v>
      </c>
      <c r="AC222" s="163" t="str">
        <f>+IF(Tabla2[[#This Row],[FECHA DE PAGO]]&gt;0,"pagada","por pagar")</f>
        <v>pagada</v>
      </c>
      <c r="AD222" s="164" t="str">
        <f>+IF(AND(Tabla2[[#This Row],[venc]]="venc",Tabla2[[#This Row],[estado pago]]="por pagar"),"vencida","no")</f>
        <v>no</v>
      </c>
    </row>
    <row r="223" spans="1:30" ht="19.5" hidden="1" customHeight="1" x14ac:dyDescent="0.25">
      <c r="A223" s="8" t="s">
        <v>1852</v>
      </c>
      <c r="B223" s="8" t="b">
        <v>0</v>
      </c>
      <c r="C223" s="8">
        <v>30</v>
      </c>
      <c r="D223" s="151">
        <v>0</v>
      </c>
      <c r="E223" s="151"/>
      <c r="F223" s="24" t="s">
        <v>84</v>
      </c>
      <c r="G223" s="30">
        <v>45030</v>
      </c>
      <c r="H223" s="81" t="s">
        <v>525</v>
      </c>
      <c r="I223" s="30">
        <v>45030</v>
      </c>
      <c r="J223" s="16" t="s">
        <v>722</v>
      </c>
      <c r="K223" s="9" t="s">
        <v>1530</v>
      </c>
      <c r="L223" s="9"/>
      <c r="M223" s="152">
        <v>90000</v>
      </c>
      <c r="N223" s="153">
        <v>0</v>
      </c>
      <c r="O223" s="152">
        <v>0</v>
      </c>
      <c r="P223" s="154">
        <v>0</v>
      </c>
      <c r="Q223" s="152">
        <v>0</v>
      </c>
      <c r="R223" s="9">
        <v>90000</v>
      </c>
      <c r="S223" s="21" t="s">
        <v>1846</v>
      </c>
      <c r="T223" s="117">
        <v>0</v>
      </c>
      <c r="U223" s="117">
        <v>0</v>
      </c>
      <c r="V223" s="117">
        <v>2023</v>
      </c>
      <c r="W223" s="117">
        <v>6</v>
      </c>
      <c r="X223" s="117">
        <v>0</v>
      </c>
      <c r="Y223" s="117">
        <v>0</v>
      </c>
      <c r="Z223" s="21" t="b">
        <v>0</v>
      </c>
      <c r="AA223" s="162">
        <f>+$AD$5-Tabla2[[#This Row],[FECHA DE FACTURACIÓN]]</f>
        <v>413</v>
      </c>
      <c r="AB223" s="163" t="str">
        <f>+IF(Tabla2[[#This Row],[dias de credito]]&gt;=Tabla2[[#This Row],[PLAZO Días]],"venc", "No venc")</f>
        <v>venc</v>
      </c>
      <c r="AC223" s="163" t="str">
        <f>+IF(Tabla2[[#This Row],[FECHA DE PAGO]]&gt;0,"pagada","por pagar")</f>
        <v>pagada</v>
      </c>
      <c r="AD223" s="164" t="str">
        <f>+IF(AND(Tabla2[[#This Row],[venc]]="venc",Tabla2[[#This Row],[estado pago]]="por pagar"),"vencida","no")</f>
        <v>no</v>
      </c>
    </row>
    <row r="224" spans="1:30" ht="19.5" hidden="1" customHeight="1" x14ac:dyDescent="0.25">
      <c r="A224" s="8" t="s">
        <v>1850</v>
      </c>
      <c r="B224" s="8" t="s">
        <v>1851</v>
      </c>
      <c r="C224" s="8">
        <v>30</v>
      </c>
      <c r="D224" s="151">
        <v>0</v>
      </c>
      <c r="E224" s="151"/>
      <c r="F224" s="24" t="s">
        <v>1497</v>
      </c>
      <c r="G224" s="30">
        <v>45031</v>
      </c>
      <c r="H224" s="81" t="s">
        <v>1865</v>
      </c>
      <c r="I224" s="30">
        <v>44957</v>
      </c>
      <c r="J224" s="16">
        <v>532</v>
      </c>
      <c r="K224" s="9" t="s">
        <v>1530</v>
      </c>
      <c r="L224" s="9"/>
      <c r="M224" s="152">
        <v>67538</v>
      </c>
      <c r="N224" s="153">
        <v>0</v>
      </c>
      <c r="O224" s="152">
        <v>0</v>
      </c>
      <c r="P224" s="154">
        <v>0</v>
      </c>
      <c r="Q224" s="152">
        <v>0</v>
      </c>
      <c r="R224" s="9">
        <v>67538</v>
      </c>
      <c r="S224" s="21" t="s">
        <v>1846</v>
      </c>
      <c r="T224" s="117">
        <v>0</v>
      </c>
      <c r="U224" s="117">
        <v>0</v>
      </c>
      <c r="V224" s="117">
        <v>2023</v>
      </c>
      <c r="W224" s="117">
        <v>6</v>
      </c>
      <c r="X224" s="117">
        <v>0</v>
      </c>
      <c r="Y224" s="117">
        <v>0</v>
      </c>
      <c r="Z224" s="21" t="b">
        <v>0</v>
      </c>
      <c r="AA224" s="162">
        <f>+$AD$5-Tabla2[[#This Row],[FECHA DE FACTURACIÓN]]</f>
        <v>486</v>
      </c>
      <c r="AB224" s="163" t="str">
        <f>+IF(Tabla2[[#This Row],[dias de credito]]&gt;=Tabla2[[#This Row],[PLAZO Días]],"venc", "No venc")</f>
        <v>venc</v>
      </c>
      <c r="AC224" s="163" t="str">
        <f>+IF(Tabla2[[#This Row],[FECHA DE PAGO]]&gt;0,"pagada","por pagar")</f>
        <v>pagada</v>
      </c>
      <c r="AD224" s="164" t="str">
        <f>+IF(AND(Tabla2[[#This Row],[venc]]="venc",Tabla2[[#This Row],[estado pago]]="por pagar"),"vencida","no")</f>
        <v>no</v>
      </c>
    </row>
    <row r="225" spans="1:30" ht="19.5" hidden="1" customHeight="1" x14ac:dyDescent="0.25">
      <c r="A225" s="8" t="s">
        <v>1850</v>
      </c>
      <c r="B225" s="8" t="b">
        <v>0</v>
      </c>
      <c r="C225" s="8">
        <v>30</v>
      </c>
      <c r="D225" s="151">
        <v>0</v>
      </c>
      <c r="E225" s="151"/>
      <c r="F225" s="24" t="s">
        <v>1497</v>
      </c>
      <c r="G225" s="30">
        <v>45031</v>
      </c>
      <c r="H225" s="81" t="s">
        <v>1865</v>
      </c>
      <c r="I225" s="30">
        <v>45008</v>
      </c>
      <c r="J225" s="16">
        <v>559</v>
      </c>
      <c r="K225" s="9" t="s">
        <v>1530</v>
      </c>
      <c r="L225" s="9"/>
      <c r="M225" s="152">
        <v>0</v>
      </c>
      <c r="N225" s="153">
        <v>0</v>
      </c>
      <c r="O225" s="152">
        <v>0</v>
      </c>
      <c r="P225" s="154">
        <v>0</v>
      </c>
      <c r="Q225" s="152">
        <v>0</v>
      </c>
      <c r="R225" s="9">
        <v>0</v>
      </c>
      <c r="S225" s="21" t="s">
        <v>1846</v>
      </c>
      <c r="T225" s="117">
        <v>0</v>
      </c>
      <c r="U225" s="117">
        <v>0</v>
      </c>
      <c r="V225" s="117">
        <v>2023</v>
      </c>
      <c r="W225" s="117">
        <v>6</v>
      </c>
      <c r="X225" s="117">
        <v>0</v>
      </c>
      <c r="Y225" s="117">
        <v>0</v>
      </c>
      <c r="Z225" s="21" t="b">
        <v>0</v>
      </c>
      <c r="AA225" s="162">
        <f>+$AD$5-Tabla2[[#This Row],[FECHA DE FACTURACIÓN]]</f>
        <v>435</v>
      </c>
      <c r="AB225" s="163" t="str">
        <f>+IF(Tabla2[[#This Row],[dias de credito]]&gt;=Tabla2[[#This Row],[PLAZO Días]],"venc", "No venc")</f>
        <v>venc</v>
      </c>
      <c r="AC225" s="163" t="str">
        <f>+IF(Tabla2[[#This Row],[FECHA DE PAGO]]&gt;0,"pagada","por pagar")</f>
        <v>pagada</v>
      </c>
      <c r="AD225" s="164" t="str">
        <f>+IF(AND(Tabla2[[#This Row],[venc]]="venc",Tabla2[[#This Row],[estado pago]]="por pagar"),"vencida","no")</f>
        <v>no</v>
      </c>
    </row>
    <row r="226" spans="1:30" ht="19.5" hidden="1" customHeight="1" x14ac:dyDescent="0.25">
      <c r="A226" s="8" t="s">
        <v>1850</v>
      </c>
      <c r="B226" s="8" t="b">
        <v>0</v>
      </c>
      <c r="C226" s="8">
        <v>30</v>
      </c>
      <c r="D226" s="151">
        <v>0</v>
      </c>
      <c r="E226" s="151"/>
      <c r="F226" s="24" t="s">
        <v>1497</v>
      </c>
      <c r="G226" s="30">
        <v>45031</v>
      </c>
      <c r="H226" s="81" t="s">
        <v>1865</v>
      </c>
      <c r="I226" s="30">
        <v>45009</v>
      </c>
      <c r="J226" s="16">
        <v>560</v>
      </c>
      <c r="K226" s="9" t="s">
        <v>1530</v>
      </c>
      <c r="L226" s="9"/>
      <c r="M226" s="152">
        <v>32039</v>
      </c>
      <c r="N226" s="153">
        <v>0</v>
      </c>
      <c r="O226" s="152">
        <v>0</v>
      </c>
      <c r="P226" s="154">
        <v>0</v>
      </c>
      <c r="Q226" s="152">
        <v>0</v>
      </c>
      <c r="R226" s="9">
        <v>32039</v>
      </c>
      <c r="S226" s="21" t="s">
        <v>1846</v>
      </c>
      <c r="T226" s="117">
        <v>0</v>
      </c>
      <c r="U226" s="117">
        <v>0</v>
      </c>
      <c r="V226" s="117">
        <v>2023</v>
      </c>
      <c r="W226" s="117">
        <v>6</v>
      </c>
      <c r="X226" s="117">
        <v>0</v>
      </c>
      <c r="Y226" s="117">
        <v>0</v>
      </c>
      <c r="Z226" s="21" t="b">
        <v>0</v>
      </c>
      <c r="AA226" s="162">
        <f>+$AD$5-Tabla2[[#This Row],[FECHA DE FACTURACIÓN]]</f>
        <v>434</v>
      </c>
      <c r="AB226" s="163" t="str">
        <f>+IF(Tabla2[[#This Row],[dias de credito]]&gt;=Tabla2[[#This Row],[PLAZO Días]],"venc", "No venc")</f>
        <v>venc</v>
      </c>
      <c r="AC226" s="163" t="str">
        <f>+IF(Tabla2[[#This Row],[FECHA DE PAGO]]&gt;0,"pagada","por pagar")</f>
        <v>pagada</v>
      </c>
      <c r="AD226" s="164" t="str">
        <f>+IF(AND(Tabla2[[#This Row],[venc]]="venc",Tabla2[[#This Row],[estado pago]]="por pagar"),"vencida","no")</f>
        <v>no</v>
      </c>
    </row>
    <row r="227" spans="1:30" ht="19.5" hidden="1" customHeight="1" x14ac:dyDescent="0.25">
      <c r="A227" s="8" t="s">
        <v>1850</v>
      </c>
      <c r="B227" s="8" t="b">
        <v>0</v>
      </c>
      <c r="C227" s="8">
        <v>30</v>
      </c>
      <c r="D227" s="151">
        <v>0</v>
      </c>
      <c r="E227" s="151"/>
      <c r="F227" s="24" t="s">
        <v>1497</v>
      </c>
      <c r="G227" s="30">
        <v>45031</v>
      </c>
      <c r="H227" s="81" t="s">
        <v>1865</v>
      </c>
      <c r="I227" s="30">
        <v>45022</v>
      </c>
      <c r="J227" s="16" t="s">
        <v>491</v>
      </c>
      <c r="K227" s="9" t="s">
        <v>1530</v>
      </c>
      <c r="L227" s="9"/>
      <c r="M227" s="152">
        <v>-1008779</v>
      </c>
      <c r="N227" s="153">
        <v>0</v>
      </c>
      <c r="O227" s="152">
        <v>0</v>
      </c>
      <c r="P227" s="154">
        <v>0</v>
      </c>
      <c r="Q227" s="152">
        <v>0</v>
      </c>
      <c r="R227" s="9">
        <v>-1008779</v>
      </c>
      <c r="S227" s="21" t="s">
        <v>1846</v>
      </c>
      <c r="T227" s="117">
        <v>0</v>
      </c>
      <c r="U227" s="117">
        <v>0</v>
      </c>
      <c r="V227" s="117">
        <v>2023</v>
      </c>
      <c r="W227" s="117">
        <v>6</v>
      </c>
      <c r="X227" s="117">
        <v>0</v>
      </c>
      <c r="Y227" s="117">
        <v>0</v>
      </c>
      <c r="Z227" s="21" t="b">
        <v>0</v>
      </c>
      <c r="AA227" s="162">
        <f>+$AD$5-Tabla2[[#This Row],[FECHA DE FACTURACIÓN]]</f>
        <v>421</v>
      </c>
      <c r="AB227" s="163" t="str">
        <f>+IF(Tabla2[[#This Row],[dias de credito]]&gt;=Tabla2[[#This Row],[PLAZO Días]],"venc", "No venc")</f>
        <v>venc</v>
      </c>
      <c r="AC227" s="163" t="str">
        <f>+IF(Tabla2[[#This Row],[FECHA DE PAGO]]&gt;0,"pagada","por pagar")</f>
        <v>pagada</v>
      </c>
      <c r="AD227" s="164" t="str">
        <f>+IF(AND(Tabla2[[#This Row],[venc]]="venc",Tabla2[[#This Row],[estado pago]]="por pagar"),"vencida","no")</f>
        <v>no</v>
      </c>
    </row>
    <row r="228" spans="1:30" ht="19.5" hidden="1" customHeight="1" x14ac:dyDescent="0.25">
      <c r="A228" s="8" t="s">
        <v>1850</v>
      </c>
      <c r="B228" s="8" t="b">
        <v>0</v>
      </c>
      <c r="C228" s="8">
        <v>30</v>
      </c>
      <c r="D228" s="151">
        <v>0</v>
      </c>
      <c r="E228" s="151"/>
      <c r="F228" s="24" t="s">
        <v>1614</v>
      </c>
      <c r="G228" s="30">
        <v>45031</v>
      </c>
      <c r="H228" s="81" t="s">
        <v>1863</v>
      </c>
      <c r="I228" s="30">
        <v>45026</v>
      </c>
      <c r="J228" s="16" t="s">
        <v>689</v>
      </c>
      <c r="K228" s="9" t="s">
        <v>1530</v>
      </c>
      <c r="L228" s="9"/>
      <c r="M228" s="152">
        <v>0</v>
      </c>
      <c r="N228" s="153">
        <v>0</v>
      </c>
      <c r="O228" s="152">
        <v>0</v>
      </c>
      <c r="P228" s="154">
        <v>0</v>
      </c>
      <c r="Q228" s="152">
        <v>0</v>
      </c>
      <c r="R228" s="9">
        <v>0</v>
      </c>
      <c r="S228" s="21" t="s">
        <v>1846</v>
      </c>
      <c r="T228" s="117">
        <v>0</v>
      </c>
      <c r="U228" s="117">
        <v>0</v>
      </c>
      <c r="V228" s="117">
        <v>2023</v>
      </c>
      <c r="W228" s="117">
        <v>6</v>
      </c>
      <c r="X228" s="117">
        <v>0</v>
      </c>
      <c r="Y228" s="117">
        <v>0</v>
      </c>
      <c r="Z228" s="21" t="b">
        <v>0</v>
      </c>
      <c r="AA228" s="162">
        <f>+$AD$5-Tabla2[[#This Row],[FECHA DE FACTURACIÓN]]</f>
        <v>417</v>
      </c>
      <c r="AB228" s="163" t="str">
        <f>+IF(Tabla2[[#This Row],[dias de credito]]&gt;=Tabla2[[#This Row],[PLAZO Días]],"venc", "No venc")</f>
        <v>venc</v>
      </c>
      <c r="AC228" s="163" t="str">
        <f>+IF(Tabla2[[#This Row],[FECHA DE PAGO]]&gt;0,"pagada","por pagar")</f>
        <v>pagada</v>
      </c>
      <c r="AD228" s="164" t="str">
        <f>+IF(AND(Tabla2[[#This Row],[venc]]="venc",Tabla2[[#This Row],[estado pago]]="por pagar"),"vencida","no")</f>
        <v>no</v>
      </c>
    </row>
    <row r="229" spans="1:30" ht="19.5" hidden="1" customHeight="1" x14ac:dyDescent="0.25">
      <c r="A229" s="8" t="s">
        <v>1850</v>
      </c>
      <c r="B229" s="8" t="b">
        <v>0</v>
      </c>
      <c r="C229" s="8">
        <v>30</v>
      </c>
      <c r="D229" s="151">
        <v>0</v>
      </c>
      <c r="E229" s="151"/>
      <c r="F229" s="24" t="s">
        <v>1614</v>
      </c>
      <c r="G229" s="30">
        <v>45031</v>
      </c>
      <c r="H229" s="81" t="s">
        <v>1863</v>
      </c>
      <c r="I229" s="30">
        <v>45026</v>
      </c>
      <c r="J229" s="16" t="s">
        <v>690</v>
      </c>
      <c r="K229" s="9" t="s">
        <v>1530</v>
      </c>
      <c r="L229" s="9"/>
      <c r="M229" s="152">
        <v>16984</v>
      </c>
      <c r="N229" s="153">
        <v>0</v>
      </c>
      <c r="O229" s="152">
        <v>0</v>
      </c>
      <c r="P229" s="154">
        <v>0</v>
      </c>
      <c r="Q229" s="152">
        <v>0</v>
      </c>
      <c r="R229" s="9">
        <v>16984</v>
      </c>
      <c r="S229" s="21" t="s">
        <v>1846</v>
      </c>
      <c r="T229" s="117">
        <v>0</v>
      </c>
      <c r="U229" s="117">
        <v>0</v>
      </c>
      <c r="V229" s="117">
        <v>2023</v>
      </c>
      <c r="W229" s="117">
        <v>6</v>
      </c>
      <c r="X229" s="117">
        <v>0</v>
      </c>
      <c r="Y229" s="117">
        <v>0</v>
      </c>
      <c r="Z229" s="21" t="b">
        <v>0</v>
      </c>
      <c r="AA229" s="162">
        <f>+$AD$5-Tabla2[[#This Row],[FECHA DE FACTURACIÓN]]</f>
        <v>417</v>
      </c>
      <c r="AB229" s="163" t="str">
        <f>+IF(Tabla2[[#This Row],[dias de credito]]&gt;=Tabla2[[#This Row],[PLAZO Días]],"venc", "No venc")</f>
        <v>venc</v>
      </c>
      <c r="AC229" s="163" t="str">
        <f>+IF(Tabla2[[#This Row],[FECHA DE PAGO]]&gt;0,"pagada","por pagar")</f>
        <v>pagada</v>
      </c>
      <c r="AD229" s="164" t="str">
        <f>+IF(AND(Tabla2[[#This Row],[venc]]="venc",Tabla2[[#This Row],[estado pago]]="por pagar"),"vencida","no")</f>
        <v>no</v>
      </c>
    </row>
    <row r="230" spans="1:30" ht="19.5" hidden="1" customHeight="1" x14ac:dyDescent="0.25">
      <c r="A230" s="8" t="s">
        <v>1850</v>
      </c>
      <c r="B230" s="8" t="b">
        <v>0</v>
      </c>
      <c r="C230" s="8">
        <v>30</v>
      </c>
      <c r="D230" s="151">
        <v>0</v>
      </c>
      <c r="E230" s="151"/>
      <c r="F230" s="24" t="s">
        <v>1497</v>
      </c>
      <c r="G230" s="30">
        <v>45031</v>
      </c>
      <c r="H230" s="81" t="s">
        <v>1865</v>
      </c>
      <c r="I230" s="30">
        <v>45027</v>
      </c>
      <c r="J230" s="16" t="s">
        <v>680</v>
      </c>
      <c r="K230" s="9" t="s">
        <v>1530</v>
      </c>
      <c r="L230" s="9"/>
      <c r="M230" s="152">
        <v>0</v>
      </c>
      <c r="N230" s="153">
        <v>0</v>
      </c>
      <c r="O230" s="152">
        <v>0</v>
      </c>
      <c r="P230" s="154">
        <v>0</v>
      </c>
      <c r="Q230" s="152">
        <v>0</v>
      </c>
      <c r="R230" s="9">
        <v>0</v>
      </c>
      <c r="S230" s="21" t="s">
        <v>1846</v>
      </c>
      <c r="T230" s="117">
        <v>0</v>
      </c>
      <c r="U230" s="117">
        <v>0</v>
      </c>
      <c r="V230" s="117">
        <v>2023</v>
      </c>
      <c r="W230" s="117">
        <v>6</v>
      </c>
      <c r="X230" s="117">
        <v>0</v>
      </c>
      <c r="Y230" s="117">
        <v>0</v>
      </c>
      <c r="Z230" s="21" t="b">
        <v>0</v>
      </c>
      <c r="AA230" s="162">
        <f>+$AD$5-Tabla2[[#This Row],[FECHA DE FACTURACIÓN]]</f>
        <v>416</v>
      </c>
      <c r="AB230" s="163" t="str">
        <f>+IF(Tabla2[[#This Row],[dias de credito]]&gt;=Tabla2[[#This Row],[PLAZO Días]],"venc", "No venc")</f>
        <v>venc</v>
      </c>
      <c r="AC230" s="163" t="str">
        <f>+IF(Tabla2[[#This Row],[FECHA DE PAGO]]&gt;0,"pagada","por pagar")</f>
        <v>pagada</v>
      </c>
      <c r="AD230" s="164" t="str">
        <f>+IF(AND(Tabla2[[#This Row],[venc]]="venc",Tabla2[[#This Row],[estado pago]]="por pagar"),"vencida","no")</f>
        <v>no</v>
      </c>
    </row>
    <row r="231" spans="1:30" ht="19.5" hidden="1" customHeight="1" x14ac:dyDescent="0.25">
      <c r="A231" s="8" t="s">
        <v>1850</v>
      </c>
      <c r="B231" s="8" t="b">
        <v>0</v>
      </c>
      <c r="C231" s="8">
        <v>30</v>
      </c>
      <c r="D231" s="151">
        <v>0</v>
      </c>
      <c r="E231" s="151"/>
      <c r="F231" s="24" t="s">
        <v>1497</v>
      </c>
      <c r="G231" s="30">
        <v>45031</v>
      </c>
      <c r="H231" s="81" t="s">
        <v>1865</v>
      </c>
      <c r="I231" s="30">
        <v>45027</v>
      </c>
      <c r="J231" s="16" t="s">
        <v>681</v>
      </c>
      <c r="K231" s="9" t="s">
        <v>1530</v>
      </c>
      <c r="L231" s="9"/>
      <c r="M231" s="152">
        <v>146984</v>
      </c>
      <c r="N231" s="153">
        <v>0</v>
      </c>
      <c r="O231" s="152">
        <v>0</v>
      </c>
      <c r="P231" s="154">
        <v>0</v>
      </c>
      <c r="Q231" s="152">
        <v>0</v>
      </c>
      <c r="R231" s="9">
        <v>146984</v>
      </c>
      <c r="S231" s="21" t="s">
        <v>1846</v>
      </c>
      <c r="T231" s="117">
        <v>0</v>
      </c>
      <c r="U231" s="117">
        <v>0</v>
      </c>
      <c r="V231" s="117">
        <v>2023</v>
      </c>
      <c r="W231" s="117">
        <v>6</v>
      </c>
      <c r="X231" s="117">
        <v>0</v>
      </c>
      <c r="Y231" s="117">
        <v>0</v>
      </c>
      <c r="Z231" s="21" t="b">
        <v>0</v>
      </c>
      <c r="AA231" s="162">
        <f>+$AD$5-Tabla2[[#This Row],[FECHA DE FACTURACIÓN]]</f>
        <v>416</v>
      </c>
      <c r="AB231" s="163" t="str">
        <f>+IF(Tabla2[[#This Row],[dias de credito]]&gt;=Tabla2[[#This Row],[PLAZO Días]],"venc", "No venc")</f>
        <v>venc</v>
      </c>
      <c r="AC231" s="163" t="str">
        <f>+IF(Tabla2[[#This Row],[FECHA DE PAGO]]&gt;0,"pagada","por pagar")</f>
        <v>pagada</v>
      </c>
      <c r="AD231" s="164" t="str">
        <f>+IF(AND(Tabla2[[#This Row],[venc]]="venc",Tabla2[[#This Row],[estado pago]]="por pagar"),"vencida","no")</f>
        <v>no</v>
      </c>
    </row>
    <row r="232" spans="1:30" ht="19.5" hidden="1" customHeight="1" x14ac:dyDescent="0.25">
      <c r="A232" s="8" t="s">
        <v>1850</v>
      </c>
      <c r="B232" s="8" t="b">
        <v>0</v>
      </c>
      <c r="C232" s="8">
        <v>30</v>
      </c>
      <c r="D232" s="151">
        <v>0</v>
      </c>
      <c r="E232" s="151"/>
      <c r="F232" s="24" t="s">
        <v>84</v>
      </c>
      <c r="G232" s="30">
        <v>45031</v>
      </c>
      <c r="H232" s="81" t="s">
        <v>1803</v>
      </c>
      <c r="I232" s="30">
        <v>45030</v>
      </c>
      <c r="J232" s="16">
        <v>681860</v>
      </c>
      <c r="K232" s="9" t="s">
        <v>1530</v>
      </c>
      <c r="L232" s="9"/>
      <c r="M232" s="152">
        <v>3556280</v>
      </c>
      <c r="N232" s="153">
        <v>0</v>
      </c>
      <c r="O232" s="152">
        <v>0</v>
      </c>
      <c r="P232" s="154">
        <v>0</v>
      </c>
      <c r="Q232" s="152">
        <v>0</v>
      </c>
      <c r="R232" s="9">
        <v>3556280</v>
      </c>
      <c r="S232" s="21" t="s">
        <v>1846</v>
      </c>
      <c r="T232" s="117">
        <v>0</v>
      </c>
      <c r="U232" s="117">
        <v>0</v>
      </c>
      <c r="V232" s="117">
        <v>2023</v>
      </c>
      <c r="W232" s="117">
        <v>6</v>
      </c>
      <c r="X232" s="117">
        <v>0</v>
      </c>
      <c r="Y232" s="117">
        <v>0</v>
      </c>
      <c r="Z232" s="21" t="b">
        <v>0</v>
      </c>
      <c r="AA232" s="162">
        <f>+$AD$5-Tabla2[[#This Row],[FECHA DE FACTURACIÓN]]</f>
        <v>413</v>
      </c>
      <c r="AB232" s="163" t="str">
        <f>+IF(Tabla2[[#This Row],[dias de credito]]&gt;=Tabla2[[#This Row],[PLAZO Días]],"venc", "No venc")</f>
        <v>venc</v>
      </c>
      <c r="AC232" s="163" t="str">
        <f>+IF(Tabla2[[#This Row],[FECHA DE PAGO]]&gt;0,"pagada","por pagar")</f>
        <v>pagada</v>
      </c>
      <c r="AD232" s="164" t="str">
        <f>+IF(AND(Tabla2[[#This Row],[venc]]="venc",Tabla2[[#This Row],[estado pago]]="por pagar"),"vencida","no")</f>
        <v>no</v>
      </c>
    </row>
    <row r="233" spans="1:30" ht="19.5" hidden="1" customHeight="1" x14ac:dyDescent="0.25">
      <c r="A233" s="8" t="s">
        <v>1852</v>
      </c>
      <c r="B233" s="8" t="b">
        <v>0</v>
      </c>
      <c r="C233" s="8">
        <v>30</v>
      </c>
      <c r="D233" s="151">
        <v>1350000</v>
      </c>
      <c r="E233" s="151"/>
      <c r="F233" s="24" t="s">
        <v>84</v>
      </c>
      <c r="G233" s="30">
        <v>45031</v>
      </c>
      <c r="H233" s="81" t="s">
        <v>1807</v>
      </c>
      <c r="I233" s="30">
        <v>45031</v>
      </c>
      <c r="J233" s="16" t="s">
        <v>731</v>
      </c>
      <c r="K233" s="9" t="s">
        <v>1530</v>
      </c>
      <c r="L233" s="9"/>
      <c r="M233" s="152">
        <v>590000</v>
      </c>
      <c r="N233" s="153">
        <v>0</v>
      </c>
      <c r="O233" s="152">
        <v>0</v>
      </c>
      <c r="P233" s="154">
        <v>0</v>
      </c>
      <c r="Q233" s="152">
        <v>0</v>
      </c>
      <c r="R233" s="9">
        <v>590000</v>
      </c>
      <c r="S233" s="21" t="s">
        <v>1846</v>
      </c>
      <c r="T233" s="117">
        <v>0</v>
      </c>
      <c r="U233" s="117">
        <v>0</v>
      </c>
      <c r="V233" s="117">
        <v>2023</v>
      </c>
      <c r="W233" s="117">
        <v>6</v>
      </c>
      <c r="X233" s="117">
        <v>0</v>
      </c>
      <c r="Y233" s="117">
        <v>0</v>
      </c>
      <c r="Z233" s="21" t="b">
        <v>0</v>
      </c>
      <c r="AA233" s="162">
        <f>+$AD$5-Tabla2[[#This Row],[FECHA DE FACTURACIÓN]]</f>
        <v>412</v>
      </c>
      <c r="AB233" s="163" t="str">
        <f>+IF(Tabla2[[#This Row],[dias de credito]]&gt;=Tabla2[[#This Row],[PLAZO Días]],"venc", "No venc")</f>
        <v>venc</v>
      </c>
      <c r="AC233" s="163" t="str">
        <f>+IF(Tabla2[[#This Row],[FECHA DE PAGO]]&gt;0,"pagada","por pagar")</f>
        <v>pagada</v>
      </c>
      <c r="AD233" s="164" t="str">
        <f>+IF(AND(Tabla2[[#This Row],[venc]]="venc",Tabla2[[#This Row],[estado pago]]="por pagar"),"vencida","no")</f>
        <v>no</v>
      </c>
    </row>
    <row r="234" spans="1:30" ht="19.5" hidden="1" customHeight="1" x14ac:dyDescent="0.25">
      <c r="A234" s="8" t="s">
        <v>1850</v>
      </c>
      <c r="B234" s="8" t="s">
        <v>1851</v>
      </c>
      <c r="C234" s="8">
        <v>30</v>
      </c>
      <c r="D234" s="151">
        <v>0</v>
      </c>
      <c r="E234" s="151"/>
      <c r="F234" s="24" t="s">
        <v>1579</v>
      </c>
      <c r="G234" s="30">
        <v>45033</v>
      </c>
      <c r="H234" s="81" t="s">
        <v>207</v>
      </c>
      <c r="I234" s="30">
        <v>44988</v>
      </c>
      <c r="J234" s="16" t="s">
        <v>991</v>
      </c>
      <c r="K234" s="9" t="s">
        <v>1530</v>
      </c>
      <c r="L234" s="9"/>
      <c r="M234" s="152">
        <v>-1747500</v>
      </c>
      <c r="N234" s="153">
        <v>-332025</v>
      </c>
      <c r="O234" s="152">
        <v>0</v>
      </c>
      <c r="P234" s="154">
        <v>0</v>
      </c>
      <c r="Q234" s="152">
        <v>0</v>
      </c>
      <c r="R234" s="9">
        <v>-2079525</v>
      </c>
      <c r="S234" s="21" t="s">
        <v>1846</v>
      </c>
      <c r="T234" s="117">
        <v>0</v>
      </c>
      <c r="U234" s="117" t="s">
        <v>347</v>
      </c>
      <c r="V234" s="117">
        <v>2023</v>
      </c>
      <c r="W234" s="117">
        <v>6</v>
      </c>
      <c r="X234" s="117">
        <v>1145000</v>
      </c>
      <c r="Y234" s="117">
        <v>2.5000000000000001E-2</v>
      </c>
      <c r="Z234" s="21" t="b">
        <v>0</v>
      </c>
      <c r="AA234" s="162">
        <f>+$AD$5-Tabla2[[#This Row],[FECHA DE FACTURACIÓN]]</f>
        <v>455</v>
      </c>
      <c r="AB234" s="163" t="str">
        <f>+IF(Tabla2[[#This Row],[dias de credito]]&gt;=Tabla2[[#This Row],[PLAZO Días]],"venc", "No venc")</f>
        <v>venc</v>
      </c>
      <c r="AC234" s="163" t="str">
        <f>+IF(Tabla2[[#This Row],[FECHA DE PAGO]]&gt;0,"pagada","por pagar")</f>
        <v>pagada</v>
      </c>
      <c r="AD234" s="164" t="str">
        <f>+IF(AND(Tabla2[[#This Row],[venc]]="venc",Tabla2[[#This Row],[estado pago]]="por pagar"),"vencida","no")</f>
        <v>no</v>
      </c>
    </row>
    <row r="235" spans="1:30" ht="19.5" hidden="1" customHeight="1" x14ac:dyDescent="0.25">
      <c r="A235" s="8" t="s">
        <v>1850</v>
      </c>
      <c r="B235" s="8" t="s">
        <v>1851</v>
      </c>
      <c r="C235" s="8">
        <v>30</v>
      </c>
      <c r="D235" s="151">
        <v>4466504.835</v>
      </c>
      <c r="E235" s="151"/>
      <c r="F235" s="24" t="s">
        <v>1553</v>
      </c>
      <c r="G235" s="30">
        <v>45035</v>
      </c>
      <c r="H235" s="81" t="s">
        <v>18</v>
      </c>
      <c r="I235" s="30">
        <v>44968</v>
      </c>
      <c r="J235" s="16" t="s">
        <v>649</v>
      </c>
      <c r="K235" s="9" t="s">
        <v>1530</v>
      </c>
      <c r="L235" s="9"/>
      <c r="M235" s="152">
        <v>-327731</v>
      </c>
      <c r="N235" s="153">
        <v>-62268.89</v>
      </c>
      <c r="O235" s="152">
        <v>0</v>
      </c>
      <c r="P235" s="154">
        <v>0</v>
      </c>
      <c r="Q235" s="152">
        <v>0</v>
      </c>
      <c r="R235" s="9">
        <v>-389999.89</v>
      </c>
      <c r="S235" s="21" t="s">
        <v>1846</v>
      </c>
      <c r="T235" s="117">
        <v>0</v>
      </c>
      <c r="U235" s="117" t="s">
        <v>347</v>
      </c>
      <c r="V235" s="117">
        <v>2023</v>
      </c>
      <c r="W235" s="117">
        <v>6</v>
      </c>
      <c r="X235" s="117">
        <v>1145000</v>
      </c>
      <c r="Y235" s="117">
        <v>2.5000000000000001E-2</v>
      </c>
      <c r="Z235" s="21" t="b">
        <v>0</v>
      </c>
      <c r="AA235" s="162">
        <f>+$AD$5-Tabla2[[#This Row],[FECHA DE FACTURACIÓN]]</f>
        <v>475</v>
      </c>
      <c r="AB235" s="163" t="str">
        <f>+IF(Tabla2[[#This Row],[dias de credito]]&gt;=Tabla2[[#This Row],[PLAZO Días]],"venc", "No venc")</f>
        <v>venc</v>
      </c>
      <c r="AC235" s="163" t="str">
        <f>+IF(Tabla2[[#This Row],[FECHA DE PAGO]]&gt;0,"pagada","por pagar")</f>
        <v>pagada</v>
      </c>
      <c r="AD235" s="164" t="str">
        <f>+IF(AND(Tabla2[[#This Row],[venc]]="venc",Tabla2[[#This Row],[estado pago]]="por pagar"),"vencida","no")</f>
        <v>no</v>
      </c>
    </row>
    <row r="236" spans="1:30" ht="19.5" hidden="1" customHeight="1" x14ac:dyDescent="0.25">
      <c r="A236" s="8" t="s">
        <v>1850</v>
      </c>
      <c r="B236" s="8" t="s">
        <v>1851</v>
      </c>
      <c r="C236" s="8">
        <v>30</v>
      </c>
      <c r="D236" s="151">
        <v>4466504.835</v>
      </c>
      <c r="E236" s="151"/>
      <c r="F236" s="24" t="s">
        <v>1553</v>
      </c>
      <c r="G236" s="30">
        <v>45035</v>
      </c>
      <c r="H236" s="81" t="s">
        <v>18</v>
      </c>
      <c r="I236" s="30">
        <v>44993</v>
      </c>
      <c r="J236" s="16" t="s">
        <v>623</v>
      </c>
      <c r="K236" s="9" t="s">
        <v>1530</v>
      </c>
      <c r="L236" s="9"/>
      <c r="M236" s="152">
        <v>1263526</v>
      </c>
      <c r="N236" s="153">
        <v>240069.94</v>
      </c>
      <c r="O236" s="152">
        <v>0</v>
      </c>
      <c r="P236" s="154">
        <v>2.5000000000000001E-2</v>
      </c>
      <c r="Q236" s="152">
        <v>31588.15</v>
      </c>
      <c r="R236" s="9">
        <v>1472007.79</v>
      </c>
      <c r="S236" s="21" t="s">
        <v>1846</v>
      </c>
      <c r="T236" s="117">
        <v>0</v>
      </c>
      <c r="U236" s="117" t="s">
        <v>347</v>
      </c>
      <c r="V236" s="117">
        <v>2023</v>
      </c>
      <c r="W236" s="117">
        <v>6</v>
      </c>
      <c r="X236" s="117">
        <v>1145000</v>
      </c>
      <c r="Y236" s="117">
        <v>2.5000000000000001E-2</v>
      </c>
      <c r="Z236" s="21" t="b">
        <v>0</v>
      </c>
      <c r="AA236" s="162">
        <f>+$AD$5-Tabla2[[#This Row],[FECHA DE FACTURACIÓN]]</f>
        <v>450</v>
      </c>
      <c r="AB236" s="163" t="str">
        <f>+IF(Tabla2[[#This Row],[dias de credito]]&gt;=Tabla2[[#This Row],[PLAZO Días]],"venc", "No venc")</f>
        <v>venc</v>
      </c>
      <c r="AC236" s="163" t="str">
        <f>+IF(Tabla2[[#This Row],[FECHA DE PAGO]]&gt;0,"pagada","por pagar")</f>
        <v>pagada</v>
      </c>
      <c r="AD236" s="164" t="str">
        <f>+IF(AND(Tabla2[[#This Row],[venc]]="venc",Tabla2[[#This Row],[estado pago]]="por pagar"),"vencida","no")</f>
        <v>no</v>
      </c>
    </row>
    <row r="237" spans="1:30" ht="19.5" hidden="1" customHeight="1" x14ac:dyDescent="0.25">
      <c r="A237" s="8" t="s">
        <v>1850</v>
      </c>
      <c r="B237" s="8" t="s">
        <v>1851</v>
      </c>
      <c r="C237" s="8">
        <v>30</v>
      </c>
      <c r="D237" s="151">
        <v>5581100</v>
      </c>
      <c r="E237" s="151"/>
      <c r="F237" s="24" t="s">
        <v>150</v>
      </c>
      <c r="G237" s="30">
        <v>45035</v>
      </c>
      <c r="H237" s="81" t="s">
        <v>446</v>
      </c>
      <c r="I237" s="30">
        <v>44994</v>
      </c>
      <c r="J237" s="16" t="s">
        <v>617</v>
      </c>
      <c r="K237" s="9" t="s">
        <v>1530</v>
      </c>
      <c r="L237" s="9"/>
      <c r="M237" s="152">
        <v>6944000</v>
      </c>
      <c r="N237" s="153">
        <v>1319360</v>
      </c>
      <c r="O237" s="152">
        <v>0</v>
      </c>
      <c r="P237" s="154">
        <v>0</v>
      </c>
      <c r="Q237" s="152">
        <v>0</v>
      </c>
      <c r="R237" s="9">
        <v>8263360</v>
      </c>
      <c r="S237" s="21" t="s">
        <v>1846</v>
      </c>
      <c r="T237" s="117">
        <v>0</v>
      </c>
      <c r="U237" s="117">
        <v>0</v>
      </c>
      <c r="V237" s="117">
        <v>2023</v>
      </c>
      <c r="W237" s="117">
        <v>6</v>
      </c>
      <c r="X237" s="117">
        <v>0</v>
      </c>
      <c r="Y237" s="117">
        <v>0</v>
      </c>
      <c r="Z237" s="21" t="b">
        <v>0</v>
      </c>
      <c r="AA237" s="162">
        <f>+$AD$5-Tabla2[[#This Row],[FECHA DE FACTURACIÓN]]</f>
        <v>449</v>
      </c>
      <c r="AB237" s="163" t="str">
        <f>+IF(Tabla2[[#This Row],[dias de credito]]&gt;=Tabla2[[#This Row],[PLAZO Días]],"venc", "No venc")</f>
        <v>venc</v>
      </c>
      <c r="AC237" s="163" t="str">
        <f>+IF(Tabla2[[#This Row],[FECHA DE PAGO]]&gt;0,"pagada","por pagar")</f>
        <v>pagada</v>
      </c>
      <c r="AD237" s="164" t="str">
        <f>+IF(AND(Tabla2[[#This Row],[venc]]="venc",Tabla2[[#This Row],[estado pago]]="por pagar"),"vencida","no")</f>
        <v>no</v>
      </c>
    </row>
    <row r="238" spans="1:30" ht="19.5" hidden="1" customHeight="1" x14ac:dyDescent="0.25">
      <c r="A238" s="8" t="s">
        <v>1850</v>
      </c>
      <c r="B238" s="8" t="s">
        <v>1851</v>
      </c>
      <c r="C238" s="8">
        <v>30</v>
      </c>
      <c r="D238" s="151">
        <v>4466504.835</v>
      </c>
      <c r="E238" s="151"/>
      <c r="F238" s="24" t="s">
        <v>1553</v>
      </c>
      <c r="G238" s="30">
        <v>45035</v>
      </c>
      <c r="H238" s="81" t="s">
        <v>18</v>
      </c>
      <c r="I238" s="30">
        <v>44998</v>
      </c>
      <c r="J238" s="16" t="s">
        <v>621</v>
      </c>
      <c r="K238" s="9" t="s">
        <v>1530</v>
      </c>
      <c r="L238" s="9"/>
      <c r="M238" s="152">
        <v>1306660</v>
      </c>
      <c r="N238" s="153">
        <v>248265.4</v>
      </c>
      <c r="O238" s="152">
        <v>0</v>
      </c>
      <c r="P238" s="154">
        <v>2.5000000000000001E-2</v>
      </c>
      <c r="Q238" s="152">
        <v>32666.5</v>
      </c>
      <c r="R238" s="9">
        <v>1522258.9</v>
      </c>
      <c r="S238" s="21" t="s">
        <v>1846</v>
      </c>
      <c r="T238" s="117">
        <v>0</v>
      </c>
      <c r="U238" s="117" t="s">
        <v>347</v>
      </c>
      <c r="V238" s="117">
        <v>2023</v>
      </c>
      <c r="W238" s="117">
        <v>6</v>
      </c>
      <c r="X238" s="117">
        <v>1145000</v>
      </c>
      <c r="Y238" s="117">
        <v>2.5000000000000001E-2</v>
      </c>
      <c r="Z238" s="21" t="b">
        <v>0</v>
      </c>
      <c r="AA238" s="162">
        <f>+$AD$5-Tabla2[[#This Row],[FECHA DE FACTURACIÓN]]</f>
        <v>445</v>
      </c>
      <c r="AB238" s="163" t="str">
        <f>+IF(Tabla2[[#This Row],[dias de credito]]&gt;=Tabla2[[#This Row],[PLAZO Días]],"venc", "No venc")</f>
        <v>venc</v>
      </c>
      <c r="AC238" s="163" t="str">
        <f>+IF(Tabla2[[#This Row],[FECHA DE PAGO]]&gt;0,"pagada","por pagar")</f>
        <v>pagada</v>
      </c>
      <c r="AD238" s="164" t="str">
        <f>+IF(AND(Tabla2[[#This Row],[venc]]="venc",Tabla2[[#This Row],[estado pago]]="por pagar"),"vencida","no")</f>
        <v>no</v>
      </c>
    </row>
    <row r="239" spans="1:30" ht="19.5" hidden="1" customHeight="1" x14ac:dyDescent="0.25">
      <c r="A239" s="8" t="s">
        <v>1850</v>
      </c>
      <c r="B239" s="8" t="s">
        <v>1851</v>
      </c>
      <c r="C239" s="8">
        <v>30</v>
      </c>
      <c r="D239" s="151">
        <v>4466504.835</v>
      </c>
      <c r="E239" s="151"/>
      <c r="F239" s="24" t="s">
        <v>1553</v>
      </c>
      <c r="G239" s="30">
        <v>45035</v>
      </c>
      <c r="H239" s="81" t="s">
        <v>18</v>
      </c>
      <c r="I239" s="30">
        <v>44998</v>
      </c>
      <c r="J239" s="16" t="s">
        <v>622</v>
      </c>
      <c r="K239" s="9" t="s">
        <v>1530</v>
      </c>
      <c r="L239" s="9"/>
      <c r="M239" s="152">
        <v>922647</v>
      </c>
      <c r="N239" s="153">
        <v>175302.93</v>
      </c>
      <c r="O239" s="152">
        <v>0</v>
      </c>
      <c r="P239" s="154">
        <v>0</v>
      </c>
      <c r="Q239" s="152">
        <v>0</v>
      </c>
      <c r="R239" s="9">
        <v>1097949.93</v>
      </c>
      <c r="S239" s="21" t="s">
        <v>1846</v>
      </c>
      <c r="T239" s="117">
        <v>0</v>
      </c>
      <c r="U239" s="117" t="s">
        <v>347</v>
      </c>
      <c r="V239" s="117">
        <v>2023</v>
      </c>
      <c r="W239" s="117">
        <v>6</v>
      </c>
      <c r="X239" s="117">
        <v>1145000</v>
      </c>
      <c r="Y239" s="117">
        <v>2.5000000000000001E-2</v>
      </c>
      <c r="Z239" s="21" t="b">
        <v>0</v>
      </c>
      <c r="AA239" s="162">
        <f>+$AD$5-Tabla2[[#This Row],[FECHA DE FACTURACIÓN]]</f>
        <v>445</v>
      </c>
      <c r="AB239" s="163" t="str">
        <f>+IF(Tabla2[[#This Row],[dias de credito]]&gt;=Tabla2[[#This Row],[PLAZO Días]],"venc", "No venc")</f>
        <v>venc</v>
      </c>
      <c r="AC239" s="163" t="str">
        <f>+IF(Tabla2[[#This Row],[FECHA DE PAGO]]&gt;0,"pagada","por pagar")</f>
        <v>pagada</v>
      </c>
      <c r="AD239" s="164" t="str">
        <f>+IF(AND(Tabla2[[#This Row],[venc]]="venc",Tabla2[[#This Row],[estado pago]]="por pagar"),"vencida","no")</f>
        <v>no</v>
      </c>
    </row>
    <row r="240" spans="1:30" ht="19.5" hidden="1" customHeight="1" x14ac:dyDescent="0.25">
      <c r="A240" s="8" t="s">
        <v>1850</v>
      </c>
      <c r="B240" s="8" t="b">
        <v>0</v>
      </c>
      <c r="C240" s="8">
        <v>30</v>
      </c>
      <c r="D240" s="151">
        <v>0</v>
      </c>
      <c r="E240" s="151"/>
      <c r="F240" s="24" t="s">
        <v>268</v>
      </c>
      <c r="G240" s="30">
        <v>45035</v>
      </c>
      <c r="H240" s="81" t="s">
        <v>376</v>
      </c>
      <c r="I240" s="30">
        <v>45017</v>
      </c>
      <c r="J240" s="16" t="s">
        <v>693</v>
      </c>
      <c r="K240" s="9" t="s">
        <v>1530</v>
      </c>
      <c r="L240" s="9"/>
      <c r="M240" s="152">
        <v>277194</v>
      </c>
      <c r="N240" s="153">
        <v>0</v>
      </c>
      <c r="O240" s="152">
        <v>0</v>
      </c>
      <c r="P240" s="154">
        <v>0</v>
      </c>
      <c r="Q240" s="152">
        <v>0</v>
      </c>
      <c r="R240" s="9">
        <v>277194</v>
      </c>
      <c r="S240" s="21" t="s">
        <v>1846</v>
      </c>
      <c r="T240" s="117">
        <v>0</v>
      </c>
      <c r="U240" s="117">
        <v>0</v>
      </c>
      <c r="V240" s="117">
        <v>2023</v>
      </c>
      <c r="W240" s="117">
        <v>6</v>
      </c>
      <c r="X240" s="117">
        <v>0</v>
      </c>
      <c r="Y240" s="117">
        <v>0</v>
      </c>
      <c r="Z240" s="21" t="b">
        <v>1</v>
      </c>
      <c r="AA240" s="162">
        <f>+$AD$5-Tabla2[[#This Row],[FECHA DE FACTURACIÓN]]</f>
        <v>426</v>
      </c>
      <c r="AB240" s="163" t="str">
        <f>+IF(Tabla2[[#This Row],[dias de credito]]&gt;=Tabla2[[#This Row],[PLAZO Días]],"venc", "No venc")</f>
        <v>venc</v>
      </c>
      <c r="AC240" s="163" t="str">
        <f>+IF(Tabla2[[#This Row],[FECHA DE PAGO]]&gt;0,"pagada","por pagar")</f>
        <v>pagada</v>
      </c>
      <c r="AD240" s="164" t="str">
        <f>+IF(AND(Tabla2[[#This Row],[venc]]="venc",Tabla2[[#This Row],[estado pago]]="por pagar"),"vencida","no")</f>
        <v>no</v>
      </c>
    </row>
    <row r="241" spans="1:30" ht="19.5" hidden="1" customHeight="1" x14ac:dyDescent="0.25">
      <c r="A241" s="8" t="s">
        <v>1850</v>
      </c>
      <c r="B241" s="8" t="s">
        <v>1851</v>
      </c>
      <c r="C241" s="8">
        <v>60</v>
      </c>
      <c r="D241" s="151">
        <v>0</v>
      </c>
      <c r="E241" s="151"/>
      <c r="F241" s="24" t="s">
        <v>399</v>
      </c>
      <c r="G241" s="30">
        <v>45036</v>
      </c>
      <c r="H241" s="81" t="s">
        <v>65</v>
      </c>
      <c r="I241" s="30">
        <v>44974</v>
      </c>
      <c r="J241" s="16" t="s">
        <v>588</v>
      </c>
      <c r="K241" s="9" t="s">
        <v>1530</v>
      </c>
      <c r="L241" s="9"/>
      <c r="M241" s="152">
        <v>4204800</v>
      </c>
      <c r="N241" s="153">
        <v>798912</v>
      </c>
      <c r="O241" s="152">
        <v>0</v>
      </c>
      <c r="P241" s="154">
        <v>2.5000000000000001E-2</v>
      </c>
      <c r="Q241" s="152">
        <v>105120</v>
      </c>
      <c r="R241" s="9">
        <v>4898592</v>
      </c>
      <c r="S241" s="21" t="s">
        <v>1846</v>
      </c>
      <c r="T241" s="117">
        <v>0</v>
      </c>
      <c r="U241" s="117" t="s">
        <v>347</v>
      </c>
      <c r="V241" s="117">
        <v>2023</v>
      </c>
      <c r="W241" s="117">
        <v>6</v>
      </c>
      <c r="X241" s="117">
        <v>1145000</v>
      </c>
      <c r="Y241" s="117">
        <v>2.5000000000000001E-2</v>
      </c>
      <c r="Z241" s="21" t="b">
        <v>0</v>
      </c>
      <c r="AA241" s="162">
        <f>+$AD$5-Tabla2[[#This Row],[FECHA DE FACTURACIÓN]]</f>
        <v>469</v>
      </c>
      <c r="AB241" s="163" t="str">
        <f>+IF(Tabla2[[#This Row],[dias de credito]]&gt;=Tabla2[[#This Row],[PLAZO Días]],"venc", "No venc")</f>
        <v>venc</v>
      </c>
      <c r="AC241" s="163" t="str">
        <f>+IF(Tabla2[[#This Row],[FECHA DE PAGO]]&gt;0,"pagada","por pagar")</f>
        <v>pagada</v>
      </c>
      <c r="AD241" s="164" t="str">
        <f>+IF(AND(Tabla2[[#This Row],[venc]]="venc",Tabla2[[#This Row],[estado pago]]="por pagar"),"vencida","no")</f>
        <v>no</v>
      </c>
    </row>
    <row r="242" spans="1:30" ht="19.5" hidden="1" customHeight="1" x14ac:dyDescent="0.25">
      <c r="A242" s="8" t="s">
        <v>1850</v>
      </c>
      <c r="B242" s="8" t="b">
        <v>0</v>
      </c>
      <c r="C242" s="8">
        <v>60</v>
      </c>
      <c r="D242" s="151">
        <v>0</v>
      </c>
      <c r="E242" s="151"/>
      <c r="F242" s="24" t="s">
        <v>399</v>
      </c>
      <c r="G242" s="30">
        <v>45036</v>
      </c>
      <c r="H242" s="81" t="s">
        <v>65</v>
      </c>
      <c r="I242" s="30">
        <v>44978</v>
      </c>
      <c r="J242" s="16" t="s">
        <v>589</v>
      </c>
      <c r="K242" s="9" t="s">
        <v>1530</v>
      </c>
      <c r="L242" s="9"/>
      <c r="M242" s="152">
        <v>1536000</v>
      </c>
      <c r="N242" s="153">
        <v>291840</v>
      </c>
      <c r="O242" s="152">
        <v>0</v>
      </c>
      <c r="P242" s="154">
        <v>2.5000000000000001E-2</v>
      </c>
      <c r="Q242" s="152">
        <v>38400</v>
      </c>
      <c r="R242" s="9">
        <v>1789440</v>
      </c>
      <c r="S242" s="21" t="s">
        <v>1846</v>
      </c>
      <c r="T242" s="117">
        <v>0</v>
      </c>
      <c r="U242" s="117" t="s">
        <v>347</v>
      </c>
      <c r="V242" s="117">
        <v>2023</v>
      </c>
      <c r="W242" s="117">
        <v>6</v>
      </c>
      <c r="X242" s="117">
        <v>1145000</v>
      </c>
      <c r="Y242" s="117">
        <v>2.5000000000000001E-2</v>
      </c>
      <c r="Z242" s="21" t="b">
        <v>0</v>
      </c>
      <c r="AA242" s="162">
        <f>+$AD$5-Tabla2[[#This Row],[FECHA DE FACTURACIÓN]]</f>
        <v>465</v>
      </c>
      <c r="AB242" s="163" t="str">
        <f>+IF(Tabla2[[#This Row],[dias de credito]]&gt;=Tabla2[[#This Row],[PLAZO Días]],"venc", "No venc")</f>
        <v>venc</v>
      </c>
      <c r="AC242" s="163" t="str">
        <f>+IF(Tabla2[[#This Row],[FECHA DE PAGO]]&gt;0,"pagada","por pagar")</f>
        <v>pagada</v>
      </c>
      <c r="AD242" s="164" t="str">
        <f>+IF(AND(Tabla2[[#This Row],[venc]]="venc",Tabla2[[#This Row],[estado pago]]="por pagar"),"vencida","no")</f>
        <v>no</v>
      </c>
    </row>
    <row r="243" spans="1:30" ht="19.5" hidden="1" customHeight="1" x14ac:dyDescent="0.25">
      <c r="A243" s="8" t="s">
        <v>1850</v>
      </c>
      <c r="B243" s="8" t="s">
        <v>1851</v>
      </c>
      <c r="C243" s="8">
        <v>30</v>
      </c>
      <c r="D243" s="151">
        <v>0</v>
      </c>
      <c r="E243" s="151"/>
      <c r="F243" s="24" t="s">
        <v>159</v>
      </c>
      <c r="G243" s="30">
        <v>45036</v>
      </c>
      <c r="H243" s="81" t="s">
        <v>452</v>
      </c>
      <c r="I243" s="30">
        <v>44994</v>
      </c>
      <c r="J243" s="16" t="s">
        <v>613</v>
      </c>
      <c r="K243" s="9" t="s">
        <v>1530</v>
      </c>
      <c r="L243" s="9"/>
      <c r="M243" s="152">
        <v>1487397</v>
      </c>
      <c r="N243" s="153">
        <v>282605.43</v>
      </c>
      <c r="O243" s="152">
        <v>0</v>
      </c>
      <c r="P243" s="154">
        <v>2.5000000000000001E-2</v>
      </c>
      <c r="Q243" s="152">
        <v>37184.925000000003</v>
      </c>
      <c r="R243" s="9">
        <v>1732817.5049999999</v>
      </c>
      <c r="S243" s="21" t="s">
        <v>1846</v>
      </c>
      <c r="T243" s="117">
        <v>0</v>
      </c>
      <c r="U243" s="117" t="s">
        <v>347</v>
      </c>
      <c r="V243" s="117">
        <v>2023</v>
      </c>
      <c r="W243" s="117">
        <v>6</v>
      </c>
      <c r="X243" s="117">
        <v>1145000</v>
      </c>
      <c r="Y243" s="117">
        <v>2.5000000000000001E-2</v>
      </c>
      <c r="Z243" s="21" t="b">
        <v>0</v>
      </c>
      <c r="AA243" s="162">
        <f>+$AD$5-Tabla2[[#This Row],[FECHA DE FACTURACIÓN]]</f>
        <v>449</v>
      </c>
      <c r="AB243" s="163" t="str">
        <f>+IF(Tabla2[[#This Row],[dias de credito]]&gt;=Tabla2[[#This Row],[PLAZO Días]],"venc", "No venc")</f>
        <v>venc</v>
      </c>
      <c r="AC243" s="163" t="str">
        <f>+IF(Tabla2[[#This Row],[FECHA DE PAGO]]&gt;0,"pagada","por pagar")</f>
        <v>pagada</v>
      </c>
      <c r="AD243" s="164" t="str">
        <f>+IF(AND(Tabla2[[#This Row],[venc]]="venc",Tabla2[[#This Row],[estado pago]]="por pagar"),"vencida","no")</f>
        <v>no</v>
      </c>
    </row>
    <row r="244" spans="1:30" ht="19.5" hidden="1" customHeight="1" x14ac:dyDescent="0.25">
      <c r="A244" s="8" t="s">
        <v>1852</v>
      </c>
      <c r="B244" s="8" t="b">
        <v>0</v>
      </c>
      <c r="C244" s="8">
        <v>30</v>
      </c>
      <c r="D244" s="151">
        <v>1350000</v>
      </c>
      <c r="E244" s="151"/>
      <c r="F244" s="24" t="s">
        <v>84</v>
      </c>
      <c r="G244" s="30">
        <v>45038</v>
      </c>
      <c r="H244" s="81" t="s">
        <v>1807</v>
      </c>
      <c r="I244" s="30">
        <v>45038</v>
      </c>
      <c r="J244" s="16" t="s">
        <v>732</v>
      </c>
      <c r="K244" s="9" t="s">
        <v>1530</v>
      </c>
      <c r="L244" s="9"/>
      <c r="M244" s="152">
        <v>1070000</v>
      </c>
      <c r="N244" s="153">
        <v>0</v>
      </c>
      <c r="O244" s="152">
        <v>0</v>
      </c>
      <c r="P244" s="154">
        <v>0</v>
      </c>
      <c r="Q244" s="152">
        <v>0</v>
      </c>
      <c r="R244" s="9">
        <v>1070000</v>
      </c>
      <c r="S244" s="21" t="s">
        <v>1846</v>
      </c>
      <c r="T244" s="117">
        <v>0</v>
      </c>
      <c r="U244" s="117">
        <v>0</v>
      </c>
      <c r="V244" s="117">
        <v>2023</v>
      </c>
      <c r="W244" s="117">
        <v>6</v>
      </c>
      <c r="X244" s="117">
        <v>0</v>
      </c>
      <c r="Y244" s="117">
        <v>0</v>
      </c>
      <c r="Z244" s="21" t="b">
        <v>0</v>
      </c>
      <c r="AA244" s="162">
        <f>+$AD$5-Tabla2[[#This Row],[FECHA DE FACTURACIÓN]]</f>
        <v>405</v>
      </c>
      <c r="AB244" s="163" t="str">
        <f>+IF(Tabla2[[#This Row],[dias de credito]]&gt;=Tabla2[[#This Row],[PLAZO Días]],"venc", "No venc")</f>
        <v>venc</v>
      </c>
      <c r="AC244" s="163" t="str">
        <f>+IF(Tabla2[[#This Row],[FECHA DE PAGO]]&gt;0,"pagada","por pagar")</f>
        <v>pagada</v>
      </c>
      <c r="AD244" s="164" t="str">
        <f>+IF(AND(Tabla2[[#This Row],[venc]]="venc",Tabla2[[#This Row],[estado pago]]="por pagar"),"vencida","no")</f>
        <v>no</v>
      </c>
    </row>
    <row r="245" spans="1:30" ht="19.5" hidden="1" customHeight="1" x14ac:dyDescent="0.25">
      <c r="A245" s="8" t="s">
        <v>1850</v>
      </c>
      <c r="B245" s="8" t="s">
        <v>1851</v>
      </c>
      <c r="C245" s="8">
        <v>30</v>
      </c>
      <c r="D245" s="151">
        <v>8456975.129999999</v>
      </c>
      <c r="E245" s="151"/>
      <c r="F245" s="24" t="s">
        <v>1476</v>
      </c>
      <c r="G245" s="30">
        <v>45040</v>
      </c>
      <c r="H245" s="81" t="s">
        <v>1464</v>
      </c>
      <c r="I245" s="30">
        <v>44988</v>
      </c>
      <c r="J245" s="16" t="s">
        <v>697</v>
      </c>
      <c r="K245" s="9" t="s">
        <v>1530</v>
      </c>
      <c r="L245" s="9"/>
      <c r="M245" s="152">
        <v>93570</v>
      </c>
      <c r="N245" s="153">
        <v>17778.3</v>
      </c>
      <c r="O245" s="152">
        <v>0</v>
      </c>
      <c r="P245" s="154">
        <v>0</v>
      </c>
      <c r="Q245" s="152">
        <v>0</v>
      </c>
      <c r="R245" s="9">
        <v>111348.3</v>
      </c>
      <c r="S245" s="21" t="s">
        <v>1846</v>
      </c>
      <c r="T245" s="117">
        <v>0</v>
      </c>
      <c r="U245" s="117" t="s">
        <v>347</v>
      </c>
      <c r="V245" s="117">
        <v>2023</v>
      </c>
      <c r="W245" s="117">
        <v>6</v>
      </c>
      <c r="X245" s="117">
        <v>1145000</v>
      </c>
      <c r="Y245" s="117">
        <v>2.5000000000000001E-2</v>
      </c>
      <c r="Z245" s="21" t="b">
        <v>0</v>
      </c>
      <c r="AA245" s="162">
        <f>+$AD$5-Tabla2[[#This Row],[FECHA DE FACTURACIÓN]]</f>
        <v>455</v>
      </c>
      <c r="AB245" s="163" t="str">
        <f>+IF(Tabla2[[#This Row],[dias de credito]]&gt;=Tabla2[[#This Row],[PLAZO Días]],"venc", "No venc")</f>
        <v>venc</v>
      </c>
      <c r="AC245" s="163" t="str">
        <f>+IF(Tabla2[[#This Row],[FECHA DE PAGO]]&gt;0,"pagada","por pagar")</f>
        <v>pagada</v>
      </c>
      <c r="AD245" s="164" t="str">
        <f>+IF(AND(Tabla2[[#This Row],[venc]]="venc",Tabla2[[#This Row],[estado pago]]="por pagar"),"vencida","no")</f>
        <v>no</v>
      </c>
    </row>
    <row r="246" spans="1:30" ht="19.5" hidden="1" customHeight="1" x14ac:dyDescent="0.25">
      <c r="A246" s="8" t="s">
        <v>1850</v>
      </c>
      <c r="B246" s="8" t="s">
        <v>1851</v>
      </c>
      <c r="C246" s="8">
        <v>30</v>
      </c>
      <c r="D246" s="151">
        <v>8456975.129999999</v>
      </c>
      <c r="E246" s="151"/>
      <c r="F246" s="24" t="s">
        <v>1476</v>
      </c>
      <c r="G246" s="30">
        <v>45040</v>
      </c>
      <c r="H246" s="81" t="s">
        <v>1464</v>
      </c>
      <c r="I246" s="30">
        <v>45006</v>
      </c>
      <c r="J246" s="16" t="s">
        <v>701</v>
      </c>
      <c r="K246" s="9" t="s">
        <v>1530</v>
      </c>
      <c r="L246" s="9"/>
      <c r="M246" s="152">
        <v>2780070</v>
      </c>
      <c r="N246" s="153">
        <v>528213.30000000005</v>
      </c>
      <c r="O246" s="152">
        <v>0</v>
      </c>
      <c r="P246" s="154">
        <v>2.5000000000000001E-2</v>
      </c>
      <c r="Q246" s="152">
        <v>69501.75</v>
      </c>
      <c r="R246" s="9">
        <v>3238781.55</v>
      </c>
      <c r="S246" s="21" t="s">
        <v>1846</v>
      </c>
      <c r="T246" s="117">
        <v>0</v>
      </c>
      <c r="U246" s="117" t="s">
        <v>347</v>
      </c>
      <c r="V246" s="117">
        <v>2023</v>
      </c>
      <c r="W246" s="117">
        <v>6</v>
      </c>
      <c r="X246" s="117">
        <v>1145000</v>
      </c>
      <c r="Y246" s="117">
        <v>2.5000000000000001E-2</v>
      </c>
      <c r="Z246" s="21" t="b">
        <v>0</v>
      </c>
      <c r="AA246" s="162">
        <f>+$AD$5-Tabla2[[#This Row],[FECHA DE FACTURACIÓN]]</f>
        <v>437</v>
      </c>
      <c r="AB246" s="163" t="str">
        <f>+IF(Tabla2[[#This Row],[dias de credito]]&gt;=Tabla2[[#This Row],[PLAZO Días]],"venc", "No venc")</f>
        <v>venc</v>
      </c>
      <c r="AC246" s="163" t="str">
        <f>+IF(Tabla2[[#This Row],[FECHA DE PAGO]]&gt;0,"pagada","por pagar")</f>
        <v>pagada</v>
      </c>
      <c r="AD246" s="164" t="str">
        <f>+IF(AND(Tabla2[[#This Row],[venc]]="venc",Tabla2[[#This Row],[estado pago]]="por pagar"),"vencida","no")</f>
        <v>no</v>
      </c>
    </row>
    <row r="247" spans="1:30" ht="19.5" hidden="1" customHeight="1" x14ac:dyDescent="0.25">
      <c r="A247" s="8" t="s">
        <v>1850</v>
      </c>
      <c r="B247" s="8" t="b">
        <v>0</v>
      </c>
      <c r="C247" s="8">
        <v>30</v>
      </c>
      <c r="D247" s="151">
        <v>0</v>
      </c>
      <c r="E247" s="151"/>
      <c r="F247" s="24" t="s">
        <v>206</v>
      </c>
      <c r="G247" s="30">
        <v>45041</v>
      </c>
      <c r="H247" s="81" t="s">
        <v>380</v>
      </c>
      <c r="I247" s="30">
        <v>45034</v>
      </c>
      <c r="J247" s="16" t="s">
        <v>724</v>
      </c>
      <c r="K247" s="9" t="s">
        <v>1530</v>
      </c>
      <c r="L247" s="9"/>
      <c r="M247" s="152">
        <v>3456200</v>
      </c>
      <c r="N247" s="153">
        <v>0</v>
      </c>
      <c r="O247" s="152">
        <v>0</v>
      </c>
      <c r="P247" s="154">
        <v>3.5000000000000003E-2</v>
      </c>
      <c r="Q247" s="152">
        <v>120967.00000000001</v>
      </c>
      <c r="R247" s="9">
        <v>3335233</v>
      </c>
      <c r="S247" s="21" t="s">
        <v>1846</v>
      </c>
      <c r="T247" s="117">
        <v>0</v>
      </c>
      <c r="U247" s="117" t="s">
        <v>348</v>
      </c>
      <c r="V247" s="117">
        <v>2023</v>
      </c>
      <c r="W247" s="117">
        <v>6</v>
      </c>
      <c r="X247" s="117">
        <v>0</v>
      </c>
      <c r="Y247" s="117">
        <v>3.5000000000000003E-2</v>
      </c>
      <c r="Z247" s="21" t="b">
        <v>1</v>
      </c>
      <c r="AA247" s="162">
        <f>+$AD$5-Tabla2[[#This Row],[FECHA DE FACTURACIÓN]]</f>
        <v>409</v>
      </c>
      <c r="AB247" s="163" t="str">
        <f>+IF(Tabla2[[#This Row],[dias de credito]]&gt;=Tabla2[[#This Row],[PLAZO Días]],"venc", "No venc")</f>
        <v>venc</v>
      </c>
      <c r="AC247" s="163" t="str">
        <f>+IF(Tabla2[[#This Row],[FECHA DE PAGO]]&gt;0,"pagada","por pagar")</f>
        <v>pagada</v>
      </c>
      <c r="AD247" s="164" t="str">
        <f>+IF(AND(Tabla2[[#This Row],[venc]]="venc",Tabla2[[#This Row],[estado pago]]="por pagar"),"vencida","no")</f>
        <v>no</v>
      </c>
    </row>
    <row r="248" spans="1:30" ht="19.5" hidden="1" customHeight="1" x14ac:dyDescent="0.25">
      <c r="A248" s="8" t="s">
        <v>1850</v>
      </c>
      <c r="B248" s="8" t="b">
        <v>0</v>
      </c>
      <c r="C248" s="8">
        <v>30</v>
      </c>
      <c r="D248" s="151">
        <v>0</v>
      </c>
      <c r="E248" s="151"/>
      <c r="F248" s="24" t="s">
        <v>84</v>
      </c>
      <c r="G248" s="30">
        <v>45043</v>
      </c>
      <c r="H248" s="81" t="s">
        <v>481</v>
      </c>
      <c r="I248" s="30">
        <v>45042</v>
      </c>
      <c r="J248" s="16" t="s">
        <v>727</v>
      </c>
      <c r="K248" s="9" t="s">
        <v>1530</v>
      </c>
      <c r="L248" s="9"/>
      <c r="M248" s="152">
        <v>3656000</v>
      </c>
      <c r="N248" s="153">
        <v>0</v>
      </c>
      <c r="O248" s="152">
        <v>0</v>
      </c>
      <c r="P248" s="154">
        <v>0</v>
      </c>
      <c r="Q248" s="152">
        <v>0</v>
      </c>
      <c r="R248" s="9">
        <v>3656000</v>
      </c>
      <c r="S248" s="21" t="s">
        <v>1846</v>
      </c>
      <c r="T248" s="117">
        <v>0</v>
      </c>
      <c r="U248" s="117">
        <v>0</v>
      </c>
      <c r="V248" s="117">
        <v>2023</v>
      </c>
      <c r="W248" s="117">
        <v>6</v>
      </c>
      <c r="X248" s="117">
        <v>0</v>
      </c>
      <c r="Y248" s="117">
        <v>0</v>
      </c>
      <c r="Z248" s="21" t="b">
        <v>0</v>
      </c>
      <c r="AA248" s="162">
        <f>+$AD$5-Tabla2[[#This Row],[FECHA DE FACTURACIÓN]]</f>
        <v>401</v>
      </c>
      <c r="AB248" s="163" t="str">
        <f>+IF(Tabla2[[#This Row],[dias de credito]]&gt;=Tabla2[[#This Row],[PLAZO Días]],"venc", "No venc")</f>
        <v>venc</v>
      </c>
      <c r="AC248" s="163" t="str">
        <f>+IF(Tabla2[[#This Row],[FECHA DE PAGO]]&gt;0,"pagada","por pagar")</f>
        <v>pagada</v>
      </c>
      <c r="AD248" s="164" t="str">
        <f>+IF(AND(Tabla2[[#This Row],[venc]]="venc",Tabla2[[#This Row],[estado pago]]="por pagar"),"vencida","no")</f>
        <v>no</v>
      </c>
    </row>
    <row r="249" spans="1:30" ht="19.5" hidden="1" customHeight="1" x14ac:dyDescent="0.25">
      <c r="A249" s="8" t="s">
        <v>1850</v>
      </c>
      <c r="B249" s="8" t="s">
        <v>1851</v>
      </c>
      <c r="C249" s="8">
        <v>30</v>
      </c>
      <c r="D249" s="151">
        <v>818443.92</v>
      </c>
      <c r="E249" s="151"/>
      <c r="F249" s="24" t="s">
        <v>111</v>
      </c>
      <c r="G249" s="30">
        <v>45044</v>
      </c>
      <c r="H249" s="81" t="s">
        <v>20</v>
      </c>
      <c r="I249" s="30">
        <v>44999</v>
      </c>
      <c r="J249" s="16" t="s">
        <v>628</v>
      </c>
      <c r="K249" s="9" t="s">
        <v>1530</v>
      </c>
      <c r="L249" s="9"/>
      <c r="M249" s="152">
        <v>1312210</v>
      </c>
      <c r="N249" s="153">
        <v>249319.9</v>
      </c>
      <c r="O249" s="152">
        <v>0</v>
      </c>
      <c r="P249" s="154">
        <v>2.5000000000000001E-2</v>
      </c>
      <c r="Q249" s="152">
        <v>32805.25</v>
      </c>
      <c r="R249" s="9">
        <v>1528724.65</v>
      </c>
      <c r="S249" s="21" t="s">
        <v>1846</v>
      </c>
      <c r="T249" s="117">
        <v>0</v>
      </c>
      <c r="U249" s="117" t="s">
        <v>347</v>
      </c>
      <c r="V249" s="117">
        <v>2023</v>
      </c>
      <c r="W249" s="117">
        <v>6</v>
      </c>
      <c r="X249" s="117">
        <v>1145000</v>
      </c>
      <c r="Y249" s="117">
        <v>2.5000000000000001E-2</v>
      </c>
      <c r="Z249" s="21" t="b">
        <v>0</v>
      </c>
      <c r="AA249" s="162">
        <f>+$AD$5-Tabla2[[#This Row],[FECHA DE FACTURACIÓN]]</f>
        <v>444</v>
      </c>
      <c r="AB249" s="163" t="str">
        <f>+IF(Tabla2[[#This Row],[dias de credito]]&gt;=Tabla2[[#This Row],[PLAZO Días]],"venc", "No venc")</f>
        <v>venc</v>
      </c>
      <c r="AC249" s="163" t="str">
        <f>+IF(Tabla2[[#This Row],[FECHA DE PAGO]]&gt;0,"pagada","por pagar")</f>
        <v>pagada</v>
      </c>
      <c r="AD249" s="164" t="str">
        <f>+IF(AND(Tabla2[[#This Row],[venc]]="venc",Tabla2[[#This Row],[estado pago]]="por pagar"),"vencida","no")</f>
        <v>no</v>
      </c>
    </row>
    <row r="250" spans="1:30" ht="19.5" hidden="1" customHeight="1" x14ac:dyDescent="0.25">
      <c r="A250" s="8" t="s">
        <v>1850</v>
      </c>
      <c r="B250" s="8" t="s">
        <v>1851</v>
      </c>
      <c r="C250" s="8">
        <v>30</v>
      </c>
      <c r="D250" s="151">
        <v>0</v>
      </c>
      <c r="E250" s="151"/>
      <c r="F250" s="24" t="s">
        <v>137</v>
      </c>
      <c r="G250" s="30">
        <v>45044</v>
      </c>
      <c r="H250" s="81" t="s">
        <v>45</v>
      </c>
      <c r="I250" s="30">
        <v>44999</v>
      </c>
      <c r="J250" s="16" t="s">
        <v>698</v>
      </c>
      <c r="K250" s="9" t="s">
        <v>1530</v>
      </c>
      <c r="L250" s="9"/>
      <c r="M250" s="152">
        <v>563025</v>
      </c>
      <c r="N250" s="153">
        <v>106974.75</v>
      </c>
      <c r="O250" s="152">
        <v>0</v>
      </c>
      <c r="P250" s="154">
        <v>0</v>
      </c>
      <c r="Q250" s="152">
        <v>0</v>
      </c>
      <c r="R250" s="9">
        <v>669999.75</v>
      </c>
      <c r="S250" s="21" t="s">
        <v>1846</v>
      </c>
      <c r="T250" s="117">
        <v>0</v>
      </c>
      <c r="U250" s="117" t="s">
        <v>347</v>
      </c>
      <c r="V250" s="117">
        <v>2023</v>
      </c>
      <c r="W250" s="117">
        <v>6</v>
      </c>
      <c r="X250" s="117">
        <v>1145000</v>
      </c>
      <c r="Y250" s="117">
        <v>2.5000000000000001E-2</v>
      </c>
      <c r="Z250" s="21" t="b">
        <v>0</v>
      </c>
      <c r="AA250" s="162">
        <f>+$AD$5-Tabla2[[#This Row],[FECHA DE FACTURACIÓN]]</f>
        <v>444</v>
      </c>
      <c r="AB250" s="163" t="str">
        <f>+IF(Tabla2[[#This Row],[dias de credito]]&gt;=Tabla2[[#This Row],[PLAZO Días]],"venc", "No venc")</f>
        <v>venc</v>
      </c>
      <c r="AC250" s="163" t="str">
        <f>+IF(Tabla2[[#This Row],[FECHA DE PAGO]]&gt;0,"pagada","por pagar")</f>
        <v>pagada</v>
      </c>
      <c r="AD250" s="164" t="str">
        <f>+IF(AND(Tabla2[[#This Row],[venc]]="venc",Tabla2[[#This Row],[estado pago]]="por pagar"),"vencida","no")</f>
        <v>no</v>
      </c>
    </row>
    <row r="251" spans="1:30" ht="19.5" hidden="1" customHeight="1" x14ac:dyDescent="0.25">
      <c r="A251" s="8" t="s">
        <v>1852</v>
      </c>
      <c r="B251" s="8" t="b">
        <v>0</v>
      </c>
      <c r="C251" s="8">
        <v>30</v>
      </c>
      <c r="D251" s="151">
        <v>0</v>
      </c>
      <c r="E251" s="151"/>
      <c r="F251" s="24" t="s">
        <v>1497</v>
      </c>
      <c r="G251" s="30">
        <v>45044</v>
      </c>
      <c r="H251" s="81" t="s">
        <v>1865</v>
      </c>
      <c r="I251" s="30">
        <v>45044</v>
      </c>
      <c r="J251" s="16" t="s">
        <v>775</v>
      </c>
      <c r="K251" s="9" t="s">
        <v>1530</v>
      </c>
      <c r="L251" s="9"/>
      <c r="M251" s="152">
        <v>1615000</v>
      </c>
      <c r="N251" s="153">
        <v>0</v>
      </c>
      <c r="O251" s="152">
        <v>0</v>
      </c>
      <c r="P251" s="154">
        <v>0</v>
      </c>
      <c r="Q251" s="152">
        <v>0</v>
      </c>
      <c r="R251" s="9">
        <v>1615000</v>
      </c>
      <c r="S251" s="21" t="s">
        <v>1846</v>
      </c>
      <c r="T251" s="117">
        <v>0</v>
      </c>
      <c r="U251" s="117">
        <v>0</v>
      </c>
      <c r="V251" s="117">
        <v>2023</v>
      </c>
      <c r="W251" s="117">
        <v>6</v>
      </c>
      <c r="X251" s="117">
        <v>0</v>
      </c>
      <c r="Y251" s="117">
        <v>0</v>
      </c>
      <c r="Z251" s="21" t="b">
        <v>0</v>
      </c>
      <c r="AA251" s="162">
        <f>+$AD$5-Tabla2[[#This Row],[FECHA DE FACTURACIÓN]]</f>
        <v>399</v>
      </c>
      <c r="AB251" s="163" t="str">
        <f>+IF(Tabla2[[#This Row],[dias de credito]]&gt;=Tabla2[[#This Row],[PLAZO Días]],"venc", "No venc")</f>
        <v>venc</v>
      </c>
      <c r="AC251" s="163" t="str">
        <f>+IF(Tabla2[[#This Row],[FECHA DE PAGO]]&gt;0,"pagada","por pagar")</f>
        <v>pagada</v>
      </c>
      <c r="AD251" s="164" t="str">
        <f>+IF(AND(Tabla2[[#This Row],[venc]]="venc",Tabla2[[#This Row],[estado pago]]="por pagar"),"vencida","no")</f>
        <v>no</v>
      </c>
    </row>
    <row r="252" spans="1:30" ht="19.5" hidden="1" customHeight="1" x14ac:dyDescent="0.25">
      <c r="A252" s="8" t="s">
        <v>1852</v>
      </c>
      <c r="B252" s="8" t="b">
        <v>0</v>
      </c>
      <c r="C252" s="8">
        <v>30</v>
      </c>
      <c r="D252" s="151">
        <v>0</v>
      </c>
      <c r="E252" s="151"/>
      <c r="F252" s="24" t="s">
        <v>84</v>
      </c>
      <c r="G252" s="30">
        <v>45046</v>
      </c>
      <c r="H252" s="81" t="s">
        <v>525</v>
      </c>
      <c r="I252" s="30">
        <v>45046</v>
      </c>
      <c r="J252" s="16" t="s">
        <v>478</v>
      </c>
      <c r="K252" s="9" t="s">
        <v>1530</v>
      </c>
      <c r="L252" s="9"/>
      <c r="M252" s="152">
        <v>40000</v>
      </c>
      <c r="N252" s="153">
        <v>0</v>
      </c>
      <c r="O252" s="152">
        <v>0</v>
      </c>
      <c r="P252" s="154">
        <v>0</v>
      </c>
      <c r="Q252" s="152">
        <v>0</v>
      </c>
      <c r="R252" s="9">
        <v>40000</v>
      </c>
      <c r="S252" s="21" t="s">
        <v>1846</v>
      </c>
      <c r="T252" s="117">
        <v>0</v>
      </c>
      <c r="U252" s="117">
        <v>0</v>
      </c>
      <c r="V252" s="117">
        <v>2023</v>
      </c>
      <c r="W252" s="117">
        <v>6</v>
      </c>
      <c r="X252" s="117">
        <v>0</v>
      </c>
      <c r="Y252" s="117">
        <v>0</v>
      </c>
      <c r="Z252" s="21" t="b">
        <v>0</v>
      </c>
      <c r="AA252" s="162">
        <f>+$AD$5-Tabla2[[#This Row],[FECHA DE FACTURACIÓN]]</f>
        <v>397</v>
      </c>
      <c r="AB252" s="163" t="str">
        <f>+IF(Tabla2[[#This Row],[dias de credito]]&gt;=Tabla2[[#This Row],[PLAZO Días]],"venc", "No venc")</f>
        <v>venc</v>
      </c>
      <c r="AC252" s="163" t="str">
        <f>+IF(Tabla2[[#This Row],[FECHA DE PAGO]]&gt;0,"pagada","por pagar")</f>
        <v>pagada</v>
      </c>
      <c r="AD252" s="164" t="str">
        <f>+IF(AND(Tabla2[[#This Row],[venc]]="venc",Tabla2[[#This Row],[estado pago]]="por pagar"),"vencida","no")</f>
        <v>no</v>
      </c>
    </row>
    <row r="253" spans="1:30" ht="19.5" hidden="1" customHeight="1" x14ac:dyDescent="0.25">
      <c r="A253" s="8" t="s">
        <v>1852</v>
      </c>
      <c r="B253" s="8" t="b">
        <v>0</v>
      </c>
      <c r="C253" s="8">
        <v>30</v>
      </c>
      <c r="D253" s="151">
        <v>0</v>
      </c>
      <c r="E253" s="151"/>
      <c r="F253" s="24" t="s">
        <v>84</v>
      </c>
      <c r="G253" s="30">
        <v>45046</v>
      </c>
      <c r="H253" s="81" t="s">
        <v>525</v>
      </c>
      <c r="I253" s="30">
        <v>45046</v>
      </c>
      <c r="J253" s="16" t="s">
        <v>502</v>
      </c>
      <c r="K253" s="9" t="s">
        <v>1530</v>
      </c>
      <c r="L253" s="9"/>
      <c r="M253" s="152">
        <v>69000</v>
      </c>
      <c r="N253" s="153">
        <v>0</v>
      </c>
      <c r="O253" s="152">
        <v>0</v>
      </c>
      <c r="P253" s="154">
        <v>0</v>
      </c>
      <c r="Q253" s="152">
        <v>0</v>
      </c>
      <c r="R253" s="9">
        <v>69000</v>
      </c>
      <c r="S253" s="21" t="s">
        <v>1846</v>
      </c>
      <c r="T253" s="117">
        <v>0</v>
      </c>
      <c r="U253" s="117">
        <v>0</v>
      </c>
      <c r="V253" s="117">
        <v>2023</v>
      </c>
      <c r="W253" s="117">
        <v>6</v>
      </c>
      <c r="X253" s="117">
        <v>0</v>
      </c>
      <c r="Y253" s="117">
        <v>0</v>
      </c>
      <c r="Z253" s="21" t="b">
        <v>0</v>
      </c>
      <c r="AA253" s="162">
        <f>+$AD$5-Tabla2[[#This Row],[FECHA DE FACTURACIÓN]]</f>
        <v>397</v>
      </c>
      <c r="AB253" s="163" t="str">
        <f>+IF(Tabla2[[#This Row],[dias de credito]]&gt;=Tabla2[[#This Row],[PLAZO Días]],"venc", "No venc")</f>
        <v>venc</v>
      </c>
      <c r="AC253" s="163" t="str">
        <f>+IF(Tabla2[[#This Row],[FECHA DE PAGO]]&gt;0,"pagada","por pagar")</f>
        <v>pagada</v>
      </c>
      <c r="AD253" s="164" t="str">
        <f>+IF(AND(Tabla2[[#This Row],[venc]]="venc",Tabla2[[#This Row],[estado pago]]="por pagar"),"vencida","no")</f>
        <v>no</v>
      </c>
    </row>
    <row r="254" spans="1:30" ht="19.5" hidden="1" customHeight="1" x14ac:dyDescent="0.25">
      <c r="A254" s="8" t="s">
        <v>1852</v>
      </c>
      <c r="B254" s="8" t="b">
        <v>0</v>
      </c>
      <c r="C254" s="8">
        <v>30</v>
      </c>
      <c r="D254" s="151">
        <v>0</v>
      </c>
      <c r="E254" s="151"/>
      <c r="F254" s="24" t="s">
        <v>84</v>
      </c>
      <c r="G254" s="30">
        <v>45046</v>
      </c>
      <c r="H254" s="81" t="s">
        <v>525</v>
      </c>
      <c r="I254" s="30">
        <v>45046</v>
      </c>
      <c r="J254" s="16" t="s">
        <v>476</v>
      </c>
      <c r="K254" s="9" t="s">
        <v>1530</v>
      </c>
      <c r="L254" s="9"/>
      <c r="M254" s="152">
        <v>200800</v>
      </c>
      <c r="N254" s="153">
        <v>0</v>
      </c>
      <c r="O254" s="152">
        <v>0</v>
      </c>
      <c r="P254" s="154">
        <v>0</v>
      </c>
      <c r="Q254" s="152">
        <v>0</v>
      </c>
      <c r="R254" s="9">
        <v>200800</v>
      </c>
      <c r="S254" s="21" t="s">
        <v>1846</v>
      </c>
      <c r="T254" s="117">
        <v>0</v>
      </c>
      <c r="U254" s="117">
        <v>0</v>
      </c>
      <c r="V254" s="117">
        <v>2023</v>
      </c>
      <c r="W254" s="117">
        <v>6</v>
      </c>
      <c r="X254" s="117">
        <v>0</v>
      </c>
      <c r="Y254" s="117">
        <v>0</v>
      </c>
      <c r="Z254" s="21" t="b">
        <v>0</v>
      </c>
      <c r="AA254" s="162">
        <f>+$AD$5-Tabla2[[#This Row],[FECHA DE FACTURACIÓN]]</f>
        <v>397</v>
      </c>
      <c r="AB254" s="163" t="str">
        <f>+IF(Tabla2[[#This Row],[dias de credito]]&gt;=Tabla2[[#This Row],[PLAZO Días]],"venc", "No venc")</f>
        <v>venc</v>
      </c>
      <c r="AC254" s="163" t="str">
        <f>+IF(Tabla2[[#This Row],[FECHA DE PAGO]]&gt;0,"pagada","por pagar")</f>
        <v>pagada</v>
      </c>
      <c r="AD254" s="164" t="str">
        <f>+IF(AND(Tabla2[[#This Row],[venc]]="venc",Tabla2[[#This Row],[estado pago]]="por pagar"),"vencida","no")</f>
        <v>no</v>
      </c>
    </row>
    <row r="255" spans="1:30" ht="19.5" hidden="1" customHeight="1" x14ac:dyDescent="0.25">
      <c r="A255" s="8" t="s">
        <v>1852</v>
      </c>
      <c r="B255" s="8" t="b">
        <v>0</v>
      </c>
      <c r="C255" s="8">
        <v>30</v>
      </c>
      <c r="D255" s="151">
        <v>0</v>
      </c>
      <c r="E255" s="151"/>
      <c r="F255" s="24" t="s">
        <v>84</v>
      </c>
      <c r="G255" s="30">
        <v>45046</v>
      </c>
      <c r="H255" s="81" t="s">
        <v>525</v>
      </c>
      <c r="I255" s="30">
        <v>45046</v>
      </c>
      <c r="J255" s="16" t="s">
        <v>480</v>
      </c>
      <c r="K255" s="9" t="s">
        <v>1530</v>
      </c>
      <c r="L255" s="9"/>
      <c r="M255" s="152">
        <v>450600</v>
      </c>
      <c r="N255" s="153">
        <v>0</v>
      </c>
      <c r="O255" s="152">
        <v>0</v>
      </c>
      <c r="P255" s="154">
        <v>0</v>
      </c>
      <c r="Q255" s="152">
        <v>0</v>
      </c>
      <c r="R255" s="9">
        <v>450600</v>
      </c>
      <c r="S255" s="21" t="s">
        <v>1846</v>
      </c>
      <c r="T255" s="117">
        <v>0</v>
      </c>
      <c r="U255" s="117">
        <v>0</v>
      </c>
      <c r="V255" s="117">
        <v>2023</v>
      </c>
      <c r="W255" s="117">
        <v>6</v>
      </c>
      <c r="X255" s="117">
        <v>0</v>
      </c>
      <c r="Y255" s="117">
        <v>0</v>
      </c>
      <c r="Z255" s="21" t="b">
        <v>0</v>
      </c>
      <c r="AA255" s="162">
        <f>+$AD$5-Tabla2[[#This Row],[FECHA DE FACTURACIÓN]]</f>
        <v>397</v>
      </c>
      <c r="AB255" s="163" t="str">
        <f>+IF(Tabla2[[#This Row],[dias de credito]]&gt;=Tabla2[[#This Row],[PLAZO Días]],"venc", "No venc")</f>
        <v>venc</v>
      </c>
      <c r="AC255" s="163" t="str">
        <f>+IF(Tabla2[[#This Row],[FECHA DE PAGO]]&gt;0,"pagada","por pagar")</f>
        <v>pagada</v>
      </c>
      <c r="AD255" s="164" t="str">
        <f>+IF(AND(Tabla2[[#This Row],[venc]]="venc",Tabla2[[#This Row],[estado pago]]="por pagar"),"vencida","no")</f>
        <v>no</v>
      </c>
    </row>
    <row r="256" spans="1:30" ht="19.5" hidden="1" customHeight="1" x14ac:dyDescent="0.25">
      <c r="A256" s="8" t="s">
        <v>1852</v>
      </c>
      <c r="B256" s="8" t="b">
        <v>0</v>
      </c>
      <c r="C256" s="8">
        <v>30</v>
      </c>
      <c r="D256" s="151">
        <v>0</v>
      </c>
      <c r="E256" s="151"/>
      <c r="F256" s="24" t="s">
        <v>84</v>
      </c>
      <c r="G256" s="30">
        <v>45046</v>
      </c>
      <c r="H256" s="81" t="s">
        <v>525</v>
      </c>
      <c r="I256" s="30">
        <v>45046</v>
      </c>
      <c r="J256" s="16" t="s">
        <v>477</v>
      </c>
      <c r="K256" s="9" t="s">
        <v>1530</v>
      </c>
      <c r="L256" s="9"/>
      <c r="M256" s="152">
        <v>954000</v>
      </c>
      <c r="N256" s="153">
        <v>0</v>
      </c>
      <c r="O256" s="152">
        <v>0</v>
      </c>
      <c r="P256" s="154">
        <v>0</v>
      </c>
      <c r="Q256" s="152">
        <v>0</v>
      </c>
      <c r="R256" s="9">
        <v>954000</v>
      </c>
      <c r="S256" s="21" t="s">
        <v>1846</v>
      </c>
      <c r="T256" s="117">
        <v>0</v>
      </c>
      <c r="U256" s="117">
        <v>0</v>
      </c>
      <c r="V256" s="117">
        <v>2023</v>
      </c>
      <c r="W256" s="117">
        <v>6</v>
      </c>
      <c r="X256" s="117">
        <v>0</v>
      </c>
      <c r="Y256" s="117">
        <v>0</v>
      </c>
      <c r="Z256" s="21" t="b">
        <v>0</v>
      </c>
      <c r="AA256" s="162">
        <f>+$AD$5-Tabla2[[#This Row],[FECHA DE FACTURACIÓN]]</f>
        <v>397</v>
      </c>
      <c r="AB256" s="163" t="str">
        <f>+IF(Tabla2[[#This Row],[dias de credito]]&gt;=Tabla2[[#This Row],[PLAZO Días]],"venc", "No venc")</f>
        <v>venc</v>
      </c>
      <c r="AC256" s="163" t="str">
        <f>+IF(Tabla2[[#This Row],[FECHA DE PAGO]]&gt;0,"pagada","por pagar")</f>
        <v>pagada</v>
      </c>
      <c r="AD256" s="164" t="str">
        <f>+IF(AND(Tabla2[[#This Row],[venc]]="venc",Tabla2[[#This Row],[estado pago]]="por pagar"),"vencida","no")</f>
        <v>no</v>
      </c>
    </row>
    <row r="257" spans="1:30" ht="19.5" hidden="1" customHeight="1" x14ac:dyDescent="0.25">
      <c r="A257" s="8" t="s">
        <v>1850</v>
      </c>
      <c r="B257" s="8" t="s">
        <v>1851</v>
      </c>
      <c r="C257" s="8">
        <v>30</v>
      </c>
      <c r="D257" s="151">
        <v>9950488.6799999997</v>
      </c>
      <c r="E257" s="151"/>
      <c r="F257" s="24" t="s">
        <v>410</v>
      </c>
      <c r="G257" s="30">
        <v>45048</v>
      </c>
      <c r="H257" s="81" t="s">
        <v>11</v>
      </c>
      <c r="I257" s="30">
        <v>44994</v>
      </c>
      <c r="J257" s="16" t="s">
        <v>614</v>
      </c>
      <c r="K257" s="9" t="s">
        <v>1530</v>
      </c>
      <c r="L257" s="9"/>
      <c r="M257" s="152">
        <v>3405512</v>
      </c>
      <c r="N257" s="153">
        <v>647047.28</v>
      </c>
      <c r="O257" s="152">
        <v>0</v>
      </c>
      <c r="P257" s="154">
        <v>2.5000000000000001E-2</v>
      </c>
      <c r="Q257" s="152">
        <v>85137.8</v>
      </c>
      <c r="R257" s="9">
        <v>3967421.4800000004</v>
      </c>
      <c r="S257" s="21" t="s">
        <v>1846</v>
      </c>
      <c r="T257" s="117">
        <v>0</v>
      </c>
      <c r="U257" s="117" t="s">
        <v>347</v>
      </c>
      <c r="V257" s="117">
        <v>2023</v>
      </c>
      <c r="W257" s="117">
        <v>6</v>
      </c>
      <c r="X257" s="117">
        <v>1145000</v>
      </c>
      <c r="Y257" s="117">
        <v>2.5000000000000001E-2</v>
      </c>
      <c r="Z257" s="21" t="b">
        <v>0</v>
      </c>
      <c r="AA257" s="162">
        <f>+$AD$5-Tabla2[[#This Row],[FECHA DE FACTURACIÓN]]</f>
        <v>449</v>
      </c>
      <c r="AB257" s="163" t="str">
        <f>+IF(Tabla2[[#This Row],[dias de credito]]&gt;=Tabla2[[#This Row],[PLAZO Días]],"venc", "No venc")</f>
        <v>venc</v>
      </c>
      <c r="AC257" s="163" t="str">
        <f>+IF(Tabla2[[#This Row],[FECHA DE PAGO]]&gt;0,"pagada","por pagar")</f>
        <v>pagada</v>
      </c>
      <c r="AD257" s="164" t="str">
        <f>+IF(AND(Tabla2[[#This Row],[venc]]="venc",Tabla2[[#This Row],[estado pago]]="por pagar"),"vencida","no")</f>
        <v>no</v>
      </c>
    </row>
    <row r="258" spans="1:30" ht="19.5" hidden="1" customHeight="1" x14ac:dyDescent="0.25">
      <c r="A258" s="8" t="s">
        <v>1850</v>
      </c>
      <c r="B258" s="8" t="s">
        <v>1851</v>
      </c>
      <c r="C258" s="8">
        <v>30</v>
      </c>
      <c r="D258" s="151">
        <v>5813868.5099999998</v>
      </c>
      <c r="E258" s="151"/>
      <c r="F258" s="24" t="s">
        <v>455</v>
      </c>
      <c r="G258" s="30">
        <v>45048</v>
      </c>
      <c r="H258" s="81" t="s">
        <v>24</v>
      </c>
      <c r="I258" s="30">
        <v>44996</v>
      </c>
      <c r="J258" s="16" t="s">
        <v>618</v>
      </c>
      <c r="K258" s="9" t="s">
        <v>504</v>
      </c>
      <c r="L258" s="9"/>
      <c r="M258" s="152">
        <v>10188720</v>
      </c>
      <c r="N258" s="153">
        <v>1935856.8</v>
      </c>
      <c r="O258" s="152">
        <v>0</v>
      </c>
      <c r="P258" s="154">
        <v>2.5000000000000001E-2</v>
      </c>
      <c r="Q258" s="152">
        <v>254718</v>
      </c>
      <c r="R258" s="9">
        <v>11869858.800000001</v>
      </c>
      <c r="S258" s="21" t="s">
        <v>1846</v>
      </c>
      <c r="T258" s="117">
        <v>0</v>
      </c>
      <c r="U258" s="117" t="s">
        <v>347</v>
      </c>
      <c r="V258" s="117">
        <v>2023</v>
      </c>
      <c r="W258" s="117">
        <v>6</v>
      </c>
      <c r="X258" s="117">
        <v>1145000</v>
      </c>
      <c r="Y258" s="117">
        <v>2.5000000000000001E-2</v>
      </c>
      <c r="Z258" s="21" t="b">
        <v>0</v>
      </c>
      <c r="AA258" s="162">
        <f>+$AD$5-Tabla2[[#This Row],[FECHA DE FACTURACIÓN]]</f>
        <v>447</v>
      </c>
      <c r="AB258" s="163" t="str">
        <f>+IF(Tabla2[[#This Row],[dias de credito]]&gt;=Tabla2[[#This Row],[PLAZO Días]],"venc", "No venc")</f>
        <v>venc</v>
      </c>
      <c r="AC258" s="163" t="str">
        <f>+IF(Tabla2[[#This Row],[FECHA DE PAGO]]&gt;0,"pagada","por pagar")</f>
        <v>pagada</v>
      </c>
      <c r="AD258" s="164" t="str">
        <f>+IF(AND(Tabla2[[#This Row],[venc]]="venc",Tabla2[[#This Row],[estado pago]]="por pagar"),"vencida","no")</f>
        <v>no</v>
      </c>
    </row>
    <row r="259" spans="1:30" ht="19.5" hidden="1" customHeight="1" x14ac:dyDescent="0.25">
      <c r="A259" s="8" t="s">
        <v>1850</v>
      </c>
      <c r="B259" s="8" t="s">
        <v>1851</v>
      </c>
      <c r="C259" s="8">
        <v>30</v>
      </c>
      <c r="D259" s="151">
        <v>352000</v>
      </c>
      <c r="E259" s="151"/>
      <c r="F259" s="24" t="s">
        <v>84</v>
      </c>
      <c r="G259" s="30">
        <v>45049</v>
      </c>
      <c r="H259" s="81" t="s">
        <v>527</v>
      </c>
      <c r="I259" s="30">
        <v>44968</v>
      </c>
      <c r="J259" s="16">
        <v>36</v>
      </c>
      <c r="K259" s="9" t="s">
        <v>1530</v>
      </c>
      <c r="L259" s="9"/>
      <c r="M259" s="152">
        <v>89000</v>
      </c>
      <c r="N259" s="153">
        <v>0</v>
      </c>
      <c r="O259" s="152">
        <v>0</v>
      </c>
      <c r="P259" s="154">
        <v>0</v>
      </c>
      <c r="Q259" s="152">
        <v>0</v>
      </c>
      <c r="R259" s="9">
        <v>89000</v>
      </c>
      <c r="S259" s="21" t="s">
        <v>1846</v>
      </c>
      <c r="T259" s="117">
        <v>0</v>
      </c>
      <c r="U259" s="117">
        <v>0</v>
      </c>
      <c r="V259" s="117">
        <v>2023</v>
      </c>
      <c r="W259" s="117">
        <v>6</v>
      </c>
      <c r="X259" s="117">
        <v>0</v>
      </c>
      <c r="Y259" s="117">
        <v>0</v>
      </c>
      <c r="Z259" s="21" t="b">
        <v>0</v>
      </c>
      <c r="AA259" s="162">
        <f>+$AD$5-Tabla2[[#This Row],[FECHA DE FACTURACIÓN]]</f>
        <v>475</v>
      </c>
      <c r="AB259" s="163" t="str">
        <f>+IF(Tabla2[[#This Row],[dias de credito]]&gt;=Tabla2[[#This Row],[PLAZO Días]],"venc", "No venc")</f>
        <v>venc</v>
      </c>
      <c r="AC259" s="163" t="str">
        <f>+IF(Tabla2[[#This Row],[FECHA DE PAGO]]&gt;0,"pagada","por pagar")</f>
        <v>pagada</v>
      </c>
      <c r="AD259" s="164" t="str">
        <f>+IF(AND(Tabla2[[#This Row],[venc]]="venc",Tabla2[[#This Row],[estado pago]]="por pagar"),"vencida","no")</f>
        <v>no</v>
      </c>
    </row>
    <row r="260" spans="1:30" ht="19.5" hidden="1" customHeight="1" x14ac:dyDescent="0.25">
      <c r="A260" s="8" t="s">
        <v>1850</v>
      </c>
      <c r="B260" s="8" t="s">
        <v>1851</v>
      </c>
      <c r="C260" s="8">
        <v>30</v>
      </c>
      <c r="D260" s="151">
        <v>352000</v>
      </c>
      <c r="E260" s="151"/>
      <c r="F260" s="24" t="s">
        <v>84</v>
      </c>
      <c r="G260" s="30">
        <v>45049</v>
      </c>
      <c r="H260" s="81" t="s">
        <v>527</v>
      </c>
      <c r="I260" s="30">
        <v>44975</v>
      </c>
      <c r="J260" s="16">
        <v>37</v>
      </c>
      <c r="K260" s="9" t="s">
        <v>1530</v>
      </c>
      <c r="L260" s="9"/>
      <c r="M260" s="152">
        <v>78000</v>
      </c>
      <c r="N260" s="153">
        <v>0</v>
      </c>
      <c r="O260" s="152">
        <v>0</v>
      </c>
      <c r="P260" s="154">
        <v>0</v>
      </c>
      <c r="Q260" s="152">
        <v>0</v>
      </c>
      <c r="R260" s="9">
        <v>78000</v>
      </c>
      <c r="S260" s="21" t="s">
        <v>1846</v>
      </c>
      <c r="T260" s="117">
        <v>0</v>
      </c>
      <c r="U260" s="117">
        <v>0</v>
      </c>
      <c r="V260" s="117">
        <v>2023</v>
      </c>
      <c r="W260" s="117">
        <v>6</v>
      </c>
      <c r="X260" s="117">
        <v>0</v>
      </c>
      <c r="Y260" s="117">
        <v>0</v>
      </c>
      <c r="Z260" s="21" t="b">
        <v>0</v>
      </c>
      <c r="AA260" s="162">
        <f>+$AD$5-Tabla2[[#This Row],[FECHA DE FACTURACIÓN]]</f>
        <v>468</v>
      </c>
      <c r="AB260" s="163" t="str">
        <f>+IF(Tabla2[[#This Row],[dias de credito]]&gt;=Tabla2[[#This Row],[PLAZO Días]],"venc", "No venc")</f>
        <v>venc</v>
      </c>
      <c r="AC260" s="163" t="str">
        <f>+IF(Tabla2[[#This Row],[FECHA DE PAGO]]&gt;0,"pagada","por pagar")</f>
        <v>pagada</v>
      </c>
      <c r="AD260" s="164" t="str">
        <f>+IF(AND(Tabla2[[#This Row],[venc]]="venc",Tabla2[[#This Row],[estado pago]]="por pagar"),"vencida","no")</f>
        <v>no</v>
      </c>
    </row>
    <row r="261" spans="1:30" ht="19.5" hidden="1" customHeight="1" x14ac:dyDescent="0.25">
      <c r="A261" s="8" t="s">
        <v>1850</v>
      </c>
      <c r="B261" s="8" t="s">
        <v>1851</v>
      </c>
      <c r="C261" s="8">
        <v>30</v>
      </c>
      <c r="D261" s="151">
        <v>352000</v>
      </c>
      <c r="E261" s="151"/>
      <c r="F261" s="24" t="s">
        <v>84</v>
      </c>
      <c r="G261" s="30">
        <v>45049</v>
      </c>
      <c r="H261" s="81" t="s">
        <v>527</v>
      </c>
      <c r="I261" s="30">
        <v>44978</v>
      </c>
      <c r="J261" s="16">
        <v>38</v>
      </c>
      <c r="K261" s="9" t="s">
        <v>1530</v>
      </c>
      <c r="L261" s="9"/>
      <c r="M261" s="152">
        <v>102000</v>
      </c>
      <c r="N261" s="153">
        <v>0</v>
      </c>
      <c r="O261" s="152">
        <v>0</v>
      </c>
      <c r="P261" s="154">
        <v>0</v>
      </c>
      <c r="Q261" s="152">
        <v>0</v>
      </c>
      <c r="R261" s="9">
        <v>102000</v>
      </c>
      <c r="S261" s="21" t="s">
        <v>1846</v>
      </c>
      <c r="T261" s="117">
        <v>0</v>
      </c>
      <c r="U261" s="117">
        <v>0</v>
      </c>
      <c r="V261" s="117">
        <v>2023</v>
      </c>
      <c r="W261" s="117">
        <v>6</v>
      </c>
      <c r="X261" s="117">
        <v>0</v>
      </c>
      <c r="Y261" s="117">
        <v>0</v>
      </c>
      <c r="Z261" s="21" t="b">
        <v>0</v>
      </c>
      <c r="AA261" s="162">
        <f>+$AD$5-Tabla2[[#This Row],[FECHA DE FACTURACIÓN]]</f>
        <v>465</v>
      </c>
      <c r="AB261" s="163" t="str">
        <f>+IF(Tabla2[[#This Row],[dias de credito]]&gt;=Tabla2[[#This Row],[PLAZO Días]],"venc", "No venc")</f>
        <v>venc</v>
      </c>
      <c r="AC261" s="163" t="str">
        <f>+IF(Tabla2[[#This Row],[FECHA DE PAGO]]&gt;0,"pagada","por pagar")</f>
        <v>pagada</v>
      </c>
      <c r="AD261" s="164" t="str">
        <f>+IF(AND(Tabla2[[#This Row],[venc]]="venc",Tabla2[[#This Row],[estado pago]]="por pagar"),"vencida","no")</f>
        <v>no</v>
      </c>
    </row>
    <row r="262" spans="1:30" ht="19.5" hidden="1" customHeight="1" x14ac:dyDescent="0.25">
      <c r="A262" s="8" t="s">
        <v>1850</v>
      </c>
      <c r="B262" s="8" t="s">
        <v>1851</v>
      </c>
      <c r="C262" s="8">
        <v>30</v>
      </c>
      <c r="D262" s="151">
        <v>352000</v>
      </c>
      <c r="E262" s="151"/>
      <c r="F262" s="24" t="s">
        <v>84</v>
      </c>
      <c r="G262" s="30">
        <v>45049</v>
      </c>
      <c r="H262" s="81" t="s">
        <v>527</v>
      </c>
      <c r="I262" s="30">
        <v>44982</v>
      </c>
      <c r="J262" s="16">
        <v>39</v>
      </c>
      <c r="K262" s="9" t="s">
        <v>1530</v>
      </c>
      <c r="L262" s="9"/>
      <c r="M262" s="152">
        <v>26600</v>
      </c>
      <c r="N262" s="153">
        <v>0</v>
      </c>
      <c r="O262" s="152">
        <v>0</v>
      </c>
      <c r="P262" s="154">
        <v>0</v>
      </c>
      <c r="Q262" s="152">
        <v>0</v>
      </c>
      <c r="R262" s="9">
        <v>26600</v>
      </c>
      <c r="S262" s="21" t="s">
        <v>1846</v>
      </c>
      <c r="T262" s="117">
        <v>0</v>
      </c>
      <c r="U262" s="117">
        <v>0</v>
      </c>
      <c r="V262" s="117">
        <v>2023</v>
      </c>
      <c r="W262" s="117">
        <v>6</v>
      </c>
      <c r="X262" s="117">
        <v>0</v>
      </c>
      <c r="Y262" s="117">
        <v>0</v>
      </c>
      <c r="Z262" s="21" t="b">
        <v>0</v>
      </c>
      <c r="AA262" s="162">
        <f>+$AD$5-Tabla2[[#This Row],[FECHA DE FACTURACIÓN]]</f>
        <v>461</v>
      </c>
      <c r="AB262" s="163" t="str">
        <f>+IF(Tabla2[[#This Row],[dias de credito]]&gt;=Tabla2[[#This Row],[PLAZO Días]],"venc", "No venc")</f>
        <v>venc</v>
      </c>
      <c r="AC262" s="163" t="str">
        <f>+IF(Tabla2[[#This Row],[FECHA DE PAGO]]&gt;0,"pagada","por pagar")</f>
        <v>pagada</v>
      </c>
      <c r="AD262" s="164" t="str">
        <f>+IF(AND(Tabla2[[#This Row],[venc]]="venc",Tabla2[[#This Row],[estado pago]]="por pagar"),"vencida","no")</f>
        <v>no</v>
      </c>
    </row>
    <row r="263" spans="1:30" ht="19.5" hidden="1" customHeight="1" x14ac:dyDescent="0.25">
      <c r="A263" s="8" t="s">
        <v>1850</v>
      </c>
      <c r="B263" s="8" t="s">
        <v>1851</v>
      </c>
      <c r="C263" s="8">
        <v>30</v>
      </c>
      <c r="D263" s="151">
        <v>352000</v>
      </c>
      <c r="E263" s="151"/>
      <c r="F263" s="24" t="s">
        <v>84</v>
      </c>
      <c r="G263" s="30">
        <v>45049</v>
      </c>
      <c r="H263" s="81" t="s">
        <v>527</v>
      </c>
      <c r="I263" s="30">
        <v>44985</v>
      </c>
      <c r="J263" s="16">
        <v>40</v>
      </c>
      <c r="K263" s="9" t="s">
        <v>1530</v>
      </c>
      <c r="L263" s="9"/>
      <c r="M263" s="152">
        <v>113000</v>
      </c>
      <c r="N263" s="153">
        <v>0</v>
      </c>
      <c r="O263" s="152">
        <v>0</v>
      </c>
      <c r="P263" s="154">
        <v>0</v>
      </c>
      <c r="Q263" s="152">
        <v>0</v>
      </c>
      <c r="R263" s="9">
        <v>113000</v>
      </c>
      <c r="S263" s="21" t="s">
        <v>1846</v>
      </c>
      <c r="T263" s="117">
        <v>0</v>
      </c>
      <c r="U263" s="117">
        <v>0</v>
      </c>
      <c r="V263" s="117">
        <v>2023</v>
      </c>
      <c r="W263" s="117">
        <v>6</v>
      </c>
      <c r="X263" s="117">
        <v>0</v>
      </c>
      <c r="Y263" s="117">
        <v>0</v>
      </c>
      <c r="Z263" s="21" t="b">
        <v>0</v>
      </c>
      <c r="AA263" s="162">
        <f>+$AD$5-Tabla2[[#This Row],[FECHA DE FACTURACIÓN]]</f>
        <v>458</v>
      </c>
      <c r="AB263" s="163" t="str">
        <f>+IF(Tabla2[[#This Row],[dias de credito]]&gt;=Tabla2[[#This Row],[PLAZO Días]],"venc", "No venc")</f>
        <v>venc</v>
      </c>
      <c r="AC263" s="163" t="str">
        <f>+IF(Tabla2[[#This Row],[FECHA DE PAGO]]&gt;0,"pagada","por pagar")</f>
        <v>pagada</v>
      </c>
      <c r="AD263" s="164" t="str">
        <f>+IF(AND(Tabla2[[#This Row],[venc]]="venc",Tabla2[[#This Row],[estado pago]]="por pagar"),"vencida","no")</f>
        <v>no</v>
      </c>
    </row>
    <row r="264" spans="1:30" ht="19.5" hidden="1" customHeight="1" x14ac:dyDescent="0.25">
      <c r="A264" s="8" t="s">
        <v>1850</v>
      </c>
      <c r="B264" s="8" t="s">
        <v>1851</v>
      </c>
      <c r="C264" s="8">
        <v>30</v>
      </c>
      <c r="D264" s="151">
        <v>352000</v>
      </c>
      <c r="E264" s="151"/>
      <c r="F264" s="24" t="s">
        <v>84</v>
      </c>
      <c r="G264" s="30">
        <v>45049</v>
      </c>
      <c r="H264" s="81" t="s">
        <v>527</v>
      </c>
      <c r="I264" s="30">
        <v>44993</v>
      </c>
      <c r="J264" s="16">
        <v>41</v>
      </c>
      <c r="K264" s="9" t="s">
        <v>1530</v>
      </c>
      <c r="L264" s="9"/>
      <c r="M264" s="152">
        <v>468000</v>
      </c>
      <c r="N264" s="153">
        <v>0</v>
      </c>
      <c r="O264" s="152">
        <v>0</v>
      </c>
      <c r="P264" s="154">
        <v>0</v>
      </c>
      <c r="Q264" s="152">
        <v>0</v>
      </c>
      <c r="R264" s="9">
        <v>468000</v>
      </c>
      <c r="S264" s="21" t="s">
        <v>1846</v>
      </c>
      <c r="T264" s="117">
        <v>0</v>
      </c>
      <c r="U264" s="117">
        <v>0</v>
      </c>
      <c r="V264" s="117">
        <v>2023</v>
      </c>
      <c r="W264" s="117">
        <v>6</v>
      </c>
      <c r="X264" s="117">
        <v>0</v>
      </c>
      <c r="Y264" s="117">
        <v>0</v>
      </c>
      <c r="Z264" s="21" t="b">
        <v>0</v>
      </c>
      <c r="AA264" s="162">
        <f>+$AD$5-Tabla2[[#This Row],[FECHA DE FACTURACIÓN]]</f>
        <v>450</v>
      </c>
      <c r="AB264" s="163" t="str">
        <f>+IF(Tabla2[[#This Row],[dias de credito]]&gt;=Tabla2[[#This Row],[PLAZO Días]],"venc", "No venc")</f>
        <v>venc</v>
      </c>
      <c r="AC264" s="163" t="str">
        <f>+IF(Tabla2[[#This Row],[FECHA DE PAGO]]&gt;0,"pagada","por pagar")</f>
        <v>pagada</v>
      </c>
      <c r="AD264" s="164" t="str">
        <f>+IF(AND(Tabla2[[#This Row],[venc]]="venc",Tabla2[[#This Row],[estado pago]]="por pagar"),"vencida","no")</f>
        <v>no</v>
      </c>
    </row>
    <row r="265" spans="1:30" ht="19.5" hidden="1" customHeight="1" x14ac:dyDescent="0.25">
      <c r="A265" s="8" t="s">
        <v>1850</v>
      </c>
      <c r="B265" s="8" t="s">
        <v>1851</v>
      </c>
      <c r="C265" s="8">
        <v>30</v>
      </c>
      <c r="D265" s="151">
        <v>352000</v>
      </c>
      <c r="E265" s="151"/>
      <c r="F265" s="24" t="s">
        <v>84</v>
      </c>
      <c r="G265" s="30">
        <v>45049</v>
      </c>
      <c r="H265" s="81" t="s">
        <v>527</v>
      </c>
      <c r="I265" s="30">
        <v>44999</v>
      </c>
      <c r="J265" s="16">
        <v>42</v>
      </c>
      <c r="K265" s="9" t="s">
        <v>1530</v>
      </c>
      <c r="L265" s="9"/>
      <c r="M265" s="152">
        <v>86000</v>
      </c>
      <c r="N265" s="153">
        <v>0</v>
      </c>
      <c r="O265" s="152">
        <v>0</v>
      </c>
      <c r="P265" s="154">
        <v>0</v>
      </c>
      <c r="Q265" s="152">
        <v>0</v>
      </c>
      <c r="R265" s="9">
        <v>86000</v>
      </c>
      <c r="S265" s="21" t="s">
        <v>1846</v>
      </c>
      <c r="T265" s="117">
        <v>0</v>
      </c>
      <c r="U265" s="117">
        <v>0</v>
      </c>
      <c r="V265" s="117">
        <v>2023</v>
      </c>
      <c r="W265" s="117">
        <v>6</v>
      </c>
      <c r="X265" s="117">
        <v>0</v>
      </c>
      <c r="Y265" s="117">
        <v>0</v>
      </c>
      <c r="Z265" s="21" t="b">
        <v>0</v>
      </c>
      <c r="AA265" s="162">
        <f>+$AD$5-Tabla2[[#This Row],[FECHA DE FACTURACIÓN]]</f>
        <v>444</v>
      </c>
      <c r="AB265" s="163" t="str">
        <f>+IF(Tabla2[[#This Row],[dias de credito]]&gt;=Tabla2[[#This Row],[PLAZO Días]],"venc", "No venc")</f>
        <v>venc</v>
      </c>
      <c r="AC265" s="163" t="str">
        <f>+IF(Tabla2[[#This Row],[FECHA DE PAGO]]&gt;0,"pagada","por pagar")</f>
        <v>pagada</v>
      </c>
      <c r="AD265" s="164" t="str">
        <f>+IF(AND(Tabla2[[#This Row],[venc]]="venc",Tabla2[[#This Row],[estado pago]]="por pagar"),"vencida","no")</f>
        <v>no</v>
      </c>
    </row>
    <row r="266" spans="1:30" ht="19.5" hidden="1" customHeight="1" x14ac:dyDescent="0.25">
      <c r="A266" s="8" t="s">
        <v>1850</v>
      </c>
      <c r="B266" s="8" t="s">
        <v>1851</v>
      </c>
      <c r="C266" s="8">
        <v>30</v>
      </c>
      <c r="D266" s="151">
        <v>0</v>
      </c>
      <c r="E266" s="151"/>
      <c r="F266" s="24" t="s">
        <v>84</v>
      </c>
      <c r="G266" s="30">
        <v>45049</v>
      </c>
      <c r="H266" s="81" t="s">
        <v>1811</v>
      </c>
      <c r="I266" s="30">
        <v>45008</v>
      </c>
      <c r="J266" s="16" t="s">
        <v>659</v>
      </c>
      <c r="K266" s="9" t="s">
        <v>1530</v>
      </c>
      <c r="L266" s="9"/>
      <c r="M266" s="152">
        <v>4835000</v>
      </c>
      <c r="N266" s="153">
        <v>0</v>
      </c>
      <c r="O266" s="152">
        <v>0</v>
      </c>
      <c r="P266" s="154">
        <v>0</v>
      </c>
      <c r="Q266" s="152">
        <v>0</v>
      </c>
      <c r="R266" s="9">
        <v>4835000</v>
      </c>
      <c r="S266" s="21" t="s">
        <v>1846</v>
      </c>
      <c r="T266" s="117">
        <v>0</v>
      </c>
      <c r="U266" s="117">
        <v>0</v>
      </c>
      <c r="V266" s="117">
        <v>2023</v>
      </c>
      <c r="W266" s="117">
        <v>6</v>
      </c>
      <c r="X266" s="117">
        <v>0</v>
      </c>
      <c r="Y266" s="117">
        <v>0</v>
      </c>
      <c r="Z266" s="21" t="b">
        <v>0</v>
      </c>
      <c r="AA266" s="162">
        <f>+$AD$5-Tabla2[[#This Row],[FECHA DE FACTURACIÓN]]</f>
        <v>435</v>
      </c>
      <c r="AB266" s="163" t="str">
        <f>+IF(Tabla2[[#This Row],[dias de credito]]&gt;=Tabla2[[#This Row],[PLAZO Días]],"venc", "No venc")</f>
        <v>venc</v>
      </c>
      <c r="AC266" s="163" t="str">
        <f>+IF(Tabla2[[#This Row],[FECHA DE PAGO]]&gt;0,"pagada","por pagar")</f>
        <v>pagada</v>
      </c>
      <c r="AD266" s="164" t="str">
        <f>+IF(AND(Tabla2[[#This Row],[venc]]="venc",Tabla2[[#This Row],[estado pago]]="por pagar"),"vencida","no")</f>
        <v>no</v>
      </c>
    </row>
    <row r="267" spans="1:30" ht="19.5" hidden="1" customHeight="1" x14ac:dyDescent="0.25">
      <c r="A267" s="8" t="s">
        <v>1850</v>
      </c>
      <c r="B267" s="8" t="s">
        <v>1851</v>
      </c>
      <c r="C267" s="8">
        <v>30</v>
      </c>
      <c r="D267" s="151">
        <v>3130000</v>
      </c>
      <c r="E267" s="151"/>
      <c r="F267" s="24">
        <v>0</v>
      </c>
      <c r="G267" s="30">
        <v>45049</v>
      </c>
      <c r="H267" s="81" t="s">
        <v>472</v>
      </c>
      <c r="I267" s="30">
        <v>45013</v>
      </c>
      <c r="J267" s="16">
        <v>10379</v>
      </c>
      <c r="K267" s="9" t="s">
        <v>1530</v>
      </c>
      <c r="L267" s="9"/>
      <c r="M267" s="152">
        <v>525000</v>
      </c>
      <c r="N267" s="153">
        <v>0</v>
      </c>
      <c r="O267" s="152">
        <v>0</v>
      </c>
      <c r="P267" s="154">
        <v>0</v>
      </c>
      <c r="Q267" s="152">
        <v>0</v>
      </c>
      <c r="R267" s="9">
        <v>525000</v>
      </c>
      <c r="S267" s="21" t="s">
        <v>1846</v>
      </c>
      <c r="T267" s="117">
        <v>0</v>
      </c>
      <c r="U267" s="117">
        <v>0</v>
      </c>
      <c r="V267" s="117">
        <v>2023</v>
      </c>
      <c r="W267" s="117">
        <v>6</v>
      </c>
      <c r="X267" s="117">
        <v>0</v>
      </c>
      <c r="Y267" s="117">
        <v>0</v>
      </c>
      <c r="Z267" s="21" t="b">
        <v>0</v>
      </c>
      <c r="AA267" s="162">
        <f>+$AD$5-Tabla2[[#This Row],[FECHA DE FACTURACIÓN]]</f>
        <v>430</v>
      </c>
      <c r="AB267" s="163" t="str">
        <f>+IF(Tabla2[[#This Row],[dias de credito]]&gt;=Tabla2[[#This Row],[PLAZO Días]],"venc", "No venc")</f>
        <v>venc</v>
      </c>
      <c r="AC267" s="163" t="str">
        <f>+IF(Tabla2[[#This Row],[FECHA DE PAGO]]&gt;0,"pagada","por pagar")</f>
        <v>pagada</v>
      </c>
      <c r="AD267" s="164" t="str">
        <f>+IF(AND(Tabla2[[#This Row],[venc]]="venc",Tabla2[[#This Row],[estado pago]]="por pagar"),"vencida","no")</f>
        <v>no</v>
      </c>
    </row>
    <row r="268" spans="1:30" ht="19.5" hidden="1" customHeight="1" x14ac:dyDescent="0.25">
      <c r="A268" s="8" t="s">
        <v>1850</v>
      </c>
      <c r="B268" s="8" t="s">
        <v>1851</v>
      </c>
      <c r="C268" s="8">
        <v>30</v>
      </c>
      <c r="D268" s="151">
        <v>352000</v>
      </c>
      <c r="E268" s="151"/>
      <c r="F268" s="24" t="s">
        <v>84</v>
      </c>
      <c r="G268" s="30">
        <v>45049</v>
      </c>
      <c r="H268" s="81" t="s">
        <v>527</v>
      </c>
      <c r="I268" s="30">
        <v>45013</v>
      </c>
      <c r="J268" s="16">
        <v>43</v>
      </c>
      <c r="K268" s="9" t="s">
        <v>1530</v>
      </c>
      <c r="L268" s="9"/>
      <c r="M268" s="152">
        <v>226000</v>
      </c>
      <c r="N268" s="153">
        <v>0</v>
      </c>
      <c r="O268" s="152">
        <v>0</v>
      </c>
      <c r="P268" s="154">
        <v>0</v>
      </c>
      <c r="Q268" s="152">
        <v>0</v>
      </c>
      <c r="R268" s="9">
        <v>226000</v>
      </c>
      <c r="S268" s="21" t="s">
        <v>1846</v>
      </c>
      <c r="T268" s="117">
        <v>0</v>
      </c>
      <c r="U268" s="117">
        <v>0</v>
      </c>
      <c r="V268" s="117">
        <v>2023</v>
      </c>
      <c r="W268" s="117">
        <v>6</v>
      </c>
      <c r="X268" s="117">
        <v>0</v>
      </c>
      <c r="Y268" s="117">
        <v>0</v>
      </c>
      <c r="Z268" s="21" t="b">
        <v>0</v>
      </c>
      <c r="AA268" s="162">
        <f>+$AD$5-Tabla2[[#This Row],[FECHA DE FACTURACIÓN]]</f>
        <v>430</v>
      </c>
      <c r="AB268" s="163" t="str">
        <f>+IF(Tabla2[[#This Row],[dias de credito]]&gt;=Tabla2[[#This Row],[PLAZO Días]],"venc", "No venc")</f>
        <v>venc</v>
      </c>
      <c r="AC268" s="163" t="str">
        <f>+IF(Tabla2[[#This Row],[FECHA DE PAGO]]&gt;0,"pagada","por pagar")</f>
        <v>pagada</v>
      </c>
      <c r="AD268" s="164" t="str">
        <f>+IF(AND(Tabla2[[#This Row],[venc]]="venc",Tabla2[[#This Row],[estado pago]]="por pagar"),"vencida","no")</f>
        <v>no</v>
      </c>
    </row>
    <row r="269" spans="1:30" ht="19.5" hidden="1" customHeight="1" x14ac:dyDescent="0.25">
      <c r="A269" s="8" t="s">
        <v>1852</v>
      </c>
      <c r="B269" s="8" t="b">
        <v>0</v>
      </c>
      <c r="C269" s="8">
        <v>30</v>
      </c>
      <c r="D269" s="151">
        <v>0</v>
      </c>
      <c r="E269" s="151"/>
      <c r="F269" s="24" t="s">
        <v>1497</v>
      </c>
      <c r="G269" s="30">
        <v>45049</v>
      </c>
      <c r="H269" s="81" t="s">
        <v>1865</v>
      </c>
      <c r="I269" s="30">
        <v>45049</v>
      </c>
      <c r="J269" s="16" t="s">
        <v>790</v>
      </c>
      <c r="K269" s="9" t="s">
        <v>1530</v>
      </c>
      <c r="L269" s="9"/>
      <c r="M269" s="152">
        <v>1740000</v>
      </c>
      <c r="N269" s="153">
        <v>0</v>
      </c>
      <c r="O269" s="152">
        <v>0</v>
      </c>
      <c r="P269" s="154">
        <v>0</v>
      </c>
      <c r="Q269" s="152">
        <v>0</v>
      </c>
      <c r="R269" s="9">
        <v>1740000</v>
      </c>
      <c r="S269" s="21" t="s">
        <v>1846</v>
      </c>
      <c r="T269" s="117">
        <v>0</v>
      </c>
      <c r="U269" s="117">
        <v>0</v>
      </c>
      <c r="V269" s="117">
        <v>2023</v>
      </c>
      <c r="W269" s="117">
        <v>6</v>
      </c>
      <c r="X269" s="117">
        <v>0</v>
      </c>
      <c r="Y269" s="117">
        <v>0</v>
      </c>
      <c r="Z269" s="21" t="b">
        <v>0</v>
      </c>
      <c r="AA269" s="162">
        <f>+$AD$5-Tabla2[[#This Row],[FECHA DE FACTURACIÓN]]</f>
        <v>394</v>
      </c>
      <c r="AB269" s="163" t="str">
        <f>+IF(Tabla2[[#This Row],[dias de credito]]&gt;=Tabla2[[#This Row],[PLAZO Días]],"venc", "No venc")</f>
        <v>venc</v>
      </c>
      <c r="AC269" s="163" t="str">
        <f>+IF(Tabla2[[#This Row],[FECHA DE PAGO]]&gt;0,"pagada","por pagar")</f>
        <v>pagada</v>
      </c>
      <c r="AD269" s="164" t="str">
        <f>+IF(AND(Tabla2[[#This Row],[venc]]="venc",Tabla2[[#This Row],[estado pago]]="por pagar"),"vencida","no")</f>
        <v>no</v>
      </c>
    </row>
    <row r="270" spans="1:30" ht="19.5" hidden="1" customHeight="1" x14ac:dyDescent="0.25">
      <c r="A270" s="8" t="s">
        <v>1850</v>
      </c>
      <c r="B270" s="8" t="b">
        <v>0</v>
      </c>
      <c r="C270" s="8">
        <v>60</v>
      </c>
      <c r="D270" s="151">
        <v>1730482</v>
      </c>
      <c r="E270" s="151"/>
      <c r="F270" s="24" t="s">
        <v>603</v>
      </c>
      <c r="G270" s="30">
        <v>45051</v>
      </c>
      <c r="H270" s="81" t="s">
        <v>222</v>
      </c>
      <c r="I270" s="30">
        <v>45017</v>
      </c>
      <c r="J270" s="16" t="s">
        <v>679</v>
      </c>
      <c r="K270" s="9" t="s">
        <v>1530</v>
      </c>
      <c r="L270" s="9"/>
      <c r="M270" s="152">
        <v>169670</v>
      </c>
      <c r="N270" s="153">
        <v>0</v>
      </c>
      <c r="O270" s="152">
        <v>0</v>
      </c>
      <c r="P270" s="154">
        <v>0</v>
      </c>
      <c r="Q270" s="152">
        <v>0</v>
      </c>
      <c r="R270" s="9">
        <v>169670</v>
      </c>
      <c r="S270" s="21" t="s">
        <v>1846</v>
      </c>
      <c r="T270" s="117">
        <v>0</v>
      </c>
      <c r="U270" s="117">
        <v>0</v>
      </c>
      <c r="V270" s="117">
        <v>2023</v>
      </c>
      <c r="W270" s="117">
        <v>6</v>
      </c>
      <c r="X270" s="117">
        <v>0</v>
      </c>
      <c r="Y270" s="117">
        <v>0</v>
      </c>
      <c r="Z270" s="21" t="b">
        <v>0</v>
      </c>
      <c r="AA270" s="162">
        <f>+$AD$5-Tabla2[[#This Row],[FECHA DE FACTURACIÓN]]</f>
        <v>426</v>
      </c>
      <c r="AB270" s="163" t="str">
        <f>+IF(Tabla2[[#This Row],[dias de credito]]&gt;=Tabla2[[#This Row],[PLAZO Días]],"venc", "No venc")</f>
        <v>venc</v>
      </c>
      <c r="AC270" s="163" t="str">
        <f>+IF(Tabla2[[#This Row],[FECHA DE PAGO]]&gt;0,"pagada","por pagar")</f>
        <v>pagada</v>
      </c>
      <c r="AD270" s="164" t="str">
        <f>+IF(AND(Tabla2[[#This Row],[venc]]="venc",Tabla2[[#This Row],[estado pago]]="por pagar"),"vencida","no")</f>
        <v>no</v>
      </c>
    </row>
    <row r="271" spans="1:30" ht="19.5" hidden="1" customHeight="1" x14ac:dyDescent="0.25">
      <c r="A271" s="8" t="s">
        <v>1850</v>
      </c>
      <c r="B271" s="8" t="b">
        <v>0</v>
      </c>
      <c r="C271" s="8">
        <v>45</v>
      </c>
      <c r="D271" s="151">
        <v>0</v>
      </c>
      <c r="E271" s="151"/>
      <c r="F271" s="24" t="s">
        <v>603</v>
      </c>
      <c r="G271" s="30">
        <v>45051</v>
      </c>
      <c r="H271" s="81" t="s">
        <v>224</v>
      </c>
      <c r="I271" s="30">
        <v>45017</v>
      </c>
      <c r="J271" s="16">
        <v>1647</v>
      </c>
      <c r="K271" s="9" t="s">
        <v>1530</v>
      </c>
      <c r="L271" s="9"/>
      <c r="M271" s="152">
        <v>1853680</v>
      </c>
      <c r="N271" s="153">
        <v>0</v>
      </c>
      <c r="O271" s="152">
        <v>0</v>
      </c>
      <c r="P271" s="154">
        <v>0</v>
      </c>
      <c r="Q271" s="152">
        <v>0</v>
      </c>
      <c r="R271" s="9">
        <v>1853680</v>
      </c>
      <c r="S271" s="21" t="s">
        <v>1846</v>
      </c>
      <c r="T271" s="117">
        <v>0</v>
      </c>
      <c r="U271" s="117">
        <v>0</v>
      </c>
      <c r="V271" s="117">
        <v>2023</v>
      </c>
      <c r="W271" s="117">
        <v>6</v>
      </c>
      <c r="X271" s="117">
        <v>0</v>
      </c>
      <c r="Y271" s="117">
        <v>0</v>
      </c>
      <c r="Z271" s="21" t="b">
        <v>0</v>
      </c>
      <c r="AA271" s="162">
        <f>+$AD$5-Tabla2[[#This Row],[FECHA DE FACTURACIÓN]]</f>
        <v>426</v>
      </c>
      <c r="AB271" s="163" t="str">
        <f>+IF(Tabla2[[#This Row],[dias de credito]]&gt;=Tabla2[[#This Row],[PLAZO Días]],"venc", "No venc")</f>
        <v>venc</v>
      </c>
      <c r="AC271" s="163" t="str">
        <f>+IF(Tabla2[[#This Row],[FECHA DE PAGO]]&gt;0,"pagada","por pagar")</f>
        <v>pagada</v>
      </c>
      <c r="AD271" s="164" t="str">
        <f>+IF(AND(Tabla2[[#This Row],[venc]]="venc",Tabla2[[#This Row],[estado pago]]="por pagar"),"vencida","no")</f>
        <v>no</v>
      </c>
    </row>
    <row r="272" spans="1:30" ht="19.5" hidden="1" customHeight="1" x14ac:dyDescent="0.25">
      <c r="A272" s="8" t="s">
        <v>1850</v>
      </c>
      <c r="B272" s="8" t="b">
        <v>0</v>
      </c>
      <c r="C272" s="8">
        <v>60</v>
      </c>
      <c r="D272" s="151">
        <v>1730482</v>
      </c>
      <c r="E272" s="151"/>
      <c r="F272" s="24" t="s">
        <v>603</v>
      </c>
      <c r="G272" s="30">
        <v>45051</v>
      </c>
      <c r="H272" s="81" t="s">
        <v>222</v>
      </c>
      <c r="I272" s="30">
        <v>45022</v>
      </c>
      <c r="J272" s="16">
        <v>1649</v>
      </c>
      <c r="K272" s="9" t="s">
        <v>1530</v>
      </c>
      <c r="L272" s="9"/>
      <c r="M272" s="152">
        <v>319600</v>
      </c>
      <c r="N272" s="153">
        <v>0</v>
      </c>
      <c r="O272" s="152">
        <v>0</v>
      </c>
      <c r="P272" s="154">
        <v>0</v>
      </c>
      <c r="Q272" s="152">
        <v>0</v>
      </c>
      <c r="R272" s="9">
        <v>319600</v>
      </c>
      <c r="S272" s="21" t="s">
        <v>1846</v>
      </c>
      <c r="T272" s="117">
        <v>0</v>
      </c>
      <c r="U272" s="117">
        <v>0</v>
      </c>
      <c r="V272" s="117">
        <v>2023</v>
      </c>
      <c r="W272" s="117">
        <v>6</v>
      </c>
      <c r="X272" s="117">
        <v>0</v>
      </c>
      <c r="Y272" s="117">
        <v>0</v>
      </c>
      <c r="Z272" s="21" t="b">
        <v>0</v>
      </c>
      <c r="AA272" s="162">
        <f>+$AD$5-Tabla2[[#This Row],[FECHA DE FACTURACIÓN]]</f>
        <v>421</v>
      </c>
      <c r="AB272" s="163" t="str">
        <f>+IF(Tabla2[[#This Row],[dias de credito]]&gt;=Tabla2[[#This Row],[PLAZO Días]],"venc", "No venc")</f>
        <v>venc</v>
      </c>
      <c r="AC272" s="163" t="str">
        <f>+IF(Tabla2[[#This Row],[FECHA DE PAGO]]&gt;0,"pagada","por pagar")</f>
        <v>pagada</v>
      </c>
      <c r="AD272" s="164" t="str">
        <f>+IF(AND(Tabla2[[#This Row],[venc]]="venc",Tabla2[[#This Row],[estado pago]]="por pagar"),"vencida","no")</f>
        <v>no</v>
      </c>
    </row>
    <row r="273" spans="1:30" ht="19.5" hidden="1" customHeight="1" x14ac:dyDescent="0.25">
      <c r="A273" s="8" t="s">
        <v>1850</v>
      </c>
      <c r="B273" s="8" t="b">
        <v>0</v>
      </c>
      <c r="C273" s="8">
        <v>60</v>
      </c>
      <c r="D273" s="151">
        <v>1730482</v>
      </c>
      <c r="E273" s="151"/>
      <c r="F273" s="24" t="s">
        <v>603</v>
      </c>
      <c r="G273" s="30">
        <v>45051</v>
      </c>
      <c r="H273" s="81" t="s">
        <v>222</v>
      </c>
      <c r="I273" s="30">
        <v>45022</v>
      </c>
      <c r="J273" s="16">
        <v>1650</v>
      </c>
      <c r="K273" s="9" t="s">
        <v>1530</v>
      </c>
      <c r="L273" s="9"/>
      <c r="M273" s="152">
        <v>338400</v>
      </c>
      <c r="N273" s="153">
        <v>0</v>
      </c>
      <c r="O273" s="152">
        <v>0</v>
      </c>
      <c r="P273" s="154">
        <v>0</v>
      </c>
      <c r="Q273" s="152">
        <v>0</v>
      </c>
      <c r="R273" s="9">
        <v>338400</v>
      </c>
      <c r="S273" s="21" t="s">
        <v>1846</v>
      </c>
      <c r="T273" s="117">
        <v>0</v>
      </c>
      <c r="U273" s="117">
        <v>0</v>
      </c>
      <c r="V273" s="117">
        <v>2023</v>
      </c>
      <c r="W273" s="117">
        <v>6</v>
      </c>
      <c r="X273" s="117">
        <v>0</v>
      </c>
      <c r="Y273" s="117">
        <v>0</v>
      </c>
      <c r="Z273" s="21" t="b">
        <v>0</v>
      </c>
      <c r="AA273" s="162">
        <f>+$AD$5-Tabla2[[#This Row],[FECHA DE FACTURACIÓN]]</f>
        <v>421</v>
      </c>
      <c r="AB273" s="163" t="str">
        <f>+IF(Tabla2[[#This Row],[dias de credito]]&gt;=Tabla2[[#This Row],[PLAZO Días]],"venc", "No venc")</f>
        <v>venc</v>
      </c>
      <c r="AC273" s="163" t="str">
        <f>+IF(Tabla2[[#This Row],[FECHA DE PAGO]]&gt;0,"pagada","por pagar")</f>
        <v>pagada</v>
      </c>
      <c r="AD273" s="164" t="str">
        <f>+IF(AND(Tabla2[[#This Row],[venc]]="venc",Tabla2[[#This Row],[estado pago]]="por pagar"),"vencida","no")</f>
        <v>no</v>
      </c>
    </row>
    <row r="274" spans="1:30" ht="19.5" hidden="1" customHeight="1" x14ac:dyDescent="0.25">
      <c r="A274" s="8" t="s">
        <v>1850</v>
      </c>
      <c r="B274" s="8" t="b">
        <v>0</v>
      </c>
      <c r="C274" s="8">
        <v>60</v>
      </c>
      <c r="D274" s="151">
        <v>1730482</v>
      </c>
      <c r="E274" s="151"/>
      <c r="F274" s="24" t="s">
        <v>603</v>
      </c>
      <c r="G274" s="30">
        <v>45051</v>
      </c>
      <c r="H274" s="81" t="s">
        <v>222</v>
      </c>
      <c r="I274" s="30">
        <v>45022</v>
      </c>
      <c r="J274" s="16">
        <v>1651</v>
      </c>
      <c r="K274" s="9" t="s">
        <v>1530</v>
      </c>
      <c r="L274" s="9"/>
      <c r="M274" s="152">
        <v>755290</v>
      </c>
      <c r="N274" s="153">
        <v>0</v>
      </c>
      <c r="O274" s="152">
        <v>0</v>
      </c>
      <c r="P274" s="154">
        <v>0</v>
      </c>
      <c r="Q274" s="152">
        <v>0</v>
      </c>
      <c r="R274" s="9">
        <v>755290</v>
      </c>
      <c r="S274" s="21" t="s">
        <v>1846</v>
      </c>
      <c r="T274" s="117">
        <v>0</v>
      </c>
      <c r="U274" s="117">
        <v>0</v>
      </c>
      <c r="V274" s="117">
        <v>2023</v>
      </c>
      <c r="W274" s="117">
        <v>6</v>
      </c>
      <c r="X274" s="117">
        <v>0</v>
      </c>
      <c r="Y274" s="117">
        <v>0</v>
      </c>
      <c r="Z274" s="21" t="b">
        <v>0</v>
      </c>
      <c r="AA274" s="162">
        <f>+$AD$5-Tabla2[[#This Row],[FECHA DE FACTURACIÓN]]</f>
        <v>421</v>
      </c>
      <c r="AB274" s="163" t="str">
        <f>+IF(Tabla2[[#This Row],[dias de credito]]&gt;=Tabla2[[#This Row],[PLAZO Días]],"venc", "No venc")</f>
        <v>venc</v>
      </c>
      <c r="AC274" s="163" t="str">
        <f>+IF(Tabla2[[#This Row],[FECHA DE PAGO]]&gt;0,"pagada","por pagar")</f>
        <v>pagada</v>
      </c>
      <c r="AD274" s="164" t="str">
        <f>+IF(AND(Tabla2[[#This Row],[venc]]="venc",Tabla2[[#This Row],[estado pago]]="por pagar"),"vencida","no")</f>
        <v>no</v>
      </c>
    </row>
    <row r="275" spans="1:30" ht="19.5" hidden="1" customHeight="1" x14ac:dyDescent="0.25">
      <c r="A275" s="8" t="s">
        <v>1850</v>
      </c>
      <c r="B275" s="8" t="b">
        <v>0</v>
      </c>
      <c r="C275" s="8">
        <v>60</v>
      </c>
      <c r="D275" s="151">
        <v>1730482</v>
      </c>
      <c r="E275" s="151"/>
      <c r="F275" s="24" t="s">
        <v>603</v>
      </c>
      <c r="G275" s="30">
        <v>45051</v>
      </c>
      <c r="H275" s="81" t="s">
        <v>222</v>
      </c>
      <c r="I275" s="30">
        <v>45037</v>
      </c>
      <c r="J275" s="16">
        <v>1662</v>
      </c>
      <c r="K275" s="9" t="s">
        <v>1530</v>
      </c>
      <c r="L275" s="9"/>
      <c r="M275" s="152">
        <v>188200</v>
      </c>
      <c r="N275" s="153">
        <v>0</v>
      </c>
      <c r="O275" s="152">
        <v>0</v>
      </c>
      <c r="P275" s="154">
        <v>0</v>
      </c>
      <c r="Q275" s="152">
        <v>0</v>
      </c>
      <c r="R275" s="9">
        <v>188200</v>
      </c>
      <c r="S275" s="21" t="s">
        <v>1846</v>
      </c>
      <c r="T275" s="117">
        <v>0</v>
      </c>
      <c r="U275" s="117">
        <v>0</v>
      </c>
      <c r="V275" s="117">
        <v>2023</v>
      </c>
      <c r="W275" s="117">
        <v>6</v>
      </c>
      <c r="X275" s="117">
        <v>0</v>
      </c>
      <c r="Y275" s="117">
        <v>0</v>
      </c>
      <c r="Z275" s="21" t="b">
        <v>0</v>
      </c>
      <c r="AA275" s="162">
        <f>+$AD$5-Tabla2[[#This Row],[FECHA DE FACTURACIÓN]]</f>
        <v>406</v>
      </c>
      <c r="AB275" s="163" t="str">
        <f>+IF(Tabla2[[#This Row],[dias de credito]]&gt;=Tabla2[[#This Row],[PLAZO Días]],"venc", "No venc")</f>
        <v>venc</v>
      </c>
      <c r="AC275" s="163" t="str">
        <f>+IF(Tabla2[[#This Row],[FECHA DE PAGO]]&gt;0,"pagada","por pagar")</f>
        <v>pagada</v>
      </c>
      <c r="AD275" s="164" t="str">
        <f>+IF(AND(Tabla2[[#This Row],[venc]]="venc",Tabla2[[#This Row],[estado pago]]="por pagar"),"vencida","no")</f>
        <v>no</v>
      </c>
    </row>
    <row r="276" spans="1:30" ht="19.5" hidden="1" customHeight="1" x14ac:dyDescent="0.25">
      <c r="A276" s="8" t="s">
        <v>1850</v>
      </c>
      <c r="B276" s="8" t="b">
        <v>0</v>
      </c>
      <c r="C276" s="8">
        <v>60</v>
      </c>
      <c r="D276" s="151">
        <v>1730482</v>
      </c>
      <c r="E276" s="151"/>
      <c r="F276" s="24" t="s">
        <v>603</v>
      </c>
      <c r="G276" s="30">
        <v>45051</v>
      </c>
      <c r="H276" s="81" t="s">
        <v>222</v>
      </c>
      <c r="I276" s="30">
        <v>45037</v>
      </c>
      <c r="J276" s="16">
        <v>1663</v>
      </c>
      <c r="K276" s="9" t="s">
        <v>1530</v>
      </c>
      <c r="L276" s="9"/>
      <c r="M276" s="152">
        <v>188200</v>
      </c>
      <c r="N276" s="153">
        <v>0</v>
      </c>
      <c r="O276" s="152">
        <v>0</v>
      </c>
      <c r="P276" s="154">
        <v>0</v>
      </c>
      <c r="Q276" s="152">
        <v>0</v>
      </c>
      <c r="R276" s="9">
        <v>188200</v>
      </c>
      <c r="S276" s="21" t="s">
        <v>1846</v>
      </c>
      <c r="T276" s="117">
        <v>0</v>
      </c>
      <c r="U276" s="117">
        <v>0</v>
      </c>
      <c r="V276" s="117">
        <v>2023</v>
      </c>
      <c r="W276" s="117">
        <v>6</v>
      </c>
      <c r="X276" s="117">
        <v>0</v>
      </c>
      <c r="Y276" s="117">
        <v>0</v>
      </c>
      <c r="Z276" s="21" t="b">
        <v>0</v>
      </c>
      <c r="AA276" s="162">
        <f>+$AD$5-Tabla2[[#This Row],[FECHA DE FACTURACIÓN]]</f>
        <v>406</v>
      </c>
      <c r="AB276" s="163" t="str">
        <f>+IF(Tabla2[[#This Row],[dias de credito]]&gt;=Tabla2[[#This Row],[PLAZO Días]],"venc", "No venc")</f>
        <v>venc</v>
      </c>
      <c r="AC276" s="163" t="str">
        <f>+IF(Tabla2[[#This Row],[FECHA DE PAGO]]&gt;0,"pagada","por pagar")</f>
        <v>pagada</v>
      </c>
      <c r="AD276" s="164" t="str">
        <f>+IF(AND(Tabla2[[#This Row],[venc]]="venc",Tabla2[[#This Row],[estado pago]]="por pagar"),"vencida","no")</f>
        <v>no</v>
      </c>
    </row>
    <row r="277" spans="1:30" ht="19.5" hidden="1" customHeight="1" x14ac:dyDescent="0.25">
      <c r="A277" s="8" t="s">
        <v>1850</v>
      </c>
      <c r="B277" s="8" t="b">
        <v>0</v>
      </c>
      <c r="C277" s="8">
        <v>45</v>
      </c>
      <c r="D277" s="151">
        <v>0</v>
      </c>
      <c r="E277" s="151"/>
      <c r="F277" s="24" t="s">
        <v>603</v>
      </c>
      <c r="G277" s="30">
        <v>45051</v>
      </c>
      <c r="H277" s="81" t="s">
        <v>224</v>
      </c>
      <c r="I277" s="30">
        <v>45044</v>
      </c>
      <c r="J277" s="16">
        <v>1666</v>
      </c>
      <c r="K277" s="9" t="s">
        <v>1530</v>
      </c>
      <c r="L277" s="9"/>
      <c r="M277" s="152">
        <v>3125500</v>
      </c>
      <c r="N277" s="153">
        <v>0</v>
      </c>
      <c r="O277" s="152">
        <v>0</v>
      </c>
      <c r="P277" s="154">
        <v>0</v>
      </c>
      <c r="Q277" s="152">
        <v>0</v>
      </c>
      <c r="R277" s="9">
        <v>3125500</v>
      </c>
      <c r="S277" s="21" t="s">
        <v>1846</v>
      </c>
      <c r="T277" s="117">
        <v>0</v>
      </c>
      <c r="U277" s="117">
        <v>0</v>
      </c>
      <c r="V277" s="117">
        <v>2023</v>
      </c>
      <c r="W277" s="117">
        <v>6</v>
      </c>
      <c r="X277" s="117">
        <v>0</v>
      </c>
      <c r="Y277" s="117">
        <v>0</v>
      </c>
      <c r="Z277" s="21" t="b">
        <v>0</v>
      </c>
      <c r="AA277" s="162">
        <f>+$AD$5-Tabla2[[#This Row],[FECHA DE FACTURACIÓN]]</f>
        <v>399</v>
      </c>
      <c r="AB277" s="163" t="str">
        <f>+IF(Tabla2[[#This Row],[dias de credito]]&gt;=Tabla2[[#This Row],[PLAZO Días]],"venc", "No venc")</f>
        <v>venc</v>
      </c>
      <c r="AC277" s="163" t="str">
        <f>+IF(Tabla2[[#This Row],[FECHA DE PAGO]]&gt;0,"pagada","por pagar")</f>
        <v>pagada</v>
      </c>
      <c r="AD277" s="164" t="str">
        <f>+IF(AND(Tabla2[[#This Row],[venc]]="venc",Tabla2[[#This Row],[estado pago]]="por pagar"),"vencida","no")</f>
        <v>no</v>
      </c>
    </row>
    <row r="278" spans="1:30" ht="19.5" hidden="1" customHeight="1" x14ac:dyDescent="0.25">
      <c r="A278" s="8" t="s">
        <v>1850</v>
      </c>
      <c r="B278" s="8" t="b">
        <v>0</v>
      </c>
      <c r="C278" s="8">
        <v>45</v>
      </c>
      <c r="D278" s="151">
        <v>0</v>
      </c>
      <c r="E278" s="151"/>
      <c r="F278" s="24" t="s">
        <v>603</v>
      </c>
      <c r="G278" s="30">
        <v>45051</v>
      </c>
      <c r="H278" s="81" t="s">
        <v>224</v>
      </c>
      <c r="I278" s="30">
        <v>45046</v>
      </c>
      <c r="J278" s="16">
        <v>1668</v>
      </c>
      <c r="K278" s="9" t="s">
        <v>1530</v>
      </c>
      <c r="L278" s="9"/>
      <c r="M278" s="152">
        <v>1880000</v>
      </c>
      <c r="N278" s="153">
        <v>0</v>
      </c>
      <c r="O278" s="152">
        <v>0</v>
      </c>
      <c r="P278" s="154">
        <v>0</v>
      </c>
      <c r="Q278" s="152">
        <v>0</v>
      </c>
      <c r="R278" s="9">
        <v>1880000</v>
      </c>
      <c r="S278" s="21" t="s">
        <v>1846</v>
      </c>
      <c r="T278" s="117">
        <v>0</v>
      </c>
      <c r="U278" s="117">
        <v>0</v>
      </c>
      <c r="V278" s="117">
        <v>2023</v>
      </c>
      <c r="W278" s="117">
        <v>6</v>
      </c>
      <c r="X278" s="117">
        <v>0</v>
      </c>
      <c r="Y278" s="117">
        <v>0</v>
      </c>
      <c r="Z278" s="21" t="b">
        <v>0</v>
      </c>
      <c r="AA278" s="162">
        <f>+$AD$5-Tabla2[[#This Row],[FECHA DE FACTURACIÓN]]</f>
        <v>397</v>
      </c>
      <c r="AB278" s="163" t="str">
        <f>+IF(Tabla2[[#This Row],[dias de credito]]&gt;=Tabla2[[#This Row],[PLAZO Días]],"venc", "No venc")</f>
        <v>venc</v>
      </c>
      <c r="AC278" s="163" t="str">
        <f>+IF(Tabla2[[#This Row],[FECHA DE PAGO]]&gt;0,"pagada","por pagar")</f>
        <v>pagada</v>
      </c>
      <c r="AD278" s="164" t="str">
        <f>+IF(AND(Tabla2[[#This Row],[venc]]="venc",Tabla2[[#This Row],[estado pago]]="por pagar"),"vencida","no")</f>
        <v>no</v>
      </c>
    </row>
    <row r="279" spans="1:30" ht="19.5" hidden="1" customHeight="1" x14ac:dyDescent="0.25">
      <c r="A279" s="8" t="s">
        <v>1850</v>
      </c>
      <c r="B279" s="8" t="b">
        <v>0</v>
      </c>
      <c r="C279" s="8">
        <v>30</v>
      </c>
      <c r="D279" s="151">
        <v>0</v>
      </c>
      <c r="E279" s="151"/>
      <c r="F279" s="24" t="s">
        <v>413</v>
      </c>
      <c r="G279" s="30">
        <v>45052</v>
      </c>
      <c r="H279" s="81" t="s">
        <v>760</v>
      </c>
      <c r="I279" s="30">
        <v>45044</v>
      </c>
      <c r="J279" s="16" t="s">
        <v>761</v>
      </c>
      <c r="K279" s="9" t="s">
        <v>1530</v>
      </c>
      <c r="L279" s="9"/>
      <c r="M279" s="152">
        <v>800000</v>
      </c>
      <c r="N279" s="153">
        <v>152000</v>
      </c>
      <c r="O279" s="152">
        <v>0</v>
      </c>
      <c r="P279" s="154">
        <v>0</v>
      </c>
      <c r="Q279" s="152">
        <v>0</v>
      </c>
      <c r="R279" s="9">
        <v>952000</v>
      </c>
      <c r="S279" s="21" t="s">
        <v>1846</v>
      </c>
      <c r="T279" s="117">
        <v>0</v>
      </c>
      <c r="U279" s="117" t="s">
        <v>347</v>
      </c>
      <c r="V279" s="117">
        <v>2023</v>
      </c>
      <c r="W279" s="117">
        <v>6</v>
      </c>
      <c r="X279" s="117">
        <v>1145000</v>
      </c>
      <c r="Y279" s="117">
        <v>2.5000000000000001E-2</v>
      </c>
      <c r="Z279" s="21" t="b">
        <v>0</v>
      </c>
      <c r="AA279" s="162">
        <f>+$AD$5-Tabla2[[#This Row],[FECHA DE FACTURACIÓN]]</f>
        <v>399</v>
      </c>
      <c r="AB279" s="163" t="str">
        <f>+IF(Tabla2[[#This Row],[dias de credito]]&gt;=Tabla2[[#This Row],[PLAZO Días]],"venc", "No venc")</f>
        <v>venc</v>
      </c>
      <c r="AC279" s="163" t="str">
        <f>+IF(Tabla2[[#This Row],[FECHA DE PAGO]]&gt;0,"pagada","por pagar")</f>
        <v>pagada</v>
      </c>
      <c r="AD279" s="164" t="str">
        <f>+IF(AND(Tabla2[[#This Row],[venc]]="venc",Tabla2[[#This Row],[estado pago]]="por pagar"),"vencida","no")</f>
        <v>no</v>
      </c>
    </row>
    <row r="280" spans="1:30" ht="19.5" hidden="1" customHeight="1" x14ac:dyDescent="0.25">
      <c r="A280" s="8" t="s">
        <v>1850</v>
      </c>
      <c r="B280" s="8" t="s">
        <v>1851</v>
      </c>
      <c r="C280" s="8">
        <v>30</v>
      </c>
      <c r="D280" s="151">
        <v>9349257.8100000005</v>
      </c>
      <c r="E280" s="151"/>
      <c r="F280" s="24" t="s">
        <v>277</v>
      </c>
      <c r="G280" s="30">
        <v>45054</v>
      </c>
      <c r="H280" s="81" t="s">
        <v>226</v>
      </c>
      <c r="I280" s="30">
        <v>44992</v>
      </c>
      <c r="J280" s="16" t="s">
        <v>616</v>
      </c>
      <c r="K280" s="9" t="s">
        <v>1530</v>
      </c>
      <c r="L280" s="9"/>
      <c r="M280" s="152">
        <v>2463004</v>
      </c>
      <c r="N280" s="153">
        <v>467970.76</v>
      </c>
      <c r="O280" s="152">
        <v>0</v>
      </c>
      <c r="P280" s="154">
        <v>2.5000000000000001E-2</v>
      </c>
      <c r="Q280" s="152">
        <v>61575.100000000006</v>
      </c>
      <c r="R280" s="9">
        <v>2869399.6599999997</v>
      </c>
      <c r="S280" s="21" t="s">
        <v>1846</v>
      </c>
      <c r="T280" s="117">
        <v>0</v>
      </c>
      <c r="U280" s="117" t="s">
        <v>347</v>
      </c>
      <c r="V280" s="117">
        <v>2023</v>
      </c>
      <c r="W280" s="117">
        <v>6</v>
      </c>
      <c r="X280" s="117">
        <v>1145000</v>
      </c>
      <c r="Y280" s="117">
        <v>2.5000000000000001E-2</v>
      </c>
      <c r="Z280" s="21" t="b">
        <v>0</v>
      </c>
      <c r="AA280" s="162">
        <f>+$AD$5-Tabla2[[#This Row],[FECHA DE FACTURACIÓN]]</f>
        <v>451</v>
      </c>
      <c r="AB280" s="163" t="str">
        <f>+IF(Tabla2[[#This Row],[dias de credito]]&gt;=Tabla2[[#This Row],[PLAZO Días]],"venc", "No venc")</f>
        <v>venc</v>
      </c>
      <c r="AC280" s="163" t="str">
        <f>+IF(Tabla2[[#This Row],[FECHA DE PAGO]]&gt;0,"pagada","por pagar")</f>
        <v>pagada</v>
      </c>
      <c r="AD280" s="164" t="str">
        <f>+IF(AND(Tabla2[[#This Row],[venc]]="venc",Tabla2[[#This Row],[estado pago]]="por pagar"),"vencida","no")</f>
        <v>no</v>
      </c>
    </row>
    <row r="281" spans="1:30" ht="19.5" hidden="1" customHeight="1" x14ac:dyDescent="0.25">
      <c r="A281" s="8" t="s">
        <v>1850</v>
      </c>
      <c r="B281" s="8" t="s">
        <v>1851</v>
      </c>
      <c r="C281" s="8">
        <v>30</v>
      </c>
      <c r="D281" s="151">
        <v>818443.92</v>
      </c>
      <c r="E281" s="151"/>
      <c r="F281" s="24" t="s">
        <v>111</v>
      </c>
      <c r="G281" s="30">
        <v>45054</v>
      </c>
      <c r="H281" s="81" t="s">
        <v>20</v>
      </c>
      <c r="I281" s="30">
        <v>45006</v>
      </c>
      <c r="J281" s="16" t="s">
        <v>653</v>
      </c>
      <c r="K281" s="9" t="s">
        <v>1530</v>
      </c>
      <c r="L281" s="9"/>
      <c r="M281" s="152">
        <v>1745300</v>
      </c>
      <c r="N281" s="153">
        <v>331607</v>
      </c>
      <c r="O281" s="152">
        <v>0</v>
      </c>
      <c r="P281" s="154">
        <v>2.5000000000000001E-2</v>
      </c>
      <c r="Q281" s="152">
        <v>43632.5</v>
      </c>
      <c r="R281" s="9">
        <v>2033274.5</v>
      </c>
      <c r="S281" s="21" t="s">
        <v>1846</v>
      </c>
      <c r="T281" s="117">
        <v>0</v>
      </c>
      <c r="U281" s="117" t="s">
        <v>347</v>
      </c>
      <c r="V281" s="117">
        <v>2023</v>
      </c>
      <c r="W281" s="117">
        <v>6</v>
      </c>
      <c r="X281" s="117">
        <v>1145000</v>
      </c>
      <c r="Y281" s="117">
        <v>2.5000000000000001E-2</v>
      </c>
      <c r="Z281" s="21" t="b">
        <v>0</v>
      </c>
      <c r="AA281" s="162">
        <f>+$AD$5-Tabla2[[#This Row],[FECHA DE FACTURACIÓN]]</f>
        <v>437</v>
      </c>
      <c r="AB281" s="163" t="str">
        <f>+IF(Tabla2[[#This Row],[dias de credito]]&gt;=Tabla2[[#This Row],[PLAZO Días]],"venc", "No venc")</f>
        <v>venc</v>
      </c>
      <c r="AC281" s="163" t="str">
        <f>+IF(Tabla2[[#This Row],[FECHA DE PAGO]]&gt;0,"pagada","por pagar")</f>
        <v>pagada</v>
      </c>
      <c r="AD281" s="164" t="str">
        <f>+IF(AND(Tabla2[[#This Row],[venc]]="venc",Tabla2[[#This Row],[estado pago]]="por pagar"),"vencida","no")</f>
        <v>no</v>
      </c>
    </row>
    <row r="282" spans="1:30" ht="19.5" hidden="1" customHeight="1" x14ac:dyDescent="0.25">
      <c r="A282" s="8" t="s">
        <v>1850</v>
      </c>
      <c r="B282" s="8" t="s">
        <v>1851</v>
      </c>
      <c r="C282" s="8">
        <v>30</v>
      </c>
      <c r="D282" s="151">
        <v>4466504.835</v>
      </c>
      <c r="E282" s="151"/>
      <c r="F282" s="24" t="s">
        <v>1553</v>
      </c>
      <c r="G282" s="30">
        <v>45054</v>
      </c>
      <c r="H282" s="81" t="s">
        <v>18</v>
      </c>
      <c r="I282" s="30">
        <v>45006</v>
      </c>
      <c r="J282" s="16">
        <v>1067479</v>
      </c>
      <c r="K282" s="9" t="s">
        <v>1530</v>
      </c>
      <c r="L282" s="9"/>
      <c r="M282" s="152">
        <v>3044342</v>
      </c>
      <c r="N282" s="153">
        <v>578424.98</v>
      </c>
      <c r="O282" s="152">
        <v>0</v>
      </c>
      <c r="P282" s="154">
        <v>2.5000000000000001E-2</v>
      </c>
      <c r="Q282" s="152">
        <v>76108.55</v>
      </c>
      <c r="R282" s="9">
        <v>3546658.43</v>
      </c>
      <c r="S282" s="21" t="s">
        <v>1846</v>
      </c>
      <c r="T282" s="117">
        <v>0</v>
      </c>
      <c r="U282" s="117" t="s">
        <v>347</v>
      </c>
      <c r="V282" s="117">
        <v>2023</v>
      </c>
      <c r="W282" s="117">
        <v>6</v>
      </c>
      <c r="X282" s="117">
        <v>1145000</v>
      </c>
      <c r="Y282" s="117">
        <v>2.5000000000000001E-2</v>
      </c>
      <c r="Z282" s="21" t="b">
        <v>0</v>
      </c>
      <c r="AA282" s="162">
        <f>+$AD$5-Tabla2[[#This Row],[FECHA DE FACTURACIÓN]]</f>
        <v>437</v>
      </c>
      <c r="AB282" s="163" t="str">
        <f>+IF(Tabla2[[#This Row],[dias de credito]]&gt;=Tabla2[[#This Row],[PLAZO Días]],"venc", "No venc")</f>
        <v>venc</v>
      </c>
      <c r="AC282" s="163" t="str">
        <f>+IF(Tabla2[[#This Row],[FECHA DE PAGO]]&gt;0,"pagada","por pagar")</f>
        <v>pagada</v>
      </c>
      <c r="AD282" s="164" t="str">
        <f>+IF(AND(Tabla2[[#This Row],[venc]]="venc",Tabla2[[#This Row],[estado pago]]="por pagar"),"vencida","no")</f>
        <v>no</v>
      </c>
    </row>
    <row r="283" spans="1:30" ht="19.5" hidden="1" customHeight="1" x14ac:dyDescent="0.25">
      <c r="A283" s="8" t="s">
        <v>1850</v>
      </c>
      <c r="B283" s="8" t="s">
        <v>1851</v>
      </c>
      <c r="C283" s="8">
        <v>30</v>
      </c>
      <c r="D283" s="151">
        <v>9349257.8100000005</v>
      </c>
      <c r="E283" s="151"/>
      <c r="F283" s="24" t="s">
        <v>277</v>
      </c>
      <c r="G283" s="30">
        <v>45054</v>
      </c>
      <c r="H283" s="81" t="s">
        <v>226</v>
      </c>
      <c r="I283" s="30">
        <v>45006</v>
      </c>
      <c r="J283" s="16" t="s">
        <v>699</v>
      </c>
      <c r="K283" s="9" t="s">
        <v>1530</v>
      </c>
      <c r="L283" s="9"/>
      <c r="M283" s="152">
        <v>659490</v>
      </c>
      <c r="N283" s="153">
        <v>125303.1</v>
      </c>
      <c r="O283" s="152">
        <v>0</v>
      </c>
      <c r="P283" s="154">
        <v>0</v>
      </c>
      <c r="Q283" s="152">
        <v>0</v>
      </c>
      <c r="R283" s="9">
        <v>784793.1</v>
      </c>
      <c r="S283" s="21" t="s">
        <v>1846</v>
      </c>
      <c r="T283" s="117">
        <v>0</v>
      </c>
      <c r="U283" s="117" t="s">
        <v>347</v>
      </c>
      <c r="V283" s="117">
        <v>2023</v>
      </c>
      <c r="W283" s="117">
        <v>6</v>
      </c>
      <c r="X283" s="117">
        <v>1145000</v>
      </c>
      <c r="Y283" s="117">
        <v>2.5000000000000001E-2</v>
      </c>
      <c r="Z283" s="21" t="b">
        <v>0</v>
      </c>
      <c r="AA283" s="162">
        <f>+$AD$5-Tabla2[[#This Row],[FECHA DE FACTURACIÓN]]</f>
        <v>437</v>
      </c>
      <c r="AB283" s="163" t="str">
        <f>+IF(Tabla2[[#This Row],[dias de credito]]&gt;=Tabla2[[#This Row],[PLAZO Días]],"venc", "No venc")</f>
        <v>venc</v>
      </c>
      <c r="AC283" s="163" t="str">
        <f>+IF(Tabla2[[#This Row],[FECHA DE PAGO]]&gt;0,"pagada","por pagar")</f>
        <v>pagada</v>
      </c>
      <c r="AD283" s="164" t="str">
        <f>+IF(AND(Tabla2[[#This Row],[venc]]="venc",Tabla2[[#This Row],[estado pago]]="por pagar"),"vencida","no")</f>
        <v>no</v>
      </c>
    </row>
    <row r="284" spans="1:30" ht="19.5" hidden="1" customHeight="1" x14ac:dyDescent="0.25">
      <c r="A284" s="8" t="s">
        <v>1850</v>
      </c>
      <c r="B284" s="8" t="s">
        <v>1851</v>
      </c>
      <c r="C284" s="8">
        <v>30</v>
      </c>
      <c r="D284" s="151">
        <v>3152439.05</v>
      </c>
      <c r="E284" s="151"/>
      <c r="F284" s="24" t="s">
        <v>227</v>
      </c>
      <c r="G284" s="30">
        <v>45054</v>
      </c>
      <c r="H284" s="81" t="s">
        <v>220</v>
      </c>
      <c r="I284" s="30">
        <v>45007</v>
      </c>
      <c r="J284" s="16" t="s">
        <v>1403</v>
      </c>
      <c r="K284" s="9" t="s">
        <v>1530</v>
      </c>
      <c r="L284" s="9"/>
      <c r="M284" s="152">
        <v>-240000</v>
      </c>
      <c r="N284" s="153">
        <v>-45600</v>
      </c>
      <c r="O284" s="152">
        <v>0</v>
      </c>
      <c r="P284" s="154">
        <v>0</v>
      </c>
      <c r="Q284" s="152">
        <v>0</v>
      </c>
      <c r="R284" s="9">
        <v>-285600</v>
      </c>
      <c r="S284" s="21" t="s">
        <v>1846</v>
      </c>
      <c r="T284" s="117">
        <v>0</v>
      </c>
      <c r="U284" s="117">
        <v>0</v>
      </c>
      <c r="V284" s="117">
        <v>2023</v>
      </c>
      <c r="W284" s="117">
        <v>6</v>
      </c>
      <c r="X284" s="117">
        <v>0</v>
      </c>
      <c r="Y284" s="117">
        <v>0</v>
      </c>
      <c r="Z284" s="21" t="b">
        <v>0</v>
      </c>
      <c r="AA284" s="162">
        <f>+$AD$5-Tabla2[[#This Row],[FECHA DE FACTURACIÓN]]</f>
        <v>436</v>
      </c>
      <c r="AB284" s="163" t="str">
        <f>+IF(Tabla2[[#This Row],[dias de credito]]&gt;=Tabla2[[#This Row],[PLAZO Días]],"venc", "No venc")</f>
        <v>venc</v>
      </c>
      <c r="AC284" s="163" t="str">
        <f>+IF(Tabla2[[#This Row],[FECHA DE PAGO]]&gt;0,"pagada","por pagar")</f>
        <v>pagada</v>
      </c>
      <c r="AD284" s="164" t="str">
        <f>+IF(AND(Tabla2[[#This Row],[venc]]="venc",Tabla2[[#This Row],[estado pago]]="por pagar"),"vencida","no")</f>
        <v>no</v>
      </c>
    </row>
    <row r="285" spans="1:30" ht="19.5" hidden="1" customHeight="1" x14ac:dyDescent="0.25">
      <c r="A285" s="8" t="s">
        <v>1850</v>
      </c>
      <c r="B285" s="8" t="s">
        <v>1851</v>
      </c>
      <c r="C285" s="8">
        <v>30</v>
      </c>
      <c r="D285" s="151">
        <v>3152439.05</v>
      </c>
      <c r="E285" s="151"/>
      <c r="F285" s="24" t="s">
        <v>227</v>
      </c>
      <c r="G285" s="30">
        <v>45054</v>
      </c>
      <c r="H285" s="81" t="s">
        <v>220</v>
      </c>
      <c r="I285" s="30">
        <v>45007</v>
      </c>
      <c r="J285" s="16" t="s">
        <v>702</v>
      </c>
      <c r="K285" s="9" t="s">
        <v>1530</v>
      </c>
      <c r="L285" s="9"/>
      <c r="M285" s="152">
        <v>769800</v>
      </c>
      <c r="N285" s="153">
        <v>146262</v>
      </c>
      <c r="O285" s="152">
        <v>0</v>
      </c>
      <c r="P285" s="154">
        <v>0</v>
      </c>
      <c r="Q285" s="152">
        <v>0</v>
      </c>
      <c r="R285" s="9">
        <v>916062</v>
      </c>
      <c r="S285" s="21" t="s">
        <v>1846</v>
      </c>
      <c r="T285" s="117">
        <v>0</v>
      </c>
      <c r="U285" s="117">
        <v>0</v>
      </c>
      <c r="V285" s="117">
        <v>2023</v>
      </c>
      <c r="W285" s="117">
        <v>6</v>
      </c>
      <c r="X285" s="117">
        <v>0</v>
      </c>
      <c r="Y285" s="117">
        <v>0</v>
      </c>
      <c r="Z285" s="21" t="b">
        <v>0</v>
      </c>
      <c r="AA285" s="162">
        <f>+$AD$5-Tabla2[[#This Row],[FECHA DE FACTURACIÓN]]</f>
        <v>436</v>
      </c>
      <c r="AB285" s="163" t="str">
        <f>+IF(Tabla2[[#This Row],[dias de credito]]&gt;=Tabla2[[#This Row],[PLAZO Días]],"venc", "No venc")</f>
        <v>venc</v>
      </c>
      <c r="AC285" s="163" t="str">
        <f>+IF(Tabla2[[#This Row],[FECHA DE PAGO]]&gt;0,"pagada","por pagar")</f>
        <v>pagada</v>
      </c>
      <c r="AD285" s="164" t="str">
        <f>+IF(AND(Tabla2[[#This Row],[venc]]="venc",Tabla2[[#This Row],[estado pago]]="por pagar"),"vencida","no")</f>
        <v>no</v>
      </c>
    </row>
    <row r="286" spans="1:30" ht="19.5" hidden="1" customHeight="1" x14ac:dyDescent="0.25">
      <c r="A286" s="8" t="s">
        <v>1850</v>
      </c>
      <c r="B286" s="8" t="s">
        <v>1851</v>
      </c>
      <c r="C286" s="8">
        <v>30</v>
      </c>
      <c r="D286" s="151">
        <v>3152439.05</v>
      </c>
      <c r="E286" s="151"/>
      <c r="F286" s="24" t="s">
        <v>227</v>
      </c>
      <c r="G286" s="30">
        <v>45054</v>
      </c>
      <c r="H286" s="81" t="s">
        <v>220</v>
      </c>
      <c r="I286" s="30">
        <v>45012</v>
      </c>
      <c r="J286" s="16" t="s">
        <v>704</v>
      </c>
      <c r="K286" s="9" t="s">
        <v>1530</v>
      </c>
      <c r="L286" s="9"/>
      <c r="M286" s="152">
        <v>1059280</v>
      </c>
      <c r="N286" s="153">
        <v>201263.2</v>
      </c>
      <c r="O286" s="152">
        <v>0</v>
      </c>
      <c r="P286" s="154">
        <v>0</v>
      </c>
      <c r="Q286" s="152">
        <v>0</v>
      </c>
      <c r="R286" s="9">
        <v>1260543.2</v>
      </c>
      <c r="S286" s="21" t="s">
        <v>1846</v>
      </c>
      <c r="T286" s="117">
        <v>0</v>
      </c>
      <c r="U286" s="117">
        <v>0</v>
      </c>
      <c r="V286" s="117">
        <v>2023</v>
      </c>
      <c r="W286" s="117">
        <v>6</v>
      </c>
      <c r="X286" s="117">
        <v>0</v>
      </c>
      <c r="Y286" s="117">
        <v>0</v>
      </c>
      <c r="Z286" s="21" t="b">
        <v>0</v>
      </c>
      <c r="AA286" s="162">
        <f>+$AD$5-Tabla2[[#This Row],[FECHA DE FACTURACIÓN]]</f>
        <v>431</v>
      </c>
      <c r="AB286" s="163" t="str">
        <f>+IF(Tabla2[[#This Row],[dias de credito]]&gt;=Tabla2[[#This Row],[PLAZO Días]],"venc", "No venc")</f>
        <v>venc</v>
      </c>
      <c r="AC286" s="163" t="str">
        <f>+IF(Tabla2[[#This Row],[FECHA DE PAGO]]&gt;0,"pagada","por pagar")</f>
        <v>pagada</v>
      </c>
      <c r="AD286" s="164" t="str">
        <f>+IF(AND(Tabla2[[#This Row],[venc]]="venc",Tabla2[[#This Row],[estado pago]]="por pagar"),"vencida","no")</f>
        <v>no</v>
      </c>
    </row>
    <row r="287" spans="1:30" ht="19.5" hidden="1" customHeight="1" x14ac:dyDescent="0.25">
      <c r="A287" s="8" t="s">
        <v>1850</v>
      </c>
      <c r="B287" s="8" t="s">
        <v>1851</v>
      </c>
      <c r="C287" s="8">
        <v>30</v>
      </c>
      <c r="D287" s="151">
        <v>818443.92</v>
      </c>
      <c r="E287" s="151"/>
      <c r="F287" s="24" t="s">
        <v>111</v>
      </c>
      <c r="G287" s="30">
        <v>45054</v>
      </c>
      <c r="H287" s="81" t="s">
        <v>20</v>
      </c>
      <c r="I287" s="30">
        <v>45016</v>
      </c>
      <c r="J287" s="16" t="s">
        <v>664</v>
      </c>
      <c r="K287" s="9" t="s">
        <v>1530</v>
      </c>
      <c r="L287" s="9"/>
      <c r="M287" s="152">
        <v>1157730</v>
      </c>
      <c r="N287" s="153">
        <v>219968.7</v>
      </c>
      <c r="O287" s="152">
        <v>0</v>
      </c>
      <c r="P287" s="154">
        <v>2.5000000000000001E-2</v>
      </c>
      <c r="Q287" s="152">
        <v>28943.25</v>
      </c>
      <c r="R287" s="9">
        <v>1348755.45</v>
      </c>
      <c r="S287" s="21" t="s">
        <v>1846</v>
      </c>
      <c r="T287" s="117">
        <v>0</v>
      </c>
      <c r="U287" s="117" t="s">
        <v>347</v>
      </c>
      <c r="V287" s="117">
        <v>2023</v>
      </c>
      <c r="W287" s="117">
        <v>6</v>
      </c>
      <c r="X287" s="117">
        <v>1145000</v>
      </c>
      <c r="Y287" s="117">
        <v>2.5000000000000001E-2</v>
      </c>
      <c r="Z287" s="21" t="b">
        <v>0</v>
      </c>
      <c r="AA287" s="162">
        <f>+$AD$5-Tabla2[[#This Row],[FECHA DE FACTURACIÓN]]</f>
        <v>427</v>
      </c>
      <c r="AB287" s="163" t="str">
        <f>+IF(Tabla2[[#This Row],[dias de credito]]&gt;=Tabla2[[#This Row],[PLAZO Días]],"venc", "No venc")</f>
        <v>venc</v>
      </c>
      <c r="AC287" s="163" t="str">
        <f>+IF(Tabla2[[#This Row],[FECHA DE PAGO]]&gt;0,"pagada","por pagar")</f>
        <v>pagada</v>
      </c>
      <c r="AD287" s="164" t="str">
        <f>+IF(AND(Tabla2[[#This Row],[venc]]="venc",Tabla2[[#This Row],[estado pago]]="por pagar"),"vencida","no")</f>
        <v>no</v>
      </c>
    </row>
    <row r="288" spans="1:30" ht="19.5" hidden="1" customHeight="1" x14ac:dyDescent="0.25">
      <c r="A288" s="8" t="s">
        <v>1850</v>
      </c>
      <c r="B288" s="8" t="b">
        <v>0</v>
      </c>
      <c r="C288" s="8">
        <v>30</v>
      </c>
      <c r="D288" s="151">
        <v>3152439.05</v>
      </c>
      <c r="E288" s="151"/>
      <c r="F288" s="24" t="s">
        <v>227</v>
      </c>
      <c r="G288" s="30">
        <v>45054</v>
      </c>
      <c r="H288" s="81" t="s">
        <v>220</v>
      </c>
      <c r="I288" s="30">
        <v>45036</v>
      </c>
      <c r="J288" s="16" t="s">
        <v>738</v>
      </c>
      <c r="K288" s="9" t="s">
        <v>1530</v>
      </c>
      <c r="L288" s="9"/>
      <c r="M288" s="152">
        <v>2649600</v>
      </c>
      <c r="N288" s="153">
        <v>503424</v>
      </c>
      <c r="O288" s="152">
        <v>0</v>
      </c>
      <c r="P288" s="154">
        <v>0</v>
      </c>
      <c r="Q288" s="152">
        <v>0</v>
      </c>
      <c r="R288" s="9">
        <v>3153024</v>
      </c>
      <c r="S288" s="21" t="s">
        <v>1846</v>
      </c>
      <c r="T288" s="117">
        <v>0</v>
      </c>
      <c r="U288" s="117">
        <v>0</v>
      </c>
      <c r="V288" s="117">
        <v>2023</v>
      </c>
      <c r="W288" s="117">
        <v>6</v>
      </c>
      <c r="X288" s="117">
        <v>0</v>
      </c>
      <c r="Y288" s="117">
        <v>0</v>
      </c>
      <c r="Z288" s="21" t="b">
        <v>0</v>
      </c>
      <c r="AA288" s="162">
        <f>+$AD$5-Tabla2[[#This Row],[FECHA DE FACTURACIÓN]]</f>
        <v>407</v>
      </c>
      <c r="AB288" s="163" t="str">
        <f>+IF(Tabla2[[#This Row],[dias de credito]]&gt;=Tabla2[[#This Row],[PLAZO Días]],"venc", "No venc")</f>
        <v>venc</v>
      </c>
      <c r="AC288" s="163" t="str">
        <f>+IF(Tabla2[[#This Row],[FECHA DE PAGO]]&gt;0,"pagada","por pagar")</f>
        <v>pagada</v>
      </c>
      <c r="AD288" s="164" t="str">
        <f>+IF(AND(Tabla2[[#This Row],[venc]]="venc",Tabla2[[#This Row],[estado pago]]="por pagar"),"vencida","no")</f>
        <v>no</v>
      </c>
    </row>
    <row r="289" spans="1:30" ht="19.5" hidden="1" customHeight="1" x14ac:dyDescent="0.25">
      <c r="A289" s="8" t="s">
        <v>1850</v>
      </c>
      <c r="B289" s="8" t="s">
        <v>1851</v>
      </c>
      <c r="C289" s="8">
        <v>60</v>
      </c>
      <c r="D289" s="151">
        <v>0</v>
      </c>
      <c r="E289" s="151"/>
      <c r="F289" s="24" t="s">
        <v>147</v>
      </c>
      <c r="G289" s="30">
        <v>45055</v>
      </c>
      <c r="H289" s="81" t="s">
        <v>221</v>
      </c>
      <c r="I289" s="30">
        <v>44991</v>
      </c>
      <c r="J289" s="16" t="s">
        <v>619</v>
      </c>
      <c r="K289" s="9" t="s">
        <v>1530</v>
      </c>
      <c r="L289" s="9"/>
      <c r="M289" s="152">
        <v>270588</v>
      </c>
      <c r="N289" s="153">
        <v>51411.72</v>
      </c>
      <c r="O289" s="152">
        <v>0</v>
      </c>
      <c r="P289" s="154">
        <v>0</v>
      </c>
      <c r="Q289" s="152">
        <v>0</v>
      </c>
      <c r="R289" s="9">
        <v>321999.71999999997</v>
      </c>
      <c r="S289" s="21" t="s">
        <v>1846</v>
      </c>
      <c r="T289" s="117">
        <v>0</v>
      </c>
      <c r="U289" s="117" t="s">
        <v>347</v>
      </c>
      <c r="V289" s="117">
        <v>2023</v>
      </c>
      <c r="W289" s="117">
        <v>6</v>
      </c>
      <c r="X289" s="117">
        <v>1145000</v>
      </c>
      <c r="Y289" s="117">
        <v>2.5000000000000001E-2</v>
      </c>
      <c r="Z289" s="21" t="b">
        <v>0</v>
      </c>
      <c r="AA289" s="162">
        <f>+$AD$5-Tabla2[[#This Row],[FECHA DE FACTURACIÓN]]</f>
        <v>452</v>
      </c>
      <c r="AB289" s="163" t="str">
        <f>+IF(Tabla2[[#This Row],[dias de credito]]&gt;=Tabla2[[#This Row],[PLAZO Días]],"venc", "No venc")</f>
        <v>venc</v>
      </c>
      <c r="AC289" s="163" t="str">
        <f>+IF(Tabla2[[#This Row],[FECHA DE PAGO]]&gt;0,"pagada","por pagar")</f>
        <v>pagada</v>
      </c>
      <c r="AD289" s="164" t="str">
        <f>+IF(AND(Tabla2[[#This Row],[venc]]="venc",Tabla2[[#This Row],[estado pago]]="por pagar"),"vencida","no")</f>
        <v>no</v>
      </c>
    </row>
    <row r="290" spans="1:30" ht="19.5" hidden="1" customHeight="1" x14ac:dyDescent="0.25">
      <c r="A290" s="8" t="s">
        <v>1850</v>
      </c>
      <c r="B290" s="8" t="b">
        <v>0</v>
      </c>
      <c r="C290" s="8">
        <v>60</v>
      </c>
      <c r="D290" s="151">
        <v>0</v>
      </c>
      <c r="E290" s="151"/>
      <c r="F290" s="24" t="s">
        <v>147</v>
      </c>
      <c r="G290" s="30">
        <v>45055</v>
      </c>
      <c r="H290" s="81" t="s">
        <v>221</v>
      </c>
      <c r="I290" s="30">
        <v>45000</v>
      </c>
      <c r="J290" s="16" t="s">
        <v>612</v>
      </c>
      <c r="K290" s="9" t="s">
        <v>1530</v>
      </c>
      <c r="L290" s="9"/>
      <c r="M290" s="152">
        <v>675630</v>
      </c>
      <c r="N290" s="153">
        <v>128369.7</v>
      </c>
      <c r="O290" s="152">
        <v>0</v>
      </c>
      <c r="P290" s="154">
        <v>0</v>
      </c>
      <c r="Q290" s="152">
        <v>0</v>
      </c>
      <c r="R290" s="9">
        <v>803999.7</v>
      </c>
      <c r="S290" s="21" t="s">
        <v>1846</v>
      </c>
      <c r="T290" s="117">
        <v>0</v>
      </c>
      <c r="U290" s="117" t="s">
        <v>347</v>
      </c>
      <c r="V290" s="117">
        <v>2023</v>
      </c>
      <c r="W290" s="117">
        <v>6</v>
      </c>
      <c r="X290" s="117">
        <v>1145000</v>
      </c>
      <c r="Y290" s="117">
        <v>2.5000000000000001E-2</v>
      </c>
      <c r="Z290" s="21" t="b">
        <v>0</v>
      </c>
      <c r="AA290" s="162">
        <f>+$AD$5-Tabla2[[#This Row],[FECHA DE FACTURACIÓN]]</f>
        <v>443</v>
      </c>
      <c r="AB290" s="163" t="str">
        <f>+IF(Tabla2[[#This Row],[dias de credito]]&gt;=Tabla2[[#This Row],[PLAZO Días]],"venc", "No venc")</f>
        <v>venc</v>
      </c>
      <c r="AC290" s="163" t="str">
        <f>+IF(Tabla2[[#This Row],[FECHA DE PAGO]]&gt;0,"pagada","por pagar")</f>
        <v>pagada</v>
      </c>
      <c r="AD290" s="164" t="str">
        <f>+IF(AND(Tabla2[[#This Row],[venc]]="venc",Tabla2[[#This Row],[estado pago]]="por pagar"),"vencida","no")</f>
        <v>no</v>
      </c>
    </row>
    <row r="291" spans="1:30" ht="19.5" hidden="1" customHeight="1" x14ac:dyDescent="0.25">
      <c r="A291" s="8" t="s">
        <v>1850</v>
      </c>
      <c r="B291" s="8" t="s">
        <v>1851</v>
      </c>
      <c r="C291" s="8">
        <v>30</v>
      </c>
      <c r="D291" s="151">
        <v>2028306.6264000002</v>
      </c>
      <c r="E291" s="151"/>
      <c r="F291" s="24" t="s">
        <v>1475</v>
      </c>
      <c r="G291" s="30">
        <v>45055</v>
      </c>
      <c r="H291" s="81" t="s">
        <v>218</v>
      </c>
      <c r="I291" s="30">
        <v>45006</v>
      </c>
      <c r="J291" s="16" t="s">
        <v>700</v>
      </c>
      <c r="K291" s="9" t="s">
        <v>1530</v>
      </c>
      <c r="L291" s="9"/>
      <c r="M291" s="152">
        <v>532437</v>
      </c>
      <c r="N291" s="153">
        <v>101163.03</v>
      </c>
      <c r="O291" s="152">
        <v>0</v>
      </c>
      <c r="P291" s="154">
        <v>0</v>
      </c>
      <c r="Q291" s="152">
        <v>0</v>
      </c>
      <c r="R291" s="9">
        <v>633600.03</v>
      </c>
      <c r="S291" s="21" t="s">
        <v>1846</v>
      </c>
      <c r="T291" s="117">
        <v>0</v>
      </c>
      <c r="U291" s="117" t="s">
        <v>347</v>
      </c>
      <c r="V291" s="117">
        <v>2023</v>
      </c>
      <c r="W291" s="117">
        <v>6</v>
      </c>
      <c r="X291" s="117">
        <v>1145000</v>
      </c>
      <c r="Y291" s="117">
        <v>2.5000000000000001E-2</v>
      </c>
      <c r="Z291" s="21" t="b">
        <v>0</v>
      </c>
      <c r="AA291" s="162">
        <f>+$AD$5-Tabla2[[#This Row],[FECHA DE FACTURACIÓN]]</f>
        <v>437</v>
      </c>
      <c r="AB291" s="163" t="str">
        <f>+IF(Tabla2[[#This Row],[dias de credito]]&gt;=Tabla2[[#This Row],[PLAZO Días]],"venc", "No venc")</f>
        <v>venc</v>
      </c>
      <c r="AC291" s="163" t="str">
        <f>+IF(Tabla2[[#This Row],[FECHA DE PAGO]]&gt;0,"pagada","por pagar")</f>
        <v>pagada</v>
      </c>
      <c r="AD291" s="164" t="str">
        <f>+IF(AND(Tabla2[[#This Row],[venc]]="venc",Tabla2[[#This Row],[estado pago]]="por pagar"),"vencida","no")</f>
        <v>no</v>
      </c>
    </row>
    <row r="292" spans="1:30" ht="19.5" hidden="1" customHeight="1" x14ac:dyDescent="0.25">
      <c r="A292" s="8" t="s">
        <v>1850</v>
      </c>
      <c r="B292" s="8" t="b">
        <v>0</v>
      </c>
      <c r="C292" s="8">
        <v>30</v>
      </c>
      <c r="D292" s="151">
        <v>0</v>
      </c>
      <c r="E292" s="151"/>
      <c r="F292" s="24" t="s">
        <v>253</v>
      </c>
      <c r="G292" s="30">
        <v>45056</v>
      </c>
      <c r="H292" s="81" t="s">
        <v>368</v>
      </c>
      <c r="I292" s="30">
        <v>45044</v>
      </c>
      <c r="J292" s="16" t="s">
        <v>679</v>
      </c>
      <c r="K292" s="9" t="s">
        <v>1530</v>
      </c>
      <c r="L292" s="9"/>
      <c r="M292" s="152">
        <v>122105</v>
      </c>
      <c r="N292" s="153">
        <v>23199.95</v>
      </c>
      <c r="O292" s="152">
        <v>0</v>
      </c>
      <c r="P292" s="154">
        <v>0</v>
      </c>
      <c r="Q292" s="152">
        <v>0</v>
      </c>
      <c r="R292" s="9">
        <v>145304.95000000001</v>
      </c>
      <c r="S292" s="21" t="s">
        <v>1846</v>
      </c>
      <c r="T292" s="117">
        <v>0</v>
      </c>
      <c r="U292" s="117">
        <v>0</v>
      </c>
      <c r="V292" s="117">
        <v>2023</v>
      </c>
      <c r="W292" s="117">
        <v>6</v>
      </c>
      <c r="X292" s="117">
        <v>0</v>
      </c>
      <c r="Y292" s="117">
        <v>0</v>
      </c>
      <c r="Z292" s="21" t="b">
        <v>1</v>
      </c>
      <c r="AA292" s="162">
        <f>+$AD$5-Tabla2[[#This Row],[FECHA DE FACTURACIÓN]]</f>
        <v>399</v>
      </c>
      <c r="AB292" s="163" t="str">
        <f>+IF(Tabla2[[#This Row],[dias de credito]]&gt;=Tabla2[[#This Row],[PLAZO Días]],"venc", "No venc")</f>
        <v>venc</v>
      </c>
      <c r="AC292" s="163" t="str">
        <f>+IF(Tabla2[[#This Row],[FECHA DE PAGO]]&gt;0,"pagada","por pagar")</f>
        <v>pagada</v>
      </c>
      <c r="AD292" s="164" t="str">
        <f>+IF(AND(Tabla2[[#This Row],[venc]]="venc",Tabla2[[#This Row],[estado pago]]="por pagar"),"vencida","no")</f>
        <v>no</v>
      </c>
    </row>
    <row r="293" spans="1:30" ht="19.5" hidden="1" customHeight="1" x14ac:dyDescent="0.25">
      <c r="A293" s="8" t="s">
        <v>1850</v>
      </c>
      <c r="B293" s="8" t="b">
        <v>0</v>
      </c>
      <c r="C293" s="8">
        <v>30</v>
      </c>
      <c r="D293" s="151">
        <v>0</v>
      </c>
      <c r="E293" s="151"/>
      <c r="F293" s="24" t="s">
        <v>253</v>
      </c>
      <c r="G293" s="30">
        <v>45056</v>
      </c>
      <c r="H293" s="81" t="s">
        <v>368</v>
      </c>
      <c r="I293" s="30">
        <v>45047</v>
      </c>
      <c r="J293" s="16" t="s">
        <v>764</v>
      </c>
      <c r="K293" s="9" t="s">
        <v>1530</v>
      </c>
      <c r="L293" s="9"/>
      <c r="M293" s="152">
        <v>908172</v>
      </c>
      <c r="N293" s="153">
        <v>172552.68</v>
      </c>
      <c r="O293" s="152">
        <v>0</v>
      </c>
      <c r="P293" s="154">
        <v>0</v>
      </c>
      <c r="Q293" s="152">
        <v>0</v>
      </c>
      <c r="R293" s="9">
        <v>1080724.68</v>
      </c>
      <c r="S293" s="21" t="s">
        <v>1846</v>
      </c>
      <c r="T293" s="117">
        <v>0</v>
      </c>
      <c r="U293" s="117">
        <v>0</v>
      </c>
      <c r="V293" s="117">
        <v>2023</v>
      </c>
      <c r="W293" s="117">
        <v>6</v>
      </c>
      <c r="X293" s="117">
        <v>0</v>
      </c>
      <c r="Y293" s="117">
        <v>0</v>
      </c>
      <c r="Z293" s="21" t="b">
        <v>1</v>
      </c>
      <c r="AA293" s="162">
        <f>+$AD$5-Tabla2[[#This Row],[FECHA DE FACTURACIÓN]]</f>
        <v>396</v>
      </c>
      <c r="AB293" s="163" t="str">
        <f>+IF(Tabla2[[#This Row],[dias de credito]]&gt;=Tabla2[[#This Row],[PLAZO Días]],"venc", "No venc")</f>
        <v>venc</v>
      </c>
      <c r="AC293" s="163" t="str">
        <f>+IF(Tabla2[[#This Row],[FECHA DE PAGO]]&gt;0,"pagada","por pagar")</f>
        <v>pagada</v>
      </c>
      <c r="AD293" s="164" t="str">
        <f>+IF(AND(Tabla2[[#This Row],[venc]]="venc",Tabla2[[#This Row],[estado pago]]="por pagar"),"vencida","no")</f>
        <v>no</v>
      </c>
    </row>
    <row r="294" spans="1:30" ht="19.5" hidden="1" customHeight="1" x14ac:dyDescent="0.25">
      <c r="A294" s="8" t="s">
        <v>1850</v>
      </c>
      <c r="B294" s="8" t="b">
        <v>0</v>
      </c>
      <c r="C294" s="8">
        <v>30</v>
      </c>
      <c r="D294" s="151">
        <v>0</v>
      </c>
      <c r="E294" s="151"/>
      <c r="F294" s="24" t="s">
        <v>253</v>
      </c>
      <c r="G294" s="30">
        <v>45056</v>
      </c>
      <c r="H294" s="81" t="s">
        <v>368</v>
      </c>
      <c r="I294" s="30">
        <v>45047</v>
      </c>
      <c r="J294" s="16" t="s">
        <v>765</v>
      </c>
      <c r="K294" s="9" t="s">
        <v>1530</v>
      </c>
      <c r="L294" s="9"/>
      <c r="M294" s="152">
        <v>3792544</v>
      </c>
      <c r="N294" s="153">
        <v>720583.36</v>
      </c>
      <c r="O294" s="152">
        <v>0</v>
      </c>
      <c r="P294" s="154">
        <v>0</v>
      </c>
      <c r="Q294" s="152">
        <v>0</v>
      </c>
      <c r="R294" s="9">
        <v>4513127.3600000003</v>
      </c>
      <c r="S294" s="21" t="s">
        <v>1846</v>
      </c>
      <c r="T294" s="117">
        <v>0</v>
      </c>
      <c r="U294" s="117">
        <v>0</v>
      </c>
      <c r="V294" s="117">
        <v>2023</v>
      </c>
      <c r="W294" s="117">
        <v>6</v>
      </c>
      <c r="X294" s="117">
        <v>0</v>
      </c>
      <c r="Y294" s="117">
        <v>0</v>
      </c>
      <c r="Z294" s="21" t="b">
        <v>1</v>
      </c>
      <c r="AA294" s="162">
        <f>+$AD$5-Tabla2[[#This Row],[FECHA DE FACTURACIÓN]]</f>
        <v>396</v>
      </c>
      <c r="AB294" s="163" t="str">
        <f>+IF(Tabla2[[#This Row],[dias de credito]]&gt;=Tabla2[[#This Row],[PLAZO Días]],"venc", "No venc")</f>
        <v>venc</v>
      </c>
      <c r="AC294" s="163" t="str">
        <f>+IF(Tabla2[[#This Row],[FECHA DE PAGO]]&gt;0,"pagada","por pagar")</f>
        <v>pagada</v>
      </c>
      <c r="AD294" s="164" t="str">
        <f>+IF(AND(Tabla2[[#This Row],[venc]]="venc",Tabla2[[#This Row],[estado pago]]="por pagar"),"vencida","no")</f>
        <v>no</v>
      </c>
    </row>
    <row r="295" spans="1:30" ht="19.5" hidden="1" customHeight="1" x14ac:dyDescent="0.25">
      <c r="A295" s="8" t="s">
        <v>1850</v>
      </c>
      <c r="B295" s="8" t="b">
        <v>0</v>
      </c>
      <c r="C295" s="8">
        <v>30</v>
      </c>
      <c r="D295" s="151">
        <v>0</v>
      </c>
      <c r="E295" s="151"/>
      <c r="F295" s="24" t="s">
        <v>268</v>
      </c>
      <c r="G295" s="30">
        <v>45056</v>
      </c>
      <c r="H295" s="81" t="s">
        <v>376</v>
      </c>
      <c r="I295" s="30">
        <v>45047</v>
      </c>
      <c r="J295" s="16" t="s">
        <v>767</v>
      </c>
      <c r="K295" s="9" t="s">
        <v>1530</v>
      </c>
      <c r="L295" s="9"/>
      <c r="M295" s="152">
        <v>324057</v>
      </c>
      <c r="N295" s="153">
        <v>0</v>
      </c>
      <c r="O295" s="152">
        <v>0</v>
      </c>
      <c r="P295" s="154">
        <v>0</v>
      </c>
      <c r="Q295" s="152">
        <v>0</v>
      </c>
      <c r="R295" s="9">
        <v>324057</v>
      </c>
      <c r="S295" s="21" t="s">
        <v>1846</v>
      </c>
      <c r="T295" s="117">
        <v>0</v>
      </c>
      <c r="U295" s="117">
        <v>0</v>
      </c>
      <c r="V295" s="117">
        <v>2023</v>
      </c>
      <c r="W295" s="117">
        <v>6</v>
      </c>
      <c r="X295" s="117">
        <v>0</v>
      </c>
      <c r="Y295" s="117">
        <v>0</v>
      </c>
      <c r="Z295" s="21" t="b">
        <v>1</v>
      </c>
      <c r="AA295" s="162">
        <f>+$AD$5-Tabla2[[#This Row],[FECHA DE FACTURACIÓN]]</f>
        <v>396</v>
      </c>
      <c r="AB295" s="163" t="str">
        <f>+IF(Tabla2[[#This Row],[dias de credito]]&gt;=Tabla2[[#This Row],[PLAZO Días]],"venc", "No venc")</f>
        <v>venc</v>
      </c>
      <c r="AC295" s="163" t="str">
        <f>+IF(Tabla2[[#This Row],[FECHA DE PAGO]]&gt;0,"pagada","por pagar")</f>
        <v>pagada</v>
      </c>
      <c r="AD295" s="164" t="str">
        <f>+IF(AND(Tabla2[[#This Row],[venc]]="venc",Tabla2[[#This Row],[estado pago]]="por pagar"),"vencida","no")</f>
        <v>no</v>
      </c>
    </row>
    <row r="296" spans="1:30" ht="19.5" hidden="1" customHeight="1" x14ac:dyDescent="0.25">
      <c r="A296" s="8" t="s">
        <v>1850</v>
      </c>
      <c r="B296" s="8" t="b">
        <v>0</v>
      </c>
      <c r="C296" s="8">
        <v>30</v>
      </c>
      <c r="D296" s="151">
        <v>0</v>
      </c>
      <c r="E296" s="151"/>
      <c r="F296" s="24" t="s">
        <v>1540</v>
      </c>
      <c r="G296" s="30">
        <v>45056</v>
      </c>
      <c r="H296" s="81" t="s">
        <v>383</v>
      </c>
      <c r="I296" s="30">
        <v>45047</v>
      </c>
      <c r="J296" s="16" t="s">
        <v>773</v>
      </c>
      <c r="K296" s="9" t="s">
        <v>1530</v>
      </c>
      <c r="L296" s="9"/>
      <c r="M296" s="152">
        <v>3935776</v>
      </c>
      <c r="N296" s="153">
        <v>747797.44000000006</v>
      </c>
      <c r="O296" s="152">
        <v>0</v>
      </c>
      <c r="P296" s="154">
        <v>3.5000000000000003E-2</v>
      </c>
      <c r="Q296" s="152">
        <v>137752.16</v>
      </c>
      <c r="R296" s="9">
        <v>4545821.28</v>
      </c>
      <c r="S296" s="21" t="s">
        <v>1846</v>
      </c>
      <c r="T296" s="117">
        <v>0</v>
      </c>
      <c r="U296" s="117" t="s">
        <v>348</v>
      </c>
      <c r="V296" s="117">
        <v>2023</v>
      </c>
      <c r="W296" s="117">
        <v>6</v>
      </c>
      <c r="X296" s="117">
        <v>0</v>
      </c>
      <c r="Y296" s="117">
        <v>3.5000000000000003E-2</v>
      </c>
      <c r="Z296" s="21" t="b">
        <v>1</v>
      </c>
      <c r="AA296" s="162">
        <f>+$AD$5-Tabla2[[#This Row],[FECHA DE FACTURACIÓN]]</f>
        <v>396</v>
      </c>
      <c r="AB296" s="163" t="str">
        <f>+IF(Tabla2[[#This Row],[dias de credito]]&gt;=Tabla2[[#This Row],[PLAZO Días]],"venc", "No venc")</f>
        <v>venc</v>
      </c>
      <c r="AC296" s="163" t="str">
        <f>+IF(Tabla2[[#This Row],[FECHA DE PAGO]]&gt;0,"pagada","por pagar")</f>
        <v>pagada</v>
      </c>
      <c r="AD296" s="164" t="str">
        <f>+IF(AND(Tabla2[[#This Row],[venc]]="venc",Tabla2[[#This Row],[estado pago]]="por pagar"),"vencida","no")</f>
        <v>no</v>
      </c>
    </row>
    <row r="297" spans="1:30" ht="19.5" hidden="1" customHeight="1" x14ac:dyDescent="0.25">
      <c r="A297" s="8" t="s">
        <v>1850</v>
      </c>
      <c r="B297" s="8" t="b">
        <v>0</v>
      </c>
      <c r="C297" s="8">
        <v>30</v>
      </c>
      <c r="D297" s="151">
        <v>0</v>
      </c>
      <c r="E297" s="151"/>
      <c r="F297" s="24" t="s">
        <v>1540</v>
      </c>
      <c r="G297" s="30">
        <v>45056</v>
      </c>
      <c r="H297" s="81" t="s">
        <v>383</v>
      </c>
      <c r="I297" s="30">
        <v>45047</v>
      </c>
      <c r="J297" s="16" t="s">
        <v>772</v>
      </c>
      <c r="K297" s="9" t="s">
        <v>1530</v>
      </c>
      <c r="L297" s="9"/>
      <c r="M297" s="152">
        <v>52142</v>
      </c>
      <c r="N297" s="153">
        <v>9906.98</v>
      </c>
      <c r="O297" s="152">
        <v>0</v>
      </c>
      <c r="P297" s="154">
        <v>3.5000000000000003E-2</v>
      </c>
      <c r="Q297" s="152">
        <v>1824.9700000000003</v>
      </c>
      <c r="R297" s="9">
        <v>60224.009999999995</v>
      </c>
      <c r="S297" s="21" t="s">
        <v>1846</v>
      </c>
      <c r="T297" s="117">
        <v>0</v>
      </c>
      <c r="U297" s="117" t="s">
        <v>348</v>
      </c>
      <c r="V297" s="117">
        <v>2023</v>
      </c>
      <c r="W297" s="117">
        <v>6</v>
      </c>
      <c r="X297" s="117">
        <v>0</v>
      </c>
      <c r="Y297" s="117">
        <v>3.5000000000000003E-2</v>
      </c>
      <c r="Z297" s="21" t="b">
        <v>1</v>
      </c>
      <c r="AA297" s="162">
        <f>+$AD$5-Tabla2[[#This Row],[FECHA DE FACTURACIÓN]]</f>
        <v>396</v>
      </c>
      <c r="AB297" s="163" t="str">
        <f>+IF(Tabla2[[#This Row],[dias de credito]]&gt;=Tabla2[[#This Row],[PLAZO Días]],"venc", "No venc")</f>
        <v>venc</v>
      </c>
      <c r="AC297" s="163" t="str">
        <f>+IF(Tabla2[[#This Row],[FECHA DE PAGO]]&gt;0,"pagada","por pagar")</f>
        <v>pagada</v>
      </c>
      <c r="AD297" s="164" t="str">
        <f>+IF(AND(Tabla2[[#This Row],[venc]]="venc",Tabla2[[#This Row],[estado pago]]="por pagar"),"vencida","no")</f>
        <v>no</v>
      </c>
    </row>
    <row r="298" spans="1:30" ht="19.5" hidden="1" customHeight="1" x14ac:dyDescent="0.25">
      <c r="A298" s="8" t="s">
        <v>1850</v>
      </c>
      <c r="B298" s="8" t="b">
        <v>0</v>
      </c>
      <c r="C298" s="8">
        <v>10</v>
      </c>
      <c r="D298" s="151">
        <v>0</v>
      </c>
      <c r="E298" s="151"/>
      <c r="F298" s="24" t="s">
        <v>483</v>
      </c>
      <c r="G298" s="30">
        <v>45056</v>
      </c>
      <c r="H298" s="81" t="s">
        <v>482</v>
      </c>
      <c r="I298" s="30">
        <v>45047</v>
      </c>
      <c r="J298" s="16" t="s">
        <v>766</v>
      </c>
      <c r="K298" s="9" t="s">
        <v>1530</v>
      </c>
      <c r="L298" s="9"/>
      <c r="M298" s="152">
        <v>5350576</v>
      </c>
      <c r="N298" s="153">
        <v>1016609.4400000001</v>
      </c>
      <c r="O298" s="152">
        <v>0</v>
      </c>
      <c r="P298" s="154">
        <v>0</v>
      </c>
      <c r="Q298" s="152">
        <v>0</v>
      </c>
      <c r="R298" s="9">
        <v>6367185.4400000004</v>
      </c>
      <c r="S298" s="21" t="s">
        <v>1846</v>
      </c>
      <c r="T298" s="117">
        <v>0</v>
      </c>
      <c r="U298" s="117">
        <v>0</v>
      </c>
      <c r="V298" s="117">
        <v>2023</v>
      </c>
      <c r="W298" s="117">
        <v>6</v>
      </c>
      <c r="X298" s="117">
        <v>0</v>
      </c>
      <c r="Y298" s="117">
        <v>0</v>
      </c>
      <c r="Z298" s="21" t="b">
        <v>1</v>
      </c>
      <c r="AA298" s="162">
        <f>+$AD$5-Tabla2[[#This Row],[FECHA DE FACTURACIÓN]]</f>
        <v>396</v>
      </c>
      <c r="AB298" s="163" t="str">
        <f>+IF(Tabla2[[#This Row],[dias de credito]]&gt;=Tabla2[[#This Row],[PLAZO Días]],"venc", "No venc")</f>
        <v>venc</v>
      </c>
      <c r="AC298" s="163" t="str">
        <f>+IF(Tabla2[[#This Row],[FECHA DE PAGO]]&gt;0,"pagada","por pagar")</f>
        <v>pagada</v>
      </c>
      <c r="AD298" s="164" t="str">
        <f>+IF(AND(Tabla2[[#This Row],[venc]]="venc",Tabla2[[#This Row],[estado pago]]="por pagar"),"vencida","no")</f>
        <v>no</v>
      </c>
    </row>
    <row r="299" spans="1:30" ht="19.5" hidden="1" customHeight="1" x14ac:dyDescent="0.25">
      <c r="A299" s="8" t="s">
        <v>1850</v>
      </c>
      <c r="B299" s="8" t="b">
        <v>0</v>
      </c>
      <c r="C299" s="8">
        <v>30</v>
      </c>
      <c r="D299" s="151">
        <v>0</v>
      </c>
      <c r="E299" s="151"/>
      <c r="F299" s="24" t="s">
        <v>153</v>
      </c>
      <c r="G299" s="30">
        <v>45056</v>
      </c>
      <c r="H299" s="81" t="s">
        <v>394</v>
      </c>
      <c r="I299" s="30">
        <v>45048</v>
      </c>
      <c r="J299" s="16" t="s">
        <v>771</v>
      </c>
      <c r="K299" s="9" t="s">
        <v>1530</v>
      </c>
      <c r="L299" s="9"/>
      <c r="M299" s="152">
        <v>243611</v>
      </c>
      <c r="N299" s="153">
        <v>46286.090000000004</v>
      </c>
      <c r="O299" s="152">
        <v>0</v>
      </c>
      <c r="P299" s="154">
        <v>3.5000000000000003E-2</v>
      </c>
      <c r="Q299" s="152">
        <v>8526.3850000000002</v>
      </c>
      <c r="R299" s="9">
        <v>281370.70500000002</v>
      </c>
      <c r="S299" s="21" t="s">
        <v>1846</v>
      </c>
      <c r="T299" s="117">
        <v>0</v>
      </c>
      <c r="U299" s="117" t="s">
        <v>348</v>
      </c>
      <c r="V299" s="117">
        <v>2023</v>
      </c>
      <c r="W299" s="117">
        <v>6</v>
      </c>
      <c r="X299" s="117">
        <v>0</v>
      </c>
      <c r="Y299" s="117">
        <v>3.5000000000000003E-2</v>
      </c>
      <c r="Z299" s="21" t="b">
        <v>1</v>
      </c>
      <c r="AA299" s="162">
        <f>+$AD$5-Tabla2[[#This Row],[FECHA DE FACTURACIÓN]]</f>
        <v>395</v>
      </c>
      <c r="AB299" s="163" t="str">
        <f>+IF(Tabla2[[#This Row],[dias de credito]]&gt;=Tabla2[[#This Row],[PLAZO Días]],"venc", "No venc")</f>
        <v>venc</v>
      </c>
      <c r="AC299" s="163" t="str">
        <f>+IF(Tabla2[[#This Row],[FECHA DE PAGO]]&gt;0,"pagada","por pagar")</f>
        <v>pagada</v>
      </c>
      <c r="AD299" s="164" t="str">
        <f>+IF(AND(Tabla2[[#This Row],[venc]]="venc",Tabla2[[#This Row],[estado pago]]="por pagar"),"vencida","no")</f>
        <v>no</v>
      </c>
    </row>
    <row r="300" spans="1:30" ht="19.5" hidden="1" customHeight="1" x14ac:dyDescent="0.25">
      <c r="A300" s="8" t="s">
        <v>1850</v>
      </c>
      <c r="B300" s="8" t="b">
        <v>0</v>
      </c>
      <c r="C300" s="8">
        <v>30</v>
      </c>
      <c r="D300" s="151">
        <v>0</v>
      </c>
      <c r="E300" s="151"/>
      <c r="F300" s="24" t="s">
        <v>138</v>
      </c>
      <c r="G300" s="30">
        <v>45056</v>
      </c>
      <c r="H300" s="81" t="s">
        <v>1806</v>
      </c>
      <c r="I300" s="30">
        <v>45057</v>
      </c>
      <c r="J300" s="16">
        <v>418</v>
      </c>
      <c r="K300" s="9" t="s">
        <v>1530</v>
      </c>
      <c r="L300" s="9"/>
      <c r="M300" s="152">
        <v>415000</v>
      </c>
      <c r="N300" s="153">
        <v>0</v>
      </c>
      <c r="O300" s="152">
        <v>0</v>
      </c>
      <c r="P300" s="154">
        <v>0</v>
      </c>
      <c r="Q300" s="152">
        <v>0</v>
      </c>
      <c r="R300" s="9">
        <v>415000</v>
      </c>
      <c r="S300" s="21" t="s">
        <v>1846</v>
      </c>
      <c r="T300" s="117">
        <v>0</v>
      </c>
      <c r="U300" s="117">
        <v>0</v>
      </c>
      <c r="V300" s="117">
        <v>2023</v>
      </c>
      <c r="W300" s="117">
        <v>6</v>
      </c>
      <c r="X300" s="117">
        <v>0</v>
      </c>
      <c r="Y300" s="117">
        <v>0</v>
      </c>
      <c r="Z300" s="21" t="b">
        <v>0</v>
      </c>
      <c r="AA300" s="162">
        <f>+$AD$5-Tabla2[[#This Row],[FECHA DE FACTURACIÓN]]</f>
        <v>386</v>
      </c>
      <c r="AB300" s="163" t="str">
        <f>+IF(Tabla2[[#This Row],[dias de credito]]&gt;=Tabla2[[#This Row],[PLAZO Días]],"venc", "No venc")</f>
        <v>venc</v>
      </c>
      <c r="AC300" s="163" t="str">
        <f>+IF(Tabla2[[#This Row],[FECHA DE PAGO]]&gt;0,"pagada","por pagar")</f>
        <v>pagada</v>
      </c>
      <c r="AD300" s="164" t="str">
        <f>+IF(AND(Tabla2[[#This Row],[venc]]="venc",Tabla2[[#This Row],[estado pago]]="por pagar"),"vencida","no")</f>
        <v>no</v>
      </c>
    </row>
    <row r="301" spans="1:30" ht="19.5" hidden="1" customHeight="1" x14ac:dyDescent="0.25">
      <c r="A301" s="8" t="s">
        <v>1850</v>
      </c>
      <c r="B301" s="8" t="b">
        <v>0</v>
      </c>
      <c r="C301" s="8">
        <v>30</v>
      </c>
      <c r="D301" s="151">
        <v>0</v>
      </c>
      <c r="E301" s="151"/>
      <c r="F301" s="24" t="s">
        <v>138</v>
      </c>
      <c r="G301" s="30">
        <v>45056</v>
      </c>
      <c r="H301" s="81" t="s">
        <v>448</v>
      </c>
      <c r="I301" s="30">
        <v>45057</v>
      </c>
      <c r="J301" s="16" t="s">
        <v>774</v>
      </c>
      <c r="K301" s="9" t="s">
        <v>1530</v>
      </c>
      <c r="L301" s="9"/>
      <c r="M301" s="152">
        <v>300000</v>
      </c>
      <c r="N301" s="153">
        <v>0</v>
      </c>
      <c r="O301" s="152">
        <v>0</v>
      </c>
      <c r="P301" s="154">
        <v>0.01</v>
      </c>
      <c r="Q301" s="152">
        <v>3000</v>
      </c>
      <c r="R301" s="9">
        <v>297000</v>
      </c>
      <c r="S301" s="21" t="s">
        <v>1846</v>
      </c>
      <c r="T301" s="117">
        <v>0</v>
      </c>
      <c r="U301" s="117" t="s">
        <v>346</v>
      </c>
      <c r="V301" s="117">
        <v>2023</v>
      </c>
      <c r="W301" s="117">
        <v>6</v>
      </c>
      <c r="X301" s="117">
        <v>170000</v>
      </c>
      <c r="Y301" s="117">
        <v>0.01</v>
      </c>
      <c r="Z301" s="21" t="b">
        <v>0</v>
      </c>
      <c r="AA301" s="162">
        <f>+$AD$5-Tabla2[[#This Row],[FECHA DE FACTURACIÓN]]</f>
        <v>386</v>
      </c>
      <c r="AB301" s="163" t="str">
        <f>+IF(Tabla2[[#This Row],[dias de credito]]&gt;=Tabla2[[#This Row],[PLAZO Días]],"venc", "No venc")</f>
        <v>venc</v>
      </c>
      <c r="AC301" s="163" t="str">
        <f>+IF(Tabla2[[#This Row],[FECHA DE PAGO]]&gt;0,"pagada","por pagar")</f>
        <v>pagada</v>
      </c>
      <c r="AD301" s="164" t="str">
        <f>+IF(AND(Tabla2[[#This Row],[venc]]="venc",Tabla2[[#This Row],[estado pago]]="por pagar"),"vencida","no")</f>
        <v>no</v>
      </c>
    </row>
    <row r="302" spans="1:30" ht="19.5" hidden="1" customHeight="1" x14ac:dyDescent="0.25">
      <c r="A302" s="8" t="s">
        <v>1850</v>
      </c>
      <c r="B302" s="8" t="b">
        <v>0</v>
      </c>
      <c r="C302" s="8">
        <v>30</v>
      </c>
      <c r="D302" s="151">
        <v>0</v>
      </c>
      <c r="E302" s="151"/>
      <c r="F302" s="24">
        <v>0</v>
      </c>
      <c r="G302" s="30">
        <v>45057</v>
      </c>
      <c r="H302" s="81" t="s">
        <v>1819</v>
      </c>
      <c r="I302" s="30">
        <v>45030</v>
      </c>
      <c r="J302" s="16" t="s">
        <v>730</v>
      </c>
      <c r="K302" s="9" t="s">
        <v>1530</v>
      </c>
      <c r="L302" s="9"/>
      <c r="M302" s="152">
        <v>164000</v>
      </c>
      <c r="N302" s="153">
        <v>0</v>
      </c>
      <c r="O302" s="152">
        <v>0</v>
      </c>
      <c r="P302" s="154">
        <v>0</v>
      </c>
      <c r="Q302" s="152">
        <v>0</v>
      </c>
      <c r="R302" s="9">
        <v>164000</v>
      </c>
      <c r="S302" s="21" t="s">
        <v>1846</v>
      </c>
      <c r="T302" s="117">
        <v>0</v>
      </c>
      <c r="U302" s="117">
        <v>0</v>
      </c>
      <c r="V302" s="117">
        <v>2023</v>
      </c>
      <c r="W302" s="117">
        <v>6</v>
      </c>
      <c r="X302" s="117">
        <v>0</v>
      </c>
      <c r="Y302" s="117">
        <v>0</v>
      </c>
      <c r="Z302" s="21" t="b">
        <v>0</v>
      </c>
      <c r="AA302" s="162">
        <f>+$AD$5-Tabla2[[#This Row],[FECHA DE FACTURACIÓN]]</f>
        <v>413</v>
      </c>
      <c r="AB302" s="163" t="str">
        <f>+IF(Tabla2[[#This Row],[dias de credito]]&gt;=Tabla2[[#This Row],[PLAZO Días]],"venc", "No venc")</f>
        <v>venc</v>
      </c>
      <c r="AC302" s="163" t="str">
        <f>+IF(Tabla2[[#This Row],[FECHA DE PAGO]]&gt;0,"pagada","por pagar")</f>
        <v>pagada</v>
      </c>
      <c r="AD302" s="164" t="str">
        <f>+IF(AND(Tabla2[[#This Row],[venc]]="venc",Tabla2[[#This Row],[estado pago]]="por pagar"),"vencida","no")</f>
        <v>no</v>
      </c>
    </row>
    <row r="303" spans="1:30" ht="19.5" hidden="1" customHeight="1" x14ac:dyDescent="0.25">
      <c r="A303" s="8" t="s">
        <v>1850</v>
      </c>
      <c r="B303" s="8" t="b">
        <v>0</v>
      </c>
      <c r="C303" s="8">
        <v>30</v>
      </c>
      <c r="D303" s="151">
        <v>0</v>
      </c>
      <c r="E303" s="151"/>
      <c r="F303" s="24" t="s">
        <v>145</v>
      </c>
      <c r="G303" s="30">
        <v>45057</v>
      </c>
      <c r="H303" s="81" t="s">
        <v>58</v>
      </c>
      <c r="I303" s="30">
        <v>45033</v>
      </c>
      <c r="J303" s="16" t="s">
        <v>759</v>
      </c>
      <c r="K303" s="9" t="s">
        <v>1530</v>
      </c>
      <c r="L303" s="9"/>
      <c r="M303" s="152">
        <v>882353</v>
      </c>
      <c r="N303" s="153">
        <v>167647.07</v>
      </c>
      <c r="O303" s="152">
        <v>0</v>
      </c>
      <c r="P303" s="154">
        <v>0</v>
      </c>
      <c r="Q303" s="152">
        <v>0</v>
      </c>
      <c r="R303" s="9">
        <v>1050000.07</v>
      </c>
      <c r="S303" s="21" t="s">
        <v>1846</v>
      </c>
      <c r="T303" s="117">
        <v>0</v>
      </c>
      <c r="U303" s="117" t="s">
        <v>347</v>
      </c>
      <c r="V303" s="117">
        <v>2023</v>
      </c>
      <c r="W303" s="117">
        <v>6</v>
      </c>
      <c r="X303" s="117">
        <v>1145000</v>
      </c>
      <c r="Y303" s="117">
        <v>2.5000000000000001E-2</v>
      </c>
      <c r="Z303" s="21" t="b">
        <v>0</v>
      </c>
      <c r="AA303" s="162">
        <f>+$AD$5-Tabla2[[#This Row],[FECHA DE FACTURACIÓN]]</f>
        <v>410</v>
      </c>
      <c r="AB303" s="163" t="str">
        <f>+IF(Tabla2[[#This Row],[dias de credito]]&gt;=Tabla2[[#This Row],[PLAZO Días]],"venc", "No venc")</f>
        <v>venc</v>
      </c>
      <c r="AC303" s="163" t="str">
        <f>+IF(Tabla2[[#This Row],[FECHA DE PAGO]]&gt;0,"pagada","por pagar")</f>
        <v>pagada</v>
      </c>
      <c r="AD303" s="164" t="str">
        <f>+IF(AND(Tabla2[[#This Row],[venc]]="venc",Tabla2[[#This Row],[estado pago]]="por pagar"),"vencida","no")</f>
        <v>no</v>
      </c>
    </row>
    <row r="304" spans="1:30" ht="19.5" hidden="1" customHeight="1" x14ac:dyDescent="0.25">
      <c r="A304" s="8" t="s">
        <v>1852</v>
      </c>
      <c r="B304" s="8" t="b">
        <v>0</v>
      </c>
      <c r="C304" s="8">
        <v>30</v>
      </c>
      <c r="D304" s="151">
        <v>1350000</v>
      </c>
      <c r="E304" s="151"/>
      <c r="F304" s="24" t="s">
        <v>84</v>
      </c>
      <c r="G304" s="30">
        <v>45059</v>
      </c>
      <c r="H304" s="81" t="s">
        <v>1807</v>
      </c>
      <c r="I304" s="30">
        <v>45059</v>
      </c>
      <c r="J304" s="16" t="s">
        <v>783</v>
      </c>
      <c r="K304" s="9" t="s">
        <v>1530</v>
      </c>
      <c r="L304" s="9"/>
      <c r="M304" s="152">
        <v>480000</v>
      </c>
      <c r="N304" s="153">
        <v>0</v>
      </c>
      <c r="O304" s="152">
        <v>0</v>
      </c>
      <c r="P304" s="154">
        <v>0</v>
      </c>
      <c r="Q304" s="152">
        <v>0</v>
      </c>
      <c r="R304" s="9">
        <v>480000</v>
      </c>
      <c r="S304" s="21" t="s">
        <v>1846</v>
      </c>
      <c r="T304" s="117">
        <v>0</v>
      </c>
      <c r="U304" s="117">
        <v>0</v>
      </c>
      <c r="V304" s="117">
        <v>2023</v>
      </c>
      <c r="W304" s="117">
        <v>6</v>
      </c>
      <c r="X304" s="117">
        <v>0</v>
      </c>
      <c r="Y304" s="117">
        <v>0</v>
      </c>
      <c r="Z304" s="21" t="b">
        <v>0</v>
      </c>
      <c r="AA304" s="162">
        <f>+$AD$5-Tabla2[[#This Row],[FECHA DE FACTURACIÓN]]</f>
        <v>384</v>
      </c>
      <c r="AB304" s="163" t="str">
        <f>+IF(Tabla2[[#This Row],[dias de credito]]&gt;=Tabla2[[#This Row],[PLAZO Días]],"venc", "No venc")</f>
        <v>venc</v>
      </c>
      <c r="AC304" s="163" t="str">
        <f>+IF(Tabla2[[#This Row],[FECHA DE PAGO]]&gt;0,"pagada","por pagar")</f>
        <v>pagada</v>
      </c>
      <c r="AD304" s="164" t="str">
        <f>+IF(AND(Tabla2[[#This Row],[venc]]="venc",Tabla2[[#This Row],[estado pago]]="por pagar"),"vencida","no")</f>
        <v>no</v>
      </c>
    </row>
    <row r="305" spans="1:30" ht="19.5" hidden="1" customHeight="1" x14ac:dyDescent="0.25">
      <c r="A305" s="8" t="s">
        <v>1852</v>
      </c>
      <c r="B305" s="8" t="b">
        <v>0</v>
      </c>
      <c r="C305" s="8">
        <v>30</v>
      </c>
      <c r="D305" s="151">
        <v>1350000</v>
      </c>
      <c r="E305" s="151"/>
      <c r="F305" s="24" t="s">
        <v>84</v>
      </c>
      <c r="G305" s="30">
        <v>45059</v>
      </c>
      <c r="H305" s="81" t="s">
        <v>1807</v>
      </c>
      <c r="I305" s="30">
        <v>45059</v>
      </c>
      <c r="J305" s="16" t="s">
        <v>782</v>
      </c>
      <c r="K305" s="9" t="s">
        <v>1530</v>
      </c>
      <c r="L305" s="9"/>
      <c r="M305" s="152">
        <v>670000</v>
      </c>
      <c r="N305" s="153">
        <v>0</v>
      </c>
      <c r="O305" s="152">
        <v>0</v>
      </c>
      <c r="P305" s="154">
        <v>0</v>
      </c>
      <c r="Q305" s="152">
        <v>0</v>
      </c>
      <c r="R305" s="9">
        <v>670000</v>
      </c>
      <c r="S305" s="21" t="s">
        <v>1846</v>
      </c>
      <c r="T305" s="117">
        <v>0</v>
      </c>
      <c r="U305" s="117">
        <v>0</v>
      </c>
      <c r="V305" s="117">
        <v>2023</v>
      </c>
      <c r="W305" s="117">
        <v>6</v>
      </c>
      <c r="X305" s="117">
        <v>0</v>
      </c>
      <c r="Y305" s="117">
        <v>0</v>
      </c>
      <c r="Z305" s="21" t="b">
        <v>0</v>
      </c>
      <c r="AA305" s="162">
        <f>+$AD$5-Tabla2[[#This Row],[FECHA DE FACTURACIÓN]]</f>
        <v>384</v>
      </c>
      <c r="AB305" s="163" t="str">
        <f>+IF(Tabla2[[#This Row],[dias de credito]]&gt;=Tabla2[[#This Row],[PLAZO Días]],"venc", "No venc")</f>
        <v>venc</v>
      </c>
      <c r="AC305" s="163" t="str">
        <f>+IF(Tabla2[[#This Row],[FECHA DE PAGO]]&gt;0,"pagada","por pagar")</f>
        <v>pagada</v>
      </c>
      <c r="AD305" s="164" t="str">
        <f>+IF(AND(Tabla2[[#This Row],[venc]]="venc",Tabla2[[#This Row],[estado pago]]="por pagar"),"vencida","no")</f>
        <v>no</v>
      </c>
    </row>
    <row r="306" spans="1:30" ht="19.5" hidden="1" customHeight="1" x14ac:dyDescent="0.25">
      <c r="A306" s="8" t="s">
        <v>1850</v>
      </c>
      <c r="B306" s="8" t="s">
        <v>1851</v>
      </c>
      <c r="C306" s="8">
        <v>30</v>
      </c>
      <c r="D306" s="151">
        <v>3130000</v>
      </c>
      <c r="E306" s="151"/>
      <c r="F306" s="24">
        <v>0</v>
      </c>
      <c r="G306" s="30">
        <v>45061</v>
      </c>
      <c r="H306" s="81" t="s">
        <v>472</v>
      </c>
      <c r="I306" s="30">
        <v>45026</v>
      </c>
      <c r="J306" s="16" t="s">
        <v>717</v>
      </c>
      <c r="K306" s="9" t="s">
        <v>1530</v>
      </c>
      <c r="L306" s="9"/>
      <c r="M306" s="152">
        <v>815000</v>
      </c>
      <c r="N306" s="153">
        <v>0</v>
      </c>
      <c r="O306" s="152">
        <v>0</v>
      </c>
      <c r="P306" s="154">
        <v>0</v>
      </c>
      <c r="Q306" s="152">
        <v>0</v>
      </c>
      <c r="R306" s="9">
        <v>815000</v>
      </c>
      <c r="S306" s="21" t="s">
        <v>1846</v>
      </c>
      <c r="T306" s="117">
        <v>0</v>
      </c>
      <c r="U306" s="117">
        <v>0</v>
      </c>
      <c r="V306" s="117">
        <v>2023</v>
      </c>
      <c r="W306" s="117">
        <v>6</v>
      </c>
      <c r="X306" s="117">
        <v>0</v>
      </c>
      <c r="Y306" s="117">
        <v>0</v>
      </c>
      <c r="Z306" s="21" t="b">
        <v>0</v>
      </c>
      <c r="AA306" s="162">
        <f>+$AD$5-Tabla2[[#This Row],[FECHA DE FACTURACIÓN]]</f>
        <v>417</v>
      </c>
      <c r="AB306" s="163" t="str">
        <f>+IF(Tabla2[[#This Row],[dias de credito]]&gt;=Tabla2[[#This Row],[PLAZO Días]],"venc", "No venc")</f>
        <v>venc</v>
      </c>
      <c r="AC306" s="163" t="str">
        <f>+IF(Tabla2[[#This Row],[FECHA DE PAGO]]&gt;0,"pagada","por pagar")</f>
        <v>pagada</v>
      </c>
      <c r="AD306" s="164" t="str">
        <f>+IF(AND(Tabla2[[#This Row],[venc]]="venc",Tabla2[[#This Row],[estado pago]]="por pagar"),"vencida","no")</f>
        <v>no</v>
      </c>
    </row>
    <row r="307" spans="1:30" ht="19.5" hidden="1" customHeight="1" x14ac:dyDescent="0.25">
      <c r="A307" s="8" t="s">
        <v>1850</v>
      </c>
      <c r="B307" s="8" t="b">
        <v>0</v>
      </c>
      <c r="C307" s="8">
        <v>30</v>
      </c>
      <c r="D307" s="151">
        <v>0</v>
      </c>
      <c r="E307" s="151"/>
      <c r="F307" s="24" t="s">
        <v>1447</v>
      </c>
      <c r="G307" s="30">
        <v>45061</v>
      </c>
      <c r="H307" s="81" t="s">
        <v>373</v>
      </c>
      <c r="I307" s="30">
        <v>45047</v>
      </c>
      <c r="J307" s="16" t="s">
        <v>770</v>
      </c>
      <c r="K307" s="9" t="s">
        <v>1530</v>
      </c>
      <c r="L307" s="9"/>
      <c r="M307" s="152">
        <v>1840056</v>
      </c>
      <c r="N307" s="153">
        <v>0</v>
      </c>
      <c r="O307" s="152">
        <v>0</v>
      </c>
      <c r="P307" s="154">
        <v>0</v>
      </c>
      <c r="Q307" s="152">
        <v>0</v>
      </c>
      <c r="R307" s="9">
        <v>1840056</v>
      </c>
      <c r="S307" s="21" t="s">
        <v>1846</v>
      </c>
      <c r="T307" s="117">
        <v>0</v>
      </c>
      <c r="U307" s="117">
        <v>0</v>
      </c>
      <c r="V307" s="117">
        <v>2023</v>
      </c>
      <c r="W307" s="117">
        <v>6</v>
      </c>
      <c r="X307" s="117">
        <v>0</v>
      </c>
      <c r="Y307" s="117">
        <v>0</v>
      </c>
      <c r="Z307" s="21" t="b">
        <v>1</v>
      </c>
      <c r="AA307" s="162">
        <f>+$AD$5-Tabla2[[#This Row],[FECHA DE FACTURACIÓN]]</f>
        <v>396</v>
      </c>
      <c r="AB307" s="163" t="str">
        <f>+IF(Tabla2[[#This Row],[dias de credito]]&gt;=Tabla2[[#This Row],[PLAZO Días]],"venc", "No venc")</f>
        <v>venc</v>
      </c>
      <c r="AC307" s="163" t="str">
        <f>+IF(Tabla2[[#This Row],[FECHA DE PAGO]]&gt;0,"pagada","por pagar")</f>
        <v>pagada</v>
      </c>
      <c r="AD307" s="164" t="str">
        <f>+IF(AND(Tabla2[[#This Row],[venc]]="venc",Tabla2[[#This Row],[estado pago]]="por pagar"),"vencida","no")</f>
        <v>no</v>
      </c>
    </row>
    <row r="308" spans="1:30" ht="19.5" hidden="1" customHeight="1" x14ac:dyDescent="0.25">
      <c r="A308" s="8" t="s">
        <v>1850</v>
      </c>
      <c r="B308" s="8" t="s">
        <v>1851</v>
      </c>
      <c r="C308" s="8">
        <v>30</v>
      </c>
      <c r="D308" s="151">
        <v>2095000</v>
      </c>
      <c r="E308" s="151"/>
      <c r="F308" s="24" t="s">
        <v>204</v>
      </c>
      <c r="G308" s="30">
        <v>45063</v>
      </c>
      <c r="H308" s="81" t="s">
        <v>1804</v>
      </c>
      <c r="I308" s="30">
        <v>45028</v>
      </c>
      <c r="J308" s="16">
        <v>39</v>
      </c>
      <c r="K308" s="9" t="s">
        <v>1530</v>
      </c>
      <c r="L308" s="9"/>
      <c r="M308" s="152">
        <v>1165000</v>
      </c>
      <c r="N308" s="153">
        <v>0</v>
      </c>
      <c r="O308" s="152">
        <v>0</v>
      </c>
      <c r="P308" s="154">
        <v>0</v>
      </c>
      <c r="Q308" s="152">
        <v>0</v>
      </c>
      <c r="R308" s="9">
        <v>1165000</v>
      </c>
      <c r="S308" s="21" t="s">
        <v>1846</v>
      </c>
      <c r="T308" s="117">
        <v>0</v>
      </c>
      <c r="U308" s="117">
        <v>0</v>
      </c>
      <c r="V308" s="117">
        <v>2023</v>
      </c>
      <c r="W308" s="117">
        <v>6</v>
      </c>
      <c r="X308" s="117">
        <v>0</v>
      </c>
      <c r="Y308" s="117">
        <v>0</v>
      </c>
      <c r="Z308" s="21" t="b">
        <v>0</v>
      </c>
      <c r="AA308" s="162">
        <f>+$AD$5-Tabla2[[#This Row],[FECHA DE FACTURACIÓN]]</f>
        <v>415</v>
      </c>
      <c r="AB308" s="163" t="str">
        <f>+IF(Tabla2[[#This Row],[dias de credito]]&gt;=Tabla2[[#This Row],[PLAZO Días]],"venc", "No venc")</f>
        <v>venc</v>
      </c>
      <c r="AC308" s="163" t="str">
        <f>+IF(Tabla2[[#This Row],[FECHA DE PAGO]]&gt;0,"pagada","por pagar")</f>
        <v>pagada</v>
      </c>
      <c r="AD308" s="164" t="str">
        <f>+IF(AND(Tabla2[[#This Row],[venc]]="venc",Tabla2[[#This Row],[estado pago]]="por pagar"),"vencida","no")</f>
        <v>no</v>
      </c>
    </row>
    <row r="309" spans="1:30" ht="19.5" hidden="1" customHeight="1" x14ac:dyDescent="0.25">
      <c r="A309" s="8" t="s">
        <v>1852</v>
      </c>
      <c r="B309" s="8" t="b">
        <v>0</v>
      </c>
      <c r="C309" s="8">
        <v>30</v>
      </c>
      <c r="D309" s="151">
        <v>0</v>
      </c>
      <c r="E309" s="151"/>
      <c r="F309" s="24" t="s">
        <v>84</v>
      </c>
      <c r="G309" s="30">
        <v>45063</v>
      </c>
      <c r="H309" s="81" t="s">
        <v>36</v>
      </c>
      <c r="I309" s="30">
        <v>45063</v>
      </c>
      <c r="J309" s="16" t="s">
        <v>784</v>
      </c>
      <c r="K309" s="9" t="s">
        <v>1530</v>
      </c>
      <c r="L309" s="9"/>
      <c r="M309" s="152">
        <v>213958</v>
      </c>
      <c r="N309" s="153">
        <v>40652.020000000004</v>
      </c>
      <c r="O309" s="152">
        <v>0</v>
      </c>
      <c r="P309" s="154">
        <v>0</v>
      </c>
      <c r="Q309" s="152">
        <v>0</v>
      </c>
      <c r="R309" s="9">
        <v>254610.02000000002</v>
      </c>
      <c r="S309" s="21" t="s">
        <v>1846</v>
      </c>
      <c r="T309" s="117">
        <v>0</v>
      </c>
      <c r="U309" s="117" t="s">
        <v>347</v>
      </c>
      <c r="V309" s="117">
        <v>2023</v>
      </c>
      <c r="W309" s="117">
        <v>6</v>
      </c>
      <c r="X309" s="117">
        <v>1145000</v>
      </c>
      <c r="Y309" s="117">
        <v>2.5000000000000001E-2</v>
      </c>
      <c r="Z309" s="21" t="b">
        <v>0</v>
      </c>
      <c r="AA309" s="162">
        <f>+$AD$5-Tabla2[[#This Row],[FECHA DE FACTURACIÓN]]</f>
        <v>380</v>
      </c>
      <c r="AB309" s="163" t="str">
        <f>+IF(Tabla2[[#This Row],[dias de credito]]&gt;=Tabla2[[#This Row],[PLAZO Días]],"venc", "No venc")</f>
        <v>venc</v>
      </c>
      <c r="AC309" s="163" t="str">
        <f>+IF(Tabla2[[#This Row],[FECHA DE PAGO]]&gt;0,"pagada","por pagar")</f>
        <v>pagada</v>
      </c>
      <c r="AD309" s="164" t="str">
        <f>+IF(AND(Tabla2[[#This Row],[venc]]="venc",Tabla2[[#This Row],[estado pago]]="por pagar"),"vencida","no")</f>
        <v>no</v>
      </c>
    </row>
    <row r="310" spans="1:30" ht="19.5" hidden="1" customHeight="1" x14ac:dyDescent="0.25">
      <c r="A310" s="8" t="s">
        <v>1850</v>
      </c>
      <c r="B310" s="8" t="s">
        <v>1851</v>
      </c>
      <c r="C310" s="8">
        <v>30</v>
      </c>
      <c r="D310" s="151">
        <v>9950488.6799999997</v>
      </c>
      <c r="E310" s="151"/>
      <c r="F310" s="24" t="s">
        <v>410</v>
      </c>
      <c r="G310" s="30">
        <v>45064</v>
      </c>
      <c r="H310" s="81" t="s">
        <v>11</v>
      </c>
      <c r="I310" s="30">
        <v>45009</v>
      </c>
      <c r="J310" s="16" t="s">
        <v>651</v>
      </c>
      <c r="K310" s="9" t="s">
        <v>1530</v>
      </c>
      <c r="L310" s="9"/>
      <c r="M310" s="152">
        <v>3503790</v>
      </c>
      <c r="N310" s="153">
        <v>665720.1</v>
      </c>
      <c r="O310" s="152">
        <v>0</v>
      </c>
      <c r="P310" s="154">
        <v>2.5000000000000001E-2</v>
      </c>
      <c r="Q310" s="152">
        <v>87594.75</v>
      </c>
      <c r="R310" s="9">
        <v>4081915.35</v>
      </c>
      <c r="S310" s="21" t="s">
        <v>1846</v>
      </c>
      <c r="T310" s="117">
        <v>0</v>
      </c>
      <c r="U310" s="117" t="s">
        <v>347</v>
      </c>
      <c r="V310" s="117">
        <v>2023</v>
      </c>
      <c r="W310" s="117">
        <v>6</v>
      </c>
      <c r="X310" s="117">
        <v>1145000</v>
      </c>
      <c r="Y310" s="117">
        <v>2.5000000000000001E-2</v>
      </c>
      <c r="Z310" s="21" t="b">
        <v>0</v>
      </c>
      <c r="AA310" s="162">
        <f>+$AD$5-Tabla2[[#This Row],[FECHA DE FACTURACIÓN]]</f>
        <v>434</v>
      </c>
      <c r="AB310" s="163" t="str">
        <f>+IF(Tabla2[[#This Row],[dias de credito]]&gt;=Tabla2[[#This Row],[PLAZO Días]],"venc", "No venc")</f>
        <v>venc</v>
      </c>
      <c r="AC310" s="163" t="str">
        <f>+IF(Tabla2[[#This Row],[FECHA DE PAGO]]&gt;0,"pagada","por pagar")</f>
        <v>pagada</v>
      </c>
      <c r="AD310" s="164" t="str">
        <f>+IF(AND(Tabla2[[#This Row],[venc]]="venc",Tabla2[[#This Row],[estado pago]]="por pagar"),"vencida","no")</f>
        <v>no</v>
      </c>
    </row>
    <row r="311" spans="1:30" ht="19.5" hidden="1" customHeight="1" x14ac:dyDescent="0.25">
      <c r="A311" s="8" t="s">
        <v>1850</v>
      </c>
      <c r="B311" s="8" t="s">
        <v>1851</v>
      </c>
      <c r="C311" s="8">
        <v>30</v>
      </c>
      <c r="D311" s="151">
        <v>0</v>
      </c>
      <c r="E311" s="151"/>
      <c r="F311" s="24" t="s">
        <v>227</v>
      </c>
      <c r="G311" s="30">
        <v>45064</v>
      </c>
      <c r="H311" s="81" t="s">
        <v>493</v>
      </c>
      <c r="I311" s="30">
        <v>45013</v>
      </c>
      <c r="J311" s="16" t="s">
        <v>666</v>
      </c>
      <c r="K311" s="9" t="s">
        <v>1530</v>
      </c>
      <c r="L311" s="9"/>
      <c r="M311" s="152">
        <v>722520</v>
      </c>
      <c r="N311" s="153">
        <v>137278.79999999999</v>
      </c>
      <c r="O311" s="152">
        <v>0</v>
      </c>
      <c r="P311" s="154">
        <v>0</v>
      </c>
      <c r="Q311" s="152">
        <v>0</v>
      </c>
      <c r="R311" s="9">
        <v>859798.8</v>
      </c>
      <c r="S311" s="21" t="s">
        <v>1846</v>
      </c>
      <c r="T311" s="117">
        <v>0</v>
      </c>
      <c r="U311" s="117">
        <v>0</v>
      </c>
      <c r="V311" s="117">
        <v>2023</v>
      </c>
      <c r="W311" s="117">
        <v>6</v>
      </c>
      <c r="X311" s="117">
        <v>0</v>
      </c>
      <c r="Y311" s="117">
        <v>0</v>
      </c>
      <c r="Z311" s="21" t="b">
        <v>1</v>
      </c>
      <c r="AA311" s="162">
        <f>+$AD$5-Tabla2[[#This Row],[FECHA DE FACTURACIÓN]]</f>
        <v>430</v>
      </c>
      <c r="AB311" s="163" t="str">
        <f>+IF(Tabla2[[#This Row],[dias de credito]]&gt;=Tabla2[[#This Row],[PLAZO Días]],"venc", "No venc")</f>
        <v>venc</v>
      </c>
      <c r="AC311" s="163" t="str">
        <f>+IF(Tabla2[[#This Row],[FECHA DE PAGO]]&gt;0,"pagada","por pagar")</f>
        <v>pagada</v>
      </c>
      <c r="AD311" s="164" t="str">
        <f>+IF(AND(Tabla2[[#This Row],[venc]]="venc",Tabla2[[#This Row],[estado pago]]="por pagar"),"vencida","no")</f>
        <v>no</v>
      </c>
    </row>
    <row r="312" spans="1:30" ht="19.5" hidden="1" customHeight="1" x14ac:dyDescent="0.25">
      <c r="A312" s="8" t="s">
        <v>1850</v>
      </c>
      <c r="B312" s="8" t="s">
        <v>1851</v>
      </c>
      <c r="C312" s="8">
        <v>30</v>
      </c>
      <c r="D312" s="151">
        <v>9950488.6799999997</v>
      </c>
      <c r="E312" s="151"/>
      <c r="F312" s="24" t="s">
        <v>410</v>
      </c>
      <c r="G312" s="30">
        <v>45064</v>
      </c>
      <c r="H312" s="81" t="s">
        <v>11</v>
      </c>
      <c r="I312" s="30">
        <v>45019</v>
      </c>
      <c r="J312" s="16" t="s">
        <v>715</v>
      </c>
      <c r="K312" s="9" t="s">
        <v>1530</v>
      </c>
      <c r="L312" s="9"/>
      <c r="M312" s="152">
        <v>700758</v>
      </c>
      <c r="N312" s="153">
        <v>133144.01999999999</v>
      </c>
      <c r="O312" s="152">
        <v>0</v>
      </c>
      <c r="P312" s="154">
        <v>0</v>
      </c>
      <c r="Q312" s="152">
        <v>0</v>
      </c>
      <c r="R312" s="9">
        <v>833902.02</v>
      </c>
      <c r="S312" s="21" t="s">
        <v>1846</v>
      </c>
      <c r="T312" s="117">
        <v>0</v>
      </c>
      <c r="U312" s="117" t="s">
        <v>347</v>
      </c>
      <c r="V312" s="117">
        <v>2023</v>
      </c>
      <c r="W312" s="117">
        <v>6</v>
      </c>
      <c r="X312" s="117">
        <v>1145000</v>
      </c>
      <c r="Y312" s="117">
        <v>2.5000000000000001E-2</v>
      </c>
      <c r="Z312" s="21" t="b">
        <v>0</v>
      </c>
      <c r="AA312" s="162">
        <f>+$AD$5-Tabla2[[#This Row],[FECHA DE FACTURACIÓN]]</f>
        <v>424</v>
      </c>
      <c r="AB312" s="163" t="str">
        <f>+IF(Tabla2[[#This Row],[dias de credito]]&gt;=Tabla2[[#This Row],[PLAZO Días]],"venc", "No venc")</f>
        <v>venc</v>
      </c>
      <c r="AC312" s="163" t="str">
        <f>+IF(Tabla2[[#This Row],[FECHA DE PAGO]]&gt;0,"pagada","por pagar")</f>
        <v>pagada</v>
      </c>
      <c r="AD312" s="164" t="str">
        <f>+IF(AND(Tabla2[[#This Row],[venc]]="venc",Tabla2[[#This Row],[estado pago]]="por pagar"),"vencida","no")</f>
        <v>no</v>
      </c>
    </row>
    <row r="313" spans="1:30" ht="19.5" hidden="1" customHeight="1" x14ac:dyDescent="0.25">
      <c r="A313" s="8" t="s">
        <v>1850</v>
      </c>
      <c r="B313" s="8" t="s">
        <v>1851</v>
      </c>
      <c r="C313" s="8">
        <v>30</v>
      </c>
      <c r="D313" s="151">
        <v>9950488.6799999997</v>
      </c>
      <c r="E313" s="151"/>
      <c r="F313" s="24" t="s">
        <v>410</v>
      </c>
      <c r="G313" s="30">
        <v>45064</v>
      </c>
      <c r="H313" s="81" t="s">
        <v>11</v>
      </c>
      <c r="I313" s="30">
        <v>45029</v>
      </c>
      <c r="J313" s="16" t="s">
        <v>714</v>
      </c>
      <c r="K313" s="9" t="s">
        <v>1530</v>
      </c>
      <c r="L313" s="9"/>
      <c r="M313" s="152">
        <v>2803032</v>
      </c>
      <c r="N313" s="153">
        <v>532576.07999999996</v>
      </c>
      <c r="O313" s="152">
        <v>0</v>
      </c>
      <c r="P313" s="154">
        <v>2.5000000000000001E-2</v>
      </c>
      <c r="Q313" s="152">
        <v>70075.8</v>
      </c>
      <c r="R313" s="9">
        <v>3265532.2800000003</v>
      </c>
      <c r="S313" s="21" t="s">
        <v>1846</v>
      </c>
      <c r="T313" s="117">
        <v>0</v>
      </c>
      <c r="U313" s="117" t="s">
        <v>347</v>
      </c>
      <c r="V313" s="117">
        <v>2023</v>
      </c>
      <c r="W313" s="117">
        <v>6</v>
      </c>
      <c r="X313" s="117">
        <v>1145000</v>
      </c>
      <c r="Y313" s="117">
        <v>2.5000000000000001E-2</v>
      </c>
      <c r="Z313" s="21" t="b">
        <v>0</v>
      </c>
      <c r="AA313" s="162">
        <f>+$AD$5-Tabla2[[#This Row],[FECHA DE FACTURACIÓN]]</f>
        <v>414</v>
      </c>
      <c r="AB313" s="163" t="str">
        <f>+IF(Tabla2[[#This Row],[dias de credito]]&gt;=Tabla2[[#This Row],[PLAZO Días]],"venc", "No venc")</f>
        <v>venc</v>
      </c>
      <c r="AC313" s="163" t="str">
        <f>+IF(Tabla2[[#This Row],[FECHA DE PAGO]]&gt;0,"pagada","por pagar")</f>
        <v>pagada</v>
      </c>
      <c r="AD313" s="164" t="str">
        <f>+IF(AND(Tabla2[[#This Row],[venc]]="venc",Tabla2[[#This Row],[estado pago]]="por pagar"),"vencida","no")</f>
        <v>no</v>
      </c>
    </row>
    <row r="314" spans="1:30" ht="19.5" hidden="1" customHeight="1" x14ac:dyDescent="0.25">
      <c r="A314" s="8" t="s">
        <v>1850</v>
      </c>
      <c r="B314" s="8" t="b">
        <v>0</v>
      </c>
      <c r="C314" s="8">
        <v>30</v>
      </c>
      <c r="D314" s="151">
        <v>0</v>
      </c>
      <c r="E314" s="151"/>
      <c r="F314" s="24" t="s">
        <v>84</v>
      </c>
      <c r="G314" s="30">
        <v>45070</v>
      </c>
      <c r="H314" s="81" t="s">
        <v>481</v>
      </c>
      <c r="I314" s="30">
        <v>45069</v>
      </c>
      <c r="J314" s="16" t="s">
        <v>810</v>
      </c>
      <c r="K314" s="9" t="s">
        <v>1530</v>
      </c>
      <c r="L314" s="9"/>
      <c r="M314" s="152">
        <v>2566000</v>
      </c>
      <c r="N314" s="153">
        <v>0</v>
      </c>
      <c r="O314" s="152">
        <v>0</v>
      </c>
      <c r="P314" s="154">
        <v>0</v>
      </c>
      <c r="Q314" s="152">
        <v>0</v>
      </c>
      <c r="R314" s="9">
        <v>2566000</v>
      </c>
      <c r="S314" s="21" t="s">
        <v>1846</v>
      </c>
      <c r="T314" s="117">
        <v>0</v>
      </c>
      <c r="U314" s="117">
        <v>0</v>
      </c>
      <c r="V314" s="117">
        <v>2023</v>
      </c>
      <c r="W314" s="117">
        <v>6</v>
      </c>
      <c r="X314" s="117">
        <v>0</v>
      </c>
      <c r="Y314" s="117">
        <v>0</v>
      </c>
      <c r="Z314" s="21" t="b">
        <v>0</v>
      </c>
      <c r="AA314" s="162">
        <f>+$AD$5-Tabla2[[#This Row],[FECHA DE FACTURACIÓN]]</f>
        <v>374</v>
      </c>
      <c r="AB314" s="163" t="str">
        <f>+IF(Tabla2[[#This Row],[dias de credito]]&gt;=Tabla2[[#This Row],[PLAZO Días]],"venc", "No venc")</f>
        <v>venc</v>
      </c>
      <c r="AC314" s="163" t="str">
        <f>+IF(Tabla2[[#This Row],[FECHA DE PAGO]]&gt;0,"pagada","por pagar")</f>
        <v>pagada</v>
      </c>
      <c r="AD314" s="164" t="str">
        <f>+IF(AND(Tabla2[[#This Row],[venc]]="venc",Tabla2[[#This Row],[estado pago]]="por pagar"),"vencida","no")</f>
        <v>no</v>
      </c>
    </row>
    <row r="315" spans="1:30" ht="19.5" hidden="1" customHeight="1" x14ac:dyDescent="0.25">
      <c r="A315" s="8" t="s">
        <v>1852</v>
      </c>
      <c r="B315" s="8" t="b">
        <v>0</v>
      </c>
      <c r="C315" s="8">
        <v>30</v>
      </c>
      <c r="D315" s="151">
        <v>0</v>
      </c>
      <c r="E315" s="151"/>
      <c r="F315" s="24" t="s">
        <v>84</v>
      </c>
      <c r="G315" s="30">
        <v>45070</v>
      </c>
      <c r="H315" s="81" t="s">
        <v>525</v>
      </c>
      <c r="I315" s="30">
        <v>45070</v>
      </c>
      <c r="J315" s="16" t="s">
        <v>807</v>
      </c>
      <c r="K315" s="9" t="s">
        <v>1530</v>
      </c>
      <c r="L315" s="9"/>
      <c r="M315" s="152">
        <v>432000</v>
      </c>
      <c r="N315" s="153">
        <v>0</v>
      </c>
      <c r="O315" s="152">
        <v>0</v>
      </c>
      <c r="P315" s="154">
        <v>0</v>
      </c>
      <c r="Q315" s="152">
        <v>0</v>
      </c>
      <c r="R315" s="9">
        <v>432000</v>
      </c>
      <c r="S315" s="21" t="s">
        <v>1846</v>
      </c>
      <c r="T315" s="117">
        <v>0</v>
      </c>
      <c r="U315" s="117">
        <v>0</v>
      </c>
      <c r="V315" s="117">
        <v>2023</v>
      </c>
      <c r="W315" s="117">
        <v>6</v>
      </c>
      <c r="X315" s="117">
        <v>0</v>
      </c>
      <c r="Y315" s="117">
        <v>0</v>
      </c>
      <c r="Z315" s="21" t="b">
        <v>0</v>
      </c>
      <c r="AA315" s="162">
        <f>+$AD$5-Tabla2[[#This Row],[FECHA DE FACTURACIÓN]]</f>
        <v>373</v>
      </c>
      <c r="AB315" s="163" t="str">
        <f>+IF(Tabla2[[#This Row],[dias de credito]]&gt;=Tabla2[[#This Row],[PLAZO Días]],"venc", "No venc")</f>
        <v>venc</v>
      </c>
      <c r="AC315" s="163" t="str">
        <f>+IF(Tabla2[[#This Row],[FECHA DE PAGO]]&gt;0,"pagada","por pagar")</f>
        <v>pagada</v>
      </c>
      <c r="AD315" s="164" t="str">
        <f>+IF(AND(Tabla2[[#This Row],[venc]]="venc",Tabla2[[#This Row],[estado pago]]="por pagar"),"vencida","no")</f>
        <v>no</v>
      </c>
    </row>
    <row r="316" spans="1:30" ht="19.5" hidden="1" customHeight="1" x14ac:dyDescent="0.25">
      <c r="A316" s="8" t="s">
        <v>1852</v>
      </c>
      <c r="B316" s="8" t="b">
        <v>0</v>
      </c>
      <c r="C316" s="8">
        <v>30</v>
      </c>
      <c r="D316" s="151">
        <v>0</v>
      </c>
      <c r="E316" s="151"/>
      <c r="F316" s="24" t="s">
        <v>84</v>
      </c>
      <c r="G316" s="30">
        <v>45070</v>
      </c>
      <c r="H316" s="81" t="s">
        <v>36</v>
      </c>
      <c r="I316" s="30">
        <v>45070</v>
      </c>
      <c r="J316" s="16" t="s">
        <v>803</v>
      </c>
      <c r="K316" s="9" t="s">
        <v>1530</v>
      </c>
      <c r="L316" s="9"/>
      <c r="M316" s="152">
        <v>1547900</v>
      </c>
      <c r="N316" s="153">
        <v>294101</v>
      </c>
      <c r="O316" s="152">
        <v>0</v>
      </c>
      <c r="P316" s="154">
        <v>2.5000000000000001E-2</v>
      </c>
      <c r="Q316" s="152">
        <v>38697.5</v>
      </c>
      <c r="R316" s="9">
        <v>1803303.5</v>
      </c>
      <c r="S316" s="21" t="s">
        <v>1846</v>
      </c>
      <c r="T316" s="117">
        <v>0</v>
      </c>
      <c r="U316" s="117" t="s">
        <v>347</v>
      </c>
      <c r="V316" s="117">
        <v>2023</v>
      </c>
      <c r="W316" s="117">
        <v>6</v>
      </c>
      <c r="X316" s="117">
        <v>1145000</v>
      </c>
      <c r="Y316" s="117">
        <v>2.5000000000000001E-2</v>
      </c>
      <c r="Z316" s="21" t="b">
        <v>0</v>
      </c>
      <c r="AA316" s="162">
        <f>+$AD$5-Tabla2[[#This Row],[FECHA DE FACTURACIÓN]]</f>
        <v>373</v>
      </c>
      <c r="AB316" s="163" t="str">
        <f>+IF(Tabla2[[#This Row],[dias de credito]]&gt;=Tabla2[[#This Row],[PLAZO Días]],"venc", "No venc")</f>
        <v>venc</v>
      </c>
      <c r="AC316" s="163" t="str">
        <f>+IF(Tabla2[[#This Row],[FECHA DE PAGO]]&gt;0,"pagada","por pagar")</f>
        <v>pagada</v>
      </c>
      <c r="AD316" s="164" t="str">
        <f>+IF(AND(Tabla2[[#This Row],[venc]]="venc",Tabla2[[#This Row],[estado pago]]="por pagar"),"vencida","no")</f>
        <v>no</v>
      </c>
    </row>
    <row r="317" spans="1:30" ht="19.5" hidden="1" customHeight="1" x14ac:dyDescent="0.25">
      <c r="A317" s="8" t="s">
        <v>1850</v>
      </c>
      <c r="B317" s="8" t="s">
        <v>1851</v>
      </c>
      <c r="C317" s="8">
        <v>60</v>
      </c>
      <c r="D317" s="151">
        <v>19124998.199999999</v>
      </c>
      <c r="E317" s="151"/>
      <c r="F317" s="24" t="s">
        <v>184</v>
      </c>
      <c r="G317" s="30">
        <v>45071</v>
      </c>
      <c r="H317" s="81" t="s">
        <v>30</v>
      </c>
      <c r="I317" s="30">
        <v>45002</v>
      </c>
      <c r="J317" s="16">
        <v>58569</v>
      </c>
      <c r="K317" s="9" t="s">
        <v>1530</v>
      </c>
      <c r="L317" s="9"/>
      <c r="M317" s="152">
        <v>49998153.799999997</v>
      </c>
      <c r="N317" s="153">
        <v>0</v>
      </c>
      <c r="O317" s="152">
        <v>0</v>
      </c>
      <c r="P317" s="154">
        <v>0</v>
      </c>
      <c r="Q317" s="152">
        <v>0</v>
      </c>
      <c r="R317" s="9">
        <v>49998153.799999997</v>
      </c>
      <c r="S317" s="21" t="s">
        <v>1846</v>
      </c>
      <c r="T317" s="117">
        <v>0</v>
      </c>
      <c r="U317" s="117">
        <v>0</v>
      </c>
      <c r="V317" s="117">
        <v>2023</v>
      </c>
      <c r="W317" s="117">
        <v>6</v>
      </c>
      <c r="X317" s="117">
        <v>0</v>
      </c>
      <c r="Y317" s="117">
        <v>0</v>
      </c>
      <c r="Z317" s="21" t="b">
        <v>0</v>
      </c>
      <c r="AA317" s="162">
        <f>+$AD$5-Tabla2[[#This Row],[FECHA DE FACTURACIÓN]]</f>
        <v>441</v>
      </c>
      <c r="AB317" s="163" t="str">
        <f>+IF(Tabla2[[#This Row],[dias de credito]]&gt;=Tabla2[[#This Row],[PLAZO Días]],"venc", "No venc")</f>
        <v>venc</v>
      </c>
      <c r="AC317" s="163" t="str">
        <f>+IF(Tabla2[[#This Row],[FECHA DE PAGO]]&gt;0,"pagada","por pagar")</f>
        <v>pagada</v>
      </c>
      <c r="AD317" s="164" t="str">
        <f>+IF(AND(Tabla2[[#This Row],[venc]]="venc",Tabla2[[#This Row],[estado pago]]="por pagar"),"vencida","no")</f>
        <v>no</v>
      </c>
    </row>
    <row r="318" spans="1:30" ht="19.5" hidden="1" customHeight="1" x14ac:dyDescent="0.25">
      <c r="A318" s="8" t="s">
        <v>1850</v>
      </c>
      <c r="B318" s="8" t="s">
        <v>1851</v>
      </c>
      <c r="C318" s="8">
        <v>30</v>
      </c>
      <c r="D318" s="151">
        <v>0</v>
      </c>
      <c r="E318" s="151"/>
      <c r="F318" s="24" t="s">
        <v>84</v>
      </c>
      <c r="G318" s="30">
        <v>45075</v>
      </c>
      <c r="H318" s="81" t="s">
        <v>1816</v>
      </c>
      <c r="I318" s="30">
        <v>45021</v>
      </c>
      <c r="J318" s="16" t="s">
        <v>723</v>
      </c>
      <c r="K318" s="9" t="s">
        <v>1530</v>
      </c>
      <c r="L318" s="9"/>
      <c r="M318" s="152">
        <v>306000</v>
      </c>
      <c r="N318" s="153">
        <v>0</v>
      </c>
      <c r="O318" s="152">
        <v>0</v>
      </c>
      <c r="P318" s="154">
        <v>0</v>
      </c>
      <c r="Q318" s="152">
        <v>0</v>
      </c>
      <c r="R318" s="9">
        <v>306000</v>
      </c>
      <c r="S318" s="21" t="s">
        <v>1846</v>
      </c>
      <c r="T318" s="117">
        <v>0</v>
      </c>
      <c r="U318" s="117">
        <v>0</v>
      </c>
      <c r="V318" s="117">
        <v>2023</v>
      </c>
      <c r="W318" s="117">
        <v>6</v>
      </c>
      <c r="X318" s="117">
        <v>0</v>
      </c>
      <c r="Y318" s="117">
        <v>0</v>
      </c>
      <c r="Z318" s="21" t="b">
        <v>0</v>
      </c>
      <c r="AA318" s="162">
        <f>+$AD$5-Tabla2[[#This Row],[FECHA DE FACTURACIÓN]]</f>
        <v>422</v>
      </c>
      <c r="AB318" s="163" t="str">
        <f>+IF(Tabla2[[#This Row],[dias de credito]]&gt;=Tabla2[[#This Row],[PLAZO Días]],"venc", "No venc")</f>
        <v>venc</v>
      </c>
      <c r="AC318" s="163" t="str">
        <f>+IF(Tabla2[[#This Row],[FECHA DE PAGO]]&gt;0,"pagada","por pagar")</f>
        <v>pagada</v>
      </c>
      <c r="AD318" s="164" t="str">
        <f>+IF(AND(Tabla2[[#This Row],[venc]]="venc",Tabla2[[#This Row],[estado pago]]="por pagar"),"vencida","no")</f>
        <v>no</v>
      </c>
    </row>
    <row r="319" spans="1:30" ht="19.5" hidden="1" customHeight="1" x14ac:dyDescent="0.25">
      <c r="A319" s="8" t="s">
        <v>1850</v>
      </c>
      <c r="B319" s="8" t="s">
        <v>1851</v>
      </c>
      <c r="C319" s="8">
        <v>30</v>
      </c>
      <c r="D319" s="151">
        <v>5581100</v>
      </c>
      <c r="E319" s="151"/>
      <c r="F319" s="24" t="s">
        <v>150</v>
      </c>
      <c r="G319" s="30">
        <v>45075</v>
      </c>
      <c r="H319" s="81" t="s">
        <v>446</v>
      </c>
      <c r="I319" s="30">
        <v>45035</v>
      </c>
      <c r="J319" s="16" t="s">
        <v>740</v>
      </c>
      <c r="K319" s="9" t="s">
        <v>1530</v>
      </c>
      <c r="L319" s="9"/>
      <c r="M319" s="152">
        <v>5040000</v>
      </c>
      <c r="N319" s="153">
        <v>957600</v>
      </c>
      <c r="O319" s="152">
        <v>0</v>
      </c>
      <c r="P319" s="154">
        <v>0</v>
      </c>
      <c r="Q319" s="152">
        <v>0</v>
      </c>
      <c r="R319" s="9">
        <v>5997600</v>
      </c>
      <c r="S319" s="21" t="s">
        <v>1846</v>
      </c>
      <c r="T319" s="117">
        <v>0</v>
      </c>
      <c r="U319" s="117">
        <v>0</v>
      </c>
      <c r="V319" s="117">
        <v>2023</v>
      </c>
      <c r="W319" s="117">
        <v>6</v>
      </c>
      <c r="X319" s="117">
        <v>0</v>
      </c>
      <c r="Y319" s="117">
        <v>0</v>
      </c>
      <c r="Z319" s="21" t="b">
        <v>0</v>
      </c>
      <c r="AA319" s="162">
        <f>+$AD$5-Tabla2[[#This Row],[FECHA DE FACTURACIÓN]]</f>
        <v>408</v>
      </c>
      <c r="AB319" s="163" t="str">
        <f>+IF(Tabla2[[#This Row],[dias de credito]]&gt;=Tabla2[[#This Row],[PLAZO Días]],"venc", "No venc")</f>
        <v>venc</v>
      </c>
      <c r="AC319" s="163" t="str">
        <f>+IF(Tabla2[[#This Row],[FECHA DE PAGO]]&gt;0,"pagada","por pagar")</f>
        <v>pagada</v>
      </c>
      <c r="AD319" s="164" t="str">
        <f>+IF(AND(Tabla2[[#This Row],[venc]]="venc",Tabla2[[#This Row],[estado pago]]="por pagar"),"vencida","no")</f>
        <v>no</v>
      </c>
    </row>
    <row r="320" spans="1:30" ht="19.5" hidden="1" customHeight="1" x14ac:dyDescent="0.25">
      <c r="A320" s="8" t="s">
        <v>1850</v>
      </c>
      <c r="B320" s="8" t="s">
        <v>1851</v>
      </c>
      <c r="C320" s="8">
        <v>30</v>
      </c>
      <c r="D320" s="151">
        <v>1776037.21</v>
      </c>
      <c r="E320" s="151"/>
      <c r="F320" s="24" t="s">
        <v>148</v>
      </c>
      <c r="G320" s="30">
        <v>45075</v>
      </c>
      <c r="H320" s="81" t="s">
        <v>17</v>
      </c>
      <c r="I320" s="30">
        <v>45037</v>
      </c>
      <c r="J320" s="16" t="s">
        <v>741</v>
      </c>
      <c r="K320" s="9" t="s">
        <v>1530</v>
      </c>
      <c r="L320" s="9"/>
      <c r="M320" s="152">
        <v>586530</v>
      </c>
      <c r="N320" s="153">
        <v>111440.7</v>
      </c>
      <c r="O320" s="152">
        <v>0</v>
      </c>
      <c r="P320" s="154">
        <v>0</v>
      </c>
      <c r="Q320" s="152">
        <v>0</v>
      </c>
      <c r="R320" s="9">
        <v>697970.7</v>
      </c>
      <c r="S320" s="21" t="s">
        <v>1846</v>
      </c>
      <c r="T320" s="117">
        <v>0</v>
      </c>
      <c r="U320" s="117">
        <v>0</v>
      </c>
      <c r="V320" s="117">
        <v>2023</v>
      </c>
      <c r="W320" s="117">
        <v>6</v>
      </c>
      <c r="X320" s="117">
        <v>0</v>
      </c>
      <c r="Y320" s="117">
        <v>0</v>
      </c>
      <c r="Z320" s="21" t="b">
        <v>0</v>
      </c>
      <c r="AA320" s="162">
        <f>+$AD$5-Tabla2[[#This Row],[FECHA DE FACTURACIÓN]]</f>
        <v>406</v>
      </c>
      <c r="AB320" s="163" t="str">
        <f>+IF(Tabla2[[#This Row],[dias de credito]]&gt;=Tabla2[[#This Row],[PLAZO Días]],"venc", "No venc")</f>
        <v>venc</v>
      </c>
      <c r="AC320" s="163" t="str">
        <f>+IF(Tabla2[[#This Row],[FECHA DE PAGO]]&gt;0,"pagada","por pagar")</f>
        <v>pagada</v>
      </c>
      <c r="AD320" s="164" t="str">
        <f>+IF(AND(Tabla2[[#This Row],[venc]]="venc",Tabla2[[#This Row],[estado pago]]="por pagar"),"vencida","no")</f>
        <v>no</v>
      </c>
    </row>
    <row r="321" spans="1:30" ht="19.5" hidden="1" customHeight="1" x14ac:dyDescent="0.25">
      <c r="A321" s="8" t="s">
        <v>1850</v>
      </c>
      <c r="B321" s="8" t="b">
        <v>0</v>
      </c>
      <c r="C321" s="8">
        <v>30</v>
      </c>
      <c r="D321" s="151">
        <v>0</v>
      </c>
      <c r="E321" s="151"/>
      <c r="F321" s="24" t="s">
        <v>414</v>
      </c>
      <c r="G321" s="30">
        <v>45075</v>
      </c>
      <c r="H321" s="81" t="s">
        <v>382</v>
      </c>
      <c r="I321" s="30">
        <v>45047</v>
      </c>
      <c r="J321" s="16" t="s">
        <v>769</v>
      </c>
      <c r="K321" s="9" t="s">
        <v>1530</v>
      </c>
      <c r="L321" s="9"/>
      <c r="M321" s="152">
        <v>934499</v>
      </c>
      <c r="N321" s="153">
        <v>0</v>
      </c>
      <c r="O321" s="152">
        <v>0</v>
      </c>
      <c r="P321" s="154">
        <v>0</v>
      </c>
      <c r="Q321" s="152">
        <v>0</v>
      </c>
      <c r="R321" s="9">
        <v>934499</v>
      </c>
      <c r="S321" s="21" t="s">
        <v>1846</v>
      </c>
      <c r="T321" s="117">
        <v>0</v>
      </c>
      <c r="U321" s="117">
        <v>0</v>
      </c>
      <c r="V321" s="117">
        <v>2023</v>
      </c>
      <c r="W321" s="117">
        <v>6</v>
      </c>
      <c r="X321" s="117">
        <v>0</v>
      </c>
      <c r="Y321" s="117">
        <v>0</v>
      </c>
      <c r="Z321" s="21" t="b">
        <v>1</v>
      </c>
      <c r="AA321" s="162">
        <f>+$AD$5-Tabla2[[#This Row],[FECHA DE FACTURACIÓN]]</f>
        <v>396</v>
      </c>
      <c r="AB321" s="163" t="str">
        <f>+IF(Tabla2[[#This Row],[dias de credito]]&gt;=Tabla2[[#This Row],[PLAZO Días]],"venc", "No venc")</f>
        <v>venc</v>
      </c>
      <c r="AC321" s="163" t="str">
        <f>+IF(Tabla2[[#This Row],[FECHA DE PAGO]]&gt;0,"pagada","por pagar")</f>
        <v>pagada</v>
      </c>
      <c r="AD321" s="164" t="str">
        <f>+IF(AND(Tabla2[[#This Row],[venc]]="venc",Tabla2[[#This Row],[estado pago]]="por pagar"),"vencida","no")</f>
        <v>no</v>
      </c>
    </row>
    <row r="322" spans="1:30" ht="19.5" hidden="1" customHeight="1" x14ac:dyDescent="0.25">
      <c r="A322" s="8" t="s">
        <v>1850</v>
      </c>
      <c r="B322" s="8" t="b">
        <v>0</v>
      </c>
      <c r="C322" s="8">
        <v>30</v>
      </c>
      <c r="D322" s="151">
        <v>0</v>
      </c>
      <c r="E322" s="151"/>
      <c r="F322" s="24" t="s">
        <v>414</v>
      </c>
      <c r="G322" s="30">
        <v>45075</v>
      </c>
      <c r="H322" s="81" t="s">
        <v>382</v>
      </c>
      <c r="I322" s="30">
        <v>45047</v>
      </c>
      <c r="J322" s="16" t="s">
        <v>768</v>
      </c>
      <c r="K322" s="9" t="s">
        <v>1530</v>
      </c>
      <c r="L322" s="9"/>
      <c r="M322" s="152">
        <v>913261</v>
      </c>
      <c r="N322" s="153">
        <v>0</v>
      </c>
      <c r="O322" s="152">
        <v>0</v>
      </c>
      <c r="P322" s="154">
        <v>0</v>
      </c>
      <c r="Q322" s="152">
        <v>0</v>
      </c>
      <c r="R322" s="9">
        <v>913261</v>
      </c>
      <c r="S322" s="21" t="s">
        <v>1846</v>
      </c>
      <c r="T322" s="117">
        <v>0</v>
      </c>
      <c r="U322" s="117">
        <v>0</v>
      </c>
      <c r="V322" s="117">
        <v>2023</v>
      </c>
      <c r="W322" s="117">
        <v>6</v>
      </c>
      <c r="X322" s="117">
        <v>0</v>
      </c>
      <c r="Y322" s="117">
        <v>0</v>
      </c>
      <c r="Z322" s="21" t="b">
        <v>1</v>
      </c>
      <c r="AA322" s="162">
        <f>+$AD$5-Tabla2[[#This Row],[FECHA DE FACTURACIÓN]]</f>
        <v>396</v>
      </c>
      <c r="AB322" s="163" t="str">
        <f>+IF(Tabla2[[#This Row],[dias de credito]]&gt;=Tabla2[[#This Row],[PLAZO Días]],"venc", "No venc")</f>
        <v>venc</v>
      </c>
      <c r="AC322" s="163" t="str">
        <f>+IF(Tabla2[[#This Row],[FECHA DE PAGO]]&gt;0,"pagada","por pagar")</f>
        <v>pagada</v>
      </c>
      <c r="AD322" s="164" t="str">
        <f>+IF(AND(Tabla2[[#This Row],[venc]]="venc",Tabla2[[#This Row],[estado pago]]="por pagar"),"vencida","no")</f>
        <v>no</v>
      </c>
    </row>
    <row r="323" spans="1:30" ht="19.5" hidden="1" customHeight="1" x14ac:dyDescent="0.25">
      <c r="A323" s="8" t="s">
        <v>1852</v>
      </c>
      <c r="B323" s="8" t="b">
        <v>0</v>
      </c>
      <c r="C323" s="8">
        <v>30</v>
      </c>
      <c r="D323" s="151">
        <v>0</v>
      </c>
      <c r="E323" s="151"/>
      <c r="F323" s="24" t="s">
        <v>206</v>
      </c>
      <c r="G323" s="30">
        <v>45075</v>
      </c>
      <c r="H323" s="81" t="s">
        <v>380</v>
      </c>
      <c r="I323" s="30">
        <v>45075</v>
      </c>
      <c r="J323" s="16" t="s">
        <v>804</v>
      </c>
      <c r="K323" s="9" t="s">
        <v>1530</v>
      </c>
      <c r="L323" s="9"/>
      <c r="M323" s="152">
        <v>3456200</v>
      </c>
      <c r="N323" s="153">
        <v>0</v>
      </c>
      <c r="O323" s="152">
        <v>0</v>
      </c>
      <c r="P323" s="154">
        <v>3.5000000000000003E-2</v>
      </c>
      <c r="Q323" s="152">
        <v>120967.00000000001</v>
      </c>
      <c r="R323" s="9">
        <v>3335233</v>
      </c>
      <c r="S323" s="21" t="s">
        <v>1846</v>
      </c>
      <c r="T323" s="117">
        <v>0</v>
      </c>
      <c r="U323" s="117" t="s">
        <v>348</v>
      </c>
      <c r="V323" s="117">
        <v>2023</v>
      </c>
      <c r="W323" s="117">
        <v>6</v>
      </c>
      <c r="X323" s="117">
        <v>0</v>
      </c>
      <c r="Y323" s="117">
        <v>3.5000000000000003E-2</v>
      </c>
      <c r="Z323" s="21" t="b">
        <v>1</v>
      </c>
      <c r="AA323" s="162">
        <f>+$AD$5-Tabla2[[#This Row],[FECHA DE FACTURACIÓN]]</f>
        <v>368</v>
      </c>
      <c r="AB323" s="163" t="str">
        <f>+IF(Tabla2[[#This Row],[dias de credito]]&gt;=Tabla2[[#This Row],[PLAZO Días]],"venc", "No venc")</f>
        <v>venc</v>
      </c>
      <c r="AC323" s="163" t="str">
        <f>+IF(Tabla2[[#This Row],[FECHA DE PAGO]]&gt;0,"pagada","por pagar")</f>
        <v>pagada</v>
      </c>
      <c r="AD323" s="164" t="str">
        <f>+IF(AND(Tabla2[[#This Row],[venc]]="venc",Tabla2[[#This Row],[estado pago]]="por pagar"),"vencida","no")</f>
        <v>no</v>
      </c>
    </row>
    <row r="324" spans="1:30" ht="19.5" hidden="1" customHeight="1" x14ac:dyDescent="0.25">
      <c r="A324" s="8" t="s">
        <v>1852</v>
      </c>
      <c r="B324" s="8" t="b">
        <v>0</v>
      </c>
      <c r="C324" s="8">
        <v>30</v>
      </c>
      <c r="D324" s="151">
        <v>1695707.16</v>
      </c>
      <c r="E324" s="151"/>
      <c r="F324" s="24" t="s">
        <v>217</v>
      </c>
      <c r="G324" s="30">
        <v>45075</v>
      </c>
      <c r="H324" s="81" t="s">
        <v>194</v>
      </c>
      <c r="I324" s="30">
        <v>45075</v>
      </c>
      <c r="J324" s="16" t="s">
        <v>805</v>
      </c>
      <c r="K324" s="9" t="s">
        <v>1530</v>
      </c>
      <c r="L324" s="9"/>
      <c r="M324" s="152">
        <v>396847</v>
      </c>
      <c r="N324" s="153">
        <v>75400.930000000008</v>
      </c>
      <c r="O324" s="152">
        <v>0</v>
      </c>
      <c r="P324" s="154">
        <v>0</v>
      </c>
      <c r="Q324" s="152">
        <v>0</v>
      </c>
      <c r="R324" s="9">
        <v>472247.93</v>
      </c>
      <c r="S324" s="21" t="s">
        <v>1846</v>
      </c>
      <c r="T324" s="117">
        <v>0</v>
      </c>
      <c r="U324" s="117">
        <v>0</v>
      </c>
      <c r="V324" s="117">
        <v>2023</v>
      </c>
      <c r="W324" s="117">
        <v>6</v>
      </c>
      <c r="X324" s="117">
        <v>0</v>
      </c>
      <c r="Y324" s="117">
        <v>0</v>
      </c>
      <c r="Z324" s="21" t="b">
        <v>0</v>
      </c>
      <c r="AA324" s="162">
        <f>+$AD$5-Tabla2[[#This Row],[FECHA DE FACTURACIÓN]]</f>
        <v>368</v>
      </c>
      <c r="AB324" s="163" t="str">
        <f>+IF(Tabla2[[#This Row],[dias de credito]]&gt;=Tabla2[[#This Row],[PLAZO Días]],"venc", "No venc")</f>
        <v>venc</v>
      </c>
      <c r="AC324" s="163" t="str">
        <f>+IF(Tabla2[[#This Row],[FECHA DE PAGO]]&gt;0,"pagada","por pagar")</f>
        <v>pagada</v>
      </c>
      <c r="AD324" s="164" t="str">
        <f>+IF(AND(Tabla2[[#This Row],[venc]]="venc",Tabla2[[#This Row],[estado pago]]="por pagar"),"vencida","no")</f>
        <v>no</v>
      </c>
    </row>
    <row r="325" spans="1:30" ht="19.5" hidden="1" customHeight="1" x14ac:dyDescent="0.25">
      <c r="A325" s="8" t="s">
        <v>1850</v>
      </c>
      <c r="B325" s="8" t="s">
        <v>1851</v>
      </c>
      <c r="C325" s="8">
        <v>30</v>
      </c>
      <c r="D325" s="151">
        <v>0</v>
      </c>
      <c r="E325" s="151"/>
      <c r="F325" s="24" t="s">
        <v>227</v>
      </c>
      <c r="G325" s="30">
        <v>45077</v>
      </c>
      <c r="H325" s="81" t="s">
        <v>360</v>
      </c>
      <c r="I325" s="30">
        <v>45013</v>
      </c>
      <c r="J325" s="16" t="s">
        <v>762</v>
      </c>
      <c r="K325" s="9" t="s">
        <v>1530</v>
      </c>
      <c r="L325" s="9"/>
      <c r="M325" s="152">
        <v>2167560</v>
      </c>
      <c r="N325" s="153">
        <v>411836.4</v>
      </c>
      <c r="O325" s="152">
        <v>0</v>
      </c>
      <c r="P325" s="154">
        <v>0</v>
      </c>
      <c r="Q325" s="152">
        <v>0</v>
      </c>
      <c r="R325" s="9">
        <v>2579396.4</v>
      </c>
      <c r="S325" s="21" t="s">
        <v>1846</v>
      </c>
      <c r="T325" s="117">
        <v>0</v>
      </c>
      <c r="U325" s="117">
        <v>0</v>
      </c>
      <c r="V325" s="117">
        <v>2023</v>
      </c>
      <c r="W325" s="117">
        <v>6</v>
      </c>
      <c r="X325" s="117">
        <v>0</v>
      </c>
      <c r="Y325" s="117">
        <v>0</v>
      </c>
      <c r="Z325" s="21" t="b">
        <v>1</v>
      </c>
      <c r="AA325" s="162">
        <f>+$AD$5-Tabla2[[#This Row],[FECHA DE FACTURACIÓN]]</f>
        <v>430</v>
      </c>
      <c r="AB325" s="163" t="str">
        <f>+IF(Tabla2[[#This Row],[dias de credito]]&gt;=Tabla2[[#This Row],[PLAZO Días]],"venc", "No venc")</f>
        <v>venc</v>
      </c>
      <c r="AC325" s="163" t="str">
        <f>+IF(Tabla2[[#This Row],[FECHA DE PAGO]]&gt;0,"pagada","por pagar")</f>
        <v>pagada</v>
      </c>
      <c r="AD325" s="164" t="str">
        <f>+IF(AND(Tabla2[[#This Row],[venc]]="venc",Tabla2[[#This Row],[estado pago]]="por pagar"),"vencida","no")</f>
        <v>no</v>
      </c>
    </row>
    <row r="326" spans="1:30" ht="19.5" hidden="1" customHeight="1" x14ac:dyDescent="0.25">
      <c r="A326" s="8" t="s">
        <v>1852</v>
      </c>
      <c r="B326" s="8" t="b">
        <v>0</v>
      </c>
      <c r="C326" s="8">
        <v>30</v>
      </c>
      <c r="D326" s="151">
        <v>0</v>
      </c>
      <c r="E326" s="151"/>
      <c r="F326" s="24" t="s">
        <v>84</v>
      </c>
      <c r="G326" s="30">
        <v>45077</v>
      </c>
      <c r="H326" s="81" t="s">
        <v>525</v>
      </c>
      <c r="I326" s="30">
        <v>45077</v>
      </c>
      <c r="J326" s="16" t="s">
        <v>502</v>
      </c>
      <c r="K326" s="9" t="s">
        <v>1530</v>
      </c>
      <c r="L326" s="9"/>
      <c r="M326" s="152">
        <v>13500</v>
      </c>
      <c r="N326" s="153">
        <v>0</v>
      </c>
      <c r="O326" s="152">
        <v>0</v>
      </c>
      <c r="P326" s="154">
        <v>0</v>
      </c>
      <c r="Q326" s="152">
        <v>0</v>
      </c>
      <c r="R326" s="9">
        <v>13500</v>
      </c>
      <c r="S326" s="21" t="s">
        <v>1846</v>
      </c>
      <c r="T326" s="117">
        <v>0</v>
      </c>
      <c r="U326" s="117">
        <v>0</v>
      </c>
      <c r="V326" s="117">
        <v>2023</v>
      </c>
      <c r="W326" s="117">
        <v>6</v>
      </c>
      <c r="X326" s="117">
        <v>0</v>
      </c>
      <c r="Y326" s="117">
        <v>0</v>
      </c>
      <c r="Z326" s="21" t="b">
        <v>0</v>
      </c>
      <c r="AA326" s="162">
        <f>+$AD$5-Tabla2[[#This Row],[FECHA DE FACTURACIÓN]]</f>
        <v>366</v>
      </c>
      <c r="AB326" s="163" t="str">
        <f>+IF(Tabla2[[#This Row],[dias de credito]]&gt;=Tabla2[[#This Row],[PLAZO Días]],"venc", "No venc")</f>
        <v>venc</v>
      </c>
      <c r="AC326" s="163" t="str">
        <f>+IF(Tabla2[[#This Row],[FECHA DE PAGO]]&gt;0,"pagada","por pagar")</f>
        <v>pagada</v>
      </c>
      <c r="AD326" s="164" t="str">
        <f>+IF(AND(Tabla2[[#This Row],[venc]]="venc",Tabla2[[#This Row],[estado pago]]="por pagar"),"vencida","no")</f>
        <v>no</v>
      </c>
    </row>
    <row r="327" spans="1:30" ht="19.5" hidden="1" customHeight="1" x14ac:dyDescent="0.25">
      <c r="A327" s="8" t="s">
        <v>1852</v>
      </c>
      <c r="B327" s="8" t="b">
        <v>0</v>
      </c>
      <c r="C327" s="8">
        <v>30</v>
      </c>
      <c r="D327" s="151">
        <v>0</v>
      </c>
      <c r="E327" s="151"/>
      <c r="F327" s="24" t="s">
        <v>84</v>
      </c>
      <c r="G327" s="30">
        <v>45077</v>
      </c>
      <c r="H327" s="81" t="s">
        <v>525</v>
      </c>
      <c r="I327" s="30">
        <v>45077</v>
      </c>
      <c r="J327" s="16" t="s">
        <v>476</v>
      </c>
      <c r="K327" s="9" t="s">
        <v>1530</v>
      </c>
      <c r="L327" s="9"/>
      <c r="M327" s="152">
        <v>242000</v>
      </c>
      <c r="N327" s="153">
        <v>0</v>
      </c>
      <c r="O327" s="152">
        <v>0</v>
      </c>
      <c r="P327" s="154">
        <v>0</v>
      </c>
      <c r="Q327" s="152">
        <v>0</v>
      </c>
      <c r="R327" s="9">
        <v>242000</v>
      </c>
      <c r="S327" s="21" t="s">
        <v>1846</v>
      </c>
      <c r="T327" s="117">
        <v>0</v>
      </c>
      <c r="U327" s="117">
        <v>0</v>
      </c>
      <c r="V327" s="117">
        <v>2023</v>
      </c>
      <c r="W327" s="117">
        <v>6</v>
      </c>
      <c r="X327" s="117">
        <v>0</v>
      </c>
      <c r="Y327" s="117">
        <v>0</v>
      </c>
      <c r="Z327" s="21" t="b">
        <v>0</v>
      </c>
      <c r="AA327" s="162">
        <f>+$AD$5-Tabla2[[#This Row],[FECHA DE FACTURACIÓN]]</f>
        <v>366</v>
      </c>
      <c r="AB327" s="163" t="str">
        <f>+IF(Tabla2[[#This Row],[dias de credito]]&gt;=Tabla2[[#This Row],[PLAZO Días]],"venc", "No venc")</f>
        <v>venc</v>
      </c>
      <c r="AC327" s="163" t="str">
        <f>+IF(Tabla2[[#This Row],[FECHA DE PAGO]]&gt;0,"pagada","por pagar")</f>
        <v>pagada</v>
      </c>
      <c r="AD327" s="164" t="str">
        <f>+IF(AND(Tabla2[[#This Row],[venc]]="venc",Tabla2[[#This Row],[estado pago]]="por pagar"),"vencida","no")</f>
        <v>no</v>
      </c>
    </row>
    <row r="328" spans="1:30" ht="19.5" hidden="1" customHeight="1" x14ac:dyDescent="0.25">
      <c r="A328" s="8" t="s">
        <v>1852</v>
      </c>
      <c r="B328" s="8" t="b">
        <v>0</v>
      </c>
      <c r="C328" s="8">
        <v>30</v>
      </c>
      <c r="D328" s="151">
        <v>0</v>
      </c>
      <c r="E328" s="151"/>
      <c r="F328" s="24" t="s">
        <v>84</v>
      </c>
      <c r="G328" s="30">
        <v>45077</v>
      </c>
      <c r="H328" s="81" t="s">
        <v>525</v>
      </c>
      <c r="I328" s="30">
        <v>45077</v>
      </c>
      <c r="J328" s="16" t="s">
        <v>480</v>
      </c>
      <c r="K328" s="9" t="s">
        <v>1530</v>
      </c>
      <c r="L328" s="9"/>
      <c r="M328" s="152">
        <v>466000</v>
      </c>
      <c r="N328" s="153">
        <v>0</v>
      </c>
      <c r="O328" s="152">
        <v>0</v>
      </c>
      <c r="P328" s="154">
        <v>0</v>
      </c>
      <c r="Q328" s="152">
        <v>0</v>
      </c>
      <c r="R328" s="9">
        <v>466000</v>
      </c>
      <c r="S328" s="21" t="s">
        <v>1846</v>
      </c>
      <c r="T328" s="117">
        <v>0</v>
      </c>
      <c r="U328" s="117">
        <v>0</v>
      </c>
      <c r="V328" s="117">
        <v>2023</v>
      </c>
      <c r="W328" s="117">
        <v>6</v>
      </c>
      <c r="X328" s="117">
        <v>0</v>
      </c>
      <c r="Y328" s="117">
        <v>0</v>
      </c>
      <c r="Z328" s="21" t="b">
        <v>0</v>
      </c>
      <c r="AA328" s="162">
        <f>+$AD$5-Tabla2[[#This Row],[FECHA DE FACTURACIÓN]]</f>
        <v>366</v>
      </c>
      <c r="AB328" s="163" t="str">
        <f>+IF(Tabla2[[#This Row],[dias de credito]]&gt;=Tabla2[[#This Row],[PLAZO Días]],"venc", "No venc")</f>
        <v>venc</v>
      </c>
      <c r="AC328" s="163" t="str">
        <f>+IF(Tabla2[[#This Row],[FECHA DE PAGO]]&gt;0,"pagada","por pagar")</f>
        <v>pagada</v>
      </c>
      <c r="AD328" s="164" t="str">
        <f>+IF(AND(Tabla2[[#This Row],[venc]]="venc",Tabla2[[#This Row],[estado pago]]="por pagar"),"vencida","no")</f>
        <v>no</v>
      </c>
    </row>
    <row r="329" spans="1:30" ht="19.5" hidden="1" customHeight="1" x14ac:dyDescent="0.25">
      <c r="A329" s="8" t="s">
        <v>1852</v>
      </c>
      <c r="B329" s="8" t="b">
        <v>0</v>
      </c>
      <c r="C329" s="8">
        <v>30</v>
      </c>
      <c r="D329" s="151">
        <v>0</v>
      </c>
      <c r="E329" s="151"/>
      <c r="F329" s="24" t="s">
        <v>84</v>
      </c>
      <c r="G329" s="30">
        <v>45077</v>
      </c>
      <c r="H329" s="81" t="s">
        <v>525</v>
      </c>
      <c r="I329" s="30">
        <v>45077</v>
      </c>
      <c r="J329" s="16" t="s">
        <v>1531</v>
      </c>
      <c r="K329" s="9" t="s">
        <v>1530</v>
      </c>
      <c r="L329" s="9"/>
      <c r="M329" s="152">
        <v>650600</v>
      </c>
      <c r="N329" s="153">
        <v>0</v>
      </c>
      <c r="O329" s="152">
        <v>0</v>
      </c>
      <c r="P329" s="154">
        <v>0</v>
      </c>
      <c r="Q329" s="152">
        <v>0</v>
      </c>
      <c r="R329" s="9">
        <v>650600</v>
      </c>
      <c r="S329" s="21" t="s">
        <v>1846</v>
      </c>
      <c r="T329" s="117">
        <v>0</v>
      </c>
      <c r="U329" s="117">
        <v>0</v>
      </c>
      <c r="V329" s="117">
        <v>2023</v>
      </c>
      <c r="W329" s="117">
        <v>6</v>
      </c>
      <c r="X329" s="117">
        <v>0</v>
      </c>
      <c r="Y329" s="117">
        <v>0</v>
      </c>
      <c r="Z329" s="21" t="b">
        <v>0</v>
      </c>
      <c r="AA329" s="162">
        <f>+$AD$5-Tabla2[[#This Row],[FECHA DE FACTURACIÓN]]</f>
        <v>366</v>
      </c>
      <c r="AB329" s="163" t="str">
        <f>+IF(Tabla2[[#This Row],[dias de credito]]&gt;=Tabla2[[#This Row],[PLAZO Días]],"venc", "No venc")</f>
        <v>venc</v>
      </c>
      <c r="AC329" s="163" t="str">
        <f>+IF(Tabla2[[#This Row],[FECHA DE PAGO]]&gt;0,"pagada","por pagar")</f>
        <v>pagada</v>
      </c>
      <c r="AD329" s="164" t="str">
        <f>+IF(AND(Tabla2[[#This Row],[venc]]="venc",Tabla2[[#This Row],[estado pago]]="por pagar"),"vencida","no")</f>
        <v>no</v>
      </c>
    </row>
    <row r="330" spans="1:30" ht="19.5" hidden="1" customHeight="1" x14ac:dyDescent="0.25">
      <c r="A330" s="8" t="s">
        <v>1852</v>
      </c>
      <c r="B330" s="8" t="b">
        <v>0</v>
      </c>
      <c r="C330" s="8">
        <v>30</v>
      </c>
      <c r="D330" s="151">
        <v>0</v>
      </c>
      <c r="E330" s="151"/>
      <c r="F330" s="24" t="s">
        <v>84</v>
      </c>
      <c r="G330" s="30">
        <v>45077</v>
      </c>
      <c r="H330" s="81" t="s">
        <v>525</v>
      </c>
      <c r="I330" s="30">
        <v>45077</v>
      </c>
      <c r="J330" s="16" t="s">
        <v>477</v>
      </c>
      <c r="K330" s="9" t="s">
        <v>1530</v>
      </c>
      <c r="L330" s="9"/>
      <c r="M330" s="152">
        <v>1165000</v>
      </c>
      <c r="N330" s="153">
        <v>0</v>
      </c>
      <c r="O330" s="152">
        <v>0</v>
      </c>
      <c r="P330" s="154">
        <v>0</v>
      </c>
      <c r="Q330" s="152">
        <v>0</v>
      </c>
      <c r="R330" s="9">
        <v>1165000</v>
      </c>
      <c r="S330" s="21" t="s">
        <v>1846</v>
      </c>
      <c r="T330" s="117">
        <v>0</v>
      </c>
      <c r="U330" s="117">
        <v>0</v>
      </c>
      <c r="V330" s="117">
        <v>2023</v>
      </c>
      <c r="W330" s="117">
        <v>6</v>
      </c>
      <c r="X330" s="117">
        <v>0</v>
      </c>
      <c r="Y330" s="117">
        <v>0</v>
      </c>
      <c r="Z330" s="21" t="b">
        <v>0</v>
      </c>
      <c r="AA330" s="162">
        <f>+$AD$5-Tabla2[[#This Row],[FECHA DE FACTURACIÓN]]</f>
        <v>366</v>
      </c>
      <c r="AB330" s="163" t="str">
        <f>+IF(Tabla2[[#This Row],[dias de credito]]&gt;=Tabla2[[#This Row],[PLAZO Días]],"venc", "No venc")</f>
        <v>venc</v>
      </c>
      <c r="AC330" s="163" t="str">
        <f>+IF(Tabla2[[#This Row],[FECHA DE PAGO]]&gt;0,"pagada","por pagar")</f>
        <v>pagada</v>
      </c>
      <c r="AD330" s="164" t="str">
        <f>+IF(AND(Tabla2[[#This Row],[venc]]="venc",Tabla2[[#This Row],[estado pago]]="por pagar"),"vencida","no")</f>
        <v>no</v>
      </c>
    </row>
    <row r="331" spans="1:30" ht="19.5" hidden="1" customHeight="1" x14ac:dyDescent="0.25">
      <c r="A331" s="8" t="s">
        <v>1850</v>
      </c>
      <c r="B331" s="8" t="b">
        <v>0</v>
      </c>
      <c r="C331" s="8">
        <v>30</v>
      </c>
      <c r="D331" s="151">
        <v>0</v>
      </c>
      <c r="E331" s="151"/>
      <c r="F331" s="24" t="s">
        <v>84</v>
      </c>
      <c r="G331" s="30">
        <v>45078</v>
      </c>
      <c r="H331" s="81" t="s">
        <v>481</v>
      </c>
      <c r="I331" s="30">
        <v>45077</v>
      </c>
      <c r="J331" s="16" t="s">
        <v>818</v>
      </c>
      <c r="K331" s="9" t="s">
        <v>1530</v>
      </c>
      <c r="L331" s="9"/>
      <c r="M331" s="152">
        <v>1874000</v>
      </c>
      <c r="N331" s="153">
        <v>0</v>
      </c>
      <c r="O331" s="152">
        <v>0</v>
      </c>
      <c r="P331" s="154">
        <v>0</v>
      </c>
      <c r="Q331" s="152">
        <v>0</v>
      </c>
      <c r="R331" s="9">
        <v>1874000</v>
      </c>
      <c r="S331" s="21" t="s">
        <v>1846</v>
      </c>
      <c r="T331" s="117">
        <v>0</v>
      </c>
      <c r="U331" s="117">
        <v>0</v>
      </c>
      <c r="V331" s="117">
        <v>2023</v>
      </c>
      <c r="W331" s="117">
        <v>6</v>
      </c>
      <c r="X331" s="117">
        <v>0</v>
      </c>
      <c r="Y331" s="117">
        <v>0</v>
      </c>
      <c r="Z331" s="21" t="b">
        <v>0</v>
      </c>
      <c r="AA331" s="162">
        <f>+$AD$5-Tabla2[[#This Row],[FECHA DE FACTURACIÓN]]</f>
        <v>366</v>
      </c>
      <c r="AB331" s="163" t="str">
        <f>+IF(Tabla2[[#This Row],[dias de credito]]&gt;=Tabla2[[#This Row],[PLAZO Días]],"venc", "No venc")</f>
        <v>venc</v>
      </c>
      <c r="AC331" s="163" t="str">
        <f>+IF(Tabla2[[#This Row],[FECHA DE PAGO]]&gt;0,"pagada","por pagar")</f>
        <v>pagada</v>
      </c>
      <c r="AD331" s="164" t="str">
        <f>+IF(AND(Tabla2[[#This Row],[venc]]="venc",Tabla2[[#This Row],[estado pago]]="por pagar"),"vencida","no")</f>
        <v>no</v>
      </c>
    </row>
    <row r="332" spans="1:30" ht="19.5" hidden="1" customHeight="1" x14ac:dyDescent="0.25">
      <c r="A332" s="8" t="s">
        <v>1852</v>
      </c>
      <c r="B332" s="8" t="b">
        <v>0</v>
      </c>
      <c r="C332" s="8">
        <v>30</v>
      </c>
      <c r="D332" s="151">
        <v>0</v>
      </c>
      <c r="E332" s="151"/>
      <c r="F332" s="24" t="s">
        <v>84</v>
      </c>
      <c r="G332" s="30">
        <v>45078</v>
      </c>
      <c r="H332" s="81" t="s">
        <v>525</v>
      </c>
      <c r="I332" s="30">
        <v>45078</v>
      </c>
      <c r="J332" s="16" t="s">
        <v>817</v>
      </c>
      <c r="K332" s="9" t="s">
        <v>1530</v>
      </c>
      <c r="L332" s="9"/>
      <c r="M332" s="152">
        <v>40000</v>
      </c>
      <c r="N332" s="153">
        <v>0</v>
      </c>
      <c r="O332" s="152">
        <v>0</v>
      </c>
      <c r="P332" s="154">
        <v>0</v>
      </c>
      <c r="Q332" s="152">
        <v>0</v>
      </c>
      <c r="R332" s="9">
        <v>40000</v>
      </c>
      <c r="S332" s="21" t="s">
        <v>1846</v>
      </c>
      <c r="T332" s="117">
        <v>0</v>
      </c>
      <c r="U332" s="117">
        <v>0</v>
      </c>
      <c r="V332" s="117">
        <v>2023</v>
      </c>
      <c r="W332" s="117">
        <v>6</v>
      </c>
      <c r="X332" s="117">
        <v>0</v>
      </c>
      <c r="Y332" s="117">
        <v>0</v>
      </c>
      <c r="Z332" s="21" t="b">
        <v>0</v>
      </c>
      <c r="AA332" s="162">
        <f>+$AD$5-Tabla2[[#This Row],[FECHA DE FACTURACIÓN]]</f>
        <v>365</v>
      </c>
      <c r="AB332" s="163" t="str">
        <f>+IF(Tabla2[[#This Row],[dias de credito]]&gt;=Tabla2[[#This Row],[PLAZO Días]],"venc", "No venc")</f>
        <v>venc</v>
      </c>
      <c r="AC332" s="163" t="str">
        <f>+IF(Tabla2[[#This Row],[FECHA DE PAGO]]&gt;0,"pagada","por pagar")</f>
        <v>pagada</v>
      </c>
      <c r="AD332" s="164" t="str">
        <f>+IF(AND(Tabla2[[#This Row],[venc]]="venc",Tabla2[[#This Row],[estado pago]]="por pagar"),"vencida","no")</f>
        <v>no</v>
      </c>
    </row>
    <row r="333" spans="1:30" ht="19.5" hidden="1" customHeight="1" x14ac:dyDescent="0.25">
      <c r="A333" s="8" t="s">
        <v>1852</v>
      </c>
      <c r="B333" s="8" t="b">
        <v>0</v>
      </c>
      <c r="C333" s="8">
        <v>30</v>
      </c>
      <c r="D333" s="151">
        <v>0</v>
      </c>
      <c r="E333" s="151"/>
      <c r="F333" s="24" t="s">
        <v>84</v>
      </c>
      <c r="G333" s="30">
        <v>45078</v>
      </c>
      <c r="H333" s="81" t="s">
        <v>525</v>
      </c>
      <c r="I333" s="30">
        <v>45078</v>
      </c>
      <c r="J333" s="16">
        <v>2312</v>
      </c>
      <c r="K333" s="9" t="s">
        <v>1530</v>
      </c>
      <c r="L333" s="9"/>
      <c r="M333" s="152">
        <v>210000</v>
      </c>
      <c r="N333" s="153">
        <v>0</v>
      </c>
      <c r="O333" s="152">
        <v>0</v>
      </c>
      <c r="P333" s="154">
        <v>0</v>
      </c>
      <c r="Q333" s="152">
        <v>0</v>
      </c>
      <c r="R333" s="9">
        <v>210000</v>
      </c>
      <c r="S333" s="21" t="s">
        <v>1846</v>
      </c>
      <c r="T333" s="117">
        <v>0</v>
      </c>
      <c r="U333" s="117">
        <v>0</v>
      </c>
      <c r="V333" s="117">
        <v>2023</v>
      </c>
      <c r="W333" s="117">
        <v>6</v>
      </c>
      <c r="X333" s="117">
        <v>0</v>
      </c>
      <c r="Y333" s="117">
        <v>0</v>
      </c>
      <c r="Z333" s="21" t="b">
        <v>0</v>
      </c>
      <c r="AA333" s="162">
        <f>+$AD$5-Tabla2[[#This Row],[FECHA DE FACTURACIÓN]]</f>
        <v>365</v>
      </c>
      <c r="AB333" s="163" t="str">
        <f>+IF(Tabla2[[#This Row],[dias de credito]]&gt;=Tabla2[[#This Row],[PLAZO Días]],"venc", "No venc")</f>
        <v>venc</v>
      </c>
      <c r="AC333" s="163" t="str">
        <f>+IF(Tabla2[[#This Row],[FECHA DE PAGO]]&gt;0,"pagada","por pagar")</f>
        <v>pagada</v>
      </c>
      <c r="AD333" s="164" t="str">
        <f>+IF(AND(Tabla2[[#This Row],[venc]]="venc",Tabla2[[#This Row],[estado pago]]="por pagar"),"vencida","no")</f>
        <v>no</v>
      </c>
    </row>
    <row r="334" spans="1:30" ht="19.5" hidden="1" customHeight="1" x14ac:dyDescent="0.25">
      <c r="A334" s="8" t="s">
        <v>1852</v>
      </c>
      <c r="B334" s="8" t="b">
        <v>0</v>
      </c>
      <c r="C334" s="8">
        <v>30</v>
      </c>
      <c r="D334" s="151">
        <v>0</v>
      </c>
      <c r="E334" s="151"/>
      <c r="F334" s="24">
        <v>0</v>
      </c>
      <c r="G334" s="30">
        <v>45078</v>
      </c>
      <c r="H334" s="81" t="s">
        <v>183</v>
      </c>
      <c r="I334" s="30">
        <v>45078</v>
      </c>
      <c r="J334" s="16" t="s">
        <v>819</v>
      </c>
      <c r="K334" s="9" t="s">
        <v>1530</v>
      </c>
      <c r="L334" s="9"/>
      <c r="M334" s="152">
        <v>35292</v>
      </c>
      <c r="N334" s="153">
        <v>6705.4800000000005</v>
      </c>
      <c r="O334" s="152">
        <v>0</v>
      </c>
      <c r="P334" s="154">
        <v>0</v>
      </c>
      <c r="Q334" s="152">
        <v>0</v>
      </c>
      <c r="R334" s="9">
        <v>41997.48</v>
      </c>
      <c r="S334" s="21" t="s">
        <v>1846</v>
      </c>
      <c r="T334" s="117">
        <v>0</v>
      </c>
      <c r="U334" s="117" t="s">
        <v>347</v>
      </c>
      <c r="V334" s="117">
        <v>2023</v>
      </c>
      <c r="W334" s="117">
        <v>6</v>
      </c>
      <c r="X334" s="117">
        <v>1145000</v>
      </c>
      <c r="Y334" s="117">
        <v>2.5000000000000001E-2</v>
      </c>
      <c r="Z334" s="21" t="b">
        <v>0</v>
      </c>
      <c r="AA334" s="162">
        <f>+$AD$5-Tabla2[[#This Row],[FECHA DE FACTURACIÓN]]</f>
        <v>365</v>
      </c>
      <c r="AB334" s="163" t="str">
        <f>+IF(Tabla2[[#This Row],[dias de credito]]&gt;=Tabla2[[#This Row],[PLAZO Días]],"venc", "No venc")</f>
        <v>venc</v>
      </c>
      <c r="AC334" s="163" t="str">
        <f>+IF(Tabla2[[#This Row],[FECHA DE PAGO]]&gt;0,"pagada","por pagar")</f>
        <v>pagada</v>
      </c>
      <c r="AD334" s="164" t="str">
        <f>+IF(AND(Tabla2[[#This Row],[venc]]="venc",Tabla2[[#This Row],[estado pago]]="por pagar"),"vencida","no")</f>
        <v>no</v>
      </c>
    </row>
    <row r="335" spans="1:30" ht="19.5" hidden="1" customHeight="1" x14ac:dyDescent="0.25">
      <c r="A335" s="8" t="s">
        <v>1850</v>
      </c>
      <c r="B335" s="8" t="s">
        <v>1851</v>
      </c>
      <c r="C335" s="8">
        <v>30</v>
      </c>
      <c r="D335" s="151">
        <v>0</v>
      </c>
      <c r="E335" s="151"/>
      <c r="F335" s="24" t="s">
        <v>436</v>
      </c>
      <c r="G335" s="30">
        <v>45082</v>
      </c>
      <c r="H335" s="81" t="s">
        <v>435</v>
      </c>
      <c r="I335" s="30">
        <v>44999</v>
      </c>
      <c r="J335" s="16" t="s">
        <v>620</v>
      </c>
      <c r="K335" s="9" t="s">
        <v>1530</v>
      </c>
      <c r="L335" s="9"/>
      <c r="M335" s="152">
        <v>315126</v>
      </c>
      <c r="N335" s="153">
        <v>59873.94</v>
      </c>
      <c r="O335" s="152">
        <v>0</v>
      </c>
      <c r="P335" s="154">
        <v>0</v>
      </c>
      <c r="Q335" s="152">
        <v>0</v>
      </c>
      <c r="R335" s="9">
        <v>374999.94</v>
      </c>
      <c r="S335" s="21" t="s">
        <v>1846</v>
      </c>
      <c r="T335" s="117">
        <v>0</v>
      </c>
      <c r="U335" s="117" t="s">
        <v>347</v>
      </c>
      <c r="V335" s="117">
        <v>2023</v>
      </c>
      <c r="W335" s="117">
        <v>6</v>
      </c>
      <c r="X335" s="117">
        <v>1145000</v>
      </c>
      <c r="Y335" s="117">
        <v>2.5000000000000001E-2</v>
      </c>
      <c r="Z335" s="21" t="b">
        <v>0</v>
      </c>
      <c r="AA335" s="162">
        <f>+$AD$5-Tabla2[[#This Row],[FECHA DE FACTURACIÓN]]</f>
        <v>444</v>
      </c>
      <c r="AB335" s="163" t="str">
        <f>+IF(Tabla2[[#This Row],[dias de credito]]&gt;=Tabla2[[#This Row],[PLAZO Días]],"venc", "No venc")</f>
        <v>venc</v>
      </c>
      <c r="AC335" s="163" t="str">
        <f>+IF(Tabla2[[#This Row],[FECHA DE PAGO]]&gt;0,"pagada","por pagar")</f>
        <v>pagada</v>
      </c>
      <c r="AD335" s="164" t="str">
        <f>+IF(AND(Tabla2[[#This Row],[venc]]="venc",Tabla2[[#This Row],[estado pago]]="por pagar"),"vencida","no")</f>
        <v>no</v>
      </c>
    </row>
    <row r="336" spans="1:30" ht="19.5" hidden="1" customHeight="1" x14ac:dyDescent="0.25">
      <c r="A336" s="8" t="s">
        <v>1850</v>
      </c>
      <c r="B336" s="8" t="s">
        <v>1851</v>
      </c>
      <c r="C336" s="8">
        <v>30</v>
      </c>
      <c r="D336" s="151">
        <v>12628497</v>
      </c>
      <c r="E336" s="151"/>
      <c r="F336" s="24" t="s">
        <v>149</v>
      </c>
      <c r="G336" s="30">
        <v>45082</v>
      </c>
      <c r="H336" s="81" t="s">
        <v>451</v>
      </c>
      <c r="I336" s="30">
        <v>45013</v>
      </c>
      <c r="J336" s="16" t="s">
        <v>652</v>
      </c>
      <c r="K336" s="9" t="s">
        <v>1530</v>
      </c>
      <c r="L336" s="9"/>
      <c r="M336" s="152">
        <v>2185344</v>
      </c>
      <c r="N336" s="153">
        <v>415215.35999999999</v>
      </c>
      <c r="O336" s="152">
        <v>0</v>
      </c>
      <c r="P336" s="154">
        <v>2.5000000000000001E-2</v>
      </c>
      <c r="Q336" s="152">
        <v>54633.600000000006</v>
      </c>
      <c r="R336" s="9">
        <v>2545925.7599999998</v>
      </c>
      <c r="S336" s="21" t="s">
        <v>1846</v>
      </c>
      <c r="T336" s="117">
        <v>0</v>
      </c>
      <c r="U336" s="117" t="s">
        <v>347</v>
      </c>
      <c r="V336" s="117">
        <v>2023</v>
      </c>
      <c r="W336" s="117">
        <v>6</v>
      </c>
      <c r="X336" s="117">
        <v>1145000</v>
      </c>
      <c r="Y336" s="117">
        <v>2.5000000000000001E-2</v>
      </c>
      <c r="Z336" s="21" t="b">
        <v>0</v>
      </c>
      <c r="AA336" s="162">
        <f>+$AD$5-Tabla2[[#This Row],[FECHA DE FACTURACIÓN]]</f>
        <v>430</v>
      </c>
      <c r="AB336" s="163" t="str">
        <f>+IF(Tabla2[[#This Row],[dias de credito]]&gt;=Tabla2[[#This Row],[PLAZO Días]],"venc", "No venc")</f>
        <v>venc</v>
      </c>
      <c r="AC336" s="163" t="str">
        <f>+IF(Tabla2[[#This Row],[FECHA DE PAGO]]&gt;0,"pagada","por pagar")</f>
        <v>pagada</v>
      </c>
      <c r="AD336" s="164" t="str">
        <f>+IF(AND(Tabla2[[#This Row],[venc]]="venc",Tabla2[[#This Row],[estado pago]]="por pagar"),"vencida","no")</f>
        <v>no</v>
      </c>
    </row>
    <row r="337" spans="1:30" ht="19.5" hidden="1" customHeight="1" x14ac:dyDescent="0.25">
      <c r="A337" s="8" t="s">
        <v>1850</v>
      </c>
      <c r="B337" s="8" t="s">
        <v>1851</v>
      </c>
      <c r="C337" s="8">
        <v>45</v>
      </c>
      <c r="D337" s="151">
        <v>2446500</v>
      </c>
      <c r="E337" s="151"/>
      <c r="F337" s="24" t="s">
        <v>158</v>
      </c>
      <c r="G337" s="30">
        <v>45082</v>
      </c>
      <c r="H337" s="81" t="s">
        <v>10</v>
      </c>
      <c r="I337" s="30">
        <v>45014</v>
      </c>
      <c r="J337" s="16" t="s">
        <v>662</v>
      </c>
      <c r="K337" s="9" t="s">
        <v>1530</v>
      </c>
      <c r="L337" s="9"/>
      <c r="M337" s="152">
        <v>2020000</v>
      </c>
      <c r="N337" s="153">
        <v>383800</v>
      </c>
      <c r="O337" s="152">
        <v>0</v>
      </c>
      <c r="P337" s="154">
        <v>2.5000000000000001E-2</v>
      </c>
      <c r="Q337" s="152">
        <v>50500</v>
      </c>
      <c r="R337" s="9">
        <v>2353300</v>
      </c>
      <c r="S337" s="21" t="s">
        <v>1846</v>
      </c>
      <c r="T337" s="117">
        <v>0</v>
      </c>
      <c r="U337" s="117" t="s">
        <v>347</v>
      </c>
      <c r="V337" s="117">
        <v>2023</v>
      </c>
      <c r="W337" s="117">
        <v>6</v>
      </c>
      <c r="X337" s="117">
        <v>1145000</v>
      </c>
      <c r="Y337" s="117">
        <v>2.5000000000000001E-2</v>
      </c>
      <c r="Z337" s="21" t="b">
        <v>0</v>
      </c>
      <c r="AA337" s="162">
        <f>+$AD$5-Tabla2[[#This Row],[FECHA DE FACTURACIÓN]]</f>
        <v>429</v>
      </c>
      <c r="AB337" s="163" t="str">
        <f>+IF(Tabla2[[#This Row],[dias de credito]]&gt;=Tabla2[[#This Row],[PLAZO Días]],"venc", "No venc")</f>
        <v>venc</v>
      </c>
      <c r="AC337" s="163" t="str">
        <f>+IF(Tabla2[[#This Row],[FECHA DE PAGO]]&gt;0,"pagada","por pagar")</f>
        <v>pagada</v>
      </c>
      <c r="AD337" s="164" t="str">
        <f>+IF(AND(Tabla2[[#This Row],[venc]]="venc",Tabla2[[#This Row],[estado pago]]="por pagar"),"vencida","no")</f>
        <v>no</v>
      </c>
    </row>
    <row r="338" spans="1:30" ht="19.5" hidden="1" customHeight="1" x14ac:dyDescent="0.25">
      <c r="A338" s="8" t="s">
        <v>1850</v>
      </c>
      <c r="B338" s="8" t="s">
        <v>1851</v>
      </c>
      <c r="C338" s="8">
        <v>45</v>
      </c>
      <c r="D338" s="151">
        <v>2446500</v>
      </c>
      <c r="E338" s="151"/>
      <c r="F338" s="24" t="s">
        <v>158</v>
      </c>
      <c r="G338" s="30">
        <v>45082</v>
      </c>
      <c r="H338" s="81" t="s">
        <v>10</v>
      </c>
      <c r="I338" s="30">
        <v>45016</v>
      </c>
      <c r="J338" s="16" t="s">
        <v>663</v>
      </c>
      <c r="K338" s="9" t="s">
        <v>1530</v>
      </c>
      <c r="L338" s="9"/>
      <c r="M338" s="152">
        <v>630000</v>
      </c>
      <c r="N338" s="153">
        <v>119700</v>
      </c>
      <c r="O338" s="152">
        <v>0</v>
      </c>
      <c r="P338" s="154">
        <v>0</v>
      </c>
      <c r="Q338" s="152">
        <v>0</v>
      </c>
      <c r="R338" s="9">
        <v>749700</v>
      </c>
      <c r="S338" s="21" t="s">
        <v>1846</v>
      </c>
      <c r="T338" s="117">
        <v>0</v>
      </c>
      <c r="U338" s="117" t="s">
        <v>347</v>
      </c>
      <c r="V338" s="117">
        <v>2023</v>
      </c>
      <c r="W338" s="117">
        <v>6</v>
      </c>
      <c r="X338" s="117">
        <v>1145000</v>
      </c>
      <c r="Y338" s="117">
        <v>2.5000000000000001E-2</v>
      </c>
      <c r="Z338" s="21" t="b">
        <v>0</v>
      </c>
      <c r="AA338" s="162">
        <f>+$AD$5-Tabla2[[#This Row],[FECHA DE FACTURACIÓN]]</f>
        <v>427</v>
      </c>
      <c r="AB338" s="163" t="str">
        <f>+IF(Tabla2[[#This Row],[dias de credito]]&gt;=Tabla2[[#This Row],[PLAZO Días]],"venc", "No venc")</f>
        <v>venc</v>
      </c>
      <c r="AC338" s="163" t="str">
        <f>+IF(Tabla2[[#This Row],[FECHA DE PAGO]]&gt;0,"pagada","por pagar")</f>
        <v>pagada</v>
      </c>
      <c r="AD338" s="164" t="str">
        <f>+IF(AND(Tabla2[[#This Row],[venc]]="venc",Tabla2[[#This Row],[estado pago]]="por pagar"),"vencida","no")</f>
        <v>no</v>
      </c>
    </row>
    <row r="339" spans="1:30" ht="19.5" hidden="1" customHeight="1" x14ac:dyDescent="0.25">
      <c r="A339" s="8" t="s">
        <v>1850</v>
      </c>
      <c r="B339" s="8" t="s">
        <v>1851</v>
      </c>
      <c r="C339" s="8">
        <v>30</v>
      </c>
      <c r="D339" s="151">
        <v>0</v>
      </c>
      <c r="E339" s="151"/>
      <c r="F339" s="24" t="s">
        <v>84</v>
      </c>
      <c r="G339" s="30">
        <v>45082</v>
      </c>
      <c r="H339" s="81" t="s">
        <v>294</v>
      </c>
      <c r="I339" s="30">
        <v>45026</v>
      </c>
      <c r="J339" s="16">
        <v>2002</v>
      </c>
      <c r="K339" s="9" t="s">
        <v>1530</v>
      </c>
      <c r="L339" s="9"/>
      <c r="M339" s="152">
        <v>343800</v>
      </c>
      <c r="N339" s="153">
        <v>0</v>
      </c>
      <c r="O339" s="152">
        <v>0</v>
      </c>
      <c r="P339" s="154">
        <v>0</v>
      </c>
      <c r="Q339" s="152">
        <v>0</v>
      </c>
      <c r="R339" s="9">
        <v>343800</v>
      </c>
      <c r="S339" s="21" t="s">
        <v>1846</v>
      </c>
      <c r="T339" s="117">
        <v>0</v>
      </c>
      <c r="U339" s="117">
        <v>0</v>
      </c>
      <c r="V339" s="117">
        <v>2023</v>
      </c>
      <c r="W339" s="117">
        <v>6</v>
      </c>
      <c r="X339" s="117">
        <v>0</v>
      </c>
      <c r="Y339" s="117">
        <v>0</v>
      </c>
      <c r="Z339" s="21" t="b">
        <v>0</v>
      </c>
      <c r="AA339" s="162">
        <f>+$AD$5-Tabla2[[#This Row],[FECHA DE FACTURACIÓN]]</f>
        <v>417</v>
      </c>
      <c r="AB339" s="163" t="str">
        <f>+IF(Tabla2[[#This Row],[dias de credito]]&gt;=Tabla2[[#This Row],[PLAZO Días]],"venc", "No venc")</f>
        <v>venc</v>
      </c>
      <c r="AC339" s="163" t="str">
        <f>+IF(Tabla2[[#This Row],[FECHA DE PAGO]]&gt;0,"pagada","por pagar")</f>
        <v>pagada</v>
      </c>
      <c r="AD339" s="164" t="str">
        <f>+IF(AND(Tabla2[[#This Row],[venc]]="venc",Tabla2[[#This Row],[estado pago]]="por pagar"),"vencida","no")</f>
        <v>no</v>
      </c>
    </row>
    <row r="340" spans="1:30" ht="19.5" hidden="1" customHeight="1" x14ac:dyDescent="0.25">
      <c r="A340" s="8" t="s">
        <v>1850</v>
      </c>
      <c r="B340" s="8" t="s">
        <v>1851</v>
      </c>
      <c r="C340" s="8">
        <v>30</v>
      </c>
      <c r="D340" s="151">
        <v>0</v>
      </c>
      <c r="E340" s="151"/>
      <c r="F340" s="24" t="s">
        <v>436</v>
      </c>
      <c r="G340" s="30">
        <v>45082</v>
      </c>
      <c r="H340" s="81" t="s">
        <v>435</v>
      </c>
      <c r="I340" s="30">
        <v>45026</v>
      </c>
      <c r="J340" s="16" t="s">
        <v>816</v>
      </c>
      <c r="K340" s="9" t="s">
        <v>1530</v>
      </c>
      <c r="L340" s="9"/>
      <c r="M340" s="152">
        <v>3108403</v>
      </c>
      <c r="N340" s="153">
        <v>590596.56999999995</v>
      </c>
      <c r="O340" s="152">
        <v>0</v>
      </c>
      <c r="P340" s="154">
        <v>2.5000000000000001E-2</v>
      </c>
      <c r="Q340" s="152">
        <v>77710.074999999997</v>
      </c>
      <c r="R340" s="9">
        <v>3621289.4949999996</v>
      </c>
      <c r="S340" s="21" t="s">
        <v>1846</v>
      </c>
      <c r="T340" s="117">
        <v>0</v>
      </c>
      <c r="U340" s="117" t="s">
        <v>347</v>
      </c>
      <c r="V340" s="117">
        <v>2023</v>
      </c>
      <c r="W340" s="117">
        <v>6</v>
      </c>
      <c r="X340" s="117">
        <v>1145000</v>
      </c>
      <c r="Y340" s="117">
        <v>2.5000000000000001E-2</v>
      </c>
      <c r="Z340" s="21" t="b">
        <v>0</v>
      </c>
      <c r="AA340" s="162">
        <f>+$AD$5-Tabla2[[#This Row],[FECHA DE FACTURACIÓN]]</f>
        <v>417</v>
      </c>
      <c r="AB340" s="163" t="str">
        <f>+IF(Tabla2[[#This Row],[dias de credito]]&gt;=Tabla2[[#This Row],[PLAZO Días]],"venc", "No venc")</f>
        <v>venc</v>
      </c>
      <c r="AC340" s="163" t="str">
        <f>+IF(Tabla2[[#This Row],[FECHA DE PAGO]]&gt;0,"pagada","por pagar")</f>
        <v>pagada</v>
      </c>
      <c r="AD340" s="164" t="str">
        <f>+IF(AND(Tabla2[[#This Row],[venc]]="venc",Tabla2[[#This Row],[estado pago]]="por pagar"),"vencida","no")</f>
        <v>no</v>
      </c>
    </row>
    <row r="341" spans="1:30" ht="19.5" hidden="1" customHeight="1" x14ac:dyDescent="0.25">
      <c r="A341" s="8" t="s">
        <v>1850</v>
      </c>
      <c r="B341" s="8" t="s">
        <v>1851</v>
      </c>
      <c r="C341" s="8">
        <v>30</v>
      </c>
      <c r="D341" s="151">
        <v>0</v>
      </c>
      <c r="E341" s="151"/>
      <c r="F341" s="24" t="s">
        <v>711</v>
      </c>
      <c r="G341" s="30">
        <v>45082</v>
      </c>
      <c r="H341" s="81" t="s">
        <v>1818</v>
      </c>
      <c r="I341" s="30">
        <v>45028</v>
      </c>
      <c r="J341" s="16">
        <v>31073</v>
      </c>
      <c r="K341" s="9" t="s">
        <v>1530</v>
      </c>
      <c r="L341" s="9"/>
      <c r="M341" s="152">
        <v>900000</v>
      </c>
      <c r="N341" s="153">
        <v>0</v>
      </c>
      <c r="O341" s="152">
        <v>0</v>
      </c>
      <c r="P341" s="154">
        <v>0</v>
      </c>
      <c r="Q341" s="152">
        <v>0</v>
      </c>
      <c r="R341" s="9">
        <v>900000</v>
      </c>
      <c r="S341" s="21" t="s">
        <v>1846</v>
      </c>
      <c r="T341" s="117">
        <v>0</v>
      </c>
      <c r="U341" s="117">
        <v>0</v>
      </c>
      <c r="V341" s="117">
        <v>2023</v>
      </c>
      <c r="W341" s="117">
        <v>6</v>
      </c>
      <c r="X341" s="117">
        <v>0</v>
      </c>
      <c r="Y341" s="117">
        <v>0</v>
      </c>
      <c r="Z341" s="21" t="b">
        <v>0</v>
      </c>
      <c r="AA341" s="162">
        <f>+$AD$5-Tabla2[[#This Row],[FECHA DE FACTURACIÓN]]</f>
        <v>415</v>
      </c>
      <c r="AB341" s="163" t="str">
        <f>+IF(Tabla2[[#This Row],[dias de credito]]&gt;=Tabla2[[#This Row],[PLAZO Días]],"venc", "No venc")</f>
        <v>venc</v>
      </c>
      <c r="AC341" s="163" t="str">
        <f>+IF(Tabla2[[#This Row],[FECHA DE PAGO]]&gt;0,"pagada","por pagar")</f>
        <v>pagada</v>
      </c>
      <c r="AD341" s="164" t="str">
        <f>+IF(AND(Tabla2[[#This Row],[venc]]="venc",Tabla2[[#This Row],[estado pago]]="por pagar"),"vencida","no")</f>
        <v>no</v>
      </c>
    </row>
    <row r="342" spans="1:30" ht="19.5" hidden="1" customHeight="1" x14ac:dyDescent="0.25">
      <c r="A342" s="8" t="s">
        <v>1850</v>
      </c>
      <c r="B342" s="8" t="s">
        <v>1851</v>
      </c>
      <c r="C342" s="8">
        <v>30</v>
      </c>
      <c r="D342" s="151">
        <v>8456975.129999999</v>
      </c>
      <c r="E342" s="151"/>
      <c r="F342" s="24" t="s">
        <v>1476</v>
      </c>
      <c r="G342" s="30">
        <v>45082</v>
      </c>
      <c r="H342" s="81" t="s">
        <v>1464</v>
      </c>
      <c r="I342" s="30">
        <v>45028</v>
      </c>
      <c r="J342" s="16" t="s">
        <v>737</v>
      </c>
      <c r="K342" s="9" t="s">
        <v>1530</v>
      </c>
      <c r="L342" s="9"/>
      <c r="M342" s="152">
        <v>97619</v>
      </c>
      <c r="N342" s="153">
        <v>18547.61</v>
      </c>
      <c r="O342" s="152">
        <v>0</v>
      </c>
      <c r="P342" s="154">
        <v>0</v>
      </c>
      <c r="Q342" s="152">
        <v>0</v>
      </c>
      <c r="R342" s="9">
        <v>116166.61</v>
      </c>
      <c r="S342" s="21" t="s">
        <v>1846</v>
      </c>
      <c r="T342" s="117">
        <v>0</v>
      </c>
      <c r="U342" s="117" t="s">
        <v>347</v>
      </c>
      <c r="V342" s="117">
        <v>2023</v>
      </c>
      <c r="W342" s="117">
        <v>6</v>
      </c>
      <c r="X342" s="117">
        <v>1145000</v>
      </c>
      <c r="Y342" s="117">
        <v>2.5000000000000001E-2</v>
      </c>
      <c r="Z342" s="21" t="b">
        <v>0</v>
      </c>
      <c r="AA342" s="162">
        <f>+$AD$5-Tabla2[[#This Row],[FECHA DE FACTURACIÓN]]</f>
        <v>415</v>
      </c>
      <c r="AB342" s="163" t="str">
        <f>+IF(Tabla2[[#This Row],[dias de credito]]&gt;=Tabla2[[#This Row],[PLAZO Días]],"venc", "No venc")</f>
        <v>venc</v>
      </c>
      <c r="AC342" s="163" t="str">
        <f>+IF(Tabla2[[#This Row],[FECHA DE PAGO]]&gt;0,"pagada","por pagar")</f>
        <v>pagada</v>
      </c>
      <c r="AD342" s="164" t="str">
        <f>+IF(AND(Tabla2[[#This Row],[venc]]="venc",Tabla2[[#This Row],[estado pago]]="por pagar"),"vencida","no")</f>
        <v>no</v>
      </c>
    </row>
    <row r="343" spans="1:30" ht="19.5" hidden="1" customHeight="1" x14ac:dyDescent="0.25">
      <c r="A343" s="8" t="s">
        <v>1850</v>
      </c>
      <c r="B343" s="8" t="s">
        <v>1851</v>
      </c>
      <c r="C343" s="8">
        <v>45</v>
      </c>
      <c r="D343" s="151">
        <v>2446500</v>
      </c>
      <c r="E343" s="151"/>
      <c r="F343" s="24" t="s">
        <v>158</v>
      </c>
      <c r="G343" s="30">
        <v>45082</v>
      </c>
      <c r="H343" s="81" t="s">
        <v>10</v>
      </c>
      <c r="I343" s="30">
        <v>45029</v>
      </c>
      <c r="J343" s="16" t="s">
        <v>713</v>
      </c>
      <c r="K343" s="9" t="s">
        <v>1530</v>
      </c>
      <c r="L343" s="9"/>
      <c r="M343" s="152">
        <v>500000</v>
      </c>
      <c r="N343" s="153">
        <v>95000</v>
      </c>
      <c r="O343" s="152">
        <v>0</v>
      </c>
      <c r="P343" s="154">
        <v>0</v>
      </c>
      <c r="Q343" s="152">
        <v>0</v>
      </c>
      <c r="R343" s="9">
        <v>595000</v>
      </c>
      <c r="S343" s="21" t="s">
        <v>1846</v>
      </c>
      <c r="T343" s="117">
        <v>0</v>
      </c>
      <c r="U343" s="117" t="s">
        <v>347</v>
      </c>
      <c r="V343" s="117">
        <v>2023</v>
      </c>
      <c r="W343" s="117">
        <v>6</v>
      </c>
      <c r="X343" s="117">
        <v>1145000</v>
      </c>
      <c r="Y343" s="117">
        <v>2.5000000000000001E-2</v>
      </c>
      <c r="Z343" s="21" t="b">
        <v>0</v>
      </c>
      <c r="AA343" s="162">
        <f>+$AD$5-Tabla2[[#This Row],[FECHA DE FACTURACIÓN]]</f>
        <v>414</v>
      </c>
      <c r="AB343" s="163" t="str">
        <f>+IF(Tabla2[[#This Row],[dias de credito]]&gt;=Tabla2[[#This Row],[PLAZO Días]],"venc", "No venc")</f>
        <v>venc</v>
      </c>
      <c r="AC343" s="163" t="str">
        <f>+IF(Tabla2[[#This Row],[FECHA DE PAGO]]&gt;0,"pagada","por pagar")</f>
        <v>pagada</v>
      </c>
      <c r="AD343" s="164" t="str">
        <f>+IF(AND(Tabla2[[#This Row],[venc]]="venc",Tabla2[[#This Row],[estado pago]]="por pagar"),"vencida","no")</f>
        <v>no</v>
      </c>
    </row>
    <row r="344" spans="1:30" ht="19.5" hidden="1" customHeight="1" x14ac:dyDescent="0.25">
      <c r="A344" s="8" t="s">
        <v>1850</v>
      </c>
      <c r="B344" s="8" t="s">
        <v>1851</v>
      </c>
      <c r="C344" s="8">
        <v>30</v>
      </c>
      <c r="D344" s="151">
        <v>0</v>
      </c>
      <c r="E344" s="151"/>
      <c r="F344" s="24" t="s">
        <v>711</v>
      </c>
      <c r="G344" s="30">
        <v>45082</v>
      </c>
      <c r="H344" s="81" t="s">
        <v>710</v>
      </c>
      <c r="I344" s="30">
        <v>45030</v>
      </c>
      <c r="J344" s="16" t="s">
        <v>712</v>
      </c>
      <c r="K344" s="9" t="s">
        <v>1530</v>
      </c>
      <c r="L344" s="9"/>
      <c r="M344" s="152">
        <v>2868000</v>
      </c>
      <c r="N344" s="153">
        <v>544920</v>
      </c>
      <c r="O344" s="152">
        <v>0</v>
      </c>
      <c r="P344" s="154">
        <v>0</v>
      </c>
      <c r="Q344" s="152">
        <v>0</v>
      </c>
      <c r="R344" s="9">
        <v>3412920</v>
      </c>
      <c r="S344" s="21" t="s">
        <v>1846</v>
      </c>
      <c r="T344" s="117">
        <v>0</v>
      </c>
      <c r="U344" s="117">
        <v>0</v>
      </c>
      <c r="V344" s="117">
        <v>2023</v>
      </c>
      <c r="W344" s="117">
        <v>6</v>
      </c>
      <c r="X344" s="117">
        <v>0</v>
      </c>
      <c r="Y344" s="117">
        <v>0</v>
      </c>
      <c r="Z344" s="21" t="b">
        <v>0</v>
      </c>
      <c r="AA344" s="162">
        <f>+$AD$5-Tabla2[[#This Row],[FECHA DE FACTURACIÓN]]</f>
        <v>413</v>
      </c>
      <c r="AB344" s="163" t="str">
        <f>+IF(Tabla2[[#This Row],[dias de credito]]&gt;=Tabla2[[#This Row],[PLAZO Días]],"venc", "No venc")</f>
        <v>venc</v>
      </c>
      <c r="AC344" s="163" t="str">
        <f>+IF(Tabla2[[#This Row],[FECHA DE PAGO]]&gt;0,"pagada","por pagar")</f>
        <v>pagada</v>
      </c>
      <c r="AD344" s="164" t="str">
        <f>+IF(AND(Tabla2[[#This Row],[venc]]="venc",Tabla2[[#This Row],[estado pago]]="por pagar"),"vencida","no")</f>
        <v>no</v>
      </c>
    </row>
    <row r="345" spans="1:30" ht="19.5" hidden="1" customHeight="1" x14ac:dyDescent="0.25">
      <c r="A345" s="8" t="s">
        <v>1850</v>
      </c>
      <c r="B345" s="8" t="s">
        <v>1851</v>
      </c>
      <c r="C345" s="8">
        <v>45</v>
      </c>
      <c r="D345" s="151">
        <v>2446500</v>
      </c>
      <c r="E345" s="151"/>
      <c r="F345" s="24" t="s">
        <v>158</v>
      </c>
      <c r="G345" s="30">
        <v>45082</v>
      </c>
      <c r="H345" s="81" t="s">
        <v>10</v>
      </c>
      <c r="I345" s="30">
        <v>45030</v>
      </c>
      <c r="J345" s="16" t="s">
        <v>747</v>
      </c>
      <c r="K345" s="9" t="s">
        <v>1530</v>
      </c>
      <c r="L345" s="9"/>
      <c r="M345" s="152">
        <v>490000</v>
      </c>
      <c r="N345" s="153">
        <v>93100</v>
      </c>
      <c r="O345" s="152">
        <v>0</v>
      </c>
      <c r="P345" s="154">
        <v>0</v>
      </c>
      <c r="Q345" s="152">
        <v>0</v>
      </c>
      <c r="R345" s="9">
        <v>583100</v>
      </c>
      <c r="S345" s="21" t="s">
        <v>1846</v>
      </c>
      <c r="T345" s="117">
        <v>0</v>
      </c>
      <c r="U345" s="117" t="s">
        <v>347</v>
      </c>
      <c r="V345" s="117">
        <v>2023</v>
      </c>
      <c r="W345" s="117">
        <v>6</v>
      </c>
      <c r="X345" s="117">
        <v>1145000</v>
      </c>
      <c r="Y345" s="117">
        <v>2.5000000000000001E-2</v>
      </c>
      <c r="Z345" s="21" t="b">
        <v>0</v>
      </c>
      <c r="AA345" s="162">
        <f>+$AD$5-Tabla2[[#This Row],[FECHA DE FACTURACIÓN]]</f>
        <v>413</v>
      </c>
      <c r="AB345" s="163" t="str">
        <f>+IF(Tabla2[[#This Row],[dias de credito]]&gt;=Tabla2[[#This Row],[PLAZO Días]],"venc", "No venc")</f>
        <v>venc</v>
      </c>
      <c r="AC345" s="163" t="str">
        <f>+IF(Tabla2[[#This Row],[FECHA DE PAGO]]&gt;0,"pagada","por pagar")</f>
        <v>pagada</v>
      </c>
      <c r="AD345" s="164" t="str">
        <f>+IF(AND(Tabla2[[#This Row],[venc]]="venc",Tabla2[[#This Row],[estado pago]]="por pagar"),"vencida","no")</f>
        <v>no</v>
      </c>
    </row>
    <row r="346" spans="1:30" ht="19.5" hidden="1" customHeight="1" x14ac:dyDescent="0.25">
      <c r="A346" s="8" t="s">
        <v>1850</v>
      </c>
      <c r="B346" s="8" t="s">
        <v>1851</v>
      </c>
      <c r="C346" s="8">
        <v>30</v>
      </c>
      <c r="D346" s="151">
        <v>12628497</v>
      </c>
      <c r="E346" s="151"/>
      <c r="F346" s="24" t="s">
        <v>149</v>
      </c>
      <c r="G346" s="30">
        <v>45082</v>
      </c>
      <c r="H346" s="81" t="s">
        <v>451</v>
      </c>
      <c r="I346" s="30">
        <v>45034</v>
      </c>
      <c r="J346" s="16" t="s">
        <v>743</v>
      </c>
      <c r="K346" s="9" t="s">
        <v>1530</v>
      </c>
      <c r="L346" s="9"/>
      <c r="M346" s="152">
        <v>436000</v>
      </c>
      <c r="N346" s="153">
        <v>82840</v>
      </c>
      <c r="O346" s="152">
        <v>0</v>
      </c>
      <c r="P346" s="154">
        <v>0</v>
      </c>
      <c r="Q346" s="152">
        <v>0</v>
      </c>
      <c r="R346" s="9">
        <v>518840</v>
      </c>
      <c r="S346" s="21" t="s">
        <v>1846</v>
      </c>
      <c r="T346" s="117">
        <v>0</v>
      </c>
      <c r="U346" s="117" t="s">
        <v>347</v>
      </c>
      <c r="V346" s="117">
        <v>2023</v>
      </c>
      <c r="W346" s="117">
        <v>6</v>
      </c>
      <c r="X346" s="117">
        <v>1145000</v>
      </c>
      <c r="Y346" s="117">
        <v>2.5000000000000001E-2</v>
      </c>
      <c r="Z346" s="21" t="b">
        <v>0</v>
      </c>
      <c r="AA346" s="162">
        <f>+$AD$5-Tabla2[[#This Row],[FECHA DE FACTURACIÓN]]</f>
        <v>409</v>
      </c>
      <c r="AB346" s="163" t="str">
        <f>+IF(Tabla2[[#This Row],[dias de credito]]&gt;=Tabla2[[#This Row],[PLAZO Días]],"venc", "No venc")</f>
        <v>venc</v>
      </c>
      <c r="AC346" s="163" t="str">
        <f>+IF(Tabla2[[#This Row],[FECHA DE PAGO]]&gt;0,"pagada","por pagar")</f>
        <v>pagada</v>
      </c>
      <c r="AD346" s="164" t="str">
        <f>+IF(AND(Tabla2[[#This Row],[venc]]="venc",Tabla2[[#This Row],[estado pago]]="por pagar"),"vencida","no")</f>
        <v>no</v>
      </c>
    </row>
    <row r="347" spans="1:30" ht="19.5" hidden="1" customHeight="1" x14ac:dyDescent="0.25">
      <c r="A347" s="8" t="s">
        <v>1850</v>
      </c>
      <c r="B347" s="8" t="s">
        <v>1851</v>
      </c>
      <c r="C347" s="8">
        <v>30</v>
      </c>
      <c r="D347" s="151">
        <v>12628497</v>
      </c>
      <c r="E347" s="151"/>
      <c r="F347" s="24" t="s">
        <v>149</v>
      </c>
      <c r="G347" s="30">
        <v>45082</v>
      </c>
      <c r="H347" s="81" t="s">
        <v>451</v>
      </c>
      <c r="I347" s="30">
        <v>45036</v>
      </c>
      <c r="J347" s="16" t="s">
        <v>744</v>
      </c>
      <c r="K347" s="9" t="s">
        <v>1530</v>
      </c>
      <c r="L347" s="9"/>
      <c r="M347" s="152">
        <v>1260000</v>
      </c>
      <c r="N347" s="153">
        <v>239400</v>
      </c>
      <c r="O347" s="152">
        <v>0</v>
      </c>
      <c r="P347" s="154">
        <v>2.5000000000000001E-2</v>
      </c>
      <c r="Q347" s="152">
        <v>31500</v>
      </c>
      <c r="R347" s="9">
        <v>1467900</v>
      </c>
      <c r="S347" s="21" t="s">
        <v>1846</v>
      </c>
      <c r="T347" s="117">
        <v>0</v>
      </c>
      <c r="U347" s="117" t="s">
        <v>347</v>
      </c>
      <c r="V347" s="117">
        <v>2023</v>
      </c>
      <c r="W347" s="117">
        <v>6</v>
      </c>
      <c r="X347" s="117">
        <v>1145000</v>
      </c>
      <c r="Y347" s="117">
        <v>2.5000000000000001E-2</v>
      </c>
      <c r="Z347" s="21" t="b">
        <v>0</v>
      </c>
      <c r="AA347" s="162">
        <f>+$AD$5-Tabla2[[#This Row],[FECHA DE FACTURACIÓN]]</f>
        <v>407</v>
      </c>
      <c r="AB347" s="163" t="str">
        <f>+IF(Tabla2[[#This Row],[dias de credito]]&gt;=Tabla2[[#This Row],[PLAZO Días]],"venc", "No venc")</f>
        <v>venc</v>
      </c>
      <c r="AC347" s="163" t="str">
        <f>+IF(Tabla2[[#This Row],[FECHA DE PAGO]]&gt;0,"pagada","por pagar")</f>
        <v>pagada</v>
      </c>
      <c r="AD347" s="164" t="str">
        <f>+IF(AND(Tabla2[[#This Row],[venc]]="venc",Tabla2[[#This Row],[estado pago]]="por pagar"),"vencida","no")</f>
        <v>no</v>
      </c>
    </row>
    <row r="348" spans="1:30" ht="19.5" hidden="1" customHeight="1" x14ac:dyDescent="0.25">
      <c r="A348" s="8" t="s">
        <v>1850</v>
      </c>
      <c r="B348" s="8" t="s">
        <v>1851</v>
      </c>
      <c r="C348" s="8">
        <v>30</v>
      </c>
      <c r="D348" s="151">
        <v>12628497</v>
      </c>
      <c r="E348" s="151"/>
      <c r="F348" s="24" t="s">
        <v>149</v>
      </c>
      <c r="G348" s="30">
        <v>45082</v>
      </c>
      <c r="H348" s="81" t="s">
        <v>451</v>
      </c>
      <c r="I348" s="30">
        <v>45037</v>
      </c>
      <c r="J348" s="16" t="s">
        <v>745</v>
      </c>
      <c r="K348" s="9" t="s">
        <v>1530</v>
      </c>
      <c r="L348" s="9"/>
      <c r="M348" s="152">
        <v>436000</v>
      </c>
      <c r="N348" s="153">
        <v>82840</v>
      </c>
      <c r="O348" s="152">
        <v>0</v>
      </c>
      <c r="P348" s="154">
        <v>0</v>
      </c>
      <c r="Q348" s="152">
        <v>0</v>
      </c>
      <c r="R348" s="9">
        <v>518840</v>
      </c>
      <c r="S348" s="21" t="s">
        <v>1846</v>
      </c>
      <c r="T348" s="117">
        <v>0</v>
      </c>
      <c r="U348" s="117" t="s">
        <v>347</v>
      </c>
      <c r="V348" s="117">
        <v>2023</v>
      </c>
      <c r="W348" s="117">
        <v>6</v>
      </c>
      <c r="X348" s="117">
        <v>1145000</v>
      </c>
      <c r="Y348" s="117">
        <v>2.5000000000000001E-2</v>
      </c>
      <c r="Z348" s="21" t="b">
        <v>0</v>
      </c>
      <c r="AA348" s="162">
        <f>+$AD$5-Tabla2[[#This Row],[FECHA DE FACTURACIÓN]]</f>
        <v>406</v>
      </c>
      <c r="AB348" s="163" t="str">
        <f>+IF(Tabla2[[#This Row],[dias de credito]]&gt;=Tabla2[[#This Row],[PLAZO Días]],"venc", "No venc")</f>
        <v>venc</v>
      </c>
      <c r="AC348" s="163" t="str">
        <f>+IF(Tabla2[[#This Row],[FECHA DE PAGO]]&gt;0,"pagada","por pagar")</f>
        <v>pagada</v>
      </c>
      <c r="AD348" s="164" t="str">
        <f>+IF(AND(Tabla2[[#This Row],[venc]]="venc",Tabla2[[#This Row],[estado pago]]="por pagar"),"vencida","no")</f>
        <v>no</v>
      </c>
    </row>
    <row r="349" spans="1:30" ht="19.5" hidden="1" customHeight="1" x14ac:dyDescent="0.25">
      <c r="A349" s="8" t="s">
        <v>1850</v>
      </c>
      <c r="B349" s="8" t="s">
        <v>1851</v>
      </c>
      <c r="C349" s="8">
        <v>30</v>
      </c>
      <c r="D349" s="151">
        <v>8456975.129999999</v>
      </c>
      <c r="E349" s="151"/>
      <c r="F349" s="24" t="s">
        <v>1476</v>
      </c>
      <c r="G349" s="30">
        <v>45082</v>
      </c>
      <c r="H349" s="81" t="s">
        <v>1464</v>
      </c>
      <c r="I349" s="30">
        <v>45040</v>
      </c>
      <c r="J349" s="16" t="s">
        <v>734</v>
      </c>
      <c r="K349" s="9" t="s">
        <v>1530</v>
      </c>
      <c r="L349" s="9"/>
      <c r="M349" s="152">
        <v>2758147</v>
      </c>
      <c r="N349" s="153">
        <v>524047.93</v>
      </c>
      <c r="O349" s="152">
        <v>0</v>
      </c>
      <c r="P349" s="154">
        <v>2.5000000000000001E-2</v>
      </c>
      <c r="Q349" s="152">
        <v>68953.675000000003</v>
      </c>
      <c r="R349" s="9">
        <v>3213241.2550000004</v>
      </c>
      <c r="S349" s="21" t="s">
        <v>1846</v>
      </c>
      <c r="T349" s="117">
        <v>0</v>
      </c>
      <c r="U349" s="117" t="s">
        <v>347</v>
      </c>
      <c r="V349" s="117">
        <v>2023</v>
      </c>
      <c r="W349" s="117">
        <v>6</v>
      </c>
      <c r="X349" s="117">
        <v>1145000</v>
      </c>
      <c r="Y349" s="117">
        <v>2.5000000000000001E-2</v>
      </c>
      <c r="Z349" s="21" t="b">
        <v>0</v>
      </c>
      <c r="AA349" s="162">
        <f>+$AD$5-Tabla2[[#This Row],[FECHA DE FACTURACIÓN]]</f>
        <v>403</v>
      </c>
      <c r="AB349" s="163" t="str">
        <f>+IF(Tabla2[[#This Row],[dias de credito]]&gt;=Tabla2[[#This Row],[PLAZO Días]],"venc", "No venc")</f>
        <v>venc</v>
      </c>
      <c r="AC349" s="163" t="str">
        <f>+IF(Tabla2[[#This Row],[FECHA DE PAGO]]&gt;0,"pagada","por pagar")</f>
        <v>pagada</v>
      </c>
      <c r="AD349" s="164" t="str">
        <f>+IF(AND(Tabla2[[#This Row],[venc]]="venc",Tabla2[[#This Row],[estado pago]]="por pagar"),"vencida","no")</f>
        <v>no</v>
      </c>
    </row>
    <row r="350" spans="1:30" ht="19.5" hidden="1" customHeight="1" x14ac:dyDescent="0.25">
      <c r="A350" s="8" t="s">
        <v>1850</v>
      </c>
      <c r="B350" s="8" t="s">
        <v>1851</v>
      </c>
      <c r="C350" s="8">
        <v>30</v>
      </c>
      <c r="D350" s="151">
        <v>8456975.129999999</v>
      </c>
      <c r="E350" s="151"/>
      <c r="F350" s="24" t="s">
        <v>1476</v>
      </c>
      <c r="G350" s="30">
        <v>45082</v>
      </c>
      <c r="H350" s="81" t="s">
        <v>1464</v>
      </c>
      <c r="I350" s="30">
        <v>45040</v>
      </c>
      <c r="J350" s="16" t="s">
        <v>736</v>
      </c>
      <c r="K350" s="9" t="s">
        <v>1530</v>
      </c>
      <c r="L350" s="9"/>
      <c r="M350" s="152">
        <v>23527</v>
      </c>
      <c r="N350" s="153">
        <v>4470.13</v>
      </c>
      <c r="O350" s="152">
        <v>0</v>
      </c>
      <c r="P350" s="154">
        <v>0</v>
      </c>
      <c r="Q350" s="152">
        <v>0</v>
      </c>
      <c r="R350" s="9">
        <v>27997.13</v>
      </c>
      <c r="S350" s="21" t="s">
        <v>1846</v>
      </c>
      <c r="T350" s="117">
        <v>0</v>
      </c>
      <c r="U350" s="117" t="s">
        <v>347</v>
      </c>
      <c r="V350" s="117">
        <v>2023</v>
      </c>
      <c r="W350" s="117">
        <v>6</v>
      </c>
      <c r="X350" s="117">
        <v>1145000</v>
      </c>
      <c r="Y350" s="117">
        <v>2.5000000000000001E-2</v>
      </c>
      <c r="Z350" s="21" t="b">
        <v>0</v>
      </c>
      <c r="AA350" s="162">
        <f>+$AD$5-Tabla2[[#This Row],[FECHA DE FACTURACIÓN]]</f>
        <v>403</v>
      </c>
      <c r="AB350" s="163" t="str">
        <f>+IF(Tabla2[[#This Row],[dias de credito]]&gt;=Tabla2[[#This Row],[PLAZO Días]],"venc", "No venc")</f>
        <v>venc</v>
      </c>
      <c r="AC350" s="163" t="str">
        <f>+IF(Tabla2[[#This Row],[FECHA DE PAGO]]&gt;0,"pagada","por pagar")</f>
        <v>pagada</v>
      </c>
      <c r="AD350" s="164" t="str">
        <f>+IF(AND(Tabla2[[#This Row],[venc]]="venc",Tabla2[[#This Row],[estado pago]]="por pagar"),"vencida","no")</f>
        <v>no</v>
      </c>
    </row>
    <row r="351" spans="1:30" ht="19.5" hidden="1" customHeight="1" x14ac:dyDescent="0.25">
      <c r="A351" s="8" t="s">
        <v>1850</v>
      </c>
      <c r="B351" s="8" t="s">
        <v>1851</v>
      </c>
      <c r="C351" s="8">
        <v>30</v>
      </c>
      <c r="D351" s="151">
        <v>0</v>
      </c>
      <c r="E351" s="151"/>
      <c r="F351" s="24" t="s">
        <v>159</v>
      </c>
      <c r="G351" s="30">
        <v>45082</v>
      </c>
      <c r="H351" s="81" t="s">
        <v>452</v>
      </c>
      <c r="I351" s="30">
        <v>45040</v>
      </c>
      <c r="J351" s="16" t="s">
        <v>749</v>
      </c>
      <c r="K351" s="9" t="s">
        <v>1530</v>
      </c>
      <c r="L351" s="9"/>
      <c r="M351" s="152">
        <v>2420170</v>
      </c>
      <c r="N351" s="153">
        <v>459832.3</v>
      </c>
      <c r="O351" s="152">
        <v>0</v>
      </c>
      <c r="P351" s="154">
        <v>2.5000000000000001E-2</v>
      </c>
      <c r="Q351" s="152">
        <v>60504.25</v>
      </c>
      <c r="R351" s="9">
        <v>2819498.05</v>
      </c>
      <c r="S351" s="21" t="s">
        <v>1846</v>
      </c>
      <c r="T351" s="117">
        <v>0</v>
      </c>
      <c r="U351" s="117" t="s">
        <v>347</v>
      </c>
      <c r="V351" s="117">
        <v>2023</v>
      </c>
      <c r="W351" s="117">
        <v>6</v>
      </c>
      <c r="X351" s="117">
        <v>1145000</v>
      </c>
      <c r="Y351" s="117">
        <v>2.5000000000000001E-2</v>
      </c>
      <c r="Z351" s="21" t="b">
        <v>0</v>
      </c>
      <c r="AA351" s="162">
        <f>+$AD$5-Tabla2[[#This Row],[FECHA DE FACTURACIÓN]]</f>
        <v>403</v>
      </c>
      <c r="AB351" s="163" t="str">
        <f>+IF(Tabla2[[#This Row],[dias de credito]]&gt;=Tabla2[[#This Row],[PLAZO Días]],"venc", "No venc")</f>
        <v>venc</v>
      </c>
      <c r="AC351" s="163" t="str">
        <f>+IF(Tabla2[[#This Row],[FECHA DE PAGO]]&gt;0,"pagada","por pagar")</f>
        <v>pagada</v>
      </c>
      <c r="AD351" s="164" t="str">
        <f>+IF(AND(Tabla2[[#This Row],[venc]]="venc",Tabla2[[#This Row],[estado pago]]="por pagar"),"vencida","no")</f>
        <v>no</v>
      </c>
    </row>
    <row r="352" spans="1:30" ht="19.5" hidden="1" customHeight="1" x14ac:dyDescent="0.25">
      <c r="A352" s="8" t="s">
        <v>1850</v>
      </c>
      <c r="B352" s="8" t="s">
        <v>1851</v>
      </c>
      <c r="C352" s="8">
        <v>30</v>
      </c>
      <c r="D352" s="151">
        <v>12628497</v>
      </c>
      <c r="E352" s="151"/>
      <c r="F352" s="24" t="s">
        <v>149</v>
      </c>
      <c r="G352" s="30">
        <v>45082</v>
      </c>
      <c r="H352" s="81" t="s">
        <v>451</v>
      </c>
      <c r="I352" s="30">
        <v>45041</v>
      </c>
      <c r="J352" s="16" t="s">
        <v>742</v>
      </c>
      <c r="K352" s="9" t="s">
        <v>1530</v>
      </c>
      <c r="L352" s="9"/>
      <c r="M352" s="152">
        <v>756000</v>
      </c>
      <c r="N352" s="153">
        <v>143640</v>
      </c>
      <c r="O352" s="152">
        <v>0</v>
      </c>
      <c r="P352" s="154">
        <v>0</v>
      </c>
      <c r="Q352" s="152">
        <v>0</v>
      </c>
      <c r="R352" s="9">
        <v>899640</v>
      </c>
      <c r="S352" s="21" t="s">
        <v>1846</v>
      </c>
      <c r="T352" s="117">
        <v>0</v>
      </c>
      <c r="U352" s="117" t="s">
        <v>347</v>
      </c>
      <c r="V352" s="117">
        <v>2023</v>
      </c>
      <c r="W352" s="117">
        <v>6</v>
      </c>
      <c r="X352" s="117">
        <v>1145000</v>
      </c>
      <c r="Y352" s="117">
        <v>2.5000000000000001E-2</v>
      </c>
      <c r="Z352" s="21" t="b">
        <v>0</v>
      </c>
      <c r="AA352" s="162">
        <f>+$AD$5-Tabla2[[#This Row],[FECHA DE FACTURACIÓN]]</f>
        <v>402</v>
      </c>
      <c r="AB352" s="163" t="str">
        <f>+IF(Tabla2[[#This Row],[dias de credito]]&gt;=Tabla2[[#This Row],[PLAZO Días]],"venc", "No venc")</f>
        <v>venc</v>
      </c>
      <c r="AC352" s="163" t="str">
        <f>+IF(Tabla2[[#This Row],[FECHA DE PAGO]]&gt;0,"pagada","por pagar")</f>
        <v>pagada</v>
      </c>
      <c r="AD352" s="164" t="str">
        <f>+IF(AND(Tabla2[[#This Row],[venc]]="venc",Tabla2[[#This Row],[estado pago]]="por pagar"),"vencida","no")</f>
        <v>no</v>
      </c>
    </row>
    <row r="353" spans="1:30" ht="19.5" hidden="1" customHeight="1" x14ac:dyDescent="0.25">
      <c r="A353" s="8" t="s">
        <v>1850</v>
      </c>
      <c r="B353" s="8" t="s">
        <v>1851</v>
      </c>
      <c r="C353" s="8">
        <v>30</v>
      </c>
      <c r="D353" s="151">
        <v>12628497</v>
      </c>
      <c r="E353" s="151"/>
      <c r="F353" s="24" t="s">
        <v>149</v>
      </c>
      <c r="G353" s="30">
        <v>45082</v>
      </c>
      <c r="H353" s="81" t="s">
        <v>451</v>
      </c>
      <c r="I353" s="30">
        <v>45043</v>
      </c>
      <c r="J353" s="16" t="s">
        <v>753</v>
      </c>
      <c r="K353" s="9" t="s">
        <v>1530</v>
      </c>
      <c r="L353" s="9"/>
      <c r="M353" s="152">
        <v>2562355</v>
      </c>
      <c r="N353" s="153">
        <v>486847.45</v>
      </c>
      <c r="O353" s="152">
        <v>0</v>
      </c>
      <c r="P353" s="154">
        <v>2.5000000000000001E-2</v>
      </c>
      <c r="Q353" s="152">
        <v>64058.875</v>
      </c>
      <c r="R353" s="9">
        <v>2985143.5750000002</v>
      </c>
      <c r="S353" s="21" t="s">
        <v>1846</v>
      </c>
      <c r="T353" s="117">
        <v>0</v>
      </c>
      <c r="U353" s="117" t="s">
        <v>347</v>
      </c>
      <c r="V353" s="117">
        <v>2023</v>
      </c>
      <c r="W353" s="117">
        <v>6</v>
      </c>
      <c r="X353" s="117">
        <v>1145000</v>
      </c>
      <c r="Y353" s="117">
        <v>2.5000000000000001E-2</v>
      </c>
      <c r="Z353" s="21" t="b">
        <v>0</v>
      </c>
      <c r="AA353" s="162">
        <f>+$AD$5-Tabla2[[#This Row],[FECHA DE FACTURACIÓN]]</f>
        <v>400</v>
      </c>
      <c r="AB353" s="163" t="str">
        <f>+IF(Tabla2[[#This Row],[dias de credito]]&gt;=Tabla2[[#This Row],[PLAZO Días]],"venc", "No venc")</f>
        <v>venc</v>
      </c>
      <c r="AC353" s="163" t="str">
        <f>+IF(Tabla2[[#This Row],[FECHA DE PAGO]]&gt;0,"pagada","por pagar")</f>
        <v>pagada</v>
      </c>
      <c r="AD353" s="164" t="str">
        <f>+IF(AND(Tabla2[[#This Row],[venc]]="venc",Tabla2[[#This Row],[estado pago]]="por pagar"),"vencida","no")</f>
        <v>no</v>
      </c>
    </row>
    <row r="354" spans="1:30" ht="19.5" hidden="1" customHeight="1" x14ac:dyDescent="0.25">
      <c r="A354" s="8" t="s">
        <v>1850</v>
      </c>
      <c r="B354" s="8" t="s">
        <v>1851</v>
      </c>
      <c r="C354" s="8">
        <v>30</v>
      </c>
      <c r="D354" s="151">
        <v>0</v>
      </c>
      <c r="E354" s="151"/>
      <c r="F354" s="24" t="s">
        <v>84</v>
      </c>
      <c r="G354" s="30">
        <v>45083</v>
      </c>
      <c r="H354" s="81" t="s">
        <v>1149</v>
      </c>
      <c r="I354" s="30">
        <v>45002</v>
      </c>
      <c r="J354" s="16" t="s">
        <v>696</v>
      </c>
      <c r="K354" s="9" t="s">
        <v>1530</v>
      </c>
      <c r="L354" s="9"/>
      <c r="M354" s="152">
        <v>1870000</v>
      </c>
      <c r="N354" s="153">
        <v>0</v>
      </c>
      <c r="O354" s="152">
        <v>0</v>
      </c>
      <c r="P354" s="154">
        <v>0</v>
      </c>
      <c r="Q354" s="152">
        <v>0</v>
      </c>
      <c r="R354" s="9">
        <v>1870000</v>
      </c>
      <c r="S354" s="21" t="s">
        <v>1846</v>
      </c>
      <c r="T354" s="117">
        <v>0</v>
      </c>
      <c r="U354" s="117">
        <v>0</v>
      </c>
      <c r="V354" s="117">
        <v>2023</v>
      </c>
      <c r="W354" s="117">
        <v>6</v>
      </c>
      <c r="X354" s="117">
        <v>0</v>
      </c>
      <c r="Y354" s="117">
        <v>0</v>
      </c>
      <c r="Z354" s="21" t="b">
        <v>0</v>
      </c>
      <c r="AA354" s="162">
        <f>+$AD$5-Tabla2[[#This Row],[FECHA DE FACTURACIÓN]]</f>
        <v>441</v>
      </c>
      <c r="AB354" s="163" t="str">
        <f>+IF(Tabla2[[#This Row],[dias de credito]]&gt;=Tabla2[[#This Row],[PLAZO Días]],"venc", "No venc")</f>
        <v>venc</v>
      </c>
      <c r="AC354" s="163" t="str">
        <f>+IF(Tabla2[[#This Row],[FECHA DE PAGO]]&gt;0,"pagada","por pagar")</f>
        <v>pagada</v>
      </c>
      <c r="AD354" s="164" t="str">
        <f>+IF(AND(Tabla2[[#This Row],[venc]]="venc",Tabla2[[#This Row],[estado pago]]="por pagar"),"vencida","no")</f>
        <v>no</v>
      </c>
    </row>
    <row r="355" spans="1:30" ht="19.5" hidden="1" customHeight="1" x14ac:dyDescent="0.25">
      <c r="A355" s="8" t="s">
        <v>1852</v>
      </c>
      <c r="B355" s="8" t="b">
        <v>0</v>
      </c>
      <c r="C355" s="8">
        <v>30</v>
      </c>
      <c r="D355" s="151">
        <v>0</v>
      </c>
      <c r="E355" s="151"/>
      <c r="F355" s="24" t="s">
        <v>427</v>
      </c>
      <c r="G355" s="30">
        <v>45083</v>
      </c>
      <c r="H355" s="81" t="s">
        <v>426</v>
      </c>
      <c r="I355" s="30">
        <v>45083</v>
      </c>
      <c r="J355" s="16" t="s">
        <v>827</v>
      </c>
      <c r="K355" s="9" t="s">
        <v>1530</v>
      </c>
      <c r="L355" s="9"/>
      <c r="M355" s="152">
        <v>428571</v>
      </c>
      <c r="N355" s="153">
        <v>81428.490000000005</v>
      </c>
      <c r="O355" s="152">
        <v>0</v>
      </c>
      <c r="P355" s="154">
        <v>0</v>
      </c>
      <c r="Q355" s="152">
        <v>0</v>
      </c>
      <c r="R355" s="9">
        <v>509999.49</v>
      </c>
      <c r="S355" s="21" t="s">
        <v>1846</v>
      </c>
      <c r="T355" s="117">
        <v>0</v>
      </c>
      <c r="U355" s="117">
        <v>0</v>
      </c>
      <c r="V355" s="117">
        <v>2023</v>
      </c>
      <c r="W355" s="117">
        <v>6</v>
      </c>
      <c r="X355" s="117">
        <v>0</v>
      </c>
      <c r="Y355" s="117">
        <v>0</v>
      </c>
      <c r="Z355" s="21" t="b">
        <v>0</v>
      </c>
      <c r="AA355" s="162">
        <f>+$AD$5-Tabla2[[#This Row],[FECHA DE FACTURACIÓN]]</f>
        <v>360</v>
      </c>
      <c r="AB355" s="163" t="str">
        <f>+IF(Tabla2[[#This Row],[dias de credito]]&gt;=Tabla2[[#This Row],[PLAZO Días]],"venc", "No venc")</f>
        <v>venc</v>
      </c>
      <c r="AC355" s="163" t="str">
        <f>+IF(Tabla2[[#This Row],[FECHA DE PAGO]]&gt;0,"pagada","por pagar")</f>
        <v>pagada</v>
      </c>
      <c r="AD355" s="164" t="str">
        <f>+IF(AND(Tabla2[[#This Row],[venc]]="venc",Tabla2[[#This Row],[estado pago]]="por pagar"),"vencida","no")</f>
        <v>no</v>
      </c>
    </row>
    <row r="356" spans="1:30" ht="19.5" hidden="1" customHeight="1" x14ac:dyDescent="0.25">
      <c r="A356" s="8" t="s">
        <v>1850</v>
      </c>
      <c r="B356" s="8" t="b">
        <v>0</v>
      </c>
      <c r="C356" s="8">
        <v>30</v>
      </c>
      <c r="D356" s="151">
        <v>0</v>
      </c>
      <c r="E356" s="151"/>
      <c r="F356" s="24" t="s">
        <v>186</v>
      </c>
      <c r="G356" s="30">
        <v>45085</v>
      </c>
      <c r="H356" s="81" t="s">
        <v>50</v>
      </c>
      <c r="I356" s="30">
        <v>45084</v>
      </c>
      <c r="J356" s="16" t="s">
        <v>821</v>
      </c>
      <c r="K356" s="9" t="s">
        <v>1530</v>
      </c>
      <c r="L356" s="9"/>
      <c r="M356" s="152">
        <v>347585</v>
      </c>
      <c r="N356" s="153">
        <v>66041.149999999994</v>
      </c>
      <c r="O356" s="152">
        <v>0</v>
      </c>
      <c r="P356" s="154">
        <v>0</v>
      </c>
      <c r="Q356" s="152">
        <v>0</v>
      </c>
      <c r="R356" s="9">
        <v>413626.15</v>
      </c>
      <c r="S356" s="21" t="s">
        <v>1846</v>
      </c>
      <c r="T356" s="117">
        <v>0</v>
      </c>
      <c r="U356" s="117">
        <v>0</v>
      </c>
      <c r="V356" s="117">
        <v>2023</v>
      </c>
      <c r="W356" s="117">
        <v>6</v>
      </c>
      <c r="X356" s="117">
        <v>0</v>
      </c>
      <c r="Y356" s="117">
        <v>0</v>
      </c>
      <c r="Z356" s="21" t="b">
        <v>0</v>
      </c>
      <c r="AA356" s="162">
        <f>+$AD$5-Tabla2[[#This Row],[FECHA DE FACTURACIÓN]]</f>
        <v>359</v>
      </c>
      <c r="AB356" s="163" t="str">
        <f>+IF(Tabla2[[#This Row],[dias de credito]]&gt;=Tabla2[[#This Row],[PLAZO Días]],"venc", "No venc")</f>
        <v>venc</v>
      </c>
      <c r="AC356" s="163" t="str">
        <f>+IF(Tabla2[[#This Row],[FECHA DE PAGO]]&gt;0,"pagada","por pagar")</f>
        <v>pagada</v>
      </c>
      <c r="AD356" s="164" t="str">
        <f>+IF(AND(Tabla2[[#This Row],[venc]]="venc",Tabla2[[#This Row],[estado pago]]="por pagar"),"vencida","no")</f>
        <v>no</v>
      </c>
    </row>
    <row r="357" spans="1:30" ht="19.5" hidden="1" customHeight="1" x14ac:dyDescent="0.25">
      <c r="A357" s="8" t="s">
        <v>1850</v>
      </c>
      <c r="B357" s="8" t="b">
        <v>0</v>
      </c>
      <c r="C357" s="8">
        <v>30</v>
      </c>
      <c r="D357" s="151">
        <v>0</v>
      </c>
      <c r="E357" s="151"/>
      <c r="F357" s="24" t="s">
        <v>253</v>
      </c>
      <c r="G357" s="30">
        <v>45086</v>
      </c>
      <c r="H357" s="81" t="s">
        <v>368</v>
      </c>
      <c r="I357" s="30">
        <v>45058</v>
      </c>
      <c r="J357" s="16" t="s">
        <v>491</v>
      </c>
      <c r="K357" s="9" t="s">
        <v>1530</v>
      </c>
      <c r="L357" s="9"/>
      <c r="M357" s="152">
        <v>-152631</v>
      </c>
      <c r="N357" s="153">
        <v>-28999.89</v>
      </c>
      <c r="O357" s="152">
        <v>0</v>
      </c>
      <c r="P357" s="154">
        <v>0</v>
      </c>
      <c r="Q357" s="152">
        <v>0</v>
      </c>
      <c r="R357" s="9">
        <v>-181630.89</v>
      </c>
      <c r="S357" s="21" t="s">
        <v>1846</v>
      </c>
      <c r="T357" s="117">
        <v>0</v>
      </c>
      <c r="U357" s="117">
        <v>0</v>
      </c>
      <c r="V357" s="117">
        <v>2023</v>
      </c>
      <c r="W357" s="117">
        <v>6</v>
      </c>
      <c r="X357" s="117">
        <v>0</v>
      </c>
      <c r="Y357" s="117">
        <v>0</v>
      </c>
      <c r="Z357" s="21" t="b">
        <v>1</v>
      </c>
      <c r="AA357" s="162">
        <f>+$AD$5-Tabla2[[#This Row],[FECHA DE FACTURACIÓN]]</f>
        <v>385</v>
      </c>
      <c r="AB357" s="163" t="str">
        <f>+IF(Tabla2[[#This Row],[dias de credito]]&gt;=Tabla2[[#This Row],[PLAZO Días]],"venc", "No venc")</f>
        <v>venc</v>
      </c>
      <c r="AC357" s="163" t="str">
        <f>+IF(Tabla2[[#This Row],[FECHA DE PAGO]]&gt;0,"pagada","por pagar")</f>
        <v>pagada</v>
      </c>
      <c r="AD357" s="164" t="str">
        <f>+IF(AND(Tabla2[[#This Row],[venc]]="venc",Tabla2[[#This Row],[estado pago]]="por pagar"),"vencida","no")</f>
        <v>no</v>
      </c>
    </row>
    <row r="358" spans="1:30" ht="19.5" hidden="1" customHeight="1" x14ac:dyDescent="0.25">
      <c r="A358" s="8" t="s">
        <v>1850</v>
      </c>
      <c r="B358" s="8" t="b">
        <v>0</v>
      </c>
      <c r="C358" s="8">
        <v>30</v>
      </c>
      <c r="D358" s="151">
        <v>0</v>
      </c>
      <c r="E358" s="151"/>
      <c r="F358" s="24" t="s">
        <v>253</v>
      </c>
      <c r="G358" s="30">
        <v>45086</v>
      </c>
      <c r="H358" s="81" t="s">
        <v>368</v>
      </c>
      <c r="I358" s="30">
        <v>45078</v>
      </c>
      <c r="J358" s="16" t="s">
        <v>822</v>
      </c>
      <c r="K358" s="9" t="s">
        <v>1530</v>
      </c>
      <c r="L358" s="9"/>
      <c r="M358" s="152">
        <v>908172</v>
      </c>
      <c r="N358" s="153">
        <v>172552.68</v>
      </c>
      <c r="O358" s="152">
        <v>0</v>
      </c>
      <c r="P358" s="154">
        <v>0</v>
      </c>
      <c r="Q358" s="152">
        <v>0</v>
      </c>
      <c r="R358" s="9">
        <v>1080724.68</v>
      </c>
      <c r="S358" s="21" t="s">
        <v>1846</v>
      </c>
      <c r="T358" s="117">
        <v>0</v>
      </c>
      <c r="U358" s="117">
        <v>0</v>
      </c>
      <c r="V358" s="117">
        <v>2023</v>
      </c>
      <c r="W358" s="117">
        <v>6</v>
      </c>
      <c r="X358" s="117">
        <v>0</v>
      </c>
      <c r="Y358" s="117">
        <v>0</v>
      </c>
      <c r="Z358" s="21" t="b">
        <v>1</v>
      </c>
      <c r="AA358" s="162">
        <f>+$AD$5-Tabla2[[#This Row],[FECHA DE FACTURACIÓN]]</f>
        <v>365</v>
      </c>
      <c r="AB358" s="163" t="str">
        <f>+IF(Tabla2[[#This Row],[dias de credito]]&gt;=Tabla2[[#This Row],[PLAZO Días]],"venc", "No venc")</f>
        <v>venc</v>
      </c>
      <c r="AC358" s="163" t="str">
        <f>+IF(Tabla2[[#This Row],[FECHA DE PAGO]]&gt;0,"pagada","por pagar")</f>
        <v>pagada</v>
      </c>
      <c r="AD358" s="164" t="str">
        <f>+IF(AND(Tabla2[[#This Row],[venc]]="venc",Tabla2[[#This Row],[estado pago]]="por pagar"),"vencida","no")</f>
        <v>no</v>
      </c>
    </row>
    <row r="359" spans="1:30" ht="19.5" hidden="1" customHeight="1" x14ac:dyDescent="0.25">
      <c r="A359" s="8" t="s">
        <v>1850</v>
      </c>
      <c r="B359" s="8" t="b">
        <v>0</v>
      </c>
      <c r="C359" s="8">
        <v>30</v>
      </c>
      <c r="D359" s="151">
        <v>0</v>
      </c>
      <c r="E359" s="151"/>
      <c r="F359" s="24" t="s">
        <v>253</v>
      </c>
      <c r="G359" s="30">
        <v>45086</v>
      </c>
      <c r="H359" s="81" t="s">
        <v>368</v>
      </c>
      <c r="I359" s="30">
        <v>45078</v>
      </c>
      <c r="J359" s="16" t="s">
        <v>823</v>
      </c>
      <c r="K359" s="9" t="s">
        <v>1530</v>
      </c>
      <c r="L359" s="9"/>
      <c r="M359" s="152">
        <v>3792544</v>
      </c>
      <c r="N359" s="153">
        <v>720583.36</v>
      </c>
      <c r="O359" s="152">
        <v>0</v>
      </c>
      <c r="P359" s="154">
        <v>0</v>
      </c>
      <c r="Q359" s="152">
        <v>0</v>
      </c>
      <c r="R359" s="9">
        <v>4513127.3600000003</v>
      </c>
      <c r="S359" s="21" t="s">
        <v>1846</v>
      </c>
      <c r="T359" s="117">
        <v>0</v>
      </c>
      <c r="U359" s="117">
        <v>0</v>
      </c>
      <c r="V359" s="117">
        <v>2023</v>
      </c>
      <c r="W359" s="117">
        <v>6</v>
      </c>
      <c r="X359" s="117">
        <v>0</v>
      </c>
      <c r="Y359" s="117">
        <v>0</v>
      </c>
      <c r="Z359" s="21" t="b">
        <v>1</v>
      </c>
      <c r="AA359" s="162">
        <f>+$AD$5-Tabla2[[#This Row],[FECHA DE FACTURACIÓN]]</f>
        <v>365</v>
      </c>
      <c r="AB359" s="163" t="str">
        <f>+IF(Tabla2[[#This Row],[dias de credito]]&gt;=Tabla2[[#This Row],[PLAZO Días]],"venc", "No venc")</f>
        <v>venc</v>
      </c>
      <c r="AC359" s="163" t="str">
        <f>+IF(Tabla2[[#This Row],[FECHA DE PAGO]]&gt;0,"pagada","por pagar")</f>
        <v>pagada</v>
      </c>
      <c r="AD359" s="164" t="str">
        <f>+IF(AND(Tabla2[[#This Row],[venc]]="venc",Tabla2[[#This Row],[estado pago]]="por pagar"),"vencida","no")</f>
        <v>no</v>
      </c>
    </row>
    <row r="360" spans="1:30" ht="19.5" hidden="1" customHeight="1" x14ac:dyDescent="0.25">
      <c r="A360" s="8" t="s">
        <v>1850</v>
      </c>
      <c r="B360" s="8" t="b">
        <v>0</v>
      </c>
      <c r="C360" s="8">
        <v>30</v>
      </c>
      <c r="D360" s="151">
        <v>0</v>
      </c>
      <c r="E360" s="151"/>
      <c r="F360" s="24" t="s">
        <v>1540</v>
      </c>
      <c r="G360" s="30">
        <v>45086</v>
      </c>
      <c r="H360" s="81" t="s">
        <v>383</v>
      </c>
      <c r="I360" s="30">
        <v>45078</v>
      </c>
      <c r="J360" s="16" t="s">
        <v>820</v>
      </c>
      <c r="K360" s="9" t="s">
        <v>1530</v>
      </c>
      <c r="L360" s="9"/>
      <c r="M360" s="152">
        <v>3935776</v>
      </c>
      <c r="N360" s="153">
        <v>747797.44000000006</v>
      </c>
      <c r="O360" s="152">
        <v>0</v>
      </c>
      <c r="P360" s="154">
        <v>3.5000000000000003E-2</v>
      </c>
      <c r="Q360" s="152">
        <v>137752.16</v>
      </c>
      <c r="R360" s="9">
        <v>4545821.28</v>
      </c>
      <c r="S360" s="21" t="s">
        <v>1846</v>
      </c>
      <c r="T360" s="117">
        <v>0</v>
      </c>
      <c r="U360" s="117" t="s">
        <v>348</v>
      </c>
      <c r="V360" s="117">
        <v>2023</v>
      </c>
      <c r="W360" s="117">
        <v>6</v>
      </c>
      <c r="X360" s="117">
        <v>0</v>
      </c>
      <c r="Y360" s="117">
        <v>3.5000000000000003E-2</v>
      </c>
      <c r="Z360" s="21" t="b">
        <v>1</v>
      </c>
      <c r="AA360" s="162">
        <f>+$AD$5-Tabla2[[#This Row],[FECHA DE FACTURACIÓN]]</f>
        <v>365</v>
      </c>
      <c r="AB360" s="163" t="str">
        <f>+IF(Tabla2[[#This Row],[dias de credito]]&gt;=Tabla2[[#This Row],[PLAZO Días]],"venc", "No venc")</f>
        <v>venc</v>
      </c>
      <c r="AC360" s="163" t="str">
        <f>+IF(Tabla2[[#This Row],[FECHA DE PAGO]]&gt;0,"pagada","por pagar")</f>
        <v>pagada</v>
      </c>
      <c r="AD360" s="164" t="str">
        <f>+IF(AND(Tabla2[[#This Row],[venc]]="venc",Tabla2[[#This Row],[estado pago]]="por pagar"),"vencida","no")</f>
        <v>no</v>
      </c>
    </row>
    <row r="361" spans="1:30" ht="19.5" hidden="1" customHeight="1" x14ac:dyDescent="0.25">
      <c r="A361" s="8" t="s">
        <v>1852</v>
      </c>
      <c r="B361" s="8" t="b">
        <v>0</v>
      </c>
      <c r="C361" s="8">
        <v>30</v>
      </c>
      <c r="D361" s="151">
        <v>1350000</v>
      </c>
      <c r="E361" s="151"/>
      <c r="F361" s="24" t="s">
        <v>84</v>
      </c>
      <c r="G361" s="30">
        <v>45087</v>
      </c>
      <c r="H361" s="81" t="s">
        <v>1807</v>
      </c>
      <c r="I361" s="30">
        <v>45087</v>
      </c>
      <c r="J361" s="16" t="s">
        <v>862</v>
      </c>
      <c r="K361" s="9" t="s">
        <v>1530</v>
      </c>
      <c r="L361" s="9"/>
      <c r="M361" s="152">
        <v>895000</v>
      </c>
      <c r="N361" s="153">
        <v>0</v>
      </c>
      <c r="O361" s="152">
        <v>0</v>
      </c>
      <c r="P361" s="154">
        <v>0</v>
      </c>
      <c r="Q361" s="152">
        <v>0</v>
      </c>
      <c r="R361" s="9">
        <v>895000</v>
      </c>
      <c r="S361" s="21" t="s">
        <v>1846</v>
      </c>
      <c r="T361" s="117">
        <v>0</v>
      </c>
      <c r="U361" s="117">
        <v>0</v>
      </c>
      <c r="V361" s="117">
        <v>2023</v>
      </c>
      <c r="W361" s="117">
        <v>6</v>
      </c>
      <c r="X361" s="117">
        <v>0</v>
      </c>
      <c r="Y361" s="117">
        <v>0</v>
      </c>
      <c r="Z361" s="21" t="b">
        <v>0</v>
      </c>
      <c r="AA361" s="162">
        <f>+$AD$5-Tabla2[[#This Row],[FECHA DE FACTURACIÓN]]</f>
        <v>356</v>
      </c>
      <c r="AB361" s="163" t="str">
        <f>+IF(Tabla2[[#This Row],[dias de credito]]&gt;=Tabla2[[#This Row],[PLAZO Días]],"venc", "No venc")</f>
        <v>venc</v>
      </c>
      <c r="AC361" s="163" t="str">
        <f>+IF(Tabla2[[#This Row],[FECHA DE PAGO]]&gt;0,"pagada","por pagar")</f>
        <v>pagada</v>
      </c>
      <c r="AD361" s="164" t="str">
        <f>+IF(AND(Tabla2[[#This Row],[venc]]="venc",Tabla2[[#This Row],[estado pago]]="por pagar"),"vencida","no")</f>
        <v>no</v>
      </c>
    </row>
    <row r="362" spans="1:30" ht="19.5" hidden="1" customHeight="1" x14ac:dyDescent="0.25">
      <c r="A362" s="8" t="s">
        <v>1850</v>
      </c>
      <c r="B362" s="8" t="s">
        <v>1851</v>
      </c>
      <c r="C362" s="8">
        <v>60</v>
      </c>
      <c r="D362" s="151">
        <v>0</v>
      </c>
      <c r="E362" s="151"/>
      <c r="F362" s="24" t="s">
        <v>583</v>
      </c>
      <c r="G362" s="30">
        <v>45090</v>
      </c>
      <c r="H362" s="81" t="s">
        <v>582</v>
      </c>
      <c r="I362" s="30">
        <v>45016</v>
      </c>
      <c r="J362" s="16" t="s">
        <v>665</v>
      </c>
      <c r="K362" s="9" t="s">
        <v>1530</v>
      </c>
      <c r="L362" s="9"/>
      <c r="M362" s="152">
        <v>3332000</v>
      </c>
      <c r="N362" s="153">
        <v>633080</v>
      </c>
      <c r="O362" s="152">
        <v>0</v>
      </c>
      <c r="P362" s="154">
        <v>2.5000000000000001E-2</v>
      </c>
      <c r="Q362" s="152">
        <v>83300</v>
      </c>
      <c r="R362" s="9">
        <v>3881780</v>
      </c>
      <c r="S362" s="21" t="s">
        <v>1846</v>
      </c>
      <c r="T362" s="117">
        <v>0</v>
      </c>
      <c r="U362" s="117" t="s">
        <v>347</v>
      </c>
      <c r="V362" s="117">
        <v>2023</v>
      </c>
      <c r="W362" s="117">
        <v>6</v>
      </c>
      <c r="X362" s="117">
        <v>1145000</v>
      </c>
      <c r="Y362" s="117">
        <v>2.5000000000000001E-2</v>
      </c>
      <c r="Z362" s="21" t="b">
        <v>0</v>
      </c>
      <c r="AA362" s="162">
        <f>+$AD$5-Tabla2[[#This Row],[FECHA DE FACTURACIÓN]]</f>
        <v>427</v>
      </c>
      <c r="AB362" s="163" t="str">
        <f>+IF(Tabla2[[#This Row],[dias de credito]]&gt;=Tabla2[[#This Row],[PLAZO Días]],"venc", "No venc")</f>
        <v>venc</v>
      </c>
      <c r="AC362" s="163" t="str">
        <f>+IF(Tabla2[[#This Row],[FECHA DE PAGO]]&gt;0,"pagada","por pagar")</f>
        <v>pagada</v>
      </c>
      <c r="AD362" s="164" t="str">
        <f>+IF(AND(Tabla2[[#This Row],[venc]]="venc",Tabla2[[#This Row],[estado pago]]="por pagar"),"vencida","no")</f>
        <v>no</v>
      </c>
    </row>
    <row r="363" spans="1:30" ht="19.5" hidden="1" customHeight="1" x14ac:dyDescent="0.25">
      <c r="A363" s="8" t="s">
        <v>1850</v>
      </c>
      <c r="B363" s="8" t="s">
        <v>1851</v>
      </c>
      <c r="C363" s="8">
        <v>10</v>
      </c>
      <c r="D363" s="151">
        <v>0</v>
      </c>
      <c r="E363" s="151"/>
      <c r="F363" s="24" t="s">
        <v>483</v>
      </c>
      <c r="G363" s="30">
        <v>45090</v>
      </c>
      <c r="H363" s="81" t="s">
        <v>482</v>
      </c>
      <c r="I363" s="30">
        <v>45078</v>
      </c>
      <c r="J363" s="16" t="s">
        <v>824</v>
      </c>
      <c r="K363" s="9" t="s">
        <v>1530</v>
      </c>
      <c r="L363" s="9"/>
      <c r="M363" s="152">
        <v>5350576</v>
      </c>
      <c r="N363" s="153">
        <v>1016609.4400000001</v>
      </c>
      <c r="O363" s="152">
        <v>0</v>
      </c>
      <c r="P363" s="154">
        <v>0</v>
      </c>
      <c r="Q363" s="152">
        <v>0</v>
      </c>
      <c r="R363" s="9">
        <v>6367185.4400000004</v>
      </c>
      <c r="S363" s="21" t="s">
        <v>1846</v>
      </c>
      <c r="T363" s="117">
        <v>0</v>
      </c>
      <c r="U363" s="117">
        <v>0</v>
      </c>
      <c r="V363" s="117">
        <v>2023</v>
      </c>
      <c r="W363" s="117">
        <v>6</v>
      </c>
      <c r="X363" s="117">
        <v>0</v>
      </c>
      <c r="Y363" s="117">
        <v>0</v>
      </c>
      <c r="Z363" s="21" t="b">
        <v>1</v>
      </c>
      <c r="AA363" s="162">
        <f>+$AD$5-Tabla2[[#This Row],[FECHA DE FACTURACIÓN]]</f>
        <v>365</v>
      </c>
      <c r="AB363" s="163" t="str">
        <f>+IF(Tabla2[[#This Row],[dias de credito]]&gt;=Tabla2[[#This Row],[PLAZO Días]],"venc", "No venc")</f>
        <v>venc</v>
      </c>
      <c r="AC363" s="163" t="str">
        <f>+IF(Tabla2[[#This Row],[FECHA DE PAGO]]&gt;0,"pagada","por pagar")</f>
        <v>pagada</v>
      </c>
      <c r="AD363" s="164" t="str">
        <f>+IF(AND(Tabla2[[#This Row],[venc]]="venc",Tabla2[[#This Row],[estado pago]]="por pagar"),"vencida","no")</f>
        <v>no</v>
      </c>
    </row>
    <row r="364" spans="1:30" ht="19.5" hidden="1" customHeight="1" x14ac:dyDescent="0.25">
      <c r="A364" s="8" t="s">
        <v>1852</v>
      </c>
      <c r="B364" s="8" t="b">
        <v>0</v>
      </c>
      <c r="C364" s="8">
        <v>30</v>
      </c>
      <c r="D364" s="151">
        <v>0</v>
      </c>
      <c r="E364" s="151"/>
      <c r="F364" s="24" t="s">
        <v>1614</v>
      </c>
      <c r="G364" s="30">
        <v>45090</v>
      </c>
      <c r="H364" s="81" t="s">
        <v>1863</v>
      </c>
      <c r="I364" s="30">
        <v>45090</v>
      </c>
      <c r="J364" s="16" t="s">
        <v>845</v>
      </c>
      <c r="K364" s="9" t="s">
        <v>1530</v>
      </c>
      <c r="L364" s="9"/>
      <c r="M364" s="152">
        <v>1830000</v>
      </c>
      <c r="N364" s="153">
        <v>0</v>
      </c>
      <c r="O364" s="152">
        <v>0</v>
      </c>
      <c r="P364" s="154">
        <v>0</v>
      </c>
      <c r="Q364" s="152">
        <v>0</v>
      </c>
      <c r="R364" s="9">
        <v>1830000</v>
      </c>
      <c r="S364" s="21" t="s">
        <v>1846</v>
      </c>
      <c r="T364" s="117">
        <v>0</v>
      </c>
      <c r="U364" s="117">
        <v>0</v>
      </c>
      <c r="V364" s="117">
        <v>2023</v>
      </c>
      <c r="W364" s="117">
        <v>6</v>
      </c>
      <c r="X364" s="117">
        <v>0</v>
      </c>
      <c r="Y364" s="117">
        <v>0</v>
      </c>
      <c r="Z364" s="21" t="b">
        <v>0</v>
      </c>
      <c r="AA364" s="162">
        <f>+$AD$5-Tabla2[[#This Row],[FECHA DE FACTURACIÓN]]</f>
        <v>353</v>
      </c>
      <c r="AB364" s="163" t="str">
        <f>+IF(Tabla2[[#This Row],[dias de credito]]&gt;=Tabla2[[#This Row],[PLAZO Días]],"venc", "No venc")</f>
        <v>venc</v>
      </c>
      <c r="AC364" s="163" t="str">
        <f>+IF(Tabla2[[#This Row],[FECHA DE PAGO]]&gt;0,"pagada","por pagar")</f>
        <v>pagada</v>
      </c>
      <c r="AD364" s="164" t="str">
        <f>+IF(AND(Tabla2[[#This Row],[venc]]="venc",Tabla2[[#This Row],[estado pago]]="por pagar"),"vencida","no")</f>
        <v>no</v>
      </c>
    </row>
    <row r="365" spans="1:30" ht="19.5" hidden="1" customHeight="1" x14ac:dyDescent="0.25">
      <c r="A365" s="8" t="s">
        <v>1850</v>
      </c>
      <c r="B365" s="8" t="b">
        <v>0</v>
      </c>
      <c r="C365" s="8">
        <v>30</v>
      </c>
      <c r="D365" s="151">
        <v>0</v>
      </c>
      <c r="E365" s="151"/>
      <c r="F365" s="24">
        <v>0</v>
      </c>
      <c r="G365" s="30">
        <v>45091</v>
      </c>
      <c r="H365" s="81" t="s">
        <v>812</v>
      </c>
      <c r="I365" s="30">
        <v>45064</v>
      </c>
      <c r="J365" s="16" t="s">
        <v>808</v>
      </c>
      <c r="K365" s="9" t="s">
        <v>1530</v>
      </c>
      <c r="L365" s="9"/>
      <c r="M365" s="152">
        <v>400000</v>
      </c>
      <c r="N365" s="153">
        <v>0</v>
      </c>
      <c r="O365" s="152">
        <v>0</v>
      </c>
      <c r="P365" s="154">
        <v>0</v>
      </c>
      <c r="Q365" s="152">
        <v>0</v>
      </c>
      <c r="R365" s="9">
        <v>400000</v>
      </c>
      <c r="S365" s="21" t="s">
        <v>1846</v>
      </c>
      <c r="T365" s="117">
        <v>0</v>
      </c>
      <c r="U365" s="117">
        <v>0</v>
      </c>
      <c r="V365" s="117">
        <v>2023</v>
      </c>
      <c r="W365" s="117">
        <v>6</v>
      </c>
      <c r="X365" s="117">
        <v>0</v>
      </c>
      <c r="Y365" s="117">
        <v>0</v>
      </c>
      <c r="Z365" s="21" t="b">
        <v>0</v>
      </c>
      <c r="AA365" s="162">
        <f>+$AD$5-Tabla2[[#This Row],[FECHA DE FACTURACIÓN]]</f>
        <v>379</v>
      </c>
      <c r="AB365" s="163" t="str">
        <f>+IF(Tabla2[[#This Row],[dias de credito]]&gt;=Tabla2[[#This Row],[PLAZO Días]],"venc", "No venc")</f>
        <v>venc</v>
      </c>
      <c r="AC365" s="163" t="str">
        <f>+IF(Tabla2[[#This Row],[FECHA DE PAGO]]&gt;0,"pagada","por pagar")</f>
        <v>pagada</v>
      </c>
      <c r="AD365" s="164" t="str">
        <f>+IF(AND(Tabla2[[#This Row],[venc]]="venc",Tabla2[[#This Row],[estado pago]]="por pagar"),"vencida","no")</f>
        <v>no</v>
      </c>
    </row>
    <row r="366" spans="1:30" ht="19.5" hidden="1" customHeight="1" x14ac:dyDescent="0.25">
      <c r="A366" s="8" t="s">
        <v>1850</v>
      </c>
      <c r="B366" s="8" t="s">
        <v>1851</v>
      </c>
      <c r="C366" s="8">
        <v>30</v>
      </c>
      <c r="D366" s="151">
        <v>4466504.835</v>
      </c>
      <c r="E366" s="151"/>
      <c r="F366" s="24" t="s">
        <v>1553</v>
      </c>
      <c r="G366" s="30">
        <v>45092</v>
      </c>
      <c r="H366" s="81" t="s">
        <v>18</v>
      </c>
      <c r="I366" s="30">
        <v>45036</v>
      </c>
      <c r="J366" s="16" t="s">
        <v>739</v>
      </c>
      <c r="K366" s="9" t="s">
        <v>1530</v>
      </c>
      <c r="L366" s="9"/>
      <c r="M366" s="152">
        <v>1692916</v>
      </c>
      <c r="N366" s="153">
        <v>321654.03999999998</v>
      </c>
      <c r="O366" s="152">
        <v>0</v>
      </c>
      <c r="P366" s="154">
        <v>2.5000000000000001E-2</v>
      </c>
      <c r="Q366" s="152">
        <v>42322.9</v>
      </c>
      <c r="R366" s="9">
        <v>1972247.1400000001</v>
      </c>
      <c r="S366" s="21" t="s">
        <v>1846</v>
      </c>
      <c r="T366" s="117">
        <v>0</v>
      </c>
      <c r="U366" s="117" t="s">
        <v>347</v>
      </c>
      <c r="V366" s="117">
        <v>2023</v>
      </c>
      <c r="W366" s="117">
        <v>6</v>
      </c>
      <c r="X366" s="117">
        <v>1145000</v>
      </c>
      <c r="Y366" s="117">
        <v>2.5000000000000001E-2</v>
      </c>
      <c r="Z366" s="21" t="b">
        <v>0</v>
      </c>
      <c r="AA366" s="162">
        <f>+$AD$5-Tabla2[[#This Row],[FECHA DE FACTURACIÓN]]</f>
        <v>407</v>
      </c>
      <c r="AB366" s="163" t="str">
        <f>+IF(Tabla2[[#This Row],[dias de credito]]&gt;=Tabla2[[#This Row],[PLAZO Días]],"venc", "No venc")</f>
        <v>venc</v>
      </c>
      <c r="AC366" s="163" t="str">
        <f>+IF(Tabla2[[#This Row],[FECHA DE PAGO]]&gt;0,"pagada","por pagar")</f>
        <v>pagada</v>
      </c>
      <c r="AD366" s="164" t="str">
        <f>+IF(AND(Tabla2[[#This Row],[venc]]="venc",Tabla2[[#This Row],[estado pago]]="por pagar"),"vencida","no")</f>
        <v>no</v>
      </c>
    </row>
    <row r="367" spans="1:30" ht="19.5" hidden="1" customHeight="1" x14ac:dyDescent="0.25">
      <c r="A367" s="8" t="s">
        <v>1850</v>
      </c>
      <c r="B367" s="8" t="s">
        <v>1851</v>
      </c>
      <c r="C367" s="8">
        <v>30</v>
      </c>
      <c r="D367" s="151">
        <v>4466504.835</v>
      </c>
      <c r="E367" s="151"/>
      <c r="F367" s="24" t="s">
        <v>1553</v>
      </c>
      <c r="G367" s="30">
        <v>45092</v>
      </c>
      <c r="H367" s="81" t="s">
        <v>18</v>
      </c>
      <c r="I367" s="30">
        <v>45042</v>
      </c>
      <c r="J367" s="16" t="s">
        <v>752</v>
      </c>
      <c r="K367" s="9" t="s">
        <v>1530</v>
      </c>
      <c r="L367" s="9"/>
      <c r="M367" s="152">
        <v>1354333</v>
      </c>
      <c r="N367" s="153">
        <v>257323.27</v>
      </c>
      <c r="O367" s="152">
        <v>0</v>
      </c>
      <c r="P367" s="154">
        <v>2.5000000000000001E-2</v>
      </c>
      <c r="Q367" s="152">
        <v>33858.325000000004</v>
      </c>
      <c r="R367" s="9">
        <v>1577797.9450000001</v>
      </c>
      <c r="S367" s="21" t="s">
        <v>1846</v>
      </c>
      <c r="T367" s="117">
        <v>0</v>
      </c>
      <c r="U367" s="117" t="s">
        <v>347</v>
      </c>
      <c r="V367" s="117">
        <v>2023</v>
      </c>
      <c r="W367" s="117">
        <v>6</v>
      </c>
      <c r="X367" s="117">
        <v>1145000</v>
      </c>
      <c r="Y367" s="117">
        <v>2.5000000000000001E-2</v>
      </c>
      <c r="Z367" s="21" t="b">
        <v>0</v>
      </c>
      <c r="AA367" s="162">
        <f>+$AD$5-Tabla2[[#This Row],[FECHA DE FACTURACIÓN]]</f>
        <v>401</v>
      </c>
      <c r="AB367" s="163" t="str">
        <f>+IF(Tabla2[[#This Row],[dias de credito]]&gt;=Tabla2[[#This Row],[PLAZO Días]],"venc", "No venc")</f>
        <v>venc</v>
      </c>
      <c r="AC367" s="163" t="str">
        <f>+IF(Tabla2[[#This Row],[FECHA DE PAGO]]&gt;0,"pagada","por pagar")</f>
        <v>pagada</v>
      </c>
      <c r="AD367" s="164" t="str">
        <f>+IF(AND(Tabla2[[#This Row],[venc]]="venc",Tabla2[[#This Row],[estado pago]]="por pagar"),"vencida","no")</f>
        <v>no</v>
      </c>
    </row>
    <row r="368" spans="1:30" ht="19.5" hidden="1" customHeight="1" x14ac:dyDescent="0.25">
      <c r="A368" s="8" t="s">
        <v>1850</v>
      </c>
      <c r="B368" s="8" t="s">
        <v>1851</v>
      </c>
      <c r="C368" s="8">
        <v>30</v>
      </c>
      <c r="D368" s="151">
        <v>4466504.835</v>
      </c>
      <c r="E368" s="151"/>
      <c r="F368" s="24" t="s">
        <v>1553</v>
      </c>
      <c r="G368" s="30">
        <v>45092</v>
      </c>
      <c r="H368" s="81" t="s">
        <v>18</v>
      </c>
      <c r="I368" s="30">
        <v>45042</v>
      </c>
      <c r="J368" s="16" t="s">
        <v>756</v>
      </c>
      <c r="K368" s="9" t="s">
        <v>1530</v>
      </c>
      <c r="L368" s="9"/>
      <c r="M368" s="152">
        <v>1206027</v>
      </c>
      <c r="N368" s="153">
        <v>229145.13</v>
      </c>
      <c r="O368" s="152">
        <v>0</v>
      </c>
      <c r="P368" s="154">
        <v>2.5000000000000001E-2</v>
      </c>
      <c r="Q368" s="152">
        <v>30150.675000000003</v>
      </c>
      <c r="R368" s="9">
        <v>1405021.4549999998</v>
      </c>
      <c r="S368" s="21" t="s">
        <v>1846</v>
      </c>
      <c r="T368" s="117">
        <v>0</v>
      </c>
      <c r="U368" s="117" t="s">
        <v>347</v>
      </c>
      <c r="V368" s="117">
        <v>2023</v>
      </c>
      <c r="W368" s="117">
        <v>6</v>
      </c>
      <c r="X368" s="117">
        <v>1145000</v>
      </c>
      <c r="Y368" s="117">
        <v>2.5000000000000001E-2</v>
      </c>
      <c r="Z368" s="21" t="b">
        <v>0</v>
      </c>
      <c r="AA368" s="162">
        <f>+$AD$5-Tabla2[[#This Row],[FECHA DE FACTURACIÓN]]</f>
        <v>401</v>
      </c>
      <c r="AB368" s="163" t="str">
        <f>+IF(Tabla2[[#This Row],[dias de credito]]&gt;=Tabla2[[#This Row],[PLAZO Días]],"venc", "No venc")</f>
        <v>venc</v>
      </c>
      <c r="AC368" s="163" t="str">
        <f>+IF(Tabla2[[#This Row],[FECHA DE PAGO]]&gt;0,"pagada","por pagar")</f>
        <v>pagada</v>
      </c>
      <c r="AD368" s="164" t="str">
        <f>+IF(AND(Tabla2[[#This Row],[venc]]="venc",Tabla2[[#This Row],[estado pago]]="por pagar"),"vencida","no")</f>
        <v>no</v>
      </c>
    </row>
    <row r="369" spans="1:30" ht="19.5" hidden="1" customHeight="1" x14ac:dyDescent="0.25">
      <c r="A369" s="8" t="s">
        <v>1850</v>
      </c>
      <c r="B369" s="8" t="s">
        <v>1851</v>
      </c>
      <c r="C369" s="8">
        <v>30</v>
      </c>
      <c r="D369" s="151">
        <v>4466504.835</v>
      </c>
      <c r="E369" s="151"/>
      <c r="F369" s="24" t="s">
        <v>1553</v>
      </c>
      <c r="G369" s="30">
        <v>45092</v>
      </c>
      <c r="H369" s="81" t="s">
        <v>18</v>
      </c>
      <c r="I369" s="30">
        <v>45042</v>
      </c>
      <c r="J369" s="16" t="s">
        <v>751</v>
      </c>
      <c r="K369" s="9" t="s">
        <v>1530</v>
      </c>
      <c r="L369" s="9"/>
      <c r="M369" s="152">
        <v>376982</v>
      </c>
      <c r="N369" s="153">
        <v>71626.58</v>
      </c>
      <c r="O369" s="152">
        <v>0</v>
      </c>
      <c r="P369" s="154">
        <v>0</v>
      </c>
      <c r="Q369" s="152">
        <v>0</v>
      </c>
      <c r="R369" s="9">
        <v>448608.58</v>
      </c>
      <c r="S369" s="21" t="s">
        <v>1846</v>
      </c>
      <c r="T369" s="117">
        <v>0</v>
      </c>
      <c r="U369" s="117" t="s">
        <v>347</v>
      </c>
      <c r="V369" s="117">
        <v>2023</v>
      </c>
      <c r="W369" s="117">
        <v>6</v>
      </c>
      <c r="X369" s="117">
        <v>1145000</v>
      </c>
      <c r="Y369" s="117">
        <v>2.5000000000000001E-2</v>
      </c>
      <c r="Z369" s="21" t="b">
        <v>0</v>
      </c>
      <c r="AA369" s="162">
        <f>+$AD$5-Tabla2[[#This Row],[FECHA DE FACTURACIÓN]]</f>
        <v>401</v>
      </c>
      <c r="AB369" s="163" t="str">
        <f>+IF(Tabla2[[#This Row],[dias de credito]]&gt;=Tabla2[[#This Row],[PLAZO Días]],"venc", "No venc")</f>
        <v>venc</v>
      </c>
      <c r="AC369" s="163" t="str">
        <f>+IF(Tabla2[[#This Row],[FECHA DE PAGO]]&gt;0,"pagada","por pagar")</f>
        <v>pagada</v>
      </c>
      <c r="AD369" s="164" t="str">
        <f>+IF(AND(Tabla2[[#This Row],[venc]]="venc",Tabla2[[#This Row],[estado pago]]="por pagar"),"vencida","no")</f>
        <v>no</v>
      </c>
    </row>
    <row r="370" spans="1:30" ht="19.5" hidden="1" customHeight="1" x14ac:dyDescent="0.25">
      <c r="A370" s="8" t="s">
        <v>1850</v>
      </c>
      <c r="B370" s="8" t="s">
        <v>1851</v>
      </c>
      <c r="C370" s="8">
        <v>30</v>
      </c>
      <c r="D370" s="151">
        <v>4466504.835</v>
      </c>
      <c r="E370" s="151"/>
      <c r="F370" s="24" t="s">
        <v>1553</v>
      </c>
      <c r="G370" s="30">
        <v>45092</v>
      </c>
      <c r="H370" s="81" t="s">
        <v>18</v>
      </c>
      <c r="I370" s="30">
        <v>45044</v>
      </c>
      <c r="J370" s="16" t="s">
        <v>826</v>
      </c>
      <c r="K370" s="9" t="s">
        <v>1530</v>
      </c>
      <c r="L370" s="9"/>
      <c r="M370" s="152">
        <v>753964</v>
      </c>
      <c r="N370" s="153">
        <v>143253.16</v>
      </c>
      <c r="O370" s="152">
        <v>0</v>
      </c>
      <c r="P370" s="154">
        <v>0</v>
      </c>
      <c r="Q370" s="152">
        <v>0</v>
      </c>
      <c r="R370" s="9">
        <v>897217.16</v>
      </c>
      <c r="S370" s="21" t="s">
        <v>1846</v>
      </c>
      <c r="T370" s="117">
        <v>0</v>
      </c>
      <c r="U370" s="117" t="s">
        <v>347</v>
      </c>
      <c r="V370" s="117">
        <v>2023</v>
      </c>
      <c r="W370" s="117">
        <v>6</v>
      </c>
      <c r="X370" s="117">
        <v>1145000</v>
      </c>
      <c r="Y370" s="117">
        <v>2.5000000000000001E-2</v>
      </c>
      <c r="Z370" s="21" t="b">
        <v>0</v>
      </c>
      <c r="AA370" s="162">
        <f>+$AD$5-Tabla2[[#This Row],[FECHA DE FACTURACIÓN]]</f>
        <v>399</v>
      </c>
      <c r="AB370" s="163" t="str">
        <f>+IF(Tabla2[[#This Row],[dias de credito]]&gt;=Tabla2[[#This Row],[PLAZO Días]],"venc", "No venc")</f>
        <v>venc</v>
      </c>
      <c r="AC370" s="163" t="str">
        <f>+IF(Tabla2[[#This Row],[FECHA DE PAGO]]&gt;0,"pagada","por pagar")</f>
        <v>pagada</v>
      </c>
      <c r="AD370" s="164" t="str">
        <f>+IF(AND(Tabla2[[#This Row],[venc]]="venc",Tabla2[[#This Row],[estado pago]]="por pagar"),"vencida","no")</f>
        <v>no</v>
      </c>
    </row>
    <row r="371" spans="1:30" ht="19.5" hidden="1" customHeight="1" x14ac:dyDescent="0.25">
      <c r="A371" s="8" t="s">
        <v>1852</v>
      </c>
      <c r="B371" s="8" t="b">
        <v>0</v>
      </c>
      <c r="C371" s="8">
        <v>30</v>
      </c>
      <c r="D371" s="151">
        <v>0</v>
      </c>
      <c r="E371" s="151"/>
      <c r="F371" s="24" t="s">
        <v>84</v>
      </c>
      <c r="G371" s="30">
        <v>45092</v>
      </c>
      <c r="H371" s="81" t="s">
        <v>1813</v>
      </c>
      <c r="I371" s="30">
        <v>45092</v>
      </c>
      <c r="J371" s="16" t="s">
        <v>865</v>
      </c>
      <c r="K371" s="9" t="s">
        <v>1530</v>
      </c>
      <c r="L371" s="9"/>
      <c r="M371" s="152">
        <v>171400</v>
      </c>
      <c r="N371" s="153">
        <v>0</v>
      </c>
      <c r="O371" s="152">
        <v>0</v>
      </c>
      <c r="P371" s="154">
        <v>0</v>
      </c>
      <c r="Q371" s="152">
        <v>0</v>
      </c>
      <c r="R371" s="9">
        <v>171400</v>
      </c>
      <c r="S371" s="21" t="s">
        <v>1846</v>
      </c>
      <c r="T371" s="117">
        <v>0</v>
      </c>
      <c r="U371" s="117">
        <v>0</v>
      </c>
      <c r="V371" s="117">
        <v>2023</v>
      </c>
      <c r="W371" s="117">
        <v>6</v>
      </c>
      <c r="X371" s="117">
        <v>0</v>
      </c>
      <c r="Y371" s="117">
        <v>0</v>
      </c>
      <c r="Z371" s="21" t="b">
        <v>1</v>
      </c>
      <c r="AA371" s="162">
        <f>+$AD$5-Tabla2[[#This Row],[FECHA DE FACTURACIÓN]]</f>
        <v>351</v>
      </c>
      <c r="AB371" s="163" t="str">
        <f>+IF(Tabla2[[#This Row],[dias de credito]]&gt;=Tabla2[[#This Row],[PLAZO Días]],"venc", "No venc")</f>
        <v>venc</v>
      </c>
      <c r="AC371" s="163" t="str">
        <f>+IF(Tabla2[[#This Row],[FECHA DE PAGO]]&gt;0,"pagada","por pagar")</f>
        <v>pagada</v>
      </c>
      <c r="AD371" s="164" t="str">
        <f>+IF(AND(Tabla2[[#This Row],[venc]]="venc",Tabla2[[#This Row],[estado pago]]="por pagar"),"vencida","no")</f>
        <v>no</v>
      </c>
    </row>
    <row r="372" spans="1:30" ht="19.5" hidden="1" customHeight="1" x14ac:dyDescent="0.25">
      <c r="A372" s="8" t="s">
        <v>1850</v>
      </c>
      <c r="B372" s="8" t="b">
        <v>0</v>
      </c>
      <c r="C372" s="8">
        <v>30</v>
      </c>
      <c r="D372" s="151">
        <v>0</v>
      </c>
      <c r="E372" s="151"/>
      <c r="F372" s="24" t="s">
        <v>1447</v>
      </c>
      <c r="G372" s="30">
        <v>45093</v>
      </c>
      <c r="H372" s="81" t="s">
        <v>373</v>
      </c>
      <c r="I372" s="30">
        <v>45079</v>
      </c>
      <c r="J372" s="16" t="s">
        <v>832</v>
      </c>
      <c r="K372" s="9" t="s">
        <v>1530</v>
      </c>
      <c r="L372" s="9"/>
      <c r="M372" s="152">
        <v>1840056</v>
      </c>
      <c r="N372" s="153">
        <v>0</v>
      </c>
      <c r="O372" s="152">
        <v>0</v>
      </c>
      <c r="P372" s="154">
        <v>0</v>
      </c>
      <c r="Q372" s="152">
        <v>0</v>
      </c>
      <c r="R372" s="9">
        <v>1840056</v>
      </c>
      <c r="S372" s="21" t="s">
        <v>1846</v>
      </c>
      <c r="T372" s="117">
        <v>0</v>
      </c>
      <c r="U372" s="117">
        <v>0</v>
      </c>
      <c r="V372" s="117">
        <v>2023</v>
      </c>
      <c r="W372" s="117">
        <v>6</v>
      </c>
      <c r="X372" s="117">
        <v>0</v>
      </c>
      <c r="Y372" s="117">
        <v>0</v>
      </c>
      <c r="Z372" s="21" t="b">
        <v>1</v>
      </c>
      <c r="AA372" s="162">
        <f>+$AD$5-Tabla2[[#This Row],[FECHA DE FACTURACIÓN]]</f>
        <v>364</v>
      </c>
      <c r="AB372" s="163" t="str">
        <f>+IF(Tabla2[[#This Row],[dias de credito]]&gt;=Tabla2[[#This Row],[PLAZO Días]],"venc", "No venc")</f>
        <v>venc</v>
      </c>
      <c r="AC372" s="163" t="str">
        <f>+IF(Tabla2[[#This Row],[FECHA DE PAGO]]&gt;0,"pagada","por pagar")</f>
        <v>pagada</v>
      </c>
      <c r="AD372" s="164" t="str">
        <f>+IF(AND(Tabla2[[#This Row],[venc]]="venc",Tabla2[[#This Row],[estado pago]]="por pagar"),"vencida","no")</f>
        <v>no</v>
      </c>
    </row>
    <row r="373" spans="1:30" ht="19.5" hidden="1" customHeight="1" x14ac:dyDescent="0.25">
      <c r="A373" s="8" t="s">
        <v>1850</v>
      </c>
      <c r="B373" s="8" t="b">
        <v>0</v>
      </c>
      <c r="C373" s="8">
        <v>30</v>
      </c>
      <c r="D373" s="151">
        <v>0</v>
      </c>
      <c r="E373" s="151"/>
      <c r="F373" s="24" t="s">
        <v>84</v>
      </c>
      <c r="G373" s="30">
        <v>45093</v>
      </c>
      <c r="H373" s="81" t="s">
        <v>481</v>
      </c>
      <c r="I373" s="30">
        <v>45091</v>
      </c>
      <c r="J373" s="16" t="s">
        <v>867</v>
      </c>
      <c r="K373" s="9" t="s">
        <v>1530</v>
      </c>
      <c r="L373" s="9"/>
      <c r="M373" s="152">
        <v>4477000</v>
      </c>
      <c r="N373" s="153">
        <v>0</v>
      </c>
      <c r="O373" s="152">
        <v>0</v>
      </c>
      <c r="P373" s="154">
        <v>0</v>
      </c>
      <c r="Q373" s="152">
        <v>0</v>
      </c>
      <c r="R373" s="9">
        <v>4477000</v>
      </c>
      <c r="S373" s="21" t="s">
        <v>1846</v>
      </c>
      <c r="T373" s="117">
        <v>0</v>
      </c>
      <c r="U373" s="117">
        <v>0</v>
      </c>
      <c r="V373" s="117">
        <v>2023</v>
      </c>
      <c r="W373" s="117">
        <v>6</v>
      </c>
      <c r="X373" s="117">
        <v>0</v>
      </c>
      <c r="Y373" s="117">
        <v>0</v>
      </c>
      <c r="Z373" s="21" t="b">
        <v>0</v>
      </c>
      <c r="AA373" s="162">
        <f>+$AD$5-Tabla2[[#This Row],[FECHA DE FACTURACIÓN]]</f>
        <v>352</v>
      </c>
      <c r="AB373" s="163" t="str">
        <f>+IF(Tabla2[[#This Row],[dias de credito]]&gt;=Tabla2[[#This Row],[PLAZO Días]],"venc", "No venc")</f>
        <v>venc</v>
      </c>
      <c r="AC373" s="163" t="str">
        <f>+IF(Tabla2[[#This Row],[FECHA DE PAGO]]&gt;0,"pagada","por pagar")</f>
        <v>pagada</v>
      </c>
      <c r="AD373" s="164" t="str">
        <f>+IF(AND(Tabla2[[#This Row],[venc]]="venc",Tabla2[[#This Row],[estado pago]]="por pagar"),"vencida","no")</f>
        <v>no</v>
      </c>
    </row>
    <row r="374" spans="1:30" ht="19.5" hidden="1" customHeight="1" x14ac:dyDescent="0.25">
      <c r="A374" s="8" t="s">
        <v>1850</v>
      </c>
      <c r="B374" s="8" t="b">
        <v>0</v>
      </c>
      <c r="C374" s="8">
        <v>30</v>
      </c>
      <c r="D374" s="151">
        <v>0</v>
      </c>
      <c r="E374" s="151"/>
      <c r="F374" s="24" t="s">
        <v>138</v>
      </c>
      <c r="G374" s="30">
        <v>45094</v>
      </c>
      <c r="H374" s="81" t="s">
        <v>1806</v>
      </c>
      <c r="I374" s="30">
        <v>45085</v>
      </c>
      <c r="J374" s="16">
        <v>422</v>
      </c>
      <c r="K374" s="9" t="s">
        <v>1530</v>
      </c>
      <c r="L374" s="9"/>
      <c r="M374" s="152">
        <v>400000</v>
      </c>
      <c r="N374" s="153">
        <v>0</v>
      </c>
      <c r="O374" s="152">
        <v>0</v>
      </c>
      <c r="P374" s="154">
        <v>0</v>
      </c>
      <c r="Q374" s="152">
        <v>0</v>
      </c>
      <c r="R374" s="9">
        <v>400000</v>
      </c>
      <c r="S374" s="21" t="s">
        <v>1846</v>
      </c>
      <c r="T374" s="117">
        <v>0</v>
      </c>
      <c r="U374" s="117">
        <v>0</v>
      </c>
      <c r="V374" s="117">
        <v>2023</v>
      </c>
      <c r="W374" s="117">
        <v>6</v>
      </c>
      <c r="X374" s="117">
        <v>0</v>
      </c>
      <c r="Y374" s="117">
        <v>0</v>
      </c>
      <c r="Z374" s="21" t="b">
        <v>0</v>
      </c>
      <c r="AA374" s="162">
        <f>+$AD$5-Tabla2[[#This Row],[FECHA DE FACTURACIÓN]]</f>
        <v>358</v>
      </c>
      <c r="AB374" s="163" t="str">
        <f>+IF(Tabla2[[#This Row],[dias de credito]]&gt;=Tabla2[[#This Row],[PLAZO Días]],"venc", "No venc")</f>
        <v>venc</v>
      </c>
      <c r="AC374" s="163" t="str">
        <f>+IF(Tabla2[[#This Row],[FECHA DE PAGO]]&gt;0,"pagada","por pagar")</f>
        <v>pagada</v>
      </c>
      <c r="AD374" s="164" t="str">
        <f>+IF(AND(Tabla2[[#This Row],[venc]]="venc",Tabla2[[#This Row],[estado pago]]="por pagar"),"vencida","no")</f>
        <v>no</v>
      </c>
    </row>
    <row r="375" spans="1:30" ht="19.5" hidden="1" customHeight="1" x14ac:dyDescent="0.25">
      <c r="A375" s="8" t="s">
        <v>1850</v>
      </c>
      <c r="B375" s="8" t="b">
        <v>0</v>
      </c>
      <c r="C375" s="8">
        <v>30</v>
      </c>
      <c r="D375" s="151">
        <v>0</v>
      </c>
      <c r="E375" s="151"/>
      <c r="F375" s="24" t="s">
        <v>138</v>
      </c>
      <c r="G375" s="30">
        <v>45094</v>
      </c>
      <c r="H375" s="81" t="s">
        <v>448</v>
      </c>
      <c r="I375" s="30">
        <v>45085</v>
      </c>
      <c r="J375" s="16" t="s">
        <v>835</v>
      </c>
      <c r="K375" s="9" t="s">
        <v>1530</v>
      </c>
      <c r="L375" s="9"/>
      <c r="M375" s="152">
        <v>400000</v>
      </c>
      <c r="N375" s="153">
        <v>0</v>
      </c>
      <c r="O375" s="152">
        <v>0</v>
      </c>
      <c r="P375" s="154">
        <v>0.01</v>
      </c>
      <c r="Q375" s="152">
        <v>4000</v>
      </c>
      <c r="R375" s="9">
        <v>396000</v>
      </c>
      <c r="S375" s="21" t="s">
        <v>1846</v>
      </c>
      <c r="T375" s="117">
        <v>0</v>
      </c>
      <c r="U375" s="117" t="s">
        <v>346</v>
      </c>
      <c r="V375" s="117">
        <v>2023</v>
      </c>
      <c r="W375" s="117">
        <v>6</v>
      </c>
      <c r="X375" s="117">
        <v>170000</v>
      </c>
      <c r="Y375" s="117">
        <v>0.01</v>
      </c>
      <c r="Z375" s="21" t="b">
        <v>0</v>
      </c>
      <c r="AA375" s="162">
        <f>+$AD$5-Tabla2[[#This Row],[FECHA DE FACTURACIÓN]]</f>
        <v>358</v>
      </c>
      <c r="AB375" s="163" t="str">
        <f>+IF(Tabla2[[#This Row],[dias de credito]]&gt;=Tabla2[[#This Row],[PLAZO Días]],"venc", "No venc")</f>
        <v>venc</v>
      </c>
      <c r="AC375" s="163" t="str">
        <f>+IF(Tabla2[[#This Row],[FECHA DE PAGO]]&gt;0,"pagada","por pagar")</f>
        <v>pagada</v>
      </c>
      <c r="AD375" s="164" t="str">
        <f>+IF(AND(Tabla2[[#This Row],[venc]]="venc",Tabla2[[#This Row],[estado pago]]="por pagar"),"vencida","no")</f>
        <v>no</v>
      </c>
    </row>
    <row r="376" spans="1:30" ht="19.5" hidden="1" customHeight="1" x14ac:dyDescent="0.25">
      <c r="A376" s="8" t="s">
        <v>1850</v>
      </c>
      <c r="B376" s="8" t="b">
        <v>0</v>
      </c>
      <c r="C376" s="8">
        <v>30</v>
      </c>
      <c r="D376" s="151">
        <v>0</v>
      </c>
      <c r="E376" s="151"/>
      <c r="F376" s="24">
        <v>0</v>
      </c>
      <c r="G376" s="30">
        <v>45094</v>
      </c>
      <c r="H376" s="81" t="s">
        <v>836</v>
      </c>
      <c r="I376" s="30">
        <v>45088</v>
      </c>
      <c r="J376" s="16">
        <v>2</v>
      </c>
      <c r="K376" s="9" t="s">
        <v>1530</v>
      </c>
      <c r="L376" s="9"/>
      <c r="M376" s="152">
        <v>424000</v>
      </c>
      <c r="N376" s="153">
        <v>0</v>
      </c>
      <c r="O376" s="152">
        <v>0</v>
      </c>
      <c r="P376" s="154">
        <v>0</v>
      </c>
      <c r="Q376" s="152">
        <v>0</v>
      </c>
      <c r="R376" s="9">
        <v>424000</v>
      </c>
      <c r="S376" s="21" t="s">
        <v>1846</v>
      </c>
      <c r="T376" s="117">
        <v>0</v>
      </c>
      <c r="U376" s="117">
        <v>0</v>
      </c>
      <c r="V376" s="117">
        <v>2023</v>
      </c>
      <c r="W376" s="117">
        <v>6</v>
      </c>
      <c r="X376" s="117">
        <v>0</v>
      </c>
      <c r="Y376" s="117">
        <v>0</v>
      </c>
      <c r="Z376" s="21" t="b">
        <v>0</v>
      </c>
      <c r="AA376" s="162">
        <f>+$AD$5-Tabla2[[#This Row],[FECHA DE FACTURACIÓN]]</f>
        <v>355</v>
      </c>
      <c r="AB376" s="163" t="str">
        <f>+IF(Tabla2[[#This Row],[dias de credito]]&gt;=Tabla2[[#This Row],[PLAZO Días]],"venc", "No venc")</f>
        <v>venc</v>
      </c>
      <c r="AC376" s="163" t="str">
        <f>+IF(Tabla2[[#This Row],[FECHA DE PAGO]]&gt;0,"pagada","por pagar")</f>
        <v>pagada</v>
      </c>
      <c r="AD376" s="164" t="str">
        <f>+IF(AND(Tabla2[[#This Row],[venc]]="venc",Tabla2[[#This Row],[estado pago]]="por pagar"),"vencida","no")</f>
        <v>no</v>
      </c>
    </row>
    <row r="377" spans="1:30" ht="19.5" hidden="1" customHeight="1" x14ac:dyDescent="0.25">
      <c r="A377" s="8" t="s">
        <v>1852</v>
      </c>
      <c r="B377" s="8" t="b">
        <v>0</v>
      </c>
      <c r="C377" s="8">
        <v>30</v>
      </c>
      <c r="D377" s="151">
        <v>0</v>
      </c>
      <c r="E377" s="151"/>
      <c r="F377" s="24" t="s">
        <v>84</v>
      </c>
      <c r="G377" s="30">
        <v>45094</v>
      </c>
      <c r="H377" s="81" t="s">
        <v>1821</v>
      </c>
      <c r="I377" s="30">
        <v>45094</v>
      </c>
      <c r="J377" s="16" t="s">
        <v>868</v>
      </c>
      <c r="K377" s="9" t="s">
        <v>1530</v>
      </c>
      <c r="L377" s="9"/>
      <c r="M377" s="152">
        <v>820000</v>
      </c>
      <c r="N377" s="153">
        <v>0</v>
      </c>
      <c r="O377" s="152">
        <v>0</v>
      </c>
      <c r="P377" s="154">
        <v>0</v>
      </c>
      <c r="Q377" s="152">
        <v>0</v>
      </c>
      <c r="R377" s="9">
        <v>820000</v>
      </c>
      <c r="S377" s="21" t="s">
        <v>1846</v>
      </c>
      <c r="T377" s="117">
        <v>0</v>
      </c>
      <c r="U377" s="117">
        <v>0</v>
      </c>
      <c r="V377" s="117">
        <v>2023</v>
      </c>
      <c r="W377" s="117">
        <v>6</v>
      </c>
      <c r="X377" s="117">
        <v>0</v>
      </c>
      <c r="Y377" s="117">
        <v>0</v>
      </c>
      <c r="Z377" s="21" t="b">
        <v>0</v>
      </c>
      <c r="AA377" s="162">
        <f>+$AD$5-Tabla2[[#This Row],[FECHA DE FACTURACIÓN]]</f>
        <v>349</v>
      </c>
      <c r="AB377" s="163" t="str">
        <f>+IF(Tabla2[[#This Row],[dias de credito]]&gt;=Tabla2[[#This Row],[PLAZO Días]],"venc", "No venc")</f>
        <v>venc</v>
      </c>
      <c r="AC377" s="163" t="str">
        <f>+IF(Tabla2[[#This Row],[FECHA DE PAGO]]&gt;0,"pagada","por pagar")</f>
        <v>pagada</v>
      </c>
      <c r="AD377" s="164" t="str">
        <f>+IF(AND(Tabla2[[#This Row],[venc]]="venc",Tabla2[[#This Row],[estado pago]]="por pagar"),"vencida","no")</f>
        <v>no</v>
      </c>
    </row>
    <row r="378" spans="1:30" ht="19.5" hidden="1" customHeight="1" x14ac:dyDescent="0.25">
      <c r="A378" s="8" t="s">
        <v>1850</v>
      </c>
      <c r="B378" s="8" t="s">
        <v>1851</v>
      </c>
      <c r="C378" s="8">
        <v>45</v>
      </c>
      <c r="D378" s="151">
        <v>22186260.039999999</v>
      </c>
      <c r="E378" s="151"/>
      <c r="F378" s="24" t="s">
        <v>357</v>
      </c>
      <c r="G378" s="30">
        <v>45097</v>
      </c>
      <c r="H378" s="81" t="s">
        <v>19</v>
      </c>
      <c r="I378" s="30">
        <v>45015</v>
      </c>
      <c r="J378" s="16" t="s">
        <v>705</v>
      </c>
      <c r="K378" s="9" t="s">
        <v>1530</v>
      </c>
      <c r="L378" s="9"/>
      <c r="M378" s="152">
        <v>7884050</v>
      </c>
      <c r="N378" s="153">
        <v>1497969.5</v>
      </c>
      <c r="O378" s="152">
        <v>0</v>
      </c>
      <c r="P378" s="154">
        <v>0</v>
      </c>
      <c r="Q378" s="152">
        <v>0</v>
      </c>
      <c r="R378" s="9">
        <v>9382019.5</v>
      </c>
      <c r="S378" s="21" t="s">
        <v>1846</v>
      </c>
      <c r="T378" s="117">
        <v>0</v>
      </c>
      <c r="U378" s="117">
        <v>0</v>
      </c>
      <c r="V378" s="117">
        <v>2023</v>
      </c>
      <c r="W378" s="117">
        <v>6</v>
      </c>
      <c r="X378" s="117">
        <v>0</v>
      </c>
      <c r="Y378" s="117">
        <v>0</v>
      </c>
      <c r="Z378" s="21" t="b">
        <v>0</v>
      </c>
      <c r="AA378" s="162">
        <f>+$AD$5-Tabla2[[#This Row],[FECHA DE FACTURACIÓN]]</f>
        <v>428</v>
      </c>
      <c r="AB378" s="163" t="str">
        <f>+IF(Tabla2[[#This Row],[dias de credito]]&gt;=Tabla2[[#This Row],[PLAZO Días]],"venc", "No venc")</f>
        <v>venc</v>
      </c>
      <c r="AC378" s="163" t="str">
        <f>+IF(Tabla2[[#This Row],[FECHA DE PAGO]]&gt;0,"pagada","por pagar")</f>
        <v>pagada</v>
      </c>
      <c r="AD378" s="164" t="str">
        <f>+IF(AND(Tabla2[[#This Row],[venc]]="venc",Tabla2[[#This Row],[estado pago]]="por pagar"),"vencida","no")</f>
        <v>no</v>
      </c>
    </row>
    <row r="379" spans="1:30" ht="19.5" hidden="1" customHeight="1" x14ac:dyDescent="0.25">
      <c r="A379" s="8" t="s">
        <v>1850</v>
      </c>
      <c r="B379" s="8" t="s">
        <v>1851</v>
      </c>
      <c r="C379" s="8">
        <v>45</v>
      </c>
      <c r="D379" s="151">
        <v>22186260.039999999</v>
      </c>
      <c r="E379" s="151"/>
      <c r="F379" s="24" t="s">
        <v>357</v>
      </c>
      <c r="G379" s="30">
        <v>45097</v>
      </c>
      <c r="H379" s="81" t="s">
        <v>19</v>
      </c>
      <c r="I379" s="30">
        <v>45016</v>
      </c>
      <c r="J379" s="16" t="s">
        <v>706</v>
      </c>
      <c r="K379" s="9" t="s">
        <v>1530</v>
      </c>
      <c r="L379" s="9"/>
      <c r="M379" s="152">
        <v>826770</v>
      </c>
      <c r="N379" s="153">
        <v>157086.29999999999</v>
      </c>
      <c r="O379" s="152">
        <v>0</v>
      </c>
      <c r="P379" s="154">
        <v>0</v>
      </c>
      <c r="Q379" s="152">
        <v>0</v>
      </c>
      <c r="R379" s="9">
        <v>983856.3</v>
      </c>
      <c r="S379" s="21" t="s">
        <v>1846</v>
      </c>
      <c r="T379" s="117">
        <v>0</v>
      </c>
      <c r="U379" s="117">
        <v>0</v>
      </c>
      <c r="V379" s="117">
        <v>2023</v>
      </c>
      <c r="W379" s="117">
        <v>6</v>
      </c>
      <c r="X379" s="117">
        <v>0</v>
      </c>
      <c r="Y379" s="117">
        <v>0</v>
      </c>
      <c r="Z379" s="21" t="b">
        <v>0</v>
      </c>
      <c r="AA379" s="162">
        <f>+$AD$5-Tabla2[[#This Row],[FECHA DE FACTURACIÓN]]</f>
        <v>427</v>
      </c>
      <c r="AB379" s="163" t="str">
        <f>+IF(Tabla2[[#This Row],[dias de credito]]&gt;=Tabla2[[#This Row],[PLAZO Días]],"venc", "No venc")</f>
        <v>venc</v>
      </c>
      <c r="AC379" s="163" t="str">
        <f>+IF(Tabla2[[#This Row],[FECHA DE PAGO]]&gt;0,"pagada","por pagar")</f>
        <v>pagada</v>
      </c>
      <c r="AD379" s="164" t="str">
        <f>+IF(AND(Tabla2[[#This Row],[venc]]="venc",Tabla2[[#This Row],[estado pago]]="por pagar"),"vencida","no")</f>
        <v>no</v>
      </c>
    </row>
    <row r="380" spans="1:30" ht="19.5" hidden="1" customHeight="1" x14ac:dyDescent="0.25">
      <c r="A380" s="8" t="s">
        <v>1850</v>
      </c>
      <c r="B380" s="8" t="s">
        <v>1851</v>
      </c>
      <c r="C380" s="8">
        <v>30</v>
      </c>
      <c r="D380" s="151">
        <v>0</v>
      </c>
      <c r="E380" s="151"/>
      <c r="F380" s="24">
        <v>0</v>
      </c>
      <c r="G380" s="30">
        <v>45097</v>
      </c>
      <c r="H380" s="81" t="s">
        <v>1805</v>
      </c>
      <c r="I380" s="30">
        <v>45026</v>
      </c>
      <c r="J380" s="16" t="s">
        <v>718</v>
      </c>
      <c r="K380" s="9" t="s">
        <v>1530</v>
      </c>
      <c r="L380" s="9"/>
      <c r="M380" s="152">
        <v>861000</v>
      </c>
      <c r="N380" s="153">
        <v>0</v>
      </c>
      <c r="O380" s="152">
        <v>0</v>
      </c>
      <c r="P380" s="154">
        <v>0</v>
      </c>
      <c r="Q380" s="152">
        <v>0</v>
      </c>
      <c r="R380" s="9">
        <v>861000</v>
      </c>
      <c r="S380" s="21" t="s">
        <v>1846</v>
      </c>
      <c r="T380" s="117">
        <v>0</v>
      </c>
      <c r="U380" s="117">
        <v>0</v>
      </c>
      <c r="V380" s="117">
        <v>2023</v>
      </c>
      <c r="W380" s="117">
        <v>6</v>
      </c>
      <c r="X380" s="117">
        <v>0</v>
      </c>
      <c r="Y380" s="117">
        <v>0</v>
      </c>
      <c r="Z380" s="21" t="b">
        <v>0</v>
      </c>
      <c r="AA380" s="162">
        <f>+$AD$5-Tabla2[[#This Row],[FECHA DE FACTURACIÓN]]</f>
        <v>417</v>
      </c>
      <c r="AB380" s="163" t="str">
        <f>+IF(Tabla2[[#This Row],[dias de credito]]&gt;=Tabla2[[#This Row],[PLAZO Días]],"venc", "No venc")</f>
        <v>venc</v>
      </c>
      <c r="AC380" s="163" t="str">
        <f>+IF(Tabla2[[#This Row],[FECHA DE PAGO]]&gt;0,"pagada","por pagar")</f>
        <v>pagada</v>
      </c>
      <c r="AD380" s="164" t="str">
        <f>+IF(AND(Tabla2[[#This Row],[venc]]="venc",Tabla2[[#This Row],[estado pago]]="por pagar"),"vencida","no")</f>
        <v>no</v>
      </c>
    </row>
    <row r="381" spans="1:30" ht="19.5" hidden="1" customHeight="1" x14ac:dyDescent="0.25">
      <c r="A381" s="8" t="s">
        <v>1850</v>
      </c>
      <c r="B381" s="8" t="s">
        <v>1851</v>
      </c>
      <c r="C381" s="8">
        <v>60</v>
      </c>
      <c r="D381" s="151">
        <v>0</v>
      </c>
      <c r="E381" s="151"/>
      <c r="F381" s="24" t="s">
        <v>399</v>
      </c>
      <c r="G381" s="30">
        <v>45097</v>
      </c>
      <c r="H381" s="81" t="s">
        <v>65</v>
      </c>
      <c r="I381" s="30">
        <v>45026</v>
      </c>
      <c r="J381" s="16" t="s">
        <v>708</v>
      </c>
      <c r="K381" s="9" t="s">
        <v>1530</v>
      </c>
      <c r="L381" s="9"/>
      <c r="M381" s="152">
        <v>1768800</v>
      </c>
      <c r="N381" s="153">
        <v>336072</v>
      </c>
      <c r="O381" s="152">
        <v>0</v>
      </c>
      <c r="P381" s="154">
        <v>2.5000000000000001E-2</v>
      </c>
      <c r="Q381" s="152">
        <v>44220</v>
      </c>
      <c r="R381" s="9">
        <v>2060652</v>
      </c>
      <c r="S381" s="21" t="s">
        <v>1846</v>
      </c>
      <c r="T381" s="117">
        <v>0</v>
      </c>
      <c r="U381" s="117" t="s">
        <v>347</v>
      </c>
      <c r="V381" s="117">
        <v>2023</v>
      </c>
      <c r="W381" s="117">
        <v>6</v>
      </c>
      <c r="X381" s="117">
        <v>1145000</v>
      </c>
      <c r="Y381" s="117">
        <v>2.5000000000000001E-2</v>
      </c>
      <c r="Z381" s="21" t="b">
        <v>0</v>
      </c>
      <c r="AA381" s="162">
        <f>+$AD$5-Tabla2[[#This Row],[FECHA DE FACTURACIÓN]]</f>
        <v>417</v>
      </c>
      <c r="AB381" s="163" t="str">
        <f>+IF(Tabla2[[#This Row],[dias de credito]]&gt;=Tabla2[[#This Row],[PLAZO Días]],"venc", "No venc")</f>
        <v>venc</v>
      </c>
      <c r="AC381" s="163" t="str">
        <f>+IF(Tabla2[[#This Row],[FECHA DE PAGO]]&gt;0,"pagada","por pagar")</f>
        <v>pagada</v>
      </c>
      <c r="AD381" s="164" t="str">
        <f>+IF(AND(Tabla2[[#This Row],[venc]]="venc",Tabla2[[#This Row],[estado pago]]="por pagar"),"vencida","no")</f>
        <v>no</v>
      </c>
    </row>
    <row r="382" spans="1:30" ht="19.5" hidden="1" customHeight="1" x14ac:dyDescent="0.25">
      <c r="A382" s="8" t="s">
        <v>1850</v>
      </c>
      <c r="B382" s="8" t="s">
        <v>1851</v>
      </c>
      <c r="C382" s="8">
        <v>30</v>
      </c>
      <c r="D382" s="151">
        <v>134000</v>
      </c>
      <c r="E382" s="151"/>
      <c r="F382" s="24" t="s">
        <v>192</v>
      </c>
      <c r="G382" s="30">
        <v>45097</v>
      </c>
      <c r="H382" s="81" t="s">
        <v>1808</v>
      </c>
      <c r="I382" s="30">
        <v>45030</v>
      </c>
      <c r="J382" s="16">
        <v>4056</v>
      </c>
      <c r="K382" s="9" t="s">
        <v>1530</v>
      </c>
      <c r="L382" s="9"/>
      <c r="M382" s="152">
        <v>3121200</v>
      </c>
      <c r="N382" s="153">
        <v>0</v>
      </c>
      <c r="O382" s="152">
        <v>0</v>
      </c>
      <c r="P382" s="154">
        <v>0</v>
      </c>
      <c r="Q382" s="152">
        <v>0</v>
      </c>
      <c r="R382" s="9">
        <v>3121200</v>
      </c>
      <c r="S382" s="21" t="s">
        <v>1846</v>
      </c>
      <c r="T382" s="117">
        <v>0</v>
      </c>
      <c r="U382" s="117">
        <v>0</v>
      </c>
      <c r="V382" s="117">
        <v>2023</v>
      </c>
      <c r="W382" s="117">
        <v>6</v>
      </c>
      <c r="X382" s="117">
        <v>0</v>
      </c>
      <c r="Y382" s="117">
        <v>0</v>
      </c>
      <c r="Z382" s="21" t="b">
        <v>0</v>
      </c>
      <c r="AA382" s="162">
        <f>+$AD$5-Tabla2[[#This Row],[FECHA DE FACTURACIÓN]]</f>
        <v>413</v>
      </c>
      <c r="AB382" s="163" t="str">
        <f>+IF(Tabla2[[#This Row],[dias de credito]]&gt;=Tabla2[[#This Row],[PLAZO Días]],"venc", "No venc")</f>
        <v>venc</v>
      </c>
      <c r="AC382" s="163" t="str">
        <f>+IF(Tabla2[[#This Row],[FECHA DE PAGO]]&gt;0,"pagada","por pagar")</f>
        <v>pagada</v>
      </c>
      <c r="AD382" s="164" t="str">
        <f>+IF(AND(Tabla2[[#This Row],[venc]]="venc",Tabla2[[#This Row],[estado pago]]="por pagar"),"vencida","no")</f>
        <v>no</v>
      </c>
    </row>
    <row r="383" spans="1:30" ht="19.5" hidden="1" customHeight="1" x14ac:dyDescent="0.25">
      <c r="A383" s="8" t="s">
        <v>1850</v>
      </c>
      <c r="B383" s="8" t="s">
        <v>1851</v>
      </c>
      <c r="C383" s="8">
        <v>30</v>
      </c>
      <c r="D383" s="151">
        <v>0</v>
      </c>
      <c r="E383" s="151"/>
      <c r="F383" s="24" t="s">
        <v>169</v>
      </c>
      <c r="G383" s="30">
        <v>45097</v>
      </c>
      <c r="H383" s="81" t="s">
        <v>1592</v>
      </c>
      <c r="I383" s="30">
        <v>45041</v>
      </c>
      <c r="J383" s="16" t="s">
        <v>750</v>
      </c>
      <c r="K383" s="9" t="s">
        <v>1530</v>
      </c>
      <c r="L383" s="9"/>
      <c r="M383" s="152">
        <v>2657001</v>
      </c>
      <c r="N383" s="153">
        <v>504830.19</v>
      </c>
      <c r="O383" s="152">
        <v>0</v>
      </c>
      <c r="P383" s="154">
        <v>2.5000000000000001E-2</v>
      </c>
      <c r="Q383" s="152">
        <v>66425.025000000009</v>
      </c>
      <c r="R383" s="9">
        <v>3095406.165</v>
      </c>
      <c r="S383" s="21" t="s">
        <v>1846</v>
      </c>
      <c r="T383" s="117">
        <v>0</v>
      </c>
      <c r="U383" s="117" t="s">
        <v>347</v>
      </c>
      <c r="V383" s="117">
        <v>2023</v>
      </c>
      <c r="W383" s="117">
        <v>6</v>
      </c>
      <c r="X383" s="117">
        <v>1145000</v>
      </c>
      <c r="Y383" s="117">
        <v>2.5000000000000001E-2</v>
      </c>
      <c r="Z383" s="21" t="b">
        <v>0</v>
      </c>
      <c r="AA383" s="162">
        <f>+$AD$5-Tabla2[[#This Row],[FECHA DE FACTURACIÓN]]</f>
        <v>402</v>
      </c>
      <c r="AB383" s="163" t="str">
        <f>+IF(Tabla2[[#This Row],[dias de credito]]&gt;=Tabla2[[#This Row],[PLAZO Días]],"venc", "No venc")</f>
        <v>venc</v>
      </c>
      <c r="AC383" s="163" t="str">
        <f>+IF(Tabla2[[#This Row],[FECHA DE PAGO]]&gt;0,"pagada","por pagar")</f>
        <v>pagada</v>
      </c>
      <c r="AD383" s="164" t="str">
        <f>+IF(AND(Tabla2[[#This Row],[venc]]="venc",Tabla2[[#This Row],[estado pago]]="por pagar"),"vencida","no")</f>
        <v>no</v>
      </c>
    </row>
    <row r="384" spans="1:30" ht="19.5" hidden="1" customHeight="1" x14ac:dyDescent="0.25">
      <c r="A384" s="8" t="s">
        <v>1850</v>
      </c>
      <c r="B384" s="8" t="b">
        <v>0</v>
      </c>
      <c r="C384" s="8">
        <v>60</v>
      </c>
      <c r="D384" s="151">
        <v>0</v>
      </c>
      <c r="E384" s="151"/>
      <c r="F384" s="24" t="s">
        <v>399</v>
      </c>
      <c r="G384" s="30">
        <v>45097</v>
      </c>
      <c r="H384" s="81" t="s">
        <v>65</v>
      </c>
      <c r="I384" s="30">
        <v>45042</v>
      </c>
      <c r="J384" s="16" t="s">
        <v>755</v>
      </c>
      <c r="K384" s="9" t="s">
        <v>1530</v>
      </c>
      <c r="L384" s="9"/>
      <c r="M384" s="152">
        <v>8754400</v>
      </c>
      <c r="N384" s="153">
        <v>1663336</v>
      </c>
      <c r="O384" s="152">
        <v>0</v>
      </c>
      <c r="P384" s="154">
        <v>2.5000000000000001E-2</v>
      </c>
      <c r="Q384" s="152">
        <v>218860</v>
      </c>
      <c r="R384" s="9">
        <v>10198876</v>
      </c>
      <c r="S384" s="21" t="s">
        <v>1846</v>
      </c>
      <c r="T384" s="117">
        <v>0</v>
      </c>
      <c r="U384" s="117" t="s">
        <v>347</v>
      </c>
      <c r="V384" s="117">
        <v>2023</v>
      </c>
      <c r="W384" s="117">
        <v>6</v>
      </c>
      <c r="X384" s="117">
        <v>1145000</v>
      </c>
      <c r="Y384" s="117">
        <v>2.5000000000000001E-2</v>
      </c>
      <c r="Z384" s="21" t="b">
        <v>0</v>
      </c>
      <c r="AA384" s="162">
        <f>+$AD$5-Tabla2[[#This Row],[FECHA DE FACTURACIÓN]]</f>
        <v>401</v>
      </c>
      <c r="AB384" s="163" t="str">
        <f>+IF(Tabla2[[#This Row],[dias de credito]]&gt;=Tabla2[[#This Row],[PLAZO Días]],"venc", "No venc")</f>
        <v>venc</v>
      </c>
      <c r="AC384" s="163" t="str">
        <f>+IF(Tabla2[[#This Row],[FECHA DE PAGO]]&gt;0,"pagada","por pagar")</f>
        <v>pagada</v>
      </c>
      <c r="AD384" s="164" t="str">
        <f>+IF(AND(Tabla2[[#This Row],[venc]]="venc",Tabla2[[#This Row],[estado pago]]="por pagar"),"vencida","no")</f>
        <v>no</v>
      </c>
    </row>
    <row r="385" spans="1:30" ht="19.5" hidden="1" customHeight="1" x14ac:dyDescent="0.25">
      <c r="A385" s="8" t="s">
        <v>1850</v>
      </c>
      <c r="B385" s="8" t="s">
        <v>1851</v>
      </c>
      <c r="C385" s="8">
        <v>30</v>
      </c>
      <c r="D385" s="151">
        <v>9950488.6799999997</v>
      </c>
      <c r="E385" s="151"/>
      <c r="F385" s="24" t="s">
        <v>410</v>
      </c>
      <c r="G385" s="30">
        <v>45097</v>
      </c>
      <c r="H385" s="81" t="s">
        <v>11</v>
      </c>
      <c r="I385" s="30">
        <v>45044</v>
      </c>
      <c r="J385" s="16" t="s">
        <v>757</v>
      </c>
      <c r="K385" s="9" t="s">
        <v>1530</v>
      </c>
      <c r="L385" s="9"/>
      <c r="M385" s="152">
        <v>5732114</v>
      </c>
      <c r="N385" s="153">
        <v>1089101.6599999999</v>
      </c>
      <c r="O385" s="152">
        <v>0</v>
      </c>
      <c r="P385" s="154">
        <v>2.5000000000000001E-2</v>
      </c>
      <c r="Q385" s="152">
        <v>143302.85</v>
      </c>
      <c r="R385" s="9">
        <v>6677912.8100000005</v>
      </c>
      <c r="S385" s="21" t="s">
        <v>1846</v>
      </c>
      <c r="T385" s="117">
        <v>0</v>
      </c>
      <c r="U385" s="117" t="s">
        <v>347</v>
      </c>
      <c r="V385" s="117">
        <v>2023</v>
      </c>
      <c r="W385" s="117">
        <v>6</v>
      </c>
      <c r="X385" s="117">
        <v>1145000</v>
      </c>
      <c r="Y385" s="117">
        <v>2.5000000000000001E-2</v>
      </c>
      <c r="Z385" s="21" t="b">
        <v>0</v>
      </c>
      <c r="AA385" s="162">
        <f>+$AD$5-Tabla2[[#This Row],[FECHA DE FACTURACIÓN]]</f>
        <v>399</v>
      </c>
      <c r="AB385" s="163" t="str">
        <f>+IF(Tabla2[[#This Row],[dias de credito]]&gt;=Tabla2[[#This Row],[PLAZO Días]],"venc", "No venc")</f>
        <v>venc</v>
      </c>
      <c r="AC385" s="163" t="str">
        <f>+IF(Tabla2[[#This Row],[FECHA DE PAGO]]&gt;0,"pagada","por pagar")</f>
        <v>pagada</v>
      </c>
      <c r="AD385" s="164" t="str">
        <f>+IF(AND(Tabla2[[#This Row],[venc]]="venc",Tabla2[[#This Row],[estado pago]]="por pagar"),"vencida","no")</f>
        <v>no</v>
      </c>
    </row>
    <row r="386" spans="1:30" ht="19.5" hidden="1" customHeight="1" x14ac:dyDescent="0.25">
      <c r="A386" s="8" t="s">
        <v>1850</v>
      </c>
      <c r="B386" s="8" t="s">
        <v>1851</v>
      </c>
      <c r="C386" s="8">
        <v>30</v>
      </c>
      <c r="D386" s="151">
        <v>9950488.6799999997</v>
      </c>
      <c r="E386" s="151"/>
      <c r="F386" s="24" t="s">
        <v>410</v>
      </c>
      <c r="G386" s="30">
        <v>45097</v>
      </c>
      <c r="H386" s="81" t="s">
        <v>11</v>
      </c>
      <c r="I386" s="30">
        <v>45055</v>
      </c>
      <c r="J386" s="16" t="s">
        <v>778</v>
      </c>
      <c r="K386" s="9" t="s">
        <v>1530</v>
      </c>
      <c r="L386" s="9"/>
      <c r="M386" s="152">
        <v>854119</v>
      </c>
      <c r="N386" s="153">
        <v>162282.61000000002</v>
      </c>
      <c r="O386" s="152">
        <v>0</v>
      </c>
      <c r="P386" s="154">
        <v>0</v>
      </c>
      <c r="Q386" s="152">
        <v>0</v>
      </c>
      <c r="R386" s="9">
        <v>1016401.61</v>
      </c>
      <c r="S386" s="21" t="s">
        <v>1846</v>
      </c>
      <c r="T386" s="117">
        <v>0</v>
      </c>
      <c r="U386" s="117" t="s">
        <v>347</v>
      </c>
      <c r="V386" s="117">
        <v>2023</v>
      </c>
      <c r="W386" s="117">
        <v>6</v>
      </c>
      <c r="X386" s="117">
        <v>1145000</v>
      </c>
      <c r="Y386" s="117">
        <v>2.5000000000000001E-2</v>
      </c>
      <c r="Z386" s="21" t="b">
        <v>0</v>
      </c>
      <c r="AA386" s="162">
        <f>+$AD$5-Tabla2[[#This Row],[FECHA DE FACTURACIÓN]]</f>
        <v>388</v>
      </c>
      <c r="AB386" s="163" t="str">
        <f>+IF(Tabla2[[#This Row],[dias de credito]]&gt;=Tabla2[[#This Row],[PLAZO Días]],"venc", "No venc")</f>
        <v>venc</v>
      </c>
      <c r="AC386" s="163" t="str">
        <f>+IF(Tabla2[[#This Row],[FECHA DE PAGO]]&gt;0,"pagada","por pagar")</f>
        <v>pagada</v>
      </c>
      <c r="AD386" s="164" t="str">
        <f>+IF(AND(Tabla2[[#This Row],[venc]]="venc",Tabla2[[#This Row],[estado pago]]="por pagar"),"vencida","no")</f>
        <v>no</v>
      </c>
    </row>
    <row r="387" spans="1:30" ht="19.5" hidden="1" customHeight="1" x14ac:dyDescent="0.25">
      <c r="A387" s="8" t="s">
        <v>1850</v>
      </c>
      <c r="B387" s="8" t="s">
        <v>1851</v>
      </c>
      <c r="C387" s="8">
        <v>30</v>
      </c>
      <c r="D387" s="151">
        <v>0</v>
      </c>
      <c r="E387" s="151"/>
      <c r="F387" s="24" t="s">
        <v>169</v>
      </c>
      <c r="G387" s="30">
        <v>45097</v>
      </c>
      <c r="H387" s="81" t="s">
        <v>1592</v>
      </c>
      <c r="I387" s="30">
        <v>45056</v>
      </c>
      <c r="J387" s="16" t="s">
        <v>801</v>
      </c>
      <c r="K387" s="9" t="s">
        <v>1530</v>
      </c>
      <c r="L387" s="9"/>
      <c r="M387" s="152">
        <v>1470000</v>
      </c>
      <c r="N387" s="153">
        <v>279300</v>
      </c>
      <c r="O387" s="152">
        <v>0</v>
      </c>
      <c r="P387" s="154">
        <v>2.5000000000000001E-2</v>
      </c>
      <c r="Q387" s="152">
        <v>36750</v>
      </c>
      <c r="R387" s="9">
        <v>1712550</v>
      </c>
      <c r="S387" s="21" t="s">
        <v>1846</v>
      </c>
      <c r="T387" s="117">
        <v>0</v>
      </c>
      <c r="U387" s="117" t="s">
        <v>347</v>
      </c>
      <c r="V387" s="117">
        <v>2023</v>
      </c>
      <c r="W387" s="117">
        <v>6</v>
      </c>
      <c r="X387" s="117">
        <v>1145000</v>
      </c>
      <c r="Y387" s="117">
        <v>2.5000000000000001E-2</v>
      </c>
      <c r="Z387" s="21" t="b">
        <v>0</v>
      </c>
      <c r="AA387" s="162">
        <f>+$AD$5-Tabla2[[#This Row],[FECHA DE FACTURACIÓN]]</f>
        <v>387</v>
      </c>
      <c r="AB387" s="163" t="str">
        <f>+IF(Tabla2[[#This Row],[dias de credito]]&gt;=Tabla2[[#This Row],[PLAZO Días]],"venc", "No venc")</f>
        <v>venc</v>
      </c>
      <c r="AC387" s="163" t="str">
        <f>+IF(Tabla2[[#This Row],[FECHA DE PAGO]]&gt;0,"pagada","por pagar")</f>
        <v>pagada</v>
      </c>
      <c r="AD387" s="164" t="str">
        <f>+IF(AND(Tabla2[[#This Row],[venc]]="venc",Tabla2[[#This Row],[estado pago]]="por pagar"),"vencida","no")</f>
        <v>no</v>
      </c>
    </row>
    <row r="388" spans="1:30" ht="19.5" hidden="1" customHeight="1" x14ac:dyDescent="0.25">
      <c r="A388" s="8" t="s">
        <v>1850</v>
      </c>
      <c r="B388" s="8" t="s">
        <v>1851</v>
      </c>
      <c r="C388" s="8">
        <v>30</v>
      </c>
      <c r="D388" s="151">
        <v>0</v>
      </c>
      <c r="E388" s="151"/>
      <c r="F388" s="24" t="s">
        <v>159</v>
      </c>
      <c r="G388" s="30">
        <v>45097</v>
      </c>
      <c r="H388" s="81" t="s">
        <v>452</v>
      </c>
      <c r="I388" s="30">
        <v>45061</v>
      </c>
      <c r="J388" s="16" t="s">
        <v>796</v>
      </c>
      <c r="K388" s="9" t="s">
        <v>1530</v>
      </c>
      <c r="L388" s="9"/>
      <c r="M388" s="152">
        <v>4516272</v>
      </c>
      <c r="N388" s="153">
        <v>858091.68</v>
      </c>
      <c r="O388" s="152">
        <v>0</v>
      </c>
      <c r="P388" s="154">
        <v>2.5000000000000001E-2</v>
      </c>
      <c r="Q388" s="152">
        <v>112906.8</v>
      </c>
      <c r="R388" s="9">
        <v>5261456.88</v>
      </c>
      <c r="S388" s="21" t="s">
        <v>1846</v>
      </c>
      <c r="T388" s="117">
        <v>0</v>
      </c>
      <c r="U388" s="117" t="s">
        <v>347</v>
      </c>
      <c r="V388" s="117">
        <v>2023</v>
      </c>
      <c r="W388" s="117">
        <v>6</v>
      </c>
      <c r="X388" s="117">
        <v>1145000</v>
      </c>
      <c r="Y388" s="117">
        <v>2.5000000000000001E-2</v>
      </c>
      <c r="Z388" s="21" t="b">
        <v>0</v>
      </c>
      <c r="AA388" s="162">
        <f>+$AD$5-Tabla2[[#This Row],[FECHA DE FACTURACIÓN]]</f>
        <v>382</v>
      </c>
      <c r="AB388" s="163" t="str">
        <f>+IF(Tabla2[[#This Row],[dias de credito]]&gt;=Tabla2[[#This Row],[PLAZO Días]],"venc", "No venc")</f>
        <v>venc</v>
      </c>
      <c r="AC388" s="163" t="str">
        <f>+IF(Tabla2[[#This Row],[FECHA DE PAGO]]&gt;0,"pagada","por pagar")</f>
        <v>pagada</v>
      </c>
      <c r="AD388" s="164" t="str">
        <f>+IF(AND(Tabla2[[#This Row],[venc]]="venc",Tabla2[[#This Row],[estado pago]]="por pagar"),"vencida","no")</f>
        <v>no</v>
      </c>
    </row>
    <row r="389" spans="1:30" ht="19.5" hidden="1" customHeight="1" x14ac:dyDescent="0.25">
      <c r="A389" s="8" t="s">
        <v>1850</v>
      </c>
      <c r="B389" s="8" t="s">
        <v>1851</v>
      </c>
      <c r="C389" s="8">
        <v>30</v>
      </c>
      <c r="D389" s="151">
        <v>0</v>
      </c>
      <c r="E389" s="151"/>
      <c r="F389" s="24" t="s">
        <v>204</v>
      </c>
      <c r="G389" s="30">
        <v>45097</v>
      </c>
      <c r="H389" s="81" t="s">
        <v>203</v>
      </c>
      <c r="I389" s="30">
        <v>45062</v>
      </c>
      <c r="J389" s="16" t="s">
        <v>795</v>
      </c>
      <c r="K389" s="9" t="s">
        <v>1530</v>
      </c>
      <c r="L389" s="9"/>
      <c r="M389" s="152">
        <v>1750000</v>
      </c>
      <c r="N389" s="153">
        <v>332500</v>
      </c>
      <c r="O389" s="152">
        <v>0</v>
      </c>
      <c r="P389" s="154">
        <v>2.5000000000000001E-2</v>
      </c>
      <c r="Q389" s="152">
        <v>43750</v>
      </c>
      <c r="R389" s="9">
        <v>2038750</v>
      </c>
      <c r="S389" s="21" t="s">
        <v>1846</v>
      </c>
      <c r="T389" s="117">
        <v>0</v>
      </c>
      <c r="U389" s="117" t="s">
        <v>347</v>
      </c>
      <c r="V389" s="117">
        <v>2023</v>
      </c>
      <c r="W389" s="117">
        <v>6</v>
      </c>
      <c r="X389" s="117">
        <v>1145000</v>
      </c>
      <c r="Y389" s="117">
        <v>2.5000000000000001E-2</v>
      </c>
      <c r="Z389" s="21" t="b">
        <v>0</v>
      </c>
      <c r="AA389" s="162">
        <f>+$AD$5-Tabla2[[#This Row],[FECHA DE FACTURACIÓN]]</f>
        <v>381</v>
      </c>
      <c r="AB389" s="163" t="str">
        <f>+IF(Tabla2[[#This Row],[dias de credito]]&gt;=Tabla2[[#This Row],[PLAZO Días]],"venc", "No venc")</f>
        <v>venc</v>
      </c>
      <c r="AC389" s="163" t="str">
        <f>+IF(Tabla2[[#This Row],[FECHA DE PAGO]]&gt;0,"pagada","por pagar")</f>
        <v>pagada</v>
      </c>
      <c r="AD389" s="164" t="str">
        <f>+IF(AND(Tabla2[[#This Row],[venc]]="venc",Tabla2[[#This Row],[estado pago]]="por pagar"),"vencida","no")</f>
        <v>no</v>
      </c>
    </row>
    <row r="390" spans="1:30" ht="19.5" hidden="1" customHeight="1" x14ac:dyDescent="0.25">
      <c r="A390" s="8" t="s">
        <v>1850</v>
      </c>
      <c r="B390" s="8" t="b">
        <v>0</v>
      </c>
      <c r="C390" s="8">
        <v>30</v>
      </c>
      <c r="D390" s="151">
        <v>0</v>
      </c>
      <c r="E390" s="151"/>
      <c r="F390" s="24" t="s">
        <v>268</v>
      </c>
      <c r="G390" s="30">
        <v>45097</v>
      </c>
      <c r="H390" s="81" t="s">
        <v>376</v>
      </c>
      <c r="I390" s="30">
        <v>45078</v>
      </c>
      <c r="J390" s="16" t="s">
        <v>834</v>
      </c>
      <c r="K390" s="9" t="s">
        <v>1530</v>
      </c>
      <c r="L390" s="9"/>
      <c r="M390" s="152">
        <v>318603</v>
      </c>
      <c r="N390" s="153">
        <v>0</v>
      </c>
      <c r="O390" s="152">
        <v>0</v>
      </c>
      <c r="P390" s="154">
        <v>0</v>
      </c>
      <c r="Q390" s="152">
        <v>0</v>
      </c>
      <c r="R390" s="9">
        <v>318603</v>
      </c>
      <c r="S390" s="21" t="s">
        <v>1846</v>
      </c>
      <c r="T390" s="117">
        <v>0</v>
      </c>
      <c r="U390" s="117">
        <v>0</v>
      </c>
      <c r="V390" s="117">
        <v>2023</v>
      </c>
      <c r="W390" s="117">
        <v>6</v>
      </c>
      <c r="X390" s="117">
        <v>0</v>
      </c>
      <c r="Y390" s="117">
        <v>0</v>
      </c>
      <c r="Z390" s="21" t="b">
        <v>1</v>
      </c>
      <c r="AA390" s="162">
        <f>+$AD$5-Tabla2[[#This Row],[FECHA DE FACTURACIÓN]]</f>
        <v>365</v>
      </c>
      <c r="AB390" s="163" t="str">
        <f>+IF(Tabla2[[#This Row],[dias de credito]]&gt;=Tabla2[[#This Row],[PLAZO Días]],"venc", "No venc")</f>
        <v>venc</v>
      </c>
      <c r="AC390" s="163" t="str">
        <f>+IF(Tabla2[[#This Row],[FECHA DE PAGO]]&gt;0,"pagada","por pagar")</f>
        <v>pagada</v>
      </c>
      <c r="AD390" s="164" t="str">
        <f>+IF(AND(Tabla2[[#This Row],[venc]]="venc",Tabla2[[#This Row],[estado pago]]="por pagar"),"vencida","no")</f>
        <v>no</v>
      </c>
    </row>
    <row r="391" spans="1:30" ht="19.5" hidden="1" customHeight="1" x14ac:dyDescent="0.25">
      <c r="A391" s="8" t="s">
        <v>1850</v>
      </c>
      <c r="B391" s="8" t="b">
        <v>0</v>
      </c>
      <c r="C391" s="8">
        <v>30</v>
      </c>
      <c r="D391" s="151">
        <v>0</v>
      </c>
      <c r="E391" s="151"/>
      <c r="F391" s="24" t="s">
        <v>153</v>
      </c>
      <c r="G391" s="30">
        <v>45097</v>
      </c>
      <c r="H391" s="81" t="s">
        <v>394</v>
      </c>
      <c r="I391" s="30">
        <v>45078</v>
      </c>
      <c r="J391" s="16" t="s">
        <v>833</v>
      </c>
      <c r="K391" s="9" t="s">
        <v>1530</v>
      </c>
      <c r="L391" s="9"/>
      <c r="M391" s="152">
        <v>243611</v>
      </c>
      <c r="N391" s="153">
        <v>46286.090000000004</v>
      </c>
      <c r="O391" s="152">
        <v>0</v>
      </c>
      <c r="P391" s="154">
        <v>3.5000000000000003E-2</v>
      </c>
      <c r="Q391" s="152">
        <v>8526.3850000000002</v>
      </c>
      <c r="R391" s="9">
        <v>281370.70500000002</v>
      </c>
      <c r="S391" s="21" t="s">
        <v>1846</v>
      </c>
      <c r="T391" s="117">
        <v>0</v>
      </c>
      <c r="U391" s="117" t="s">
        <v>348</v>
      </c>
      <c r="V391" s="117">
        <v>2023</v>
      </c>
      <c r="W391" s="117">
        <v>6</v>
      </c>
      <c r="X391" s="117">
        <v>0</v>
      </c>
      <c r="Y391" s="117">
        <v>3.5000000000000003E-2</v>
      </c>
      <c r="Z391" s="21" t="b">
        <v>1</v>
      </c>
      <c r="AA391" s="162">
        <f>+$AD$5-Tabla2[[#This Row],[FECHA DE FACTURACIÓN]]</f>
        <v>365</v>
      </c>
      <c r="AB391" s="163" t="str">
        <f>+IF(Tabla2[[#This Row],[dias de credito]]&gt;=Tabla2[[#This Row],[PLAZO Días]],"venc", "No venc")</f>
        <v>venc</v>
      </c>
      <c r="AC391" s="163" t="str">
        <f>+IF(Tabla2[[#This Row],[FECHA DE PAGO]]&gt;0,"pagada","por pagar")</f>
        <v>pagada</v>
      </c>
      <c r="AD391" s="164" t="str">
        <f>+IF(AND(Tabla2[[#This Row],[venc]]="venc",Tabla2[[#This Row],[estado pago]]="por pagar"),"vencida","no")</f>
        <v>no</v>
      </c>
    </row>
    <row r="392" spans="1:30" ht="19.5" hidden="1" customHeight="1" x14ac:dyDescent="0.25">
      <c r="A392" s="8" t="s">
        <v>1850</v>
      </c>
      <c r="B392" s="8" t="b">
        <v>0</v>
      </c>
      <c r="C392" s="8">
        <v>30</v>
      </c>
      <c r="D392" s="151">
        <v>0</v>
      </c>
      <c r="E392" s="151"/>
      <c r="F392" s="24" t="s">
        <v>84</v>
      </c>
      <c r="G392" s="30">
        <v>45097</v>
      </c>
      <c r="H392" s="81" t="s">
        <v>481</v>
      </c>
      <c r="I392" s="30">
        <v>45095</v>
      </c>
      <c r="J392" s="16" t="s">
        <v>866</v>
      </c>
      <c r="K392" s="9" t="s">
        <v>1530</v>
      </c>
      <c r="L392" s="9"/>
      <c r="M392" s="152">
        <v>3718000</v>
      </c>
      <c r="N392" s="153">
        <v>0</v>
      </c>
      <c r="O392" s="152">
        <v>0</v>
      </c>
      <c r="P392" s="154">
        <v>0</v>
      </c>
      <c r="Q392" s="152">
        <v>0</v>
      </c>
      <c r="R392" s="9">
        <v>3718000</v>
      </c>
      <c r="S392" s="21" t="s">
        <v>1846</v>
      </c>
      <c r="T392" s="117">
        <v>0</v>
      </c>
      <c r="U392" s="117">
        <v>0</v>
      </c>
      <c r="V392" s="117">
        <v>2023</v>
      </c>
      <c r="W392" s="117">
        <v>6</v>
      </c>
      <c r="X392" s="117">
        <v>0</v>
      </c>
      <c r="Y392" s="117">
        <v>0</v>
      </c>
      <c r="Z392" s="21" t="b">
        <v>0</v>
      </c>
      <c r="AA392" s="162">
        <f>+$AD$5-Tabla2[[#This Row],[FECHA DE FACTURACIÓN]]</f>
        <v>348</v>
      </c>
      <c r="AB392" s="163" t="str">
        <f>+IF(Tabla2[[#This Row],[dias de credito]]&gt;=Tabla2[[#This Row],[PLAZO Días]],"venc", "No venc")</f>
        <v>venc</v>
      </c>
      <c r="AC392" s="163" t="str">
        <f>+IF(Tabla2[[#This Row],[FECHA DE PAGO]]&gt;0,"pagada","por pagar")</f>
        <v>pagada</v>
      </c>
      <c r="AD392" s="164" t="str">
        <f>+IF(AND(Tabla2[[#This Row],[venc]]="venc",Tabla2[[#This Row],[estado pago]]="por pagar"),"vencida","no")</f>
        <v>no</v>
      </c>
    </row>
    <row r="393" spans="1:30" ht="19.5" hidden="1" customHeight="1" x14ac:dyDescent="0.25">
      <c r="A393" s="8" t="s">
        <v>1850</v>
      </c>
      <c r="B393" s="8" t="s">
        <v>1851</v>
      </c>
      <c r="C393" s="8">
        <v>30</v>
      </c>
      <c r="D393" s="151">
        <v>0</v>
      </c>
      <c r="E393" s="151"/>
      <c r="F393" s="24">
        <v>0</v>
      </c>
      <c r="G393" s="30">
        <v>45098</v>
      </c>
      <c r="H393" s="81" t="s">
        <v>1805</v>
      </c>
      <c r="I393" s="30">
        <v>45047</v>
      </c>
      <c r="J393" s="16">
        <v>378</v>
      </c>
      <c r="K393" s="9" t="s">
        <v>1530</v>
      </c>
      <c r="L393" s="9"/>
      <c r="M393" s="152">
        <v>1512000</v>
      </c>
      <c r="N393" s="153">
        <v>0</v>
      </c>
      <c r="O393" s="152">
        <v>0</v>
      </c>
      <c r="P393" s="154">
        <v>0</v>
      </c>
      <c r="Q393" s="152">
        <v>0</v>
      </c>
      <c r="R393" s="9">
        <v>1512000</v>
      </c>
      <c r="S393" s="21" t="s">
        <v>1846</v>
      </c>
      <c r="T393" s="117">
        <v>0</v>
      </c>
      <c r="U393" s="117">
        <v>0</v>
      </c>
      <c r="V393" s="117">
        <v>2023</v>
      </c>
      <c r="W393" s="117">
        <v>6</v>
      </c>
      <c r="X393" s="117">
        <v>0</v>
      </c>
      <c r="Y393" s="117">
        <v>0</v>
      </c>
      <c r="Z393" s="21" t="b">
        <v>0</v>
      </c>
      <c r="AA393" s="162">
        <f>+$AD$5-Tabla2[[#This Row],[FECHA DE FACTURACIÓN]]</f>
        <v>396</v>
      </c>
      <c r="AB393" s="163" t="str">
        <f>+IF(Tabla2[[#This Row],[dias de credito]]&gt;=Tabla2[[#This Row],[PLAZO Días]],"venc", "No venc")</f>
        <v>venc</v>
      </c>
      <c r="AC393" s="163" t="str">
        <f>+IF(Tabla2[[#This Row],[FECHA DE PAGO]]&gt;0,"pagada","por pagar")</f>
        <v>pagada</v>
      </c>
      <c r="AD393" s="164" t="str">
        <f>+IF(AND(Tabla2[[#This Row],[venc]]="venc",Tabla2[[#This Row],[estado pago]]="por pagar"),"vencida","no")</f>
        <v>no</v>
      </c>
    </row>
    <row r="394" spans="1:30" ht="19.5" hidden="1" customHeight="1" x14ac:dyDescent="0.25">
      <c r="A394" s="8" t="s">
        <v>1850</v>
      </c>
      <c r="B394" s="8" t="s">
        <v>1851</v>
      </c>
      <c r="C394" s="8">
        <v>30</v>
      </c>
      <c r="D394" s="151">
        <v>0</v>
      </c>
      <c r="E394" s="151"/>
      <c r="F394" s="24" t="s">
        <v>84</v>
      </c>
      <c r="G394" s="30">
        <v>45098</v>
      </c>
      <c r="H394" s="81" t="s">
        <v>1811</v>
      </c>
      <c r="I394" s="30">
        <v>45051</v>
      </c>
      <c r="J394" s="16" t="s">
        <v>780</v>
      </c>
      <c r="K394" s="9" t="s">
        <v>1530</v>
      </c>
      <c r="L394" s="9"/>
      <c r="M394" s="152">
        <v>642250</v>
      </c>
      <c r="N394" s="153">
        <v>0</v>
      </c>
      <c r="O394" s="152">
        <v>0</v>
      </c>
      <c r="P394" s="154">
        <v>0</v>
      </c>
      <c r="Q394" s="152">
        <v>0</v>
      </c>
      <c r="R394" s="9">
        <v>642250</v>
      </c>
      <c r="S394" s="21" t="s">
        <v>1846</v>
      </c>
      <c r="T394" s="117">
        <v>0</v>
      </c>
      <c r="U394" s="117">
        <v>0</v>
      </c>
      <c r="V394" s="117">
        <v>2023</v>
      </c>
      <c r="W394" s="117">
        <v>6</v>
      </c>
      <c r="X394" s="117">
        <v>0</v>
      </c>
      <c r="Y394" s="117">
        <v>0</v>
      </c>
      <c r="Z394" s="21" t="b">
        <v>0</v>
      </c>
      <c r="AA394" s="162">
        <f>+$AD$5-Tabla2[[#This Row],[FECHA DE FACTURACIÓN]]</f>
        <v>392</v>
      </c>
      <c r="AB394" s="163" t="str">
        <f>+IF(Tabla2[[#This Row],[dias de credito]]&gt;=Tabla2[[#This Row],[PLAZO Días]],"venc", "No venc")</f>
        <v>venc</v>
      </c>
      <c r="AC394" s="163" t="str">
        <f>+IF(Tabla2[[#This Row],[FECHA DE PAGO]]&gt;0,"pagada","por pagar")</f>
        <v>pagada</v>
      </c>
      <c r="AD394" s="164" t="str">
        <f>+IF(AND(Tabla2[[#This Row],[venc]]="venc",Tabla2[[#This Row],[estado pago]]="por pagar"),"vencida","no")</f>
        <v>no</v>
      </c>
    </row>
    <row r="395" spans="1:30" ht="19.5" hidden="1" customHeight="1" x14ac:dyDescent="0.25">
      <c r="A395" s="8" t="s">
        <v>1850</v>
      </c>
      <c r="B395" s="8" t="b">
        <v>0</v>
      </c>
      <c r="C395" s="8">
        <v>30</v>
      </c>
      <c r="D395" s="151">
        <v>0</v>
      </c>
      <c r="E395" s="151"/>
      <c r="F395" s="24">
        <v>0</v>
      </c>
      <c r="G395" s="30">
        <v>45098</v>
      </c>
      <c r="H395" s="81" t="s">
        <v>492</v>
      </c>
      <c r="I395" s="30">
        <v>45077</v>
      </c>
      <c r="J395" s="16">
        <v>437</v>
      </c>
      <c r="K395" s="9" t="s">
        <v>1530</v>
      </c>
      <c r="L395" s="9"/>
      <c r="M395" s="152">
        <v>621600</v>
      </c>
      <c r="N395" s="153">
        <v>0</v>
      </c>
      <c r="O395" s="152">
        <v>0</v>
      </c>
      <c r="P395" s="154">
        <v>0</v>
      </c>
      <c r="Q395" s="152">
        <v>0</v>
      </c>
      <c r="R395" s="9">
        <v>621600</v>
      </c>
      <c r="S395" s="21" t="s">
        <v>1846</v>
      </c>
      <c r="T395" s="117">
        <v>0</v>
      </c>
      <c r="U395" s="117">
        <v>0</v>
      </c>
      <c r="V395" s="117">
        <v>2023</v>
      </c>
      <c r="W395" s="117">
        <v>6</v>
      </c>
      <c r="X395" s="117">
        <v>0</v>
      </c>
      <c r="Y395" s="117">
        <v>0</v>
      </c>
      <c r="Z395" s="21" t="b">
        <v>0</v>
      </c>
      <c r="AA395" s="162">
        <f>+$AD$5-Tabla2[[#This Row],[FECHA DE FACTURACIÓN]]</f>
        <v>366</v>
      </c>
      <c r="AB395" s="163" t="str">
        <f>+IF(Tabla2[[#This Row],[dias de credito]]&gt;=Tabla2[[#This Row],[PLAZO Días]],"venc", "No venc")</f>
        <v>venc</v>
      </c>
      <c r="AC395" s="163" t="str">
        <f>+IF(Tabla2[[#This Row],[FECHA DE PAGO]]&gt;0,"pagada","por pagar")</f>
        <v>pagada</v>
      </c>
      <c r="AD395" s="164" t="str">
        <f>+IF(AND(Tabla2[[#This Row],[venc]]="venc",Tabla2[[#This Row],[estado pago]]="por pagar"),"vencida","no")</f>
        <v>no</v>
      </c>
    </row>
    <row r="396" spans="1:30" ht="19.5" hidden="1" customHeight="1" x14ac:dyDescent="0.25">
      <c r="A396" s="8" t="s">
        <v>1850</v>
      </c>
      <c r="B396" s="8" t="b">
        <v>0</v>
      </c>
      <c r="C396" s="8">
        <v>30</v>
      </c>
      <c r="D396" s="151">
        <v>4198834.75</v>
      </c>
      <c r="E396" s="151"/>
      <c r="F396" s="24" t="s">
        <v>434</v>
      </c>
      <c r="G396" s="30">
        <v>45098</v>
      </c>
      <c r="H396" s="81" t="s">
        <v>422</v>
      </c>
      <c r="I396" s="30">
        <v>45077</v>
      </c>
      <c r="J396" s="16">
        <v>2718</v>
      </c>
      <c r="K396" s="9" t="s">
        <v>1530</v>
      </c>
      <c r="L396" s="9"/>
      <c r="M396" s="152">
        <v>612000</v>
      </c>
      <c r="N396" s="153">
        <v>116280</v>
      </c>
      <c r="O396" s="152">
        <v>0</v>
      </c>
      <c r="P396" s="154">
        <v>0</v>
      </c>
      <c r="Q396" s="152">
        <v>0</v>
      </c>
      <c r="R396" s="9">
        <v>728280</v>
      </c>
      <c r="S396" s="21" t="s">
        <v>1846</v>
      </c>
      <c r="T396" s="117">
        <v>0</v>
      </c>
      <c r="U396" s="117" t="s">
        <v>347</v>
      </c>
      <c r="V396" s="117">
        <v>2023</v>
      </c>
      <c r="W396" s="117">
        <v>6</v>
      </c>
      <c r="X396" s="117">
        <v>1145000</v>
      </c>
      <c r="Y396" s="117">
        <v>2.5000000000000001E-2</v>
      </c>
      <c r="Z396" s="21" t="b">
        <v>0</v>
      </c>
      <c r="AA396" s="162">
        <f>+$AD$5-Tabla2[[#This Row],[FECHA DE FACTURACIÓN]]</f>
        <v>366</v>
      </c>
      <c r="AB396" s="163" t="str">
        <f>+IF(Tabla2[[#This Row],[dias de credito]]&gt;=Tabla2[[#This Row],[PLAZO Días]],"venc", "No venc")</f>
        <v>venc</v>
      </c>
      <c r="AC396" s="163" t="str">
        <f>+IF(Tabla2[[#This Row],[FECHA DE PAGO]]&gt;0,"pagada","por pagar")</f>
        <v>pagada</v>
      </c>
      <c r="AD396" s="164" t="str">
        <f>+IF(AND(Tabla2[[#This Row],[venc]]="venc",Tabla2[[#This Row],[estado pago]]="por pagar"),"vencida","no")</f>
        <v>no</v>
      </c>
    </row>
    <row r="397" spans="1:30" ht="19.5" hidden="1" customHeight="1" x14ac:dyDescent="0.25">
      <c r="A397" s="8" t="s">
        <v>1852</v>
      </c>
      <c r="B397" s="8" t="b">
        <v>0</v>
      </c>
      <c r="C397" s="8">
        <v>30</v>
      </c>
      <c r="D397" s="151">
        <v>0</v>
      </c>
      <c r="E397" s="151"/>
      <c r="F397" s="24">
        <v>0</v>
      </c>
      <c r="G397" s="30">
        <v>45098</v>
      </c>
      <c r="H397" s="81" t="s">
        <v>475</v>
      </c>
      <c r="I397" s="30">
        <v>45098</v>
      </c>
      <c r="J397" s="16" t="s">
        <v>870</v>
      </c>
      <c r="K397" s="9" t="s">
        <v>1530</v>
      </c>
      <c r="L397" s="9"/>
      <c r="M397" s="152">
        <v>452795</v>
      </c>
      <c r="N397" s="153">
        <v>0</v>
      </c>
      <c r="O397" s="152">
        <v>0</v>
      </c>
      <c r="P397" s="154">
        <v>0</v>
      </c>
      <c r="Q397" s="152">
        <v>0</v>
      </c>
      <c r="R397" s="9">
        <v>452795</v>
      </c>
      <c r="S397" s="21" t="s">
        <v>1846</v>
      </c>
      <c r="T397" s="117">
        <v>0</v>
      </c>
      <c r="U397" s="117">
        <v>0</v>
      </c>
      <c r="V397" s="117">
        <v>2023</v>
      </c>
      <c r="W397" s="117">
        <v>6</v>
      </c>
      <c r="X397" s="117">
        <v>0</v>
      </c>
      <c r="Y397" s="117">
        <v>0</v>
      </c>
      <c r="Z397" s="21" t="b">
        <v>0</v>
      </c>
      <c r="AA397" s="162">
        <f>+$AD$5-Tabla2[[#This Row],[FECHA DE FACTURACIÓN]]</f>
        <v>345</v>
      </c>
      <c r="AB397" s="163" t="str">
        <f>+IF(Tabla2[[#This Row],[dias de credito]]&gt;=Tabla2[[#This Row],[PLAZO Días]],"venc", "No venc")</f>
        <v>venc</v>
      </c>
      <c r="AC397" s="163" t="str">
        <f>+IF(Tabla2[[#This Row],[FECHA DE PAGO]]&gt;0,"pagada","por pagar")</f>
        <v>pagada</v>
      </c>
      <c r="AD397" s="164" t="str">
        <f>+IF(AND(Tabla2[[#This Row],[venc]]="venc",Tabla2[[#This Row],[estado pago]]="por pagar"),"vencida","no")</f>
        <v>no</v>
      </c>
    </row>
    <row r="398" spans="1:30" ht="19.5" hidden="1" customHeight="1" x14ac:dyDescent="0.25">
      <c r="A398" s="8" t="s">
        <v>1852</v>
      </c>
      <c r="B398" s="8" t="b">
        <v>0</v>
      </c>
      <c r="C398" s="8">
        <v>30</v>
      </c>
      <c r="D398" s="151">
        <v>0</v>
      </c>
      <c r="E398" s="151"/>
      <c r="F398" s="24" t="s">
        <v>1497</v>
      </c>
      <c r="G398" s="30">
        <v>45098</v>
      </c>
      <c r="H398" s="81" t="s">
        <v>1865</v>
      </c>
      <c r="I398" s="30">
        <v>45098</v>
      </c>
      <c r="J398" s="16" t="s">
        <v>838</v>
      </c>
      <c r="K398" s="9" t="s">
        <v>1530</v>
      </c>
      <c r="L398" s="9"/>
      <c r="M398" s="152">
        <v>1632000</v>
      </c>
      <c r="N398" s="153">
        <v>0</v>
      </c>
      <c r="O398" s="152">
        <v>0</v>
      </c>
      <c r="P398" s="154">
        <v>0</v>
      </c>
      <c r="Q398" s="152">
        <v>0</v>
      </c>
      <c r="R398" s="9">
        <v>1632000</v>
      </c>
      <c r="S398" s="21" t="s">
        <v>1846</v>
      </c>
      <c r="T398" s="117">
        <v>0</v>
      </c>
      <c r="U398" s="117">
        <v>0</v>
      </c>
      <c r="V398" s="117">
        <v>2023</v>
      </c>
      <c r="W398" s="117">
        <v>6</v>
      </c>
      <c r="X398" s="117">
        <v>0</v>
      </c>
      <c r="Y398" s="117">
        <v>0</v>
      </c>
      <c r="Z398" s="21" t="b">
        <v>0</v>
      </c>
      <c r="AA398" s="162">
        <f>+$AD$5-Tabla2[[#This Row],[FECHA DE FACTURACIÓN]]</f>
        <v>345</v>
      </c>
      <c r="AB398" s="163" t="str">
        <f>+IF(Tabla2[[#This Row],[dias de credito]]&gt;=Tabla2[[#This Row],[PLAZO Días]],"venc", "No venc")</f>
        <v>venc</v>
      </c>
      <c r="AC398" s="163" t="str">
        <f>+IF(Tabla2[[#This Row],[FECHA DE PAGO]]&gt;0,"pagada","por pagar")</f>
        <v>pagada</v>
      </c>
      <c r="AD398" s="164" t="str">
        <f>+IF(AND(Tabla2[[#This Row],[venc]]="venc",Tabla2[[#This Row],[estado pago]]="por pagar"),"vencida","no")</f>
        <v>no</v>
      </c>
    </row>
    <row r="399" spans="1:30" ht="19.5" hidden="1" customHeight="1" x14ac:dyDescent="0.25">
      <c r="A399" s="8" t="s">
        <v>1850</v>
      </c>
      <c r="B399" s="8" t="s">
        <v>1851</v>
      </c>
      <c r="C399" s="8">
        <v>90</v>
      </c>
      <c r="D399" s="151">
        <v>17710735.315650001</v>
      </c>
      <c r="E399" s="151"/>
      <c r="F399" s="24" t="s">
        <v>141</v>
      </c>
      <c r="G399" s="30">
        <v>45099</v>
      </c>
      <c r="H399" s="81" t="s">
        <v>12</v>
      </c>
      <c r="I399" s="30">
        <v>45008</v>
      </c>
      <c r="J399" s="16" t="s">
        <v>703</v>
      </c>
      <c r="K399" s="9" t="s">
        <v>1530</v>
      </c>
      <c r="L399" s="9"/>
      <c r="M399" s="152">
        <v>537815</v>
      </c>
      <c r="N399" s="153">
        <v>102184.85</v>
      </c>
      <c r="O399" s="152">
        <v>0</v>
      </c>
      <c r="P399" s="154">
        <v>0</v>
      </c>
      <c r="Q399" s="152">
        <v>0</v>
      </c>
      <c r="R399" s="9">
        <v>639999.85</v>
      </c>
      <c r="S399" s="21" t="s">
        <v>1846</v>
      </c>
      <c r="T399" s="117">
        <v>0</v>
      </c>
      <c r="U399" s="117" t="s">
        <v>347</v>
      </c>
      <c r="V399" s="117">
        <v>2023</v>
      </c>
      <c r="W399" s="117">
        <v>6</v>
      </c>
      <c r="X399" s="117">
        <v>1145000</v>
      </c>
      <c r="Y399" s="117">
        <v>2.5000000000000001E-2</v>
      </c>
      <c r="Z399" s="21" t="b">
        <v>0</v>
      </c>
      <c r="AA399" s="162">
        <f>+$AD$5-Tabla2[[#This Row],[FECHA DE FACTURACIÓN]]</f>
        <v>435</v>
      </c>
      <c r="AB399" s="163" t="str">
        <f>+IF(Tabla2[[#This Row],[dias de credito]]&gt;=Tabla2[[#This Row],[PLAZO Días]],"venc", "No venc")</f>
        <v>venc</v>
      </c>
      <c r="AC399" s="163" t="str">
        <f>+IF(Tabla2[[#This Row],[FECHA DE PAGO]]&gt;0,"pagada","por pagar")</f>
        <v>pagada</v>
      </c>
      <c r="AD399" s="164" t="str">
        <f>+IF(AND(Tabla2[[#This Row],[venc]]="venc",Tabla2[[#This Row],[estado pago]]="por pagar"),"vencida","no")</f>
        <v>no</v>
      </c>
    </row>
    <row r="400" spans="1:30" ht="19.5" hidden="1" customHeight="1" x14ac:dyDescent="0.25">
      <c r="A400" s="8" t="s">
        <v>1850</v>
      </c>
      <c r="B400" s="8" t="b">
        <v>0</v>
      </c>
      <c r="C400" s="8">
        <v>90</v>
      </c>
      <c r="D400" s="151">
        <v>17710735.315650001</v>
      </c>
      <c r="E400" s="151"/>
      <c r="F400" s="24" t="s">
        <v>141</v>
      </c>
      <c r="G400" s="30">
        <v>45099</v>
      </c>
      <c r="H400" s="81" t="s">
        <v>12</v>
      </c>
      <c r="I400" s="30">
        <v>45030</v>
      </c>
      <c r="J400" s="16" t="s">
        <v>709</v>
      </c>
      <c r="K400" s="9" t="s">
        <v>1530</v>
      </c>
      <c r="L400" s="9"/>
      <c r="M400" s="152">
        <v>10529411</v>
      </c>
      <c r="N400" s="153">
        <v>2000588.09</v>
      </c>
      <c r="O400" s="152">
        <v>0</v>
      </c>
      <c r="P400" s="154">
        <v>2.5000000000000001E-2</v>
      </c>
      <c r="Q400" s="152">
        <v>263235.27500000002</v>
      </c>
      <c r="R400" s="9">
        <v>12266763.814999999</v>
      </c>
      <c r="S400" s="21" t="s">
        <v>1846</v>
      </c>
      <c r="T400" s="117">
        <v>0</v>
      </c>
      <c r="U400" s="117" t="s">
        <v>347</v>
      </c>
      <c r="V400" s="117">
        <v>2023</v>
      </c>
      <c r="W400" s="117">
        <v>6</v>
      </c>
      <c r="X400" s="117">
        <v>1145000</v>
      </c>
      <c r="Y400" s="117">
        <v>2.5000000000000001E-2</v>
      </c>
      <c r="Z400" s="21" t="b">
        <v>0</v>
      </c>
      <c r="AA400" s="162">
        <f>+$AD$5-Tabla2[[#This Row],[FECHA DE FACTURACIÓN]]</f>
        <v>413</v>
      </c>
      <c r="AB400" s="163" t="str">
        <f>+IF(Tabla2[[#This Row],[dias de credito]]&gt;=Tabla2[[#This Row],[PLAZO Días]],"venc", "No venc")</f>
        <v>venc</v>
      </c>
      <c r="AC400" s="163" t="str">
        <f>+IF(Tabla2[[#This Row],[FECHA DE PAGO]]&gt;0,"pagada","por pagar")</f>
        <v>pagada</v>
      </c>
      <c r="AD400" s="164" t="str">
        <f>+IF(AND(Tabla2[[#This Row],[venc]]="venc",Tabla2[[#This Row],[estado pago]]="por pagar"),"vencida","no")</f>
        <v>no</v>
      </c>
    </row>
    <row r="401" spans="1:30" ht="19.5" hidden="1" customHeight="1" x14ac:dyDescent="0.25">
      <c r="A401" s="8" t="s">
        <v>1850</v>
      </c>
      <c r="B401" s="8" t="s">
        <v>1851</v>
      </c>
      <c r="C401" s="8">
        <v>30</v>
      </c>
      <c r="D401" s="151">
        <v>2028306.6264000002</v>
      </c>
      <c r="E401" s="151"/>
      <c r="F401" s="24" t="s">
        <v>1475</v>
      </c>
      <c r="G401" s="30">
        <v>45099</v>
      </c>
      <c r="H401" s="81" t="s">
        <v>218</v>
      </c>
      <c r="I401" s="30">
        <v>45055</v>
      </c>
      <c r="J401" s="16" t="s">
        <v>785</v>
      </c>
      <c r="K401" s="9" t="s">
        <v>1530</v>
      </c>
      <c r="L401" s="9"/>
      <c r="M401" s="152">
        <v>709916</v>
      </c>
      <c r="N401" s="153">
        <v>134884.04</v>
      </c>
      <c r="O401" s="152">
        <v>0</v>
      </c>
      <c r="P401" s="154">
        <v>0</v>
      </c>
      <c r="Q401" s="152">
        <v>0</v>
      </c>
      <c r="R401" s="9">
        <v>844800.04</v>
      </c>
      <c r="S401" s="21" t="s">
        <v>1846</v>
      </c>
      <c r="T401" s="117">
        <v>0</v>
      </c>
      <c r="U401" s="117" t="s">
        <v>347</v>
      </c>
      <c r="V401" s="117">
        <v>2023</v>
      </c>
      <c r="W401" s="117">
        <v>6</v>
      </c>
      <c r="X401" s="117">
        <v>1145000</v>
      </c>
      <c r="Y401" s="117">
        <v>2.5000000000000001E-2</v>
      </c>
      <c r="Z401" s="21" t="b">
        <v>0</v>
      </c>
      <c r="AA401" s="162">
        <f>+$AD$5-Tabla2[[#This Row],[FECHA DE FACTURACIÓN]]</f>
        <v>388</v>
      </c>
      <c r="AB401" s="163" t="str">
        <f>+IF(Tabla2[[#This Row],[dias de credito]]&gt;=Tabla2[[#This Row],[PLAZO Días]],"venc", "No venc")</f>
        <v>venc</v>
      </c>
      <c r="AC401" s="163" t="str">
        <f>+IF(Tabla2[[#This Row],[FECHA DE PAGO]]&gt;0,"pagada","por pagar")</f>
        <v>pagada</v>
      </c>
      <c r="AD401" s="164" t="str">
        <f>+IF(AND(Tabla2[[#This Row],[venc]]="venc",Tabla2[[#This Row],[estado pago]]="por pagar"),"vencida","no")</f>
        <v>no</v>
      </c>
    </row>
    <row r="402" spans="1:30" ht="19.5" hidden="1" customHeight="1" x14ac:dyDescent="0.25">
      <c r="A402" s="8" t="s">
        <v>1850</v>
      </c>
      <c r="B402" s="8" t="s">
        <v>1851</v>
      </c>
      <c r="C402" s="8">
        <v>30</v>
      </c>
      <c r="D402" s="151">
        <v>5581100</v>
      </c>
      <c r="E402" s="151"/>
      <c r="F402" s="24" t="s">
        <v>150</v>
      </c>
      <c r="G402" s="30">
        <v>45099</v>
      </c>
      <c r="H402" s="81" t="s">
        <v>446</v>
      </c>
      <c r="I402" s="30">
        <v>45058</v>
      </c>
      <c r="J402" s="16" t="s">
        <v>789</v>
      </c>
      <c r="K402" s="9" t="s">
        <v>1530</v>
      </c>
      <c r="L402" s="9"/>
      <c r="M402" s="152">
        <v>2352000</v>
      </c>
      <c r="N402" s="153">
        <v>446880</v>
      </c>
      <c r="O402" s="152">
        <v>0</v>
      </c>
      <c r="P402" s="154">
        <v>0</v>
      </c>
      <c r="Q402" s="152">
        <v>0</v>
      </c>
      <c r="R402" s="9">
        <v>2798880</v>
      </c>
      <c r="S402" s="21" t="s">
        <v>1846</v>
      </c>
      <c r="T402" s="117">
        <v>0</v>
      </c>
      <c r="U402" s="117">
        <v>0</v>
      </c>
      <c r="V402" s="117">
        <v>2023</v>
      </c>
      <c r="W402" s="117">
        <v>6</v>
      </c>
      <c r="X402" s="117">
        <v>0</v>
      </c>
      <c r="Y402" s="117">
        <v>0</v>
      </c>
      <c r="Z402" s="21" t="b">
        <v>0</v>
      </c>
      <c r="AA402" s="162">
        <f>+$AD$5-Tabla2[[#This Row],[FECHA DE FACTURACIÓN]]</f>
        <v>385</v>
      </c>
      <c r="AB402" s="163" t="str">
        <f>+IF(Tabla2[[#This Row],[dias de credito]]&gt;=Tabla2[[#This Row],[PLAZO Días]],"venc", "No venc")</f>
        <v>venc</v>
      </c>
      <c r="AC402" s="163" t="str">
        <f>+IF(Tabla2[[#This Row],[FECHA DE PAGO]]&gt;0,"pagada","por pagar")</f>
        <v>pagada</v>
      </c>
      <c r="AD402" s="164" t="str">
        <f>+IF(AND(Tabla2[[#This Row],[venc]]="venc",Tabla2[[#This Row],[estado pago]]="por pagar"),"vencida","no")</f>
        <v>no</v>
      </c>
    </row>
    <row r="403" spans="1:30" ht="19.5" hidden="1" customHeight="1" x14ac:dyDescent="0.25">
      <c r="A403" s="8" t="s">
        <v>1850</v>
      </c>
      <c r="B403" s="8" t="b">
        <v>0</v>
      </c>
      <c r="C403" s="8">
        <v>30</v>
      </c>
      <c r="D403" s="151">
        <v>0</v>
      </c>
      <c r="E403" s="151"/>
      <c r="F403" s="24" t="s">
        <v>154</v>
      </c>
      <c r="G403" s="30">
        <v>45099</v>
      </c>
      <c r="H403" s="81" t="s">
        <v>385</v>
      </c>
      <c r="I403" s="30">
        <v>45097</v>
      </c>
      <c r="J403" s="16">
        <v>254</v>
      </c>
      <c r="K403" s="9" t="s">
        <v>1530</v>
      </c>
      <c r="L403" s="9"/>
      <c r="M403" s="152">
        <v>540000</v>
      </c>
      <c r="N403" s="153">
        <v>0</v>
      </c>
      <c r="O403" s="152">
        <v>0</v>
      </c>
      <c r="P403" s="154">
        <v>3.5000000000000003E-2</v>
      </c>
      <c r="Q403" s="152">
        <v>18900</v>
      </c>
      <c r="R403" s="9">
        <v>521100</v>
      </c>
      <c r="S403" s="21" t="s">
        <v>1846</v>
      </c>
      <c r="T403" s="117">
        <v>0</v>
      </c>
      <c r="U403" s="117" t="s">
        <v>348</v>
      </c>
      <c r="V403" s="117">
        <v>2023</v>
      </c>
      <c r="W403" s="117">
        <v>6</v>
      </c>
      <c r="X403" s="117">
        <v>0</v>
      </c>
      <c r="Y403" s="117">
        <v>3.5000000000000003E-2</v>
      </c>
      <c r="Z403" s="21" t="b">
        <v>1</v>
      </c>
      <c r="AA403" s="162">
        <f>+$AD$5-Tabla2[[#This Row],[FECHA DE FACTURACIÓN]]</f>
        <v>346</v>
      </c>
      <c r="AB403" s="163" t="str">
        <f>+IF(Tabla2[[#This Row],[dias de credito]]&gt;=Tabla2[[#This Row],[PLAZO Días]],"venc", "No venc")</f>
        <v>venc</v>
      </c>
      <c r="AC403" s="163" t="str">
        <f>+IF(Tabla2[[#This Row],[FECHA DE PAGO]]&gt;0,"pagada","por pagar")</f>
        <v>pagada</v>
      </c>
      <c r="AD403" s="164" t="str">
        <f>+IF(AND(Tabla2[[#This Row],[venc]]="venc",Tabla2[[#This Row],[estado pago]]="por pagar"),"vencida","no")</f>
        <v>no</v>
      </c>
    </row>
    <row r="404" spans="1:30" ht="19.5" hidden="1" customHeight="1" x14ac:dyDescent="0.25">
      <c r="A404" s="8" t="s">
        <v>1850</v>
      </c>
      <c r="B404" s="8" t="s">
        <v>1851</v>
      </c>
      <c r="C404" s="8">
        <v>30</v>
      </c>
      <c r="D404" s="151">
        <v>0</v>
      </c>
      <c r="E404" s="151"/>
      <c r="F404" s="24">
        <v>0</v>
      </c>
      <c r="G404" s="30">
        <v>45100</v>
      </c>
      <c r="H404" s="81" t="s">
        <v>550</v>
      </c>
      <c r="I404" s="30">
        <v>44965</v>
      </c>
      <c r="J404" s="16" t="s">
        <v>842</v>
      </c>
      <c r="K404" s="9" t="s">
        <v>1530</v>
      </c>
      <c r="L404" s="9"/>
      <c r="M404" s="152">
        <v>5700</v>
      </c>
      <c r="N404" s="153">
        <v>1083</v>
      </c>
      <c r="O404" s="152">
        <v>0</v>
      </c>
      <c r="P404" s="154">
        <v>0</v>
      </c>
      <c r="Q404" s="152">
        <v>0</v>
      </c>
      <c r="R404" s="9">
        <v>6783</v>
      </c>
      <c r="S404" s="21" t="s">
        <v>1846</v>
      </c>
      <c r="T404" s="117">
        <v>0</v>
      </c>
      <c r="U404" s="117" t="s">
        <v>347</v>
      </c>
      <c r="V404" s="117">
        <v>2023</v>
      </c>
      <c r="W404" s="117">
        <v>6</v>
      </c>
      <c r="X404" s="117">
        <v>1145000</v>
      </c>
      <c r="Y404" s="117">
        <v>2.5000000000000001E-2</v>
      </c>
      <c r="Z404" s="21" t="b">
        <v>1</v>
      </c>
      <c r="AA404" s="162">
        <f>+$AD$5-Tabla2[[#This Row],[FECHA DE FACTURACIÓN]]</f>
        <v>478</v>
      </c>
      <c r="AB404" s="163" t="str">
        <f>+IF(Tabla2[[#This Row],[dias de credito]]&gt;=Tabla2[[#This Row],[PLAZO Días]],"venc", "No venc")</f>
        <v>venc</v>
      </c>
      <c r="AC404" s="163" t="str">
        <f>+IF(Tabla2[[#This Row],[FECHA DE PAGO]]&gt;0,"pagada","por pagar")</f>
        <v>pagada</v>
      </c>
      <c r="AD404" s="164" t="str">
        <f>+IF(AND(Tabla2[[#This Row],[venc]]="venc",Tabla2[[#This Row],[estado pago]]="por pagar"),"vencida","no")</f>
        <v>no</v>
      </c>
    </row>
    <row r="405" spans="1:30" ht="19.5" hidden="1" customHeight="1" x14ac:dyDescent="0.25">
      <c r="A405" s="8" t="s">
        <v>1850</v>
      </c>
      <c r="B405" s="8" t="b">
        <v>0</v>
      </c>
      <c r="C405" s="8">
        <v>30</v>
      </c>
      <c r="D405" s="151">
        <v>0</v>
      </c>
      <c r="E405" s="151"/>
      <c r="F405" s="24" t="s">
        <v>414</v>
      </c>
      <c r="G405" s="30">
        <v>45100</v>
      </c>
      <c r="H405" s="81" t="s">
        <v>382</v>
      </c>
      <c r="I405" s="30">
        <v>45078</v>
      </c>
      <c r="J405" s="16" t="s">
        <v>843</v>
      </c>
      <c r="K405" s="9" t="s">
        <v>1530</v>
      </c>
      <c r="L405" s="9"/>
      <c r="M405" s="152">
        <v>934363</v>
      </c>
      <c r="N405" s="153">
        <v>0</v>
      </c>
      <c r="O405" s="152">
        <v>0</v>
      </c>
      <c r="P405" s="154">
        <v>0</v>
      </c>
      <c r="Q405" s="152">
        <v>0</v>
      </c>
      <c r="R405" s="9">
        <v>934363</v>
      </c>
      <c r="S405" s="21" t="s">
        <v>1846</v>
      </c>
      <c r="T405" s="117">
        <v>0</v>
      </c>
      <c r="U405" s="117">
        <v>0</v>
      </c>
      <c r="V405" s="117">
        <v>2023</v>
      </c>
      <c r="W405" s="117">
        <v>6</v>
      </c>
      <c r="X405" s="117">
        <v>0</v>
      </c>
      <c r="Y405" s="117">
        <v>0</v>
      </c>
      <c r="Z405" s="21" t="b">
        <v>1</v>
      </c>
      <c r="AA405" s="162">
        <f>+$AD$5-Tabla2[[#This Row],[FECHA DE FACTURACIÓN]]</f>
        <v>365</v>
      </c>
      <c r="AB405" s="163" t="str">
        <f>+IF(Tabla2[[#This Row],[dias de credito]]&gt;=Tabla2[[#This Row],[PLAZO Días]],"venc", "No venc")</f>
        <v>venc</v>
      </c>
      <c r="AC405" s="163" t="str">
        <f>+IF(Tabla2[[#This Row],[FECHA DE PAGO]]&gt;0,"pagada","por pagar")</f>
        <v>pagada</v>
      </c>
      <c r="AD405" s="164" t="str">
        <f>+IF(AND(Tabla2[[#This Row],[venc]]="venc",Tabla2[[#This Row],[estado pago]]="por pagar"),"vencida","no")</f>
        <v>no</v>
      </c>
    </row>
    <row r="406" spans="1:30" ht="19.5" hidden="1" customHeight="1" x14ac:dyDescent="0.25">
      <c r="A406" s="8" t="s">
        <v>1850</v>
      </c>
      <c r="B406" s="8" t="b">
        <v>0</v>
      </c>
      <c r="C406" s="8">
        <v>30</v>
      </c>
      <c r="D406" s="151">
        <v>0</v>
      </c>
      <c r="E406" s="151"/>
      <c r="F406" s="24" t="s">
        <v>414</v>
      </c>
      <c r="G406" s="30">
        <v>45100</v>
      </c>
      <c r="H406" s="81" t="s">
        <v>382</v>
      </c>
      <c r="I406" s="30">
        <v>45078</v>
      </c>
      <c r="J406" s="16" t="s">
        <v>844</v>
      </c>
      <c r="K406" s="9" t="s">
        <v>1530</v>
      </c>
      <c r="L406" s="9"/>
      <c r="M406" s="152">
        <v>914023</v>
      </c>
      <c r="N406" s="153">
        <v>0</v>
      </c>
      <c r="O406" s="152">
        <v>0</v>
      </c>
      <c r="P406" s="154">
        <v>0</v>
      </c>
      <c r="Q406" s="152">
        <v>0</v>
      </c>
      <c r="R406" s="9">
        <v>914023</v>
      </c>
      <c r="S406" s="21" t="s">
        <v>1846</v>
      </c>
      <c r="T406" s="117">
        <v>0</v>
      </c>
      <c r="U406" s="117">
        <v>0</v>
      </c>
      <c r="V406" s="117">
        <v>2023</v>
      </c>
      <c r="W406" s="117">
        <v>6</v>
      </c>
      <c r="X406" s="117">
        <v>0</v>
      </c>
      <c r="Y406" s="117">
        <v>0</v>
      </c>
      <c r="Z406" s="21" t="b">
        <v>1</v>
      </c>
      <c r="AA406" s="162">
        <f>+$AD$5-Tabla2[[#This Row],[FECHA DE FACTURACIÓN]]</f>
        <v>365</v>
      </c>
      <c r="AB406" s="163" t="str">
        <f>+IF(Tabla2[[#This Row],[dias de credito]]&gt;=Tabla2[[#This Row],[PLAZO Días]],"venc", "No venc")</f>
        <v>venc</v>
      </c>
      <c r="AC406" s="163" t="str">
        <f>+IF(Tabla2[[#This Row],[FECHA DE PAGO]]&gt;0,"pagada","por pagar")</f>
        <v>pagada</v>
      </c>
      <c r="AD406" s="164" t="str">
        <f>+IF(AND(Tabla2[[#This Row],[venc]]="venc",Tabla2[[#This Row],[estado pago]]="por pagar"),"vencida","no")</f>
        <v>no</v>
      </c>
    </row>
    <row r="407" spans="1:30" ht="19.5" hidden="1" customHeight="1" x14ac:dyDescent="0.25">
      <c r="A407" s="8" t="s">
        <v>1850</v>
      </c>
      <c r="B407" s="8" t="b">
        <v>0</v>
      </c>
      <c r="C407" s="8">
        <v>30</v>
      </c>
      <c r="D407" s="151">
        <v>0</v>
      </c>
      <c r="E407" s="151"/>
      <c r="F407" s="24" t="s">
        <v>206</v>
      </c>
      <c r="G407" s="30">
        <v>45100</v>
      </c>
      <c r="H407" s="81" t="s">
        <v>380</v>
      </c>
      <c r="I407" s="30">
        <v>45087</v>
      </c>
      <c r="J407" s="16" t="s">
        <v>840</v>
      </c>
      <c r="K407" s="9" t="s">
        <v>1530</v>
      </c>
      <c r="L407" s="9"/>
      <c r="M407" s="152">
        <v>3456200</v>
      </c>
      <c r="N407" s="153">
        <v>0</v>
      </c>
      <c r="O407" s="152">
        <v>0</v>
      </c>
      <c r="P407" s="154">
        <v>3.5000000000000003E-2</v>
      </c>
      <c r="Q407" s="152">
        <v>120967.00000000001</v>
      </c>
      <c r="R407" s="9">
        <v>3335233</v>
      </c>
      <c r="S407" s="21" t="s">
        <v>1846</v>
      </c>
      <c r="T407" s="117">
        <v>0</v>
      </c>
      <c r="U407" s="117" t="s">
        <v>348</v>
      </c>
      <c r="V407" s="117">
        <v>2023</v>
      </c>
      <c r="W407" s="117">
        <v>6</v>
      </c>
      <c r="X407" s="117">
        <v>0</v>
      </c>
      <c r="Y407" s="117">
        <v>3.5000000000000003E-2</v>
      </c>
      <c r="Z407" s="21" t="b">
        <v>1</v>
      </c>
      <c r="AA407" s="162">
        <f>+$AD$5-Tabla2[[#This Row],[FECHA DE FACTURACIÓN]]</f>
        <v>356</v>
      </c>
      <c r="AB407" s="163" t="str">
        <f>+IF(Tabla2[[#This Row],[dias de credito]]&gt;=Tabla2[[#This Row],[PLAZO Días]],"venc", "No venc")</f>
        <v>venc</v>
      </c>
      <c r="AC407" s="163" t="str">
        <f>+IF(Tabla2[[#This Row],[FECHA DE PAGO]]&gt;0,"pagada","por pagar")</f>
        <v>pagada</v>
      </c>
      <c r="AD407" s="164" t="str">
        <f>+IF(AND(Tabla2[[#This Row],[venc]]="venc",Tabla2[[#This Row],[estado pago]]="por pagar"),"vencida","no")</f>
        <v>no</v>
      </c>
    </row>
    <row r="408" spans="1:30" ht="19.5" hidden="1" customHeight="1" x14ac:dyDescent="0.25">
      <c r="A408" s="8" t="s">
        <v>1850</v>
      </c>
      <c r="B408" s="8" t="b">
        <v>0</v>
      </c>
      <c r="C408" s="8">
        <v>30</v>
      </c>
      <c r="D408" s="151">
        <v>0</v>
      </c>
      <c r="E408" s="151"/>
      <c r="F408" s="24" t="s">
        <v>398</v>
      </c>
      <c r="G408" s="30">
        <v>45100</v>
      </c>
      <c r="H408" s="81" t="s">
        <v>424</v>
      </c>
      <c r="I408" s="30">
        <v>45098</v>
      </c>
      <c r="J408" s="16">
        <v>21244</v>
      </c>
      <c r="K408" s="9" t="s">
        <v>1530</v>
      </c>
      <c r="L408" s="9"/>
      <c r="M408" s="152">
        <v>436800</v>
      </c>
      <c r="N408" s="153">
        <v>82992</v>
      </c>
      <c r="O408" s="152">
        <v>0</v>
      </c>
      <c r="P408" s="154">
        <v>0</v>
      </c>
      <c r="Q408" s="152">
        <v>0</v>
      </c>
      <c r="R408" s="9">
        <v>519792</v>
      </c>
      <c r="S408" s="21" t="s">
        <v>1846</v>
      </c>
      <c r="T408" s="117">
        <v>0</v>
      </c>
      <c r="U408" s="117">
        <v>0</v>
      </c>
      <c r="V408" s="117">
        <v>2023</v>
      </c>
      <c r="W408" s="117">
        <v>6</v>
      </c>
      <c r="X408" s="117">
        <v>0</v>
      </c>
      <c r="Y408" s="117">
        <v>0</v>
      </c>
      <c r="Z408" s="21" t="b">
        <v>1</v>
      </c>
      <c r="AA408" s="162">
        <f>+$AD$5-Tabla2[[#This Row],[FECHA DE FACTURACIÓN]]</f>
        <v>345</v>
      </c>
      <c r="AB408" s="163" t="str">
        <f>+IF(Tabla2[[#This Row],[dias de credito]]&gt;=Tabla2[[#This Row],[PLAZO Días]],"venc", "No venc")</f>
        <v>venc</v>
      </c>
      <c r="AC408" s="163" t="str">
        <f>+IF(Tabla2[[#This Row],[FECHA DE PAGO]]&gt;0,"pagada","por pagar")</f>
        <v>pagada</v>
      </c>
      <c r="AD408" s="164" t="str">
        <f>+IF(AND(Tabla2[[#This Row],[venc]]="venc",Tabla2[[#This Row],[estado pago]]="por pagar"),"vencida","no")</f>
        <v>no</v>
      </c>
    </row>
    <row r="409" spans="1:30" ht="19.5" hidden="1" customHeight="1" x14ac:dyDescent="0.25">
      <c r="A409" s="8" t="s">
        <v>1850</v>
      </c>
      <c r="B409" s="8" t="b">
        <v>0</v>
      </c>
      <c r="C409" s="8">
        <v>30</v>
      </c>
      <c r="D409" s="151">
        <v>0</v>
      </c>
      <c r="E409" s="151"/>
      <c r="F409" s="24">
        <v>0</v>
      </c>
      <c r="G409" s="30">
        <v>45100</v>
      </c>
      <c r="H409" s="81" t="s">
        <v>550</v>
      </c>
      <c r="I409" s="30">
        <v>45098</v>
      </c>
      <c r="J409" s="16" t="s">
        <v>841</v>
      </c>
      <c r="K409" s="9" t="s">
        <v>1530</v>
      </c>
      <c r="L409" s="9"/>
      <c r="M409" s="152">
        <v>217200</v>
      </c>
      <c r="N409" s="153">
        <v>41268</v>
      </c>
      <c r="O409" s="152">
        <v>0</v>
      </c>
      <c r="P409" s="154">
        <v>0</v>
      </c>
      <c r="Q409" s="152">
        <v>0</v>
      </c>
      <c r="R409" s="9">
        <v>258468</v>
      </c>
      <c r="S409" s="21" t="s">
        <v>1846</v>
      </c>
      <c r="T409" s="117">
        <v>0</v>
      </c>
      <c r="U409" s="117" t="s">
        <v>347</v>
      </c>
      <c r="V409" s="117">
        <v>2023</v>
      </c>
      <c r="W409" s="117">
        <v>6</v>
      </c>
      <c r="X409" s="117">
        <v>1145000</v>
      </c>
      <c r="Y409" s="117">
        <v>2.5000000000000001E-2</v>
      </c>
      <c r="Z409" s="21" t="b">
        <v>1</v>
      </c>
      <c r="AA409" s="162">
        <f>+$AD$5-Tabla2[[#This Row],[FECHA DE FACTURACIÓN]]</f>
        <v>345</v>
      </c>
      <c r="AB409" s="163" t="str">
        <f>+IF(Tabla2[[#This Row],[dias de credito]]&gt;=Tabla2[[#This Row],[PLAZO Días]],"venc", "No venc")</f>
        <v>venc</v>
      </c>
      <c r="AC409" s="163" t="str">
        <f>+IF(Tabla2[[#This Row],[FECHA DE PAGO]]&gt;0,"pagada","por pagar")</f>
        <v>pagada</v>
      </c>
      <c r="AD409" s="164" t="str">
        <f>+IF(AND(Tabla2[[#This Row],[venc]]="venc",Tabla2[[#This Row],[estado pago]]="por pagar"),"vencida","no")</f>
        <v>no</v>
      </c>
    </row>
    <row r="410" spans="1:30" ht="19.5" hidden="1" customHeight="1" x14ac:dyDescent="0.25">
      <c r="A410" s="8" t="s">
        <v>1852</v>
      </c>
      <c r="B410" s="8" t="b">
        <v>0</v>
      </c>
      <c r="C410" s="8">
        <v>30</v>
      </c>
      <c r="D410" s="151">
        <v>1350000</v>
      </c>
      <c r="E410" s="151"/>
      <c r="F410" s="24" t="s">
        <v>84</v>
      </c>
      <c r="G410" s="30">
        <v>45101</v>
      </c>
      <c r="H410" s="81" t="s">
        <v>1807</v>
      </c>
      <c r="I410" s="30">
        <v>45101</v>
      </c>
      <c r="J410" s="16" t="s">
        <v>863</v>
      </c>
      <c r="K410" s="9" t="s">
        <v>1530</v>
      </c>
      <c r="L410" s="9"/>
      <c r="M410" s="152">
        <v>660000</v>
      </c>
      <c r="N410" s="153">
        <v>0</v>
      </c>
      <c r="O410" s="152">
        <v>0</v>
      </c>
      <c r="P410" s="154">
        <v>0</v>
      </c>
      <c r="Q410" s="152">
        <v>0</v>
      </c>
      <c r="R410" s="9">
        <v>660000</v>
      </c>
      <c r="S410" s="21" t="s">
        <v>1846</v>
      </c>
      <c r="T410" s="117">
        <v>0</v>
      </c>
      <c r="U410" s="117">
        <v>0</v>
      </c>
      <c r="V410" s="117">
        <v>2023</v>
      </c>
      <c r="W410" s="117">
        <v>6</v>
      </c>
      <c r="X410" s="117">
        <v>0</v>
      </c>
      <c r="Y410" s="117">
        <v>0</v>
      </c>
      <c r="Z410" s="21" t="b">
        <v>0</v>
      </c>
      <c r="AA410" s="162">
        <f>+$AD$5-Tabla2[[#This Row],[FECHA DE FACTURACIÓN]]</f>
        <v>342</v>
      </c>
      <c r="AB410" s="163" t="str">
        <f>+IF(Tabla2[[#This Row],[dias de credito]]&gt;=Tabla2[[#This Row],[PLAZO Días]],"venc", "No venc")</f>
        <v>venc</v>
      </c>
      <c r="AC410" s="163" t="str">
        <f>+IF(Tabla2[[#This Row],[FECHA DE PAGO]]&gt;0,"pagada","por pagar")</f>
        <v>pagada</v>
      </c>
      <c r="AD410" s="164" t="str">
        <f>+IF(AND(Tabla2[[#This Row],[venc]]="venc",Tabla2[[#This Row],[estado pago]]="por pagar"),"vencida","no")</f>
        <v>no</v>
      </c>
    </row>
    <row r="411" spans="1:30" ht="19.5" hidden="1" customHeight="1" x14ac:dyDescent="0.25">
      <c r="A411" s="8" t="s">
        <v>1850</v>
      </c>
      <c r="B411" s="8" t="s">
        <v>1851</v>
      </c>
      <c r="C411" s="8">
        <v>45</v>
      </c>
      <c r="D411" s="151">
        <v>22186260.039999999</v>
      </c>
      <c r="E411" s="151"/>
      <c r="F411" s="24" t="s">
        <v>357</v>
      </c>
      <c r="G411" s="30">
        <v>45103</v>
      </c>
      <c r="H411" s="81" t="s">
        <v>19</v>
      </c>
      <c r="I411" s="30">
        <v>45042</v>
      </c>
      <c r="J411" s="16" t="s">
        <v>758</v>
      </c>
      <c r="K411" s="9" t="s">
        <v>1530</v>
      </c>
      <c r="L411" s="9"/>
      <c r="M411" s="152">
        <v>10467600</v>
      </c>
      <c r="N411" s="153">
        <v>1988844</v>
      </c>
      <c r="O411" s="152">
        <v>0</v>
      </c>
      <c r="P411" s="154">
        <v>0</v>
      </c>
      <c r="Q411" s="152">
        <v>0</v>
      </c>
      <c r="R411" s="9">
        <v>12456444</v>
      </c>
      <c r="S411" s="21" t="s">
        <v>1846</v>
      </c>
      <c r="T411" s="117">
        <v>0</v>
      </c>
      <c r="U411" s="117">
        <v>0</v>
      </c>
      <c r="V411" s="117">
        <v>2023</v>
      </c>
      <c r="W411" s="117">
        <v>6</v>
      </c>
      <c r="X411" s="117">
        <v>0</v>
      </c>
      <c r="Y411" s="117">
        <v>0</v>
      </c>
      <c r="Z411" s="21" t="b">
        <v>0</v>
      </c>
      <c r="AA411" s="162">
        <f>+$AD$5-Tabla2[[#This Row],[FECHA DE FACTURACIÓN]]</f>
        <v>401</v>
      </c>
      <c r="AB411" s="163" t="str">
        <f>+IF(Tabla2[[#This Row],[dias de credito]]&gt;=Tabla2[[#This Row],[PLAZO Días]],"venc", "No venc")</f>
        <v>venc</v>
      </c>
      <c r="AC411" s="163" t="str">
        <f>+IF(Tabla2[[#This Row],[FECHA DE PAGO]]&gt;0,"pagada","por pagar")</f>
        <v>pagada</v>
      </c>
      <c r="AD411" s="164" t="str">
        <f>+IF(AND(Tabla2[[#This Row],[venc]]="venc",Tabla2[[#This Row],[estado pago]]="por pagar"),"vencida","no")</f>
        <v>no</v>
      </c>
    </row>
    <row r="412" spans="1:30" ht="19.5" hidden="1" customHeight="1" x14ac:dyDescent="0.25">
      <c r="A412" s="8" t="s">
        <v>1850</v>
      </c>
      <c r="B412" s="8" t="s">
        <v>1851</v>
      </c>
      <c r="C412" s="8">
        <v>45</v>
      </c>
      <c r="D412" s="151">
        <v>2446500</v>
      </c>
      <c r="E412" s="151"/>
      <c r="F412" s="24" t="s">
        <v>158</v>
      </c>
      <c r="G412" s="30">
        <v>45103</v>
      </c>
      <c r="H412" s="81" t="s">
        <v>10</v>
      </c>
      <c r="I412" s="30">
        <v>45042</v>
      </c>
      <c r="J412" s="16" t="s">
        <v>748</v>
      </c>
      <c r="K412" s="9" t="s">
        <v>1530</v>
      </c>
      <c r="L412" s="9"/>
      <c r="M412" s="152">
        <v>2179700</v>
      </c>
      <c r="N412" s="153">
        <v>414143</v>
      </c>
      <c r="O412" s="152">
        <v>0</v>
      </c>
      <c r="P412" s="154">
        <v>2.5000000000000001E-2</v>
      </c>
      <c r="Q412" s="152">
        <v>54492.5</v>
      </c>
      <c r="R412" s="9">
        <v>2539350.5</v>
      </c>
      <c r="S412" s="21" t="s">
        <v>1846</v>
      </c>
      <c r="T412" s="117">
        <v>0</v>
      </c>
      <c r="U412" s="117" t="s">
        <v>347</v>
      </c>
      <c r="V412" s="117">
        <v>2023</v>
      </c>
      <c r="W412" s="117">
        <v>6</v>
      </c>
      <c r="X412" s="117">
        <v>1145000</v>
      </c>
      <c r="Y412" s="117">
        <v>2.5000000000000001E-2</v>
      </c>
      <c r="Z412" s="21" t="b">
        <v>0</v>
      </c>
      <c r="AA412" s="162">
        <f>+$AD$5-Tabla2[[#This Row],[FECHA DE FACTURACIÓN]]</f>
        <v>401</v>
      </c>
      <c r="AB412" s="163" t="str">
        <f>+IF(Tabla2[[#This Row],[dias de credito]]&gt;=Tabla2[[#This Row],[PLAZO Días]],"venc", "No venc")</f>
        <v>venc</v>
      </c>
      <c r="AC412" s="163" t="str">
        <f>+IF(Tabla2[[#This Row],[FECHA DE PAGO]]&gt;0,"pagada","por pagar")</f>
        <v>pagada</v>
      </c>
      <c r="AD412" s="164" t="str">
        <f>+IF(AND(Tabla2[[#This Row],[venc]]="venc",Tabla2[[#This Row],[estado pago]]="por pagar"),"vencida","no")</f>
        <v>no</v>
      </c>
    </row>
    <row r="413" spans="1:30" ht="19.5" hidden="1" customHeight="1" x14ac:dyDescent="0.25">
      <c r="A413" s="8" t="s">
        <v>1850</v>
      </c>
      <c r="B413" s="8" t="s">
        <v>1851</v>
      </c>
      <c r="C413" s="8">
        <v>30</v>
      </c>
      <c r="D413" s="151">
        <v>0</v>
      </c>
      <c r="E413" s="151"/>
      <c r="F413" s="24" t="s">
        <v>84</v>
      </c>
      <c r="G413" s="30">
        <v>45104</v>
      </c>
      <c r="H413" s="81" t="s">
        <v>1815</v>
      </c>
      <c r="I413" s="30">
        <v>45006</v>
      </c>
      <c r="J413" s="16" t="s">
        <v>657</v>
      </c>
      <c r="K413" s="9" t="s">
        <v>1530</v>
      </c>
      <c r="L413" s="9"/>
      <c r="M413" s="152">
        <v>230000</v>
      </c>
      <c r="N413" s="153">
        <v>0</v>
      </c>
      <c r="O413" s="152">
        <v>0</v>
      </c>
      <c r="P413" s="154">
        <v>0</v>
      </c>
      <c r="Q413" s="152">
        <v>0</v>
      </c>
      <c r="R413" s="9">
        <v>230000</v>
      </c>
      <c r="S413" s="21" t="s">
        <v>1846</v>
      </c>
      <c r="T413" s="117">
        <v>0</v>
      </c>
      <c r="U413" s="117">
        <v>0</v>
      </c>
      <c r="V413" s="117">
        <v>2023</v>
      </c>
      <c r="W413" s="117">
        <v>6</v>
      </c>
      <c r="X413" s="117">
        <v>0</v>
      </c>
      <c r="Y413" s="117">
        <v>0</v>
      </c>
      <c r="Z413" s="21" t="b">
        <v>0</v>
      </c>
      <c r="AA413" s="162">
        <f>+$AD$5-Tabla2[[#This Row],[FECHA DE FACTURACIÓN]]</f>
        <v>437</v>
      </c>
      <c r="AB413" s="163" t="str">
        <f>+IF(Tabla2[[#This Row],[dias de credito]]&gt;=Tabla2[[#This Row],[PLAZO Días]],"venc", "No venc")</f>
        <v>venc</v>
      </c>
      <c r="AC413" s="163" t="str">
        <f>+IF(Tabla2[[#This Row],[FECHA DE PAGO]]&gt;0,"pagada","por pagar")</f>
        <v>pagada</v>
      </c>
      <c r="AD413" s="164" t="str">
        <f>+IF(AND(Tabla2[[#This Row],[venc]]="venc",Tabla2[[#This Row],[estado pago]]="por pagar"),"vencida","no")</f>
        <v>no</v>
      </c>
    </row>
    <row r="414" spans="1:30" ht="19.5" hidden="1" customHeight="1" x14ac:dyDescent="0.25">
      <c r="A414" s="8" t="s">
        <v>1850</v>
      </c>
      <c r="B414" s="8" t="s">
        <v>1851</v>
      </c>
      <c r="C414" s="8">
        <v>30</v>
      </c>
      <c r="D414" s="151">
        <v>4466504.835</v>
      </c>
      <c r="E414" s="151"/>
      <c r="F414" s="24" t="s">
        <v>1553</v>
      </c>
      <c r="G414" s="30">
        <v>45104</v>
      </c>
      <c r="H414" s="81" t="s">
        <v>18</v>
      </c>
      <c r="I414" s="30">
        <v>45055</v>
      </c>
      <c r="J414" s="16" t="s">
        <v>786</v>
      </c>
      <c r="K414" s="9" t="s">
        <v>1530</v>
      </c>
      <c r="L414" s="9"/>
      <c r="M414" s="152">
        <v>743608</v>
      </c>
      <c r="N414" s="153">
        <v>141285.51999999999</v>
      </c>
      <c r="O414" s="152">
        <v>0</v>
      </c>
      <c r="P414" s="154">
        <v>0</v>
      </c>
      <c r="Q414" s="152">
        <v>0</v>
      </c>
      <c r="R414" s="9">
        <v>884893.52</v>
      </c>
      <c r="S414" s="21" t="s">
        <v>1846</v>
      </c>
      <c r="T414" s="117">
        <v>0</v>
      </c>
      <c r="U414" s="117" t="s">
        <v>347</v>
      </c>
      <c r="V414" s="117">
        <v>2023</v>
      </c>
      <c r="W414" s="117">
        <v>6</v>
      </c>
      <c r="X414" s="117">
        <v>1145000</v>
      </c>
      <c r="Y414" s="117">
        <v>2.5000000000000001E-2</v>
      </c>
      <c r="Z414" s="21" t="b">
        <v>0</v>
      </c>
      <c r="AA414" s="162">
        <f>+$AD$5-Tabla2[[#This Row],[FECHA DE FACTURACIÓN]]</f>
        <v>388</v>
      </c>
      <c r="AB414" s="163" t="str">
        <f>+IF(Tabla2[[#This Row],[dias de credito]]&gt;=Tabla2[[#This Row],[PLAZO Días]],"venc", "No venc")</f>
        <v>venc</v>
      </c>
      <c r="AC414" s="163" t="str">
        <f>+IF(Tabla2[[#This Row],[FECHA DE PAGO]]&gt;0,"pagada","por pagar")</f>
        <v>pagada</v>
      </c>
      <c r="AD414" s="164" t="str">
        <f>+IF(AND(Tabla2[[#This Row],[venc]]="venc",Tabla2[[#This Row],[estado pago]]="por pagar"),"vencida","no")</f>
        <v>no</v>
      </c>
    </row>
    <row r="415" spans="1:30" ht="19.5" hidden="1" customHeight="1" x14ac:dyDescent="0.25">
      <c r="A415" s="8" t="s">
        <v>1850</v>
      </c>
      <c r="B415" s="8" t="s">
        <v>1851</v>
      </c>
      <c r="C415" s="8">
        <v>30</v>
      </c>
      <c r="D415" s="151">
        <v>4466504.835</v>
      </c>
      <c r="E415" s="151"/>
      <c r="F415" s="24" t="s">
        <v>1553</v>
      </c>
      <c r="G415" s="30">
        <v>45104</v>
      </c>
      <c r="H415" s="81" t="s">
        <v>18</v>
      </c>
      <c r="I415" s="30">
        <v>45057</v>
      </c>
      <c r="J415" s="16" t="s">
        <v>787</v>
      </c>
      <c r="K415" s="9" t="s">
        <v>1530</v>
      </c>
      <c r="L415" s="9"/>
      <c r="M415" s="152">
        <v>804018</v>
      </c>
      <c r="N415" s="153">
        <v>152763.42000000001</v>
      </c>
      <c r="O415" s="152">
        <v>0</v>
      </c>
      <c r="P415" s="154">
        <v>0</v>
      </c>
      <c r="Q415" s="152">
        <v>0</v>
      </c>
      <c r="R415" s="9">
        <v>956781.42</v>
      </c>
      <c r="S415" s="21" t="s">
        <v>1846</v>
      </c>
      <c r="T415" s="117">
        <v>0</v>
      </c>
      <c r="U415" s="117" t="s">
        <v>347</v>
      </c>
      <c r="V415" s="117">
        <v>2023</v>
      </c>
      <c r="W415" s="117">
        <v>6</v>
      </c>
      <c r="X415" s="117">
        <v>1145000</v>
      </c>
      <c r="Y415" s="117">
        <v>2.5000000000000001E-2</v>
      </c>
      <c r="Z415" s="21" t="b">
        <v>0</v>
      </c>
      <c r="AA415" s="162">
        <f>+$AD$5-Tabla2[[#This Row],[FECHA DE FACTURACIÓN]]</f>
        <v>386</v>
      </c>
      <c r="AB415" s="163" t="str">
        <f>+IF(Tabla2[[#This Row],[dias de credito]]&gt;=Tabla2[[#This Row],[PLAZO Días]],"venc", "No venc")</f>
        <v>venc</v>
      </c>
      <c r="AC415" s="163" t="str">
        <f>+IF(Tabla2[[#This Row],[FECHA DE PAGO]]&gt;0,"pagada","por pagar")</f>
        <v>pagada</v>
      </c>
      <c r="AD415" s="164" t="str">
        <f>+IF(AND(Tabla2[[#This Row],[venc]]="venc",Tabla2[[#This Row],[estado pago]]="por pagar"),"vencida","no")</f>
        <v>no</v>
      </c>
    </row>
    <row r="416" spans="1:30" ht="19.5" hidden="1" customHeight="1" x14ac:dyDescent="0.25">
      <c r="A416" s="8" t="s">
        <v>1850</v>
      </c>
      <c r="B416" s="8" t="s">
        <v>1851</v>
      </c>
      <c r="C416" s="8">
        <v>30</v>
      </c>
      <c r="D416" s="151">
        <v>0</v>
      </c>
      <c r="E416" s="151"/>
      <c r="F416" s="24" t="s">
        <v>227</v>
      </c>
      <c r="G416" s="30">
        <v>45105</v>
      </c>
      <c r="H416" s="81" t="s">
        <v>360</v>
      </c>
      <c r="I416" s="30">
        <v>45040</v>
      </c>
      <c r="J416" s="16" t="s">
        <v>754</v>
      </c>
      <c r="K416" s="9" t="s">
        <v>1530</v>
      </c>
      <c r="L416" s="9"/>
      <c r="M416" s="152">
        <v>2615172</v>
      </c>
      <c r="N416" s="153">
        <v>496882.68</v>
      </c>
      <c r="O416" s="152">
        <v>0</v>
      </c>
      <c r="P416" s="154">
        <v>0</v>
      </c>
      <c r="Q416" s="152">
        <v>0</v>
      </c>
      <c r="R416" s="9">
        <v>3112054.68</v>
      </c>
      <c r="S416" s="21" t="s">
        <v>1846</v>
      </c>
      <c r="T416" s="117">
        <v>0</v>
      </c>
      <c r="U416" s="117">
        <v>0</v>
      </c>
      <c r="V416" s="117">
        <v>2023</v>
      </c>
      <c r="W416" s="117">
        <v>6</v>
      </c>
      <c r="X416" s="117">
        <v>0</v>
      </c>
      <c r="Y416" s="117">
        <v>0</v>
      </c>
      <c r="Z416" s="21" t="b">
        <v>1</v>
      </c>
      <c r="AA416" s="162">
        <f>+$AD$5-Tabla2[[#This Row],[FECHA DE FACTURACIÓN]]</f>
        <v>403</v>
      </c>
      <c r="AB416" s="163" t="str">
        <f>+IF(Tabla2[[#This Row],[dias de credito]]&gt;=Tabla2[[#This Row],[PLAZO Días]],"venc", "No venc")</f>
        <v>venc</v>
      </c>
      <c r="AC416" s="163" t="str">
        <f>+IF(Tabla2[[#This Row],[FECHA DE PAGO]]&gt;0,"pagada","por pagar")</f>
        <v>pagada</v>
      </c>
      <c r="AD416" s="164" t="str">
        <f>+IF(AND(Tabla2[[#This Row],[venc]]="venc",Tabla2[[#This Row],[estado pago]]="por pagar"),"vencida","no")</f>
        <v>no</v>
      </c>
    </row>
    <row r="417" spans="1:30" ht="19.5" hidden="1" customHeight="1" x14ac:dyDescent="0.25">
      <c r="A417" s="8" t="s">
        <v>1852</v>
      </c>
      <c r="B417" s="8" t="b">
        <v>0</v>
      </c>
      <c r="C417" s="8">
        <v>30</v>
      </c>
      <c r="D417" s="151">
        <v>0</v>
      </c>
      <c r="E417" s="151"/>
      <c r="F417" s="24" t="s">
        <v>84</v>
      </c>
      <c r="G417" s="30">
        <v>45106</v>
      </c>
      <c r="H417" s="81" t="s">
        <v>525</v>
      </c>
      <c r="I417" s="30">
        <v>45106</v>
      </c>
      <c r="J417" s="16" t="s">
        <v>860</v>
      </c>
      <c r="K417" s="9" t="s">
        <v>1530</v>
      </c>
      <c r="L417" s="9"/>
      <c r="M417" s="152">
        <v>375000</v>
      </c>
      <c r="N417" s="153">
        <v>0</v>
      </c>
      <c r="O417" s="152">
        <v>0</v>
      </c>
      <c r="P417" s="154">
        <v>0</v>
      </c>
      <c r="Q417" s="152">
        <v>0</v>
      </c>
      <c r="R417" s="9">
        <v>375000</v>
      </c>
      <c r="S417" s="21" t="s">
        <v>1846</v>
      </c>
      <c r="T417" s="117">
        <v>0</v>
      </c>
      <c r="U417" s="117">
        <v>0</v>
      </c>
      <c r="V417" s="117">
        <v>2023</v>
      </c>
      <c r="W417" s="117">
        <v>6</v>
      </c>
      <c r="X417" s="117">
        <v>0</v>
      </c>
      <c r="Y417" s="117">
        <v>0</v>
      </c>
      <c r="Z417" s="21" t="b">
        <v>0</v>
      </c>
      <c r="AA417" s="162">
        <f>+$AD$5-Tabla2[[#This Row],[FECHA DE FACTURACIÓN]]</f>
        <v>337</v>
      </c>
      <c r="AB417" s="163" t="str">
        <f>+IF(Tabla2[[#This Row],[dias de credito]]&gt;=Tabla2[[#This Row],[PLAZO Días]],"venc", "No venc")</f>
        <v>venc</v>
      </c>
      <c r="AC417" s="163" t="str">
        <f>+IF(Tabla2[[#This Row],[FECHA DE PAGO]]&gt;0,"pagada","por pagar")</f>
        <v>pagada</v>
      </c>
      <c r="AD417" s="164" t="str">
        <f>+IF(AND(Tabla2[[#This Row],[venc]]="venc",Tabla2[[#This Row],[estado pago]]="por pagar"),"vencida","no")</f>
        <v>no</v>
      </c>
    </row>
    <row r="418" spans="1:30" ht="19.5" hidden="1" customHeight="1" x14ac:dyDescent="0.25">
      <c r="A418" s="8" t="s">
        <v>1850</v>
      </c>
      <c r="B418" s="8" t="s">
        <v>1851</v>
      </c>
      <c r="C418" s="8">
        <v>30</v>
      </c>
      <c r="D418" s="151">
        <v>4316000</v>
      </c>
      <c r="E418" s="151"/>
      <c r="F418" s="24" t="s">
        <v>84</v>
      </c>
      <c r="G418" s="30">
        <v>45108</v>
      </c>
      <c r="H418" s="81" t="s">
        <v>1812</v>
      </c>
      <c r="I418" s="30">
        <v>45072</v>
      </c>
      <c r="J418" s="16" t="s">
        <v>809</v>
      </c>
      <c r="K418" s="9" t="s">
        <v>1530</v>
      </c>
      <c r="L418" s="9"/>
      <c r="M418" s="152">
        <v>978000</v>
      </c>
      <c r="N418" s="153">
        <v>0</v>
      </c>
      <c r="O418" s="152">
        <v>0</v>
      </c>
      <c r="P418" s="154">
        <v>0</v>
      </c>
      <c r="Q418" s="152">
        <v>0</v>
      </c>
      <c r="R418" s="9">
        <v>978000</v>
      </c>
      <c r="S418" s="21" t="s">
        <v>1846</v>
      </c>
      <c r="T418" s="117">
        <v>0</v>
      </c>
      <c r="U418" s="117">
        <v>0</v>
      </c>
      <c r="V418" s="117">
        <v>2023</v>
      </c>
      <c r="W418" s="117">
        <v>6</v>
      </c>
      <c r="X418" s="117">
        <v>0</v>
      </c>
      <c r="Y418" s="117">
        <v>0</v>
      </c>
      <c r="Z418" s="21" t="b">
        <v>0</v>
      </c>
      <c r="AA418" s="162">
        <f>+$AD$5-Tabla2[[#This Row],[FECHA DE FACTURACIÓN]]</f>
        <v>371</v>
      </c>
      <c r="AB418" s="163" t="str">
        <f>+IF(Tabla2[[#This Row],[dias de credito]]&gt;=Tabla2[[#This Row],[PLAZO Días]],"venc", "No venc")</f>
        <v>venc</v>
      </c>
      <c r="AC418" s="163" t="str">
        <f>+IF(Tabla2[[#This Row],[FECHA DE PAGO]]&gt;0,"pagada","por pagar")</f>
        <v>pagada</v>
      </c>
      <c r="AD418" s="164" t="str">
        <f>+IF(AND(Tabla2[[#This Row],[venc]]="venc",Tabla2[[#This Row],[estado pago]]="por pagar"),"vencida","no")</f>
        <v>no</v>
      </c>
    </row>
    <row r="419" spans="1:30" ht="19.5" hidden="1" customHeight="1" x14ac:dyDescent="0.25">
      <c r="A419" s="8" t="s">
        <v>1850</v>
      </c>
      <c r="B419" s="8" t="b">
        <v>0</v>
      </c>
      <c r="C419" s="8">
        <v>30</v>
      </c>
      <c r="D419" s="151">
        <v>0</v>
      </c>
      <c r="E419" s="151"/>
      <c r="F419" s="24">
        <v>0</v>
      </c>
      <c r="G419" s="30">
        <v>45108</v>
      </c>
      <c r="H419" s="81" t="s">
        <v>864</v>
      </c>
      <c r="I419" s="30">
        <v>45083</v>
      </c>
      <c r="J419" s="16">
        <v>1340</v>
      </c>
      <c r="K419" s="9" t="s">
        <v>1530</v>
      </c>
      <c r="L419" s="9"/>
      <c r="M419" s="152">
        <v>910000</v>
      </c>
      <c r="N419" s="153">
        <v>172900</v>
      </c>
      <c r="O419" s="152">
        <v>0</v>
      </c>
      <c r="P419" s="154">
        <v>0</v>
      </c>
      <c r="Q419" s="152">
        <v>0</v>
      </c>
      <c r="R419" s="9">
        <v>1082900</v>
      </c>
      <c r="S419" s="21" t="s">
        <v>1846</v>
      </c>
      <c r="T419" s="117">
        <v>0</v>
      </c>
      <c r="U419" s="117" t="s">
        <v>347</v>
      </c>
      <c r="V419" s="117">
        <v>2023</v>
      </c>
      <c r="W419" s="117">
        <v>6</v>
      </c>
      <c r="X419" s="117">
        <v>1145000</v>
      </c>
      <c r="Y419" s="117">
        <v>2.5000000000000001E-2</v>
      </c>
      <c r="Z419" s="21" t="b">
        <v>0</v>
      </c>
      <c r="AA419" s="162">
        <f>+$AD$5-Tabla2[[#This Row],[FECHA DE FACTURACIÓN]]</f>
        <v>360</v>
      </c>
      <c r="AB419" s="163" t="str">
        <f>+IF(Tabla2[[#This Row],[dias de credito]]&gt;=Tabla2[[#This Row],[PLAZO Días]],"venc", "No venc")</f>
        <v>venc</v>
      </c>
      <c r="AC419" s="163" t="str">
        <f>+IF(Tabla2[[#This Row],[FECHA DE PAGO]]&gt;0,"pagada","por pagar")</f>
        <v>pagada</v>
      </c>
      <c r="AD419" s="164" t="str">
        <f>+IF(AND(Tabla2[[#This Row],[venc]]="venc",Tabla2[[#This Row],[estado pago]]="por pagar"),"vencida","no")</f>
        <v>no</v>
      </c>
    </row>
    <row r="420" spans="1:30" ht="19.5" hidden="1" customHeight="1" x14ac:dyDescent="0.25">
      <c r="A420" s="8" t="s">
        <v>1850</v>
      </c>
      <c r="B420" s="8" t="b">
        <v>0</v>
      </c>
      <c r="C420" s="8">
        <v>30</v>
      </c>
      <c r="D420" s="151">
        <v>0</v>
      </c>
      <c r="E420" s="151"/>
      <c r="F420" s="24" t="s">
        <v>84</v>
      </c>
      <c r="G420" s="30">
        <v>45108</v>
      </c>
      <c r="H420" s="81" t="s">
        <v>481</v>
      </c>
      <c r="I420" s="30">
        <v>45107</v>
      </c>
      <c r="J420" s="16" t="s">
        <v>931</v>
      </c>
      <c r="K420" s="9" t="s">
        <v>1530</v>
      </c>
      <c r="L420" s="9"/>
      <c r="M420" s="152">
        <v>2505000</v>
      </c>
      <c r="N420" s="153">
        <v>0</v>
      </c>
      <c r="O420" s="152">
        <v>0</v>
      </c>
      <c r="P420" s="154">
        <v>0</v>
      </c>
      <c r="Q420" s="152">
        <v>0</v>
      </c>
      <c r="R420" s="9">
        <v>2505000</v>
      </c>
      <c r="S420" s="21" t="s">
        <v>1846</v>
      </c>
      <c r="T420" s="117">
        <v>0</v>
      </c>
      <c r="U420" s="117">
        <v>0</v>
      </c>
      <c r="V420" s="117">
        <v>2023</v>
      </c>
      <c r="W420" s="117">
        <v>6</v>
      </c>
      <c r="X420" s="117">
        <v>0</v>
      </c>
      <c r="Y420" s="117">
        <v>0</v>
      </c>
      <c r="Z420" s="21" t="b">
        <v>0</v>
      </c>
      <c r="AA420" s="162">
        <f>+$AD$5-Tabla2[[#This Row],[FECHA DE FACTURACIÓN]]</f>
        <v>336</v>
      </c>
      <c r="AB420" s="163" t="str">
        <f>+IF(Tabla2[[#This Row],[dias de credito]]&gt;=Tabla2[[#This Row],[PLAZO Días]],"venc", "No venc")</f>
        <v>venc</v>
      </c>
      <c r="AC420" s="163" t="str">
        <f>+IF(Tabla2[[#This Row],[FECHA DE PAGO]]&gt;0,"pagada","por pagar")</f>
        <v>pagada</v>
      </c>
      <c r="AD420" s="164" t="str">
        <f>+IF(AND(Tabla2[[#This Row],[venc]]="venc",Tabla2[[#This Row],[estado pago]]="por pagar"),"vencida","no")</f>
        <v>no</v>
      </c>
    </row>
    <row r="421" spans="1:30" ht="19.5" hidden="1" customHeight="1" x14ac:dyDescent="0.25">
      <c r="A421" s="8" t="s">
        <v>1852</v>
      </c>
      <c r="B421" s="8" t="b">
        <v>0</v>
      </c>
      <c r="C421" s="8">
        <v>30</v>
      </c>
      <c r="D421" s="151">
        <v>0</v>
      </c>
      <c r="E421" s="151"/>
      <c r="F421" s="24" t="s">
        <v>84</v>
      </c>
      <c r="G421" s="30">
        <v>45108</v>
      </c>
      <c r="H421" s="81" t="s">
        <v>525</v>
      </c>
      <c r="I421" s="30">
        <v>45108</v>
      </c>
      <c r="J421" s="16" t="s">
        <v>479</v>
      </c>
      <c r="K421" s="9" t="s">
        <v>1530</v>
      </c>
      <c r="L421" s="9"/>
      <c r="M421" s="152">
        <v>62997</v>
      </c>
      <c r="N421" s="153">
        <v>0</v>
      </c>
      <c r="O421" s="152">
        <v>0</v>
      </c>
      <c r="P421" s="154">
        <v>0</v>
      </c>
      <c r="Q421" s="152">
        <v>0</v>
      </c>
      <c r="R421" s="9">
        <v>62997</v>
      </c>
      <c r="S421" s="21" t="s">
        <v>1846</v>
      </c>
      <c r="T421" s="117">
        <v>0</v>
      </c>
      <c r="U421" s="117">
        <v>0</v>
      </c>
      <c r="V421" s="117">
        <v>2023</v>
      </c>
      <c r="W421" s="117">
        <v>6</v>
      </c>
      <c r="X421" s="117">
        <v>0</v>
      </c>
      <c r="Y421" s="117">
        <v>0</v>
      </c>
      <c r="Z421" s="21" t="b">
        <v>0</v>
      </c>
      <c r="AA421" s="162">
        <f>+$AD$5-Tabla2[[#This Row],[FECHA DE FACTURACIÓN]]</f>
        <v>335</v>
      </c>
      <c r="AB421" s="163" t="str">
        <f>+IF(Tabla2[[#This Row],[dias de credito]]&gt;=Tabla2[[#This Row],[PLAZO Días]],"venc", "No venc")</f>
        <v>venc</v>
      </c>
      <c r="AC421" s="163" t="str">
        <f>+IF(Tabla2[[#This Row],[FECHA DE PAGO]]&gt;0,"pagada","por pagar")</f>
        <v>pagada</v>
      </c>
      <c r="AD421" s="164" t="str">
        <f>+IF(AND(Tabla2[[#This Row],[venc]]="venc",Tabla2[[#This Row],[estado pago]]="por pagar"),"vencida","no")</f>
        <v>no</v>
      </c>
    </row>
    <row r="422" spans="1:30" ht="19.5" hidden="1" customHeight="1" x14ac:dyDescent="0.25">
      <c r="A422" s="8" t="s">
        <v>1852</v>
      </c>
      <c r="B422" s="8" t="b">
        <v>0</v>
      </c>
      <c r="C422" s="8">
        <v>30</v>
      </c>
      <c r="D422" s="151">
        <v>0</v>
      </c>
      <c r="E422" s="151"/>
      <c r="F422" s="24" t="s">
        <v>84</v>
      </c>
      <c r="G422" s="30">
        <v>45108</v>
      </c>
      <c r="H422" s="81" t="s">
        <v>525</v>
      </c>
      <c r="I422" s="30">
        <v>45108</v>
      </c>
      <c r="J422" s="16" t="s">
        <v>1531</v>
      </c>
      <c r="K422" s="9" t="s">
        <v>1530</v>
      </c>
      <c r="L422" s="9"/>
      <c r="M422" s="152">
        <v>171400</v>
      </c>
      <c r="N422" s="153">
        <v>0</v>
      </c>
      <c r="O422" s="152">
        <v>0</v>
      </c>
      <c r="P422" s="154">
        <v>0</v>
      </c>
      <c r="Q422" s="152">
        <v>0</v>
      </c>
      <c r="R422" s="9">
        <v>171400</v>
      </c>
      <c r="S422" s="21" t="s">
        <v>1846</v>
      </c>
      <c r="T422" s="117">
        <v>0</v>
      </c>
      <c r="U422" s="117">
        <v>0</v>
      </c>
      <c r="V422" s="117">
        <v>2023</v>
      </c>
      <c r="W422" s="117">
        <v>6</v>
      </c>
      <c r="X422" s="117">
        <v>0</v>
      </c>
      <c r="Y422" s="117">
        <v>0</v>
      </c>
      <c r="Z422" s="21" t="b">
        <v>0</v>
      </c>
      <c r="AA422" s="162">
        <f>+$AD$5-Tabla2[[#This Row],[FECHA DE FACTURACIÓN]]</f>
        <v>335</v>
      </c>
      <c r="AB422" s="163" t="str">
        <f>+IF(Tabla2[[#This Row],[dias de credito]]&gt;=Tabla2[[#This Row],[PLAZO Días]],"venc", "No venc")</f>
        <v>venc</v>
      </c>
      <c r="AC422" s="163" t="str">
        <f>+IF(Tabla2[[#This Row],[FECHA DE PAGO]]&gt;0,"pagada","por pagar")</f>
        <v>pagada</v>
      </c>
      <c r="AD422" s="164" t="str">
        <f>+IF(AND(Tabla2[[#This Row],[venc]]="venc",Tabla2[[#This Row],[estado pago]]="por pagar"),"vencida","no")</f>
        <v>no</v>
      </c>
    </row>
    <row r="423" spans="1:30" ht="19.5" hidden="1" customHeight="1" x14ac:dyDescent="0.25">
      <c r="A423" s="8" t="s">
        <v>1852</v>
      </c>
      <c r="B423" s="8" t="b">
        <v>0</v>
      </c>
      <c r="C423" s="8">
        <v>30</v>
      </c>
      <c r="D423" s="151">
        <v>0</v>
      </c>
      <c r="E423" s="151"/>
      <c r="F423" s="24" t="s">
        <v>84</v>
      </c>
      <c r="G423" s="30">
        <v>45108</v>
      </c>
      <c r="H423" s="81" t="s">
        <v>525</v>
      </c>
      <c r="I423" s="30">
        <v>45108</v>
      </c>
      <c r="J423" s="16" t="s">
        <v>476</v>
      </c>
      <c r="K423" s="9" t="s">
        <v>1530</v>
      </c>
      <c r="L423" s="9"/>
      <c r="M423" s="152">
        <v>300500</v>
      </c>
      <c r="N423" s="153">
        <v>0</v>
      </c>
      <c r="O423" s="152">
        <v>0</v>
      </c>
      <c r="P423" s="154">
        <v>0</v>
      </c>
      <c r="Q423" s="152">
        <v>0</v>
      </c>
      <c r="R423" s="9">
        <v>300500</v>
      </c>
      <c r="S423" s="21" t="s">
        <v>1846</v>
      </c>
      <c r="T423" s="117">
        <v>0</v>
      </c>
      <c r="U423" s="117">
        <v>0</v>
      </c>
      <c r="V423" s="117">
        <v>2023</v>
      </c>
      <c r="W423" s="117">
        <v>6</v>
      </c>
      <c r="X423" s="117">
        <v>0</v>
      </c>
      <c r="Y423" s="117">
        <v>0</v>
      </c>
      <c r="Z423" s="21" t="b">
        <v>0</v>
      </c>
      <c r="AA423" s="162">
        <f>+$AD$5-Tabla2[[#This Row],[FECHA DE FACTURACIÓN]]</f>
        <v>335</v>
      </c>
      <c r="AB423" s="163" t="str">
        <f>+IF(Tabla2[[#This Row],[dias de credito]]&gt;=Tabla2[[#This Row],[PLAZO Días]],"venc", "No venc")</f>
        <v>venc</v>
      </c>
      <c r="AC423" s="163" t="str">
        <f>+IF(Tabla2[[#This Row],[FECHA DE PAGO]]&gt;0,"pagada","por pagar")</f>
        <v>pagada</v>
      </c>
      <c r="AD423" s="164" t="str">
        <f>+IF(AND(Tabla2[[#This Row],[venc]]="venc",Tabla2[[#This Row],[estado pago]]="por pagar"),"vencida","no")</f>
        <v>no</v>
      </c>
    </row>
    <row r="424" spans="1:30" ht="19.5" hidden="1" customHeight="1" x14ac:dyDescent="0.25">
      <c r="A424" s="8" t="s">
        <v>1852</v>
      </c>
      <c r="B424" s="8" t="b">
        <v>0</v>
      </c>
      <c r="C424" s="8">
        <v>30</v>
      </c>
      <c r="D424" s="151">
        <v>0</v>
      </c>
      <c r="E424" s="151"/>
      <c r="F424" s="24" t="s">
        <v>84</v>
      </c>
      <c r="G424" s="30">
        <v>45108</v>
      </c>
      <c r="H424" s="81" t="s">
        <v>525</v>
      </c>
      <c r="I424" s="30">
        <v>45108</v>
      </c>
      <c r="J424" s="16" t="s">
        <v>480</v>
      </c>
      <c r="K424" s="9" t="s">
        <v>1530</v>
      </c>
      <c r="L424" s="9"/>
      <c r="M424" s="152">
        <v>783800</v>
      </c>
      <c r="N424" s="153">
        <v>0</v>
      </c>
      <c r="O424" s="152">
        <v>0</v>
      </c>
      <c r="P424" s="154">
        <v>0</v>
      </c>
      <c r="Q424" s="152">
        <v>0</v>
      </c>
      <c r="R424" s="9">
        <v>783800</v>
      </c>
      <c r="S424" s="21" t="s">
        <v>1846</v>
      </c>
      <c r="T424" s="117">
        <v>0</v>
      </c>
      <c r="U424" s="117">
        <v>0</v>
      </c>
      <c r="V424" s="117">
        <v>2023</v>
      </c>
      <c r="W424" s="117">
        <v>6</v>
      </c>
      <c r="X424" s="117">
        <v>0</v>
      </c>
      <c r="Y424" s="117">
        <v>0</v>
      </c>
      <c r="Z424" s="21" t="b">
        <v>0</v>
      </c>
      <c r="AA424" s="162">
        <f>+$AD$5-Tabla2[[#This Row],[FECHA DE FACTURACIÓN]]</f>
        <v>335</v>
      </c>
      <c r="AB424" s="163" t="str">
        <f>+IF(Tabla2[[#This Row],[dias de credito]]&gt;=Tabla2[[#This Row],[PLAZO Días]],"venc", "No venc")</f>
        <v>venc</v>
      </c>
      <c r="AC424" s="163" t="str">
        <f>+IF(Tabla2[[#This Row],[FECHA DE PAGO]]&gt;0,"pagada","por pagar")</f>
        <v>pagada</v>
      </c>
      <c r="AD424" s="164" t="str">
        <f>+IF(AND(Tabla2[[#This Row],[venc]]="venc",Tabla2[[#This Row],[estado pago]]="por pagar"),"vencida","no")</f>
        <v>no</v>
      </c>
    </row>
    <row r="425" spans="1:30" ht="19.5" hidden="1" customHeight="1" x14ac:dyDescent="0.25">
      <c r="A425" s="8" t="s">
        <v>1852</v>
      </c>
      <c r="B425" s="8" t="b">
        <v>0</v>
      </c>
      <c r="C425" s="8">
        <v>30</v>
      </c>
      <c r="D425" s="151">
        <v>0</v>
      </c>
      <c r="E425" s="151"/>
      <c r="F425" s="24" t="s">
        <v>84</v>
      </c>
      <c r="G425" s="30">
        <v>45108</v>
      </c>
      <c r="H425" s="81" t="s">
        <v>525</v>
      </c>
      <c r="I425" s="30">
        <v>45108</v>
      </c>
      <c r="J425" s="16" t="s">
        <v>478</v>
      </c>
      <c r="K425" s="9" t="s">
        <v>1530</v>
      </c>
      <c r="L425" s="9"/>
      <c r="M425" s="152">
        <v>840000</v>
      </c>
      <c r="N425" s="153">
        <v>0</v>
      </c>
      <c r="O425" s="152">
        <v>0</v>
      </c>
      <c r="P425" s="154">
        <v>0</v>
      </c>
      <c r="Q425" s="152">
        <v>0</v>
      </c>
      <c r="R425" s="9">
        <v>840000</v>
      </c>
      <c r="S425" s="21" t="s">
        <v>1846</v>
      </c>
      <c r="T425" s="117">
        <v>0</v>
      </c>
      <c r="U425" s="117">
        <v>0</v>
      </c>
      <c r="V425" s="117">
        <v>2023</v>
      </c>
      <c r="W425" s="117">
        <v>6</v>
      </c>
      <c r="X425" s="117">
        <v>0</v>
      </c>
      <c r="Y425" s="117">
        <v>0</v>
      </c>
      <c r="Z425" s="21" t="b">
        <v>0</v>
      </c>
      <c r="AA425" s="162">
        <f>+$AD$5-Tabla2[[#This Row],[FECHA DE FACTURACIÓN]]</f>
        <v>335</v>
      </c>
      <c r="AB425" s="163" t="str">
        <f>+IF(Tabla2[[#This Row],[dias de credito]]&gt;=Tabla2[[#This Row],[PLAZO Días]],"venc", "No venc")</f>
        <v>venc</v>
      </c>
      <c r="AC425" s="163" t="str">
        <f>+IF(Tabla2[[#This Row],[FECHA DE PAGO]]&gt;0,"pagada","por pagar")</f>
        <v>pagada</v>
      </c>
      <c r="AD425" s="164" t="str">
        <f>+IF(AND(Tabla2[[#This Row],[venc]]="venc",Tabla2[[#This Row],[estado pago]]="por pagar"),"vencida","no")</f>
        <v>no</v>
      </c>
    </row>
    <row r="426" spans="1:30" ht="19.5" hidden="1" customHeight="1" x14ac:dyDescent="0.25">
      <c r="A426" s="8" t="s">
        <v>1852</v>
      </c>
      <c r="B426" s="8" t="b">
        <v>0</v>
      </c>
      <c r="C426" s="8">
        <v>30</v>
      </c>
      <c r="D426" s="151">
        <v>0</v>
      </c>
      <c r="E426" s="151"/>
      <c r="F426" s="24" t="s">
        <v>84</v>
      </c>
      <c r="G426" s="30">
        <v>45108</v>
      </c>
      <c r="H426" s="81" t="s">
        <v>525</v>
      </c>
      <c r="I426" s="30">
        <v>45108</v>
      </c>
      <c r="J426" s="16" t="s">
        <v>477</v>
      </c>
      <c r="K426" s="9" t="s">
        <v>1530</v>
      </c>
      <c r="L426" s="9"/>
      <c r="M426" s="152">
        <v>1419000</v>
      </c>
      <c r="N426" s="153">
        <v>0</v>
      </c>
      <c r="O426" s="152">
        <v>0</v>
      </c>
      <c r="P426" s="154">
        <v>0</v>
      </c>
      <c r="Q426" s="152">
        <v>0</v>
      </c>
      <c r="R426" s="9">
        <v>1419000</v>
      </c>
      <c r="S426" s="21" t="s">
        <v>1846</v>
      </c>
      <c r="T426" s="117">
        <v>0</v>
      </c>
      <c r="U426" s="117">
        <v>0</v>
      </c>
      <c r="V426" s="117">
        <v>2023</v>
      </c>
      <c r="W426" s="117">
        <v>6</v>
      </c>
      <c r="X426" s="117">
        <v>0</v>
      </c>
      <c r="Y426" s="117">
        <v>0</v>
      </c>
      <c r="Z426" s="21" t="b">
        <v>0</v>
      </c>
      <c r="AA426" s="162">
        <f>+$AD$5-Tabla2[[#This Row],[FECHA DE FACTURACIÓN]]</f>
        <v>335</v>
      </c>
      <c r="AB426" s="163" t="str">
        <f>+IF(Tabla2[[#This Row],[dias de credito]]&gt;=Tabla2[[#This Row],[PLAZO Días]],"venc", "No venc")</f>
        <v>venc</v>
      </c>
      <c r="AC426" s="163" t="str">
        <f>+IF(Tabla2[[#This Row],[FECHA DE PAGO]]&gt;0,"pagada","por pagar")</f>
        <v>pagada</v>
      </c>
      <c r="AD426" s="164" t="str">
        <f>+IF(AND(Tabla2[[#This Row],[venc]]="venc",Tabla2[[#This Row],[estado pago]]="por pagar"),"vencida","no")</f>
        <v>no</v>
      </c>
    </row>
    <row r="427" spans="1:30" ht="19.5" hidden="1" customHeight="1" x14ac:dyDescent="0.25">
      <c r="A427" s="8" t="s">
        <v>1850</v>
      </c>
      <c r="B427" s="8" t="s">
        <v>1851</v>
      </c>
      <c r="C427" s="8">
        <v>30</v>
      </c>
      <c r="D427" s="151">
        <v>352000</v>
      </c>
      <c r="E427" s="151"/>
      <c r="F427" s="24" t="s">
        <v>84</v>
      </c>
      <c r="G427" s="30">
        <v>45111</v>
      </c>
      <c r="H427" s="81" t="s">
        <v>527</v>
      </c>
      <c r="I427" s="30">
        <v>45047</v>
      </c>
      <c r="J427" s="16">
        <v>45</v>
      </c>
      <c r="K427" s="9" t="s">
        <v>1530</v>
      </c>
      <c r="L427" s="9"/>
      <c r="M427" s="152">
        <v>420500</v>
      </c>
      <c r="N427" s="153">
        <v>0</v>
      </c>
      <c r="O427" s="152">
        <v>0</v>
      </c>
      <c r="P427" s="154">
        <v>0</v>
      </c>
      <c r="Q427" s="152">
        <v>0</v>
      </c>
      <c r="R427" s="9">
        <v>420500</v>
      </c>
      <c r="S427" s="21" t="s">
        <v>1846</v>
      </c>
      <c r="T427" s="117">
        <v>0</v>
      </c>
      <c r="U427" s="117">
        <v>0</v>
      </c>
      <c r="V427" s="117">
        <v>2023</v>
      </c>
      <c r="W427" s="117">
        <v>6</v>
      </c>
      <c r="X427" s="117">
        <v>0</v>
      </c>
      <c r="Y427" s="117">
        <v>0</v>
      </c>
      <c r="Z427" s="21" t="b">
        <v>0</v>
      </c>
      <c r="AA427" s="162">
        <f>+$AD$5-Tabla2[[#This Row],[FECHA DE FACTURACIÓN]]</f>
        <v>396</v>
      </c>
      <c r="AB427" s="163" t="str">
        <f>+IF(Tabla2[[#This Row],[dias de credito]]&gt;=Tabla2[[#This Row],[PLAZO Días]],"venc", "No venc")</f>
        <v>venc</v>
      </c>
      <c r="AC427" s="163" t="str">
        <f>+IF(Tabla2[[#This Row],[FECHA DE PAGO]]&gt;0,"pagada","por pagar")</f>
        <v>pagada</v>
      </c>
      <c r="AD427" s="164" t="str">
        <f>+IF(AND(Tabla2[[#This Row],[venc]]="venc",Tabla2[[#This Row],[estado pago]]="por pagar"),"vencida","no")</f>
        <v>no</v>
      </c>
    </row>
    <row r="428" spans="1:30" ht="19.5" hidden="1" customHeight="1" x14ac:dyDescent="0.25">
      <c r="A428" s="8" t="s">
        <v>1850</v>
      </c>
      <c r="B428" s="8" t="s">
        <v>1851</v>
      </c>
      <c r="C428" s="8">
        <v>30</v>
      </c>
      <c r="D428" s="151">
        <v>352000</v>
      </c>
      <c r="E428" s="151"/>
      <c r="F428" s="24" t="s">
        <v>84</v>
      </c>
      <c r="G428" s="30">
        <v>45111</v>
      </c>
      <c r="H428" s="81" t="s">
        <v>527</v>
      </c>
      <c r="I428" s="30">
        <v>45055</v>
      </c>
      <c r="J428" s="16">
        <v>46</v>
      </c>
      <c r="K428" s="9" t="s">
        <v>1530</v>
      </c>
      <c r="L428" s="9"/>
      <c r="M428" s="152">
        <v>59000</v>
      </c>
      <c r="N428" s="153">
        <v>0</v>
      </c>
      <c r="O428" s="152">
        <v>0</v>
      </c>
      <c r="P428" s="154">
        <v>0</v>
      </c>
      <c r="Q428" s="152">
        <v>0</v>
      </c>
      <c r="R428" s="9">
        <v>59000</v>
      </c>
      <c r="S428" s="21" t="s">
        <v>1846</v>
      </c>
      <c r="T428" s="117">
        <v>0</v>
      </c>
      <c r="U428" s="117">
        <v>0</v>
      </c>
      <c r="V428" s="117">
        <v>2023</v>
      </c>
      <c r="W428" s="117">
        <v>6</v>
      </c>
      <c r="X428" s="117">
        <v>0</v>
      </c>
      <c r="Y428" s="117">
        <v>0</v>
      </c>
      <c r="Z428" s="21" t="b">
        <v>0</v>
      </c>
      <c r="AA428" s="162">
        <f>+$AD$5-Tabla2[[#This Row],[FECHA DE FACTURACIÓN]]</f>
        <v>388</v>
      </c>
      <c r="AB428" s="163" t="str">
        <f>+IF(Tabla2[[#This Row],[dias de credito]]&gt;=Tabla2[[#This Row],[PLAZO Días]],"venc", "No venc")</f>
        <v>venc</v>
      </c>
      <c r="AC428" s="163" t="str">
        <f>+IF(Tabla2[[#This Row],[FECHA DE PAGO]]&gt;0,"pagada","por pagar")</f>
        <v>pagada</v>
      </c>
      <c r="AD428" s="164" t="str">
        <f>+IF(AND(Tabla2[[#This Row],[venc]]="venc",Tabla2[[#This Row],[estado pago]]="por pagar"),"vencida","no")</f>
        <v>no</v>
      </c>
    </row>
    <row r="429" spans="1:30" ht="19.5" hidden="1" customHeight="1" x14ac:dyDescent="0.25">
      <c r="A429" s="8" t="s">
        <v>1850</v>
      </c>
      <c r="B429" s="8" t="s">
        <v>1851</v>
      </c>
      <c r="C429" s="8">
        <v>30</v>
      </c>
      <c r="D429" s="151">
        <v>9349257.8100000005</v>
      </c>
      <c r="E429" s="151"/>
      <c r="F429" s="24" t="s">
        <v>277</v>
      </c>
      <c r="G429" s="30">
        <v>45111</v>
      </c>
      <c r="H429" s="81" t="s">
        <v>226</v>
      </c>
      <c r="I429" s="30">
        <v>45056</v>
      </c>
      <c r="J429" s="16" t="s">
        <v>798</v>
      </c>
      <c r="K429" s="9" t="s">
        <v>1530</v>
      </c>
      <c r="L429" s="9"/>
      <c r="M429" s="152">
        <v>3156811</v>
      </c>
      <c r="N429" s="153">
        <v>599794.09</v>
      </c>
      <c r="O429" s="152">
        <v>0</v>
      </c>
      <c r="P429" s="154">
        <v>2.5000000000000001E-2</v>
      </c>
      <c r="Q429" s="152">
        <v>78920.275000000009</v>
      </c>
      <c r="R429" s="9">
        <v>3677684.8149999999</v>
      </c>
      <c r="S429" s="21" t="s">
        <v>1846</v>
      </c>
      <c r="T429" s="117">
        <v>0</v>
      </c>
      <c r="U429" s="117" t="s">
        <v>347</v>
      </c>
      <c r="V429" s="117">
        <v>2023</v>
      </c>
      <c r="W429" s="117">
        <v>6</v>
      </c>
      <c r="X429" s="117">
        <v>1145000</v>
      </c>
      <c r="Y429" s="117">
        <v>2.5000000000000001E-2</v>
      </c>
      <c r="Z429" s="21" t="b">
        <v>0</v>
      </c>
      <c r="AA429" s="162">
        <f>+$AD$5-Tabla2[[#This Row],[FECHA DE FACTURACIÓN]]</f>
        <v>387</v>
      </c>
      <c r="AB429" s="163" t="str">
        <f>+IF(Tabla2[[#This Row],[dias de credito]]&gt;=Tabla2[[#This Row],[PLAZO Días]],"venc", "No venc")</f>
        <v>venc</v>
      </c>
      <c r="AC429" s="163" t="str">
        <f>+IF(Tabla2[[#This Row],[FECHA DE PAGO]]&gt;0,"pagada","por pagar")</f>
        <v>pagada</v>
      </c>
      <c r="AD429" s="164" t="str">
        <f>+IF(AND(Tabla2[[#This Row],[venc]]="venc",Tabla2[[#This Row],[estado pago]]="por pagar"),"vencida","no")</f>
        <v>no</v>
      </c>
    </row>
    <row r="430" spans="1:30" ht="19.5" hidden="1" customHeight="1" x14ac:dyDescent="0.25">
      <c r="A430" s="8" t="s">
        <v>1850</v>
      </c>
      <c r="B430" s="8" t="s">
        <v>1851</v>
      </c>
      <c r="C430" s="8">
        <v>30</v>
      </c>
      <c r="D430" s="151">
        <v>0</v>
      </c>
      <c r="E430" s="151"/>
      <c r="F430" s="24" t="s">
        <v>152</v>
      </c>
      <c r="G430" s="30">
        <v>45111</v>
      </c>
      <c r="H430" s="81" t="s">
        <v>16</v>
      </c>
      <c r="I430" s="30">
        <v>45057</v>
      </c>
      <c r="J430" s="16" t="s">
        <v>797</v>
      </c>
      <c r="K430" s="9" t="s">
        <v>1530</v>
      </c>
      <c r="L430" s="9"/>
      <c r="M430" s="152">
        <v>436975</v>
      </c>
      <c r="N430" s="153">
        <v>83025.25</v>
      </c>
      <c r="O430" s="152">
        <v>0</v>
      </c>
      <c r="P430" s="154">
        <v>0</v>
      </c>
      <c r="Q430" s="152">
        <v>0</v>
      </c>
      <c r="R430" s="9">
        <v>520000.25</v>
      </c>
      <c r="S430" s="21" t="s">
        <v>1846</v>
      </c>
      <c r="T430" s="117">
        <v>0</v>
      </c>
      <c r="U430" s="117" t="s">
        <v>347</v>
      </c>
      <c r="V430" s="117">
        <v>2023</v>
      </c>
      <c r="W430" s="117">
        <v>6</v>
      </c>
      <c r="X430" s="117">
        <v>1145000</v>
      </c>
      <c r="Y430" s="117">
        <v>2.5000000000000001E-2</v>
      </c>
      <c r="Z430" s="21" t="b">
        <v>0</v>
      </c>
      <c r="AA430" s="162">
        <f>+$AD$5-Tabla2[[#This Row],[FECHA DE FACTURACIÓN]]</f>
        <v>386</v>
      </c>
      <c r="AB430" s="163" t="str">
        <f>+IF(Tabla2[[#This Row],[dias de credito]]&gt;=Tabla2[[#This Row],[PLAZO Días]],"venc", "No venc")</f>
        <v>venc</v>
      </c>
      <c r="AC430" s="163" t="str">
        <f>+IF(Tabla2[[#This Row],[FECHA DE PAGO]]&gt;0,"pagada","por pagar")</f>
        <v>pagada</v>
      </c>
      <c r="AD430" s="164" t="str">
        <f>+IF(AND(Tabla2[[#This Row],[venc]]="venc",Tabla2[[#This Row],[estado pago]]="por pagar"),"vencida","no")</f>
        <v>no</v>
      </c>
    </row>
    <row r="431" spans="1:30" ht="19.5" hidden="1" customHeight="1" x14ac:dyDescent="0.25">
      <c r="A431" s="8" t="s">
        <v>1850</v>
      </c>
      <c r="B431" s="8" t="s">
        <v>1851</v>
      </c>
      <c r="C431" s="8">
        <v>30</v>
      </c>
      <c r="D431" s="151">
        <v>9349257.8100000005</v>
      </c>
      <c r="E431" s="151"/>
      <c r="F431" s="24" t="s">
        <v>277</v>
      </c>
      <c r="G431" s="30">
        <v>45111</v>
      </c>
      <c r="H431" s="81" t="s">
        <v>226</v>
      </c>
      <c r="I431" s="30">
        <v>45062</v>
      </c>
      <c r="J431" s="16" t="s">
        <v>799</v>
      </c>
      <c r="K431" s="9" t="s">
        <v>1530</v>
      </c>
      <c r="L431" s="9"/>
      <c r="M431" s="152">
        <v>-123655</v>
      </c>
      <c r="N431" s="153">
        <v>-23494.45</v>
      </c>
      <c r="O431" s="152">
        <v>0</v>
      </c>
      <c r="P431" s="154">
        <v>0</v>
      </c>
      <c r="Q431" s="152">
        <v>0</v>
      </c>
      <c r="R431" s="9">
        <v>-147149.45000000001</v>
      </c>
      <c r="S431" s="21" t="s">
        <v>1846</v>
      </c>
      <c r="T431" s="117">
        <v>0</v>
      </c>
      <c r="U431" s="117" t="s">
        <v>347</v>
      </c>
      <c r="V431" s="117">
        <v>2023</v>
      </c>
      <c r="W431" s="117">
        <v>6</v>
      </c>
      <c r="X431" s="117">
        <v>1145000</v>
      </c>
      <c r="Y431" s="117">
        <v>2.5000000000000001E-2</v>
      </c>
      <c r="Z431" s="21" t="b">
        <v>0</v>
      </c>
      <c r="AA431" s="162">
        <f>+$AD$5-Tabla2[[#This Row],[FECHA DE FACTURACIÓN]]</f>
        <v>381</v>
      </c>
      <c r="AB431" s="163" t="str">
        <f>+IF(Tabla2[[#This Row],[dias de credito]]&gt;=Tabla2[[#This Row],[PLAZO Días]],"venc", "No venc")</f>
        <v>venc</v>
      </c>
      <c r="AC431" s="163" t="str">
        <f>+IF(Tabla2[[#This Row],[FECHA DE PAGO]]&gt;0,"pagada","por pagar")</f>
        <v>pagada</v>
      </c>
      <c r="AD431" s="164" t="str">
        <f>+IF(AND(Tabla2[[#This Row],[venc]]="venc",Tabla2[[#This Row],[estado pago]]="por pagar"),"vencida","no")</f>
        <v>no</v>
      </c>
    </row>
    <row r="432" spans="1:30" ht="19.5" hidden="1" customHeight="1" x14ac:dyDescent="0.25">
      <c r="A432" s="8" t="s">
        <v>1850</v>
      </c>
      <c r="B432" s="8" t="s">
        <v>1851</v>
      </c>
      <c r="C432" s="8">
        <v>30</v>
      </c>
      <c r="D432" s="151">
        <v>352000</v>
      </c>
      <c r="E432" s="151"/>
      <c r="F432" s="24" t="s">
        <v>84</v>
      </c>
      <c r="G432" s="30">
        <v>45111</v>
      </c>
      <c r="H432" s="81" t="s">
        <v>527</v>
      </c>
      <c r="I432" s="30">
        <v>45065</v>
      </c>
      <c r="J432" s="16">
        <v>47</v>
      </c>
      <c r="K432" s="9" t="s">
        <v>1530</v>
      </c>
      <c r="L432" s="9"/>
      <c r="M432" s="152">
        <v>58000</v>
      </c>
      <c r="N432" s="153">
        <v>0</v>
      </c>
      <c r="O432" s="152">
        <v>0</v>
      </c>
      <c r="P432" s="154">
        <v>0</v>
      </c>
      <c r="Q432" s="152">
        <v>0</v>
      </c>
      <c r="R432" s="9">
        <v>58000</v>
      </c>
      <c r="S432" s="21" t="s">
        <v>1846</v>
      </c>
      <c r="T432" s="117">
        <v>0</v>
      </c>
      <c r="U432" s="117">
        <v>0</v>
      </c>
      <c r="V432" s="117">
        <v>2023</v>
      </c>
      <c r="W432" s="117">
        <v>6</v>
      </c>
      <c r="X432" s="117">
        <v>0</v>
      </c>
      <c r="Y432" s="117">
        <v>0</v>
      </c>
      <c r="Z432" s="21" t="b">
        <v>0</v>
      </c>
      <c r="AA432" s="162">
        <f>+$AD$5-Tabla2[[#This Row],[FECHA DE FACTURACIÓN]]</f>
        <v>378</v>
      </c>
      <c r="AB432" s="163" t="str">
        <f>+IF(Tabla2[[#This Row],[dias de credito]]&gt;=Tabla2[[#This Row],[PLAZO Días]],"venc", "No venc")</f>
        <v>venc</v>
      </c>
      <c r="AC432" s="163" t="str">
        <f>+IF(Tabla2[[#This Row],[FECHA DE PAGO]]&gt;0,"pagada","por pagar")</f>
        <v>pagada</v>
      </c>
      <c r="AD432" s="164" t="str">
        <f>+IF(AND(Tabla2[[#This Row],[venc]]="venc",Tabla2[[#This Row],[estado pago]]="por pagar"),"vencida","no")</f>
        <v>no</v>
      </c>
    </row>
    <row r="433" spans="1:30" ht="19.5" hidden="1" customHeight="1" x14ac:dyDescent="0.25">
      <c r="A433" s="8" t="s">
        <v>1850</v>
      </c>
      <c r="B433" s="8" t="s">
        <v>1851</v>
      </c>
      <c r="C433" s="8">
        <v>30</v>
      </c>
      <c r="D433" s="151">
        <v>352000</v>
      </c>
      <c r="E433" s="151"/>
      <c r="F433" s="24" t="s">
        <v>84</v>
      </c>
      <c r="G433" s="30">
        <v>45111</v>
      </c>
      <c r="H433" s="81" t="s">
        <v>527</v>
      </c>
      <c r="I433" s="30">
        <v>45067</v>
      </c>
      <c r="J433" s="16">
        <v>48</v>
      </c>
      <c r="K433" s="9" t="s">
        <v>1530</v>
      </c>
      <c r="L433" s="9"/>
      <c r="M433" s="152">
        <v>54000</v>
      </c>
      <c r="N433" s="153">
        <v>0</v>
      </c>
      <c r="O433" s="152">
        <v>0</v>
      </c>
      <c r="P433" s="154">
        <v>0</v>
      </c>
      <c r="Q433" s="152">
        <v>0</v>
      </c>
      <c r="R433" s="9">
        <v>54000</v>
      </c>
      <c r="S433" s="21" t="s">
        <v>1846</v>
      </c>
      <c r="T433" s="117">
        <v>0</v>
      </c>
      <c r="U433" s="117">
        <v>0</v>
      </c>
      <c r="V433" s="117">
        <v>2023</v>
      </c>
      <c r="W433" s="117">
        <v>6</v>
      </c>
      <c r="X433" s="117">
        <v>0</v>
      </c>
      <c r="Y433" s="117">
        <v>0</v>
      </c>
      <c r="Z433" s="21" t="b">
        <v>0</v>
      </c>
      <c r="AA433" s="162">
        <f>+$AD$5-Tabla2[[#This Row],[FECHA DE FACTURACIÓN]]</f>
        <v>376</v>
      </c>
      <c r="AB433" s="163" t="str">
        <f>+IF(Tabla2[[#This Row],[dias de credito]]&gt;=Tabla2[[#This Row],[PLAZO Días]],"venc", "No venc")</f>
        <v>venc</v>
      </c>
      <c r="AC433" s="163" t="str">
        <f>+IF(Tabla2[[#This Row],[FECHA DE PAGO]]&gt;0,"pagada","por pagar")</f>
        <v>pagada</v>
      </c>
      <c r="AD433" s="164" t="str">
        <f>+IF(AND(Tabla2[[#This Row],[venc]]="venc",Tabla2[[#This Row],[estado pago]]="por pagar"),"vencida","no")</f>
        <v>no</v>
      </c>
    </row>
    <row r="434" spans="1:30" ht="19.5" hidden="1" customHeight="1" x14ac:dyDescent="0.25">
      <c r="A434" s="8" t="s">
        <v>1850</v>
      </c>
      <c r="B434" s="8" t="s">
        <v>1851</v>
      </c>
      <c r="C434" s="8">
        <v>30</v>
      </c>
      <c r="D434" s="151">
        <v>352000</v>
      </c>
      <c r="E434" s="151"/>
      <c r="F434" s="24" t="s">
        <v>84</v>
      </c>
      <c r="G434" s="30">
        <v>45111</v>
      </c>
      <c r="H434" s="81" t="s">
        <v>527</v>
      </c>
      <c r="I434" s="30">
        <v>45076</v>
      </c>
      <c r="J434" s="16">
        <v>49</v>
      </c>
      <c r="K434" s="9" t="s">
        <v>1530</v>
      </c>
      <c r="L434" s="9"/>
      <c r="M434" s="152">
        <v>101500</v>
      </c>
      <c r="N434" s="153">
        <v>0</v>
      </c>
      <c r="O434" s="152">
        <v>0</v>
      </c>
      <c r="P434" s="154">
        <v>0</v>
      </c>
      <c r="Q434" s="152">
        <v>0</v>
      </c>
      <c r="R434" s="9">
        <v>101500</v>
      </c>
      <c r="S434" s="21" t="s">
        <v>1846</v>
      </c>
      <c r="T434" s="117">
        <v>0</v>
      </c>
      <c r="U434" s="117">
        <v>0</v>
      </c>
      <c r="V434" s="117">
        <v>2023</v>
      </c>
      <c r="W434" s="117">
        <v>6</v>
      </c>
      <c r="X434" s="117">
        <v>0</v>
      </c>
      <c r="Y434" s="117">
        <v>0</v>
      </c>
      <c r="Z434" s="21" t="b">
        <v>0</v>
      </c>
      <c r="AA434" s="162">
        <f>+$AD$5-Tabla2[[#This Row],[FECHA DE FACTURACIÓN]]</f>
        <v>367</v>
      </c>
      <c r="AB434" s="163" t="str">
        <f>+IF(Tabla2[[#This Row],[dias de credito]]&gt;=Tabla2[[#This Row],[PLAZO Días]],"venc", "No venc")</f>
        <v>venc</v>
      </c>
      <c r="AC434" s="163" t="str">
        <f>+IF(Tabla2[[#This Row],[FECHA DE PAGO]]&gt;0,"pagada","por pagar")</f>
        <v>pagada</v>
      </c>
      <c r="AD434" s="164" t="str">
        <f>+IF(AND(Tabla2[[#This Row],[venc]]="venc",Tabla2[[#This Row],[estado pago]]="por pagar"),"vencida","no")</f>
        <v>no</v>
      </c>
    </row>
    <row r="435" spans="1:30" ht="19.5" hidden="1" customHeight="1" x14ac:dyDescent="0.25">
      <c r="A435" s="8" t="s">
        <v>1850</v>
      </c>
      <c r="B435" s="8" t="s">
        <v>1851</v>
      </c>
      <c r="C435" s="8">
        <v>30</v>
      </c>
      <c r="D435" s="151">
        <v>352000</v>
      </c>
      <c r="E435" s="151"/>
      <c r="F435" s="24" t="s">
        <v>84</v>
      </c>
      <c r="G435" s="30">
        <v>45111</v>
      </c>
      <c r="H435" s="81" t="s">
        <v>527</v>
      </c>
      <c r="I435" s="30">
        <v>45079</v>
      </c>
      <c r="J435" s="16">
        <v>50</v>
      </c>
      <c r="K435" s="9" t="s">
        <v>1530</v>
      </c>
      <c r="L435" s="9"/>
      <c r="M435" s="152">
        <v>170000</v>
      </c>
      <c r="N435" s="153">
        <v>0</v>
      </c>
      <c r="O435" s="152">
        <v>0</v>
      </c>
      <c r="P435" s="154">
        <v>0</v>
      </c>
      <c r="Q435" s="152">
        <v>0</v>
      </c>
      <c r="R435" s="9">
        <v>170000</v>
      </c>
      <c r="S435" s="21" t="s">
        <v>1846</v>
      </c>
      <c r="T435" s="117">
        <v>0</v>
      </c>
      <c r="U435" s="117">
        <v>0</v>
      </c>
      <c r="V435" s="117">
        <v>2023</v>
      </c>
      <c r="W435" s="117">
        <v>6</v>
      </c>
      <c r="X435" s="117">
        <v>0</v>
      </c>
      <c r="Y435" s="117">
        <v>0</v>
      </c>
      <c r="Z435" s="21" t="b">
        <v>0</v>
      </c>
      <c r="AA435" s="162">
        <f>+$AD$5-Tabla2[[#This Row],[FECHA DE FACTURACIÓN]]</f>
        <v>364</v>
      </c>
      <c r="AB435" s="163" t="str">
        <f>+IF(Tabla2[[#This Row],[dias de credito]]&gt;=Tabla2[[#This Row],[PLAZO Días]],"venc", "No venc")</f>
        <v>venc</v>
      </c>
      <c r="AC435" s="163" t="str">
        <f>+IF(Tabla2[[#This Row],[FECHA DE PAGO]]&gt;0,"pagada","por pagar")</f>
        <v>pagada</v>
      </c>
      <c r="AD435" s="164" t="str">
        <f>+IF(AND(Tabla2[[#This Row],[venc]]="venc",Tabla2[[#This Row],[estado pago]]="por pagar"),"vencida","no")</f>
        <v>no</v>
      </c>
    </row>
    <row r="436" spans="1:30" ht="19.5" hidden="1" customHeight="1" x14ac:dyDescent="0.25">
      <c r="A436" s="8" t="s">
        <v>1850</v>
      </c>
      <c r="B436" s="8" t="b">
        <v>0</v>
      </c>
      <c r="C436" s="8">
        <v>30</v>
      </c>
      <c r="D436" s="151">
        <v>352000</v>
      </c>
      <c r="E436" s="151"/>
      <c r="F436" s="24" t="s">
        <v>84</v>
      </c>
      <c r="G436" s="30">
        <v>45111</v>
      </c>
      <c r="H436" s="81" t="s">
        <v>527</v>
      </c>
      <c r="I436" s="30">
        <v>45083</v>
      </c>
      <c r="J436" s="16">
        <v>51</v>
      </c>
      <c r="K436" s="9" t="s">
        <v>1530</v>
      </c>
      <c r="L436" s="9"/>
      <c r="M436" s="152">
        <v>330000</v>
      </c>
      <c r="N436" s="153">
        <v>0</v>
      </c>
      <c r="O436" s="152">
        <v>0</v>
      </c>
      <c r="P436" s="154">
        <v>0</v>
      </c>
      <c r="Q436" s="152">
        <v>0</v>
      </c>
      <c r="R436" s="9">
        <v>330000</v>
      </c>
      <c r="S436" s="21" t="s">
        <v>1846</v>
      </c>
      <c r="T436" s="117">
        <v>0</v>
      </c>
      <c r="U436" s="117">
        <v>0</v>
      </c>
      <c r="V436" s="117">
        <v>2023</v>
      </c>
      <c r="W436" s="117">
        <v>6</v>
      </c>
      <c r="X436" s="117">
        <v>0</v>
      </c>
      <c r="Y436" s="117">
        <v>0</v>
      </c>
      <c r="Z436" s="21" t="b">
        <v>0</v>
      </c>
      <c r="AA436" s="162">
        <f>+$AD$5-Tabla2[[#This Row],[FECHA DE FACTURACIÓN]]</f>
        <v>360</v>
      </c>
      <c r="AB436" s="163" t="str">
        <f>+IF(Tabla2[[#This Row],[dias de credito]]&gt;=Tabla2[[#This Row],[PLAZO Días]],"venc", "No venc")</f>
        <v>venc</v>
      </c>
      <c r="AC436" s="163" t="str">
        <f>+IF(Tabla2[[#This Row],[FECHA DE PAGO]]&gt;0,"pagada","por pagar")</f>
        <v>pagada</v>
      </c>
      <c r="AD436" s="164" t="str">
        <f>+IF(AND(Tabla2[[#This Row],[venc]]="venc",Tabla2[[#This Row],[estado pago]]="por pagar"),"vencida","no")</f>
        <v>no</v>
      </c>
    </row>
    <row r="437" spans="1:30" ht="19.5" hidden="1" customHeight="1" x14ac:dyDescent="0.25">
      <c r="A437" s="8" t="s">
        <v>1850</v>
      </c>
      <c r="B437" s="8" t="b">
        <v>0</v>
      </c>
      <c r="C437" s="8">
        <v>30</v>
      </c>
      <c r="D437" s="151">
        <v>352000</v>
      </c>
      <c r="E437" s="151"/>
      <c r="F437" s="24" t="s">
        <v>84</v>
      </c>
      <c r="G437" s="30">
        <v>45111</v>
      </c>
      <c r="H437" s="81" t="s">
        <v>527</v>
      </c>
      <c r="I437" s="30">
        <v>45084</v>
      </c>
      <c r="J437" s="16">
        <v>52</v>
      </c>
      <c r="K437" s="9" t="s">
        <v>1530</v>
      </c>
      <c r="L437" s="9"/>
      <c r="M437" s="152">
        <v>110000</v>
      </c>
      <c r="N437" s="153">
        <v>0</v>
      </c>
      <c r="O437" s="152">
        <v>0</v>
      </c>
      <c r="P437" s="154">
        <v>0</v>
      </c>
      <c r="Q437" s="152">
        <v>0</v>
      </c>
      <c r="R437" s="9">
        <v>110000</v>
      </c>
      <c r="S437" s="21" t="s">
        <v>1846</v>
      </c>
      <c r="T437" s="117">
        <v>0</v>
      </c>
      <c r="U437" s="117">
        <v>0</v>
      </c>
      <c r="V437" s="117">
        <v>2023</v>
      </c>
      <c r="W437" s="117">
        <v>6</v>
      </c>
      <c r="X437" s="117">
        <v>0</v>
      </c>
      <c r="Y437" s="117">
        <v>0</v>
      </c>
      <c r="Z437" s="21" t="b">
        <v>0</v>
      </c>
      <c r="AA437" s="162">
        <f>+$AD$5-Tabla2[[#This Row],[FECHA DE FACTURACIÓN]]</f>
        <v>359</v>
      </c>
      <c r="AB437" s="163" t="str">
        <f>+IF(Tabla2[[#This Row],[dias de credito]]&gt;=Tabla2[[#This Row],[PLAZO Días]],"venc", "No venc")</f>
        <v>venc</v>
      </c>
      <c r="AC437" s="163" t="str">
        <f>+IF(Tabla2[[#This Row],[FECHA DE PAGO]]&gt;0,"pagada","por pagar")</f>
        <v>pagada</v>
      </c>
      <c r="AD437" s="164" t="str">
        <f>+IF(AND(Tabla2[[#This Row],[venc]]="venc",Tabla2[[#This Row],[estado pago]]="por pagar"),"vencida","no")</f>
        <v>no</v>
      </c>
    </row>
    <row r="438" spans="1:30" ht="19.5" hidden="1" customHeight="1" x14ac:dyDescent="0.25">
      <c r="A438" s="8" t="s">
        <v>1850</v>
      </c>
      <c r="B438" s="8" t="b">
        <v>0</v>
      </c>
      <c r="C438" s="8">
        <v>30</v>
      </c>
      <c r="D438" s="151">
        <v>352000</v>
      </c>
      <c r="E438" s="151"/>
      <c r="F438" s="24" t="s">
        <v>84</v>
      </c>
      <c r="G438" s="30">
        <v>45111</v>
      </c>
      <c r="H438" s="81" t="s">
        <v>527</v>
      </c>
      <c r="I438" s="30">
        <v>45093</v>
      </c>
      <c r="J438" s="16">
        <v>53</v>
      </c>
      <c r="K438" s="9" t="s">
        <v>1530</v>
      </c>
      <c r="L438" s="9"/>
      <c r="M438" s="152">
        <v>170000</v>
      </c>
      <c r="N438" s="153">
        <v>0</v>
      </c>
      <c r="O438" s="152">
        <v>0</v>
      </c>
      <c r="P438" s="154">
        <v>0</v>
      </c>
      <c r="Q438" s="152">
        <v>0</v>
      </c>
      <c r="R438" s="9">
        <v>170000</v>
      </c>
      <c r="S438" s="21" t="s">
        <v>1846</v>
      </c>
      <c r="T438" s="117">
        <v>0</v>
      </c>
      <c r="U438" s="117">
        <v>0</v>
      </c>
      <c r="V438" s="117">
        <v>2023</v>
      </c>
      <c r="W438" s="117">
        <v>6</v>
      </c>
      <c r="X438" s="117">
        <v>0</v>
      </c>
      <c r="Y438" s="117">
        <v>0</v>
      </c>
      <c r="Z438" s="21" t="b">
        <v>0</v>
      </c>
      <c r="AA438" s="162">
        <f>+$AD$5-Tabla2[[#This Row],[FECHA DE FACTURACIÓN]]</f>
        <v>350</v>
      </c>
      <c r="AB438" s="163" t="str">
        <f>+IF(Tabla2[[#This Row],[dias de credito]]&gt;=Tabla2[[#This Row],[PLAZO Días]],"venc", "No venc")</f>
        <v>venc</v>
      </c>
      <c r="AC438" s="163" t="str">
        <f>+IF(Tabla2[[#This Row],[FECHA DE PAGO]]&gt;0,"pagada","por pagar")</f>
        <v>pagada</v>
      </c>
      <c r="AD438" s="164" t="str">
        <f>+IF(AND(Tabla2[[#This Row],[venc]]="venc",Tabla2[[#This Row],[estado pago]]="por pagar"),"vencida","no")</f>
        <v>no</v>
      </c>
    </row>
    <row r="439" spans="1:30" ht="19.5" hidden="1" customHeight="1" x14ac:dyDescent="0.25">
      <c r="A439" s="8" t="s">
        <v>1850</v>
      </c>
      <c r="B439" s="8" t="b">
        <v>0</v>
      </c>
      <c r="C439" s="8">
        <v>30</v>
      </c>
      <c r="D439" s="151">
        <v>352000</v>
      </c>
      <c r="E439" s="151"/>
      <c r="F439" s="24" t="s">
        <v>84</v>
      </c>
      <c r="G439" s="30">
        <v>45111</v>
      </c>
      <c r="H439" s="81" t="s">
        <v>527</v>
      </c>
      <c r="I439" s="30">
        <v>45097</v>
      </c>
      <c r="J439" s="16">
        <v>54</v>
      </c>
      <c r="K439" s="9" t="s">
        <v>1530</v>
      </c>
      <c r="L439" s="9"/>
      <c r="M439" s="152">
        <v>103000</v>
      </c>
      <c r="N439" s="153">
        <v>0</v>
      </c>
      <c r="O439" s="152">
        <v>0</v>
      </c>
      <c r="P439" s="154">
        <v>0</v>
      </c>
      <c r="Q439" s="152">
        <v>0</v>
      </c>
      <c r="R439" s="9">
        <v>103000</v>
      </c>
      <c r="S439" s="21" t="s">
        <v>1846</v>
      </c>
      <c r="T439" s="117">
        <v>0</v>
      </c>
      <c r="U439" s="117">
        <v>0</v>
      </c>
      <c r="V439" s="117">
        <v>2023</v>
      </c>
      <c r="W439" s="117">
        <v>6</v>
      </c>
      <c r="X439" s="117">
        <v>0</v>
      </c>
      <c r="Y439" s="117">
        <v>0</v>
      </c>
      <c r="Z439" s="21" t="b">
        <v>0</v>
      </c>
      <c r="AA439" s="162">
        <f>+$AD$5-Tabla2[[#This Row],[FECHA DE FACTURACIÓN]]</f>
        <v>346</v>
      </c>
      <c r="AB439" s="163" t="str">
        <f>+IF(Tabla2[[#This Row],[dias de credito]]&gt;=Tabla2[[#This Row],[PLAZO Días]],"venc", "No venc")</f>
        <v>venc</v>
      </c>
      <c r="AC439" s="163" t="str">
        <f>+IF(Tabla2[[#This Row],[FECHA DE PAGO]]&gt;0,"pagada","por pagar")</f>
        <v>pagada</v>
      </c>
      <c r="AD439" s="164" t="str">
        <f>+IF(AND(Tabla2[[#This Row],[venc]]="venc",Tabla2[[#This Row],[estado pago]]="por pagar"),"vencida","no")</f>
        <v>no</v>
      </c>
    </row>
    <row r="440" spans="1:30" ht="19.5" hidden="1" customHeight="1" x14ac:dyDescent="0.25">
      <c r="A440" s="8" t="s">
        <v>1850</v>
      </c>
      <c r="B440" s="8" t="b">
        <v>0</v>
      </c>
      <c r="C440" s="8">
        <v>30</v>
      </c>
      <c r="D440" s="151">
        <v>352000</v>
      </c>
      <c r="E440" s="151"/>
      <c r="F440" s="24" t="s">
        <v>84</v>
      </c>
      <c r="G440" s="30">
        <v>45111</v>
      </c>
      <c r="H440" s="81" t="s">
        <v>527</v>
      </c>
      <c r="I440" s="30">
        <v>45098</v>
      </c>
      <c r="J440" s="16">
        <v>56</v>
      </c>
      <c r="K440" s="9" t="s">
        <v>1530</v>
      </c>
      <c r="L440" s="9"/>
      <c r="M440" s="152">
        <v>302000</v>
      </c>
      <c r="N440" s="153">
        <v>0</v>
      </c>
      <c r="O440" s="152">
        <v>0</v>
      </c>
      <c r="P440" s="154">
        <v>0</v>
      </c>
      <c r="Q440" s="152">
        <v>0</v>
      </c>
      <c r="R440" s="9">
        <v>302000</v>
      </c>
      <c r="S440" s="21" t="s">
        <v>1846</v>
      </c>
      <c r="T440" s="117">
        <v>0</v>
      </c>
      <c r="U440" s="117">
        <v>0</v>
      </c>
      <c r="V440" s="117">
        <v>2023</v>
      </c>
      <c r="W440" s="117">
        <v>6</v>
      </c>
      <c r="X440" s="117">
        <v>0</v>
      </c>
      <c r="Y440" s="117">
        <v>0</v>
      </c>
      <c r="Z440" s="21" t="b">
        <v>0</v>
      </c>
      <c r="AA440" s="162">
        <f>+$AD$5-Tabla2[[#This Row],[FECHA DE FACTURACIÓN]]</f>
        <v>345</v>
      </c>
      <c r="AB440" s="163" t="str">
        <f>+IF(Tabla2[[#This Row],[dias de credito]]&gt;=Tabla2[[#This Row],[PLAZO Días]],"venc", "No venc")</f>
        <v>venc</v>
      </c>
      <c r="AC440" s="163" t="str">
        <f>+IF(Tabla2[[#This Row],[FECHA DE PAGO]]&gt;0,"pagada","por pagar")</f>
        <v>pagada</v>
      </c>
      <c r="AD440" s="164" t="str">
        <f>+IF(AND(Tabla2[[#This Row],[venc]]="venc",Tabla2[[#This Row],[estado pago]]="por pagar"),"vencida","no")</f>
        <v>no</v>
      </c>
    </row>
    <row r="441" spans="1:30" ht="19.5" hidden="1" customHeight="1" x14ac:dyDescent="0.25">
      <c r="A441" s="8" t="s">
        <v>1850</v>
      </c>
      <c r="B441" s="8" t="b">
        <v>0</v>
      </c>
      <c r="C441" s="8">
        <v>30</v>
      </c>
      <c r="D441" s="151">
        <v>352000</v>
      </c>
      <c r="E441" s="151"/>
      <c r="F441" s="24" t="s">
        <v>84</v>
      </c>
      <c r="G441" s="30">
        <v>45111</v>
      </c>
      <c r="H441" s="81" t="s">
        <v>527</v>
      </c>
      <c r="I441" s="30">
        <v>45098</v>
      </c>
      <c r="J441" s="16">
        <v>55</v>
      </c>
      <c r="K441" s="9" t="s">
        <v>1530</v>
      </c>
      <c r="L441" s="9"/>
      <c r="M441" s="152">
        <v>687000</v>
      </c>
      <c r="N441" s="153">
        <v>0</v>
      </c>
      <c r="O441" s="152">
        <v>0</v>
      </c>
      <c r="P441" s="154">
        <v>0</v>
      </c>
      <c r="Q441" s="152">
        <v>0</v>
      </c>
      <c r="R441" s="9">
        <v>687000</v>
      </c>
      <c r="S441" s="21" t="s">
        <v>1846</v>
      </c>
      <c r="T441" s="117">
        <v>0</v>
      </c>
      <c r="U441" s="117">
        <v>0</v>
      </c>
      <c r="V441" s="117">
        <v>2023</v>
      </c>
      <c r="W441" s="117">
        <v>6</v>
      </c>
      <c r="X441" s="117">
        <v>0</v>
      </c>
      <c r="Y441" s="117">
        <v>0</v>
      </c>
      <c r="Z441" s="21" t="b">
        <v>0</v>
      </c>
      <c r="AA441" s="162">
        <f>+$AD$5-Tabla2[[#This Row],[FECHA DE FACTURACIÓN]]</f>
        <v>345</v>
      </c>
      <c r="AB441" s="163" t="str">
        <f>+IF(Tabla2[[#This Row],[dias de credito]]&gt;=Tabla2[[#This Row],[PLAZO Días]],"venc", "No venc")</f>
        <v>venc</v>
      </c>
      <c r="AC441" s="163" t="str">
        <f>+IF(Tabla2[[#This Row],[FECHA DE PAGO]]&gt;0,"pagada","por pagar")</f>
        <v>pagada</v>
      </c>
      <c r="AD441" s="164" t="str">
        <f>+IF(AND(Tabla2[[#This Row],[venc]]="venc",Tabla2[[#This Row],[estado pago]]="por pagar"),"vencida","no")</f>
        <v>no</v>
      </c>
    </row>
    <row r="442" spans="1:30" ht="19.5" hidden="1" customHeight="1" x14ac:dyDescent="0.25">
      <c r="A442" s="8" t="s">
        <v>1852</v>
      </c>
      <c r="B442" s="8" t="b">
        <v>0</v>
      </c>
      <c r="C442" s="8">
        <v>30</v>
      </c>
      <c r="D442" s="151">
        <v>0</v>
      </c>
      <c r="E442" s="151"/>
      <c r="F442" s="24">
        <v>0</v>
      </c>
      <c r="G442" s="30">
        <v>45113</v>
      </c>
      <c r="H442" s="81" t="s">
        <v>898</v>
      </c>
      <c r="I442" s="30">
        <v>45113</v>
      </c>
      <c r="J442" s="16" t="s">
        <v>899</v>
      </c>
      <c r="K442" s="9" t="s">
        <v>1530</v>
      </c>
      <c r="L442" s="9"/>
      <c r="M442" s="152">
        <v>587000</v>
      </c>
      <c r="N442" s="153">
        <v>0</v>
      </c>
      <c r="O442" s="152">
        <v>0</v>
      </c>
      <c r="P442" s="154">
        <v>0</v>
      </c>
      <c r="Q442" s="152">
        <v>0</v>
      </c>
      <c r="R442" s="9">
        <v>587000</v>
      </c>
      <c r="S442" s="21" t="s">
        <v>1846</v>
      </c>
      <c r="T442" s="117">
        <v>0</v>
      </c>
      <c r="U442" s="117">
        <v>0</v>
      </c>
      <c r="V442" s="117">
        <v>2023</v>
      </c>
      <c r="W442" s="117">
        <v>6</v>
      </c>
      <c r="X442" s="117">
        <v>0</v>
      </c>
      <c r="Y442" s="117">
        <v>0</v>
      </c>
      <c r="Z442" s="21" t="b">
        <v>0</v>
      </c>
      <c r="AA442" s="162">
        <f>+$AD$5-Tabla2[[#This Row],[FECHA DE FACTURACIÓN]]</f>
        <v>330</v>
      </c>
      <c r="AB442" s="163" t="str">
        <f>+IF(Tabla2[[#This Row],[dias de credito]]&gt;=Tabla2[[#This Row],[PLAZO Días]],"venc", "No venc")</f>
        <v>venc</v>
      </c>
      <c r="AC442" s="163" t="str">
        <f>+IF(Tabla2[[#This Row],[FECHA DE PAGO]]&gt;0,"pagada","por pagar")</f>
        <v>pagada</v>
      </c>
      <c r="AD442" s="164" t="str">
        <f>+IF(AND(Tabla2[[#This Row],[venc]]="venc",Tabla2[[#This Row],[estado pago]]="por pagar"),"vencida","no")</f>
        <v>no</v>
      </c>
    </row>
    <row r="443" spans="1:30" ht="19.5" hidden="1" customHeight="1" x14ac:dyDescent="0.25">
      <c r="A443" s="8" t="s">
        <v>1852</v>
      </c>
      <c r="B443" s="8" t="b">
        <v>0</v>
      </c>
      <c r="C443" s="8">
        <v>30</v>
      </c>
      <c r="D443" s="151">
        <v>0</v>
      </c>
      <c r="E443" s="151"/>
      <c r="F443" s="24">
        <v>0</v>
      </c>
      <c r="G443" s="30">
        <v>45113</v>
      </c>
      <c r="H443" s="81" t="s">
        <v>861</v>
      </c>
      <c r="I443" s="30">
        <v>45113</v>
      </c>
      <c r="J443" s="16" t="s">
        <v>897</v>
      </c>
      <c r="K443" s="9" t="s">
        <v>1530</v>
      </c>
      <c r="L443" s="9"/>
      <c r="M443" s="152">
        <v>582000</v>
      </c>
      <c r="N443" s="153">
        <v>0</v>
      </c>
      <c r="O443" s="152">
        <v>0</v>
      </c>
      <c r="P443" s="154">
        <v>0</v>
      </c>
      <c r="Q443" s="152">
        <v>0</v>
      </c>
      <c r="R443" s="9">
        <v>582000</v>
      </c>
      <c r="S443" s="21" t="s">
        <v>1846</v>
      </c>
      <c r="T443" s="117">
        <v>0</v>
      </c>
      <c r="U443" s="117">
        <v>0</v>
      </c>
      <c r="V443" s="117">
        <v>2023</v>
      </c>
      <c r="W443" s="117">
        <v>6</v>
      </c>
      <c r="X443" s="117">
        <v>0</v>
      </c>
      <c r="Y443" s="117">
        <v>0</v>
      </c>
      <c r="Z443" s="21" t="b">
        <v>0</v>
      </c>
      <c r="AA443" s="162">
        <f>+$AD$5-Tabla2[[#This Row],[FECHA DE FACTURACIÓN]]</f>
        <v>330</v>
      </c>
      <c r="AB443" s="163" t="str">
        <f>+IF(Tabla2[[#This Row],[dias de credito]]&gt;=Tabla2[[#This Row],[PLAZO Días]],"venc", "No venc")</f>
        <v>venc</v>
      </c>
      <c r="AC443" s="163" t="str">
        <f>+IF(Tabla2[[#This Row],[FECHA DE PAGO]]&gt;0,"pagada","por pagar")</f>
        <v>pagada</v>
      </c>
      <c r="AD443" s="164" t="str">
        <f>+IF(AND(Tabla2[[#This Row],[venc]]="venc",Tabla2[[#This Row],[estado pago]]="por pagar"),"vencida","no")</f>
        <v>no</v>
      </c>
    </row>
    <row r="444" spans="1:30" ht="19.5" hidden="1" customHeight="1" x14ac:dyDescent="0.25">
      <c r="A444" s="8" t="s">
        <v>1850</v>
      </c>
      <c r="B444" s="8" t="b">
        <v>0</v>
      </c>
      <c r="C444" s="8">
        <v>30</v>
      </c>
      <c r="D444" s="151">
        <v>0</v>
      </c>
      <c r="E444" s="151"/>
      <c r="F444" s="24">
        <v>0</v>
      </c>
      <c r="G444" s="30">
        <v>45115</v>
      </c>
      <c r="H444" s="81" t="s">
        <v>836</v>
      </c>
      <c r="I444" s="30">
        <v>45111</v>
      </c>
      <c r="J444" s="16">
        <v>3</v>
      </c>
      <c r="K444" s="9" t="s">
        <v>1530</v>
      </c>
      <c r="L444" s="9"/>
      <c r="M444" s="152">
        <v>430000</v>
      </c>
      <c r="N444" s="153">
        <v>0</v>
      </c>
      <c r="O444" s="152">
        <v>0</v>
      </c>
      <c r="P444" s="154">
        <v>0</v>
      </c>
      <c r="Q444" s="152">
        <v>0</v>
      </c>
      <c r="R444" s="9">
        <v>430000</v>
      </c>
      <c r="S444" s="21" t="s">
        <v>1846</v>
      </c>
      <c r="T444" s="117">
        <v>0</v>
      </c>
      <c r="U444" s="117">
        <v>0</v>
      </c>
      <c r="V444" s="117">
        <v>2023</v>
      </c>
      <c r="W444" s="117">
        <v>6</v>
      </c>
      <c r="X444" s="117">
        <v>0</v>
      </c>
      <c r="Y444" s="117">
        <v>0</v>
      </c>
      <c r="Z444" s="21" t="b">
        <v>0</v>
      </c>
      <c r="AA444" s="162">
        <f>+$AD$5-Tabla2[[#This Row],[FECHA DE FACTURACIÓN]]</f>
        <v>332</v>
      </c>
      <c r="AB444" s="163" t="str">
        <f>+IF(Tabla2[[#This Row],[dias de credito]]&gt;=Tabla2[[#This Row],[PLAZO Días]],"venc", "No venc")</f>
        <v>venc</v>
      </c>
      <c r="AC444" s="163" t="str">
        <f>+IF(Tabla2[[#This Row],[FECHA DE PAGO]]&gt;0,"pagada","por pagar")</f>
        <v>pagada</v>
      </c>
      <c r="AD444" s="164" t="str">
        <f>+IF(AND(Tabla2[[#This Row],[venc]]="venc",Tabla2[[#This Row],[estado pago]]="por pagar"),"vencida","no")</f>
        <v>no</v>
      </c>
    </row>
    <row r="445" spans="1:30" ht="19.5" hidden="1" customHeight="1" x14ac:dyDescent="0.25">
      <c r="A445" s="8" t="s">
        <v>1852</v>
      </c>
      <c r="B445" s="8" t="b">
        <v>0</v>
      </c>
      <c r="C445" s="8">
        <v>30</v>
      </c>
      <c r="D445" s="151">
        <v>1350000</v>
      </c>
      <c r="E445" s="151"/>
      <c r="F445" s="24" t="s">
        <v>84</v>
      </c>
      <c r="G445" s="30">
        <v>45115</v>
      </c>
      <c r="H445" s="81" t="s">
        <v>1807</v>
      </c>
      <c r="I445" s="30">
        <v>45115</v>
      </c>
      <c r="J445" s="16" t="s">
        <v>896</v>
      </c>
      <c r="K445" s="9" t="s">
        <v>1530</v>
      </c>
      <c r="L445" s="9"/>
      <c r="M445" s="152">
        <v>625000</v>
      </c>
      <c r="N445" s="153">
        <v>0</v>
      </c>
      <c r="O445" s="152">
        <v>0</v>
      </c>
      <c r="P445" s="154">
        <v>0</v>
      </c>
      <c r="Q445" s="152">
        <v>0</v>
      </c>
      <c r="R445" s="9">
        <v>625000</v>
      </c>
      <c r="S445" s="21" t="s">
        <v>1846</v>
      </c>
      <c r="T445" s="117">
        <v>0</v>
      </c>
      <c r="U445" s="117">
        <v>0</v>
      </c>
      <c r="V445" s="117">
        <v>2023</v>
      </c>
      <c r="W445" s="117">
        <v>6</v>
      </c>
      <c r="X445" s="117">
        <v>0</v>
      </c>
      <c r="Y445" s="117">
        <v>0</v>
      </c>
      <c r="Z445" s="21" t="b">
        <v>0</v>
      </c>
      <c r="AA445" s="162">
        <f>+$AD$5-Tabla2[[#This Row],[FECHA DE FACTURACIÓN]]</f>
        <v>328</v>
      </c>
      <c r="AB445" s="163" t="str">
        <f>+IF(Tabla2[[#This Row],[dias de credito]]&gt;=Tabla2[[#This Row],[PLAZO Días]],"venc", "No venc")</f>
        <v>venc</v>
      </c>
      <c r="AC445" s="163" t="str">
        <f>+IF(Tabla2[[#This Row],[FECHA DE PAGO]]&gt;0,"pagada","por pagar")</f>
        <v>pagada</v>
      </c>
      <c r="AD445" s="164" t="str">
        <f>+IF(AND(Tabla2[[#This Row],[venc]]="venc",Tabla2[[#This Row],[estado pago]]="por pagar"),"vencida","no")</f>
        <v>no</v>
      </c>
    </row>
    <row r="446" spans="1:30" ht="19.5" hidden="1" customHeight="1" x14ac:dyDescent="0.25">
      <c r="A446" s="8" t="s">
        <v>1850</v>
      </c>
      <c r="B446" s="8" t="b">
        <v>0</v>
      </c>
      <c r="C446" s="8">
        <v>30</v>
      </c>
      <c r="D446" s="151">
        <v>0</v>
      </c>
      <c r="E446" s="151"/>
      <c r="F446" s="24" t="s">
        <v>1540</v>
      </c>
      <c r="G446" s="30">
        <v>45116</v>
      </c>
      <c r="H446" s="81" t="s">
        <v>383</v>
      </c>
      <c r="I446" s="30">
        <v>45108</v>
      </c>
      <c r="J446" s="16" t="s">
        <v>983</v>
      </c>
      <c r="K446" s="9" t="s">
        <v>1530</v>
      </c>
      <c r="L446" s="9"/>
      <c r="M446" s="152">
        <v>3935776</v>
      </c>
      <c r="N446" s="153">
        <v>747797.44000000006</v>
      </c>
      <c r="O446" s="152">
        <v>0</v>
      </c>
      <c r="P446" s="154">
        <v>3.5000000000000003E-2</v>
      </c>
      <c r="Q446" s="152">
        <v>137752.16</v>
      </c>
      <c r="R446" s="9">
        <v>4545821.28</v>
      </c>
      <c r="S446" s="21" t="s">
        <v>1846</v>
      </c>
      <c r="T446" s="117">
        <v>0</v>
      </c>
      <c r="U446" s="117" t="s">
        <v>348</v>
      </c>
      <c r="V446" s="117">
        <v>2023</v>
      </c>
      <c r="W446" s="117">
        <v>6</v>
      </c>
      <c r="X446" s="117">
        <v>0</v>
      </c>
      <c r="Y446" s="117">
        <v>3.5000000000000003E-2</v>
      </c>
      <c r="Z446" s="21" t="b">
        <v>1</v>
      </c>
      <c r="AA446" s="162">
        <f>+$AD$5-Tabla2[[#This Row],[FECHA DE FACTURACIÓN]]</f>
        <v>335</v>
      </c>
      <c r="AB446" s="163" t="str">
        <f>+IF(Tabla2[[#This Row],[dias de credito]]&gt;=Tabla2[[#This Row],[PLAZO Días]],"venc", "No venc")</f>
        <v>venc</v>
      </c>
      <c r="AC446" s="163" t="str">
        <f>+IF(Tabla2[[#This Row],[FECHA DE PAGO]]&gt;0,"pagada","por pagar")</f>
        <v>pagada</v>
      </c>
      <c r="AD446" s="164" t="str">
        <f>+IF(AND(Tabla2[[#This Row],[venc]]="venc",Tabla2[[#This Row],[estado pago]]="por pagar"),"vencida","no")</f>
        <v>no</v>
      </c>
    </row>
    <row r="447" spans="1:30" ht="19.5" hidden="1" customHeight="1" x14ac:dyDescent="0.25">
      <c r="A447" s="8" t="s">
        <v>1850</v>
      </c>
      <c r="B447" s="8" t="s">
        <v>1851</v>
      </c>
      <c r="C447" s="8">
        <v>30</v>
      </c>
      <c r="D447" s="151">
        <v>0</v>
      </c>
      <c r="E447" s="151"/>
      <c r="F447" s="24" t="s">
        <v>237</v>
      </c>
      <c r="G447" s="30">
        <v>45117</v>
      </c>
      <c r="H447" s="81" t="s">
        <v>1817</v>
      </c>
      <c r="I447" s="30">
        <v>45026</v>
      </c>
      <c r="J447" s="16" t="s">
        <v>716</v>
      </c>
      <c r="K447" s="9" t="s">
        <v>1530</v>
      </c>
      <c r="L447" s="9"/>
      <c r="M447" s="152">
        <v>2131000</v>
      </c>
      <c r="N447" s="153">
        <v>0</v>
      </c>
      <c r="O447" s="152">
        <v>0</v>
      </c>
      <c r="P447" s="154">
        <v>0</v>
      </c>
      <c r="Q447" s="152">
        <v>0</v>
      </c>
      <c r="R447" s="9">
        <v>2131000</v>
      </c>
      <c r="S447" s="21" t="s">
        <v>1846</v>
      </c>
      <c r="T447" s="117">
        <v>0</v>
      </c>
      <c r="U447" s="117">
        <v>0</v>
      </c>
      <c r="V447" s="117">
        <v>2023</v>
      </c>
      <c r="W447" s="117">
        <v>6</v>
      </c>
      <c r="X447" s="117">
        <v>0</v>
      </c>
      <c r="Y447" s="117">
        <v>0</v>
      </c>
      <c r="Z447" s="21" t="b">
        <v>0</v>
      </c>
      <c r="AA447" s="162">
        <f>+$AD$5-Tabla2[[#This Row],[FECHA DE FACTURACIÓN]]</f>
        <v>417</v>
      </c>
      <c r="AB447" s="163" t="str">
        <f>+IF(Tabla2[[#This Row],[dias de credito]]&gt;=Tabla2[[#This Row],[PLAZO Días]],"venc", "No venc")</f>
        <v>venc</v>
      </c>
      <c r="AC447" s="163" t="str">
        <f>+IF(Tabla2[[#This Row],[FECHA DE PAGO]]&gt;0,"pagada","por pagar")</f>
        <v>pagada</v>
      </c>
      <c r="AD447" s="164" t="str">
        <f>+IF(AND(Tabla2[[#This Row],[venc]]="venc",Tabla2[[#This Row],[estado pago]]="por pagar"),"vencida","no")</f>
        <v>no</v>
      </c>
    </row>
    <row r="448" spans="1:30" ht="19.5" hidden="1" customHeight="1" x14ac:dyDescent="0.25">
      <c r="A448" s="8" t="s">
        <v>1850</v>
      </c>
      <c r="B448" s="8" t="s">
        <v>1851</v>
      </c>
      <c r="C448" s="8">
        <v>30</v>
      </c>
      <c r="D448" s="151">
        <v>3130000</v>
      </c>
      <c r="E448" s="151"/>
      <c r="F448" s="24">
        <v>0</v>
      </c>
      <c r="G448" s="30">
        <v>45117</v>
      </c>
      <c r="H448" s="81" t="s">
        <v>472</v>
      </c>
      <c r="I448" s="30">
        <v>45056</v>
      </c>
      <c r="J448" s="16">
        <v>843</v>
      </c>
      <c r="K448" s="9" t="s">
        <v>1530</v>
      </c>
      <c r="L448" s="9"/>
      <c r="M448" s="152">
        <v>1294500</v>
      </c>
      <c r="N448" s="153">
        <v>0</v>
      </c>
      <c r="O448" s="152">
        <v>0</v>
      </c>
      <c r="P448" s="154">
        <v>0</v>
      </c>
      <c r="Q448" s="152">
        <v>0</v>
      </c>
      <c r="R448" s="9">
        <v>1294500</v>
      </c>
      <c r="S448" s="21" t="s">
        <v>1846</v>
      </c>
      <c r="T448" s="117">
        <v>0</v>
      </c>
      <c r="U448" s="117">
        <v>0</v>
      </c>
      <c r="V448" s="117">
        <v>2023</v>
      </c>
      <c r="W448" s="117">
        <v>6</v>
      </c>
      <c r="X448" s="117">
        <v>0</v>
      </c>
      <c r="Y448" s="117">
        <v>0</v>
      </c>
      <c r="Z448" s="21" t="b">
        <v>0</v>
      </c>
      <c r="AA448" s="162">
        <f>+$AD$5-Tabla2[[#This Row],[FECHA DE FACTURACIÓN]]</f>
        <v>387</v>
      </c>
      <c r="AB448" s="163" t="str">
        <f>+IF(Tabla2[[#This Row],[dias de credito]]&gt;=Tabla2[[#This Row],[PLAZO Días]],"venc", "No venc")</f>
        <v>venc</v>
      </c>
      <c r="AC448" s="163" t="str">
        <f>+IF(Tabla2[[#This Row],[FECHA DE PAGO]]&gt;0,"pagada","por pagar")</f>
        <v>pagada</v>
      </c>
      <c r="AD448" s="164" t="str">
        <f>+IF(AND(Tabla2[[#This Row],[venc]]="venc",Tabla2[[#This Row],[estado pago]]="por pagar"),"vencida","no")</f>
        <v>no</v>
      </c>
    </row>
    <row r="449" spans="1:30" ht="19.5" hidden="1" customHeight="1" x14ac:dyDescent="0.25">
      <c r="A449" s="8" t="s">
        <v>1850</v>
      </c>
      <c r="B449" s="8" t="s">
        <v>1851</v>
      </c>
      <c r="C449" s="8">
        <v>30</v>
      </c>
      <c r="D449" s="151">
        <v>4466504.835</v>
      </c>
      <c r="E449" s="151"/>
      <c r="F449" s="24" t="s">
        <v>1553</v>
      </c>
      <c r="G449" s="30">
        <v>45117</v>
      </c>
      <c r="H449" s="81" t="s">
        <v>18</v>
      </c>
      <c r="I449" s="30">
        <v>45058</v>
      </c>
      <c r="J449" s="16" t="s">
        <v>788</v>
      </c>
      <c r="K449" s="9" t="s">
        <v>1530</v>
      </c>
      <c r="L449" s="9"/>
      <c r="M449" s="152">
        <v>2115236</v>
      </c>
      <c r="N449" s="153">
        <v>401894.84</v>
      </c>
      <c r="O449" s="152">
        <v>0</v>
      </c>
      <c r="P449" s="154">
        <v>2.5000000000000001E-2</v>
      </c>
      <c r="Q449" s="152">
        <v>52880.9</v>
      </c>
      <c r="R449" s="9">
        <v>2464249.94</v>
      </c>
      <c r="S449" s="21" t="s">
        <v>1846</v>
      </c>
      <c r="T449" s="117">
        <v>0</v>
      </c>
      <c r="U449" s="117" t="s">
        <v>347</v>
      </c>
      <c r="V449" s="117">
        <v>2023</v>
      </c>
      <c r="W449" s="117">
        <v>6</v>
      </c>
      <c r="X449" s="117">
        <v>1145000</v>
      </c>
      <c r="Y449" s="117">
        <v>2.5000000000000001E-2</v>
      </c>
      <c r="Z449" s="21" t="b">
        <v>0</v>
      </c>
      <c r="AA449" s="162">
        <f>+$AD$5-Tabla2[[#This Row],[FECHA DE FACTURACIÓN]]</f>
        <v>385</v>
      </c>
      <c r="AB449" s="163" t="str">
        <f>+IF(Tabla2[[#This Row],[dias de credito]]&gt;=Tabla2[[#This Row],[PLAZO Días]],"venc", "No venc")</f>
        <v>venc</v>
      </c>
      <c r="AC449" s="163" t="str">
        <f>+IF(Tabla2[[#This Row],[FECHA DE PAGO]]&gt;0,"pagada","por pagar")</f>
        <v>pagada</v>
      </c>
      <c r="AD449" s="164" t="str">
        <f>+IF(AND(Tabla2[[#This Row],[venc]]="venc",Tabla2[[#This Row],[estado pago]]="por pagar"),"vencida","no")</f>
        <v>no</v>
      </c>
    </row>
    <row r="450" spans="1:30" ht="19.5" hidden="1" customHeight="1" x14ac:dyDescent="0.25">
      <c r="A450" s="8" t="s">
        <v>1850</v>
      </c>
      <c r="B450" s="8" t="s">
        <v>1851</v>
      </c>
      <c r="C450" s="8">
        <v>30</v>
      </c>
      <c r="D450" s="151">
        <v>4466504.835</v>
      </c>
      <c r="E450" s="151"/>
      <c r="F450" s="24" t="s">
        <v>1553</v>
      </c>
      <c r="G450" s="30">
        <v>45117</v>
      </c>
      <c r="H450" s="81" t="s">
        <v>18</v>
      </c>
      <c r="I450" s="30">
        <v>45071</v>
      </c>
      <c r="J450" s="16" t="s">
        <v>886</v>
      </c>
      <c r="K450" s="9" t="s">
        <v>1530</v>
      </c>
      <c r="L450" s="9"/>
      <c r="M450" s="152">
        <v>2231250</v>
      </c>
      <c r="N450" s="153">
        <v>423937.5</v>
      </c>
      <c r="O450" s="152">
        <v>0</v>
      </c>
      <c r="P450" s="154">
        <v>2.5000000000000001E-2</v>
      </c>
      <c r="Q450" s="152">
        <v>55781.25</v>
      </c>
      <c r="R450" s="9">
        <v>2599406.25</v>
      </c>
      <c r="S450" s="21" t="s">
        <v>1846</v>
      </c>
      <c r="T450" s="117">
        <v>0</v>
      </c>
      <c r="U450" s="117" t="s">
        <v>347</v>
      </c>
      <c r="V450" s="117">
        <v>2023</v>
      </c>
      <c r="W450" s="117">
        <v>6</v>
      </c>
      <c r="X450" s="117">
        <v>1145000</v>
      </c>
      <c r="Y450" s="117">
        <v>2.5000000000000001E-2</v>
      </c>
      <c r="Z450" s="21" t="b">
        <v>0</v>
      </c>
      <c r="AA450" s="162">
        <f>+$AD$5-Tabla2[[#This Row],[FECHA DE FACTURACIÓN]]</f>
        <v>372</v>
      </c>
      <c r="AB450" s="163" t="str">
        <f>+IF(Tabla2[[#This Row],[dias de credito]]&gt;=Tabla2[[#This Row],[PLAZO Días]],"venc", "No venc")</f>
        <v>venc</v>
      </c>
      <c r="AC450" s="163" t="str">
        <f>+IF(Tabla2[[#This Row],[FECHA DE PAGO]]&gt;0,"pagada","por pagar")</f>
        <v>pagada</v>
      </c>
      <c r="AD450" s="164" t="str">
        <f>+IF(AND(Tabla2[[#This Row],[venc]]="venc",Tabla2[[#This Row],[estado pago]]="por pagar"),"vencida","no")</f>
        <v>no</v>
      </c>
    </row>
    <row r="451" spans="1:30" ht="19.5" hidden="1" customHeight="1" x14ac:dyDescent="0.25">
      <c r="A451" s="8" t="s">
        <v>1850</v>
      </c>
      <c r="B451" s="8" t="s">
        <v>1851</v>
      </c>
      <c r="C451" s="8">
        <v>30</v>
      </c>
      <c r="D451" s="151">
        <v>0</v>
      </c>
      <c r="E451" s="151"/>
      <c r="F451" s="24" t="s">
        <v>1496</v>
      </c>
      <c r="G451" s="30">
        <v>45117</v>
      </c>
      <c r="H451" s="81" t="s">
        <v>411</v>
      </c>
      <c r="I451" s="30">
        <v>45083</v>
      </c>
      <c r="J451" s="16" t="s">
        <v>828</v>
      </c>
      <c r="K451" s="9" t="s">
        <v>1530</v>
      </c>
      <c r="L451" s="9"/>
      <c r="M451" s="152">
        <v>720000</v>
      </c>
      <c r="N451" s="153">
        <v>136800</v>
      </c>
      <c r="O451" s="152">
        <v>0</v>
      </c>
      <c r="P451" s="154">
        <v>0</v>
      </c>
      <c r="Q451" s="152">
        <v>0</v>
      </c>
      <c r="R451" s="9">
        <v>856800</v>
      </c>
      <c r="S451" s="21" t="s">
        <v>1846</v>
      </c>
      <c r="T451" s="117">
        <v>0</v>
      </c>
      <c r="U451" s="117" t="s">
        <v>347</v>
      </c>
      <c r="V451" s="117">
        <v>2023</v>
      </c>
      <c r="W451" s="117">
        <v>6</v>
      </c>
      <c r="X451" s="117">
        <v>1145000</v>
      </c>
      <c r="Y451" s="117">
        <v>2.5000000000000001E-2</v>
      </c>
      <c r="Z451" s="21" t="b">
        <v>0</v>
      </c>
      <c r="AA451" s="162">
        <f>+$AD$5-Tabla2[[#This Row],[FECHA DE FACTURACIÓN]]</f>
        <v>360</v>
      </c>
      <c r="AB451" s="163" t="str">
        <f>+IF(Tabla2[[#This Row],[dias de credito]]&gt;=Tabla2[[#This Row],[PLAZO Días]],"venc", "No venc")</f>
        <v>venc</v>
      </c>
      <c r="AC451" s="163" t="str">
        <f>+IF(Tabla2[[#This Row],[FECHA DE PAGO]]&gt;0,"pagada","por pagar")</f>
        <v>pagada</v>
      </c>
      <c r="AD451" s="164" t="str">
        <f>+IF(AND(Tabla2[[#This Row],[venc]]="venc",Tabla2[[#This Row],[estado pago]]="por pagar"),"vencida","no")</f>
        <v>no</v>
      </c>
    </row>
    <row r="452" spans="1:30" ht="19.5" hidden="1" customHeight="1" x14ac:dyDescent="0.25">
      <c r="A452" s="8" t="s">
        <v>1850</v>
      </c>
      <c r="B452" s="8" t="b">
        <v>0</v>
      </c>
      <c r="C452" s="8">
        <v>30</v>
      </c>
      <c r="D452" s="151">
        <v>0</v>
      </c>
      <c r="E452" s="151"/>
      <c r="F452" s="24" t="s">
        <v>253</v>
      </c>
      <c r="G452" s="30">
        <v>45117</v>
      </c>
      <c r="H452" s="81" t="s">
        <v>368</v>
      </c>
      <c r="I452" s="30">
        <v>45108</v>
      </c>
      <c r="J452" s="16" t="s">
        <v>961</v>
      </c>
      <c r="K452" s="9" t="s">
        <v>1530</v>
      </c>
      <c r="L452" s="9"/>
      <c r="M452" s="152">
        <v>908172</v>
      </c>
      <c r="N452" s="153">
        <v>172552.68</v>
      </c>
      <c r="O452" s="152">
        <v>0</v>
      </c>
      <c r="P452" s="154">
        <v>0</v>
      </c>
      <c r="Q452" s="152">
        <v>0</v>
      </c>
      <c r="R452" s="9">
        <v>1080724.68</v>
      </c>
      <c r="S452" s="21" t="s">
        <v>1846</v>
      </c>
      <c r="T452" s="117">
        <v>0</v>
      </c>
      <c r="U452" s="117">
        <v>0</v>
      </c>
      <c r="V452" s="117">
        <v>2023</v>
      </c>
      <c r="W452" s="117">
        <v>6</v>
      </c>
      <c r="X452" s="117">
        <v>0</v>
      </c>
      <c r="Y452" s="117">
        <v>0</v>
      </c>
      <c r="Z452" s="21" t="b">
        <v>1</v>
      </c>
      <c r="AA452" s="162">
        <f>+$AD$5-Tabla2[[#This Row],[FECHA DE FACTURACIÓN]]</f>
        <v>335</v>
      </c>
      <c r="AB452" s="163" t="str">
        <f>+IF(Tabla2[[#This Row],[dias de credito]]&gt;=Tabla2[[#This Row],[PLAZO Días]],"venc", "No venc")</f>
        <v>venc</v>
      </c>
      <c r="AC452" s="163" t="str">
        <f>+IF(Tabla2[[#This Row],[FECHA DE PAGO]]&gt;0,"pagada","por pagar")</f>
        <v>pagada</v>
      </c>
      <c r="AD452" s="164" t="str">
        <f>+IF(AND(Tabla2[[#This Row],[venc]]="venc",Tabla2[[#This Row],[estado pago]]="por pagar"),"vencida","no")</f>
        <v>no</v>
      </c>
    </row>
    <row r="453" spans="1:30" ht="19.5" hidden="1" customHeight="1" x14ac:dyDescent="0.25">
      <c r="A453" s="8" t="s">
        <v>1850</v>
      </c>
      <c r="B453" s="8" t="b">
        <v>0</v>
      </c>
      <c r="C453" s="8">
        <v>30</v>
      </c>
      <c r="D453" s="151">
        <v>0</v>
      </c>
      <c r="E453" s="151"/>
      <c r="F453" s="24" t="s">
        <v>253</v>
      </c>
      <c r="G453" s="30">
        <v>45117</v>
      </c>
      <c r="H453" s="81" t="s">
        <v>368</v>
      </c>
      <c r="I453" s="30">
        <v>45108</v>
      </c>
      <c r="J453" s="16" t="s">
        <v>962</v>
      </c>
      <c r="K453" s="9" t="s">
        <v>1530</v>
      </c>
      <c r="L453" s="9"/>
      <c r="M453" s="152">
        <v>3792544</v>
      </c>
      <c r="N453" s="153">
        <v>720583.36</v>
      </c>
      <c r="O453" s="152">
        <v>0</v>
      </c>
      <c r="P453" s="154">
        <v>0</v>
      </c>
      <c r="Q453" s="152">
        <v>0</v>
      </c>
      <c r="R453" s="9">
        <v>4513127.3600000003</v>
      </c>
      <c r="S453" s="21" t="s">
        <v>1846</v>
      </c>
      <c r="T453" s="117">
        <v>0</v>
      </c>
      <c r="U453" s="117">
        <v>0</v>
      </c>
      <c r="V453" s="117">
        <v>2023</v>
      </c>
      <c r="W453" s="117">
        <v>6</v>
      </c>
      <c r="X453" s="117">
        <v>0</v>
      </c>
      <c r="Y453" s="117">
        <v>0</v>
      </c>
      <c r="Z453" s="21" t="b">
        <v>1</v>
      </c>
      <c r="AA453" s="162">
        <f>+$AD$5-Tabla2[[#This Row],[FECHA DE FACTURACIÓN]]</f>
        <v>335</v>
      </c>
      <c r="AB453" s="163" t="str">
        <f>+IF(Tabla2[[#This Row],[dias de credito]]&gt;=Tabla2[[#This Row],[PLAZO Días]],"venc", "No venc")</f>
        <v>venc</v>
      </c>
      <c r="AC453" s="163" t="str">
        <f>+IF(Tabla2[[#This Row],[FECHA DE PAGO]]&gt;0,"pagada","por pagar")</f>
        <v>pagada</v>
      </c>
      <c r="AD453" s="164" t="str">
        <f>+IF(AND(Tabla2[[#This Row],[venc]]="venc",Tabla2[[#This Row],[estado pago]]="por pagar"),"vencida","no")</f>
        <v>no</v>
      </c>
    </row>
    <row r="454" spans="1:30" ht="19.5" hidden="1" customHeight="1" x14ac:dyDescent="0.25">
      <c r="A454" s="8" t="s">
        <v>1850</v>
      </c>
      <c r="B454" s="8" t="b">
        <v>0</v>
      </c>
      <c r="C454" s="8">
        <v>30</v>
      </c>
      <c r="D454" s="151">
        <v>0</v>
      </c>
      <c r="E454" s="151"/>
      <c r="F454" s="24" t="s">
        <v>153</v>
      </c>
      <c r="G454" s="30">
        <v>45117</v>
      </c>
      <c r="H454" s="81" t="s">
        <v>394</v>
      </c>
      <c r="I454" s="30">
        <v>45108</v>
      </c>
      <c r="J454" s="16" t="s">
        <v>887</v>
      </c>
      <c r="K454" s="9" t="s">
        <v>1530</v>
      </c>
      <c r="L454" s="9"/>
      <c r="M454" s="152">
        <v>243611</v>
      </c>
      <c r="N454" s="153">
        <v>46286.090000000004</v>
      </c>
      <c r="O454" s="152">
        <v>0</v>
      </c>
      <c r="P454" s="154">
        <v>3.5000000000000003E-2</v>
      </c>
      <c r="Q454" s="152">
        <v>8526.3850000000002</v>
      </c>
      <c r="R454" s="9">
        <v>281370.70500000002</v>
      </c>
      <c r="S454" s="21" t="s">
        <v>1846</v>
      </c>
      <c r="T454" s="117">
        <v>0</v>
      </c>
      <c r="U454" s="117" t="s">
        <v>348</v>
      </c>
      <c r="V454" s="117">
        <v>2023</v>
      </c>
      <c r="W454" s="117">
        <v>6</v>
      </c>
      <c r="X454" s="117">
        <v>0</v>
      </c>
      <c r="Y454" s="117">
        <v>3.5000000000000003E-2</v>
      </c>
      <c r="Z454" s="21" t="b">
        <v>1</v>
      </c>
      <c r="AA454" s="162">
        <f>+$AD$5-Tabla2[[#This Row],[FECHA DE FACTURACIÓN]]</f>
        <v>335</v>
      </c>
      <c r="AB454" s="163" t="str">
        <f>+IF(Tabla2[[#This Row],[dias de credito]]&gt;=Tabla2[[#This Row],[PLAZO Días]],"venc", "No venc")</f>
        <v>venc</v>
      </c>
      <c r="AC454" s="163" t="str">
        <f>+IF(Tabla2[[#This Row],[FECHA DE PAGO]]&gt;0,"pagada","por pagar")</f>
        <v>pagada</v>
      </c>
      <c r="AD454" s="164" t="str">
        <f>+IF(AND(Tabla2[[#This Row],[venc]]="venc",Tabla2[[#This Row],[estado pago]]="por pagar"),"vencida","no")</f>
        <v>no</v>
      </c>
    </row>
    <row r="455" spans="1:30" ht="19.5" hidden="1" customHeight="1" x14ac:dyDescent="0.25">
      <c r="A455" s="8" t="s">
        <v>1850</v>
      </c>
      <c r="B455" s="8" t="s">
        <v>1851</v>
      </c>
      <c r="C455" s="8">
        <v>30</v>
      </c>
      <c r="D455" s="151">
        <v>8456975.129999999</v>
      </c>
      <c r="E455" s="151"/>
      <c r="F455" s="24" t="s">
        <v>1476</v>
      </c>
      <c r="G455" s="30">
        <v>45118</v>
      </c>
      <c r="H455" s="81" t="s">
        <v>1464</v>
      </c>
      <c r="I455" s="30">
        <v>45072</v>
      </c>
      <c r="J455" s="16" t="s">
        <v>811</v>
      </c>
      <c r="K455" s="9" t="s">
        <v>1530</v>
      </c>
      <c r="L455" s="9"/>
      <c r="M455" s="152">
        <v>151261</v>
      </c>
      <c r="N455" s="153">
        <v>28739.59</v>
      </c>
      <c r="O455" s="152">
        <v>0</v>
      </c>
      <c r="P455" s="154">
        <v>0</v>
      </c>
      <c r="Q455" s="152">
        <v>0</v>
      </c>
      <c r="R455" s="9">
        <v>180000.59</v>
      </c>
      <c r="S455" s="21" t="s">
        <v>1846</v>
      </c>
      <c r="T455" s="117">
        <v>0</v>
      </c>
      <c r="U455" s="117" t="s">
        <v>347</v>
      </c>
      <c r="V455" s="117">
        <v>2023</v>
      </c>
      <c r="W455" s="117">
        <v>6</v>
      </c>
      <c r="X455" s="117">
        <v>1145000</v>
      </c>
      <c r="Y455" s="117">
        <v>2.5000000000000001E-2</v>
      </c>
      <c r="Z455" s="21" t="b">
        <v>0</v>
      </c>
      <c r="AA455" s="162">
        <f>+$AD$5-Tabla2[[#This Row],[FECHA DE FACTURACIÓN]]</f>
        <v>371</v>
      </c>
      <c r="AB455" s="163" t="str">
        <f>+IF(Tabla2[[#This Row],[dias de credito]]&gt;=Tabla2[[#This Row],[PLAZO Días]],"venc", "No venc")</f>
        <v>venc</v>
      </c>
      <c r="AC455" s="163" t="str">
        <f>+IF(Tabla2[[#This Row],[FECHA DE PAGO]]&gt;0,"pagada","por pagar")</f>
        <v>pagada</v>
      </c>
      <c r="AD455" s="164" t="str">
        <f>+IF(AND(Tabla2[[#This Row],[venc]]="venc",Tabla2[[#This Row],[estado pago]]="por pagar"),"vencida","no")</f>
        <v>no</v>
      </c>
    </row>
    <row r="456" spans="1:30" ht="19.5" hidden="1" customHeight="1" x14ac:dyDescent="0.25">
      <c r="A456" s="8" t="s">
        <v>1850</v>
      </c>
      <c r="B456" s="8" t="s">
        <v>1851</v>
      </c>
      <c r="C456" s="8">
        <v>30</v>
      </c>
      <c r="D456" s="151">
        <v>2095000</v>
      </c>
      <c r="E456" s="151"/>
      <c r="F456" s="24" t="s">
        <v>204</v>
      </c>
      <c r="G456" s="30">
        <v>45118</v>
      </c>
      <c r="H456" s="81" t="s">
        <v>1804</v>
      </c>
      <c r="I456" s="30">
        <v>45076</v>
      </c>
      <c r="J456" s="16">
        <v>85</v>
      </c>
      <c r="K456" s="9" t="s">
        <v>1530</v>
      </c>
      <c r="L456" s="9"/>
      <c r="M456" s="152">
        <v>1980000</v>
      </c>
      <c r="N456" s="153">
        <v>0</v>
      </c>
      <c r="O456" s="152">
        <v>0</v>
      </c>
      <c r="P456" s="154">
        <v>0</v>
      </c>
      <c r="Q456" s="152">
        <v>0</v>
      </c>
      <c r="R456" s="9">
        <v>1980000</v>
      </c>
      <c r="S456" s="21" t="s">
        <v>1846</v>
      </c>
      <c r="T456" s="117">
        <v>0</v>
      </c>
      <c r="U456" s="117">
        <v>0</v>
      </c>
      <c r="V456" s="117">
        <v>2023</v>
      </c>
      <c r="W456" s="117">
        <v>6</v>
      </c>
      <c r="X456" s="117">
        <v>0</v>
      </c>
      <c r="Y456" s="117">
        <v>0</v>
      </c>
      <c r="Z456" s="21" t="b">
        <v>0</v>
      </c>
      <c r="AA456" s="162">
        <f>+$AD$5-Tabla2[[#This Row],[FECHA DE FACTURACIÓN]]</f>
        <v>367</v>
      </c>
      <c r="AB456" s="163" t="str">
        <f>+IF(Tabla2[[#This Row],[dias de credito]]&gt;=Tabla2[[#This Row],[PLAZO Días]],"venc", "No venc")</f>
        <v>venc</v>
      </c>
      <c r="AC456" s="163" t="str">
        <f>+IF(Tabla2[[#This Row],[FECHA DE PAGO]]&gt;0,"pagada","por pagar")</f>
        <v>pagada</v>
      </c>
      <c r="AD456" s="164" t="str">
        <f>+IF(AND(Tabla2[[#This Row],[venc]]="venc",Tabla2[[#This Row],[estado pago]]="por pagar"),"vencida","no")</f>
        <v>no</v>
      </c>
    </row>
    <row r="457" spans="1:30" ht="19.5" hidden="1" customHeight="1" x14ac:dyDescent="0.25">
      <c r="A457" s="8" t="s">
        <v>1850</v>
      </c>
      <c r="B457" s="8" t="s">
        <v>1851</v>
      </c>
      <c r="C457" s="8">
        <v>30</v>
      </c>
      <c r="D457" s="151">
        <v>0</v>
      </c>
      <c r="E457" s="151"/>
      <c r="F457" s="24" t="s">
        <v>169</v>
      </c>
      <c r="G457" s="30">
        <v>45118</v>
      </c>
      <c r="H457" s="81" t="s">
        <v>499</v>
      </c>
      <c r="I457" s="30">
        <v>45076</v>
      </c>
      <c r="J457" s="16">
        <v>2127</v>
      </c>
      <c r="K457" s="9" t="s">
        <v>1530</v>
      </c>
      <c r="L457" s="9"/>
      <c r="M457" s="152">
        <v>84000</v>
      </c>
      <c r="N457" s="153">
        <v>0</v>
      </c>
      <c r="O457" s="152">
        <v>0</v>
      </c>
      <c r="P457" s="154">
        <v>0</v>
      </c>
      <c r="Q457" s="152">
        <v>0</v>
      </c>
      <c r="R457" s="9">
        <v>84000</v>
      </c>
      <c r="S457" s="21" t="s">
        <v>1846</v>
      </c>
      <c r="T457" s="117">
        <v>0</v>
      </c>
      <c r="U457" s="117">
        <v>0</v>
      </c>
      <c r="V457" s="117">
        <v>2023</v>
      </c>
      <c r="W457" s="117">
        <v>6</v>
      </c>
      <c r="X457" s="117">
        <v>0</v>
      </c>
      <c r="Y457" s="117">
        <v>0</v>
      </c>
      <c r="Z457" s="21" t="b">
        <v>0</v>
      </c>
      <c r="AA457" s="162">
        <f>+$AD$5-Tabla2[[#This Row],[FECHA DE FACTURACIÓN]]</f>
        <v>367</v>
      </c>
      <c r="AB457" s="163" t="str">
        <f>+IF(Tabla2[[#This Row],[dias de credito]]&gt;=Tabla2[[#This Row],[PLAZO Días]],"venc", "No venc")</f>
        <v>venc</v>
      </c>
      <c r="AC457" s="163" t="str">
        <f>+IF(Tabla2[[#This Row],[FECHA DE PAGO]]&gt;0,"pagada","por pagar")</f>
        <v>pagada</v>
      </c>
      <c r="AD457" s="164" t="str">
        <f>+IF(AND(Tabla2[[#This Row],[venc]]="venc",Tabla2[[#This Row],[estado pago]]="por pagar"),"vencida","no")</f>
        <v>no</v>
      </c>
    </row>
    <row r="458" spans="1:30" ht="19.5" hidden="1" customHeight="1" x14ac:dyDescent="0.25">
      <c r="A458" s="8" t="s">
        <v>1850</v>
      </c>
      <c r="B458" s="8" t="s">
        <v>1851</v>
      </c>
      <c r="C458" s="8">
        <v>30</v>
      </c>
      <c r="D458" s="151">
        <v>8456975.129999999</v>
      </c>
      <c r="E458" s="151"/>
      <c r="F458" s="24" t="s">
        <v>1476</v>
      </c>
      <c r="G458" s="30">
        <v>45118</v>
      </c>
      <c r="H458" s="81" t="s">
        <v>1464</v>
      </c>
      <c r="I458" s="30">
        <v>45082</v>
      </c>
      <c r="J458" s="16" t="s">
        <v>831</v>
      </c>
      <c r="K458" s="9" t="s">
        <v>1530</v>
      </c>
      <c r="L458" s="9"/>
      <c r="M458" s="152">
        <v>1949799</v>
      </c>
      <c r="N458" s="153">
        <v>370461.81</v>
      </c>
      <c r="O458" s="152">
        <v>0</v>
      </c>
      <c r="P458" s="154">
        <v>2.5000000000000001E-2</v>
      </c>
      <c r="Q458" s="152">
        <v>48744.975000000006</v>
      </c>
      <c r="R458" s="9">
        <v>2271515.835</v>
      </c>
      <c r="S458" s="21" t="s">
        <v>1846</v>
      </c>
      <c r="T458" s="117">
        <v>0</v>
      </c>
      <c r="U458" s="117" t="s">
        <v>347</v>
      </c>
      <c r="V458" s="117">
        <v>2023</v>
      </c>
      <c r="W458" s="117">
        <v>6</v>
      </c>
      <c r="X458" s="117">
        <v>1145000</v>
      </c>
      <c r="Y458" s="117">
        <v>2.5000000000000001E-2</v>
      </c>
      <c r="Z458" s="21" t="b">
        <v>0</v>
      </c>
      <c r="AA458" s="162">
        <f>+$AD$5-Tabla2[[#This Row],[FECHA DE FACTURACIÓN]]</f>
        <v>361</v>
      </c>
      <c r="AB458" s="163" t="str">
        <f>+IF(Tabla2[[#This Row],[dias de credito]]&gt;=Tabla2[[#This Row],[PLAZO Días]],"venc", "No venc")</f>
        <v>venc</v>
      </c>
      <c r="AC458" s="163" t="str">
        <f>+IF(Tabla2[[#This Row],[FECHA DE PAGO]]&gt;0,"pagada","por pagar")</f>
        <v>pagada</v>
      </c>
      <c r="AD458" s="164" t="str">
        <f>+IF(AND(Tabla2[[#This Row],[venc]]="venc",Tabla2[[#This Row],[estado pago]]="por pagar"),"vencida","no")</f>
        <v>no</v>
      </c>
    </row>
    <row r="459" spans="1:30" ht="19.5" hidden="1" customHeight="1" x14ac:dyDescent="0.25">
      <c r="A459" s="8" t="s">
        <v>1850</v>
      </c>
      <c r="B459" s="8" t="s">
        <v>1851</v>
      </c>
      <c r="C459" s="8">
        <v>30</v>
      </c>
      <c r="D459" s="151">
        <v>8456975.129999999</v>
      </c>
      <c r="E459" s="151"/>
      <c r="F459" s="24" t="s">
        <v>1476</v>
      </c>
      <c r="G459" s="30">
        <v>45118</v>
      </c>
      <c r="H459" s="81" t="s">
        <v>1464</v>
      </c>
      <c r="I459" s="30">
        <v>45084</v>
      </c>
      <c r="J459" s="16" t="s">
        <v>858</v>
      </c>
      <c r="K459" s="9" t="s">
        <v>1530</v>
      </c>
      <c r="L459" s="9"/>
      <c r="M459" s="152">
        <v>128033</v>
      </c>
      <c r="N459" s="153">
        <v>24326.27</v>
      </c>
      <c r="O459" s="152">
        <v>0</v>
      </c>
      <c r="P459" s="154">
        <v>0</v>
      </c>
      <c r="Q459" s="152">
        <v>0</v>
      </c>
      <c r="R459" s="9">
        <v>152359.26999999999</v>
      </c>
      <c r="S459" s="21" t="s">
        <v>1846</v>
      </c>
      <c r="T459" s="117">
        <v>0</v>
      </c>
      <c r="U459" s="117" t="s">
        <v>347</v>
      </c>
      <c r="V459" s="117">
        <v>2023</v>
      </c>
      <c r="W459" s="117">
        <v>6</v>
      </c>
      <c r="X459" s="117">
        <v>1145000</v>
      </c>
      <c r="Y459" s="117">
        <v>2.5000000000000001E-2</v>
      </c>
      <c r="Z459" s="21" t="b">
        <v>0</v>
      </c>
      <c r="AA459" s="162">
        <f>+$AD$5-Tabla2[[#This Row],[FECHA DE FACTURACIÓN]]</f>
        <v>359</v>
      </c>
      <c r="AB459" s="163" t="str">
        <f>+IF(Tabla2[[#This Row],[dias de credito]]&gt;=Tabla2[[#This Row],[PLAZO Días]],"venc", "No venc")</f>
        <v>venc</v>
      </c>
      <c r="AC459" s="163" t="str">
        <f>+IF(Tabla2[[#This Row],[FECHA DE PAGO]]&gt;0,"pagada","por pagar")</f>
        <v>pagada</v>
      </c>
      <c r="AD459" s="164" t="str">
        <f>+IF(AND(Tabla2[[#This Row],[venc]]="venc",Tabla2[[#This Row],[estado pago]]="por pagar"),"vencida","no")</f>
        <v>no</v>
      </c>
    </row>
    <row r="460" spans="1:30" ht="19.5" hidden="1" customHeight="1" x14ac:dyDescent="0.25">
      <c r="A460" s="8" t="s">
        <v>1850</v>
      </c>
      <c r="B460" s="8" t="s">
        <v>1851</v>
      </c>
      <c r="C460" s="8">
        <v>30</v>
      </c>
      <c r="D460" s="151">
        <v>8456975.129999999</v>
      </c>
      <c r="E460" s="151"/>
      <c r="F460" s="24" t="s">
        <v>1476</v>
      </c>
      <c r="G460" s="30">
        <v>45118</v>
      </c>
      <c r="H460" s="81" t="s">
        <v>1464</v>
      </c>
      <c r="I460" s="30">
        <v>45084</v>
      </c>
      <c r="J460" s="16" t="s">
        <v>857</v>
      </c>
      <c r="K460" s="9" t="s">
        <v>1530</v>
      </c>
      <c r="L460" s="9"/>
      <c r="M460" s="152">
        <v>458352</v>
      </c>
      <c r="N460" s="153">
        <v>87086.88</v>
      </c>
      <c r="O460" s="152">
        <v>0</v>
      </c>
      <c r="P460" s="154">
        <v>0</v>
      </c>
      <c r="Q460" s="152">
        <v>0</v>
      </c>
      <c r="R460" s="9">
        <v>545438.88</v>
      </c>
      <c r="S460" s="21" t="s">
        <v>1846</v>
      </c>
      <c r="T460" s="117">
        <v>0</v>
      </c>
      <c r="U460" s="117" t="s">
        <v>347</v>
      </c>
      <c r="V460" s="117">
        <v>2023</v>
      </c>
      <c r="W460" s="117">
        <v>6</v>
      </c>
      <c r="X460" s="117">
        <v>1145000</v>
      </c>
      <c r="Y460" s="117">
        <v>2.5000000000000001E-2</v>
      </c>
      <c r="Z460" s="21" t="b">
        <v>0</v>
      </c>
      <c r="AA460" s="162">
        <f>+$AD$5-Tabla2[[#This Row],[FECHA DE FACTURACIÓN]]</f>
        <v>359</v>
      </c>
      <c r="AB460" s="163" t="str">
        <f>+IF(Tabla2[[#This Row],[dias de credito]]&gt;=Tabla2[[#This Row],[PLAZO Días]],"venc", "No venc")</f>
        <v>venc</v>
      </c>
      <c r="AC460" s="163" t="str">
        <f>+IF(Tabla2[[#This Row],[FECHA DE PAGO]]&gt;0,"pagada","por pagar")</f>
        <v>pagada</v>
      </c>
      <c r="AD460" s="164" t="str">
        <f>+IF(AND(Tabla2[[#This Row],[venc]]="venc",Tabla2[[#This Row],[estado pago]]="por pagar"),"vencida","no")</f>
        <v>no</v>
      </c>
    </row>
    <row r="461" spans="1:30" ht="19.5" hidden="1" customHeight="1" x14ac:dyDescent="0.25">
      <c r="A461" s="8" t="s">
        <v>1850</v>
      </c>
      <c r="B461" s="8" t="b">
        <v>0</v>
      </c>
      <c r="C461" s="8">
        <v>30</v>
      </c>
      <c r="D461" s="151">
        <v>0</v>
      </c>
      <c r="E461" s="151"/>
      <c r="F461" s="24" t="s">
        <v>84</v>
      </c>
      <c r="G461" s="30">
        <v>45119</v>
      </c>
      <c r="H461" s="81" t="s">
        <v>481</v>
      </c>
      <c r="I461" s="30">
        <v>45118</v>
      </c>
      <c r="J461" s="16" t="s">
        <v>932</v>
      </c>
      <c r="K461" s="9" t="s">
        <v>1530</v>
      </c>
      <c r="L461" s="9"/>
      <c r="M461" s="152">
        <v>4587000</v>
      </c>
      <c r="N461" s="153">
        <v>0</v>
      </c>
      <c r="O461" s="152">
        <v>0</v>
      </c>
      <c r="P461" s="154">
        <v>0</v>
      </c>
      <c r="Q461" s="152">
        <v>0</v>
      </c>
      <c r="R461" s="9">
        <v>4587000</v>
      </c>
      <c r="S461" s="21" t="s">
        <v>1846</v>
      </c>
      <c r="T461" s="117">
        <v>0</v>
      </c>
      <c r="U461" s="117">
        <v>0</v>
      </c>
      <c r="V461" s="117">
        <v>2023</v>
      </c>
      <c r="W461" s="117">
        <v>6</v>
      </c>
      <c r="X461" s="117">
        <v>0</v>
      </c>
      <c r="Y461" s="117">
        <v>0</v>
      </c>
      <c r="Z461" s="21" t="b">
        <v>0</v>
      </c>
      <c r="AA461" s="162">
        <f>+$AD$5-Tabla2[[#This Row],[FECHA DE FACTURACIÓN]]</f>
        <v>325</v>
      </c>
      <c r="AB461" s="163" t="str">
        <f>+IF(Tabla2[[#This Row],[dias de credito]]&gt;=Tabla2[[#This Row],[PLAZO Días]],"venc", "No venc")</f>
        <v>venc</v>
      </c>
      <c r="AC461" s="163" t="str">
        <f>+IF(Tabla2[[#This Row],[FECHA DE PAGO]]&gt;0,"pagada","por pagar")</f>
        <v>pagada</v>
      </c>
      <c r="AD461" s="164" t="str">
        <f>+IF(AND(Tabla2[[#This Row],[venc]]="venc",Tabla2[[#This Row],[estado pago]]="por pagar"),"vencida","no")</f>
        <v>no</v>
      </c>
    </row>
    <row r="462" spans="1:30" ht="19.5" hidden="1" customHeight="1" x14ac:dyDescent="0.25">
      <c r="A462" s="8" t="s">
        <v>1850</v>
      </c>
      <c r="B462" s="8" t="s">
        <v>1851</v>
      </c>
      <c r="C462" s="8">
        <v>10</v>
      </c>
      <c r="D462" s="151">
        <v>0</v>
      </c>
      <c r="E462" s="151"/>
      <c r="F462" s="24" t="s">
        <v>483</v>
      </c>
      <c r="G462" s="30">
        <v>45121</v>
      </c>
      <c r="H462" s="81" t="s">
        <v>482</v>
      </c>
      <c r="I462" s="30">
        <v>45108</v>
      </c>
      <c r="J462" s="16" t="s">
        <v>891</v>
      </c>
      <c r="K462" s="9" t="s">
        <v>1530</v>
      </c>
      <c r="L462" s="9"/>
      <c r="M462" s="152">
        <v>5350576</v>
      </c>
      <c r="N462" s="153">
        <v>1016609.4400000001</v>
      </c>
      <c r="O462" s="152">
        <v>0</v>
      </c>
      <c r="P462" s="154">
        <v>0</v>
      </c>
      <c r="Q462" s="152">
        <v>0</v>
      </c>
      <c r="R462" s="9">
        <v>6367185.4400000004</v>
      </c>
      <c r="S462" s="21" t="s">
        <v>1846</v>
      </c>
      <c r="T462" s="117">
        <v>0</v>
      </c>
      <c r="U462" s="117">
        <v>0</v>
      </c>
      <c r="V462" s="117">
        <v>2023</v>
      </c>
      <c r="W462" s="117">
        <v>6</v>
      </c>
      <c r="X462" s="117">
        <v>0</v>
      </c>
      <c r="Y462" s="117">
        <v>0</v>
      </c>
      <c r="Z462" s="21" t="b">
        <v>1</v>
      </c>
      <c r="AA462" s="162">
        <f>+$AD$5-Tabla2[[#This Row],[FECHA DE FACTURACIÓN]]</f>
        <v>335</v>
      </c>
      <c r="AB462" s="163" t="str">
        <f>+IF(Tabla2[[#This Row],[dias de credito]]&gt;=Tabla2[[#This Row],[PLAZO Días]],"venc", "No venc")</f>
        <v>venc</v>
      </c>
      <c r="AC462" s="163" t="str">
        <f>+IF(Tabla2[[#This Row],[FECHA DE PAGO]]&gt;0,"pagada","por pagar")</f>
        <v>pagada</v>
      </c>
      <c r="AD462" s="164" t="str">
        <f>+IF(AND(Tabla2[[#This Row],[venc]]="venc",Tabla2[[#This Row],[estado pago]]="por pagar"),"vencida","no")</f>
        <v>no</v>
      </c>
    </row>
    <row r="463" spans="1:30" ht="19.5" hidden="1" customHeight="1" x14ac:dyDescent="0.25">
      <c r="A463" s="8" t="s">
        <v>1852</v>
      </c>
      <c r="B463" s="8" t="b">
        <v>0</v>
      </c>
      <c r="C463" s="8">
        <v>30</v>
      </c>
      <c r="D463" s="151">
        <v>0</v>
      </c>
      <c r="E463" s="151"/>
      <c r="F463" s="24" t="s">
        <v>1497</v>
      </c>
      <c r="G463" s="30">
        <v>45121</v>
      </c>
      <c r="H463" s="81" t="s">
        <v>1865</v>
      </c>
      <c r="I463" s="30">
        <v>45121</v>
      </c>
      <c r="J463" s="16" t="s">
        <v>900</v>
      </c>
      <c r="K463" s="9" t="s">
        <v>1530</v>
      </c>
      <c r="L463" s="9"/>
      <c r="M463" s="152">
        <v>1550000</v>
      </c>
      <c r="N463" s="153">
        <v>0</v>
      </c>
      <c r="O463" s="152">
        <v>0</v>
      </c>
      <c r="P463" s="154">
        <v>0</v>
      </c>
      <c r="Q463" s="152">
        <v>0</v>
      </c>
      <c r="R463" s="9">
        <v>1550000</v>
      </c>
      <c r="S463" s="21" t="s">
        <v>1846</v>
      </c>
      <c r="T463" s="117">
        <v>0</v>
      </c>
      <c r="U463" s="117">
        <v>0</v>
      </c>
      <c r="V463" s="117">
        <v>2023</v>
      </c>
      <c r="W463" s="117">
        <v>6</v>
      </c>
      <c r="X463" s="117">
        <v>0</v>
      </c>
      <c r="Y463" s="117">
        <v>0</v>
      </c>
      <c r="Z463" s="21" t="b">
        <v>0</v>
      </c>
      <c r="AA463" s="162">
        <f>+$AD$5-Tabla2[[#This Row],[FECHA DE FACTURACIÓN]]</f>
        <v>322</v>
      </c>
      <c r="AB463" s="163" t="str">
        <f>+IF(Tabla2[[#This Row],[dias de credito]]&gt;=Tabla2[[#This Row],[PLAZO Días]],"venc", "No venc")</f>
        <v>venc</v>
      </c>
      <c r="AC463" s="163" t="str">
        <f>+IF(Tabla2[[#This Row],[FECHA DE PAGO]]&gt;0,"pagada","por pagar")</f>
        <v>pagada</v>
      </c>
      <c r="AD463" s="164" t="str">
        <f>+IF(AND(Tabla2[[#This Row],[venc]]="venc",Tabla2[[#This Row],[estado pago]]="por pagar"),"vencida","no")</f>
        <v>no</v>
      </c>
    </row>
    <row r="464" spans="1:30" ht="19.5" hidden="1" customHeight="1" x14ac:dyDescent="0.25">
      <c r="A464" s="8" t="s">
        <v>1850</v>
      </c>
      <c r="B464" s="8" t="b">
        <v>0</v>
      </c>
      <c r="C464" s="8">
        <v>30</v>
      </c>
      <c r="D464" s="151">
        <v>0</v>
      </c>
      <c r="E464" s="151"/>
      <c r="F464" s="24" t="s">
        <v>84</v>
      </c>
      <c r="G464" s="30">
        <v>45122</v>
      </c>
      <c r="H464" s="81" t="s">
        <v>481</v>
      </c>
      <c r="I464" s="30">
        <v>45121</v>
      </c>
      <c r="J464" s="16" t="s">
        <v>933</v>
      </c>
      <c r="K464" s="9" t="s">
        <v>1530</v>
      </c>
      <c r="L464" s="9"/>
      <c r="M464" s="152">
        <v>6643000</v>
      </c>
      <c r="N464" s="153">
        <v>0</v>
      </c>
      <c r="O464" s="152">
        <v>0</v>
      </c>
      <c r="P464" s="154">
        <v>0</v>
      </c>
      <c r="Q464" s="152">
        <v>0</v>
      </c>
      <c r="R464" s="9">
        <v>6643000</v>
      </c>
      <c r="S464" s="21" t="s">
        <v>1846</v>
      </c>
      <c r="T464" s="117">
        <v>0</v>
      </c>
      <c r="U464" s="117">
        <v>0</v>
      </c>
      <c r="V464" s="117">
        <v>2023</v>
      </c>
      <c r="W464" s="117">
        <v>6</v>
      </c>
      <c r="X464" s="117">
        <v>0</v>
      </c>
      <c r="Y464" s="117">
        <v>0</v>
      </c>
      <c r="Z464" s="21" t="b">
        <v>0</v>
      </c>
      <c r="AA464" s="162">
        <f>+$AD$5-Tabla2[[#This Row],[FECHA DE FACTURACIÓN]]</f>
        <v>322</v>
      </c>
      <c r="AB464" s="163" t="str">
        <f>+IF(Tabla2[[#This Row],[dias de credito]]&gt;=Tabla2[[#This Row],[PLAZO Días]],"venc", "No venc")</f>
        <v>venc</v>
      </c>
      <c r="AC464" s="163" t="str">
        <f>+IF(Tabla2[[#This Row],[FECHA DE PAGO]]&gt;0,"pagada","por pagar")</f>
        <v>pagada</v>
      </c>
      <c r="AD464" s="164" t="str">
        <f>+IF(AND(Tabla2[[#This Row],[venc]]="venc",Tabla2[[#This Row],[estado pago]]="por pagar"),"vencida","no")</f>
        <v>no</v>
      </c>
    </row>
    <row r="465" spans="1:30" ht="19.5" hidden="1" customHeight="1" x14ac:dyDescent="0.25">
      <c r="A465" s="8" t="s">
        <v>1850</v>
      </c>
      <c r="B465" s="8" t="s">
        <v>1851</v>
      </c>
      <c r="C465" s="8">
        <v>60</v>
      </c>
      <c r="D465" s="151">
        <v>1730482</v>
      </c>
      <c r="E465" s="151"/>
      <c r="F465" s="24" t="s">
        <v>603</v>
      </c>
      <c r="G465" s="30">
        <v>45124</v>
      </c>
      <c r="H465" s="81" t="s">
        <v>222</v>
      </c>
      <c r="I465" s="30">
        <v>45051</v>
      </c>
      <c r="J465" s="16">
        <v>1672</v>
      </c>
      <c r="K465" s="9" t="s">
        <v>1530</v>
      </c>
      <c r="L465" s="9"/>
      <c r="M465" s="152">
        <v>224640</v>
      </c>
      <c r="N465" s="153">
        <v>0</v>
      </c>
      <c r="O465" s="152">
        <v>0</v>
      </c>
      <c r="P465" s="154">
        <v>0</v>
      </c>
      <c r="Q465" s="152">
        <v>0</v>
      </c>
      <c r="R465" s="9">
        <v>224640</v>
      </c>
      <c r="S465" s="21" t="s">
        <v>1846</v>
      </c>
      <c r="T465" s="117">
        <v>0</v>
      </c>
      <c r="U465" s="117">
        <v>0</v>
      </c>
      <c r="V465" s="117">
        <v>2023</v>
      </c>
      <c r="W465" s="117">
        <v>6</v>
      </c>
      <c r="X465" s="117">
        <v>0</v>
      </c>
      <c r="Y465" s="117">
        <v>0</v>
      </c>
      <c r="Z465" s="21" t="b">
        <v>0</v>
      </c>
      <c r="AA465" s="162">
        <f>+$AD$5-Tabla2[[#This Row],[FECHA DE FACTURACIÓN]]</f>
        <v>392</v>
      </c>
      <c r="AB465" s="163" t="str">
        <f>+IF(Tabla2[[#This Row],[dias de credito]]&gt;=Tabla2[[#This Row],[PLAZO Días]],"venc", "No venc")</f>
        <v>venc</v>
      </c>
      <c r="AC465" s="163" t="str">
        <f>+IF(Tabla2[[#This Row],[FECHA DE PAGO]]&gt;0,"pagada","por pagar")</f>
        <v>pagada</v>
      </c>
      <c r="AD465" s="164" t="str">
        <f>+IF(AND(Tabla2[[#This Row],[venc]]="venc",Tabla2[[#This Row],[estado pago]]="por pagar"),"vencida","no")</f>
        <v>no</v>
      </c>
    </row>
    <row r="466" spans="1:30" ht="19.5" hidden="1" customHeight="1" x14ac:dyDescent="0.25">
      <c r="A466" s="8" t="s">
        <v>1850</v>
      </c>
      <c r="B466" s="8" t="s">
        <v>1851</v>
      </c>
      <c r="C466" s="8">
        <v>60</v>
      </c>
      <c r="D466" s="151">
        <v>1730482</v>
      </c>
      <c r="E466" s="151"/>
      <c r="F466" s="24" t="s">
        <v>603</v>
      </c>
      <c r="G466" s="30">
        <v>45124</v>
      </c>
      <c r="H466" s="81" t="s">
        <v>222</v>
      </c>
      <c r="I466" s="30">
        <v>45051</v>
      </c>
      <c r="J466" s="16">
        <v>1673</v>
      </c>
      <c r="K466" s="9" t="s">
        <v>1530</v>
      </c>
      <c r="L466" s="9"/>
      <c r="M466" s="152">
        <v>187200</v>
      </c>
      <c r="N466" s="153">
        <v>0</v>
      </c>
      <c r="O466" s="152">
        <v>0</v>
      </c>
      <c r="P466" s="154">
        <v>0</v>
      </c>
      <c r="Q466" s="152">
        <v>0</v>
      </c>
      <c r="R466" s="9">
        <v>187200</v>
      </c>
      <c r="S466" s="21" t="s">
        <v>1846</v>
      </c>
      <c r="T466" s="117">
        <v>0</v>
      </c>
      <c r="U466" s="117">
        <v>0</v>
      </c>
      <c r="V466" s="117">
        <v>2023</v>
      </c>
      <c r="W466" s="117">
        <v>6</v>
      </c>
      <c r="X466" s="117">
        <v>0</v>
      </c>
      <c r="Y466" s="117">
        <v>0</v>
      </c>
      <c r="Z466" s="21" t="b">
        <v>0</v>
      </c>
      <c r="AA466" s="162">
        <f>+$AD$5-Tabla2[[#This Row],[FECHA DE FACTURACIÓN]]</f>
        <v>392</v>
      </c>
      <c r="AB466" s="163" t="str">
        <f>+IF(Tabla2[[#This Row],[dias de credito]]&gt;=Tabla2[[#This Row],[PLAZO Días]],"venc", "No venc")</f>
        <v>venc</v>
      </c>
      <c r="AC466" s="163" t="str">
        <f>+IF(Tabla2[[#This Row],[FECHA DE PAGO]]&gt;0,"pagada","por pagar")</f>
        <v>pagada</v>
      </c>
      <c r="AD466" s="164" t="str">
        <f>+IF(AND(Tabla2[[#This Row],[venc]]="venc",Tabla2[[#This Row],[estado pago]]="por pagar"),"vencida","no")</f>
        <v>no</v>
      </c>
    </row>
    <row r="467" spans="1:30" ht="19.5" hidden="1" customHeight="1" x14ac:dyDescent="0.25">
      <c r="A467" s="8" t="s">
        <v>1850</v>
      </c>
      <c r="B467" s="8" t="s">
        <v>1851</v>
      </c>
      <c r="C467" s="8">
        <v>60</v>
      </c>
      <c r="D467" s="151">
        <v>1730482</v>
      </c>
      <c r="E467" s="151"/>
      <c r="F467" s="24" t="s">
        <v>603</v>
      </c>
      <c r="G467" s="30">
        <v>45124</v>
      </c>
      <c r="H467" s="81" t="s">
        <v>222</v>
      </c>
      <c r="I467" s="30">
        <v>45051</v>
      </c>
      <c r="J467" s="16">
        <v>1681</v>
      </c>
      <c r="K467" s="9" t="s">
        <v>1530</v>
      </c>
      <c r="L467" s="9"/>
      <c r="M467" s="152">
        <v>355680</v>
      </c>
      <c r="N467" s="153">
        <v>0</v>
      </c>
      <c r="O467" s="152">
        <v>0</v>
      </c>
      <c r="P467" s="154">
        <v>0</v>
      </c>
      <c r="Q467" s="152">
        <v>0</v>
      </c>
      <c r="R467" s="9">
        <v>355680</v>
      </c>
      <c r="S467" s="21" t="s">
        <v>1846</v>
      </c>
      <c r="T467" s="117">
        <v>0</v>
      </c>
      <c r="U467" s="117">
        <v>0</v>
      </c>
      <c r="V467" s="117">
        <v>2023</v>
      </c>
      <c r="W467" s="117">
        <v>6</v>
      </c>
      <c r="X467" s="117">
        <v>0</v>
      </c>
      <c r="Y467" s="117">
        <v>0</v>
      </c>
      <c r="Z467" s="21" t="b">
        <v>0</v>
      </c>
      <c r="AA467" s="162">
        <f>+$AD$5-Tabla2[[#This Row],[FECHA DE FACTURACIÓN]]</f>
        <v>392</v>
      </c>
      <c r="AB467" s="163" t="str">
        <f>+IF(Tabla2[[#This Row],[dias de credito]]&gt;=Tabla2[[#This Row],[PLAZO Días]],"venc", "No venc")</f>
        <v>venc</v>
      </c>
      <c r="AC467" s="163" t="str">
        <f>+IF(Tabla2[[#This Row],[FECHA DE PAGO]]&gt;0,"pagada","por pagar")</f>
        <v>pagada</v>
      </c>
      <c r="AD467" s="164" t="str">
        <f>+IF(AND(Tabla2[[#This Row],[venc]]="venc",Tabla2[[#This Row],[estado pago]]="por pagar"),"vencida","no")</f>
        <v>no</v>
      </c>
    </row>
    <row r="468" spans="1:30" ht="19.5" hidden="1" customHeight="1" x14ac:dyDescent="0.25">
      <c r="A468" s="8" t="s">
        <v>1850</v>
      </c>
      <c r="B468" s="8" t="s">
        <v>1851</v>
      </c>
      <c r="C468" s="8">
        <v>60</v>
      </c>
      <c r="D468" s="151">
        <v>1730482</v>
      </c>
      <c r="E468" s="151"/>
      <c r="F468" s="24" t="s">
        <v>603</v>
      </c>
      <c r="G468" s="30">
        <v>45124</v>
      </c>
      <c r="H468" s="81" t="s">
        <v>222</v>
      </c>
      <c r="I468" s="30">
        <v>45051</v>
      </c>
      <c r="J468" s="16">
        <v>1682</v>
      </c>
      <c r="K468" s="9" t="s">
        <v>1530</v>
      </c>
      <c r="L468" s="9"/>
      <c r="M468" s="152">
        <v>411840</v>
      </c>
      <c r="N468" s="153">
        <v>0</v>
      </c>
      <c r="O468" s="152">
        <v>0</v>
      </c>
      <c r="P468" s="154">
        <v>0</v>
      </c>
      <c r="Q468" s="152">
        <v>0</v>
      </c>
      <c r="R468" s="9">
        <v>411840</v>
      </c>
      <c r="S468" s="21" t="s">
        <v>1846</v>
      </c>
      <c r="T468" s="117">
        <v>0</v>
      </c>
      <c r="U468" s="117">
        <v>0</v>
      </c>
      <c r="V468" s="117">
        <v>2023</v>
      </c>
      <c r="W468" s="117">
        <v>6</v>
      </c>
      <c r="X468" s="117">
        <v>0</v>
      </c>
      <c r="Y468" s="117">
        <v>0</v>
      </c>
      <c r="Z468" s="21" t="b">
        <v>0</v>
      </c>
      <c r="AA468" s="162">
        <f>+$AD$5-Tabla2[[#This Row],[FECHA DE FACTURACIÓN]]</f>
        <v>392</v>
      </c>
      <c r="AB468" s="163" t="str">
        <f>+IF(Tabla2[[#This Row],[dias de credito]]&gt;=Tabla2[[#This Row],[PLAZO Días]],"venc", "No venc")</f>
        <v>venc</v>
      </c>
      <c r="AC468" s="163" t="str">
        <f>+IF(Tabla2[[#This Row],[FECHA DE PAGO]]&gt;0,"pagada","por pagar")</f>
        <v>pagada</v>
      </c>
      <c r="AD468" s="164" t="str">
        <f>+IF(AND(Tabla2[[#This Row],[venc]]="venc",Tabla2[[#This Row],[estado pago]]="por pagar"),"vencida","no")</f>
        <v>no</v>
      </c>
    </row>
    <row r="469" spans="1:30" ht="19.5" hidden="1" customHeight="1" x14ac:dyDescent="0.25">
      <c r="A469" s="8" t="s">
        <v>1850</v>
      </c>
      <c r="B469" s="8" t="s">
        <v>1851</v>
      </c>
      <c r="C469" s="8">
        <v>60</v>
      </c>
      <c r="D469" s="151">
        <v>1730482</v>
      </c>
      <c r="E469" s="151"/>
      <c r="F469" s="24" t="s">
        <v>603</v>
      </c>
      <c r="G469" s="30">
        <v>45124</v>
      </c>
      <c r="H469" s="81" t="s">
        <v>222</v>
      </c>
      <c r="I469" s="30">
        <v>45051</v>
      </c>
      <c r="J469" s="16">
        <v>1683</v>
      </c>
      <c r="K469" s="9" t="s">
        <v>1530</v>
      </c>
      <c r="L469" s="9"/>
      <c r="M469" s="152">
        <v>430560</v>
      </c>
      <c r="N469" s="153">
        <v>0</v>
      </c>
      <c r="O469" s="152">
        <v>0</v>
      </c>
      <c r="P469" s="154">
        <v>0</v>
      </c>
      <c r="Q469" s="152">
        <v>0</v>
      </c>
      <c r="R469" s="9">
        <v>430560</v>
      </c>
      <c r="S469" s="21" t="s">
        <v>1846</v>
      </c>
      <c r="T469" s="117">
        <v>0</v>
      </c>
      <c r="U469" s="117">
        <v>0</v>
      </c>
      <c r="V469" s="117">
        <v>2023</v>
      </c>
      <c r="W469" s="117">
        <v>6</v>
      </c>
      <c r="X469" s="117">
        <v>0</v>
      </c>
      <c r="Y469" s="117">
        <v>0</v>
      </c>
      <c r="Z469" s="21" t="b">
        <v>0</v>
      </c>
      <c r="AA469" s="162">
        <f>+$AD$5-Tabla2[[#This Row],[FECHA DE FACTURACIÓN]]</f>
        <v>392</v>
      </c>
      <c r="AB469" s="163" t="str">
        <f>+IF(Tabla2[[#This Row],[dias de credito]]&gt;=Tabla2[[#This Row],[PLAZO Días]],"venc", "No venc")</f>
        <v>venc</v>
      </c>
      <c r="AC469" s="163" t="str">
        <f>+IF(Tabla2[[#This Row],[FECHA DE PAGO]]&gt;0,"pagada","por pagar")</f>
        <v>pagada</v>
      </c>
      <c r="AD469" s="164" t="str">
        <f>+IF(AND(Tabla2[[#This Row],[venc]]="venc",Tabla2[[#This Row],[estado pago]]="por pagar"),"vencida","no")</f>
        <v>no</v>
      </c>
    </row>
    <row r="470" spans="1:30" ht="19.5" hidden="1" customHeight="1" x14ac:dyDescent="0.25">
      <c r="A470" s="8" t="s">
        <v>1850</v>
      </c>
      <c r="B470" s="8" t="s">
        <v>1851</v>
      </c>
      <c r="C470" s="8">
        <v>30</v>
      </c>
      <c r="D470" s="151">
        <v>0</v>
      </c>
      <c r="E470" s="151"/>
      <c r="F470" s="24" t="s">
        <v>227</v>
      </c>
      <c r="G470" s="30">
        <v>45124</v>
      </c>
      <c r="H470" s="81" t="s">
        <v>360</v>
      </c>
      <c r="I470" s="30">
        <v>45069</v>
      </c>
      <c r="J470" s="16" t="s">
        <v>813</v>
      </c>
      <c r="K470" s="9" t="s">
        <v>1530</v>
      </c>
      <c r="L470" s="9"/>
      <c r="M470" s="152">
        <v>3548068</v>
      </c>
      <c r="N470" s="153">
        <v>674132.92</v>
      </c>
      <c r="O470" s="152">
        <v>0</v>
      </c>
      <c r="P470" s="154">
        <v>0</v>
      </c>
      <c r="Q470" s="152">
        <v>0</v>
      </c>
      <c r="R470" s="9">
        <v>4222200.92</v>
      </c>
      <c r="S470" s="21" t="s">
        <v>1846</v>
      </c>
      <c r="T470" s="117">
        <v>0</v>
      </c>
      <c r="U470" s="117">
        <v>0</v>
      </c>
      <c r="V470" s="117">
        <v>2023</v>
      </c>
      <c r="W470" s="117">
        <v>6</v>
      </c>
      <c r="X470" s="117">
        <v>0</v>
      </c>
      <c r="Y470" s="117">
        <v>0</v>
      </c>
      <c r="Z470" s="21" t="b">
        <v>1</v>
      </c>
      <c r="AA470" s="162">
        <f>+$AD$5-Tabla2[[#This Row],[FECHA DE FACTURACIÓN]]</f>
        <v>374</v>
      </c>
      <c r="AB470" s="163" t="str">
        <f>+IF(Tabla2[[#This Row],[dias de credito]]&gt;=Tabla2[[#This Row],[PLAZO Días]],"venc", "No venc")</f>
        <v>venc</v>
      </c>
      <c r="AC470" s="163" t="str">
        <f>+IF(Tabla2[[#This Row],[FECHA DE PAGO]]&gt;0,"pagada","por pagar")</f>
        <v>pagada</v>
      </c>
      <c r="AD470" s="164" t="str">
        <f>+IF(AND(Tabla2[[#This Row],[venc]]="venc",Tabla2[[#This Row],[estado pago]]="por pagar"),"vencida","no")</f>
        <v>no</v>
      </c>
    </row>
    <row r="471" spans="1:30" ht="19.5" hidden="1" customHeight="1" x14ac:dyDescent="0.25">
      <c r="A471" s="8" t="s">
        <v>1850</v>
      </c>
      <c r="B471" s="8" t="s">
        <v>1851</v>
      </c>
      <c r="C471" s="8">
        <v>30</v>
      </c>
      <c r="D471" s="151">
        <v>0</v>
      </c>
      <c r="E471" s="151"/>
      <c r="F471" s="24" t="s">
        <v>227</v>
      </c>
      <c r="G471" s="30">
        <v>45124</v>
      </c>
      <c r="H471" s="81" t="s">
        <v>360</v>
      </c>
      <c r="I471" s="30">
        <v>45069</v>
      </c>
      <c r="J471" s="16" t="s">
        <v>814</v>
      </c>
      <c r="K471" s="9" t="s">
        <v>1530</v>
      </c>
      <c r="L471" s="9"/>
      <c r="M471" s="152">
        <v>3548068</v>
      </c>
      <c r="N471" s="153">
        <v>674132.92</v>
      </c>
      <c r="O471" s="152">
        <v>0</v>
      </c>
      <c r="P471" s="154">
        <v>0</v>
      </c>
      <c r="Q471" s="152">
        <v>0</v>
      </c>
      <c r="R471" s="9">
        <v>4222200.92</v>
      </c>
      <c r="S471" s="21" t="s">
        <v>1846</v>
      </c>
      <c r="T471" s="117">
        <v>0</v>
      </c>
      <c r="U471" s="117">
        <v>0</v>
      </c>
      <c r="V471" s="117">
        <v>2023</v>
      </c>
      <c r="W471" s="117">
        <v>6</v>
      </c>
      <c r="X471" s="117">
        <v>0</v>
      </c>
      <c r="Y471" s="117">
        <v>0</v>
      </c>
      <c r="Z471" s="21" t="b">
        <v>1</v>
      </c>
      <c r="AA471" s="162">
        <f>+$AD$5-Tabla2[[#This Row],[FECHA DE FACTURACIÓN]]</f>
        <v>374</v>
      </c>
      <c r="AB471" s="163" t="str">
        <f>+IF(Tabla2[[#This Row],[dias de credito]]&gt;=Tabla2[[#This Row],[PLAZO Días]],"venc", "No venc")</f>
        <v>venc</v>
      </c>
      <c r="AC471" s="163" t="str">
        <f>+IF(Tabla2[[#This Row],[FECHA DE PAGO]]&gt;0,"pagada","por pagar")</f>
        <v>pagada</v>
      </c>
      <c r="AD471" s="164" t="str">
        <f>+IF(AND(Tabla2[[#This Row],[venc]]="venc",Tabla2[[#This Row],[estado pago]]="por pagar"),"vencida","no")</f>
        <v>no</v>
      </c>
    </row>
    <row r="472" spans="1:30" ht="19.5" hidden="1" customHeight="1" x14ac:dyDescent="0.25">
      <c r="A472" s="8" t="s">
        <v>1850</v>
      </c>
      <c r="B472" s="8" t="b">
        <v>0</v>
      </c>
      <c r="C472" s="8">
        <v>60</v>
      </c>
      <c r="D472" s="151">
        <v>1730482</v>
      </c>
      <c r="E472" s="151"/>
      <c r="F472" s="24" t="s">
        <v>603</v>
      </c>
      <c r="G472" s="30">
        <v>45124</v>
      </c>
      <c r="H472" s="81" t="s">
        <v>222</v>
      </c>
      <c r="I472" s="30">
        <v>45076</v>
      </c>
      <c r="J472" s="16">
        <v>1687</v>
      </c>
      <c r="K472" s="9" t="s">
        <v>1530</v>
      </c>
      <c r="L472" s="9"/>
      <c r="M472" s="152">
        <v>180000</v>
      </c>
      <c r="N472" s="153">
        <v>0</v>
      </c>
      <c r="O472" s="152">
        <v>0</v>
      </c>
      <c r="P472" s="154">
        <v>0</v>
      </c>
      <c r="Q472" s="152">
        <v>0</v>
      </c>
      <c r="R472" s="9">
        <v>180000</v>
      </c>
      <c r="S472" s="21" t="s">
        <v>1846</v>
      </c>
      <c r="T472" s="117">
        <v>0</v>
      </c>
      <c r="U472" s="117">
        <v>0</v>
      </c>
      <c r="V472" s="117">
        <v>2023</v>
      </c>
      <c r="W472" s="117">
        <v>6</v>
      </c>
      <c r="X472" s="117">
        <v>0</v>
      </c>
      <c r="Y472" s="117">
        <v>0</v>
      </c>
      <c r="Z472" s="21" t="b">
        <v>0</v>
      </c>
      <c r="AA472" s="162">
        <f>+$AD$5-Tabla2[[#This Row],[FECHA DE FACTURACIÓN]]</f>
        <v>367</v>
      </c>
      <c r="AB472" s="163" t="str">
        <f>+IF(Tabla2[[#This Row],[dias de credito]]&gt;=Tabla2[[#This Row],[PLAZO Días]],"venc", "No venc")</f>
        <v>venc</v>
      </c>
      <c r="AC472" s="163" t="str">
        <f>+IF(Tabla2[[#This Row],[FECHA DE PAGO]]&gt;0,"pagada","por pagar")</f>
        <v>pagada</v>
      </c>
      <c r="AD472" s="164" t="str">
        <f>+IF(AND(Tabla2[[#This Row],[venc]]="venc",Tabla2[[#This Row],[estado pago]]="por pagar"),"vencida","no")</f>
        <v>no</v>
      </c>
    </row>
    <row r="473" spans="1:30" ht="19.5" hidden="1" customHeight="1" x14ac:dyDescent="0.25">
      <c r="A473" s="8" t="s">
        <v>1850</v>
      </c>
      <c r="B473" s="8" t="b">
        <v>0</v>
      </c>
      <c r="C473" s="8">
        <v>60</v>
      </c>
      <c r="D473" s="151">
        <v>1730482</v>
      </c>
      <c r="E473" s="151"/>
      <c r="F473" s="24" t="s">
        <v>603</v>
      </c>
      <c r="G473" s="30">
        <v>45124</v>
      </c>
      <c r="H473" s="81" t="s">
        <v>222</v>
      </c>
      <c r="I473" s="30">
        <v>45076</v>
      </c>
      <c r="J473" s="16">
        <v>1688</v>
      </c>
      <c r="K473" s="9" t="s">
        <v>1530</v>
      </c>
      <c r="L473" s="9"/>
      <c r="M473" s="152">
        <v>180000</v>
      </c>
      <c r="N473" s="153">
        <v>0</v>
      </c>
      <c r="O473" s="152">
        <v>0</v>
      </c>
      <c r="P473" s="154">
        <v>0</v>
      </c>
      <c r="Q473" s="152">
        <v>0</v>
      </c>
      <c r="R473" s="9">
        <v>180000</v>
      </c>
      <c r="S473" s="21" t="s">
        <v>1846</v>
      </c>
      <c r="T473" s="117">
        <v>0</v>
      </c>
      <c r="U473" s="117">
        <v>0</v>
      </c>
      <c r="V473" s="117">
        <v>2023</v>
      </c>
      <c r="W473" s="117">
        <v>6</v>
      </c>
      <c r="X473" s="117">
        <v>0</v>
      </c>
      <c r="Y473" s="117">
        <v>0</v>
      </c>
      <c r="Z473" s="21" t="b">
        <v>0</v>
      </c>
      <c r="AA473" s="162">
        <f>+$AD$5-Tabla2[[#This Row],[FECHA DE FACTURACIÓN]]</f>
        <v>367</v>
      </c>
      <c r="AB473" s="163" t="str">
        <f>+IF(Tabla2[[#This Row],[dias de credito]]&gt;=Tabla2[[#This Row],[PLAZO Días]],"venc", "No venc")</f>
        <v>venc</v>
      </c>
      <c r="AC473" s="163" t="str">
        <f>+IF(Tabla2[[#This Row],[FECHA DE PAGO]]&gt;0,"pagada","por pagar")</f>
        <v>pagada</v>
      </c>
      <c r="AD473" s="164" t="str">
        <f>+IF(AND(Tabla2[[#This Row],[venc]]="venc",Tabla2[[#This Row],[estado pago]]="por pagar"),"vencida","no")</f>
        <v>no</v>
      </c>
    </row>
    <row r="474" spans="1:30" ht="19.5" hidden="1" customHeight="1" x14ac:dyDescent="0.25">
      <c r="A474" s="8" t="s">
        <v>1850</v>
      </c>
      <c r="B474" s="8" t="s">
        <v>1851</v>
      </c>
      <c r="C474" s="8">
        <v>30</v>
      </c>
      <c r="D474" s="151">
        <v>5581100</v>
      </c>
      <c r="E474" s="151"/>
      <c r="F474" s="24" t="s">
        <v>150</v>
      </c>
      <c r="G474" s="30">
        <v>45124</v>
      </c>
      <c r="H474" s="81" t="s">
        <v>446</v>
      </c>
      <c r="I474" s="30">
        <v>45078</v>
      </c>
      <c r="J474" s="16" t="s">
        <v>830</v>
      </c>
      <c r="K474" s="9" t="s">
        <v>1530</v>
      </c>
      <c r="L474" s="9"/>
      <c r="M474" s="152">
        <v>4512000</v>
      </c>
      <c r="N474" s="153">
        <v>857280</v>
      </c>
      <c r="O474" s="152">
        <v>0</v>
      </c>
      <c r="P474" s="154">
        <v>0</v>
      </c>
      <c r="Q474" s="152">
        <v>0</v>
      </c>
      <c r="R474" s="9">
        <v>5369280</v>
      </c>
      <c r="S474" s="21" t="s">
        <v>1846</v>
      </c>
      <c r="T474" s="117">
        <v>0</v>
      </c>
      <c r="U474" s="117">
        <v>0</v>
      </c>
      <c r="V474" s="117">
        <v>2023</v>
      </c>
      <c r="W474" s="117">
        <v>6</v>
      </c>
      <c r="X474" s="117">
        <v>0</v>
      </c>
      <c r="Y474" s="117">
        <v>0</v>
      </c>
      <c r="Z474" s="21" t="b">
        <v>0</v>
      </c>
      <c r="AA474" s="162">
        <f>+$AD$5-Tabla2[[#This Row],[FECHA DE FACTURACIÓN]]</f>
        <v>365</v>
      </c>
      <c r="AB474" s="163" t="str">
        <f>+IF(Tabla2[[#This Row],[dias de credito]]&gt;=Tabla2[[#This Row],[PLAZO Días]],"venc", "No venc")</f>
        <v>venc</v>
      </c>
      <c r="AC474" s="163" t="str">
        <f>+IF(Tabla2[[#This Row],[FECHA DE PAGO]]&gt;0,"pagada","por pagar")</f>
        <v>pagada</v>
      </c>
      <c r="AD474" s="164" t="str">
        <f>+IF(AND(Tabla2[[#This Row],[venc]]="venc",Tabla2[[#This Row],[estado pago]]="por pagar"),"vencida","no")</f>
        <v>no</v>
      </c>
    </row>
    <row r="475" spans="1:30" ht="19.5" hidden="1" customHeight="1" x14ac:dyDescent="0.25">
      <c r="A475" s="8" t="s">
        <v>1850</v>
      </c>
      <c r="B475" s="8" t="s">
        <v>1851</v>
      </c>
      <c r="C475" s="8">
        <v>30</v>
      </c>
      <c r="D475" s="151">
        <v>5581100</v>
      </c>
      <c r="E475" s="151"/>
      <c r="F475" s="24" t="s">
        <v>150</v>
      </c>
      <c r="G475" s="30">
        <v>45124</v>
      </c>
      <c r="H475" s="81" t="s">
        <v>446</v>
      </c>
      <c r="I475" s="30">
        <v>45086</v>
      </c>
      <c r="J475" s="16" t="s">
        <v>854</v>
      </c>
      <c r="K475" s="9" t="s">
        <v>1530</v>
      </c>
      <c r="L475" s="9"/>
      <c r="M475" s="152">
        <v>7056000</v>
      </c>
      <c r="N475" s="153">
        <v>1340640</v>
      </c>
      <c r="O475" s="152">
        <v>0</v>
      </c>
      <c r="P475" s="154">
        <v>0</v>
      </c>
      <c r="Q475" s="152">
        <v>0</v>
      </c>
      <c r="R475" s="9">
        <v>8396640</v>
      </c>
      <c r="S475" s="21" t="s">
        <v>1846</v>
      </c>
      <c r="T475" s="117">
        <v>0</v>
      </c>
      <c r="U475" s="117">
        <v>0</v>
      </c>
      <c r="V475" s="117">
        <v>2023</v>
      </c>
      <c r="W475" s="117">
        <v>6</v>
      </c>
      <c r="X475" s="117">
        <v>0</v>
      </c>
      <c r="Y475" s="117">
        <v>0</v>
      </c>
      <c r="Z475" s="21" t="b">
        <v>0</v>
      </c>
      <c r="AA475" s="162">
        <f>+$AD$5-Tabla2[[#This Row],[FECHA DE FACTURACIÓN]]</f>
        <v>357</v>
      </c>
      <c r="AB475" s="163" t="str">
        <f>+IF(Tabla2[[#This Row],[dias de credito]]&gt;=Tabla2[[#This Row],[PLAZO Días]],"venc", "No venc")</f>
        <v>venc</v>
      </c>
      <c r="AC475" s="163" t="str">
        <f>+IF(Tabla2[[#This Row],[FECHA DE PAGO]]&gt;0,"pagada","por pagar")</f>
        <v>pagada</v>
      </c>
      <c r="AD475" s="164" t="str">
        <f>+IF(AND(Tabla2[[#This Row],[venc]]="venc",Tabla2[[#This Row],[estado pago]]="por pagar"),"vencida","no")</f>
        <v>no</v>
      </c>
    </row>
    <row r="476" spans="1:30" ht="19.5" hidden="1" customHeight="1" x14ac:dyDescent="0.25">
      <c r="A476" s="8" t="s">
        <v>1850</v>
      </c>
      <c r="B476" s="8" t="s">
        <v>1851</v>
      </c>
      <c r="C476" s="8">
        <v>30</v>
      </c>
      <c r="D476" s="151">
        <v>1695707.16</v>
      </c>
      <c r="E476" s="151"/>
      <c r="F476" s="24" t="s">
        <v>217</v>
      </c>
      <c r="G476" s="30">
        <v>45124</v>
      </c>
      <c r="H476" s="81" t="s">
        <v>194</v>
      </c>
      <c r="I476" s="30">
        <v>45090</v>
      </c>
      <c r="J476" s="16" t="s">
        <v>850</v>
      </c>
      <c r="K476" s="9" t="s">
        <v>1530</v>
      </c>
      <c r="L476" s="9"/>
      <c r="M476" s="152">
        <v>974525</v>
      </c>
      <c r="N476" s="153">
        <v>185159.75</v>
      </c>
      <c r="O476" s="152">
        <v>0</v>
      </c>
      <c r="P476" s="154">
        <v>0</v>
      </c>
      <c r="Q476" s="152">
        <v>0</v>
      </c>
      <c r="R476" s="9">
        <v>1159684.75</v>
      </c>
      <c r="S476" s="21" t="s">
        <v>1846</v>
      </c>
      <c r="T476" s="117">
        <v>0</v>
      </c>
      <c r="U476" s="117">
        <v>0</v>
      </c>
      <c r="V476" s="117">
        <v>2023</v>
      </c>
      <c r="W476" s="117">
        <v>6</v>
      </c>
      <c r="X476" s="117">
        <v>0</v>
      </c>
      <c r="Y476" s="117">
        <v>0</v>
      </c>
      <c r="Z476" s="21" t="b">
        <v>0</v>
      </c>
      <c r="AA476" s="162">
        <f>+$AD$5-Tabla2[[#This Row],[FECHA DE FACTURACIÓN]]</f>
        <v>353</v>
      </c>
      <c r="AB476" s="163" t="str">
        <f>+IF(Tabla2[[#This Row],[dias de credito]]&gt;=Tabla2[[#This Row],[PLAZO Días]],"venc", "No venc")</f>
        <v>venc</v>
      </c>
      <c r="AC476" s="163" t="str">
        <f>+IF(Tabla2[[#This Row],[FECHA DE PAGO]]&gt;0,"pagada","por pagar")</f>
        <v>pagada</v>
      </c>
      <c r="AD476" s="164" t="str">
        <f>+IF(AND(Tabla2[[#This Row],[venc]]="venc",Tabla2[[#This Row],[estado pago]]="por pagar"),"vencida","no")</f>
        <v>no</v>
      </c>
    </row>
    <row r="477" spans="1:30" ht="19.5" hidden="1" customHeight="1" x14ac:dyDescent="0.25">
      <c r="A477" s="8" t="s">
        <v>1850</v>
      </c>
      <c r="B477" s="8" t="s">
        <v>1851</v>
      </c>
      <c r="C477" s="8">
        <v>30</v>
      </c>
      <c r="D477" s="151">
        <v>5581100</v>
      </c>
      <c r="E477" s="151"/>
      <c r="F477" s="24" t="s">
        <v>150</v>
      </c>
      <c r="G477" s="30">
        <v>45124</v>
      </c>
      <c r="H477" s="81" t="s">
        <v>446</v>
      </c>
      <c r="I477" s="30">
        <v>45091</v>
      </c>
      <c r="J477" s="16" t="s">
        <v>875</v>
      </c>
      <c r="K477" s="9" t="s">
        <v>1530</v>
      </c>
      <c r="L477" s="9"/>
      <c r="M477" s="152">
        <v>930000</v>
      </c>
      <c r="N477" s="153">
        <v>176700</v>
      </c>
      <c r="O477" s="152">
        <v>0</v>
      </c>
      <c r="P477" s="154">
        <v>0</v>
      </c>
      <c r="Q477" s="152">
        <v>0</v>
      </c>
      <c r="R477" s="9">
        <v>1106700</v>
      </c>
      <c r="S477" s="21" t="s">
        <v>1846</v>
      </c>
      <c r="T477" s="117">
        <v>0</v>
      </c>
      <c r="U477" s="117">
        <v>0</v>
      </c>
      <c r="V477" s="117">
        <v>2023</v>
      </c>
      <c r="W477" s="117">
        <v>6</v>
      </c>
      <c r="X477" s="117">
        <v>0</v>
      </c>
      <c r="Y477" s="117">
        <v>0</v>
      </c>
      <c r="Z477" s="21" t="b">
        <v>0</v>
      </c>
      <c r="AA477" s="162">
        <f>+$AD$5-Tabla2[[#This Row],[FECHA DE FACTURACIÓN]]</f>
        <v>352</v>
      </c>
      <c r="AB477" s="163" t="str">
        <f>+IF(Tabla2[[#This Row],[dias de credito]]&gt;=Tabla2[[#This Row],[PLAZO Días]],"venc", "No venc")</f>
        <v>venc</v>
      </c>
      <c r="AC477" s="163" t="str">
        <f>+IF(Tabla2[[#This Row],[FECHA DE PAGO]]&gt;0,"pagada","por pagar")</f>
        <v>pagada</v>
      </c>
      <c r="AD477" s="164" t="str">
        <f>+IF(AND(Tabla2[[#This Row],[venc]]="venc",Tabla2[[#This Row],[estado pago]]="por pagar"),"vencida","no")</f>
        <v>no</v>
      </c>
    </row>
    <row r="478" spans="1:30" ht="19.5" hidden="1" customHeight="1" x14ac:dyDescent="0.25">
      <c r="A478" s="8" t="s">
        <v>1850</v>
      </c>
      <c r="B478" s="8" t="s">
        <v>1851</v>
      </c>
      <c r="C478" s="8">
        <v>30</v>
      </c>
      <c r="D478" s="151">
        <v>5581100</v>
      </c>
      <c r="E478" s="151"/>
      <c r="F478" s="24" t="s">
        <v>150</v>
      </c>
      <c r="G478" s="30">
        <v>45124</v>
      </c>
      <c r="H478" s="81" t="s">
        <v>446</v>
      </c>
      <c r="I478" s="30">
        <v>45093</v>
      </c>
      <c r="J478" s="16" t="s">
        <v>876</v>
      </c>
      <c r="K478" s="9" t="s">
        <v>1530</v>
      </c>
      <c r="L478" s="9"/>
      <c r="M478" s="152">
        <v>420000</v>
      </c>
      <c r="N478" s="153">
        <v>79800</v>
      </c>
      <c r="O478" s="152">
        <v>0</v>
      </c>
      <c r="P478" s="154">
        <v>0</v>
      </c>
      <c r="Q478" s="152">
        <v>0</v>
      </c>
      <c r="R478" s="9">
        <v>499800</v>
      </c>
      <c r="S478" s="21" t="s">
        <v>1846</v>
      </c>
      <c r="T478" s="117">
        <v>0</v>
      </c>
      <c r="U478" s="117">
        <v>0</v>
      </c>
      <c r="V478" s="117">
        <v>2023</v>
      </c>
      <c r="W478" s="117">
        <v>6</v>
      </c>
      <c r="X478" s="117">
        <v>0</v>
      </c>
      <c r="Y478" s="117">
        <v>0</v>
      </c>
      <c r="Z478" s="21" t="b">
        <v>0</v>
      </c>
      <c r="AA478" s="162">
        <f>+$AD$5-Tabla2[[#This Row],[FECHA DE FACTURACIÓN]]</f>
        <v>350</v>
      </c>
      <c r="AB478" s="163" t="str">
        <f>+IF(Tabla2[[#This Row],[dias de credito]]&gt;=Tabla2[[#This Row],[PLAZO Días]],"venc", "No venc")</f>
        <v>venc</v>
      </c>
      <c r="AC478" s="163" t="str">
        <f>+IF(Tabla2[[#This Row],[FECHA DE PAGO]]&gt;0,"pagada","por pagar")</f>
        <v>pagada</v>
      </c>
      <c r="AD478" s="164" t="str">
        <f>+IF(AND(Tabla2[[#This Row],[venc]]="venc",Tabla2[[#This Row],[estado pago]]="por pagar"),"vencida","no")</f>
        <v>no</v>
      </c>
    </row>
    <row r="479" spans="1:30" ht="19.5" hidden="1" customHeight="1" x14ac:dyDescent="0.25">
      <c r="A479" s="8" t="s">
        <v>1850</v>
      </c>
      <c r="B479" s="8" t="b">
        <v>0</v>
      </c>
      <c r="C479" s="8">
        <v>60</v>
      </c>
      <c r="D479" s="151">
        <v>1730482</v>
      </c>
      <c r="E479" s="151"/>
      <c r="F479" s="24" t="s">
        <v>603</v>
      </c>
      <c r="G479" s="30">
        <v>45124</v>
      </c>
      <c r="H479" s="81" t="s">
        <v>222</v>
      </c>
      <c r="I479" s="30">
        <v>45096</v>
      </c>
      <c r="J479" s="16">
        <v>1698</v>
      </c>
      <c r="K479" s="9" t="s">
        <v>1530</v>
      </c>
      <c r="L479" s="9"/>
      <c r="M479" s="152">
        <v>174000</v>
      </c>
      <c r="N479" s="153">
        <v>0</v>
      </c>
      <c r="O479" s="152">
        <v>0</v>
      </c>
      <c r="P479" s="154">
        <v>0</v>
      </c>
      <c r="Q479" s="152">
        <v>0</v>
      </c>
      <c r="R479" s="9">
        <v>174000</v>
      </c>
      <c r="S479" s="21" t="s">
        <v>1846</v>
      </c>
      <c r="T479" s="117">
        <v>0</v>
      </c>
      <c r="U479" s="117">
        <v>0</v>
      </c>
      <c r="V479" s="117">
        <v>2023</v>
      </c>
      <c r="W479" s="117">
        <v>6</v>
      </c>
      <c r="X479" s="117">
        <v>0</v>
      </c>
      <c r="Y479" s="117">
        <v>0</v>
      </c>
      <c r="Z479" s="21" t="b">
        <v>0</v>
      </c>
      <c r="AA479" s="162">
        <f>+$AD$5-Tabla2[[#This Row],[FECHA DE FACTURACIÓN]]</f>
        <v>347</v>
      </c>
      <c r="AB479" s="163" t="str">
        <f>+IF(Tabla2[[#This Row],[dias de credito]]&gt;=Tabla2[[#This Row],[PLAZO Días]],"venc", "No venc")</f>
        <v>venc</v>
      </c>
      <c r="AC479" s="163" t="str">
        <f>+IF(Tabla2[[#This Row],[FECHA DE PAGO]]&gt;0,"pagada","por pagar")</f>
        <v>pagada</v>
      </c>
      <c r="AD479" s="164" t="str">
        <f>+IF(AND(Tabla2[[#This Row],[venc]]="venc",Tabla2[[#This Row],[estado pago]]="por pagar"),"vencida","no")</f>
        <v>no</v>
      </c>
    </row>
    <row r="480" spans="1:30" ht="19.5" hidden="1" customHeight="1" x14ac:dyDescent="0.25">
      <c r="A480" s="8" t="s">
        <v>1850</v>
      </c>
      <c r="B480" s="8" t="b">
        <v>0</v>
      </c>
      <c r="C480" s="8">
        <v>60</v>
      </c>
      <c r="D480" s="151">
        <v>1730482</v>
      </c>
      <c r="E480" s="151"/>
      <c r="F480" s="24" t="s">
        <v>603</v>
      </c>
      <c r="G480" s="30">
        <v>45124</v>
      </c>
      <c r="H480" s="81" t="s">
        <v>222</v>
      </c>
      <c r="I480" s="30">
        <v>45096</v>
      </c>
      <c r="J480" s="16">
        <v>1699</v>
      </c>
      <c r="K480" s="9" t="s">
        <v>1530</v>
      </c>
      <c r="L480" s="9"/>
      <c r="M480" s="152">
        <v>174000</v>
      </c>
      <c r="N480" s="153">
        <v>0</v>
      </c>
      <c r="O480" s="152">
        <v>0</v>
      </c>
      <c r="P480" s="154">
        <v>0</v>
      </c>
      <c r="Q480" s="152">
        <v>0</v>
      </c>
      <c r="R480" s="9">
        <v>174000</v>
      </c>
      <c r="S480" s="21" t="s">
        <v>1846</v>
      </c>
      <c r="T480" s="117">
        <v>0</v>
      </c>
      <c r="U480" s="117">
        <v>0</v>
      </c>
      <c r="V480" s="117">
        <v>2023</v>
      </c>
      <c r="W480" s="117">
        <v>6</v>
      </c>
      <c r="X480" s="117">
        <v>0</v>
      </c>
      <c r="Y480" s="117">
        <v>0</v>
      </c>
      <c r="Z480" s="21" t="b">
        <v>0</v>
      </c>
      <c r="AA480" s="162">
        <f>+$AD$5-Tabla2[[#This Row],[FECHA DE FACTURACIÓN]]</f>
        <v>347</v>
      </c>
      <c r="AB480" s="163" t="str">
        <f>+IF(Tabla2[[#This Row],[dias de credito]]&gt;=Tabla2[[#This Row],[PLAZO Días]],"venc", "No venc")</f>
        <v>venc</v>
      </c>
      <c r="AC480" s="163" t="str">
        <f>+IF(Tabla2[[#This Row],[FECHA DE PAGO]]&gt;0,"pagada","por pagar")</f>
        <v>pagada</v>
      </c>
      <c r="AD480" s="164" t="str">
        <f>+IF(AND(Tabla2[[#This Row],[venc]]="venc",Tabla2[[#This Row],[estado pago]]="por pagar"),"vencida","no")</f>
        <v>no</v>
      </c>
    </row>
    <row r="481" spans="1:30" ht="19.5" hidden="1" customHeight="1" x14ac:dyDescent="0.25">
      <c r="A481" s="8" t="s">
        <v>1850</v>
      </c>
      <c r="B481" s="8" t="b">
        <v>0</v>
      </c>
      <c r="C481" s="8">
        <v>60</v>
      </c>
      <c r="D481" s="151">
        <v>1730482</v>
      </c>
      <c r="E481" s="151"/>
      <c r="F481" s="24" t="s">
        <v>603</v>
      </c>
      <c r="G481" s="30">
        <v>45124</v>
      </c>
      <c r="H481" s="81" t="s">
        <v>222</v>
      </c>
      <c r="I481" s="30">
        <v>45096</v>
      </c>
      <c r="J481" s="16">
        <v>1700</v>
      </c>
      <c r="K481" s="9" t="s">
        <v>1530</v>
      </c>
      <c r="L481" s="9"/>
      <c r="M481" s="152">
        <v>191400</v>
      </c>
      <c r="N481" s="153">
        <v>0</v>
      </c>
      <c r="O481" s="152">
        <v>0</v>
      </c>
      <c r="P481" s="154">
        <v>0</v>
      </c>
      <c r="Q481" s="152">
        <v>0</v>
      </c>
      <c r="R481" s="9">
        <v>191400</v>
      </c>
      <c r="S481" s="21" t="s">
        <v>1846</v>
      </c>
      <c r="T481" s="117">
        <v>0</v>
      </c>
      <c r="U481" s="117">
        <v>0</v>
      </c>
      <c r="V481" s="117">
        <v>2023</v>
      </c>
      <c r="W481" s="117">
        <v>6</v>
      </c>
      <c r="X481" s="117">
        <v>0</v>
      </c>
      <c r="Y481" s="117">
        <v>0</v>
      </c>
      <c r="Z481" s="21" t="b">
        <v>0</v>
      </c>
      <c r="AA481" s="162">
        <f>+$AD$5-Tabla2[[#This Row],[FECHA DE FACTURACIÓN]]</f>
        <v>347</v>
      </c>
      <c r="AB481" s="163" t="str">
        <f>+IF(Tabla2[[#This Row],[dias de credito]]&gt;=Tabla2[[#This Row],[PLAZO Días]],"venc", "No venc")</f>
        <v>venc</v>
      </c>
      <c r="AC481" s="163" t="str">
        <f>+IF(Tabla2[[#This Row],[FECHA DE PAGO]]&gt;0,"pagada","por pagar")</f>
        <v>pagada</v>
      </c>
      <c r="AD481" s="164" t="str">
        <f>+IF(AND(Tabla2[[#This Row],[venc]]="venc",Tabla2[[#This Row],[estado pago]]="por pagar"),"vencida","no")</f>
        <v>no</v>
      </c>
    </row>
    <row r="482" spans="1:30" ht="19.5" hidden="1" customHeight="1" x14ac:dyDescent="0.25">
      <c r="A482" s="8" t="s">
        <v>1850</v>
      </c>
      <c r="B482" s="8" t="b">
        <v>0</v>
      </c>
      <c r="C482" s="8">
        <v>60</v>
      </c>
      <c r="D482" s="151">
        <v>1730482</v>
      </c>
      <c r="E482" s="151"/>
      <c r="F482" s="24" t="s">
        <v>603</v>
      </c>
      <c r="G482" s="30">
        <v>45124</v>
      </c>
      <c r="H482" s="81" t="s">
        <v>222</v>
      </c>
      <c r="I482" s="30">
        <v>45096</v>
      </c>
      <c r="J482" s="16">
        <v>1701</v>
      </c>
      <c r="K482" s="9" t="s">
        <v>1530</v>
      </c>
      <c r="L482" s="9"/>
      <c r="M482" s="152">
        <v>191400</v>
      </c>
      <c r="N482" s="153">
        <v>0</v>
      </c>
      <c r="O482" s="152">
        <v>0</v>
      </c>
      <c r="P482" s="154">
        <v>0</v>
      </c>
      <c r="Q482" s="152">
        <v>0</v>
      </c>
      <c r="R482" s="9">
        <v>191400</v>
      </c>
      <c r="S482" s="21" t="s">
        <v>1846</v>
      </c>
      <c r="T482" s="117">
        <v>0</v>
      </c>
      <c r="U482" s="117">
        <v>0</v>
      </c>
      <c r="V482" s="117">
        <v>2023</v>
      </c>
      <c r="W482" s="117">
        <v>6</v>
      </c>
      <c r="X482" s="117">
        <v>0</v>
      </c>
      <c r="Y482" s="117">
        <v>0</v>
      </c>
      <c r="Z482" s="21" t="b">
        <v>0</v>
      </c>
      <c r="AA482" s="162">
        <f>+$AD$5-Tabla2[[#This Row],[FECHA DE FACTURACIÓN]]</f>
        <v>347</v>
      </c>
      <c r="AB482" s="163" t="str">
        <f>+IF(Tabla2[[#This Row],[dias de credito]]&gt;=Tabla2[[#This Row],[PLAZO Días]],"venc", "No venc")</f>
        <v>venc</v>
      </c>
      <c r="AC482" s="163" t="str">
        <f>+IF(Tabla2[[#This Row],[FECHA DE PAGO]]&gt;0,"pagada","por pagar")</f>
        <v>pagada</v>
      </c>
      <c r="AD482" s="164" t="str">
        <f>+IF(AND(Tabla2[[#This Row],[venc]]="venc",Tabla2[[#This Row],[estado pago]]="por pagar"),"vencida","no")</f>
        <v>no</v>
      </c>
    </row>
    <row r="483" spans="1:30" ht="19.5" hidden="1" customHeight="1" x14ac:dyDescent="0.25">
      <c r="A483" s="8" t="s">
        <v>1850</v>
      </c>
      <c r="B483" s="8" t="b">
        <v>0</v>
      </c>
      <c r="C483" s="8">
        <v>45</v>
      </c>
      <c r="D483" s="151">
        <v>0</v>
      </c>
      <c r="E483" s="151"/>
      <c r="F483" s="24" t="s">
        <v>603</v>
      </c>
      <c r="G483" s="30">
        <v>45124</v>
      </c>
      <c r="H483" s="81" t="s">
        <v>224</v>
      </c>
      <c r="I483" s="30">
        <v>45100</v>
      </c>
      <c r="J483" s="16">
        <v>1706</v>
      </c>
      <c r="K483" s="9" t="s">
        <v>1530</v>
      </c>
      <c r="L483" s="9"/>
      <c r="M483" s="152">
        <v>2781390</v>
      </c>
      <c r="N483" s="153">
        <v>0</v>
      </c>
      <c r="O483" s="152">
        <v>0</v>
      </c>
      <c r="P483" s="154">
        <v>0</v>
      </c>
      <c r="Q483" s="152">
        <v>0</v>
      </c>
      <c r="R483" s="9">
        <v>2781390</v>
      </c>
      <c r="S483" s="21" t="s">
        <v>1846</v>
      </c>
      <c r="T483" s="117">
        <v>0</v>
      </c>
      <c r="U483" s="117">
        <v>0</v>
      </c>
      <c r="V483" s="117">
        <v>2023</v>
      </c>
      <c r="W483" s="117">
        <v>6</v>
      </c>
      <c r="X483" s="117">
        <v>0</v>
      </c>
      <c r="Y483" s="117">
        <v>0</v>
      </c>
      <c r="Z483" s="21" t="b">
        <v>0</v>
      </c>
      <c r="AA483" s="162">
        <f>+$AD$5-Tabla2[[#This Row],[FECHA DE FACTURACIÓN]]</f>
        <v>343</v>
      </c>
      <c r="AB483" s="163" t="str">
        <f>+IF(Tabla2[[#This Row],[dias de credito]]&gt;=Tabla2[[#This Row],[PLAZO Días]],"venc", "No venc")</f>
        <v>venc</v>
      </c>
      <c r="AC483" s="163" t="str">
        <f>+IF(Tabla2[[#This Row],[FECHA DE PAGO]]&gt;0,"pagada","por pagar")</f>
        <v>pagada</v>
      </c>
      <c r="AD483" s="164" t="str">
        <f>+IF(AND(Tabla2[[#This Row],[venc]]="venc",Tabla2[[#This Row],[estado pago]]="por pagar"),"vencida","no")</f>
        <v>no</v>
      </c>
    </row>
    <row r="484" spans="1:30" ht="19.5" hidden="1" customHeight="1" x14ac:dyDescent="0.25">
      <c r="A484" s="8" t="s">
        <v>1850</v>
      </c>
      <c r="B484" s="8" t="b">
        <v>0</v>
      </c>
      <c r="C484" s="8">
        <v>60</v>
      </c>
      <c r="D484" s="151">
        <v>1730482</v>
      </c>
      <c r="E484" s="151"/>
      <c r="F484" s="24" t="s">
        <v>603</v>
      </c>
      <c r="G484" s="30">
        <v>45124</v>
      </c>
      <c r="H484" s="81" t="s">
        <v>222</v>
      </c>
      <c r="I484" s="30">
        <v>45107</v>
      </c>
      <c r="J484" s="16">
        <v>1715</v>
      </c>
      <c r="K484" s="9" t="s">
        <v>1530</v>
      </c>
      <c r="L484" s="9"/>
      <c r="M484" s="152">
        <v>226200</v>
      </c>
      <c r="N484" s="153">
        <v>0</v>
      </c>
      <c r="O484" s="152">
        <v>0</v>
      </c>
      <c r="P484" s="154">
        <v>0</v>
      </c>
      <c r="Q484" s="152">
        <v>0</v>
      </c>
      <c r="R484" s="9">
        <v>226200</v>
      </c>
      <c r="S484" s="21" t="s">
        <v>1846</v>
      </c>
      <c r="T484" s="117">
        <v>0</v>
      </c>
      <c r="U484" s="117">
        <v>0</v>
      </c>
      <c r="V484" s="117">
        <v>2023</v>
      </c>
      <c r="W484" s="117">
        <v>6</v>
      </c>
      <c r="X484" s="117">
        <v>0</v>
      </c>
      <c r="Y484" s="117">
        <v>0</v>
      </c>
      <c r="Z484" s="21" t="b">
        <v>0</v>
      </c>
      <c r="AA484" s="162">
        <f>+$AD$5-Tabla2[[#This Row],[FECHA DE FACTURACIÓN]]</f>
        <v>336</v>
      </c>
      <c r="AB484" s="163" t="str">
        <f>+IF(Tabla2[[#This Row],[dias de credito]]&gt;=Tabla2[[#This Row],[PLAZO Días]],"venc", "No venc")</f>
        <v>venc</v>
      </c>
      <c r="AC484" s="163" t="str">
        <f>+IF(Tabla2[[#This Row],[FECHA DE PAGO]]&gt;0,"pagada","por pagar")</f>
        <v>pagada</v>
      </c>
      <c r="AD484" s="164" t="str">
        <f>+IF(AND(Tabla2[[#This Row],[venc]]="venc",Tabla2[[#This Row],[estado pago]]="por pagar"),"vencida","no")</f>
        <v>no</v>
      </c>
    </row>
    <row r="485" spans="1:30" ht="19.5" hidden="1" customHeight="1" x14ac:dyDescent="0.25">
      <c r="A485" s="8" t="s">
        <v>1850</v>
      </c>
      <c r="B485" s="8" t="b">
        <v>0</v>
      </c>
      <c r="C485" s="8">
        <v>60</v>
      </c>
      <c r="D485" s="151">
        <v>1730482</v>
      </c>
      <c r="E485" s="151"/>
      <c r="F485" s="24" t="s">
        <v>603</v>
      </c>
      <c r="G485" s="30">
        <v>45124</v>
      </c>
      <c r="H485" s="81" t="s">
        <v>222</v>
      </c>
      <c r="I485" s="30">
        <v>45107</v>
      </c>
      <c r="J485" s="16">
        <v>1716</v>
      </c>
      <c r="K485" s="9" t="s">
        <v>1530</v>
      </c>
      <c r="L485" s="9"/>
      <c r="M485" s="152">
        <v>226200</v>
      </c>
      <c r="N485" s="153">
        <v>0</v>
      </c>
      <c r="O485" s="152">
        <v>0</v>
      </c>
      <c r="P485" s="154">
        <v>0</v>
      </c>
      <c r="Q485" s="152">
        <v>0</v>
      </c>
      <c r="R485" s="9">
        <v>226200</v>
      </c>
      <c r="S485" s="21" t="s">
        <v>1846</v>
      </c>
      <c r="T485" s="117">
        <v>0</v>
      </c>
      <c r="U485" s="117">
        <v>0</v>
      </c>
      <c r="V485" s="117">
        <v>2023</v>
      </c>
      <c r="W485" s="117">
        <v>6</v>
      </c>
      <c r="X485" s="117">
        <v>0</v>
      </c>
      <c r="Y485" s="117">
        <v>0</v>
      </c>
      <c r="Z485" s="21" t="b">
        <v>0</v>
      </c>
      <c r="AA485" s="162">
        <f>+$AD$5-Tabla2[[#This Row],[FECHA DE FACTURACIÓN]]</f>
        <v>336</v>
      </c>
      <c r="AB485" s="163" t="str">
        <f>+IF(Tabla2[[#This Row],[dias de credito]]&gt;=Tabla2[[#This Row],[PLAZO Días]],"venc", "No venc")</f>
        <v>venc</v>
      </c>
      <c r="AC485" s="163" t="str">
        <f>+IF(Tabla2[[#This Row],[FECHA DE PAGO]]&gt;0,"pagada","por pagar")</f>
        <v>pagada</v>
      </c>
      <c r="AD485" s="164" t="str">
        <f>+IF(AND(Tabla2[[#This Row],[venc]]="venc",Tabla2[[#This Row],[estado pago]]="por pagar"),"vencida","no")</f>
        <v>no</v>
      </c>
    </row>
    <row r="486" spans="1:30" ht="19.5" hidden="1" customHeight="1" x14ac:dyDescent="0.25">
      <c r="A486" s="8" t="s">
        <v>1850</v>
      </c>
      <c r="B486" s="8" t="b">
        <v>0</v>
      </c>
      <c r="C486" s="8">
        <v>30</v>
      </c>
      <c r="D486" s="151">
        <v>0</v>
      </c>
      <c r="E486" s="151"/>
      <c r="F486" s="24" t="s">
        <v>1447</v>
      </c>
      <c r="G486" s="30">
        <v>45124</v>
      </c>
      <c r="H486" s="81" t="s">
        <v>373</v>
      </c>
      <c r="I486" s="30">
        <v>45109</v>
      </c>
      <c r="J486" s="16" t="s">
        <v>892</v>
      </c>
      <c r="K486" s="9" t="s">
        <v>1530</v>
      </c>
      <c r="L486" s="9"/>
      <c r="M486" s="152">
        <v>1840056</v>
      </c>
      <c r="N486" s="153">
        <v>0</v>
      </c>
      <c r="O486" s="152">
        <v>0</v>
      </c>
      <c r="P486" s="154">
        <v>0</v>
      </c>
      <c r="Q486" s="152">
        <v>0</v>
      </c>
      <c r="R486" s="9">
        <v>1840056</v>
      </c>
      <c r="S486" s="21" t="s">
        <v>1846</v>
      </c>
      <c r="T486" s="117">
        <v>0</v>
      </c>
      <c r="U486" s="117">
        <v>0</v>
      </c>
      <c r="V486" s="117">
        <v>2023</v>
      </c>
      <c r="W486" s="117">
        <v>6</v>
      </c>
      <c r="X486" s="117">
        <v>0</v>
      </c>
      <c r="Y486" s="117">
        <v>0</v>
      </c>
      <c r="Z486" s="21" t="b">
        <v>1</v>
      </c>
      <c r="AA486" s="162">
        <f>+$AD$5-Tabla2[[#This Row],[FECHA DE FACTURACIÓN]]</f>
        <v>334</v>
      </c>
      <c r="AB486" s="163" t="str">
        <f>+IF(Tabla2[[#This Row],[dias de credito]]&gt;=Tabla2[[#This Row],[PLAZO Días]],"venc", "No venc")</f>
        <v>venc</v>
      </c>
      <c r="AC486" s="163" t="str">
        <f>+IF(Tabla2[[#This Row],[FECHA DE PAGO]]&gt;0,"pagada","por pagar")</f>
        <v>pagada</v>
      </c>
      <c r="AD486" s="164" t="str">
        <f>+IF(AND(Tabla2[[#This Row],[venc]]="venc",Tabla2[[#This Row],[estado pago]]="por pagar"),"vencida","no")</f>
        <v>no</v>
      </c>
    </row>
    <row r="487" spans="1:30" ht="19.5" hidden="1" customHeight="1" x14ac:dyDescent="0.25">
      <c r="A487" s="8" t="s">
        <v>1850</v>
      </c>
      <c r="B487" s="8" t="b">
        <v>0</v>
      </c>
      <c r="C487" s="8">
        <v>30</v>
      </c>
      <c r="D487" s="151">
        <v>0</v>
      </c>
      <c r="E487" s="151"/>
      <c r="F487" s="24">
        <v>0</v>
      </c>
      <c r="G487" s="30">
        <v>45124</v>
      </c>
      <c r="H487" s="81" t="s">
        <v>836</v>
      </c>
      <c r="I487" s="30">
        <v>45122</v>
      </c>
      <c r="J487" s="16">
        <v>4</v>
      </c>
      <c r="K487" s="9" t="s">
        <v>1530</v>
      </c>
      <c r="L487" s="9"/>
      <c r="M487" s="152">
        <v>369000</v>
      </c>
      <c r="N487" s="153">
        <v>0</v>
      </c>
      <c r="O487" s="152">
        <v>0</v>
      </c>
      <c r="P487" s="154">
        <v>0</v>
      </c>
      <c r="Q487" s="152">
        <v>0</v>
      </c>
      <c r="R487" s="9">
        <v>369000</v>
      </c>
      <c r="S487" s="21" t="s">
        <v>1846</v>
      </c>
      <c r="T487" s="117">
        <v>0</v>
      </c>
      <c r="U487" s="117">
        <v>0</v>
      </c>
      <c r="V487" s="117">
        <v>2023</v>
      </c>
      <c r="W487" s="117">
        <v>6</v>
      </c>
      <c r="X487" s="117">
        <v>0</v>
      </c>
      <c r="Y487" s="117">
        <v>0</v>
      </c>
      <c r="Z487" s="21" t="b">
        <v>0</v>
      </c>
      <c r="AA487" s="162">
        <f>+$AD$5-Tabla2[[#This Row],[FECHA DE FACTURACIÓN]]</f>
        <v>321</v>
      </c>
      <c r="AB487" s="163" t="str">
        <f>+IF(Tabla2[[#This Row],[dias de credito]]&gt;=Tabla2[[#This Row],[PLAZO Días]],"venc", "No venc")</f>
        <v>venc</v>
      </c>
      <c r="AC487" s="163" t="str">
        <f>+IF(Tabla2[[#This Row],[FECHA DE PAGO]]&gt;0,"pagada","por pagar")</f>
        <v>pagada</v>
      </c>
      <c r="AD487" s="164" t="str">
        <f>+IF(AND(Tabla2[[#This Row],[venc]]="venc",Tabla2[[#This Row],[estado pago]]="por pagar"),"vencida","no")</f>
        <v>no</v>
      </c>
    </row>
    <row r="488" spans="1:30" ht="19.5" hidden="1" customHeight="1" x14ac:dyDescent="0.25">
      <c r="A488" s="8" t="s">
        <v>1850</v>
      </c>
      <c r="B488" s="8" t="b">
        <v>0</v>
      </c>
      <c r="C488" s="8">
        <v>30</v>
      </c>
      <c r="D488" s="151">
        <v>0</v>
      </c>
      <c r="E488" s="151"/>
      <c r="F488" s="24" t="s">
        <v>179</v>
      </c>
      <c r="G488" s="30">
        <v>45125</v>
      </c>
      <c r="H488" s="81" t="s">
        <v>381</v>
      </c>
      <c r="I488" s="30">
        <v>45124</v>
      </c>
      <c r="J488" s="16" t="s">
        <v>901</v>
      </c>
      <c r="K488" s="9" t="s">
        <v>1530</v>
      </c>
      <c r="L488" s="9"/>
      <c r="M488" s="152">
        <v>1650000</v>
      </c>
      <c r="N488" s="153">
        <v>313500</v>
      </c>
      <c r="O488" s="152">
        <v>0</v>
      </c>
      <c r="P488" s="154">
        <v>0.11</v>
      </c>
      <c r="Q488" s="152">
        <v>181500</v>
      </c>
      <c r="R488" s="9">
        <v>1782000</v>
      </c>
      <c r="S488" s="21" t="s">
        <v>1846</v>
      </c>
      <c r="T488" s="117">
        <v>0</v>
      </c>
      <c r="U488" s="117" t="s">
        <v>351</v>
      </c>
      <c r="V488" s="117">
        <v>2023</v>
      </c>
      <c r="W488" s="117">
        <v>6</v>
      </c>
      <c r="X488" s="117">
        <v>0</v>
      </c>
      <c r="Y488" s="117">
        <v>0.11</v>
      </c>
      <c r="Z488" s="21" t="b">
        <v>1</v>
      </c>
      <c r="AA488" s="162">
        <f>+$AD$5-Tabla2[[#This Row],[FECHA DE FACTURACIÓN]]</f>
        <v>319</v>
      </c>
      <c r="AB488" s="163" t="str">
        <f>+IF(Tabla2[[#This Row],[dias de credito]]&gt;=Tabla2[[#This Row],[PLAZO Días]],"venc", "No venc")</f>
        <v>venc</v>
      </c>
      <c r="AC488" s="163" t="str">
        <f>+IF(Tabla2[[#This Row],[FECHA DE PAGO]]&gt;0,"pagada","por pagar")</f>
        <v>pagada</v>
      </c>
      <c r="AD488" s="164" t="str">
        <f>+IF(AND(Tabla2[[#This Row],[venc]]="venc",Tabla2[[#This Row],[estado pago]]="por pagar"),"vencida","no")</f>
        <v>no</v>
      </c>
    </row>
    <row r="489" spans="1:30" ht="19.5" hidden="1" customHeight="1" x14ac:dyDescent="0.25">
      <c r="A489" s="8" t="s">
        <v>1852</v>
      </c>
      <c r="B489" s="8" t="b">
        <v>0</v>
      </c>
      <c r="C489" s="8">
        <v>30</v>
      </c>
      <c r="D489" s="151">
        <v>0</v>
      </c>
      <c r="E489" s="151"/>
      <c r="F489" s="24">
        <v>0</v>
      </c>
      <c r="G489" s="30">
        <v>45125</v>
      </c>
      <c r="H489" s="81" t="s">
        <v>291</v>
      </c>
      <c r="I489" s="30">
        <v>45125</v>
      </c>
      <c r="J489" s="16" t="s">
        <v>893</v>
      </c>
      <c r="K489" s="9" t="s">
        <v>1530</v>
      </c>
      <c r="L489" s="9"/>
      <c r="M489" s="152">
        <v>1431255</v>
      </c>
      <c r="N489" s="153">
        <v>271938.45</v>
      </c>
      <c r="O489" s="152">
        <v>0</v>
      </c>
      <c r="P489" s="154">
        <v>2.5000000000000001E-2</v>
      </c>
      <c r="Q489" s="152">
        <v>35781.375</v>
      </c>
      <c r="R489" s="9">
        <v>1667412.075</v>
      </c>
      <c r="S489" s="21" t="s">
        <v>1846</v>
      </c>
      <c r="T489" s="117">
        <v>0</v>
      </c>
      <c r="U489" s="117" t="s">
        <v>347</v>
      </c>
      <c r="V489" s="117">
        <v>2023</v>
      </c>
      <c r="W489" s="117">
        <v>6</v>
      </c>
      <c r="X489" s="117">
        <v>1145000</v>
      </c>
      <c r="Y489" s="117">
        <v>2.5000000000000001E-2</v>
      </c>
      <c r="Z489" s="21" t="b">
        <v>0</v>
      </c>
      <c r="AA489" s="162">
        <f>+$AD$5-Tabla2[[#This Row],[FECHA DE FACTURACIÓN]]</f>
        <v>318</v>
      </c>
      <c r="AB489" s="163" t="str">
        <f>+IF(Tabla2[[#This Row],[dias de credito]]&gt;=Tabla2[[#This Row],[PLAZO Días]],"venc", "No venc")</f>
        <v>venc</v>
      </c>
      <c r="AC489" s="163" t="str">
        <f>+IF(Tabla2[[#This Row],[FECHA DE PAGO]]&gt;0,"pagada","por pagar")</f>
        <v>pagada</v>
      </c>
      <c r="AD489" s="164" t="str">
        <f>+IF(AND(Tabla2[[#This Row],[venc]]="venc",Tabla2[[#This Row],[estado pago]]="por pagar"),"vencida","no")</f>
        <v>no</v>
      </c>
    </row>
    <row r="490" spans="1:30" ht="19.5" hidden="1" customHeight="1" x14ac:dyDescent="0.25">
      <c r="A490" s="8" t="s">
        <v>1850</v>
      </c>
      <c r="B490" s="8" t="s">
        <v>1851</v>
      </c>
      <c r="C490" s="8">
        <v>60</v>
      </c>
      <c r="D490" s="151">
        <v>0</v>
      </c>
      <c r="E490" s="151"/>
      <c r="F490" s="24" t="s">
        <v>147</v>
      </c>
      <c r="G490" s="30">
        <v>45126</v>
      </c>
      <c r="H490" s="81" t="s">
        <v>221</v>
      </c>
      <c r="I490" s="30">
        <v>45057</v>
      </c>
      <c r="J490" s="16" t="s">
        <v>794</v>
      </c>
      <c r="K490" s="9" t="s">
        <v>1530</v>
      </c>
      <c r="L490" s="9"/>
      <c r="M490" s="152">
        <v>2302268</v>
      </c>
      <c r="N490" s="153">
        <v>437430.92</v>
      </c>
      <c r="O490" s="152">
        <v>0</v>
      </c>
      <c r="P490" s="154">
        <v>2.5000000000000001E-2</v>
      </c>
      <c r="Q490" s="152">
        <v>57556.700000000004</v>
      </c>
      <c r="R490" s="9">
        <v>2682142.2199999997</v>
      </c>
      <c r="S490" s="21" t="s">
        <v>1846</v>
      </c>
      <c r="T490" s="117">
        <v>0</v>
      </c>
      <c r="U490" s="117" t="s">
        <v>347</v>
      </c>
      <c r="V490" s="117">
        <v>2023</v>
      </c>
      <c r="W490" s="117">
        <v>6</v>
      </c>
      <c r="X490" s="117">
        <v>1145000</v>
      </c>
      <c r="Y490" s="117">
        <v>2.5000000000000001E-2</v>
      </c>
      <c r="Z490" s="21" t="b">
        <v>0</v>
      </c>
      <c r="AA490" s="162">
        <f>+$AD$5-Tabla2[[#This Row],[FECHA DE FACTURACIÓN]]</f>
        <v>386</v>
      </c>
      <c r="AB490" s="163" t="str">
        <f>+IF(Tabla2[[#This Row],[dias de credito]]&gt;=Tabla2[[#This Row],[PLAZO Días]],"venc", "No venc")</f>
        <v>venc</v>
      </c>
      <c r="AC490" s="163" t="str">
        <f>+IF(Tabla2[[#This Row],[FECHA DE PAGO]]&gt;0,"pagada","por pagar")</f>
        <v>pagada</v>
      </c>
      <c r="AD490" s="164" t="str">
        <f>+IF(AND(Tabla2[[#This Row],[venc]]="venc",Tabla2[[#This Row],[estado pago]]="por pagar"),"vencida","no")</f>
        <v>no</v>
      </c>
    </row>
    <row r="491" spans="1:30" ht="19.5" hidden="1" customHeight="1" x14ac:dyDescent="0.25">
      <c r="A491" s="8" t="s">
        <v>1850</v>
      </c>
      <c r="B491" s="8" t="b">
        <v>0</v>
      </c>
      <c r="C491" s="8">
        <v>30</v>
      </c>
      <c r="D491" s="151">
        <v>0</v>
      </c>
      <c r="E491" s="151"/>
      <c r="F491" s="24" t="s">
        <v>268</v>
      </c>
      <c r="G491" s="30">
        <v>45126</v>
      </c>
      <c r="H491" s="81" t="s">
        <v>376</v>
      </c>
      <c r="I491" s="30">
        <v>45108</v>
      </c>
      <c r="J491" s="16" t="s">
        <v>894</v>
      </c>
      <c r="K491" s="9" t="s">
        <v>1530</v>
      </c>
      <c r="L491" s="9"/>
      <c r="M491" s="152">
        <v>318603</v>
      </c>
      <c r="N491" s="153">
        <v>0</v>
      </c>
      <c r="O491" s="152">
        <v>0</v>
      </c>
      <c r="P491" s="154">
        <v>0</v>
      </c>
      <c r="Q491" s="152">
        <v>0</v>
      </c>
      <c r="R491" s="9">
        <v>318603</v>
      </c>
      <c r="S491" s="21" t="s">
        <v>1846</v>
      </c>
      <c r="T491" s="117">
        <v>0</v>
      </c>
      <c r="U491" s="117">
        <v>0</v>
      </c>
      <c r="V491" s="117">
        <v>2023</v>
      </c>
      <c r="W491" s="117">
        <v>6</v>
      </c>
      <c r="X491" s="117">
        <v>0</v>
      </c>
      <c r="Y491" s="117">
        <v>0</v>
      </c>
      <c r="Z491" s="21" t="b">
        <v>1</v>
      </c>
      <c r="AA491" s="162">
        <f>+$AD$5-Tabla2[[#This Row],[FECHA DE FACTURACIÓN]]</f>
        <v>335</v>
      </c>
      <c r="AB491" s="163" t="str">
        <f>+IF(Tabla2[[#This Row],[dias de credito]]&gt;=Tabla2[[#This Row],[PLAZO Días]],"venc", "No venc")</f>
        <v>venc</v>
      </c>
      <c r="AC491" s="163" t="str">
        <f>+IF(Tabla2[[#This Row],[FECHA DE PAGO]]&gt;0,"pagada","por pagar")</f>
        <v>pagada</v>
      </c>
      <c r="AD491" s="164" t="str">
        <f>+IF(AND(Tabla2[[#This Row],[venc]]="venc",Tabla2[[#This Row],[estado pago]]="por pagar"),"vencida","no")</f>
        <v>no</v>
      </c>
    </row>
    <row r="492" spans="1:30" ht="19.5" hidden="1" customHeight="1" x14ac:dyDescent="0.25">
      <c r="A492" s="8" t="s">
        <v>1850</v>
      </c>
      <c r="B492" s="8" t="s">
        <v>1851</v>
      </c>
      <c r="C492" s="8">
        <v>30</v>
      </c>
      <c r="D492" s="151">
        <v>12628497</v>
      </c>
      <c r="E492" s="151"/>
      <c r="F492" s="24" t="s">
        <v>149</v>
      </c>
      <c r="G492" s="30">
        <v>45128</v>
      </c>
      <c r="H492" s="81" t="s">
        <v>451</v>
      </c>
      <c r="I492" s="30">
        <v>45072</v>
      </c>
      <c r="J492" s="16" t="s">
        <v>815</v>
      </c>
      <c r="K492" s="9" t="s">
        <v>1530</v>
      </c>
      <c r="L492" s="9"/>
      <c r="M492" s="152">
        <v>470000</v>
      </c>
      <c r="N492" s="153">
        <v>89300</v>
      </c>
      <c r="O492" s="152">
        <v>0</v>
      </c>
      <c r="P492" s="154">
        <v>0</v>
      </c>
      <c r="Q492" s="152">
        <v>0</v>
      </c>
      <c r="R492" s="9">
        <v>559300</v>
      </c>
      <c r="S492" s="21" t="s">
        <v>1846</v>
      </c>
      <c r="T492" s="117">
        <v>0</v>
      </c>
      <c r="U492" s="117" t="s">
        <v>347</v>
      </c>
      <c r="V492" s="117">
        <v>2023</v>
      </c>
      <c r="W492" s="117">
        <v>6</v>
      </c>
      <c r="X492" s="117">
        <v>1145000</v>
      </c>
      <c r="Y492" s="117">
        <v>2.5000000000000001E-2</v>
      </c>
      <c r="Z492" s="21" t="b">
        <v>0</v>
      </c>
      <c r="AA492" s="162">
        <f>+$AD$5-Tabla2[[#This Row],[FECHA DE FACTURACIÓN]]</f>
        <v>371</v>
      </c>
      <c r="AB492" s="163" t="str">
        <f>+IF(Tabla2[[#This Row],[dias de credito]]&gt;=Tabla2[[#This Row],[PLAZO Días]],"venc", "No venc")</f>
        <v>venc</v>
      </c>
      <c r="AC492" s="163" t="str">
        <f>+IF(Tabla2[[#This Row],[FECHA DE PAGO]]&gt;0,"pagada","por pagar")</f>
        <v>pagada</v>
      </c>
      <c r="AD492" s="164" t="str">
        <f>+IF(AND(Tabla2[[#This Row],[venc]]="venc",Tabla2[[#This Row],[estado pago]]="por pagar"),"vencida","no")</f>
        <v>no</v>
      </c>
    </row>
    <row r="493" spans="1:30" ht="19.5" hidden="1" customHeight="1" x14ac:dyDescent="0.25">
      <c r="A493" s="8" t="s">
        <v>1850</v>
      </c>
      <c r="B493" s="8" t="s">
        <v>1851</v>
      </c>
      <c r="C493" s="8">
        <v>30</v>
      </c>
      <c r="D493" s="151">
        <v>5813868.5099999998</v>
      </c>
      <c r="E493" s="151"/>
      <c r="F493" s="24" t="s">
        <v>455</v>
      </c>
      <c r="G493" s="30">
        <v>45128</v>
      </c>
      <c r="H493" s="81" t="s">
        <v>24</v>
      </c>
      <c r="I493" s="30">
        <v>45085</v>
      </c>
      <c r="J493" s="16">
        <v>41939</v>
      </c>
      <c r="K493" s="9" t="s">
        <v>504</v>
      </c>
      <c r="L493" s="9"/>
      <c r="M493" s="152">
        <v>2926800</v>
      </c>
      <c r="N493" s="153">
        <v>556092</v>
      </c>
      <c r="O493" s="152">
        <v>0</v>
      </c>
      <c r="P493" s="154">
        <v>2.5000000000000001E-2</v>
      </c>
      <c r="Q493" s="152">
        <v>73170</v>
      </c>
      <c r="R493" s="9">
        <v>3409722</v>
      </c>
      <c r="S493" s="21" t="s">
        <v>1846</v>
      </c>
      <c r="T493" s="117">
        <v>0</v>
      </c>
      <c r="U493" s="117" t="s">
        <v>347</v>
      </c>
      <c r="V493" s="117">
        <v>2023</v>
      </c>
      <c r="W493" s="117">
        <v>6</v>
      </c>
      <c r="X493" s="117">
        <v>1145000</v>
      </c>
      <c r="Y493" s="117">
        <v>2.5000000000000001E-2</v>
      </c>
      <c r="Z493" s="21" t="b">
        <v>0</v>
      </c>
      <c r="AA493" s="162">
        <f>+$AD$5-Tabla2[[#This Row],[FECHA DE FACTURACIÓN]]</f>
        <v>358</v>
      </c>
      <c r="AB493" s="163" t="str">
        <f>+IF(Tabla2[[#This Row],[dias de credito]]&gt;=Tabla2[[#This Row],[PLAZO Días]],"venc", "No venc")</f>
        <v>venc</v>
      </c>
      <c r="AC493" s="163" t="str">
        <f>+IF(Tabla2[[#This Row],[FECHA DE PAGO]]&gt;0,"pagada","por pagar")</f>
        <v>pagada</v>
      </c>
      <c r="AD493" s="164" t="str">
        <f>+IF(AND(Tabla2[[#This Row],[venc]]="venc",Tabla2[[#This Row],[estado pago]]="por pagar"),"vencida","no")</f>
        <v>no</v>
      </c>
    </row>
    <row r="494" spans="1:30" ht="19.5" hidden="1" customHeight="1" x14ac:dyDescent="0.25">
      <c r="A494" s="8" t="s">
        <v>1850</v>
      </c>
      <c r="B494" s="8" t="s">
        <v>1851</v>
      </c>
      <c r="C494" s="8">
        <v>30</v>
      </c>
      <c r="D494" s="151">
        <v>5813868.5099999998</v>
      </c>
      <c r="E494" s="151"/>
      <c r="F494" s="24" t="s">
        <v>455</v>
      </c>
      <c r="G494" s="30">
        <v>45128</v>
      </c>
      <c r="H494" s="81" t="s">
        <v>24</v>
      </c>
      <c r="I494" s="30">
        <v>45090</v>
      </c>
      <c r="J494" s="16">
        <v>5041942</v>
      </c>
      <c r="K494" s="9" t="s">
        <v>504</v>
      </c>
      <c r="L494" s="9"/>
      <c r="M494" s="152">
        <v>4904750</v>
      </c>
      <c r="N494" s="153">
        <v>931902.5</v>
      </c>
      <c r="O494" s="152">
        <v>0</v>
      </c>
      <c r="P494" s="154">
        <v>2.5000000000000001E-2</v>
      </c>
      <c r="Q494" s="152">
        <v>122618.75</v>
      </c>
      <c r="R494" s="9">
        <v>5714033.75</v>
      </c>
      <c r="S494" s="21" t="s">
        <v>1846</v>
      </c>
      <c r="T494" s="117">
        <v>0</v>
      </c>
      <c r="U494" s="117" t="s">
        <v>347</v>
      </c>
      <c r="V494" s="117">
        <v>2023</v>
      </c>
      <c r="W494" s="117">
        <v>6</v>
      </c>
      <c r="X494" s="117">
        <v>1145000</v>
      </c>
      <c r="Y494" s="117">
        <v>2.5000000000000001E-2</v>
      </c>
      <c r="Z494" s="21" t="b">
        <v>0</v>
      </c>
      <c r="AA494" s="162">
        <f>+$AD$5-Tabla2[[#This Row],[FECHA DE FACTURACIÓN]]</f>
        <v>353</v>
      </c>
      <c r="AB494" s="163" t="str">
        <f>+IF(Tabla2[[#This Row],[dias de credito]]&gt;=Tabla2[[#This Row],[PLAZO Días]],"venc", "No venc")</f>
        <v>venc</v>
      </c>
      <c r="AC494" s="163" t="str">
        <f>+IF(Tabla2[[#This Row],[FECHA DE PAGO]]&gt;0,"pagada","por pagar")</f>
        <v>pagada</v>
      </c>
      <c r="AD494" s="164" t="str">
        <f>+IF(AND(Tabla2[[#This Row],[venc]]="venc",Tabla2[[#This Row],[estado pago]]="por pagar"),"vencida","no")</f>
        <v>no</v>
      </c>
    </row>
    <row r="495" spans="1:30" ht="19.5" hidden="1" customHeight="1" x14ac:dyDescent="0.25">
      <c r="A495" s="8" t="s">
        <v>1850</v>
      </c>
      <c r="B495" s="8" t="s">
        <v>1851</v>
      </c>
      <c r="C495" s="8">
        <v>30</v>
      </c>
      <c r="D495" s="151">
        <v>12628497</v>
      </c>
      <c r="E495" s="151"/>
      <c r="F495" s="24" t="s">
        <v>149</v>
      </c>
      <c r="G495" s="30">
        <v>45128</v>
      </c>
      <c r="H495" s="81" t="s">
        <v>451</v>
      </c>
      <c r="I495" s="30">
        <v>45090</v>
      </c>
      <c r="J495" s="16" t="s">
        <v>851</v>
      </c>
      <c r="K495" s="9" t="s">
        <v>1530</v>
      </c>
      <c r="L495" s="9"/>
      <c r="M495" s="152">
        <v>2058355</v>
      </c>
      <c r="N495" s="153">
        <v>391087.45</v>
      </c>
      <c r="O495" s="152">
        <v>0</v>
      </c>
      <c r="P495" s="154">
        <v>2.5000000000000001E-2</v>
      </c>
      <c r="Q495" s="152">
        <v>51458.875</v>
      </c>
      <c r="R495" s="9">
        <v>2397983.5750000002</v>
      </c>
      <c r="S495" s="21" t="s">
        <v>1846</v>
      </c>
      <c r="T495" s="117">
        <v>0</v>
      </c>
      <c r="U495" s="117" t="s">
        <v>347</v>
      </c>
      <c r="V495" s="117">
        <v>2023</v>
      </c>
      <c r="W495" s="117">
        <v>6</v>
      </c>
      <c r="X495" s="117">
        <v>1145000</v>
      </c>
      <c r="Y495" s="117">
        <v>2.5000000000000001E-2</v>
      </c>
      <c r="Z495" s="21" t="b">
        <v>0</v>
      </c>
      <c r="AA495" s="162">
        <f>+$AD$5-Tabla2[[#This Row],[FECHA DE FACTURACIÓN]]</f>
        <v>353</v>
      </c>
      <c r="AB495" s="163" t="str">
        <f>+IF(Tabla2[[#This Row],[dias de credito]]&gt;=Tabla2[[#This Row],[PLAZO Días]],"venc", "No venc")</f>
        <v>venc</v>
      </c>
      <c r="AC495" s="163" t="str">
        <f>+IF(Tabla2[[#This Row],[FECHA DE PAGO]]&gt;0,"pagada","por pagar")</f>
        <v>pagada</v>
      </c>
      <c r="AD495" s="164" t="str">
        <f>+IF(AND(Tabla2[[#This Row],[venc]]="venc",Tabla2[[#This Row],[estado pago]]="por pagar"),"vencida","no")</f>
        <v>no</v>
      </c>
    </row>
    <row r="496" spans="1:30" ht="19.5" hidden="1" customHeight="1" x14ac:dyDescent="0.25">
      <c r="A496" s="8" t="s">
        <v>1850</v>
      </c>
      <c r="B496" s="8" t="s">
        <v>1851</v>
      </c>
      <c r="C496" s="8">
        <v>30</v>
      </c>
      <c r="D496" s="151">
        <v>4466504.835</v>
      </c>
      <c r="E496" s="151"/>
      <c r="F496" s="24" t="s">
        <v>1553</v>
      </c>
      <c r="G496" s="30">
        <v>45128</v>
      </c>
      <c r="H496" s="81" t="s">
        <v>18</v>
      </c>
      <c r="I496" s="30">
        <v>45093</v>
      </c>
      <c r="J496" s="16" t="s">
        <v>855</v>
      </c>
      <c r="K496" s="9" t="s">
        <v>1530</v>
      </c>
      <c r="L496" s="9"/>
      <c r="M496" s="152">
        <v>2002181</v>
      </c>
      <c r="N496" s="153">
        <v>380414.39</v>
      </c>
      <c r="O496" s="152">
        <v>0</v>
      </c>
      <c r="P496" s="154">
        <v>2.5000000000000001E-2</v>
      </c>
      <c r="Q496" s="152">
        <v>50054.525000000001</v>
      </c>
      <c r="R496" s="9">
        <v>2332540.8650000002</v>
      </c>
      <c r="S496" s="21" t="s">
        <v>1846</v>
      </c>
      <c r="T496" s="117">
        <v>0</v>
      </c>
      <c r="U496" s="117" t="s">
        <v>347</v>
      </c>
      <c r="V496" s="117">
        <v>2023</v>
      </c>
      <c r="W496" s="117">
        <v>6</v>
      </c>
      <c r="X496" s="117">
        <v>1145000</v>
      </c>
      <c r="Y496" s="117">
        <v>2.5000000000000001E-2</v>
      </c>
      <c r="Z496" s="21" t="b">
        <v>0</v>
      </c>
      <c r="AA496" s="162">
        <f>+$AD$5-Tabla2[[#This Row],[FECHA DE FACTURACIÓN]]</f>
        <v>350</v>
      </c>
      <c r="AB496" s="163" t="str">
        <f>+IF(Tabla2[[#This Row],[dias de credito]]&gt;=Tabla2[[#This Row],[PLAZO Días]],"venc", "No venc")</f>
        <v>venc</v>
      </c>
      <c r="AC496" s="163" t="str">
        <f>+IF(Tabla2[[#This Row],[FECHA DE PAGO]]&gt;0,"pagada","por pagar")</f>
        <v>pagada</v>
      </c>
      <c r="AD496" s="164" t="str">
        <f>+IF(AND(Tabla2[[#This Row],[venc]]="venc",Tabla2[[#This Row],[estado pago]]="por pagar"),"vencida","no")</f>
        <v>no</v>
      </c>
    </row>
    <row r="497" spans="1:30" ht="19.5" hidden="1" customHeight="1" x14ac:dyDescent="0.25">
      <c r="A497" s="8" t="s">
        <v>1850</v>
      </c>
      <c r="B497" s="8" t="s">
        <v>1851</v>
      </c>
      <c r="C497" s="8">
        <v>30</v>
      </c>
      <c r="D497" s="151">
        <v>12628497</v>
      </c>
      <c r="E497" s="151"/>
      <c r="F497" s="24" t="s">
        <v>149</v>
      </c>
      <c r="G497" s="30">
        <v>45128</v>
      </c>
      <c r="H497" s="81" t="s">
        <v>451</v>
      </c>
      <c r="I497" s="30">
        <v>45093</v>
      </c>
      <c r="J497" s="16" t="s">
        <v>852</v>
      </c>
      <c r="K497" s="9" t="s">
        <v>1530</v>
      </c>
      <c r="L497" s="9"/>
      <c r="M497" s="152">
        <v>1260000</v>
      </c>
      <c r="N497" s="153">
        <v>239400</v>
      </c>
      <c r="O497" s="152">
        <v>0</v>
      </c>
      <c r="P497" s="154">
        <v>2.5000000000000001E-2</v>
      </c>
      <c r="Q497" s="152">
        <v>31500</v>
      </c>
      <c r="R497" s="9">
        <v>1467900</v>
      </c>
      <c r="S497" s="21" t="s">
        <v>1846</v>
      </c>
      <c r="T497" s="117">
        <v>0</v>
      </c>
      <c r="U497" s="117" t="s">
        <v>347</v>
      </c>
      <c r="V497" s="117">
        <v>2023</v>
      </c>
      <c r="W497" s="117">
        <v>6</v>
      </c>
      <c r="X497" s="117">
        <v>1145000</v>
      </c>
      <c r="Y497" s="117">
        <v>2.5000000000000001E-2</v>
      </c>
      <c r="Z497" s="21" t="b">
        <v>0</v>
      </c>
      <c r="AA497" s="162">
        <f>+$AD$5-Tabla2[[#This Row],[FECHA DE FACTURACIÓN]]</f>
        <v>350</v>
      </c>
      <c r="AB497" s="163" t="str">
        <f>+IF(Tabla2[[#This Row],[dias de credito]]&gt;=Tabla2[[#This Row],[PLAZO Días]],"venc", "No venc")</f>
        <v>venc</v>
      </c>
      <c r="AC497" s="163" t="str">
        <f>+IF(Tabla2[[#This Row],[FECHA DE PAGO]]&gt;0,"pagada","por pagar")</f>
        <v>pagada</v>
      </c>
      <c r="AD497" s="164" t="str">
        <f>+IF(AND(Tabla2[[#This Row],[venc]]="venc",Tabla2[[#This Row],[estado pago]]="por pagar"),"vencida","no")</f>
        <v>no</v>
      </c>
    </row>
    <row r="498" spans="1:30" ht="19.5" hidden="1" customHeight="1" x14ac:dyDescent="0.25">
      <c r="A498" s="8" t="s">
        <v>1850</v>
      </c>
      <c r="B498" s="8" t="s">
        <v>1851</v>
      </c>
      <c r="C498" s="8">
        <v>30</v>
      </c>
      <c r="D498" s="151">
        <v>12628497</v>
      </c>
      <c r="E498" s="151"/>
      <c r="F498" s="24" t="s">
        <v>149</v>
      </c>
      <c r="G498" s="30">
        <v>45128</v>
      </c>
      <c r="H498" s="81" t="s">
        <v>451</v>
      </c>
      <c r="I498" s="30">
        <v>45093</v>
      </c>
      <c r="J498" s="16" t="s">
        <v>853</v>
      </c>
      <c r="K498" s="9" t="s">
        <v>1530</v>
      </c>
      <c r="L498" s="9"/>
      <c r="M498" s="152">
        <v>776000</v>
      </c>
      <c r="N498" s="153">
        <v>147440</v>
      </c>
      <c r="O498" s="152">
        <v>0</v>
      </c>
      <c r="P498" s="154">
        <v>0</v>
      </c>
      <c r="Q498" s="152">
        <v>0</v>
      </c>
      <c r="R498" s="9">
        <v>923440</v>
      </c>
      <c r="S498" s="21" t="s">
        <v>1846</v>
      </c>
      <c r="T498" s="117">
        <v>0</v>
      </c>
      <c r="U498" s="117" t="s">
        <v>347</v>
      </c>
      <c r="V498" s="117">
        <v>2023</v>
      </c>
      <c r="W498" s="117">
        <v>6</v>
      </c>
      <c r="X498" s="117">
        <v>1145000</v>
      </c>
      <c r="Y498" s="117">
        <v>2.5000000000000001E-2</v>
      </c>
      <c r="Z498" s="21" t="b">
        <v>0</v>
      </c>
      <c r="AA498" s="162">
        <f>+$AD$5-Tabla2[[#This Row],[FECHA DE FACTURACIÓN]]</f>
        <v>350</v>
      </c>
      <c r="AB498" s="163" t="str">
        <f>+IF(Tabla2[[#This Row],[dias de credito]]&gt;=Tabla2[[#This Row],[PLAZO Días]],"venc", "No venc")</f>
        <v>venc</v>
      </c>
      <c r="AC498" s="163" t="str">
        <f>+IF(Tabla2[[#This Row],[FECHA DE PAGO]]&gt;0,"pagada","por pagar")</f>
        <v>pagada</v>
      </c>
      <c r="AD498" s="164" t="str">
        <f>+IF(AND(Tabla2[[#This Row],[venc]]="venc",Tabla2[[#This Row],[estado pago]]="por pagar"),"vencida","no")</f>
        <v>no</v>
      </c>
    </row>
    <row r="499" spans="1:30" ht="19.5" hidden="1" customHeight="1" x14ac:dyDescent="0.25">
      <c r="A499" s="8" t="s">
        <v>1850</v>
      </c>
      <c r="B499" s="8" t="b">
        <v>0</v>
      </c>
      <c r="C499" s="8">
        <v>30</v>
      </c>
      <c r="D499" s="151">
        <v>12628497</v>
      </c>
      <c r="E499" s="151"/>
      <c r="F499" s="24" t="s">
        <v>149</v>
      </c>
      <c r="G499" s="30">
        <v>45128</v>
      </c>
      <c r="H499" s="81" t="s">
        <v>451</v>
      </c>
      <c r="I499" s="30">
        <v>45100</v>
      </c>
      <c r="J499" s="16" t="s">
        <v>880</v>
      </c>
      <c r="K499" s="9" t="s">
        <v>1530</v>
      </c>
      <c r="L499" s="9"/>
      <c r="M499" s="152">
        <v>252000</v>
      </c>
      <c r="N499" s="153">
        <v>47880</v>
      </c>
      <c r="O499" s="152">
        <v>0</v>
      </c>
      <c r="P499" s="154">
        <v>0</v>
      </c>
      <c r="Q499" s="152">
        <v>0</v>
      </c>
      <c r="R499" s="9">
        <v>299880</v>
      </c>
      <c r="S499" s="21" t="s">
        <v>1846</v>
      </c>
      <c r="T499" s="117">
        <v>0</v>
      </c>
      <c r="U499" s="117" t="s">
        <v>347</v>
      </c>
      <c r="V499" s="117">
        <v>2023</v>
      </c>
      <c r="W499" s="117">
        <v>6</v>
      </c>
      <c r="X499" s="117">
        <v>1145000</v>
      </c>
      <c r="Y499" s="117">
        <v>2.5000000000000001E-2</v>
      </c>
      <c r="Z499" s="21" t="b">
        <v>0</v>
      </c>
      <c r="AA499" s="162">
        <f>+$AD$5-Tabla2[[#This Row],[FECHA DE FACTURACIÓN]]</f>
        <v>343</v>
      </c>
      <c r="AB499" s="163" t="str">
        <f>+IF(Tabla2[[#This Row],[dias de credito]]&gt;=Tabla2[[#This Row],[PLAZO Días]],"venc", "No venc")</f>
        <v>venc</v>
      </c>
      <c r="AC499" s="163" t="str">
        <f>+IF(Tabla2[[#This Row],[FECHA DE PAGO]]&gt;0,"pagada","por pagar")</f>
        <v>pagada</v>
      </c>
      <c r="AD499" s="164" t="str">
        <f>+IF(AND(Tabla2[[#This Row],[venc]]="venc",Tabla2[[#This Row],[estado pago]]="por pagar"),"vencida","no")</f>
        <v>no</v>
      </c>
    </row>
    <row r="500" spans="1:30" ht="19.5" hidden="1" customHeight="1" x14ac:dyDescent="0.25">
      <c r="A500" s="8" t="s">
        <v>1850</v>
      </c>
      <c r="B500" s="8" t="b">
        <v>0</v>
      </c>
      <c r="C500" s="8">
        <v>30</v>
      </c>
      <c r="D500" s="151">
        <v>0</v>
      </c>
      <c r="E500" s="151"/>
      <c r="F500" s="24" t="s">
        <v>1579</v>
      </c>
      <c r="G500" s="30">
        <v>45128</v>
      </c>
      <c r="H500" s="81" t="s">
        <v>207</v>
      </c>
      <c r="I500" s="30">
        <v>45126</v>
      </c>
      <c r="J500" s="16" t="s">
        <v>895</v>
      </c>
      <c r="K500" s="9" t="s">
        <v>1530</v>
      </c>
      <c r="L500" s="9"/>
      <c r="M500" s="152">
        <v>2030000</v>
      </c>
      <c r="N500" s="153">
        <v>385700</v>
      </c>
      <c r="O500" s="152">
        <v>0</v>
      </c>
      <c r="P500" s="154">
        <v>2.5000000000000001E-2</v>
      </c>
      <c r="Q500" s="152">
        <v>50750</v>
      </c>
      <c r="R500" s="9">
        <v>2364950</v>
      </c>
      <c r="S500" s="21" t="s">
        <v>1846</v>
      </c>
      <c r="T500" s="117">
        <v>0</v>
      </c>
      <c r="U500" s="117" t="s">
        <v>347</v>
      </c>
      <c r="V500" s="117">
        <v>2023</v>
      </c>
      <c r="W500" s="117">
        <v>6</v>
      </c>
      <c r="X500" s="117">
        <v>1145000</v>
      </c>
      <c r="Y500" s="117">
        <v>2.5000000000000001E-2</v>
      </c>
      <c r="Z500" s="21" t="b">
        <v>0</v>
      </c>
      <c r="AA500" s="162">
        <f>+$AD$5-Tabla2[[#This Row],[FECHA DE FACTURACIÓN]]</f>
        <v>317</v>
      </c>
      <c r="AB500" s="163" t="str">
        <f>+IF(Tabla2[[#This Row],[dias de credito]]&gt;=Tabla2[[#This Row],[PLAZO Días]],"venc", "No venc")</f>
        <v>venc</v>
      </c>
      <c r="AC500" s="163" t="str">
        <f>+IF(Tabla2[[#This Row],[FECHA DE PAGO]]&gt;0,"pagada","por pagar")</f>
        <v>pagada</v>
      </c>
      <c r="AD500" s="164" t="str">
        <f>+IF(AND(Tabla2[[#This Row],[venc]]="venc",Tabla2[[#This Row],[estado pago]]="por pagar"),"vencida","no")</f>
        <v>no</v>
      </c>
    </row>
    <row r="501" spans="1:30" ht="19.5" hidden="1" customHeight="1" x14ac:dyDescent="0.25">
      <c r="A501" s="8" t="s">
        <v>1852</v>
      </c>
      <c r="B501" s="8" t="b">
        <v>0</v>
      </c>
      <c r="C501" s="8">
        <v>30</v>
      </c>
      <c r="D501" s="151">
        <v>4316000</v>
      </c>
      <c r="E501" s="151"/>
      <c r="F501" s="24" t="s">
        <v>84</v>
      </c>
      <c r="G501" s="30">
        <v>45128</v>
      </c>
      <c r="H501" s="81" t="s">
        <v>1812</v>
      </c>
      <c r="I501" s="30">
        <v>45128</v>
      </c>
      <c r="J501" s="16" t="s">
        <v>943</v>
      </c>
      <c r="K501" s="9" t="s">
        <v>1530</v>
      </c>
      <c r="L501" s="9"/>
      <c r="M501" s="152">
        <v>263800</v>
      </c>
      <c r="N501" s="153">
        <v>0</v>
      </c>
      <c r="O501" s="152">
        <v>0</v>
      </c>
      <c r="P501" s="154">
        <v>0</v>
      </c>
      <c r="Q501" s="152">
        <v>0</v>
      </c>
      <c r="R501" s="9">
        <v>263800</v>
      </c>
      <c r="S501" s="21" t="s">
        <v>1846</v>
      </c>
      <c r="T501" s="117">
        <v>0</v>
      </c>
      <c r="U501" s="117">
        <v>0</v>
      </c>
      <c r="V501" s="117">
        <v>2023</v>
      </c>
      <c r="W501" s="117">
        <v>6</v>
      </c>
      <c r="X501" s="117">
        <v>0</v>
      </c>
      <c r="Y501" s="117">
        <v>0</v>
      </c>
      <c r="Z501" s="21" t="b">
        <v>0</v>
      </c>
      <c r="AA501" s="162">
        <f>+$AD$5-Tabla2[[#This Row],[FECHA DE FACTURACIÓN]]</f>
        <v>315</v>
      </c>
      <c r="AB501" s="163" t="str">
        <f>+IF(Tabla2[[#This Row],[dias de credito]]&gt;=Tabla2[[#This Row],[PLAZO Días]],"venc", "No venc")</f>
        <v>venc</v>
      </c>
      <c r="AC501" s="163" t="str">
        <f>+IF(Tabla2[[#This Row],[FECHA DE PAGO]]&gt;0,"pagada","por pagar")</f>
        <v>pagada</v>
      </c>
      <c r="AD501" s="164" t="str">
        <f>+IF(AND(Tabla2[[#This Row],[venc]]="venc",Tabla2[[#This Row],[estado pago]]="por pagar"),"vencida","no")</f>
        <v>no</v>
      </c>
    </row>
    <row r="502" spans="1:30" ht="19.5" hidden="1" customHeight="1" x14ac:dyDescent="0.25">
      <c r="A502" s="8" t="s">
        <v>1850</v>
      </c>
      <c r="B502" s="8" t="b">
        <v>0</v>
      </c>
      <c r="C502" s="8">
        <v>30</v>
      </c>
      <c r="D502" s="151">
        <v>0</v>
      </c>
      <c r="E502" s="151"/>
      <c r="F502" s="24" t="s">
        <v>84</v>
      </c>
      <c r="G502" s="30">
        <v>45129</v>
      </c>
      <c r="H502" s="81" t="s">
        <v>481</v>
      </c>
      <c r="I502" s="30">
        <v>45128</v>
      </c>
      <c r="J502" s="16" t="s">
        <v>934</v>
      </c>
      <c r="K502" s="9" t="s">
        <v>1530</v>
      </c>
      <c r="L502" s="9"/>
      <c r="M502" s="152">
        <v>1600000</v>
      </c>
      <c r="N502" s="153">
        <v>0</v>
      </c>
      <c r="O502" s="152">
        <v>0</v>
      </c>
      <c r="P502" s="154">
        <v>0</v>
      </c>
      <c r="Q502" s="152">
        <v>0</v>
      </c>
      <c r="R502" s="9">
        <v>1600000</v>
      </c>
      <c r="S502" s="21" t="s">
        <v>1846</v>
      </c>
      <c r="T502" s="117">
        <v>0</v>
      </c>
      <c r="U502" s="117">
        <v>0</v>
      </c>
      <c r="V502" s="117">
        <v>2023</v>
      </c>
      <c r="W502" s="117">
        <v>6</v>
      </c>
      <c r="X502" s="117">
        <v>0</v>
      </c>
      <c r="Y502" s="117">
        <v>0</v>
      </c>
      <c r="Z502" s="21" t="b">
        <v>0</v>
      </c>
      <c r="AA502" s="162">
        <f>+$AD$5-Tabla2[[#This Row],[FECHA DE FACTURACIÓN]]</f>
        <v>315</v>
      </c>
      <c r="AB502" s="163" t="str">
        <f>+IF(Tabla2[[#This Row],[dias de credito]]&gt;=Tabla2[[#This Row],[PLAZO Días]],"venc", "No venc")</f>
        <v>venc</v>
      </c>
      <c r="AC502" s="163" t="str">
        <f>+IF(Tabla2[[#This Row],[FECHA DE PAGO]]&gt;0,"pagada","por pagar")</f>
        <v>pagada</v>
      </c>
      <c r="AD502" s="164" t="str">
        <f>+IF(AND(Tabla2[[#This Row],[venc]]="venc",Tabla2[[#This Row],[estado pago]]="por pagar"),"vencida","no")</f>
        <v>no</v>
      </c>
    </row>
    <row r="503" spans="1:30" ht="19.5" hidden="1" customHeight="1" x14ac:dyDescent="0.25">
      <c r="A503" s="8" t="s">
        <v>1850</v>
      </c>
      <c r="B503" s="8" t="b">
        <v>0</v>
      </c>
      <c r="C503" s="8">
        <v>30</v>
      </c>
      <c r="D503" s="151">
        <v>0</v>
      </c>
      <c r="E503" s="151"/>
      <c r="F503" s="24" t="s">
        <v>414</v>
      </c>
      <c r="G503" s="30">
        <v>45131</v>
      </c>
      <c r="H503" s="81" t="s">
        <v>382</v>
      </c>
      <c r="I503" s="30">
        <v>45108</v>
      </c>
      <c r="J503" s="16" t="s">
        <v>903</v>
      </c>
      <c r="K503" s="9" t="s">
        <v>1530</v>
      </c>
      <c r="L503" s="9"/>
      <c r="M503" s="152">
        <v>914023</v>
      </c>
      <c r="N503" s="153">
        <v>0</v>
      </c>
      <c r="O503" s="152">
        <v>0</v>
      </c>
      <c r="P503" s="154">
        <v>0</v>
      </c>
      <c r="Q503" s="152">
        <v>0</v>
      </c>
      <c r="R503" s="9">
        <v>914023</v>
      </c>
      <c r="S503" s="21" t="s">
        <v>1846</v>
      </c>
      <c r="T503" s="117">
        <v>0</v>
      </c>
      <c r="U503" s="117">
        <v>0</v>
      </c>
      <c r="V503" s="117">
        <v>2023</v>
      </c>
      <c r="W503" s="117">
        <v>6</v>
      </c>
      <c r="X503" s="117">
        <v>0</v>
      </c>
      <c r="Y503" s="117">
        <v>0</v>
      </c>
      <c r="Z503" s="21" t="b">
        <v>1</v>
      </c>
      <c r="AA503" s="162">
        <f>+$AD$5-Tabla2[[#This Row],[FECHA DE FACTURACIÓN]]</f>
        <v>335</v>
      </c>
      <c r="AB503" s="163" t="str">
        <f>+IF(Tabla2[[#This Row],[dias de credito]]&gt;=Tabla2[[#This Row],[PLAZO Días]],"venc", "No venc")</f>
        <v>venc</v>
      </c>
      <c r="AC503" s="163" t="str">
        <f>+IF(Tabla2[[#This Row],[FECHA DE PAGO]]&gt;0,"pagada","por pagar")</f>
        <v>pagada</v>
      </c>
      <c r="AD503" s="164" t="str">
        <f>+IF(AND(Tabla2[[#This Row],[venc]]="venc",Tabla2[[#This Row],[estado pago]]="por pagar"),"vencida","no")</f>
        <v>no</v>
      </c>
    </row>
    <row r="504" spans="1:30" ht="19.5" hidden="1" customHeight="1" x14ac:dyDescent="0.25">
      <c r="A504" s="8" t="s">
        <v>1850</v>
      </c>
      <c r="B504" s="8" t="b">
        <v>0</v>
      </c>
      <c r="C504" s="8">
        <v>30</v>
      </c>
      <c r="D504" s="151">
        <v>0</v>
      </c>
      <c r="E504" s="151"/>
      <c r="F504" s="24" t="s">
        <v>414</v>
      </c>
      <c r="G504" s="30">
        <v>45131</v>
      </c>
      <c r="H504" s="81" t="s">
        <v>382</v>
      </c>
      <c r="I504" s="30">
        <v>45108</v>
      </c>
      <c r="J504" s="16" t="s">
        <v>904</v>
      </c>
      <c r="K504" s="9" t="s">
        <v>1530</v>
      </c>
      <c r="L504" s="9"/>
      <c r="M504" s="152">
        <v>934363</v>
      </c>
      <c r="N504" s="153">
        <v>0</v>
      </c>
      <c r="O504" s="152">
        <v>0</v>
      </c>
      <c r="P504" s="154">
        <v>0</v>
      </c>
      <c r="Q504" s="152">
        <v>0</v>
      </c>
      <c r="R504" s="9">
        <v>934363</v>
      </c>
      <c r="S504" s="21" t="s">
        <v>1846</v>
      </c>
      <c r="T504" s="117">
        <v>0</v>
      </c>
      <c r="U504" s="117">
        <v>0</v>
      </c>
      <c r="V504" s="117">
        <v>2023</v>
      </c>
      <c r="W504" s="117">
        <v>6</v>
      </c>
      <c r="X504" s="117">
        <v>0</v>
      </c>
      <c r="Y504" s="117">
        <v>0</v>
      </c>
      <c r="Z504" s="21" t="b">
        <v>1</v>
      </c>
      <c r="AA504" s="162">
        <f>+$AD$5-Tabla2[[#This Row],[FECHA DE FACTURACIÓN]]</f>
        <v>335</v>
      </c>
      <c r="AB504" s="163" t="str">
        <f>+IF(Tabla2[[#This Row],[dias de credito]]&gt;=Tabla2[[#This Row],[PLAZO Días]],"venc", "No venc")</f>
        <v>venc</v>
      </c>
      <c r="AC504" s="163" t="str">
        <f>+IF(Tabla2[[#This Row],[FECHA DE PAGO]]&gt;0,"pagada","por pagar")</f>
        <v>pagada</v>
      </c>
      <c r="AD504" s="164" t="str">
        <f>+IF(AND(Tabla2[[#This Row],[venc]]="venc",Tabla2[[#This Row],[estado pago]]="por pagar"),"vencida","no")</f>
        <v>no</v>
      </c>
    </row>
    <row r="505" spans="1:30" ht="19.5" hidden="1" customHeight="1" x14ac:dyDescent="0.25">
      <c r="A505" s="8" t="s">
        <v>1850</v>
      </c>
      <c r="B505" s="8" t="b">
        <v>0</v>
      </c>
      <c r="C505" s="8">
        <v>30</v>
      </c>
      <c r="D505" s="151">
        <v>0</v>
      </c>
      <c r="E505" s="151"/>
      <c r="F505" s="24" t="s">
        <v>206</v>
      </c>
      <c r="G505" s="30">
        <v>45131</v>
      </c>
      <c r="H505" s="81" t="s">
        <v>380</v>
      </c>
      <c r="I505" s="30">
        <v>45117</v>
      </c>
      <c r="J505" s="16" t="s">
        <v>905</v>
      </c>
      <c r="K505" s="9" t="s">
        <v>1530</v>
      </c>
      <c r="L505" s="9"/>
      <c r="M505" s="152">
        <v>3456200</v>
      </c>
      <c r="N505" s="153">
        <v>0</v>
      </c>
      <c r="O505" s="152">
        <v>0</v>
      </c>
      <c r="P505" s="154">
        <v>3.5000000000000003E-2</v>
      </c>
      <c r="Q505" s="152">
        <v>120967.00000000001</v>
      </c>
      <c r="R505" s="9">
        <v>3335233</v>
      </c>
      <c r="S505" s="21" t="s">
        <v>1846</v>
      </c>
      <c r="T505" s="117">
        <v>0</v>
      </c>
      <c r="U505" s="117" t="s">
        <v>348</v>
      </c>
      <c r="V505" s="117">
        <v>2023</v>
      </c>
      <c r="W505" s="117">
        <v>6</v>
      </c>
      <c r="X505" s="117">
        <v>0</v>
      </c>
      <c r="Y505" s="117">
        <v>3.5000000000000003E-2</v>
      </c>
      <c r="Z505" s="21" t="b">
        <v>1</v>
      </c>
      <c r="AA505" s="162">
        <f>+$AD$5-Tabla2[[#This Row],[FECHA DE FACTURACIÓN]]</f>
        <v>326</v>
      </c>
      <c r="AB505" s="163" t="str">
        <f>+IF(Tabla2[[#This Row],[dias de credito]]&gt;=Tabla2[[#This Row],[PLAZO Días]],"venc", "No venc")</f>
        <v>venc</v>
      </c>
      <c r="AC505" s="163" t="str">
        <f>+IF(Tabla2[[#This Row],[FECHA DE PAGO]]&gt;0,"pagada","por pagar")</f>
        <v>pagada</v>
      </c>
      <c r="AD505" s="164" t="str">
        <f>+IF(AND(Tabla2[[#This Row],[venc]]="venc",Tabla2[[#This Row],[estado pago]]="por pagar"),"vencida","no")</f>
        <v>no</v>
      </c>
    </row>
    <row r="506" spans="1:30" ht="19.5" hidden="1" customHeight="1" x14ac:dyDescent="0.25">
      <c r="A506" s="8" t="s">
        <v>1852</v>
      </c>
      <c r="B506" s="8" t="b">
        <v>0</v>
      </c>
      <c r="C506" s="8">
        <v>30</v>
      </c>
      <c r="D506" s="151">
        <v>0</v>
      </c>
      <c r="E506" s="151"/>
      <c r="F506" s="24" t="s">
        <v>84</v>
      </c>
      <c r="G506" s="30">
        <v>45131</v>
      </c>
      <c r="H506" s="81" t="s">
        <v>525</v>
      </c>
      <c r="I506" s="30">
        <v>45131</v>
      </c>
      <c r="J506" s="16" t="s">
        <v>926</v>
      </c>
      <c r="K506" s="9" t="s">
        <v>1530</v>
      </c>
      <c r="L506" s="9"/>
      <c r="M506" s="152">
        <v>280000</v>
      </c>
      <c r="N506" s="153">
        <v>0</v>
      </c>
      <c r="O506" s="152">
        <v>0</v>
      </c>
      <c r="P506" s="154">
        <v>0</v>
      </c>
      <c r="Q506" s="152">
        <v>0</v>
      </c>
      <c r="R506" s="9">
        <v>280000</v>
      </c>
      <c r="S506" s="21" t="s">
        <v>1846</v>
      </c>
      <c r="T506" s="117">
        <v>0</v>
      </c>
      <c r="U506" s="117">
        <v>0</v>
      </c>
      <c r="V506" s="117">
        <v>2023</v>
      </c>
      <c r="W506" s="117">
        <v>6</v>
      </c>
      <c r="X506" s="117">
        <v>0</v>
      </c>
      <c r="Y506" s="117">
        <v>0</v>
      </c>
      <c r="Z506" s="21" t="b">
        <v>0</v>
      </c>
      <c r="AA506" s="162">
        <f>+$AD$5-Tabla2[[#This Row],[FECHA DE FACTURACIÓN]]</f>
        <v>312</v>
      </c>
      <c r="AB506" s="163" t="str">
        <f>+IF(Tabla2[[#This Row],[dias de credito]]&gt;=Tabla2[[#This Row],[PLAZO Días]],"venc", "No venc")</f>
        <v>venc</v>
      </c>
      <c r="AC506" s="163" t="str">
        <f>+IF(Tabla2[[#This Row],[FECHA DE PAGO]]&gt;0,"pagada","por pagar")</f>
        <v>pagada</v>
      </c>
      <c r="AD506" s="164" t="str">
        <f>+IF(AND(Tabla2[[#This Row],[venc]]="venc",Tabla2[[#This Row],[estado pago]]="por pagar"),"vencida","no")</f>
        <v>no</v>
      </c>
    </row>
    <row r="507" spans="1:30" ht="19.5" hidden="1" customHeight="1" x14ac:dyDescent="0.25">
      <c r="A507" s="8" t="s">
        <v>1850</v>
      </c>
      <c r="B507" s="8" t="s">
        <v>1851</v>
      </c>
      <c r="C507" s="8">
        <v>45</v>
      </c>
      <c r="D507" s="151">
        <v>2446500</v>
      </c>
      <c r="E507" s="151"/>
      <c r="F507" s="24" t="s">
        <v>158</v>
      </c>
      <c r="G507" s="30">
        <v>45132</v>
      </c>
      <c r="H507" s="81" t="s">
        <v>10</v>
      </c>
      <c r="I507" s="30">
        <v>45085</v>
      </c>
      <c r="J507" s="16" t="s">
        <v>829</v>
      </c>
      <c r="K507" s="9" t="s">
        <v>1530</v>
      </c>
      <c r="L507" s="9"/>
      <c r="M507" s="152">
        <v>1265000</v>
      </c>
      <c r="N507" s="153">
        <v>240350</v>
      </c>
      <c r="O507" s="152">
        <v>0</v>
      </c>
      <c r="P507" s="154">
        <v>2.5000000000000001E-2</v>
      </c>
      <c r="Q507" s="152">
        <v>31625</v>
      </c>
      <c r="R507" s="9">
        <v>1473725</v>
      </c>
      <c r="S507" s="21" t="s">
        <v>1846</v>
      </c>
      <c r="T507" s="117">
        <v>0</v>
      </c>
      <c r="U507" s="117" t="s">
        <v>347</v>
      </c>
      <c r="V507" s="117">
        <v>2023</v>
      </c>
      <c r="W507" s="117">
        <v>6</v>
      </c>
      <c r="X507" s="117">
        <v>1145000</v>
      </c>
      <c r="Y507" s="117">
        <v>2.5000000000000001E-2</v>
      </c>
      <c r="Z507" s="21" t="b">
        <v>0</v>
      </c>
      <c r="AA507" s="162">
        <f>+$AD$5-Tabla2[[#This Row],[FECHA DE FACTURACIÓN]]</f>
        <v>358</v>
      </c>
      <c r="AB507" s="163" t="str">
        <f>+IF(Tabla2[[#This Row],[dias de credito]]&gt;=Tabla2[[#This Row],[PLAZO Días]],"venc", "No venc")</f>
        <v>venc</v>
      </c>
      <c r="AC507" s="163" t="str">
        <f>+IF(Tabla2[[#This Row],[FECHA DE PAGO]]&gt;0,"pagada","por pagar")</f>
        <v>pagada</v>
      </c>
      <c r="AD507" s="164" t="str">
        <f>+IF(AND(Tabla2[[#This Row],[venc]]="venc",Tabla2[[#This Row],[estado pago]]="por pagar"),"vencida","no")</f>
        <v>no</v>
      </c>
    </row>
    <row r="508" spans="1:30" ht="19.5" hidden="1" customHeight="1" x14ac:dyDescent="0.25">
      <c r="A508" s="8" t="s">
        <v>1850</v>
      </c>
      <c r="B508" s="8" t="b">
        <v>0</v>
      </c>
      <c r="C508" s="8">
        <v>30</v>
      </c>
      <c r="D508" s="151">
        <v>0</v>
      </c>
      <c r="E508" s="151"/>
      <c r="F508" s="24" t="s">
        <v>84</v>
      </c>
      <c r="G508" s="30">
        <v>45132</v>
      </c>
      <c r="H508" s="81" t="s">
        <v>525</v>
      </c>
      <c r="I508" s="30">
        <v>45131</v>
      </c>
      <c r="J508" s="16" t="s">
        <v>927</v>
      </c>
      <c r="K508" s="9" t="s">
        <v>1530</v>
      </c>
      <c r="L508" s="9"/>
      <c r="M508" s="152">
        <v>330000</v>
      </c>
      <c r="N508" s="153">
        <v>0</v>
      </c>
      <c r="O508" s="152">
        <v>0</v>
      </c>
      <c r="P508" s="154">
        <v>0</v>
      </c>
      <c r="Q508" s="152">
        <v>0</v>
      </c>
      <c r="R508" s="9">
        <v>330000</v>
      </c>
      <c r="S508" s="21" t="s">
        <v>1846</v>
      </c>
      <c r="T508" s="117">
        <v>0</v>
      </c>
      <c r="U508" s="117">
        <v>0</v>
      </c>
      <c r="V508" s="117">
        <v>2023</v>
      </c>
      <c r="W508" s="117">
        <v>6</v>
      </c>
      <c r="X508" s="117">
        <v>0</v>
      </c>
      <c r="Y508" s="117">
        <v>0</v>
      </c>
      <c r="Z508" s="21" t="b">
        <v>0</v>
      </c>
      <c r="AA508" s="162">
        <f>+$AD$5-Tabla2[[#This Row],[FECHA DE FACTURACIÓN]]</f>
        <v>312</v>
      </c>
      <c r="AB508" s="163" t="str">
        <f>+IF(Tabla2[[#This Row],[dias de credito]]&gt;=Tabla2[[#This Row],[PLAZO Días]],"venc", "No venc")</f>
        <v>venc</v>
      </c>
      <c r="AC508" s="163" t="str">
        <f>+IF(Tabla2[[#This Row],[FECHA DE PAGO]]&gt;0,"pagada","por pagar")</f>
        <v>pagada</v>
      </c>
      <c r="AD508" s="164" t="str">
        <f>+IF(AND(Tabla2[[#This Row],[venc]]="venc",Tabla2[[#This Row],[estado pago]]="por pagar"),"vencida","no")</f>
        <v>no</v>
      </c>
    </row>
    <row r="509" spans="1:30" ht="19.5" hidden="1" customHeight="1" x14ac:dyDescent="0.25">
      <c r="A509" s="8" t="s">
        <v>1850</v>
      </c>
      <c r="B509" s="8" t="s">
        <v>1851</v>
      </c>
      <c r="C509" s="8">
        <v>60</v>
      </c>
      <c r="D509" s="151">
        <v>50353355.590000004</v>
      </c>
      <c r="E509" s="151"/>
      <c r="F509" s="24" t="s">
        <v>157</v>
      </c>
      <c r="G509" s="30">
        <v>45133</v>
      </c>
      <c r="H509" s="81" t="s">
        <v>9</v>
      </c>
      <c r="I509" s="30">
        <v>45034</v>
      </c>
      <c r="J509" s="16" t="s">
        <v>746</v>
      </c>
      <c r="K509" s="9" t="s">
        <v>1530</v>
      </c>
      <c r="L509" s="9"/>
      <c r="M509" s="152">
        <v>25848261</v>
      </c>
      <c r="N509" s="153">
        <v>4911169.59</v>
      </c>
      <c r="O509" s="152">
        <v>0</v>
      </c>
      <c r="P509" s="154">
        <v>2.5000000000000001E-2</v>
      </c>
      <c r="Q509" s="152">
        <v>646206.52500000002</v>
      </c>
      <c r="R509" s="9">
        <v>30113224.065000001</v>
      </c>
      <c r="S509" s="21" t="s">
        <v>1846</v>
      </c>
      <c r="T509" s="117">
        <v>0</v>
      </c>
      <c r="U509" s="117" t="s">
        <v>347</v>
      </c>
      <c r="V509" s="117">
        <v>2023</v>
      </c>
      <c r="W509" s="117">
        <v>6</v>
      </c>
      <c r="X509" s="117">
        <v>1145000</v>
      </c>
      <c r="Y509" s="117">
        <v>2.5000000000000001E-2</v>
      </c>
      <c r="Z509" s="21" t="b">
        <v>0</v>
      </c>
      <c r="AA509" s="162">
        <f>+$AD$5-Tabla2[[#This Row],[FECHA DE FACTURACIÓN]]</f>
        <v>409</v>
      </c>
      <c r="AB509" s="163" t="str">
        <f>+IF(Tabla2[[#This Row],[dias de credito]]&gt;=Tabla2[[#This Row],[PLAZO Días]],"venc", "No venc")</f>
        <v>venc</v>
      </c>
      <c r="AC509" s="163" t="str">
        <f>+IF(Tabla2[[#This Row],[FECHA DE PAGO]]&gt;0,"pagada","por pagar")</f>
        <v>pagada</v>
      </c>
      <c r="AD509" s="164" t="str">
        <f>+IF(AND(Tabla2[[#This Row],[venc]]="venc",Tabla2[[#This Row],[estado pago]]="por pagar"),"vencida","no")</f>
        <v>no</v>
      </c>
    </row>
    <row r="510" spans="1:30" ht="19.5" hidden="1" customHeight="1" x14ac:dyDescent="0.25">
      <c r="A510" s="8" t="s">
        <v>1850</v>
      </c>
      <c r="B510" s="8" t="s">
        <v>1851</v>
      </c>
      <c r="C510" s="8">
        <v>60</v>
      </c>
      <c r="D510" s="151">
        <v>50353355.590000004</v>
      </c>
      <c r="E510" s="151"/>
      <c r="F510" s="24" t="s">
        <v>157</v>
      </c>
      <c r="G510" s="30">
        <v>45133</v>
      </c>
      <c r="H510" s="81" t="s">
        <v>9</v>
      </c>
      <c r="I510" s="30">
        <v>45054</v>
      </c>
      <c r="J510" s="16" t="s">
        <v>802</v>
      </c>
      <c r="K510" s="9" t="s">
        <v>1530</v>
      </c>
      <c r="L510" s="9"/>
      <c r="M510" s="152">
        <v>-446120</v>
      </c>
      <c r="N510" s="153">
        <v>-84762.8</v>
      </c>
      <c r="O510" s="152">
        <v>0</v>
      </c>
      <c r="P510" s="154">
        <v>0</v>
      </c>
      <c r="Q510" s="152">
        <v>0</v>
      </c>
      <c r="R510" s="9">
        <v>-530882.80000000005</v>
      </c>
      <c r="S510" s="21" t="s">
        <v>1846</v>
      </c>
      <c r="T510" s="117">
        <v>0</v>
      </c>
      <c r="U510" s="117" t="s">
        <v>347</v>
      </c>
      <c r="V510" s="117">
        <v>2023</v>
      </c>
      <c r="W510" s="117">
        <v>6</v>
      </c>
      <c r="X510" s="117">
        <v>1145000</v>
      </c>
      <c r="Y510" s="117">
        <v>2.5000000000000001E-2</v>
      </c>
      <c r="Z510" s="21" t="b">
        <v>0</v>
      </c>
      <c r="AA510" s="162">
        <f>+$AD$5-Tabla2[[#This Row],[FECHA DE FACTURACIÓN]]</f>
        <v>389</v>
      </c>
      <c r="AB510" s="163" t="str">
        <f>+IF(Tabla2[[#This Row],[dias de credito]]&gt;=Tabla2[[#This Row],[PLAZO Días]],"venc", "No venc")</f>
        <v>venc</v>
      </c>
      <c r="AC510" s="163" t="str">
        <f>+IF(Tabla2[[#This Row],[FECHA DE PAGO]]&gt;0,"pagada","por pagar")</f>
        <v>pagada</v>
      </c>
      <c r="AD510" s="164" t="str">
        <f>+IF(AND(Tabla2[[#This Row],[venc]]="venc",Tabla2[[#This Row],[estado pago]]="por pagar"),"vencida","no")</f>
        <v>no</v>
      </c>
    </row>
    <row r="511" spans="1:30" ht="19.5" hidden="1" customHeight="1" x14ac:dyDescent="0.25">
      <c r="A511" s="8" t="s">
        <v>1850</v>
      </c>
      <c r="B511" s="8" t="s">
        <v>1851</v>
      </c>
      <c r="C511" s="8">
        <v>30</v>
      </c>
      <c r="D511" s="151">
        <v>0</v>
      </c>
      <c r="E511" s="151"/>
      <c r="F511" s="24" t="s">
        <v>1497</v>
      </c>
      <c r="G511" s="30">
        <v>45133</v>
      </c>
      <c r="H511" s="81" t="s">
        <v>1865</v>
      </c>
      <c r="I511" s="30">
        <v>45056</v>
      </c>
      <c r="J511" s="16" t="s">
        <v>776</v>
      </c>
      <c r="K511" s="9" t="s">
        <v>1530</v>
      </c>
      <c r="L511" s="9"/>
      <c r="M511" s="152">
        <v>0</v>
      </c>
      <c r="N511" s="153">
        <v>0</v>
      </c>
      <c r="O511" s="152">
        <v>0</v>
      </c>
      <c r="P511" s="154">
        <v>0</v>
      </c>
      <c r="Q511" s="152">
        <v>0</v>
      </c>
      <c r="R511" s="9">
        <v>0</v>
      </c>
      <c r="S511" s="21" t="s">
        <v>1846</v>
      </c>
      <c r="T511" s="117">
        <v>0</v>
      </c>
      <c r="U511" s="117">
        <v>0</v>
      </c>
      <c r="V511" s="117">
        <v>2023</v>
      </c>
      <c r="W511" s="117">
        <v>6</v>
      </c>
      <c r="X511" s="117">
        <v>0</v>
      </c>
      <c r="Y511" s="117">
        <v>0</v>
      </c>
      <c r="Z511" s="21" t="b">
        <v>0</v>
      </c>
      <c r="AA511" s="162">
        <f>+$AD$5-Tabla2[[#This Row],[FECHA DE FACTURACIÓN]]</f>
        <v>387</v>
      </c>
      <c r="AB511" s="163" t="str">
        <f>+IF(Tabla2[[#This Row],[dias de credito]]&gt;=Tabla2[[#This Row],[PLAZO Días]],"venc", "No venc")</f>
        <v>venc</v>
      </c>
      <c r="AC511" s="163" t="str">
        <f>+IF(Tabla2[[#This Row],[FECHA DE PAGO]]&gt;0,"pagada","por pagar")</f>
        <v>pagada</v>
      </c>
      <c r="AD511" s="164" t="str">
        <f>+IF(AND(Tabla2[[#This Row],[venc]]="venc",Tabla2[[#This Row],[estado pago]]="por pagar"),"vencida","no")</f>
        <v>no</v>
      </c>
    </row>
    <row r="512" spans="1:30" ht="19.5" hidden="1" customHeight="1" x14ac:dyDescent="0.25">
      <c r="A512" s="8" t="s">
        <v>1850</v>
      </c>
      <c r="B512" s="8" t="s">
        <v>1851</v>
      </c>
      <c r="C512" s="8">
        <v>30</v>
      </c>
      <c r="D512" s="151">
        <v>0</v>
      </c>
      <c r="E512" s="151"/>
      <c r="F512" s="24" t="s">
        <v>1497</v>
      </c>
      <c r="G512" s="30">
        <v>45133</v>
      </c>
      <c r="H512" s="81" t="s">
        <v>1865</v>
      </c>
      <c r="I512" s="30">
        <v>45056</v>
      </c>
      <c r="J512" s="16" t="s">
        <v>777</v>
      </c>
      <c r="K512" s="9" t="s">
        <v>1530</v>
      </c>
      <c r="L512" s="9"/>
      <c r="M512" s="152">
        <v>216983</v>
      </c>
      <c r="N512" s="153">
        <v>0</v>
      </c>
      <c r="O512" s="152">
        <v>0</v>
      </c>
      <c r="P512" s="154">
        <v>0</v>
      </c>
      <c r="Q512" s="152">
        <v>0</v>
      </c>
      <c r="R512" s="9">
        <v>216983</v>
      </c>
      <c r="S512" s="21" t="s">
        <v>1846</v>
      </c>
      <c r="T512" s="117">
        <v>0</v>
      </c>
      <c r="U512" s="117">
        <v>0</v>
      </c>
      <c r="V512" s="117">
        <v>2023</v>
      </c>
      <c r="W512" s="117">
        <v>6</v>
      </c>
      <c r="X512" s="117">
        <v>0</v>
      </c>
      <c r="Y512" s="117">
        <v>0</v>
      </c>
      <c r="Z512" s="21" t="b">
        <v>0</v>
      </c>
      <c r="AA512" s="162">
        <f>+$AD$5-Tabla2[[#This Row],[FECHA DE FACTURACIÓN]]</f>
        <v>387</v>
      </c>
      <c r="AB512" s="163" t="str">
        <f>+IF(Tabla2[[#This Row],[dias de credito]]&gt;=Tabla2[[#This Row],[PLAZO Días]],"venc", "No venc")</f>
        <v>venc</v>
      </c>
      <c r="AC512" s="163" t="str">
        <f>+IF(Tabla2[[#This Row],[FECHA DE PAGO]]&gt;0,"pagada","por pagar")</f>
        <v>pagada</v>
      </c>
      <c r="AD512" s="164" t="str">
        <f>+IF(AND(Tabla2[[#This Row],[venc]]="venc",Tabla2[[#This Row],[estado pago]]="por pagar"),"vencida","no")</f>
        <v>no</v>
      </c>
    </row>
    <row r="513" spans="1:30" ht="19.5" hidden="1" customHeight="1" x14ac:dyDescent="0.25">
      <c r="A513" s="8" t="s">
        <v>1850</v>
      </c>
      <c r="B513" s="8" t="s">
        <v>1851</v>
      </c>
      <c r="C513" s="8">
        <v>30</v>
      </c>
      <c r="D513" s="151">
        <v>0</v>
      </c>
      <c r="E513" s="151"/>
      <c r="F513" s="24" t="s">
        <v>1497</v>
      </c>
      <c r="G513" s="30">
        <v>45133</v>
      </c>
      <c r="H513" s="81" t="s">
        <v>1865</v>
      </c>
      <c r="I513" s="30">
        <v>45061</v>
      </c>
      <c r="J513" s="16" t="s">
        <v>791</v>
      </c>
      <c r="K513" s="9" t="s">
        <v>1530</v>
      </c>
      <c r="L513" s="9"/>
      <c r="M513" s="152">
        <v>0</v>
      </c>
      <c r="N513" s="153">
        <v>0</v>
      </c>
      <c r="O513" s="152">
        <v>0</v>
      </c>
      <c r="P513" s="154">
        <v>0</v>
      </c>
      <c r="Q513" s="152">
        <v>0</v>
      </c>
      <c r="R513" s="9">
        <v>0</v>
      </c>
      <c r="S513" s="21" t="s">
        <v>1846</v>
      </c>
      <c r="T513" s="117">
        <v>0</v>
      </c>
      <c r="U513" s="117">
        <v>0</v>
      </c>
      <c r="V513" s="117">
        <v>2023</v>
      </c>
      <c r="W513" s="117">
        <v>6</v>
      </c>
      <c r="X513" s="117">
        <v>0</v>
      </c>
      <c r="Y513" s="117">
        <v>0</v>
      </c>
      <c r="Z513" s="21" t="b">
        <v>0</v>
      </c>
      <c r="AA513" s="162">
        <f>+$AD$5-Tabla2[[#This Row],[FECHA DE FACTURACIÓN]]</f>
        <v>382</v>
      </c>
      <c r="AB513" s="163" t="str">
        <f>+IF(Tabla2[[#This Row],[dias de credito]]&gt;=Tabla2[[#This Row],[PLAZO Días]],"venc", "No venc")</f>
        <v>venc</v>
      </c>
      <c r="AC513" s="163" t="str">
        <f>+IF(Tabla2[[#This Row],[FECHA DE PAGO]]&gt;0,"pagada","por pagar")</f>
        <v>pagada</v>
      </c>
      <c r="AD513" s="164" t="str">
        <f>+IF(AND(Tabla2[[#This Row],[venc]]="venc",Tabla2[[#This Row],[estado pago]]="por pagar"),"vencida","no")</f>
        <v>no</v>
      </c>
    </row>
    <row r="514" spans="1:30" ht="19.5" hidden="1" customHeight="1" x14ac:dyDescent="0.25">
      <c r="A514" s="8" t="s">
        <v>1850</v>
      </c>
      <c r="B514" s="8" t="s">
        <v>1851</v>
      </c>
      <c r="C514" s="8">
        <v>30</v>
      </c>
      <c r="D514" s="151">
        <v>0</v>
      </c>
      <c r="E514" s="151"/>
      <c r="F514" s="24" t="s">
        <v>1497</v>
      </c>
      <c r="G514" s="30">
        <v>45133</v>
      </c>
      <c r="H514" s="81" t="s">
        <v>1865</v>
      </c>
      <c r="I514" s="30">
        <v>45061</v>
      </c>
      <c r="J514" s="16" t="s">
        <v>792</v>
      </c>
      <c r="K514" s="9" t="s">
        <v>1530</v>
      </c>
      <c r="L514" s="9"/>
      <c r="M514" s="152">
        <v>0</v>
      </c>
      <c r="N514" s="153">
        <v>0</v>
      </c>
      <c r="O514" s="152">
        <v>0</v>
      </c>
      <c r="P514" s="154">
        <v>0</v>
      </c>
      <c r="Q514" s="152">
        <v>0</v>
      </c>
      <c r="R514" s="9">
        <v>0</v>
      </c>
      <c r="S514" s="21" t="s">
        <v>1846</v>
      </c>
      <c r="T514" s="117">
        <v>0</v>
      </c>
      <c r="U514" s="117">
        <v>0</v>
      </c>
      <c r="V514" s="117">
        <v>2023</v>
      </c>
      <c r="W514" s="117">
        <v>6</v>
      </c>
      <c r="X514" s="117">
        <v>0</v>
      </c>
      <c r="Y514" s="117">
        <v>0</v>
      </c>
      <c r="Z514" s="21" t="b">
        <v>0</v>
      </c>
      <c r="AA514" s="162">
        <f>+$AD$5-Tabla2[[#This Row],[FECHA DE FACTURACIÓN]]</f>
        <v>382</v>
      </c>
      <c r="AB514" s="163" t="str">
        <f>+IF(Tabla2[[#This Row],[dias de credito]]&gt;=Tabla2[[#This Row],[PLAZO Días]],"venc", "No venc")</f>
        <v>venc</v>
      </c>
      <c r="AC514" s="163" t="str">
        <f>+IF(Tabla2[[#This Row],[FECHA DE PAGO]]&gt;0,"pagada","por pagar")</f>
        <v>pagada</v>
      </c>
      <c r="AD514" s="164" t="str">
        <f>+IF(AND(Tabla2[[#This Row],[venc]]="venc",Tabla2[[#This Row],[estado pago]]="por pagar"),"vencida","no")</f>
        <v>no</v>
      </c>
    </row>
    <row r="515" spans="1:30" ht="19.5" hidden="1" customHeight="1" x14ac:dyDescent="0.25">
      <c r="A515" s="8" t="s">
        <v>1850</v>
      </c>
      <c r="B515" s="8" t="s">
        <v>1851</v>
      </c>
      <c r="C515" s="8">
        <v>30</v>
      </c>
      <c r="D515" s="151">
        <v>0</v>
      </c>
      <c r="E515" s="151"/>
      <c r="F515" s="24" t="s">
        <v>1497</v>
      </c>
      <c r="G515" s="30">
        <v>45133</v>
      </c>
      <c r="H515" s="81" t="s">
        <v>1865</v>
      </c>
      <c r="I515" s="30">
        <v>45061</v>
      </c>
      <c r="J515" s="16" t="s">
        <v>793</v>
      </c>
      <c r="K515" s="9" t="s">
        <v>1530</v>
      </c>
      <c r="L515" s="9"/>
      <c r="M515" s="152">
        <v>-188821</v>
      </c>
      <c r="N515" s="153">
        <v>0</v>
      </c>
      <c r="O515" s="152">
        <v>0</v>
      </c>
      <c r="P515" s="154">
        <v>0</v>
      </c>
      <c r="Q515" s="152">
        <v>0</v>
      </c>
      <c r="R515" s="9">
        <v>-188821</v>
      </c>
      <c r="S515" s="21" t="s">
        <v>1846</v>
      </c>
      <c r="T515" s="117">
        <v>0</v>
      </c>
      <c r="U515" s="117">
        <v>0</v>
      </c>
      <c r="V515" s="117">
        <v>2023</v>
      </c>
      <c r="W515" s="117">
        <v>6</v>
      </c>
      <c r="X515" s="117">
        <v>0</v>
      </c>
      <c r="Y515" s="117">
        <v>0</v>
      </c>
      <c r="Z515" s="21" t="b">
        <v>0</v>
      </c>
      <c r="AA515" s="162">
        <f>+$AD$5-Tabla2[[#This Row],[FECHA DE FACTURACIÓN]]</f>
        <v>382</v>
      </c>
      <c r="AB515" s="163" t="str">
        <f>+IF(Tabla2[[#This Row],[dias de credito]]&gt;=Tabla2[[#This Row],[PLAZO Días]],"venc", "No venc")</f>
        <v>venc</v>
      </c>
      <c r="AC515" s="163" t="str">
        <f>+IF(Tabla2[[#This Row],[FECHA DE PAGO]]&gt;0,"pagada","por pagar")</f>
        <v>pagada</v>
      </c>
      <c r="AD515" s="164" t="str">
        <f>+IF(AND(Tabla2[[#This Row],[venc]]="venc",Tabla2[[#This Row],[estado pago]]="por pagar"),"vencida","no")</f>
        <v>no</v>
      </c>
    </row>
    <row r="516" spans="1:30" ht="19.5" hidden="1" customHeight="1" x14ac:dyDescent="0.25">
      <c r="A516" s="8" t="s">
        <v>1850</v>
      </c>
      <c r="B516" s="8" t="s">
        <v>1851</v>
      </c>
      <c r="C516" s="8">
        <v>30</v>
      </c>
      <c r="D516" s="151">
        <v>0</v>
      </c>
      <c r="E516" s="151"/>
      <c r="F516" s="24" t="s">
        <v>1614</v>
      </c>
      <c r="G516" s="30">
        <v>45133</v>
      </c>
      <c r="H516" s="81" t="s">
        <v>1863</v>
      </c>
      <c r="I516" s="30">
        <v>45099</v>
      </c>
      <c r="J516" s="16" t="s">
        <v>846</v>
      </c>
      <c r="K516" s="9" t="s">
        <v>1530</v>
      </c>
      <c r="L516" s="9"/>
      <c r="M516" s="152">
        <v>0</v>
      </c>
      <c r="N516" s="153">
        <v>0</v>
      </c>
      <c r="O516" s="152">
        <v>0</v>
      </c>
      <c r="P516" s="154">
        <v>0</v>
      </c>
      <c r="Q516" s="152">
        <v>0</v>
      </c>
      <c r="R516" s="9">
        <v>0</v>
      </c>
      <c r="S516" s="21" t="s">
        <v>1846</v>
      </c>
      <c r="T516" s="117">
        <v>0</v>
      </c>
      <c r="U516" s="117">
        <v>0</v>
      </c>
      <c r="V516" s="117">
        <v>2023</v>
      </c>
      <c r="W516" s="117">
        <v>6</v>
      </c>
      <c r="X516" s="117">
        <v>0</v>
      </c>
      <c r="Y516" s="117">
        <v>0</v>
      </c>
      <c r="Z516" s="21" t="b">
        <v>0</v>
      </c>
      <c r="AA516" s="162">
        <f>+$AD$5-Tabla2[[#This Row],[FECHA DE FACTURACIÓN]]</f>
        <v>344</v>
      </c>
      <c r="AB516" s="163" t="str">
        <f>+IF(Tabla2[[#This Row],[dias de credito]]&gt;=Tabla2[[#This Row],[PLAZO Días]],"venc", "No venc")</f>
        <v>venc</v>
      </c>
      <c r="AC516" s="163" t="str">
        <f>+IF(Tabla2[[#This Row],[FECHA DE PAGO]]&gt;0,"pagada","por pagar")</f>
        <v>pagada</v>
      </c>
      <c r="AD516" s="164" t="str">
        <f>+IF(AND(Tabla2[[#This Row],[venc]]="venc",Tabla2[[#This Row],[estado pago]]="por pagar"),"vencida","no")</f>
        <v>no</v>
      </c>
    </row>
    <row r="517" spans="1:30" ht="19.5" hidden="1" customHeight="1" x14ac:dyDescent="0.25">
      <c r="A517" s="8" t="s">
        <v>1850</v>
      </c>
      <c r="B517" s="8" t="s">
        <v>1851</v>
      </c>
      <c r="C517" s="8">
        <v>30</v>
      </c>
      <c r="D517" s="151">
        <v>0</v>
      </c>
      <c r="E517" s="151"/>
      <c r="F517" s="24" t="s">
        <v>1614</v>
      </c>
      <c r="G517" s="30">
        <v>45133</v>
      </c>
      <c r="H517" s="81" t="s">
        <v>1863</v>
      </c>
      <c r="I517" s="30">
        <v>45099</v>
      </c>
      <c r="J517" s="16" t="s">
        <v>847</v>
      </c>
      <c r="K517" s="9" t="s">
        <v>1530</v>
      </c>
      <c r="L517" s="9"/>
      <c r="M517" s="152">
        <v>116984</v>
      </c>
      <c r="N517" s="153">
        <v>0</v>
      </c>
      <c r="O517" s="152">
        <v>0</v>
      </c>
      <c r="P517" s="154">
        <v>0</v>
      </c>
      <c r="Q517" s="152">
        <v>0</v>
      </c>
      <c r="R517" s="9">
        <v>116984</v>
      </c>
      <c r="S517" s="21" t="s">
        <v>1846</v>
      </c>
      <c r="T517" s="117">
        <v>0</v>
      </c>
      <c r="U517" s="117">
        <v>0</v>
      </c>
      <c r="V517" s="117">
        <v>2023</v>
      </c>
      <c r="W517" s="117">
        <v>6</v>
      </c>
      <c r="X517" s="117">
        <v>0</v>
      </c>
      <c r="Y517" s="117">
        <v>0</v>
      </c>
      <c r="Z517" s="21" t="b">
        <v>0</v>
      </c>
      <c r="AA517" s="162">
        <f>+$AD$5-Tabla2[[#This Row],[FECHA DE FACTURACIÓN]]</f>
        <v>344</v>
      </c>
      <c r="AB517" s="163" t="str">
        <f>+IF(Tabla2[[#This Row],[dias de credito]]&gt;=Tabla2[[#This Row],[PLAZO Días]],"venc", "No venc")</f>
        <v>venc</v>
      </c>
      <c r="AC517" s="163" t="str">
        <f>+IF(Tabla2[[#This Row],[FECHA DE PAGO]]&gt;0,"pagada","por pagar")</f>
        <v>pagada</v>
      </c>
      <c r="AD517" s="164" t="str">
        <f>+IF(AND(Tabla2[[#This Row],[venc]]="venc",Tabla2[[#This Row],[estado pago]]="por pagar"),"vencida","no")</f>
        <v>no</v>
      </c>
    </row>
    <row r="518" spans="1:30" ht="19.5" hidden="1" customHeight="1" x14ac:dyDescent="0.25">
      <c r="A518" s="8" t="s">
        <v>1850</v>
      </c>
      <c r="B518" s="8" t="s">
        <v>1851</v>
      </c>
      <c r="C518" s="8">
        <v>30</v>
      </c>
      <c r="D518" s="151">
        <v>0</v>
      </c>
      <c r="E518" s="151"/>
      <c r="F518" s="24" t="s">
        <v>1497</v>
      </c>
      <c r="G518" s="30">
        <v>45133</v>
      </c>
      <c r="H518" s="81" t="s">
        <v>1865</v>
      </c>
      <c r="I518" s="30">
        <v>45099</v>
      </c>
      <c r="J518" s="16" t="s">
        <v>837</v>
      </c>
      <c r="K518" s="9" t="s">
        <v>1530</v>
      </c>
      <c r="L518" s="9"/>
      <c r="M518" s="152">
        <v>0</v>
      </c>
      <c r="N518" s="153">
        <v>0</v>
      </c>
      <c r="O518" s="152">
        <v>0</v>
      </c>
      <c r="P518" s="154">
        <v>0</v>
      </c>
      <c r="Q518" s="152">
        <v>0</v>
      </c>
      <c r="R518" s="9">
        <v>0</v>
      </c>
      <c r="S518" s="21" t="s">
        <v>1846</v>
      </c>
      <c r="T518" s="117">
        <v>0</v>
      </c>
      <c r="U518" s="117">
        <v>0</v>
      </c>
      <c r="V518" s="117">
        <v>2023</v>
      </c>
      <c r="W518" s="117">
        <v>6</v>
      </c>
      <c r="X518" s="117">
        <v>0</v>
      </c>
      <c r="Y518" s="117">
        <v>0</v>
      </c>
      <c r="Z518" s="21" t="b">
        <v>0</v>
      </c>
      <c r="AA518" s="162">
        <f>+$AD$5-Tabla2[[#This Row],[FECHA DE FACTURACIÓN]]</f>
        <v>344</v>
      </c>
      <c r="AB518" s="163" t="str">
        <f>+IF(Tabla2[[#This Row],[dias de credito]]&gt;=Tabla2[[#This Row],[PLAZO Días]],"venc", "No venc")</f>
        <v>venc</v>
      </c>
      <c r="AC518" s="163" t="str">
        <f>+IF(Tabla2[[#This Row],[FECHA DE PAGO]]&gt;0,"pagada","por pagar")</f>
        <v>pagada</v>
      </c>
      <c r="AD518" s="164" t="str">
        <f>+IF(AND(Tabla2[[#This Row],[venc]]="venc",Tabla2[[#This Row],[estado pago]]="por pagar"),"vencida","no")</f>
        <v>no</v>
      </c>
    </row>
    <row r="519" spans="1:30" ht="19.5" hidden="1" customHeight="1" x14ac:dyDescent="0.25">
      <c r="A519" s="8" t="s">
        <v>1850</v>
      </c>
      <c r="B519" s="8" t="s">
        <v>1851</v>
      </c>
      <c r="C519" s="8">
        <v>30</v>
      </c>
      <c r="D519" s="151">
        <v>0</v>
      </c>
      <c r="E519" s="151"/>
      <c r="F519" s="24" t="s">
        <v>1497</v>
      </c>
      <c r="G519" s="30">
        <v>45133</v>
      </c>
      <c r="H519" s="81" t="s">
        <v>1865</v>
      </c>
      <c r="I519" s="30">
        <v>45099</v>
      </c>
      <c r="J519" s="16" t="s">
        <v>839</v>
      </c>
      <c r="K519" s="9" t="s">
        <v>1530</v>
      </c>
      <c r="L519" s="9"/>
      <c r="M519" s="152">
        <v>142484</v>
      </c>
      <c r="N519" s="153">
        <v>0</v>
      </c>
      <c r="O519" s="152">
        <v>0</v>
      </c>
      <c r="P519" s="154">
        <v>0</v>
      </c>
      <c r="Q519" s="152">
        <v>0</v>
      </c>
      <c r="R519" s="9">
        <v>142484</v>
      </c>
      <c r="S519" s="21" t="s">
        <v>1846</v>
      </c>
      <c r="T519" s="117">
        <v>0</v>
      </c>
      <c r="U519" s="117">
        <v>0</v>
      </c>
      <c r="V519" s="117">
        <v>2023</v>
      </c>
      <c r="W519" s="117">
        <v>6</v>
      </c>
      <c r="X519" s="117">
        <v>0</v>
      </c>
      <c r="Y519" s="117">
        <v>0</v>
      </c>
      <c r="Z519" s="21" t="b">
        <v>0</v>
      </c>
      <c r="AA519" s="162">
        <f>+$AD$5-Tabla2[[#This Row],[FECHA DE FACTURACIÓN]]</f>
        <v>344</v>
      </c>
      <c r="AB519" s="163" t="str">
        <f>+IF(Tabla2[[#This Row],[dias de credito]]&gt;=Tabla2[[#This Row],[PLAZO Días]],"venc", "No venc")</f>
        <v>venc</v>
      </c>
      <c r="AC519" s="163" t="str">
        <f>+IF(Tabla2[[#This Row],[FECHA DE PAGO]]&gt;0,"pagada","por pagar")</f>
        <v>pagada</v>
      </c>
      <c r="AD519" s="164" t="str">
        <f>+IF(AND(Tabla2[[#This Row],[venc]]="venc",Tabla2[[#This Row],[estado pago]]="por pagar"),"vencida","no")</f>
        <v>no</v>
      </c>
    </row>
    <row r="520" spans="1:30" ht="19.5" hidden="1" customHeight="1" x14ac:dyDescent="0.25">
      <c r="A520" s="8" t="s">
        <v>1850</v>
      </c>
      <c r="B520" s="8" t="b">
        <v>0</v>
      </c>
      <c r="C520" s="8">
        <v>60</v>
      </c>
      <c r="D520" s="151">
        <v>50353355.590000004</v>
      </c>
      <c r="E520" s="151"/>
      <c r="F520" s="24" t="s">
        <v>157</v>
      </c>
      <c r="G520" s="30">
        <v>45133</v>
      </c>
      <c r="H520" s="81" t="s">
        <v>9</v>
      </c>
      <c r="I520" s="30">
        <v>45111</v>
      </c>
      <c r="J520" s="16" t="s">
        <v>598</v>
      </c>
      <c r="K520" s="9" t="s">
        <v>1530</v>
      </c>
      <c r="L520" s="9"/>
      <c r="M520" s="152">
        <v>-8403361</v>
      </c>
      <c r="N520" s="153">
        <v>-1596638.59</v>
      </c>
      <c r="O520" s="152">
        <v>0</v>
      </c>
      <c r="P520" s="154">
        <v>0</v>
      </c>
      <c r="Q520" s="152">
        <v>0</v>
      </c>
      <c r="R520" s="9">
        <v>-9999999.5899999999</v>
      </c>
      <c r="S520" s="21" t="s">
        <v>1846</v>
      </c>
      <c r="T520" s="117">
        <v>0</v>
      </c>
      <c r="U520" s="117" t="s">
        <v>347</v>
      </c>
      <c r="V520" s="117">
        <v>2023</v>
      </c>
      <c r="W520" s="117">
        <v>6</v>
      </c>
      <c r="X520" s="117">
        <v>1145000</v>
      </c>
      <c r="Y520" s="117">
        <v>2.5000000000000001E-2</v>
      </c>
      <c r="Z520" s="21" t="b">
        <v>0</v>
      </c>
      <c r="AA520" s="162">
        <f>+$AD$5-Tabla2[[#This Row],[FECHA DE FACTURACIÓN]]</f>
        <v>332</v>
      </c>
      <c r="AB520" s="163" t="str">
        <f>+IF(Tabla2[[#This Row],[dias de credito]]&gt;=Tabla2[[#This Row],[PLAZO Días]],"venc", "No venc")</f>
        <v>venc</v>
      </c>
      <c r="AC520" s="163" t="str">
        <f>+IF(Tabla2[[#This Row],[FECHA DE PAGO]]&gt;0,"pagada","por pagar")</f>
        <v>pagada</v>
      </c>
      <c r="AD520" s="164" t="str">
        <f>+IF(AND(Tabla2[[#This Row],[venc]]="venc",Tabla2[[#This Row],[estado pago]]="por pagar"),"vencida","no")</f>
        <v>no</v>
      </c>
    </row>
    <row r="521" spans="1:30" ht="19.5" hidden="1" customHeight="1" x14ac:dyDescent="0.25">
      <c r="A521" s="8" t="s">
        <v>1850</v>
      </c>
      <c r="B521" s="8" t="b">
        <v>0</v>
      </c>
      <c r="C521" s="8">
        <v>30</v>
      </c>
      <c r="D521" s="151">
        <v>0</v>
      </c>
      <c r="E521" s="151"/>
      <c r="F521" s="24" t="s">
        <v>1497</v>
      </c>
      <c r="G521" s="30">
        <v>45133</v>
      </c>
      <c r="H521" s="81" t="s">
        <v>1865</v>
      </c>
      <c r="I521" s="30">
        <v>45128</v>
      </c>
      <c r="J521" s="16">
        <v>652</v>
      </c>
      <c r="K521" s="9" t="s">
        <v>1530</v>
      </c>
      <c r="L521" s="9"/>
      <c r="M521" s="152">
        <v>0</v>
      </c>
      <c r="N521" s="153">
        <v>0</v>
      </c>
      <c r="O521" s="152">
        <v>0</v>
      </c>
      <c r="P521" s="154">
        <v>0</v>
      </c>
      <c r="Q521" s="152">
        <v>0</v>
      </c>
      <c r="R521" s="9">
        <v>0</v>
      </c>
      <c r="S521" s="21" t="s">
        <v>1846</v>
      </c>
      <c r="T521" s="117">
        <v>0</v>
      </c>
      <c r="U521" s="117">
        <v>0</v>
      </c>
      <c r="V521" s="117">
        <v>2023</v>
      </c>
      <c r="W521" s="117">
        <v>6</v>
      </c>
      <c r="X521" s="117">
        <v>0</v>
      </c>
      <c r="Y521" s="117">
        <v>0</v>
      </c>
      <c r="Z521" s="21" t="b">
        <v>0</v>
      </c>
      <c r="AA521" s="162">
        <f>+$AD$5-Tabla2[[#This Row],[FECHA DE FACTURACIÓN]]</f>
        <v>315</v>
      </c>
      <c r="AB521" s="163" t="str">
        <f>+IF(Tabla2[[#This Row],[dias de credito]]&gt;=Tabla2[[#This Row],[PLAZO Días]],"venc", "No venc")</f>
        <v>venc</v>
      </c>
      <c r="AC521" s="163" t="str">
        <f>+IF(Tabla2[[#This Row],[FECHA DE PAGO]]&gt;0,"pagada","por pagar")</f>
        <v>pagada</v>
      </c>
      <c r="AD521" s="164" t="str">
        <f>+IF(AND(Tabla2[[#This Row],[venc]]="venc",Tabla2[[#This Row],[estado pago]]="por pagar"),"vencida","no")</f>
        <v>no</v>
      </c>
    </row>
    <row r="522" spans="1:30" ht="19.5" hidden="1" customHeight="1" x14ac:dyDescent="0.25">
      <c r="A522" s="8" t="s">
        <v>1850</v>
      </c>
      <c r="B522" s="8" t="b">
        <v>0</v>
      </c>
      <c r="C522" s="8">
        <v>30</v>
      </c>
      <c r="D522" s="151">
        <v>0</v>
      </c>
      <c r="E522" s="151"/>
      <c r="F522" s="24" t="s">
        <v>1497</v>
      </c>
      <c r="G522" s="30">
        <v>45133</v>
      </c>
      <c r="H522" s="81" t="s">
        <v>1865</v>
      </c>
      <c r="I522" s="30">
        <v>45128</v>
      </c>
      <c r="J522" s="16">
        <v>653</v>
      </c>
      <c r="K522" s="9" t="s">
        <v>1530</v>
      </c>
      <c r="L522" s="9"/>
      <c r="M522" s="152">
        <v>527</v>
      </c>
      <c r="N522" s="153">
        <v>0</v>
      </c>
      <c r="O522" s="152">
        <v>0</v>
      </c>
      <c r="P522" s="154">
        <v>0</v>
      </c>
      <c r="Q522" s="152">
        <v>0</v>
      </c>
      <c r="R522" s="9">
        <v>527</v>
      </c>
      <c r="S522" s="21" t="s">
        <v>1846</v>
      </c>
      <c r="T522" s="117">
        <v>0</v>
      </c>
      <c r="U522" s="117">
        <v>0</v>
      </c>
      <c r="V522" s="117">
        <v>2023</v>
      </c>
      <c r="W522" s="117">
        <v>6</v>
      </c>
      <c r="X522" s="117">
        <v>0</v>
      </c>
      <c r="Y522" s="117">
        <v>0</v>
      </c>
      <c r="Z522" s="21" t="b">
        <v>0</v>
      </c>
      <c r="AA522" s="162">
        <f>+$AD$5-Tabla2[[#This Row],[FECHA DE FACTURACIÓN]]</f>
        <v>315</v>
      </c>
      <c r="AB522" s="163" t="str">
        <f>+IF(Tabla2[[#This Row],[dias de credito]]&gt;=Tabla2[[#This Row],[PLAZO Días]],"venc", "No venc")</f>
        <v>venc</v>
      </c>
      <c r="AC522" s="163" t="str">
        <f>+IF(Tabla2[[#This Row],[FECHA DE PAGO]]&gt;0,"pagada","por pagar")</f>
        <v>pagada</v>
      </c>
      <c r="AD522" s="164" t="str">
        <f>+IF(AND(Tabla2[[#This Row],[venc]]="venc",Tabla2[[#This Row],[estado pago]]="por pagar"),"vencida","no")</f>
        <v>no</v>
      </c>
    </row>
    <row r="523" spans="1:30" ht="19.5" hidden="1" customHeight="1" x14ac:dyDescent="0.25">
      <c r="A523" s="8" t="s">
        <v>1850</v>
      </c>
      <c r="B523" s="8" t="s">
        <v>1851</v>
      </c>
      <c r="C523" s="8">
        <v>30</v>
      </c>
      <c r="D523" s="151">
        <v>0</v>
      </c>
      <c r="E523" s="151"/>
      <c r="F523" s="24" t="s">
        <v>227</v>
      </c>
      <c r="G523" s="30">
        <v>45134</v>
      </c>
      <c r="H523" s="81" t="s">
        <v>360</v>
      </c>
      <c r="I523" s="30">
        <v>45075</v>
      </c>
      <c r="J523" s="16" t="s">
        <v>940</v>
      </c>
      <c r="K523" s="9" t="s">
        <v>1530</v>
      </c>
      <c r="L523" s="9"/>
      <c r="M523" s="152">
        <v>1586135</v>
      </c>
      <c r="N523" s="153">
        <v>301365.65000000002</v>
      </c>
      <c r="O523" s="152">
        <v>0</v>
      </c>
      <c r="P523" s="154">
        <v>0</v>
      </c>
      <c r="Q523" s="152">
        <v>0</v>
      </c>
      <c r="R523" s="9">
        <v>1887500.65</v>
      </c>
      <c r="S523" s="21" t="s">
        <v>1846</v>
      </c>
      <c r="T523" s="117">
        <v>0</v>
      </c>
      <c r="U523" s="117">
        <v>0</v>
      </c>
      <c r="V523" s="117">
        <v>2023</v>
      </c>
      <c r="W523" s="117">
        <v>6</v>
      </c>
      <c r="X523" s="117">
        <v>0</v>
      </c>
      <c r="Y523" s="117">
        <v>0</v>
      </c>
      <c r="Z523" s="21" t="b">
        <v>1</v>
      </c>
      <c r="AA523" s="162">
        <f>+$AD$5-Tabla2[[#This Row],[FECHA DE FACTURACIÓN]]</f>
        <v>368</v>
      </c>
      <c r="AB523" s="163" t="str">
        <f>+IF(Tabla2[[#This Row],[dias de credito]]&gt;=Tabla2[[#This Row],[PLAZO Días]],"venc", "No venc")</f>
        <v>venc</v>
      </c>
      <c r="AC523" s="163" t="str">
        <f>+IF(Tabla2[[#This Row],[FECHA DE PAGO]]&gt;0,"pagada","por pagar")</f>
        <v>pagada</v>
      </c>
      <c r="AD523" s="164" t="str">
        <f>+IF(AND(Tabla2[[#This Row],[venc]]="venc",Tabla2[[#This Row],[estado pago]]="por pagar"),"vencida","no")</f>
        <v>no</v>
      </c>
    </row>
    <row r="524" spans="1:30" ht="19.5" hidden="1" customHeight="1" x14ac:dyDescent="0.25">
      <c r="A524" s="8" t="s">
        <v>1850</v>
      </c>
      <c r="B524" s="8" t="s">
        <v>1851</v>
      </c>
      <c r="C524" s="8">
        <v>30</v>
      </c>
      <c r="D524" s="151">
        <v>0</v>
      </c>
      <c r="E524" s="151"/>
      <c r="F524" s="24" t="s">
        <v>227</v>
      </c>
      <c r="G524" s="30">
        <v>45134</v>
      </c>
      <c r="H524" s="81" t="s">
        <v>360</v>
      </c>
      <c r="I524" s="30">
        <v>45075</v>
      </c>
      <c r="J524" s="16" t="s">
        <v>941</v>
      </c>
      <c r="K524" s="9" t="s">
        <v>1530</v>
      </c>
      <c r="L524" s="9"/>
      <c r="M524" s="152">
        <v>2254875</v>
      </c>
      <c r="N524" s="153">
        <v>428426.25</v>
      </c>
      <c r="O524" s="152">
        <v>0</v>
      </c>
      <c r="P524" s="154">
        <v>0</v>
      </c>
      <c r="Q524" s="152">
        <v>0</v>
      </c>
      <c r="R524" s="9">
        <v>2683301.25</v>
      </c>
      <c r="S524" s="21" t="s">
        <v>1846</v>
      </c>
      <c r="T524" s="117">
        <v>0</v>
      </c>
      <c r="U524" s="117">
        <v>0</v>
      </c>
      <c r="V524" s="117">
        <v>2023</v>
      </c>
      <c r="W524" s="117">
        <v>6</v>
      </c>
      <c r="X524" s="117">
        <v>0</v>
      </c>
      <c r="Y524" s="117">
        <v>0</v>
      </c>
      <c r="Z524" s="21" t="b">
        <v>1</v>
      </c>
      <c r="AA524" s="162">
        <f>+$AD$5-Tabla2[[#This Row],[FECHA DE FACTURACIÓN]]</f>
        <v>368</v>
      </c>
      <c r="AB524" s="163" t="str">
        <f>+IF(Tabla2[[#This Row],[dias de credito]]&gt;=Tabla2[[#This Row],[PLAZO Días]],"venc", "No venc")</f>
        <v>venc</v>
      </c>
      <c r="AC524" s="163" t="str">
        <f>+IF(Tabla2[[#This Row],[FECHA DE PAGO]]&gt;0,"pagada","por pagar")</f>
        <v>pagada</v>
      </c>
      <c r="AD524" s="164" t="str">
        <f>+IF(AND(Tabla2[[#This Row],[venc]]="venc",Tabla2[[#This Row],[estado pago]]="por pagar"),"vencida","no")</f>
        <v>no</v>
      </c>
    </row>
    <row r="525" spans="1:30" ht="19.5" hidden="1" customHeight="1" x14ac:dyDescent="0.25">
      <c r="A525" s="8" t="s">
        <v>1850</v>
      </c>
      <c r="B525" s="8" t="s">
        <v>1851</v>
      </c>
      <c r="C525" s="8">
        <v>30</v>
      </c>
      <c r="D525" s="151">
        <v>0</v>
      </c>
      <c r="E525" s="151"/>
      <c r="F525" s="24">
        <v>0</v>
      </c>
      <c r="G525" s="30">
        <v>45134</v>
      </c>
      <c r="H525" s="81" t="s">
        <v>475</v>
      </c>
      <c r="I525" s="30">
        <v>45079</v>
      </c>
      <c r="J525" s="16" t="s">
        <v>869</v>
      </c>
      <c r="K525" s="9" t="s">
        <v>1530</v>
      </c>
      <c r="L525" s="9"/>
      <c r="M525" s="152">
        <v>2046000</v>
      </c>
      <c r="N525" s="153">
        <v>0</v>
      </c>
      <c r="O525" s="152">
        <v>0</v>
      </c>
      <c r="P525" s="154">
        <v>0</v>
      </c>
      <c r="Q525" s="152">
        <v>0</v>
      </c>
      <c r="R525" s="9">
        <v>2046000</v>
      </c>
      <c r="S525" s="21" t="s">
        <v>1846</v>
      </c>
      <c r="T525" s="117">
        <v>0</v>
      </c>
      <c r="U525" s="117">
        <v>0</v>
      </c>
      <c r="V525" s="117">
        <v>2023</v>
      </c>
      <c r="W525" s="117">
        <v>6</v>
      </c>
      <c r="X525" s="117">
        <v>0</v>
      </c>
      <c r="Y525" s="117">
        <v>0</v>
      </c>
      <c r="Z525" s="21" t="b">
        <v>0</v>
      </c>
      <c r="AA525" s="162">
        <f>+$AD$5-Tabla2[[#This Row],[FECHA DE FACTURACIÓN]]</f>
        <v>364</v>
      </c>
      <c r="AB525" s="163" t="str">
        <f>+IF(Tabla2[[#This Row],[dias de credito]]&gt;=Tabla2[[#This Row],[PLAZO Días]],"venc", "No venc")</f>
        <v>venc</v>
      </c>
      <c r="AC525" s="163" t="str">
        <f>+IF(Tabla2[[#This Row],[FECHA DE PAGO]]&gt;0,"pagada","por pagar")</f>
        <v>pagada</v>
      </c>
      <c r="AD525" s="164" t="str">
        <f>+IF(AND(Tabla2[[#This Row],[venc]]="venc",Tabla2[[#This Row],[estado pago]]="por pagar"),"vencida","no")</f>
        <v>no</v>
      </c>
    </row>
    <row r="526" spans="1:30" ht="19.5" hidden="1" customHeight="1" x14ac:dyDescent="0.25">
      <c r="A526" s="8" t="s">
        <v>1852</v>
      </c>
      <c r="B526" s="8" t="b">
        <v>0</v>
      </c>
      <c r="C526" s="8">
        <v>30</v>
      </c>
      <c r="D526" s="151">
        <v>1350000</v>
      </c>
      <c r="E526" s="151"/>
      <c r="F526" s="24" t="s">
        <v>84</v>
      </c>
      <c r="G526" s="30">
        <v>45136</v>
      </c>
      <c r="H526" s="81" t="s">
        <v>1807</v>
      </c>
      <c r="I526" s="30">
        <v>45136</v>
      </c>
      <c r="J526" s="16" t="s">
        <v>939</v>
      </c>
      <c r="K526" s="9" t="s">
        <v>1530</v>
      </c>
      <c r="L526" s="9"/>
      <c r="M526" s="152">
        <v>1470000</v>
      </c>
      <c r="N526" s="153">
        <v>0</v>
      </c>
      <c r="O526" s="152">
        <v>0</v>
      </c>
      <c r="P526" s="154">
        <v>0</v>
      </c>
      <c r="Q526" s="152">
        <v>0</v>
      </c>
      <c r="R526" s="9">
        <v>1470000</v>
      </c>
      <c r="S526" s="21" t="s">
        <v>1846</v>
      </c>
      <c r="T526" s="117">
        <v>0</v>
      </c>
      <c r="U526" s="117">
        <v>0</v>
      </c>
      <c r="V526" s="117">
        <v>2023</v>
      </c>
      <c r="W526" s="117">
        <v>6</v>
      </c>
      <c r="X526" s="117">
        <v>0</v>
      </c>
      <c r="Y526" s="117">
        <v>0</v>
      </c>
      <c r="Z526" s="21" t="b">
        <v>0</v>
      </c>
      <c r="AA526" s="162">
        <f>+$AD$5-Tabla2[[#This Row],[FECHA DE FACTURACIÓN]]</f>
        <v>307</v>
      </c>
      <c r="AB526" s="163" t="str">
        <f>+IF(Tabla2[[#This Row],[dias de credito]]&gt;=Tabla2[[#This Row],[PLAZO Días]],"venc", "No venc")</f>
        <v>venc</v>
      </c>
      <c r="AC526" s="163" t="str">
        <f>+IF(Tabla2[[#This Row],[FECHA DE PAGO]]&gt;0,"pagada","por pagar")</f>
        <v>pagada</v>
      </c>
      <c r="AD526" s="164" t="str">
        <f>+IF(AND(Tabla2[[#This Row],[venc]]="venc",Tabla2[[#This Row],[estado pago]]="por pagar"),"vencida","no")</f>
        <v>no</v>
      </c>
    </row>
    <row r="527" spans="1:30" ht="19.5" hidden="1" customHeight="1" x14ac:dyDescent="0.25">
      <c r="A527" s="8" t="s">
        <v>1852</v>
      </c>
      <c r="B527" s="8" t="b">
        <v>0</v>
      </c>
      <c r="C527" s="8">
        <v>30</v>
      </c>
      <c r="D527" s="151">
        <v>0</v>
      </c>
      <c r="E527" s="151"/>
      <c r="F527" s="24">
        <v>0</v>
      </c>
      <c r="G527" s="30">
        <v>45138</v>
      </c>
      <c r="H527" s="81" t="s">
        <v>861</v>
      </c>
      <c r="I527" s="30">
        <v>45138</v>
      </c>
      <c r="J527" s="16">
        <v>5961</v>
      </c>
      <c r="K527" s="9" t="s">
        <v>1530</v>
      </c>
      <c r="L527" s="9"/>
      <c r="M527" s="152">
        <v>307000</v>
      </c>
      <c r="N527" s="153">
        <v>0</v>
      </c>
      <c r="O527" s="152">
        <v>0</v>
      </c>
      <c r="P527" s="154">
        <v>0</v>
      </c>
      <c r="Q527" s="152">
        <v>0</v>
      </c>
      <c r="R527" s="9">
        <v>307000</v>
      </c>
      <c r="S527" s="21" t="s">
        <v>1846</v>
      </c>
      <c r="T527" s="117">
        <v>0</v>
      </c>
      <c r="U527" s="117">
        <v>0</v>
      </c>
      <c r="V527" s="117">
        <v>2023</v>
      </c>
      <c r="W527" s="117">
        <v>6</v>
      </c>
      <c r="X527" s="117">
        <v>0</v>
      </c>
      <c r="Y527" s="117">
        <v>0</v>
      </c>
      <c r="Z527" s="21" t="b">
        <v>0</v>
      </c>
      <c r="AA527" s="162">
        <f>+$AD$5-Tabla2[[#This Row],[FECHA DE FACTURACIÓN]]</f>
        <v>305</v>
      </c>
      <c r="AB527" s="163" t="str">
        <f>+IF(Tabla2[[#This Row],[dias de credito]]&gt;=Tabla2[[#This Row],[PLAZO Días]],"venc", "No venc")</f>
        <v>venc</v>
      </c>
      <c r="AC527" s="163" t="str">
        <f>+IF(Tabla2[[#This Row],[FECHA DE PAGO]]&gt;0,"pagada","por pagar")</f>
        <v>pagada</v>
      </c>
      <c r="AD527" s="164" t="str">
        <f>+IF(AND(Tabla2[[#This Row],[venc]]="venc",Tabla2[[#This Row],[estado pago]]="por pagar"),"vencida","no")</f>
        <v>no</v>
      </c>
    </row>
    <row r="528" spans="1:30" ht="19.5" hidden="1" customHeight="1" x14ac:dyDescent="0.25">
      <c r="A528" s="8" t="s">
        <v>1850</v>
      </c>
      <c r="B528" s="8" t="s">
        <v>1851</v>
      </c>
      <c r="C528" s="8">
        <v>30</v>
      </c>
      <c r="D528" s="151">
        <v>0</v>
      </c>
      <c r="E528" s="151"/>
      <c r="F528" s="24" t="s">
        <v>139</v>
      </c>
      <c r="G528" s="30">
        <v>45139</v>
      </c>
      <c r="H528" s="81" t="s">
        <v>1820</v>
      </c>
      <c r="I528" s="30">
        <v>45057</v>
      </c>
      <c r="J528" s="16">
        <v>327168</v>
      </c>
      <c r="K528" s="9" t="s">
        <v>1530</v>
      </c>
      <c r="L528" s="9"/>
      <c r="M528" s="152">
        <v>27000</v>
      </c>
      <c r="N528" s="153">
        <v>0</v>
      </c>
      <c r="O528" s="152">
        <v>0</v>
      </c>
      <c r="P528" s="154">
        <v>0</v>
      </c>
      <c r="Q528" s="152">
        <v>0</v>
      </c>
      <c r="R528" s="9">
        <v>27000</v>
      </c>
      <c r="S528" s="21" t="s">
        <v>1846</v>
      </c>
      <c r="T528" s="117">
        <v>0</v>
      </c>
      <c r="U528" s="117">
        <v>0</v>
      </c>
      <c r="V528" s="117">
        <v>2023</v>
      </c>
      <c r="W528" s="117">
        <v>6</v>
      </c>
      <c r="X528" s="117">
        <v>0</v>
      </c>
      <c r="Y528" s="117">
        <v>0</v>
      </c>
      <c r="Z528" s="21" t="b">
        <v>0</v>
      </c>
      <c r="AA528" s="162">
        <f>+$AD$5-Tabla2[[#This Row],[FECHA DE FACTURACIÓN]]</f>
        <v>386</v>
      </c>
      <c r="AB528" s="163" t="str">
        <f>+IF(Tabla2[[#This Row],[dias de credito]]&gt;=Tabla2[[#This Row],[PLAZO Días]],"venc", "No venc")</f>
        <v>venc</v>
      </c>
      <c r="AC528" s="163" t="str">
        <f>+IF(Tabla2[[#This Row],[FECHA DE PAGO]]&gt;0,"pagada","por pagar")</f>
        <v>pagada</v>
      </c>
      <c r="AD528" s="164" t="str">
        <f>+IF(AND(Tabla2[[#This Row],[venc]]="venc",Tabla2[[#This Row],[estado pago]]="por pagar"),"vencida","no")</f>
        <v>no</v>
      </c>
    </row>
    <row r="529" spans="1:30" ht="19.5" hidden="1" customHeight="1" x14ac:dyDescent="0.25">
      <c r="A529" s="8" t="s">
        <v>1850</v>
      </c>
      <c r="B529" s="8" t="s">
        <v>1851</v>
      </c>
      <c r="C529" s="8">
        <v>30</v>
      </c>
      <c r="D529" s="151">
        <v>1460000.29</v>
      </c>
      <c r="E529" s="151"/>
      <c r="F529" s="24" t="s">
        <v>139</v>
      </c>
      <c r="G529" s="30">
        <v>45139</v>
      </c>
      <c r="H529" s="81" t="s">
        <v>131</v>
      </c>
      <c r="I529" s="30">
        <v>45057</v>
      </c>
      <c r="J529" s="16" t="s">
        <v>800</v>
      </c>
      <c r="K529" s="9" t="s">
        <v>1530</v>
      </c>
      <c r="L529" s="9"/>
      <c r="M529" s="152">
        <v>3564706</v>
      </c>
      <c r="N529" s="153">
        <v>677294.14</v>
      </c>
      <c r="O529" s="152">
        <v>0</v>
      </c>
      <c r="P529" s="154">
        <v>2.5000000000000001E-2</v>
      </c>
      <c r="Q529" s="152">
        <v>89117.650000000009</v>
      </c>
      <c r="R529" s="9">
        <v>4152882.4899999998</v>
      </c>
      <c r="S529" s="21" t="s">
        <v>1846</v>
      </c>
      <c r="T529" s="117">
        <v>0</v>
      </c>
      <c r="U529" s="117" t="s">
        <v>347</v>
      </c>
      <c r="V529" s="117">
        <v>2023</v>
      </c>
      <c r="W529" s="117">
        <v>6</v>
      </c>
      <c r="X529" s="117">
        <v>1145000</v>
      </c>
      <c r="Y529" s="117">
        <v>2.5000000000000001E-2</v>
      </c>
      <c r="Z529" s="21" t="b">
        <v>0</v>
      </c>
      <c r="AA529" s="162">
        <f>+$AD$5-Tabla2[[#This Row],[FECHA DE FACTURACIÓN]]</f>
        <v>386</v>
      </c>
      <c r="AB529" s="163" t="str">
        <f>+IF(Tabla2[[#This Row],[dias de credito]]&gt;=Tabla2[[#This Row],[PLAZO Días]],"venc", "No venc")</f>
        <v>venc</v>
      </c>
      <c r="AC529" s="163" t="str">
        <f>+IF(Tabla2[[#This Row],[FECHA DE PAGO]]&gt;0,"pagada","por pagar")</f>
        <v>pagada</v>
      </c>
      <c r="AD529" s="164" t="str">
        <f>+IF(AND(Tabla2[[#This Row],[venc]]="venc",Tabla2[[#This Row],[estado pago]]="por pagar"),"vencida","no")</f>
        <v>no</v>
      </c>
    </row>
    <row r="530" spans="1:30" ht="19.5" hidden="1" customHeight="1" x14ac:dyDescent="0.25">
      <c r="A530" s="8" t="s">
        <v>1850</v>
      </c>
      <c r="B530" s="8" t="s">
        <v>1851</v>
      </c>
      <c r="C530" s="8">
        <v>30</v>
      </c>
      <c r="D530" s="151">
        <v>3130000</v>
      </c>
      <c r="E530" s="151"/>
      <c r="F530" s="24">
        <v>0</v>
      </c>
      <c r="G530" s="30">
        <v>45139</v>
      </c>
      <c r="H530" s="81" t="s">
        <v>472</v>
      </c>
      <c r="I530" s="30">
        <v>45091</v>
      </c>
      <c r="J530" s="16">
        <v>2011</v>
      </c>
      <c r="K530" s="9" t="s">
        <v>1530</v>
      </c>
      <c r="L530" s="9"/>
      <c r="M530" s="152">
        <v>205000</v>
      </c>
      <c r="N530" s="153">
        <v>0</v>
      </c>
      <c r="O530" s="152">
        <v>0</v>
      </c>
      <c r="P530" s="154">
        <v>0</v>
      </c>
      <c r="Q530" s="152">
        <v>0</v>
      </c>
      <c r="R530" s="9">
        <v>205000</v>
      </c>
      <c r="S530" s="21" t="s">
        <v>1846</v>
      </c>
      <c r="T530" s="117">
        <v>0</v>
      </c>
      <c r="U530" s="117">
        <v>0</v>
      </c>
      <c r="V530" s="117">
        <v>2023</v>
      </c>
      <c r="W530" s="117">
        <v>6</v>
      </c>
      <c r="X530" s="117">
        <v>0</v>
      </c>
      <c r="Y530" s="117">
        <v>0</v>
      </c>
      <c r="Z530" s="21" t="b">
        <v>0</v>
      </c>
      <c r="AA530" s="162">
        <f>+$AD$5-Tabla2[[#This Row],[FECHA DE FACTURACIÓN]]</f>
        <v>352</v>
      </c>
      <c r="AB530" s="163" t="str">
        <f>+IF(Tabla2[[#This Row],[dias de credito]]&gt;=Tabla2[[#This Row],[PLAZO Días]],"venc", "No venc")</f>
        <v>venc</v>
      </c>
      <c r="AC530" s="163" t="str">
        <f>+IF(Tabla2[[#This Row],[FECHA DE PAGO]]&gt;0,"pagada","por pagar")</f>
        <v>pagada</v>
      </c>
      <c r="AD530" s="164" t="str">
        <f>+IF(AND(Tabla2[[#This Row],[venc]]="venc",Tabla2[[#This Row],[estado pago]]="por pagar"),"vencida","no")</f>
        <v>no</v>
      </c>
    </row>
    <row r="531" spans="1:30" ht="19.5" hidden="1" customHeight="1" x14ac:dyDescent="0.25">
      <c r="A531" s="8" t="s">
        <v>1850</v>
      </c>
      <c r="B531" s="8" t="s">
        <v>1851</v>
      </c>
      <c r="C531" s="8">
        <v>30</v>
      </c>
      <c r="D531" s="151">
        <v>1460000.29</v>
      </c>
      <c r="E531" s="151"/>
      <c r="F531" s="24" t="s">
        <v>139</v>
      </c>
      <c r="G531" s="30">
        <v>45139</v>
      </c>
      <c r="H531" s="81" t="s">
        <v>131</v>
      </c>
      <c r="I531" s="30">
        <v>45094</v>
      </c>
      <c r="J531" s="16" t="s">
        <v>849</v>
      </c>
      <c r="K531" s="9" t="s">
        <v>1530</v>
      </c>
      <c r="L531" s="9"/>
      <c r="M531" s="152">
        <v>537815</v>
      </c>
      <c r="N531" s="153">
        <v>102184.85</v>
      </c>
      <c r="O531" s="152">
        <v>0</v>
      </c>
      <c r="P531" s="154">
        <v>0</v>
      </c>
      <c r="Q531" s="152">
        <v>0</v>
      </c>
      <c r="R531" s="9">
        <v>639999.85</v>
      </c>
      <c r="S531" s="21" t="s">
        <v>1846</v>
      </c>
      <c r="T531" s="117">
        <v>0</v>
      </c>
      <c r="U531" s="117" t="s">
        <v>347</v>
      </c>
      <c r="V531" s="117">
        <v>2023</v>
      </c>
      <c r="W531" s="117">
        <v>6</v>
      </c>
      <c r="X531" s="117">
        <v>1145000</v>
      </c>
      <c r="Y531" s="117">
        <v>2.5000000000000001E-2</v>
      </c>
      <c r="Z531" s="21" t="b">
        <v>0</v>
      </c>
      <c r="AA531" s="162">
        <f>+$AD$5-Tabla2[[#This Row],[FECHA DE FACTURACIÓN]]</f>
        <v>349</v>
      </c>
      <c r="AB531" s="163" t="str">
        <f>+IF(Tabla2[[#This Row],[dias de credito]]&gt;=Tabla2[[#This Row],[PLAZO Días]],"venc", "No venc")</f>
        <v>venc</v>
      </c>
      <c r="AC531" s="163" t="str">
        <f>+IF(Tabla2[[#This Row],[FECHA DE PAGO]]&gt;0,"pagada","por pagar")</f>
        <v>pagada</v>
      </c>
      <c r="AD531" s="164" t="str">
        <f>+IF(AND(Tabla2[[#This Row],[venc]]="venc",Tabla2[[#This Row],[estado pago]]="por pagar"),"vencida","no")</f>
        <v>no</v>
      </c>
    </row>
    <row r="532" spans="1:30" ht="19.5" hidden="1" customHeight="1" x14ac:dyDescent="0.25">
      <c r="A532" s="8" t="s">
        <v>1850</v>
      </c>
      <c r="B532" s="8" t="s">
        <v>1851</v>
      </c>
      <c r="C532" s="8">
        <v>30</v>
      </c>
      <c r="D532" s="151">
        <v>9950488.6799999997</v>
      </c>
      <c r="E532" s="151"/>
      <c r="F532" s="24" t="s">
        <v>410</v>
      </c>
      <c r="G532" s="30">
        <v>45139</v>
      </c>
      <c r="H532" s="81" t="s">
        <v>11</v>
      </c>
      <c r="I532" s="30">
        <v>45098</v>
      </c>
      <c r="J532" s="16" t="s">
        <v>885</v>
      </c>
      <c r="K532" s="9" t="s">
        <v>1530</v>
      </c>
      <c r="L532" s="9"/>
      <c r="M532" s="152">
        <v>2480677</v>
      </c>
      <c r="N532" s="153">
        <v>471328.63</v>
      </c>
      <c r="O532" s="152">
        <v>0</v>
      </c>
      <c r="P532" s="154">
        <v>2.5000000000000001E-2</v>
      </c>
      <c r="Q532" s="152">
        <v>62016.925000000003</v>
      </c>
      <c r="R532" s="9">
        <v>2889988.7050000001</v>
      </c>
      <c r="S532" s="21" t="s">
        <v>1846</v>
      </c>
      <c r="T532" s="117">
        <v>0</v>
      </c>
      <c r="U532" s="117" t="s">
        <v>347</v>
      </c>
      <c r="V532" s="117">
        <v>2023</v>
      </c>
      <c r="W532" s="117">
        <v>6</v>
      </c>
      <c r="X532" s="117">
        <v>1145000</v>
      </c>
      <c r="Y532" s="117">
        <v>2.5000000000000001E-2</v>
      </c>
      <c r="Z532" s="21" t="b">
        <v>0</v>
      </c>
      <c r="AA532" s="162">
        <f>+$AD$5-Tabla2[[#This Row],[FECHA DE FACTURACIÓN]]</f>
        <v>345</v>
      </c>
      <c r="AB532" s="163" t="str">
        <f>+IF(Tabla2[[#This Row],[dias de credito]]&gt;=Tabla2[[#This Row],[PLAZO Días]],"venc", "No venc")</f>
        <v>venc</v>
      </c>
      <c r="AC532" s="163" t="str">
        <f>+IF(Tabla2[[#This Row],[FECHA DE PAGO]]&gt;0,"pagada","por pagar")</f>
        <v>pagada</v>
      </c>
      <c r="AD532" s="164" t="str">
        <f>+IF(AND(Tabla2[[#This Row],[venc]]="venc",Tabla2[[#This Row],[estado pago]]="por pagar"),"vencida","no")</f>
        <v>no</v>
      </c>
    </row>
    <row r="533" spans="1:30" ht="19.5" hidden="1" customHeight="1" x14ac:dyDescent="0.25">
      <c r="A533" s="8" t="s">
        <v>1850</v>
      </c>
      <c r="B533" s="8" t="s">
        <v>1851</v>
      </c>
      <c r="C533" s="8">
        <v>30</v>
      </c>
      <c r="D533" s="151">
        <v>9950488.6799999997</v>
      </c>
      <c r="E533" s="151"/>
      <c r="F533" s="24" t="s">
        <v>410</v>
      </c>
      <c r="G533" s="30">
        <v>45139</v>
      </c>
      <c r="H533" s="81" t="s">
        <v>11</v>
      </c>
      <c r="I533" s="30">
        <v>45105</v>
      </c>
      <c r="J533" s="16" t="s">
        <v>884</v>
      </c>
      <c r="K533" s="9" t="s">
        <v>1530</v>
      </c>
      <c r="L533" s="9"/>
      <c r="M533" s="152">
        <v>3882360</v>
      </c>
      <c r="N533" s="153">
        <v>737648.4</v>
      </c>
      <c r="O533" s="152">
        <v>0</v>
      </c>
      <c r="P533" s="154">
        <v>2.5000000000000001E-2</v>
      </c>
      <c r="Q533" s="152">
        <v>97059</v>
      </c>
      <c r="R533" s="9">
        <v>4522949.4000000004</v>
      </c>
      <c r="S533" s="21" t="s">
        <v>1846</v>
      </c>
      <c r="T533" s="117">
        <v>0</v>
      </c>
      <c r="U533" s="117" t="s">
        <v>347</v>
      </c>
      <c r="V533" s="117">
        <v>2023</v>
      </c>
      <c r="W533" s="117">
        <v>6</v>
      </c>
      <c r="X533" s="117">
        <v>1145000</v>
      </c>
      <c r="Y533" s="117">
        <v>2.5000000000000001E-2</v>
      </c>
      <c r="Z533" s="21" t="b">
        <v>0</v>
      </c>
      <c r="AA533" s="162">
        <f>+$AD$5-Tabla2[[#This Row],[FECHA DE FACTURACIÓN]]</f>
        <v>338</v>
      </c>
      <c r="AB533" s="163" t="str">
        <f>+IF(Tabla2[[#This Row],[dias de credito]]&gt;=Tabla2[[#This Row],[PLAZO Días]],"venc", "No venc")</f>
        <v>venc</v>
      </c>
      <c r="AC533" s="163" t="str">
        <f>+IF(Tabla2[[#This Row],[FECHA DE PAGO]]&gt;0,"pagada","por pagar")</f>
        <v>pagada</v>
      </c>
      <c r="AD533" s="164" t="str">
        <f>+IF(AND(Tabla2[[#This Row],[venc]]="venc",Tabla2[[#This Row],[estado pago]]="por pagar"),"vencida","no")</f>
        <v>no</v>
      </c>
    </row>
    <row r="534" spans="1:30" ht="19.5" hidden="1" customHeight="1" x14ac:dyDescent="0.25">
      <c r="A534" s="8" t="s">
        <v>1850</v>
      </c>
      <c r="B534" s="8" t="b">
        <v>0</v>
      </c>
      <c r="C534" s="8">
        <v>30</v>
      </c>
      <c r="D534" s="151">
        <v>0</v>
      </c>
      <c r="E534" s="151"/>
      <c r="F534" s="24">
        <v>0</v>
      </c>
      <c r="G534" s="30">
        <v>45139</v>
      </c>
      <c r="H534" s="81" t="s">
        <v>1805</v>
      </c>
      <c r="I534" s="30">
        <v>45112</v>
      </c>
      <c r="J534" s="16" t="s">
        <v>928</v>
      </c>
      <c r="K534" s="9" t="s">
        <v>1530</v>
      </c>
      <c r="L534" s="9"/>
      <c r="M534" s="152">
        <v>504000</v>
      </c>
      <c r="N534" s="153">
        <v>0</v>
      </c>
      <c r="O534" s="152">
        <v>0</v>
      </c>
      <c r="P534" s="154">
        <v>0</v>
      </c>
      <c r="Q534" s="152">
        <v>0</v>
      </c>
      <c r="R534" s="9">
        <v>504000</v>
      </c>
      <c r="S534" s="21" t="s">
        <v>1846</v>
      </c>
      <c r="T534" s="117">
        <v>0</v>
      </c>
      <c r="U534" s="117">
        <v>0</v>
      </c>
      <c r="V534" s="117">
        <v>2023</v>
      </c>
      <c r="W534" s="117">
        <v>6</v>
      </c>
      <c r="X534" s="117">
        <v>0</v>
      </c>
      <c r="Y534" s="117">
        <v>0</v>
      </c>
      <c r="Z534" s="21" t="b">
        <v>0</v>
      </c>
      <c r="AA534" s="162">
        <f>+$AD$5-Tabla2[[#This Row],[FECHA DE FACTURACIÓN]]</f>
        <v>331</v>
      </c>
      <c r="AB534" s="163" t="str">
        <f>+IF(Tabla2[[#This Row],[dias de credito]]&gt;=Tabla2[[#This Row],[PLAZO Días]],"venc", "No venc")</f>
        <v>venc</v>
      </c>
      <c r="AC534" s="163" t="str">
        <f>+IF(Tabla2[[#This Row],[FECHA DE PAGO]]&gt;0,"pagada","por pagar")</f>
        <v>pagada</v>
      </c>
      <c r="AD534" s="164" t="str">
        <f>+IF(AND(Tabla2[[#This Row],[venc]]="venc",Tabla2[[#This Row],[estado pago]]="por pagar"),"vencida","no")</f>
        <v>no</v>
      </c>
    </row>
    <row r="535" spans="1:30" ht="19.5" hidden="1" customHeight="1" x14ac:dyDescent="0.25">
      <c r="A535" s="8" t="s">
        <v>1850</v>
      </c>
      <c r="B535" s="8" t="s">
        <v>1851</v>
      </c>
      <c r="C535" s="8">
        <v>90</v>
      </c>
      <c r="D535" s="151">
        <v>17710735.315650001</v>
      </c>
      <c r="E535" s="151"/>
      <c r="F535" s="24" t="s">
        <v>141</v>
      </c>
      <c r="G535" s="30">
        <v>45140</v>
      </c>
      <c r="H535" s="81" t="s">
        <v>12</v>
      </c>
      <c r="I535" s="30">
        <v>45030</v>
      </c>
      <c r="J535" s="16" t="s">
        <v>707</v>
      </c>
      <c r="K535" s="9" t="s">
        <v>1530</v>
      </c>
      <c r="L535" s="9"/>
      <c r="M535" s="152">
        <v>15915968</v>
      </c>
      <c r="N535" s="153">
        <v>3024033.92</v>
      </c>
      <c r="O535" s="152">
        <v>0</v>
      </c>
      <c r="P535" s="154">
        <v>2.5000000000000001E-2</v>
      </c>
      <c r="Q535" s="152">
        <v>397899.2</v>
      </c>
      <c r="R535" s="9">
        <v>18542102.720000003</v>
      </c>
      <c r="S535" s="21" t="s">
        <v>1846</v>
      </c>
      <c r="T535" s="117">
        <v>0</v>
      </c>
      <c r="U535" s="117" t="s">
        <v>347</v>
      </c>
      <c r="V535" s="117">
        <v>2023</v>
      </c>
      <c r="W535" s="117">
        <v>6</v>
      </c>
      <c r="X535" s="117">
        <v>1145000</v>
      </c>
      <c r="Y535" s="117">
        <v>2.5000000000000001E-2</v>
      </c>
      <c r="Z535" s="21" t="b">
        <v>0</v>
      </c>
      <c r="AA535" s="162">
        <f>+$AD$5-Tabla2[[#This Row],[FECHA DE FACTURACIÓN]]</f>
        <v>413</v>
      </c>
      <c r="AB535" s="163" t="str">
        <f>+IF(Tabla2[[#This Row],[dias de credito]]&gt;=Tabla2[[#This Row],[PLAZO Días]],"venc", "No venc")</f>
        <v>venc</v>
      </c>
      <c r="AC535" s="163" t="str">
        <f>+IF(Tabla2[[#This Row],[FECHA DE PAGO]]&gt;0,"pagada","por pagar")</f>
        <v>pagada</v>
      </c>
      <c r="AD535" s="164" t="str">
        <f>+IF(AND(Tabla2[[#This Row],[venc]]="venc",Tabla2[[#This Row],[estado pago]]="por pagar"),"vencida","no")</f>
        <v>no</v>
      </c>
    </row>
    <row r="536" spans="1:30" ht="19.5" hidden="1" customHeight="1" x14ac:dyDescent="0.25">
      <c r="A536" s="8" t="s">
        <v>1850</v>
      </c>
      <c r="B536" s="8" t="e">
        <v>#N/A</v>
      </c>
      <c r="C536" s="8" t="e">
        <v>#N/A</v>
      </c>
      <c r="D536" s="151">
        <v>0</v>
      </c>
      <c r="E536" s="151"/>
      <c r="F536" s="24" t="e">
        <v>#N/A</v>
      </c>
      <c r="G536" s="30">
        <v>45140</v>
      </c>
      <c r="H536" s="81" t="s">
        <v>188</v>
      </c>
      <c r="I536" s="30">
        <v>45037</v>
      </c>
      <c r="J536" s="16" t="s">
        <v>735</v>
      </c>
      <c r="K536" s="9" t="s">
        <v>1530</v>
      </c>
      <c r="L536" s="9"/>
      <c r="M536" s="152">
        <v>6747647</v>
      </c>
      <c r="N536" s="153">
        <v>1282052.93</v>
      </c>
      <c r="O536" s="152">
        <v>0</v>
      </c>
      <c r="P536" s="154">
        <v>2.5000000000000001E-2</v>
      </c>
      <c r="Q536" s="152">
        <v>168691.17500000002</v>
      </c>
      <c r="R536" s="9">
        <v>7861008.7549999999</v>
      </c>
      <c r="S536" s="21" t="s">
        <v>1846</v>
      </c>
      <c r="T536" s="117">
        <v>0</v>
      </c>
      <c r="U536" s="117" t="e">
        <v>#N/A</v>
      </c>
      <c r="V536" s="117">
        <v>2023</v>
      </c>
      <c r="W536" s="117">
        <v>6</v>
      </c>
      <c r="X536" s="117" t="e">
        <v>#N/A</v>
      </c>
      <c r="Y536" s="117" t="e">
        <v>#N/A</v>
      </c>
      <c r="Z536" s="21" t="b">
        <v>0</v>
      </c>
      <c r="AA536" s="162">
        <f>+$AD$5-Tabla2[[#This Row],[FECHA DE FACTURACIÓN]]</f>
        <v>406</v>
      </c>
      <c r="AB536" s="163" t="e">
        <f>+IF(Tabla2[[#This Row],[dias de credito]]&gt;=Tabla2[[#This Row],[PLAZO Días]],"venc", "No venc")</f>
        <v>#N/A</v>
      </c>
      <c r="AC536" s="163" t="str">
        <f>+IF(Tabla2[[#This Row],[FECHA DE PAGO]]&gt;0,"pagada","por pagar")</f>
        <v>pagada</v>
      </c>
      <c r="AD536" s="164" t="e">
        <f>+IF(AND(Tabla2[[#This Row],[venc]]="venc",Tabla2[[#This Row],[estado pago]]="por pagar"),"vencida","no")</f>
        <v>#N/A</v>
      </c>
    </row>
    <row r="537" spans="1:30" ht="19.5" hidden="1" customHeight="1" x14ac:dyDescent="0.25">
      <c r="A537" s="8" t="s">
        <v>1850</v>
      </c>
      <c r="B537" s="8" t="s">
        <v>1851</v>
      </c>
      <c r="C537" s="8">
        <v>30</v>
      </c>
      <c r="D537" s="151">
        <v>0</v>
      </c>
      <c r="E537" s="151"/>
      <c r="F537" s="24" t="s">
        <v>84</v>
      </c>
      <c r="G537" s="30">
        <v>45140</v>
      </c>
      <c r="H537" s="81" t="s">
        <v>1811</v>
      </c>
      <c r="I537" s="30">
        <v>45062</v>
      </c>
      <c r="J537" s="16" t="s">
        <v>781</v>
      </c>
      <c r="K537" s="9" t="s">
        <v>1530</v>
      </c>
      <c r="L537" s="9"/>
      <c r="M537" s="152">
        <v>2965000</v>
      </c>
      <c r="N537" s="153">
        <v>0</v>
      </c>
      <c r="O537" s="152">
        <v>0</v>
      </c>
      <c r="P537" s="154">
        <v>0</v>
      </c>
      <c r="Q537" s="152">
        <v>0</v>
      </c>
      <c r="R537" s="9">
        <v>2965000</v>
      </c>
      <c r="S537" s="21" t="s">
        <v>1846</v>
      </c>
      <c r="T537" s="117">
        <v>0</v>
      </c>
      <c r="U537" s="117">
        <v>0</v>
      </c>
      <c r="V537" s="117">
        <v>2023</v>
      </c>
      <c r="W537" s="117">
        <v>6</v>
      </c>
      <c r="X537" s="117">
        <v>0</v>
      </c>
      <c r="Y537" s="117">
        <v>0</v>
      </c>
      <c r="Z537" s="21" t="b">
        <v>0</v>
      </c>
      <c r="AA537" s="162">
        <f>+$AD$5-Tabla2[[#This Row],[FECHA DE FACTURACIÓN]]</f>
        <v>381</v>
      </c>
      <c r="AB537" s="163" t="str">
        <f>+IF(Tabla2[[#This Row],[dias de credito]]&gt;=Tabla2[[#This Row],[PLAZO Días]],"venc", "No venc")</f>
        <v>venc</v>
      </c>
      <c r="AC537" s="163" t="str">
        <f>+IF(Tabla2[[#This Row],[FECHA DE PAGO]]&gt;0,"pagada","por pagar")</f>
        <v>pagada</v>
      </c>
      <c r="AD537" s="164" t="str">
        <f>+IF(AND(Tabla2[[#This Row],[venc]]="venc",Tabla2[[#This Row],[estado pago]]="por pagar"),"vencida","no")</f>
        <v>no</v>
      </c>
    </row>
    <row r="538" spans="1:30" ht="19.5" hidden="1" customHeight="1" x14ac:dyDescent="0.25">
      <c r="A538" s="8" t="s">
        <v>1850</v>
      </c>
      <c r="B538" s="8" t="b">
        <v>0</v>
      </c>
      <c r="C538" s="8">
        <v>30</v>
      </c>
      <c r="D538" s="151">
        <v>0</v>
      </c>
      <c r="E538" s="151"/>
      <c r="F538" s="24">
        <v>0</v>
      </c>
      <c r="G538" s="30">
        <v>45140</v>
      </c>
      <c r="H538" s="81" t="s">
        <v>836</v>
      </c>
      <c r="I538" s="30">
        <v>45138</v>
      </c>
      <c r="J538" s="16">
        <v>5</v>
      </c>
      <c r="K538" s="9" t="s">
        <v>1530</v>
      </c>
      <c r="L538" s="9"/>
      <c r="M538" s="152">
        <v>444000</v>
      </c>
      <c r="N538" s="153">
        <v>0</v>
      </c>
      <c r="O538" s="152">
        <v>0</v>
      </c>
      <c r="P538" s="154">
        <v>0</v>
      </c>
      <c r="Q538" s="152">
        <v>0</v>
      </c>
      <c r="R538" s="9">
        <v>444000</v>
      </c>
      <c r="S538" s="21" t="s">
        <v>1846</v>
      </c>
      <c r="T538" s="117">
        <v>0</v>
      </c>
      <c r="U538" s="117">
        <v>0</v>
      </c>
      <c r="V538" s="117">
        <v>2023</v>
      </c>
      <c r="W538" s="117">
        <v>6</v>
      </c>
      <c r="X538" s="117">
        <v>0</v>
      </c>
      <c r="Y538" s="117">
        <v>0</v>
      </c>
      <c r="Z538" s="21" t="b">
        <v>0</v>
      </c>
      <c r="AA538" s="162">
        <f>+$AD$5-Tabla2[[#This Row],[FECHA DE FACTURACIÓN]]</f>
        <v>305</v>
      </c>
      <c r="AB538" s="163" t="str">
        <f>+IF(Tabla2[[#This Row],[dias de credito]]&gt;=Tabla2[[#This Row],[PLAZO Días]],"venc", "No venc")</f>
        <v>venc</v>
      </c>
      <c r="AC538" s="163" t="str">
        <f>+IF(Tabla2[[#This Row],[FECHA DE PAGO]]&gt;0,"pagada","por pagar")</f>
        <v>pagada</v>
      </c>
      <c r="AD538" s="164" t="str">
        <f>+IF(AND(Tabla2[[#This Row],[venc]]="venc",Tabla2[[#This Row],[estado pago]]="por pagar"),"vencida","no")</f>
        <v>no</v>
      </c>
    </row>
    <row r="539" spans="1:30" ht="19.5" hidden="1" customHeight="1" x14ac:dyDescent="0.25">
      <c r="A539" s="8" t="s">
        <v>1850</v>
      </c>
      <c r="B539" s="8" t="b">
        <v>0</v>
      </c>
      <c r="C539" s="8">
        <v>30</v>
      </c>
      <c r="D539" s="151">
        <v>0</v>
      </c>
      <c r="E539" s="151"/>
      <c r="F539" s="24" t="s">
        <v>84</v>
      </c>
      <c r="G539" s="30">
        <v>45140</v>
      </c>
      <c r="H539" s="81" t="s">
        <v>481</v>
      </c>
      <c r="I539" s="30">
        <v>45139</v>
      </c>
      <c r="J539" s="16" t="s">
        <v>963</v>
      </c>
      <c r="K539" s="9" t="s">
        <v>1530</v>
      </c>
      <c r="L539" s="9"/>
      <c r="M539" s="152">
        <v>10615000</v>
      </c>
      <c r="N539" s="153">
        <v>0</v>
      </c>
      <c r="O539" s="152">
        <v>0</v>
      </c>
      <c r="P539" s="154">
        <v>0</v>
      </c>
      <c r="Q539" s="152">
        <v>0</v>
      </c>
      <c r="R539" s="9">
        <v>10615000</v>
      </c>
      <c r="S539" s="21" t="s">
        <v>1846</v>
      </c>
      <c r="T539" s="117">
        <v>0</v>
      </c>
      <c r="U539" s="117">
        <v>0</v>
      </c>
      <c r="V539" s="117">
        <v>2023</v>
      </c>
      <c r="W539" s="117">
        <v>6</v>
      </c>
      <c r="X539" s="117">
        <v>0</v>
      </c>
      <c r="Y539" s="117">
        <v>0</v>
      </c>
      <c r="Z539" s="21" t="b">
        <v>0</v>
      </c>
      <c r="AA539" s="162">
        <f>+$AD$5-Tabla2[[#This Row],[FECHA DE FACTURACIÓN]]</f>
        <v>304</v>
      </c>
      <c r="AB539" s="163" t="str">
        <f>+IF(Tabla2[[#This Row],[dias de credito]]&gt;=Tabla2[[#This Row],[PLAZO Días]],"venc", "No venc")</f>
        <v>venc</v>
      </c>
      <c r="AC539" s="163" t="str">
        <f>+IF(Tabla2[[#This Row],[FECHA DE PAGO]]&gt;0,"pagada","por pagar")</f>
        <v>pagada</v>
      </c>
      <c r="AD539" s="164" t="str">
        <f>+IF(AND(Tabla2[[#This Row],[venc]]="venc",Tabla2[[#This Row],[estado pago]]="por pagar"),"vencida","no")</f>
        <v>no</v>
      </c>
    </row>
    <row r="540" spans="1:30" ht="19.5" hidden="1" customHeight="1" x14ac:dyDescent="0.25">
      <c r="A540" s="8" t="s">
        <v>1852</v>
      </c>
      <c r="B540" s="8" t="b">
        <v>0</v>
      </c>
      <c r="C540" s="8">
        <v>30</v>
      </c>
      <c r="D540" s="151">
        <v>0</v>
      </c>
      <c r="E540" s="151"/>
      <c r="F540" s="24" t="s">
        <v>84</v>
      </c>
      <c r="G540" s="30">
        <v>45140</v>
      </c>
      <c r="H540" s="81" t="s">
        <v>36</v>
      </c>
      <c r="I540" s="30">
        <v>45140</v>
      </c>
      <c r="J540" s="16" t="s">
        <v>947</v>
      </c>
      <c r="K540" s="9" t="s">
        <v>1530</v>
      </c>
      <c r="L540" s="9"/>
      <c r="M540" s="152">
        <v>160710</v>
      </c>
      <c r="N540" s="153">
        <v>30534.9</v>
      </c>
      <c r="O540" s="152">
        <v>0</v>
      </c>
      <c r="P540" s="154">
        <v>0</v>
      </c>
      <c r="Q540" s="152">
        <v>0</v>
      </c>
      <c r="R540" s="9">
        <v>191244.9</v>
      </c>
      <c r="S540" s="21" t="s">
        <v>1846</v>
      </c>
      <c r="T540" s="117">
        <v>0</v>
      </c>
      <c r="U540" s="117" t="s">
        <v>347</v>
      </c>
      <c r="V540" s="117">
        <v>2023</v>
      </c>
      <c r="W540" s="117">
        <v>6</v>
      </c>
      <c r="X540" s="117">
        <v>1145000</v>
      </c>
      <c r="Y540" s="117">
        <v>2.5000000000000001E-2</v>
      </c>
      <c r="Z540" s="21" t="b">
        <v>0</v>
      </c>
      <c r="AA540" s="162">
        <f>+$AD$5-Tabla2[[#This Row],[FECHA DE FACTURACIÓN]]</f>
        <v>303</v>
      </c>
      <c r="AB540" s="163" t="str">
        <f>+IF(Tabla2[[#This Row],[dias de credito]]&gt;=Tabla2[[#This Row],[PLAZO Días]],"venc", "No venc")</f>
        <v>venc</v>
      </c>
      <c r="AC540" s="163" t="str">
        <f>+IF(Tabla2[[#This Row],[FECHA DE PAGO]]&gt;0,"pagada","por pagar")</f>
        <v>pagada</v>
      </c>
      <c r="AD540" s="164" t="str">
        <f>+IF(AND(Tabla2[[#This Row],[venc]]="venc",Tabla2[[#This Row],[estado pago]]="por pagar"),"vencida","no")</f>
        <v>no</v>
      </c>
    </row>
    <row r="541" spans="1:30" ht="19.5" hidden="1" customHeight="1" x14ac:dyDescent="0.25">
      <c r="A541" s="8" t="s">
        <v>1850</v>
      </c>
      <c r="B541" s="8" t="b">
        <v>0</v>
      </c>
      <c r="C541" s="8">
        <v>30</v>
      </c>
      <c r="D541" s="151">
        <v>0</v>
      </c>
      <c r="E541" s="151"/>
      <c r="F541" s="24" t="s">
        <v>84</v>
      </c>
      <c r="G541" s="30">
        <v>45141</v>
      </c>
      <c r="H541" s="81" t="s">
        <v>481</v>
      </c>
      <c r="I541" s="30">
        <v>45140</v>
      </c>
      <c r="J541" s="16" t="s">
        <v>966</v>
      </c>
      <c r="K541" s="9" t="s">
        <v>1530</v>
      </c>
      <c r="L541" s="9"/>
      <c r="M541" s="152">
        <v>918000</v>
      </c>
      <c r="N541" s="153">
        <v>0</v>
      </c>
      <c r="O541" s="152">
        <v>0</v>
      </c>
      <c r="P541" s="154">
        <v>0</v>
      </c>
      <c r="Q541" s="152">
        <v>0</v>
      </c>
      <c r="R541" s="9">
        <v>918000</v>
      </c>
      <c r="S541" s="21" t="s">
        <v>1846</v>
      </c>
      <c r="T541" s="117">
        <v>0</v>
      </c>
      <c r="U541" s="117">
        <v>0</v>
      </c>
      <c r="V541" s="117">
        <v>2023</v>
      </c>
      <c r="W541" s="117">
        <v>6</v>
      </c>
      <c r="X541" s="117">
        <v>0</v>
      </c>
      <c r="Y541" s="117">
        <v>0</v>
      </c>
      <c r="Z541" s="21" t="b">
        <v>0</v>
      </c>
      <c r="AA541" s="162">
        <f>+$AD$5-Tabla2[[#This Row],[FECHA DE FACTURACIÓN]]</f>
        <v>303</v>
      </c>
      <c r="AB541" s="163" t="str">
        <f>+IF(Tabla2[[#This Row],[dias de credito]]&gt;=Tabla2[[#This Row],[PLAZO Días]],"venc", "No venc")</f>
        <v>venc</v>
      </c>
      <c r="AC541" s="163" t="str">
        <f>+IF(Tabla2[[#This Row],[FECHA DE PAGO]]&gt;0,"pagada","por pagar")</f>
        <v>pagada</v>
      </c>
      <c r="AD541" s="164" t="str">
        <f>+IF(AND(Tabla2[[#This Row],[venc]]="venc",Tabla2[[#This Row],[estado pago]]="por pagar"),"vencida","no")</f>
        <v>no</v>
      </c>
    </row>
    <row r="542" spans="1:30" ht="19.5" hidden="1" customHeight="1" x14ac:dyDescent="0.25">
      <c r="A542" s="8" t="s">
        <v>1852</v>
      </c>
      <c r="B542" s="8" t="b">
        <v>0</v>
      </c>
      <c r="C542" s="8">
        <v>30</v>
      </c>
      <c r="D542" s="151">
        <v>1350000</v>
      </c>
      <c r="E542" s="151"/>
      <c r="F542" s="24" t="s">
        <v>84</v>
      </c>
      <c r="G542" s="30">
        <v>45141</v>
      </c>
      <c r="H542" s="81" t="s">
        <v>1807</v>
      </c>
      <c r="I542" s="30">
        <v>45141</v>
      </c>
      <c r="J542" s="16" t="s">
        <v>946</v>
      </c>
      <c r="K542" s="9" t="s">
        <v>1530</v>
      </c>
      <c r="L542" s="9"/>
      <c r="M542" s="152">
        <v>290000</v>
      </c>
      <c r="N542" s="153">
        <v>0</v>
      </c>
      <c r="O542" s="152">
        <v>0</v>
      </c>
      <c r="P542" s="154">
        <v>0</v>
      </c>
      <c r="Q542" s="152">
        <v>0</v>
      </c>
      <c r="R542" s="9">
        <v>290000</v>
      </c>
      <c r="S542" s="21" t="s">
        <v>1846</v>
      </c>
      <c r="T542" s="117">
        <v>0</v>
      </c>
      <c r="U542" s="117">
        <v>0</v>
      </c>
      <c r="V542" s="117">
        <v>2023</v>
      </c>
      <c r="W542" s="117">
        <v>6</v>
      </c>
      <c r="X542" s="117">
        <v>0</v>
      </c>
      <c r="Y542" s="117">
        <v>0</v>
      </c>
      <c r="Z542" s="21" t="b">
        <v>0</v>
      </c>
      <c r="AA542" s="162">
        <f>+$AD$5-Tabla2[[#This Row],[FECHA DE FACTURACIÓN]]</f>
        <v>302</v>
      </c>
      <c r="AB542" s="163" t="str">
        <f>+IF(Tabla2[[#This Row],[dias de credito]]&gt;=Tabla2[[#This Row],[PLAZO Días]],"venc", "No venc")</f>
        <v>venc</v>
      </c>
      <c r="AC542" s="163" t="str">
        <f>+IF(Tabla2[[#This Row],[FECHA DE PAGO]]&gt;0,"pagada","por pagar")</f>
        <v>pagada</v>
      </c>
      <c r="AD542" s="164" t="str">
        <f>+IF(AND(Tabla2[[#This Row],[venc]]="venc",Tabla2[[#This Row],[estado pago]]="por pagar"),"vencida","no")</f>
        <v>no</v>
      </c>
    </row>
    <row r="543" spans="1:30" ht="19.5" hidden="1" customHeight="1" x14ac:dyDescent="0.25">
      <c r="A543" s="8" t="s">
        <v>1850</v>
      </c>
      <c r="B543" s="8" t="s">
        <v>1851</v>
      </c>
      <c r="C543" s="8">
        <v>30</v>
      </c>
      <c r="D543" s="151">
        <v>5581100</v>
      </c>
      <c r="E543" s="151"/>
      <c r="F543" s="24" t="s">
        <v>150</v>
      </c>
      <c r="G543" s="30">
        <v>45142</v>
      </c>
      <c r="H543" s="81" t="s">
        <v>446</v>
      </c>
      <c r="I543" s="30">
        <v>45101</v>
      </c>
      <c r="J543" s="16" t="s">
        <v>878</v>
      </c>
      <c r="K543" s="9" t="s">
        <v>1530</v>
      </c>
      <c r="L543" s="9"/>
      <c r="M543" s="152">
        <v>7560000</v>
      </c>
      <c r="N543" s="153">
        <v>1436400</v>
      </c>
      <c r="O543" s="152">
        <v>0</v>
      </c>
      <c r="P543" s="154">
        <v>0</v>
      </c>
      <c r="Q543" s="152">
        <v>0</v>
      </c>
      <c r="R543" s="9">
        <v>8996400</v>
      </c>
      <c r="S543" s="21" t="s">
        <v>1846</v>
      </c>
      <c r="T543" s="117">
        <v>0</v>
      </c>
      <c r="U543" s="117">
        <v>0</v>
      </c>
      <c r="V543" s="117">
        <v>2023</v>
      </c>
      <c r="W543" s="117">
        <v>6</v>
      </c>
      <c r="X543" s="117">
        <v>0</v>
      </c>
      <c r="Y543" s="117">
        <v>0</v>
      </c>
      <c r="Z543" s="21" t="b">
        <v>0</v>
      </c>
      <c r="AA543" s="162">
        <f>+$AD$5-Tabla2[[#This Row],[FECHA DE FACTURACIÓN]]</f>
        <v>342</v>
      </c>
      <c r="AB543" s="163" t="str">
        <f>+IF(Tabla2[[#This Row],[dias de credito]]&gt;=Tabla2[[#This Row],[PLAZO Días]],"venc", "No venc")</f>
        <v>venc</v>
      </c>
      <c r="AC543" s="163" t="str">
        <f>+IF(Tabla2[[#This Row],[FECHA DE PAGO]]&gt;0,"pagada","por pagar")</f>
        <v>pagada</v>
      </c>
      <c r="AD543" s="164" t="str">
        <f>+IF(AND(Tabla2[[#This Row],[venc]]="venc",Tabla2[[#This Row],[estado pago]]="por pagar"),"vencida","no")</f>
        <v>no</v>
      </c>
    </row>
    <row r="544" spans="1:30" ht="19.5" hidden="1" customHeight="1" x14ac:dyDescent="0.25">
      <c r="A544" s="8" t="s">
        <v>1850</v>
      </c>
      <c r="B544" s="8" t="s">
        <v>1851</v>
      </c>
      <c r="C544" s="8">
        <v>30</v>
      </c>
      <c r="D544" s="151">
        <v>5581100</v>
      </c>
      <c r="E544" s="151"/>
      <c r="F544" s="24" t="s">
        <v>150</v>
      </c>
      <c r="G544" s="30">
        <v>45142</v>
      </c>
      <c r="H544" s="81" t="s">
        <v>446</v>
      </c>
      <c r="I544" s="30">
        <v>45104</v>
      </c>
      <c r="J544" s="16" t="s">
        <v>877</v>
      </c>
      <c r="K544" s="9" t="s">
        <v>1530</v>
      </c>
      <c r="L544" s="9"/>
      <c r="M544" s="152">
        <v>3240000</v>
      </c>
      <c r="N544" s="153">
        <v>615600</v>
      </c>
      <c r="O544" s="152">
        <v>0</v>
      </c>
      <c r="P544" s="154">
        <v>0</v>
      </c>
      <c r="Q544" s="152">
        <v>0</v>
      </c>
      <c r="R544" s="9">
        <v>3855600</v>
      </c>
      <c r="S544" s="21" t="s">
        <v>1846</v>
      </c>
      <c r="T544" s="117">
        <v>0</v>
      </c>
      <c r="U544" s="117">
        <v>0</v>
      </c>
      <c r="V544" s="117">
        <v>2023</v>
      </c>
      <c r="W544" s="117">
        <v>6</v>
      </c>
      <c r="X544" s="117">
        <v>0</v>
      </c>
      <c r="Y544" s="117">
        <v>0</v>
      </c>
      <c r="Z544" s="21" t="b">
        <v>0</v>
      </c>
      <c r="AA544" s="162">
        <f>+$AD$5-Tabla2[[#This Row],[FECHA DE FACTURACIÓN]]</f>
        <v>339</v>
      </c>
      <c r="AB544" s="163" t="str">
        <f>+IF(Tabla2[[#This Row],[dias de credito]]&gt;=Tabla2[[#This Row],[PLAZO Días]],"venc", "No venc")</f>
        <v>venc</v>
      </c>
      <c r="AC544" s="163" t="str">
        <f>+IF(Tabla2[[#This Row],[FECHA DE PAGO]]&gt;0,"pagada","por pagar")</f>
        <v>pagada</v>
      </c>
      <c r="AD544" s="164" t="str">
        <f>+IF(AND(Tabla2[[#This Row],[venc]]="venc",Tabla2[[#This Row],[estado pago]]="por pagar"),"vencida","no")</f>
        <v>no</v>
      </c>
    </row>
    <row r="545" spans="1:30" ht="19.5" hidden="1" customHeight="1" x14ac:dyDescent="0.25">
      <c r="A545" s="8" t="s">
        <v>1850</v>
      </c>
      <c r="B545" s="8" t="b">
        <v>0</v>
      </c>
      <c r="C545" s="8">
        <v>30</v>
      </c>
      <c r="D545" s="151">
        <v>0</v>
      </c>
      <c r="E545" s="151"/>
      <c r="F545" s="24" t="s">
        <v>84</v>
      </c>
      <c r="G545" s="30">
        <v>45142</v>
      </c>
      <c r="H545" s="81" t="s">
        <v>1803</v>
      </c>
      <c r="I545" s="30">
        <v>45141</v>
      </c>
      <c r="J545" s="16" t="s">
        <v>964</v>
      </c>
      <c r="K545" s="9" t="s">
        <v>1530</v>
      </c>
      <c r="L545" s="9"/>
      <c r="M545" s="152">
        <v>2713360</v>
      </c>
      <c r="N545" s="153">
        <v>0</v>
      </c>
      <c r="O545" s="152">
        <v>0</v>
      </c>
      <c r="P545" s="154">
        <v>0</v>
      </c>
      <c r="Q545" s="152">
        <v>0</v>
      </c>
      <c r="R545" s="9">
        <v>2713360</v>
      </c>
      <c r="S545" s="21" t="s">
        <v>1846</v>
      </c>
      <c r="T545" s="117">
        <v>0</v>
      </c>
      <c r="U545" s="117">
        <v>0</v>
      </c>
      <c r="V545" s="117">
        <v>2023</v>
      </c>
      <c r="W545" s="117">
        <v>6</v>
      </c>
      <c r="X545" s="117">
        <v>0</v>
      </c>
      <c r="Y545" s="117">
        <v>0</v>
      </c>
      <c r="Z545" s="21" t="b">
        <v>0</v>
      </c>
      <c r="AA545" s="162">
        <f>+$AD$5-Tabla2[[#This Row],[FECHA DE FACTURACIÓN]]</f>
        <v>302</v>
      </c>
      <c r="AB545" s="163" t="str">
        <f>+IF(Tabla2[[#This Row],[dias de credito]]&gt;=Tabla2[[#This Row],[PLAZO Días]],"venc", "No venc")</f>
        <v>venc</v>
      </c>
      <c r="AC545" s="163" t="str">
        <f>+IF(Tabla2[[#This Row],[FECHA DE PAGO]]&gt;0,"pagada","por pagar")</f>
        <v>pagada</v>
      </c>
      <c r="AD545" s="164" t="str">
        <f>+IF(AND(Tabla2[[#This Row],[venc]]="venc",Tabla2[[#This Row],[estado pago]]="por pagar"),"vencida","no")</f>
        <v>no</v>
      </c>
    </row>
    <row r="546" spans="1:30" ht="19.5" hidden="1" customHeight="1" x14ac:dyDescent="0.25">
      <c r="A546" s="8" t="s">
        <v>1852</v>
      </c>
      <c r="B546" s="8" t="b">
        <v>0</v>
      </c>
      <c r="C546" s="8">
        <v>30</v>
      </c>
      <c r="D546" s="151">
        <v>1149500</v>
      </c>
      <c r="E546" s="151"/>
      <c r="F546" s="24" t="s">
        <v>84</v>
      </c>
      <c r="G546" s="30">
        <v>45143</v>
      </c>
      <c r="H546" s="81" t="s">
        <v>1822</v>
      </c>
      <c r="I546" s="30">
        <v>45143</v>
      </c>
      <c r="J546" s="16">
        <v>50823</v>
      </c>
      <c r="K546" s="9" t="s">
        <v>1530</v>
      </c>
      <c r="L546" s="9"/>
      <c r="M546" s="152">
        <v>1263500</v>
      </c>
      <c r="N546" s="153">
        <v>0</v>
      </c>
      <c r="O546" s="152">
        <v>0</v>
      </c>
      <c r="P546" s="154">
        <v>0</v>
      </c>
      <c r="Q546" s="152">
        <v>0</v>
      </c>
      <c r="R546" s="9">
        <v>1263500</v>
      </c>
      <c r="S546" s="21" t="s">
        <v>1846</v>
      </c>
      <c r="T546" s="117">
        <v>0</v>
      </c>
      <c r="U546" s="117">
        <v>0</v>
      </c>
      <c r="V546" s="117">
        <v>2023</v>
      </c>
      <c r="W546" s="117">
        <v>6</v>
      </c>
      <c r="X546" s="117">
        <v>0</v>
      </c>
      <c r="Y546" s="117">
        <v>0</v>
      </c>
      <c r="Z546" s="21" t="b">
        <v>0</v>
      </c>
      <c r="AA546" s="162">
        <f>+$AD$5-Tabla2[[#This Row],[FECHA DE FACTURACIÓN]]</f>
        <v>300</v>
      </c>
      <c r="AB546" s="163" t="str">
        <f>+IF(Tabla2[[#This Row],[dias de credito]]&gt;=Tabla2[[#This Row],[PLAZO Días]],"venc", "No venc")</f>
        <v>venc</v>
      </c>
      <c r="AC546" s="163" t="str">
        <f>+IF(Tabla2[[#This Row],[FECHA DE PAGO]]&gt;0,"pagada","por pagar")</f>
        <v>pagada</v>
      </c>
      <c r="AD546" s="164" t="str">
        <f>+IF(AND(Tabla2[[#This Row],[venc]]="venc",Tabla2[[#This Row],[estado pago]]="por pagar"),"vencida","no")</f>
        <v>no</v>
      </c>
    </row>
    <row r="547" spans="1:30" ht="19.5" hidden="1" customHeight="1" x14ac:dyDescent="0.25">
      <c r="A547" s="8" t="s">
        <v>1852</v>
      </c>
      <c r="B547" s="8" t="b">
        <v>0</v>
      </c>
      <c r="C547" s="8">
        <v>30</v>
      </c>
      <c r="D547" s="151">
        <v>0</v>
      </c>
      <c r="E547" s="151"/>
      <c r="F547" s="24" t="s">
        <v>84</v>
      </c>
      <c r="G547" s="30">
        <v>45144</v>
      </c>
      <c r="H547" s="81" t="s">
        <v>1821</v>
      </c>
      <c r="I547" s="30">
        <v>45144</v>
      </c>
      <c r="J547" s="16" t="s">
        <v>965</v>
      </c>
      <c r="K547" s="9" t="s">
        <v>1530</v>
      </c>
      <c r="L547" s="9"/>
      <c r="M547" s="152">
        <v>680000</v>
      </c>
      <c r="N547" s="153">
        <v>0</v>
      </c>
      <c r="O547" s="152">
        <v>0</v>
      </c>
      <c r="P547" s="154">
        <v>0</v>
      </c>
      <c r="Q547" s="152">
        <v>0</v>
      </c>
      <c r="R547" s="9">
        <v>680000</v>
      </c>
      <c r="S547" s="21" t="s">
        <v>1846</v>
      </c>
      <c r="T547" s="117">
        <v>0</v>
      </c>
      <c r="U547" s="117">
        <v>0</v>
      </c>
      <c r="V547" s="117">
        <v>2023</v>
      </c>
      <c r="W547" s="117">
        <v>6</v>
      </c>
      <c r="X547" s="117">
        <v>0</v>
      </c>
      <c r="Y547" s="117">
        <v>0</v>
      </c>
      <c r="Z547" s="21" t="b">
        <v>0</v>
      </c>
      <c r="AA547" s="162">
        <f>+$AD$5-Tabla2[[#This Row],[FECHA DE FACTURACIÓN]]</f>
        <v>299</v>
      </c>
      <c r="AB547" s="163" t="str">
        <f>+IF(Tabla2[[#This Row],[dias de credito]]&gt;=Tabla2[[#This Row],[PLAZO Días]],"venc", "No venc")</f>
        <v>venc</v>
      </c>
      <c r="AC547" s="163" t="str">
        <f>+IF(Tabla2[[#This Row],[FECHA DE PAGO]]&gt;0,"pagada","por pagar")</f>
        <v>pagada</v>
      </c>
      <c r="AD547" s="164" t="str">
        <f>+IF(AND(Tabla2[[#This Row],[venc]]="venc",Tabla2[[#This Row],[estado pago]]="por pagar"),"vencida","no")</f>
        <v>no</v>
      </c>
    </row>
    <row r="548" spans="1:30" ht="19.5" hidden="1" customHeight="1" x14ac:dyDescent="0.25">
      <c r="A548" s="8" t="s">
        <v>1850</v>
      </c>
      <c r="B548" s="8" t="s">
        <v>1851</v>
      </c>
      <c r="C548" s="8">
        <v>30</v>
      </c>
      <c r="D548" s="151">
        <v>0</v>
      </c>
      <c r="E548" s="151"/>
      <c r="F548" s="24" t="s">
        <v>84</v>
      </c>
      <c r="G548" s="30">
        <v>45146</v>
      </c>
      <c r="H548" s="81" t="s">
        <v>1811</v>
      </c>
      <c r="I548" s="30">
        <v>45070</v>
      </c>
      <c r="J548" s="16" t="s">
        <v>859</v>
      </c>
      <c r="K548" s="9" t="s">
        <v>1530</v>
      </c>
      <c r="L548" s="9"/>
      <c r="M548" s="152">
        <v>250000</v>
      </c>
      <c r="N548" s="153">
        <v>0</v>
      </c>
      <c r="O548" s="152">
        <v>0</v>
      </c>
      <c r="P548" s="154">
        <v>0</v>
      </c>
      <c r="Q548" s="152">
        <v>0</v>
      </c>
      <c r="R548" s="9">
        <v>250000</v>
      </c>
      <c r="S548" s="21" t="s">
        <v>1846</v>
      </c>
      <c r="T548" s="117">
        <v>0</v>
      </c>
      <c r="U548" s="117">
        <v>0</v>
      </c>
      <c r="V548" s="117">
        <v>2023</v>
      </c>
      <c r="W548" s="117">
        <v>6</v>
      </c>
      <c r="X548" s="117">
        <v>0</v>
      </c>
      <c r="Y548" s="117">
        <v>0</v>
      </c>
      <c r="Z548" s="21" t="b">
        <v>0</v>
      </c>
      <c r="AA548" s="162">
        <f>+$AD$5-Tabla2[[#This Row],[FECHA DE FACTURACIÓN]]</f>
        <v>373</v>
      </c>
      <c r="AB548" s="163" t="str">
        <f>+IF(Tabla2[[#This Row],[dias de credito]]&gt;=Tabla2[[#This Row],[PLAZO Días]],"venc", "No venc")</f>
        <v>venc</v>
      </c>
      <c r="AC548" s="163" t="str">
        <f>+IF(Tabla2[[#This Row],[FECHA DE PAGO]]&gt;0,"pagada","por pagar")</f>
        <v>pagada</v>
      </c>
      <c r="AD548" s="164" t="str">
        <f>+IF(AND(Tabla2[[#This Row],[venc]]="venc",Tabla2[[#This Row],[estado pago]]="por pagar"),"vencida","no")</f>
        <v>no</v>
      </c>
    </row>
    <row r="549" spans="1:30" ht="19.5" hidden="1" customHeight="1" x14ac:dyDescent="0.25">
      <c r="A549" s="8" t="s">
        <v>1850</v>
      </c>
      <c r="B549" s="8" t="s">
        <v>1851</v>
      </c>
      <c r="C549" s="8">
        <v>30</v>
      </c>
      <c r="D549" s="151">
        <v>0</v>
      </c>
      <c r="E549" s="151"/>
      <c r="F549" s="24" t="s">
        <v>84</v>
      </c>
      <c r="G549" s="30">
        <v>45146</v>
      </c>
      <c r="H549" s="81" t="s">
        <v>1811</v>
      </c>
      <c r="I549" s="30">
        <v>45070</v>
      </c>
      <c r="J549" s="16" t="s">
        <v>806</v>
      </c>
      <c r="K549" s="9" t="s">
        <v>1530</v>
      </c>
      <c r="L549" s="9"/>
      <c r="M549" s="152">
        <v>2777500</v>
      </c>
      <c r="N549" s="153">
        <v>0</v>
      </c>
      <c r="O549" s="152">
        <v>0</v>
      </c>
      <c r="P549" s="154">
        <v>0</v>
      </c>
      <c r="Q549" s="152">
        <v>0</v>
      </c>
      <c r="R549" s="9">
        <v>2777500</v>
      </c>
      <c r="S549" s="21" t="s">
        <v>1846</v>
      </c>
      <c r="T549" s="117">
        <v>0</v>
      </c>
      <c r="U549" s="117">
        <v>0</v>
      </c>
      <c r="V549" s="117">
        <v>2023</v>
      </c>
      <c r="W549" s="117">
        <v>6</v>
      </c>
      <c r="X549" s="117">
        <v>0</v>
      </c>
      <c r="Y549" s="117">
        <v>0</v>
      </c>
      <c r="Z549" s="21" t="b">
        <v>0</v>
      </c>
      <c r="AA549" s="162">
        <f>+$AD$5-Tabla2[[#This Row],[FECHA DE FACTURACIÓN]]</f>
        <v>373</v>
      </c>
      <c r="AB549" s="163" t="str">
        <f>+IF(Tabla2[[#This Row],[dias de credito]]&gt;=Tabla2[[#This Row],[PLAZO Días]],"venc", "No venc")</f>
        <v>venc</v>
      </c>
      <c r="AC549" s="163" t="str">
        <f>+IF(Tabla2[[#This Row],[FECHA DE PAGO]]&gt;0,"pagada","por pagar")</f>
        <v>pagada</v>
      </c>
      <c r="AD549" s="164" t="str">
        <f>+IF(AND(Tabla2[[#This Row],[venc]]="venc",Tabla2[[#This Row],[estado pago]]="por pagar"),"vencida","no")</f>
        <v>no</v>
      </c>
    </row>
    <row r="550" spans="1:30" ht="19.5" hidden="1" customHeight="1" x14ac:dyDescent="0.25">
      <c r="A550" s="8" t="s">
        <v>1850</v>
      </c>
      <c r="B550" s="8" t="s">
        <v>1851</v>
      </c>
      <c r="C550" s="8">
        <v>30</v>
      </c>
      <c r="D550" s="151">
        <v>0</v>
      </c>
      <c r="E550" s="151"/>
      <c r="F550" s="24">
        <v>0</v>
      </c>
      <c r="G550" s="30">
        <v>45146</v>
      </c>
      <c r="H550" s="81" t="s">
        <v>861</v>
      </c>
      <c r="I550" s="30">
        <v>45098</v>
      </c>
      <c r="J550" s="16">
        <v>5846</v>
      </c>
      <c r="K550" s="9" t="s">
        <v>1530</v>
      </c>
      <c r="L550" s="9"/>
      <c r="M550" s="152">
        <v>1167100</v>
      </c>
      <c r="N550" s="153">
        <v>0</v>
      </c>
      <c r="O550" s="152">
        <v>0</v>
      </c>
      <c r="P550" s="154">
        <v>0</v>
      </c>
      <c r="Q550" s="152">
        <v>0</v>
      </c>
      <c r="R550" s="9">
        <v>1167100</v>
      </c>
      <c r="S550" s="21" t="s">
        <v>1846</v>
      </c>
      <c r="T550" s="117">
        <v>0</v>
      </c>
      <c r="U550" s="117">
        <v>0</v>
      </c>
      <c r="V550" s="117">
        <v>2023</v>
      </c>
      <c r="W550" s="117">
        <v>6</v>
      </c>
      <c r="X550" s="117">
        <v>0</v>
      </c>
      <c r="Y550" s="117">
        <v>0</v>
      </c>
      <c r="Z550" s="21" t="b">
        <v>0</v>
      </c>
      <c r="AA550" s="162">
        <f>+$AD$5-Tabla2[[#This Row],[FECHA DE FACTURACIÓN]]</f>
        <v>345</v>
      </c>
      <c r="AB550" s="163" t="str">
        <f>+IF(Tabla2[[#This Row],[dias de credito]]&gt;=Tabla2[[#This Row],[PLAZO Días]],"venc", "No venc")</f>
        <v>venc</v>
      </c>
      <c r="AC550" s="163" t="str">
        <f>+IF(Tabla2[[#This Row],[FECHA DE PAGO]]&gt;0,"pagada","por pagar")</f>
        <v>pagada</v>
      </c>
      <c r="AD550" s="164" t="str">
        <f>+IF(AND(Tabla2[[#This Row],[venc]]="venc",Tabla2[[#This Row],[estado pago]]="por pagar"),"vencida","no")</f>
        <v>no</v>
      </c>
    </row>
    <row r="551" spans="1:30" ht="19.5" hidden="1" customHeight="1" x14ac:dyDescent="0.25">
      <c r="A551" s="8" t="s">
        <v>1850</v>
      </c>
      <c r="B551" s="8" t="s">
        <v>1851</v>
      </c>
      <c r="C551" s="8">
        <v>30</v>
      </c>
      <c r="D551" s="151">
        <v>0</v>
      </c>
      <c r="E551" s="151"/>
      <c r="F551" s="24" t="s">
        <v>84</v>
      </c>
      <c r="G551" s="30">
        <v>45147</v>
      </c>
      <c r="H551" s="81" t="s">
        <v>1149</v>
      </c>
      <c r="I551" s="30">
        <v>45083</v>
      </c>
      <c r="J551" s="16">
        <v>8725</v>
      </c>
      <c r="K551" s="9" t="s">
        <v>1530</v>
      </c>
      <c r="L551" s="9"/>
      <c r="M551" s="152">
        <v>3943000</v>
      </c>
      <c r="N551" s="153">
        <v>0</v>
      </c>
      <c r="O551" s="152">
        <v>0</v>
      </c>
      <c r="P551" s="154">
        <v>0</v>
      </c>
      <c r="Q551" s="152">
        <v>0</v>
      </c>
      <c r="R551" s="9">
        <v>3943000</v>
      </c>
      <c r="S551" s="21" t="s">
        <v>1846</v>
      </c>
      <c r="T551" s="117">
        <v>0</v>
      </c>
      <c r="U551" s="117">
        <v>0</v>
      </c>
      <c r="V551" s="117">
        <v>2023</v>
      </c>
      <c r="W551" s="117">
        <v>6</v>
      </c>
      <c r="X551" s="117">
        <v>0</v>
      </c>
      <c r="Y551" s="117">
        <v>0</v>
      </c>
      <c r="Z551" s="21" t="b">
        <v>0</v>
      </c>
      <c r="AA551" s="162">
        <f>+$AD$5-Tabla2[[#This Row],[FECHA DE FACTURACIÓN]]</f>
        <v>360</v>
      </c>
      <c r="AB551" s="163" t="str">
        <f>+IF(Tabla2[[#This Row],[dias de credito]]&gt;=Tabla2[[#This Row],[PLAZO Días]],"venc", "No venc")</f>
        <v>venc</v>
      </c>
      <c r="AC551" s="163" t="str">
        <f>+IF(Tabla2[[#This Row],[FECHA DE PAGO]]&gt;0,"pagada","por pagar")</f>
        <v>pagada</v>
      </c>
      <c r="AD551" s="164" t="str">
        <f>+IF(AND(Tabla2[[#This Row],[venc]]="venc",Tabla2[[#This Row],[estado pago]]="por pagar"),"vencida","no")</f>
        <v>no</v>
      </c>
    </row>
    <row r="552" spans="1:30" ht="19.5" hidden="1" customHeight="1" x14ac:dyDescent="0.25">
      <c r="A552" s="8" t="s">
        <v>1850</v>
      </c>
      <c r="B552" s="8" t="s">
        <v>1851</v>
      </c>
      <c r="C552" s="8">
        <v>30</v>
      </c>
      <c r="D552" s="151">
        <v>0</v>
      </c>
      <c r="E552" s="151"/>
      <c r="F552" s="24" t="s">
        <v>169</v>
      </c>
      <c r="G552" s="30">
        <v>45148</v>
      </c>
      <c r="H552" s="81" t="s">
        <v>499</v>
      </c>
      <c r="I552" s="30">
        <v>45113</v>
      </c>
      <c r="J552" s="16" t="s">
        <v>929</v>
      </c>
      <c r="K552" s="9" t="s">
        <v>1530</v>
      </c>
      <c r="L552" s="9"/>
      <c r="M552" s="152">
        <v>275000</v>
      </c>
      <c r="N552" s="153">
        <v>0</v>
      </c>
      <c r="O552" s="152">
        <v>0</v>
      </c>
      <c r="P552" s="154">
        <v>0</v>
      </c>
      <c r="Q552" s="152">
        <v>0</v>
      </c>
      <c r="R552" s="9">
        <v>275000</v>
      </c>
      <c r="S552" s="21" t="s">
        <v>1846</v>
      </c>
      <c r="T552" s="117">
        <v>0</v>
      </c>
      <c r="U552" s="117">
        <v>0</v>
      </c>
      <c r="V552" s="117">
        <v>2023</v>
      </c>
      <c r="W552" s="117">
        <v>6</v>
      </c>
      <c r="X552" s="117">
        <v>0</v>
      </c>
      <c r="Y552" s="117">
        <v>0</v>
      </c>
      <c r="Z552" s="21" t="b">
        <v>0</v>
      </c>
      <c r="AA552" s="162">
        <f>+$AD$5-Tabla2[[#This Row],[FECHA DE FACTURACIÓN]]</f>
        <v>330</v>
      </c>
      <c r="AB552" s="163" t="str">
        <f>+IF(Tabla2[[#This Row],[dias de credito]]&gt;=Tabla2[[#This Row],[PLAZO Días]],"venc", "No venc")</f>
        <v>venc</v>
      </c>
      <c r="AC552" s="163" t="str">
        <f>+IF(Tabla2[[#This Row],[FECHA DE PAGO]]&gt;0,"pagada","por pagar")</f>
        <v>pagada</v>
      </c>
      <c r="AD552" s="164" t="str">
        <f>+IF(AND(Tabla2[[#This Row],[venc]]="venc",Tabla2[[#This Row],[estado pago]]="por pagar"),"vencida","no")</f>
        <v>no</v>
      </c>
    </row>
    <row r="553" spans="1:30" ht="19.5" hidden="1" customHeight="1" x14ac:dyDescent="0.25">
      <c r="A553" s="8" t="s">
        <v>1850</v>
      </c>
      <c r="B553" s="8" t="s">
        <v>1851</v>
      </c>
      <c r="C553" s="8">
        <v>30</v>
      </c>
      <c r="D553" s="151">
        <v>4316000</v>
      </c>
      <c r="E553" s="151"/>
      <c r="F553" s="24" t="s">
        <v>84</v>
      </c>
      <c r="G553" s="30">
        <v>45148</v>
      </c>
      <c r="H553" s="81" t="s">
        <v>1812</v>
      </c>
      <c r="I553" s="30">
        <v>45113</v>
      </c>
      <c r="J553" s="16" t="s">
        <v>930</v>
      </c>
      <c r="K553" s="9" t="s">
        <v>1530</v>
      </c>
      <c r="L553" s="9"/>
      <c r="M553" s="152">
        <v>1708000</v>
      </c>
      <c r="N553" s="153">
        <v>0</v>
      </c>
      <c r="O553" s="152">
        <v>0</v>
      </c>
      <c r="P553" s="154">
        <v>0</v>
      </c>
      <c r="Q553" s="152">
        <v>0</v>
      </c>
      <c r="R553" s="9">
        <v>1708000</v>
      </c>
      <c r="S553" s="21" t="s">
        <v>1846</v>
      </c>
      <c r="T553" s="117">
        <v>0</v>
      </c>
      <c r="U553" s="117">
        <v>0</v>
      </c>
      <c r="V553" s="117">
        <v>2023</v>
      </c>
      <c r="W553" s="117">
        <v>6</v>
      </c>
      <c r="X553" s="117">
        <v>0</v>
      </c>
      <c r="Y553" s="117">
        <v>0</v>
      </c>
      <c r="Z553" s="21" t="b">
        <v>0</v>
      </c>
      <c r="AA553" s="162">
        <f>+$AD$5-Tabla2[[#This Row],[FECHA DE FACTURACIÓN]]</f>
        <v>330</v>
      </c>
      <c r="AB553" s="163" t="str">
        <f>+IF(Tabla2[[#This Row],[dias de credito]]&gt;=Tabla2[[#This Row],[PLAZO Días]],"venc", "No venc")</f>
        <v>venc</v>
      </c>
      <c r="AC553" s="163" t="str">
        <f>+IF(Tabla2[[#This Row],[FECHA DE PAGO]]&gt;0,"pagada","por pagar")</f>
        <v>pagada</v>
      </c>
      <c r="AD553" s="164" t="str">
        <f>+IF(AND(Tabla2[[#This Row],[venc]]="venc",Tabla2[[#This Row],[estado pago]]="por pagar"),"vencida","no")</f>
        <v>no</v>
      </c>
    </row>
    <row r="554" spans="1:30" ht="19.5" hidden="1" customHeight="1" x14ac:dyDescent="0.25">
      <c r="A554" s="8" t="s">
        <v>1850</v>
      </c>
      <c r="B554" s="8" t="b">
        <v>0</v>
      </c>
      <c r="C554" s="8">
        <v>30</v>
      </c>
      <c r="D554" s="151">
        <v>0</v>
      </c>
      <c r="E554" s="151"/>
      <c r="F554" s="24" t="s">
        <v>253</v>
      </c>
      <c r="G554" s="30">
        <v>45148</v>
      </c>
      <c r="H554" s="81" t="s">
        <v>368</v>
      </c>
      <c r="I554" s="30">
        <v>45139</v>
      </c>
      <c r="J554" s="16" t="s">
        <v>960</v>
      </c>
      <c r="K554" s="9" t="s">
        <v>1530</v>
      </c>
      <c r="L554" s="9"/>
      <c r="M554" s="152">
        <v>908172</v>
      </c>
      <c r="N554" s="153">
        <v>172552.68</v>
      </c>
      <c r="O554" s="152">
        <v>0</v>
      </c>
      <c r="P554" s="154">
        <v>0</v>
      </c>
      <c r="Q554" s="152">
        <v>0</v>
      </c>
      <c r="R554" s="9">
        <v>1080724.68</v>
      </c>
      <c r="S554" s="21" t="s">
        <v>1846</v>
      </c>
      <c r="T554" s="117">
        <v>0</v>
      </c>
      <c r="U554" s="117">
        <v>0</v>
      </c>
      <c r="V554" s="117">
        <v>2023</v>
      </c>
      <c r="W554" s="117">
        <v>6</v>
      </c>
      <c r="X554" s="117">
        <v>0</v>
      </c>
      <c r="Y554" s="117">
        <v>0</v>
      </c>
      <c r="Z554" s="21" t="b">
        <v>1</v>
      </c>
      <c r="AA554" s="162">
        <f>+$AD$5-Tabla2[[#This Row],[FECHA DE FACTURACIÓN]]</f>
        <v>304</v>
      </c>
      <c r="AB554" s="163" t="str">
        <f>+IF(Tabla2[[#This Row],[dias de credito]]&gt;=Tabla2[[#This Row],[PLAZO Días]],"venc", "No venc")</f>
        <v>venc</v>
      </c>
      <c r="AC554" s="163" t="str">
        <f>+IF(Tabla2[[#This Row],[FECHA DE PAGO]]&gt;0,"pagada","por pagar")</f>
        <v>pagada</v>
      </c>
      <c r="AD554" s="164" t="str">
        <f>+IF(AND(Tabla2[[#This Row],[venc]]="venc",Tabla2[[#This Row],[estado pago]]="por pagar"),"vencida","no")</f>
        <v>no</v>
      </c>
    </row>
    <row r="555" spans="1:30" ht="19.5" hidden="1" customHeight="1" x14ac:dyDescent="0.25">
      <c r="A555" s="8" t="s">
        <v>1850</v>
      </c>
      <c r="B555" s="8" t="b">
        <v>0</v>
      </c>
      <c r="C555" s="8">
        <v>30</v>
      </c>
      <c r="D555" s="151">
        <v>0</v>
      </c>
      <c r="E555" s="151"/>
      <c r="F555" s="24" t="s">
        <v>253</v>
      </c>
      <c r="G555" s="30">
        <v>45148</v>
      </c>
      <c r="H555" s="81" t="s">
        <v>368</v>
      </c>
      <c r="I555" s="30">
        <v>45139</v>
      </c>
      <c r="J555" s="16" t="s">
        <v>959</v>
      </c>
      <c r="K555" s="9" t="s">
        <v>1530</v>
      </c>
      <c r="L555" s="9"/>
      <c r="M555" s="152">
        <v>3792544</v>
      </c>
      <c r="N555" s="153">
        <v>720583.36</v>
      </c>
      <c r="O555" s="152">
        <v>0</v>
      </c>
      <c r="P555" s="154">
        <v>0</v>
      </c>
      <c r="Q555" s="152">
        <v>0</v>
      </c>
      <c r="R555" s="9">
        <v>4513127.3600000003</v>
      </c>
      <c r="S555" s="21" t="s">
        <v>1846</v>
      </c>
      <c r="T555" s="117">
        <v>0</v>
      </c>
      <c r="U555" s="117">
        <v>0</v>
      </c>
      <c r="V555" s="117">
        <v>2023</v>
      </c>
      <c r="W555" s="117">
        <v>6</v>
      </c>
      <c r="X555" s="117">
        <v>0</v>
      </c>
      <c r="Y555" s="117">
        <v>0</v>
      </c>
      <c r="Z555" s="21" t="b">
        <v>1</v>
      </c>
      <c r="AA555" s="162">
        <f>+$AD$5-Tabla2[[#This Row],[FECHA DE FACTURACIÓN]]</f>
        <v>304</v>
      </c>
      <c r="AB555" s="163" t="str">
        <f>+IF(Tabla2[[#This Row],[dias de credito]]&gt;=Tabla2[[#This Row],[PLAZO Días]],"venc", "No venc")</f>
        <v>venc</v>
      </c>
      <c r="AC555" s="163" t="str">
        <f>+IF(Tabla2[[#This Row],[FECHA DE PAGO]]&gt;0,"pagada","por pagar")</f>
        <v>pagada</v>
      </c>
      <c r="AD555" s="164" t="str">
        <f>+IF(AND(Tabla2[[#This Row],[venc]]="venc",Tabla2[[#This Row],[estado pago]]="por pagar"),"vencida","no")</f>
        <v>no</v>
      </c>
    </row>
    <row r="556" spans="1:30" ht="19.5" hidden="1" customHeight="1" x14ac:dyDescent="0.25">
      <c r="A556" s="8" t="s">
        <v>1850</v>
      </c>
      <c r="B556" s="8" t="b">
        <v>0</v>
      </c>
      <c r="C556" s="8">
        <v>30</v>
      </c>
      <c r="D556" s="151">
        <v>0</v>
      </c>
      <c r="E556" s="151"/>
      <c r="F556" s="24" t="s">
        <v>1540</v>
      </c>
      <c r="G556" s="30">
        <v>45148</v>
      </c>
      <c r="H556" s="81" t="s">
        <v>383</v>
      </c>
      <c r="I556" s="30">
        <v>45139</v>
      </c>
      <c r="J556" s="16" t="s">
        <v>982</v>
      </c>
      <c r="K556" s="9" t="s">
        <v>1530</v>
      </c>
      <c r="L556" s="9"/>
      <c r="M556" s="152">
        <v>3935776</v>
      </c>
      <c r="N556" s="153">
        <v>747797.44000000006</v>
      </c>
      <c r="O556" s="152">
        <v>0</v>
      </c>
      <c r="P556" s="154">
        <v>3.5000000000000003E-2</v>
      </c>
      <c r="Q556" s="152">
        <v>137752.16</v>
      </c>
      <c r="R556" s="9">
        <v>4545821.28</v>
      </c>
      <c r="S556" s="21" t="s">
        <v>1846</v>
      </c>
      <c r="T556" s="117">
        <v>0</v>
      </c>
      <c r="U556" s="117" t="s">
        <v>348</v>
      </c>
      <c r="V556" s="117">
        <v>2023</v>
      </c>
      <c r="W556" s="117">
        <v>6</v>
      </c>
      <c r="X556" s="117">
        <v>0</v>
      </c>
      <c r="Y556" s="117">
        <v>3.5000000000000003E-2</v>
      </c>
      <c r="Z556" s="21" t="b">
        <v>1</v>
      </c>
      <c r="AA556" s="162">
        <f>+$AD$5-Tabla2[[#This Row],[FECHA DE FACTURACIÓN]]</f>
        <v>304</v>
      </c>
      <c r="AB556" s="163" t="str">
        <f>+IF(Tabla2[[#This Row],[dias de credito]]&gt;=Tabla2[[#This Row],[PLAZO Días]],"venc", "No venc")</f>
        <v>venc</v>
      </c>
      <c r="AC556" s="163" t="str">
        <f>+IF(Tabla2[[#This Row],[FECHA DE PAGO]]&gt;0,"pagada","por pagar")</f>
        <v>pagada</v>
      </c>
      <c r="AD556" s="164" t="str">
        <f>+IF(AND(Tabla2[[#This Row],[venc]]="venc",Tabla2[[#This Row],[estado pago]]="por pagar"),"vencida","no")</f>
        <v>no</v>
      </c>
    </row>
    <row r="557" spans="1:30" ht="19.5" hidden="1" customHeight="1" x14ac:dyDescent="0.25">
      <c r="A557" s="8" t="s">
        <v>1850</v>
      </c>
      <c r="B557" s="8" t="b">
        <v>0</v>
      </c>
      <c r="C557" s="8">
        <v>10</v>
      </c>
      <c r="D557" s="151">
        <v>0</v>
      </c>
      <c r="E557" s="151"/>
      <c r="F557" s="24" t="s">
        <v>483</v>
      </c>
      <c r="G557" s="30">
        <v>45149</v>
      </c>
      <c r="H557" s="81" t="s">
        <v>482</v>
      </c>
      <c r="I557" s="30">
        <v>45139</v>
      </c>
      <c r="J557" s="16" t="s">
        <v>984</v>
      </c>
      <c r="K557" s="9" t="s">
        <v>1530</v>
      </c>
      <c r="L557" s="9"/>
      <c r="M557" s="152">
        <v>5350576</v>
      </c>
      <c r="N557" s="153">
        <v>1016609.4400000001</v>
      </c>
      <c r="O557" s="152">
        <v>0</v>
      </c>
      <c r="P557" s="154">
        <v>0</v>
      </c>
      <c r="Q557" s="152">
        <v>0</v>
      </c>
      <c r="R557" s="9">
        <v>6367185.4400000004</v>
      </c>
      <c r="S557" s="21" t="s">
        <v>1846</v>
      </c>
      <c r="T557" s="117">
        <v>0</v>
      </c>
      <c r="U557" s="117">
        <v>0</v>
      </c>
      <c r="V557" s="117">
        <v>2023</v>
      </c>
      <c r="W557" s="117">
        <v>6</v>
      </c>
      <c r="X557" s="117">
        <v>0</v>
      </c>
      <c r="Y557" s="117">
        <v>0</v>
      </c>
      <c r="Z557" s="21" t="b">
        <v>1</v>
      </c>
      <c r="AA557" s="162">
        <f>+$AD$5-Tabla2[[#This Row],[FECHA DE FACTURACIÓN]]</f>
        <v>304</v>
      </c>
      <c r="AB557" s="163" t="str">
        <f>+IF(Tabla2[[#This Row],[dias de credito]]&gt;=Tabla2[[#This Row],[PLAZO Días]],"venc", "No venc")</f>
        <v>venc</v>
      </c>
      <c r="AC557" s="163" t="str">
        <f>+IF(Tabla2[[#This Row],[FECHA DE PAGO]]&gt;0,"pagada","por pagar")</f>
        <v>pagada</v>
      </c>
      <c r="AD557" s="164" t="str">
        <f>+IF(AND(Tabla2[[#This Row],[venc]]="venc",Tabla2[[#This Row],[estado pago]]="por pagar"),"vencida","no")</f>
        <v>no</v>
      </c>
    </row>
    <row r="558" spans="1:30" ht="19.5" hidden="1" customHeight="1" x14ac:dyDescent="0.25">
      <c r="A558" s="8" t="s">
        <v>1850</v>
      </c>
      <c r="B558" s="8" t="b">
        <v>0</v>
      </c>
      <c r="C558" s="8">
        <v>30</v>
      </c>
      <c r="D558" s="151">
        <v>0</v>
      </c>
      <c r="E558" s="151"/>
      <c r="F558" s="24" t="s">
        <v>84</v>
      </c>
      <c r="G558" s="30">
        <v>45150</v>
      </c>
      <c r="H558" s="81" t="s">
        <v>481</v>
      </c>
      <c r="I558" s="30">
        <v>45149</v>
      </c>
      <c r="J558" s="16" t="s">
        <v>968</v>
      </c>
      <c r="K558" s="9" t="s">
        <v>1530</v>
      </c>
      <c r="L558" s="9"/>
      <c r="M558" s="152">
        <v>3395000</v>
      </c>
      <c r="N558" s="153">
        <v>0</v>
      </c>
      <c r="O558" s="152">
        <v>0</v>
      </c>
      <c r="P558" s="154">
        <v>0</v>
      </c>
      <c r="Q558" s="152">
        <v>0</v>
      </c>
      <c r="R558" s="9">
        <v>3395000</v>
      </c>
      <c r="S558" s="21" t="s">
        <v>1846</v>
      </c>
      <c r="T558" s="117">
        <v>0</v>
      </c>
      <c r="U558" s="117">
        <v>0</v>
      </c>
      <c r="V558" s="117">
        <v>2023</v>
      </c>
      <c r="W558" s="117">
        <v>6</v>
      </c>
      <c r="X558" s="117">
        <v>0</v>
      </c>
      <c r="Y558" s="117">
        <v>0</v>
      </c>
      <c r="Z558" s="21" t="b">
        <v>0</v>
      </c>
      <c r="AA558" s="162">
        <f>+$AD$5-Tabla2[[#This Row],[FECHA DE FACTURACIÓN]]</f>
        <v>294</v>
      </c>
      <c r="AB558" s="163" t="str">
        <f>+IF(Tabla2[[#This Row],[dias de credito]]&gt;=Tabla2[[#This Row],[PLAZO Días]],"venc", "No venc")</f>
        <v>venc</v>
      </c>
      <c r="AC558" s="163" t="str">
        <f>+IF(Tabla2[[#This Row],[FECHA DE PAGO]]&gt;0,"pagada","por pagar")</f>
        <v>pagada</v>
      </c>
      <c r="AD558" s="164" t="str">
        <f>+IF(AND(Tabla2[[#This Row],[venc]]="venc",Tabla2[[#This Row],[estado pago]]="por pagar"),"vencida","no")</f>
        <v>no</v>
      </c>
    </row>
    <row r="559" spans="1:30" ht="19.5" hidden="1" customHeight="1" x14ac:dyDescent="0.25">
      <c r="A559" s="8" t="s">
        <v>1850</v>
      </c>
      <c r="B559" s="8" t="s">
        <v>1851</v>
      </c>
      <c r="C559" s="8">
        <v>30</v>
      </c>
      <c r="D559" s="151">
        <v>4466504.835</v>
      </c>
      <c r="E559" s="151"/>
      <c r="F559" s="24" t="s">
        <v>1553</v>
      </c>
      <c r="G559" s="30">
        <v>45152</v>
      </c>
      <c r="H559" s="81" t="s">
        <v>18</v>
      </c>
      <c r="I559" s="30">
        <v>45105</v>
      </c>
      <c r="J559" s="16" t="s">
        <v>874</v>
      </c>
      <c r="K559" s="9" t="s">
        <v>1530</v>
      </c>
      <c r="L559" s="9"/>
      <c r="M559" s="152">
        <v>3317231</v>
      </c>
      <c r="N559" s="153">
        <v>630273.89</v>
      </c>
      <c r="O559" s="152">
        <v>0</v>
      </c>
      <c r="P559" s="154">
        <v>2.5000000000000001E-2</v>
      </c>
      <c r="Q559" s="152">
        <v>82930.775000000009</v>
      </c>
      <c r="R559" s="9">
        <v>3864574.1150000002</v>
      </c>
      <c r="S559" s="21" t="s">
        <v>1846</v>
      </c>
      <c r="T559" s="117">
        <v>0</v>
      </c>
      <c r="U559" s="117" t="s">
        <v>347</v>
      </c>
      <c r="V559" s="117">
        <v>2023</v>
      </c>
      <c r="W559" s="117">
        <v>6</v>
      </c>
      <c r="X559" s="117">
        <v>1145000</v>
      </c>
      <c r="Y559" s="117">
        <v>2.5000000000000001E-2</v>
      </c>
      <c r="Z559" s="21" t="b">
        <v>0</v>
      </c>
      <c r="AA559" s="162">
        <f>+$AD$5-Tabla2[[#This Row],[FECHA DE FACTURACIÓN]]</f>
        <v>338</v>
      </c>
      <c r="AB559" s="163" t="str">
        <f>+IF(Tabla2[[#This Row],[dias de credito]]&gt;=Tabla2[[#This Row],[PLAZO Días]],"venc", "No venc")</f>
        <v>venc</v>
      </c>
      <c r="AC559" s="163" t="str">
        <f>+IF(Tabla2[[#This Row],[FECHA DE PAGO]]&gt;0,"pagada","por pagar")</f>
        <v>pagada</v>
      </c>
      <c r="AD559" s="164" t="str">
        <f>+IF(AND(Tabla2[[#This Row],[venc]]="venc",Tabla2[[#This Row],[estado pago]]="por pagar"),"vencida","no")</f>
        <v>no</v>
      </c>
    </row>
    <row r="560" spans="1:30" ht="19.5" hidden="1" customHeight="1" x14ac:dyDescent="0.25">
      <c r="A560" s="8" t="s">
        <v>1850</v>
      </c>
      <c r="B560" s="8" t="s">
        <v>1851</v>
      </c>
      <c r="C560" s="8">
        <v>30</v>
      </c>
      <c r="D560" s="151">
        <v>8456975.129999999</v>
      </c>
      <c r="E560" s="151"/>
      <c r="F560" s="24" t="s">
        <v>1476</v>
      </c>
      <c r="G560" s="30">
        <v>45152</v>
      </c>
      <c r="H560" s="81" t="s">
        <v>1464</v>
      </c>
      <c r="I560" s="30">
        <v>45106</v>
      </c>
      <c r="J560" s="16" t="s">
        <v>871</v>
      </c>
      <c r="K560" s="9" t="s">
        <v>1530</v>
      </c>
      <c r="L560" s="9"/>
      <c r="M560" s="152">
        <v>1848738</v>
      </c>
      <c r="N560" s="153">
        <v>351260.22000000003</v>
      </c>
      <c r="O560" s="152">
        <v>0</v>
      </c>
      <c r="P560" s="154">
        <v>2.5000000000000001E-2</v>
      </c>
      <c r="Q560" s="152">
        <v>46218.450000000004</v>
      </c>
      <c r="R560" s="9">
        <v>2153779.77</v>
      </c>
      <c r="S560" s="21" t="s">
        <v>1846</v>
      </c>
      <c r="T560" s="117">
        <v>0</v>
      </c>
      <c r="U560" s="117" t="s">
        <v>347</v>
      </c>
      <c r="V560" s="117">
        <v>2023</v>
      </c>
      <c r="W560" s="117">
        <v>6</v>
      </c>
      <c r="X560" s="117">
        <v>1145000</v>
      </c>
      <c r="Y560" s="117">
        <v>2.5000000000000001E-2</v>
      </c>
      <c r="Z560" s="21" t="b">
        <v>0</v>
      </c>
      <c r="AA560" s="162">
        <f>+$AD$5-Tabla2[[#This Row],[FECHA DE FACTURACIÓN]]</f>
        <v>337</v>
      </c>
      <c r="AB560" s="163" t="str">
        <f>+IF(Tabla2[[#This Row],[dias de credito]]&gt;=Tabla2[[#This Row],[PLAZO Días]],"venc", "No venc")</f>
        <v>venc</v>
      </c>
      <c r="AC560" s="163" t="str">
        <f>+IF(Tabla2[[#This Row],[FECHA DE PAGO]]&gt;0,"pagada","por pagar")</f>
        <v>pagada</v>
      </c>
      <c r="AD560" s="164" t="str">
        <f>+IF(AND(Tabla2[[#This Row],[venc]]="venc",Tabla2[[#This Row],[estado pago]]="por pagar"),"vencida","no")</f>
        <v>no</v>
      </c>
    </row>
    <row r="561" spans="1:30" ht="19.5" hidden="1" customHeight="1" x14ac:dyDescent="0.25">
      <c r="A561" s="8" t="s">
        <v>1850</v>
      </c>
      <c r="B561" s="8" t="b">
        <v>0</v>
      </c>
      <c r="C561" s="8">
        <v>45</v>
      </c>
      <c r="D561" s="151">
        <v>0</v>
      </c>
      <c r="E561" s="151"/>
      <c r="F561" s="24" t="s">
        <v>603</v>
      </c>
      <c r="G561" s="30">
        <v>45152</v>
      </c>
      <c r="H561" s="81" t="s">
        <v>224</v>
      </c>
      <c r="I561" s="30">
        <v>45120</v>
      </c>
      <c r="J561" s="16">
        <v>1718</v>
      </c>
      <c r="K561" s="9" t="s">
        <v>1530</v>
      </c>
      <c r="L561" s="9"/>
      <c r="M561" s="152">
        <v>2759750</v>
      </c>
      <c r="N561" s="153">
        <v>0</v>
      </c>
      <c r="O561" s="152">
        <v>0</v>
      </c>
      <c r="P561" s="154">
        <v>0</v>
      </c>
      <c r="Q561" s="152">
        <v>0</v>
      </c>
      <c r="R561" s="9">
        <v>2759750</v>
      </c>
      <c r="S561" s="21" t="s">
        <v>1846</v>
      </c>
      <c r="T561" s="117">
        <v>0</v>
      </c>
      <c r="U561" s="117">
        <v>0</v>
      </c>
      <c r="V561" s="117">
        <v>2023</v>
      </c>
      <c r="W561" s="117">
        <v>6</v>
      </c>
      <c r="X561" s="117">
        <v>0</v>
      </c>
      <c r="Y561" s="117">
        <v>0</v>
      </c>
      <c r="Z561" s="21" t="b">
        <v>0</v>
      </c>
      <c r="AA561" s="162">
        <f>+$AD$5-Tabla2[[#This Row],[FECHA DE FACTURACIÓN]]</f>
        <v>323</v>
      </c>
      <c r="AB561" s="163" t="str">
        <f>+IF(Tabla2[[#This Row],[dias de credito]]&gt;=Tabla2[[#This Row],[PLAZO Días]],"venc", "No venc")</f>
        <v>venc</v>
      </c>
      <c r="AC561" s="163" t="str">
        <f>+IF(Tabla2[[#This Row],[FECHA DE PAGO]]&gt;0,"pagada","por pagar")</f>
        <v>pagada</v>
      </c>
      <c r="AD561" s="164" t="str">
        <f>+IF(AND(Tabla2[[#This Row],[venc]]="venc",Tabla2[[#This Row],[estado pago]]="por pagar"),"vencida","no")</f>
        <v>no</v>
      </c>
    </row>
    <row r="562" spans="1:30" ht="19.5" hidden="1" customHeight="1" x14ac:dyDescent="0.25">
      <c r="A562" s="8" t="s">
        <v>1850</v>
      </c>
      <c r="B562" s="8" t="b">
        <v>0</v>
      </c>
      <c r="C562" s="8">
        <v>60</v>
      </c>
      <c r="D562" s="151">
        <v>1730482</v>
      </c>
      <c r="E562" s="151"/>
      <c r="F562" s="24" t="s">
        <v>603</v>
      </c>
      <c r="G562" s="30">
        <v>45152</v>
      </c>
      <c r="H562" s="81" t="s">
        <v>222</v>
      </c>
      <c r="I562" s="30">
        <v>45124</v>
      </c>
      <c r="J562" s="16">
        <v>1729</v>
      </c>
      <c r="K562" s="9" t="s">
        <v>1530</v>
      </c>
      <c r="L562" s="9"/>
      <c r="M562" s="152">
        <v>381800</v>
      </c>
      <c r="N562" s="153">
        <v>0</v>
      </c>
      <c r="O562" s="152">
        <v>0</v>
      </c>
      <c r="P562" s="154">
        <v>0</v>
      </c>
      <c r="Q562" s="152">
        <v>0</v>
      </c>
      <c r="R562" s="9">
        <v>381800</v>
      </c>
      <c r="S562" s="21" t="s">
        <v>1846</v>
      </c>
      <c r="T562" s="117">
        <v>0</v>
      </c>
      <c r="U562" s="117">
        <v>0</v>
      </c>
      <c r="V562" s="117">
        <v>2023</v>
      </c>
      <c r="W562" s="117">
        <v>6</v>
      </c>
      <c r="X562" s="117">
        <v>0</v>
      </c>
      <c r="Y562" s="117">
        <v>0</v>
      </c>
      <c r="Z562" s="21" t="b">
        <v>0</v>
      </c>
      <c r="AA562" s="162">
        <f>+$AD$5-Tabla2[[#This Row],[FECHA DE FACTURACIÓN]]</f>
        <v>319</v>
      </c>
      <c r="AB562" s="163" t="str">
        <f>+IF(Tabla2[[#This Row],[dias de credito]]&gt;=Tabla2[[#This Row],[PLAZO Días]],"venc", "No venc")</f>
        <v>venc</v>
      </c>
      <c r="AC562" s="163" t="str">
        <f>+IF(Tabla2[[#This Row],[FECHA DE PAGO]]&gt;0,"pagada","por pagar")</f>
        <v>pagada</v>
      </c>
      <c r="AD562" s="164" t="str">
        <f>+IF(AND(Tabla2[[#This Row],[venc]]="venc",Tabla2[[#This Row],[estado pago]]="por pagar"),"vencida","no")</f>
        <v>no</v>
      </c>
    </row>
    <row r="563" spans="1:30" ht="19.5" hidden="1" customHeight="1" x14ac:dyDescent="0.25">
      <c r="A563" s="8" t="s">
        <v>1850</v>
      </c>
      <c r="B563" s="8" t="b">
        <v>0</v>
      </c>
      <c r="C563" s="8">
        <v>60</v>
      </c>
      <c r="D563" s="151">
        <v>1730482</v>
      </c>
      <c r="E563" s="151"/>
      <c r="F563" s="24" t="s">
        <v>603</v>
      </c>
      <c r="G563" s="30">
        <v>45152</v>
      </c>
      <c r="H563" s="81" t="s">
        <v>222</v>
      </c>
      <c r="I563" s="30">
        <v>45124</v>
      </c>
      <c r="J563" s="16">
        <v>1730</v>
      </c>
      <c r="K563" s="9" t="s">
        <v>1530</v>
      </c>
      <c r="L563" s="9"/>
      <c r="M563" s="152">
        <v>215800</v>
      </c>
      <c r="N563" s="153">
        <v>0</v>
      </c>
      <c r="O563" s="152">
        <v>0</v>
      </c>
      <c r="P563" s="154">
        <v>0</v>
      </c>
      <c r="Q563" s="152">
        <v>0</v>
      </c>
      <c r="R563" s="9">
        <v>215800</v>
      </c>
      <c r="S563" s="21" t="s">
        <v>1846</v>
      </c>
      <c r="T563" s="117">
        <v>0</v>
      </c>
      <c r="U563" s="117">
        <v>0</v>
      </c>
      <c r="V563" s="117">
        <v>2023</v>
      </c>
      <c r="W563" s="117">
        <v>6</v>
      </c>
      <c r="X563" s="117">
        <v>0</v>
      </c>
      <c r="Y563" s="117">
        <v>0</v>
      </c>
      <c r="Z563" s="21" t="b">
        <v>0</v>
      </c>
      <c r="AA563" s="162">
        <f>+$AD$5-Tabla2[[#This Row],[FECHA DE FACTURACIÓN]]</f>
        <v>319</v>
      </c>
      <c r="AB563" s="163" t="str">
        <f>+IF(Tabla2[[#This Row],[dias de credito]]&gt;=Tabla2[[#This Row],[PLAZO Días]],"venc", "No venc")</f>
        <v>venc</v>
      </c>
      <c r="AC563" s="163" t="str">
        <f>+IF(Tabla2[[#This Row],[FECHA DE PAGO]]&gt;0,"pagada","por pagar")</f>
        <v>pagada</v>
      </c>
      <c r="AD563" s="164" t="str">
        <f>+IF(AND(Tabla2[[#This Row],[venc]]="venc",Tabla2[[#This Row],[estado pago]]="por pagar"),"vencida","no")</f>
        <v>no</v>
      </c>
    </row>
    <row r="564" spans="1:30" ht="19.5" hidden="1" customHeight="1" x14ac:dyDescent="0.25">
      <c r="A564" s="8" t="s">
        <v>1850</v>
      </c>
      <c r="B564" s="8" t="b">
        <v>0</v>
      </c>
      <c r="C564" s="8">
        <v>60</v>
      </c>
      <c r="D564" s="151">
        <v>1730482</v>
      </c>
      <c r="E564" s="151"/>
      <c r="F564" s="24" t="s">
        <v>603</v>
      </c>
      <c r="G564" s="30">
        <v>45152</v>
      </c>
      <c r="H564" s="81" t="s">
        <v>222</v>
      </c>
      <c r="I564" s="30">
        <v>45124</v>
      </c>
      <c r="J564" s="16">
        <v>1731</v>
      </c>
      <c r="K564" s="9" t="s">
        <v>1530</v>
      </c>
      <c r="L564" s="9"/>
      <c r="M564" s="152">
        <v>315400</v>
      </c>
      <c r="N564" s="153">
        <v>0</v>
      </c>
      <c r="O564" s="152">
        <v>0</v>
      </c>
      <c r="P564" s="154">
        <v>0</v>
      </c>
      <c r="Q564" s="152">
        <v>0</v>
      </c>
      <c r="R564" s="9">
        <v>315400</v>
      </c>
      <c r="S564" s="21" t="s">
        <v>1846</v>
      </c>
      <c r="T564" s="117">
        <v>0</v>
      </c>
      <c r="U564" s="117">
        <v>0</v>
      </c>
      <c r="V564" s="117">
        <v>2023</v>
      </c>
      <c r="W564" s="117">
        <v>6</v>
      </c>
      <c r="X564" s="117">
        <v>0</v>
      </c>
      <c r="Y564" s="117">
        <v>0</v>
      </c>
      <c r="Z564" s="21" t="b">
        <v>0</v>
      </c>
      <c r="AA564" s="162">
        <f>+$AD$5-Tabla2[[#This Row],[FECHA DE FACTURACIÓN]]</f>
        <v>319</v>
      </c>
      <c r="AB564" s="163" t="str">
        <f>+IF(Tabla2[[#This Row],[dias de credito]]&gt;=Tabla2[[#This Row],[PLAZO Días]],"venc", "No venc")</f>
        <v>venc</v>
      </c>
      <c r="AC564" s="163" t="str">
        <f>+IF(Tabla2[[#This Row],[FECHA DE PAGO]]&gt;0,"pagada","por pagar")</f>
        <v>pagada</v>
      </c>
      <c r="AD564" s="164" t="str">
        <f>+IF(AND(Tabla2[[#This Row],[venc]]="venc",Tabla2[[#This Row],[estado pago]]="por pagar"),"vencida","no")</f>
        <v>no</v>
      </c>
    </row>
    <row r="565" spans="1:30" ht="19.5" hidden="1" customHeight="1" x14ac:dyDescent="0.25">
      <c r="A565" s="8" t="s">
        <v>1850</v>
      </c>
      <c r="B565" s="8" t="b">
        <v>0</v>
      </c>
      <c r="C565" s="8">
        <v>60</v>
      </c>
      <c r="D565" s="151">
        <v>1730482</v>
      </c>
      <c r="E565" s="151"/>
      <c r="F565" s="24" t="s">
        <v>603</v>
      </c>
      <c r="G565" s="30">
        <v>45152</v>
      </c>
      <c r="H565" s="81" t="s">
        <v>222</v>
      </c>
      <c r="I565" s="30">
        <v>45124</v>
      </c>
      <c r="J565" s="16">
        <v>1732</v>
      </c>
      <c r="K565" s="9" t="s">
        <v>1530</v>
      </c>
      <c r="L565" s="9"/>
      <c r="M565" s="152">
        <v>232400</v>
      </c>
      <c r="N565" s="153">
        <v>0</v>
      </c>
      <c r="O565" s="152">
        <v>0</v>
      </c>
      <c r="P565" s="154">
        <v>0</v>
      </c>
      <c r="Q565" s="152">
        <v>0</v>
      </c>
      <c r="R565" s="9">
        <v>232400</v>
      </c>
      <c r="S565" s="21" t="s">
        <v>1846</v>
      </c>
      <c r="T565" s="117">
        <v>0</v>
      </c>
      <c r="U565" s="117">
        <v>0</v>
      </c>
      <c r="V565" s="117">
        <v>2023</v>
      </c>
      <c r="W565" s="117">
        <v>6</v>
      </c>
      <c r="X565" s="117">
        <v>0</v>
      </c>
      <c r="Y565" s="117">
        <v>0</v>
      </c>
      <c r="Z565" s="21" t="b">
        <v>0</v>
      </c>
      <c r="AA565" s="162">
        <f>+$AD$5-Tabla2[[#This Row],[FECHA DE FACTURACIÓN]]</f>
        <v>319</v>
      </c>
      <c r="AB565" s="163" t="str">
        <f>+IF(Tabla2[[#This Row],[dias de credito]]&gt;=Tabla2[[#This Row],[PLAZO Días]],"venc", "No venc")</f>
        <v>venc</v>
      </c>
      <c r="AC565" s="163" t="str">
        <f>+IF(Tabla2[[#This Row],[FECHA DE PAGO]]&gt;0,"pagada","por pagar")</f>
        <v>pagada</v>
      </c>
      <c r="AD565" s="164" t="str">
        <f>+IF(AND(Tabla2[[#This Row],[venc]]="venc",Tabla2[[#This Row],[estado pago]]="por pagar"),"vencida","no")</f>
        <v>no</v>
      </c>
    </row>
    <row r="566" spans="1:30" ht="19.5" hidden="1" customHeight="1" x14ac:dyDescent="0.25">
      <c r="A566" s="8" t="s">
        <v>1850</v>
      </c>
      <c r="B566" s="8" t="b">
        <v>0</v>
      </c>
      <c r="C566" s="8">
        <v>60</v>
      </c>
      <c r="D566" s="151">
        <v>1730482</v>
      </c>
      <c r="E566" s="151"/>
      <c r="F566" s="24" t="s">
        <v>603</v>
      </c>
      <c r="G566" s="30">
        <v>45152</v>
      </c>
      <c r="H566" s="81" t="s">
        <v>222</v>
      </c>
      <c r="I566" s="30">
        <v>45126</v>
      </c>
      <c r="J566" s="16">
        <v>1735</v>
      </c>
      <c r="K566" s="9" t="s">
        <v>1530</v>
      </c>
      <c r="L566" s="9"/>
      <c r="M566" s="152">
        <v>249000</v>
      </c>
      <c r="N566" s="153">
        <v>0</v>
      </c>
      <c r="O566" s="152">
        <v>0</v>
      </c>
      <c r="P566" s="154">
        <v>0</v>
      </c>
      <c r="Q566" s="152">
        <v>0</v>
      </c>
      <c r="R566" s="9">
        <v>249000</v>
      </c>
      <c r="S566" s="21" t="s">
        <v>1846</v>
      </c>
      <c r="T566" s="117">
        <v>0</v>
      </c>
      <c r="U566" s="117">
        <v>0</v>
      </c>
      <c r="V566" s="117">
        <v>2023</v>
      </c>
      <c r="W566" s="117">
        <v>6</v>
      </c>
      <c r="X566" s="117">
        <v>0</v>
      </c>
      <c r="Y566" s="117">
        <v>0</v>
      </c>
      <c r="Z566" s="21" t="b">
        <v>0</v>
      </c>
      <c r="AA566" s="162">
        <f>+$AD$5-Tabla2[[#This Row],[FECHA DE FACTURACIÓN]]</f>
        <v>317</v>
      </c>
      <c r="AB566" s="163" t="str">
        <f>+IF(Tabla2[[#This Row],[dias de credito]]&gt;=Tabla2[[#This Row],[PLAZO Días]],"venc", "No venc")</f>
        <v>venc</v>
      </c>
      <c r="AC566" s="163" t="str">
        <f>+IF(Tabla2[[#This Row],[FECHA DE PAGO]]&gt;0,"pagada","por pagar")</f>
        <v>pagada</v>
      </c>
      <c r="AD566" s="164" t="str">
        <f>+IF(AND(Tabla2[[#This Row],[venc]]="venc",Tabla2[[#This Row],[estado pago]]="por pagar"),"vencida","no")</f>
        <v>no</v>
      </c>
    </row>
    <row r="567" spans="1:30" ht="19.5" hidden="1" customHeight="1" x14ac:dyDescent="0.25">
      <c r="A567" s="8" t="s">
        <v>1850</v>
      </c>
      <c r="B567" s="8" t="b">
        <v>0</v>
      </c>
      <c r="C567" s="8">
        <v>60</v>
      </c>
      <c r="D567" s="151">
        <v>1730482</v>
      </c>
      <c r="E567" s="151"/>
      <c r="F567" s="24" t="s">
        <v>603</v>
      </c>
      <c r="G567" s="30">
        <v>45152</v>
      </c>
      <c r="H567" s="81" t="s">
        <v>222</v>
      </c>
      <c r="I567" s="30">
        <v>45126</v>
      </c>
      <c r="J567" s="16">
        <v>1736</v>
      </c>
      <c r="K567" s="9" t="s">
        <v>1530</v>
      </c>
      <c r="L567" s="9"/>
      <c r="M567" s="152">
        <v>232400</v>
      </c>
      <c r="N567" s="153">
        <v>0</v>
      </c>
      <c r="O567" s="152">
        <v>0</v>
      </c>
      <c r="P567" s="154">
        <v>0</v>
      </c>
      <c r="Q567" s="152">
        <v>0</v>
      </c>
      <c r="R567" s="9">
        <v>232400</v>
      </c>
      <c r="S567" s="21" t="s">
        <v>1846</v>
      </c>
      <c r="T567" s="117">
        <v>0</v>
      </c>
      <c r="U567" s="117">
        <v>0</v>
      </c>
      <c r="V567" s="117">
        <v>2023</v>
      </c>
      <c r="W567" s="117">
        <v>6</v>
      </c>
      <c r="X567" s="117">
        <v>0</v>
      </c>
      <c r="Y567" s="117">
        <v>0</v>
      </c>
      <c r="Z567" s="21" t="b">
        <v>0</v>
      </c>
      <c r="AA567" s="162">
        <f>+$AD$5-Tabla2[[#This Row],[FECHA DE FACTURACIÓN]]</f>
        <v>317</v>
      </c>
      <c r="AB567" s="163" t="str">
        <f>+IF(Tabla2[[#This Row],[dias de credito]]&gt;=Tabla2[[#This Row],[PLAZO Días]],"venc", "No venc")</f>
        <v>venc</v>
      </c>
      <c r="AC567" s="163" t="str">
        <f>+IF(Tabla2[[#This Row],[FECHA DE PAGO]]&gt;0,"pagada","por pagar")</f>
        <v>pagada</v>
      </c>
      <c r="AD567" s="164" t="str">
        <f>+IF(AND(Tabla2[[#This Row],[venc]]="venc",Tabla2[[#This Row],[estado pago]]="por pagar"),"vencida","no")</f>
        <v>no</v>
      </c>
    </row>
    <row r="568" spans="1:30" ht="19.5" hidden="1" customHeight="1" x14ac:dyDescent="0.25">
      <c r="A568" s="8" t="s">
        <v>1850</v>
      </c>
      <c r="B568" s="8" t="b">
        <v>0</v>
      </c>
      <c r="C568" s="8">
        <v>60</v>
      </c>
      <c r="D568" s="151">
        <v>1730482</v>
      </c>
      <c r="E568" s="151"/>
      <c r="F568" s="24" t="s">
        <v>603</v>
      </c>
      <c r="G568" s="30">
        <v>45152</v>
      </c>
      <c r="H568" s="81" t="s">
        <v>222</v>
      </c>
      <c r="I568" s="30">
        <v>45126</v>
      </c>
      <c r="J568" s="16">
        <v>1737</v>
      </c>
      <c r="K568" s="9" t="s">
        <v>1530</v>
      </c>
      <c r="L568" s="9"/>
      <c r="M568" s="152">
        <v>232400</v>
      </c>
      <c r="N568" s="153">
        <v>0</v>
      </c>
      <c r="O568" s="152">
        <v>0</v>
      </c>
      <c r="P568" s="154">
        <v>0</v>
      </c>
      <c r="Q568" s="152">
        <v>0</v>
      </c>
      <c r="R568" s="9">
        <v>232400</v>
      </c>
      <c r="S568" s="21" t="s">
        <v>1846</v>
      </c>
      <c r="T568" s="117">
        <v>0</v>
      </c>
      <c r="U568" s="117">
        <v>0</v>
      </c>
      <c r="V568" s="117">
        <v>2023</v>
      </c>
      <c r="W568" s="117">
        <v>6</v>
      </c>
      <c r="X568" s="117">
        <v>0</v>
      </c>
      <c r="Y568" s="117">
        <v>0</v>
      </c>
      <c r="Z568" s="21" t="b">
        <v>0</v>
      </c>
      <c r="AA568" s="162">
        <f>+$AD$5-Tabla2[[#This Row],[FECHA DE FACTURACIÓN]]</f>
        <v>317</v>
      </c>
      <c r="AB568" s="163" t="str">
        <f>+IF(Tabla2[[#This Row],[dias de credito]]&gt;=Tabla2[[#This Row],[PLAZO Días]],"venc", "No venc")</f>
        <v>venc</v>
      </c>
      <c r="AC568" s="163" t="str">
        <f>+IF(Tabla2[[#This Row],[FECHA DE PAGO]]&gt;0,"pagada","por pagar")</f>
        <v>pagada</v>
      </c>
      <c r="AD568" s="164" t="str">
        <f>+IF(AND(Tabla2[[#This Row],[venc]]="venc",Tabla2[[#This Row],[estado pago]]="por pagar"),"vencida","no")</f>
        <v>no</v>
      </c>
    </row>
    <row r="569" spans="1:30" ht="19.5" hidden="1" customHeight="1" x14ac:dyDescent="0.25">
      <c r="A569" s="8" t="s">
        <v>1850</v>
      </c>
      <c r="B569" s="8" t="b">
        <v>0</v>
      </c>
      <c r="C569" s="8">
        <v>60</v>
      </c>
      <c r="D569" s="151">
        <v>1730482</v>
      </c>
      <c r="E569" s="151"/>
      <c r="F569" s="24" t="s">
        <v>603</v>
      </c>
      <c r="G569" s="30">
        <v>45152</v>
      </c>
      <c r="H569" s="81" t="s">
        <v>222</v>
      </c>
      <c r="I569" s="30">
        <v>45126</v>
      </c>
      <c r="J569" s="16">
        <v>1738</v>
      </c>
      <c r="K569" s="9" t="s">
        <v>1530</v>
      </c>
      <c r="L569" s="9"/>
      <c r="M569" s="152">
        <v>232400</v>
      </c>
      <c r="N569" s="153">
        <v>0</v>
      </c>
      <c r="O569" s="152">
        <v>0</v>
      </c>
      <c r="P569" s="154">
        <v>0</v>
      </c>
      <c r="Q569" s="152">
        <v>0</v>
      </c>
      <c r="R569" s="9">
        <v>232400</v>
      </c>
      <c r="S569" s="21" t="s">
        <v>1846</v>
      </c>
      <c r="T569" s="117">
        <v>0</v>
      </c>
      <c r="U569" s="117">
        <v>0</v>
      </c>
      <c r="V569" s="117">
        <v>2023</v>
      </c>
      <c r="W569" s="117">
        <v>6</v>
      </c>
      <c r="X569" s="117">
        <v>0</v>
      </c>
      <c r="Y569" s="117">
        <v>0</v>
      </c>
      <c r="Z569" s="21" t="b">
        <v>0</v>
      </c>
      <c r="AA569" s="162">
        <f>+$AD$5-Tabla2[[#This Row],[FECHA DE FACTURACIÓN]]</f>
        <v>317</v>
      </c>
      <c r="AB569" s="163" t="str">
        <f>+IF(Tabla2[[#This Row],[dias de credito]]&gt;=Tabla2[[#This Row],[PLAZO Días]],"venc", "No venc")</f>
        <v>venc</v>
      </c>
      <c r="AC569" s="163" t="str">
        <f>+IF(Tabla2[[#This Row],[FECHA DE PAGO]]&gt;0,"pagada","por pagar")</f>
        <v>pagada</v>
      </c>
      <c r="AD569" s="164" t="str">
        <f>+IF(AND(Tabla2[[#This Row],[venc]]="venc",Tabla2[[#This Row],[estado pago]]="por pagar"),"vencida","no")</f>
        <v>no</v>
      </c>
    </row>
    <row r="570" spans="1:30" ht="19.5" hidden="1" customHeight="1" x14ac:dyDescent="0.25">
      <c r="A570" s="8" t="s">
        <v>1850</v>
      </c>
      <c r="B570" s="8" t="b">
        <v>0</v>
      </c>
      <c r="C570" s="8">
        <v>60</v>
      </c>
      <c r="D570" s="151">
        <v>1730482</v>
      </c>
      <c r="E570" s="151"/>
      <c r="F570" s="24" t="s">
        <v>603</v>
      </c>
      <c r="G570" s="30">
        <v>45152</v>
      </c>
      <c r="H570" s="81" t="s">
        <v>222</v>
      </c>
      <c r="I570" s="30">
        <v>45134</v>
      </c>
      <c r="J570" s="16">
        <v>1741</v>
      </c>
      <c r="K570" s="9" t="s">
        <v>1530</v>
      </c>
      <c r="L570" s="9"/>
      <c r="M570" s="152">
        <v>381800</v>
      </c>
      <c r="N570" s="153">
        <v>0</v>
      </c>
      <c r="O570" s="152">
        <v>0</v>
      </c>
      <c r="P570" s="154">
        <v>0</v>
      </c>
      <c r="Q570" s="152">
        <v>0</v>
      </c>
      <c r="R570" s="9">
        <v>381800</v>
      </c>
      <c r="S570" s="21" t="s">
        <v>1846</v>
      </c>
      <c r="T570" s="117">
        <v>0</v>
      </c>
      <c r="U570" s="117">
        <v>0</v>
      </c>
      <c r="V570" s="117">
        <v>2023</v>
      </c>
      <c r="W570" s="117">
        <v>6</v>
      </c>
      <c r="X570" s="117">
        <v>0</v>
      </c>
      <c r="Y570" s="117">
        <v>0</v>
      </c>
      <c r="Z570" s="21" t="b">
        <v>0</v>
      </c>
      <c r="AA570" s="162">
        <f>+$AD$5-Tabla2[[#This Row],[FECHA DE FACTURACIÓN]]</f>
        <v>309</v>
      </c>
      <c r="AB570" s="163" t="str">
        <f>+IF(Tabla2[[#This Row],[dias de credito]]&gt;=Tabla2[[#This Row],[PLAZO Días]],"venc", "No venc")</f>
        <v>venc</v>
      </c>
      <c r="AC570" s="163" t="str">
        <f>+IF(Tabla2[[#This Row],[FECHA DE PAGO]]&gt;0,"pagada","por pagar")</f>
        <v>pagada</v>
      </c>
      <c r="AD570" s="164" t="str">
        <f>+IF(AND(Tabla2[[#This Row],[venc]]="venc",Tabla2[[#This Row],[estado pago]]="por pagar"),"vencida","no")</f>
        <v>no</v>
      </c>
    </row>
    <row r="571" spans="1:30" ht="19.5" hidden="1" customHeight="1" x14ac:dyDescent="0.25">
      <c r="A571" s="8" t="s">
        <v>1850</v>
      </c>
      <c r="B571" s="8" t="b">
        <v>0</v>
      </c>
      <c r="C571" s="8">
        <v>60</v>
      </c>
      <c r="D571" s="151">
        <v>1730482</v>
      </c>
      <c r="E571" s="151"/>
      <c r="F571" s="24" t="s">
        <v>603</v>
      </c>
      <c r="G571" s="30">
        <v>45152</v>
      </c>
      <c r="H571" s="81" t="s">
        <v>222</v>
      </c>
      <c r="I571" s="30">
        <v>45134</v>
      </c>
      <c r="J571" s="16">
        <v>1742</v>
      </c>
      <c r="K571" s="9" t="s">
        <v>1530</v>
      </c>
      <c r="L571" s="9"/>
      <c r="M571" s="152">
        <v>381800</v>
      </c>
      <c r="N571" s="153">
        <v>0</v>
      </c>
      <c r="O571" s="152">
        <v>0</v>
      </c>
      <c r="P571" s="154">
        <v>0</v>
      </c>
      <c r="Q571" s="152">
        <v>0</v>
      </c>
      <c r="R571" s="9">
        <v>381800</v>
      </c>
      <c r="S571" s="21" t="s">
        <v>1846</v>
      </c>
      <c r="T571" s="117">
        <v>0</v>
      </c>
      <c r="U571" s="117">
        <v>0</v>
      </c>
      <c r="V571" s="117">
        <v>2023</v>
      </c>
      <c r="W571" s="117">
        <v>6</v>
      </c>
      <c r="X571" s="117">
        <v>0</v>
      </c>
      <c r="Y571" s="117">
        <v>0</v>
      </c>
      <c r="Z571" s="21" t="b">
        <v>0</v>
      </c>
      <c r="AA571" s="162">
        <f>+$AD$5-Tabla2[[#This Row],[FECHA DE FACTURACIÓN]]</f>
        <v>309</v>
      </c>
      <c r="AB571" s="163" t="str">
        <f>+IF(Tabla2[[#This Row],[dias de credito]]&gt;=Tabla2[[#This Row],[PLAZO Días]],"venc", "No venc")</f>
        <v>venc</v>
      </c>
      <c r="AC571" s="163" t="str">
        <f>+IF(Tabla2[[#This Row],[FECHA DE PAGO]]&gt;0,"pagada","por pagar")</f>
        <v>pagada</v>
      </c>
      <c r="AD571" s="164" t="str">
        <f>+IF(AND(Tabla2[[#This Row],[venc]]="venc",Tabla2[[#This Row],[estado pago]]="por pagar"),"vencida","no")</f>
        <v>no</v>
      </c>
    </row>
    <row r="572" spans="1:30" ht="19.5" hidden="1" customHeight="1" x14ac:dyDescent="0.25">
      <c r="A572" s="8" t="s">
        <v>1850</v>
      </c>
      <c r="B572" s="8" t="b">
        <v>0</v>
      </c>
      <c r="C572" s="8">
        <v>60</v>
      </c>
      <c r="D572" s="151">
        <v>1730482</v>
      </c>
      <c r="E572" s="151"/>
      <c r="F572" s="24" t="s">
        <v>603</v>
      </c>
      <c r="G572" s="30">
        <v>45152</v>
      </c>
      <c r="H572" s="81" t="s">
        <v>222</v>
      </c>
      <c r="I572" s="30">
        <v>45134</v>
      </c>
      <c r="J572" s="16">
        <v>1743</v>
      </c>
      <c r="K572" s="9" t="s">
        <v>1530</v>
      </c>
      <c r="L572" s="9"/>
      <c r="M572" s="152">
        <v>166000</v>
      </c>
      <c r="N572" s="153">
        <v>0</v>
      </c>
      <c r="O572" s="152">
        <v>0</v>
      </c>
      <c r="P572" s="154">
        <v>0</v>
      </c>
      <c r="Q572" s="152">
        <v>0</v>
      </c>
      <c r="R572" s="9">
        <v>166000</v>
      </c>
      <c r="S572" s="21" t="s">
        <v>1846</v>
      </c>
      <c r="T572" s="117">
        <v>0</v>
      </c>
      <c r="U572" s="117">
        <v>0</v>
      </c>
      <c r="V572" s="117">
        <v>2023</v>
      </c>
      <c r="W572" s="117">
        <v>6</v>
      </c>
      <c r="X572" s="117">
        <v>0</v>
      </c>
      <c r="Y572" s="117">
        <v>0</v>
      </c>
      <c r="Z572" s="21" t="b">
        <v>0</v>
      </c>
      <c r="AA572" s="162">
        <f>+$AD$5-Tabla2[[#This Row],[FECHA DE FACTURACIÓN]]</f>
        <v>309</v>
      </c>
      <c r="AB572" s="163" t="str">
        <f>+IF(Tabla2[[#This Row],[dias de credito]]&gt;=Tabla2[[#This Row],[PLAZO Días]],"venc", "No venc")</f>
        <v>venc</v>
      </c>
      <c r="AC572" s="163" t="str">
        <f>+IF(Tabla2[[#This Row],[FECHA DE PAGO]]&gt;0,"pagada","por pagar")</f>
        <v>pagada</v>
      </c>
      <c r="AD572" s="164" t="str">
        <f>+IF(AND(Tabla2[[#This Row],[venc]]="venc",Tabla2[[#This Row],[estado pago]]="por pagar"),"vencida","no")</f>
        <v>no</v>
      </c>
    </row>
    <row r="573" spans="1:30" ht="19.5" hidden="1" customHeight="1" x14ac:dyDescent="0.25">
      <c r="A573" s="8" t="s">
        <v>1850</v>
      </c>
      <c r="B573" s="8" t="b">
        <v>0</v>
      </c>
      <c r="C573" s="8">
        <v>60</v>
      </c>
      <c r="D573" s="151">
        <v>1730482</v>
      </c>
      <c r="E573" s="151"/>
      <c r="F573" s="24" t="s">
        <v>603</v>
      </c>
      <c r="G573" s="30">
        <v>45152</v>
      </c>
      <c r="H573" s="81" t="s">
        <v>222</v>
      </c>
      <c r="I573" s="30">
        <v>45134</v>
      </c>
      <c r="J573" s="16">
        <v>1744</v>
      </c>
      <c r="K573" s="9" t="s">
        <v>1530</v>
      </c>
      <c r="L573" s="9"/>
      <c r="M573" s="152">
        <v>166000</v>
      </c>
      <c r="N573" s="153">
        <v>0</v>
      </c>
      <c r="O573" s="152">
        <v>0</v>
      </c>
      <c r="P573" s="154">
        <v>0</v>
      </c>
      <c r="Q573" s="152">
        <v>0</v>
      </c>
      <c r="R573" s="9">
        <v>166000</v>
      </c>
      <c r="S573" s="21" t="s">
        <v>1846</v>
      </c>
      <c r="T573" s="117">
        <v>0</v>
      </c>
      <c r="U573" s="117">
        <v>0</v>
      </c>
      <c r="V573" s="117">
        <v>2023</v>
      </c>
      <c r="W573" s="117">
        <v>6</v>
      </c>
      <c r="X573" s="117">
        <v>0</v>
      </c>
      <c r="Y573" s="117">
        <v>0</v>
      </c>
      <c r="Z573" s="21" t="b">
        <v>0</v>
      </c>
      <c r="AA573" s="162">
        <f>+$AD$5-Tabla2[[#This Row],[FECHA DE FACTURACIÓN]]</f>
        <v>309</v>
      </c>
      <c r="AB573" s="163" t="str">
        <f>+IF(Tabla2[[#This Row],[dias de credito]]&gt;=Tabla2[[#This Row],[PLAZO Días]],"venc", "No venc")</f>
        <v>venc</v>
      </c>
      <c r="AC573" s="163" t="str">
        <f>+IF(Tabla2[[#This Row],[FECHA DE PAGO]]&gt;0,"pagada","por pagar")</f>
        <v>pagada</v>
      </c>
      <c r="AD573" s="164" t="str">
        <f>+IF(AND(Tabla2[[#This Row],[venc]]="venc",Tabla2[[#This Row],[estado pago]]="por pagar"),"vencida","no")</f>
        <v>no</v>
      </c>
    </row>
    <row r="574" spans="1:30" ht="19.5" hidden="1" customHeight="1" x14ac:dyDescent="0.25">
      <c r="A574" s="8" t="s">
        <v>1850</v>
      </c>
      <c r="B574" s="8" t="b">
        <v>0</v>
      </c>
      <c r="C574" s="8">
        <v>30</v>
      </c>
      <c r="D574" s="151">
        <v>0</v>
      </c>
      <c r="E574" s="151"/>
      <c r="F574" s="24">
        <v>0</v>
      </c>
      <c r="G574" s="30">
        <v>45152</v>
      </c>
      <c r="H574" s="81" t="s">
        <v>1823</v>
      </c>
      <c r="I574" s="30">
        <v>45146</v>
      </c>
      <c r="J574" s="16" t="s">
        <v>598</v>
      </c>
      <c r="K574" s="9" t="s">
        <v>1530</v>
      </c>
      <c r="L574" s="9"/>
      <c r="M574" s="152">
        <v>-1149500</v>
      </c>
      <c r="N574" s="153">
        <v>0</v>
      </c>
      <c r="O574" s="152">
        <v>0</v>
      </c>
      <c r="P574" s="154">
        <v>0</v>
      </c>
      <c r="Q574" s="152">
        <v>0</v>
      </c>
      <c r="R574" s="9">
        <v>-1149500</v>
      </c>
      <c r="S574" s="21" t="s">
        <v>1846</v>
      </c>
      <c r="T574" s="117">
        <v>0</v>
      </c>
      <c r="U574" s="117">
        <v>0</v>
      </c>
      <c r="V574" s="117">
        <v>2023</v>
      </c>
      <c r="W574" s="117">
        <v>6</v>
      </c>
      <c r="X574" s="117">
        <v>0</v>
      </c>
      <c r="Y574" s="117">
        <v>0</v>
      </c>
      <c r="Z574" s="21" t="b">
        <v>0</v>
      </c>
      <c r="AA574" s="162">
        <f>+$AD$5-Tabla2[[#This Row],[FECHA DE FACTURACIÓN]]</f>
        <v>297</v>
      </c>
      <c r="AB574" s="163" t="str">
        <f>+IF(Tabla2[[#This Row],[dias de credito]]&gt;=Tabla2[[#This Row],[PLAZO Días]],"venc", "No venc")</f>
        <v>venc</v>
      </c>
      <c r="AC574" s="163" t="str">
        <f>+IF(Tabla2[[#This Row],[FECHA DE PAGO]]&gt;0,"pagada","por pagar")</f>
        <v>pagada</v>
      </c>
      <c r="AD574" s="164" t="str">
        <f>+IF(AND(Tabla2[[#This Row],[venc]]="venc",Tabla2[[#This Row],[estado pago]]="por pagar"),"vencida","no")</f>
        <v>no</v>
      </c>
    </row>
    <row r="575" spans="1:30" ht="19.5" hidden="1" customHeight="1" x14ac:dyDescent="0.25">
      <c r="A575" s="8" t="s">
        <v>1850</v>
      </c>
      <c r="B575" s="8" t="b">
        <v>0</v>
      </c>
      <c r="C575" s="8">
        <v>60</v>
      </c>
      <c r="D575" s="151">
        <v>1730482</v>
      </c>
      <c r="E575" s="151"/>
      <c r="F575" s="24" t="s">
        <v>603</v>
      </c>
      <c r="G575" s="30">
        <v>45152</v>
      </c>
      <c r="H575" s="81" t="s">
        <v>222</v>
      </c>
      <c r="I575" s="30">
        <v>45207</v>
      </c>
      <c r="J575" s="16">
        <v>1755</v>
      </c>
      <c r="K575" s="9" t="s">
        <v>1530</v>
      </c>
      <c r="L575" s="9"/>
      <c r="M575" s="152">
        <v>199200</v>
      </c>
      <c r="N575" s="153">
        <v>0</v>
      </c>
      <c r="O575" s="152">
        <v>0</v>
      </c>
      <c r="P575" s="154">
        <v>0</v>
      </c>
      <c r="Q575" s="152">
        <v>0</v>
      </c>
      <c r="R575" s="9">
        <v>199200</v>
      </c>
      <c r="S575" s="21" t="s">
        <v>1846</v>
      </c>
      <c r="T575" s="117">
        <v>0</v>
      </c>
      <c r="U575" s="117">
        <v>0</v>
      </c>
      <c r="V575" s="117">
        <v>2023</v>
      </c>
      <c r="W575" s="117">
        <v>6</v>
      </c>
      <c r="X575" s="117">
        <v>0</v>
      </c>
      <c r="Y575" s="117">
        <v>0</v>
      </c>
      <c r="Z575" s="21" t="b">
        <v>0</v>
      </c>
      <c r="AA575" s="162">
        <f>+$AD$5-Tabla2[[#This Row],[FECHA DE FACTURACIÓN]]</f>
        <v>236</v>
      </c>
      <c r="AB575" s="163" t="str">
        <f>+IF(Tabla2[[#This Row],[dias de credito]]&gt;=Tabla2[[#This Row],[PLAZO Días]],"venc", "No venc")</f>
        <v>venc</v>
      </c>
      <c r="AC575" s="163" t="str">
        <f>+IF(Tabla2[[#This Row],[FECHA DE PAGO]]&gt;0,"pagada","por pagar")</f>
        <v>pagada</v>
      </c>
      <c r="AD575" s="164" t="str">
        <f>+IF(AND(Tabla2[[#This Row],[venc]]="venc",Tabla2[[#This Row],[estado pago]]="por pagar"),"vencida","no")</f>
        <v>no</v>
      </c>
    </row>
    <row r="576" spans="1:30" ht="19.5" hidden="1" customHeight="1" x14ac:dyDescent="0.25">
      <c r="A576" s="8" t="s">
        <v>1850</v>
      </c>
      <c r="B576" s="8" t="b">
        <v>0</v>
      </c>
      <c r="C576" s="8">
        <v>60</v>
      </c>
      <c r="D576" s="151">
        <v>1730482</v>
      </c>
      <c r="E576" s="151"/>
      <c r="F576" s="24" t="s">
        <v>603</v>
      </c>
      <c r="G576" s="30">
        <v>45152</v>
      </c>
      <c r="H576" s="81" t="s">
        <v>222</v>
      </c>
      <c r="I576" s="30">
        <v>45207</v>
      </c>
      <c r="J576" s="16">
        <v>1756</v>
      </c>
      <c r="K576" s="9" t="s">
        <v>1530</v>
      </c>
      <c r="L576" s="9"/>
      <c r="M576" s="152">
        <v>166000</v>
      </c>
      <c r="N576" s="153">
        <v>0</v>
      </c>
      <c r="O576" s="152">
        <v>0</v>
      </c>
      <c r="P576" s="154">
        <v>0</v>
      </c>
      <c r="Q576" s="152">
        <v>0</v>
      </c>
      <c r="R576" s="9">
        <v>166000</v>
      </c>
      <c r="S576" s="21" t="s">
        <v>1846</v>
      </c>
      <c r="T576" s="117">
        <v>0</v>
      </c>
      <c r="U576" s="117">
        <v>0</v>
      </c>
      <c r="V576" s="117">
        <v>2023</v>
      </c>
      <c r="W576" s="117">
        <v>6</v>
      </c>
      <c r="X576" s="117">
        <v>0</v>
      </c>
      <c r="Y576" s="117">
        <v>0</v>
      </c>
      <c r="Z576" s="21" t="b">
        <v>0</v>
      </c>
      <c r="AA576" s="162">
        <f>+$AD$5-Tabla2[[#This Row],[FECHA DE FACTURACIÓN]]</f>
        <v>236</v>
      </c>
      <c r="AB576" s="163" t="str">
        <f>+IF(Tabla2[[#This Row],[dias de credito]]&gt;=Tabla2[[#This Row],[PLAZO Días]],"venc", "No venc")</f>
        <v>venc</v>
      </c>
      <c r="AC576" s="163" t="str">
        <f>+IF(Tabla2[[#This Row],[FECHA DE PAGO]]&gt;0,"pagada","por pagar")</f>
        <v>pagada</v>
      </c>
      <c r="AD576" s="164" t="str">
        <f>+IF(AND(Tabla2[[#This Row],[venc]]="venc",Tabla2[[#This Row],[estado pago]]="por pagar"),"vencida","no")</f>
        <v>no</v>
      </c>
    </row>
    <row r="577" spans="1:30" ht="19.5" hidden="1" customHeight="1" x14ac:dyDescent="0.25">
      <c r="A577" s="8" t="s">
        <v>1850</v>
      </c>
      <c r="B577" s="8" t="b">
        <v>0</v>
      </c>
      <c r="C577" s="8">
        <v>60</v>
      </c>
      <c r="D577" s="151">
        <v>1730482</v>
      </c>
      <c r="E577" s="151"/>
      <c r="F577" s="24" t="s">
        <v>603</v>
      </c>
      <c r="G577" s="30">
        <v>45152</v>
      </c>
      <c r="H577" s="81" t="s">
        <v>222</v>
      </c>
      <c r="I577" s="30">
        <v>45207</v>
      </c>
      <c r="J577" s="16">
        <v>1757</v>
      </c>
      <c r="K577" s="9" t="s">
        <v>1530</v>
      </c>
      <c r="L577" s="9"/>
      <c r="M577" s="152">
        <v>166000</v>
      </c>
      <c r="N577" s="153">
        <v>0</v>
      </c>
      <c r="O577" s="152">
        <v>0</v>
      </c>
      <c r="P577" s="154">
        <v>0</v>
      </c>
      <c r="Q577" s="152">
        <v>0</v>
      </c>
      <c r="R577" s="9">
        <v>166000</v>
      </c>
      <c r="S577" s="21" t="s">
        <v>1846</v>
      </c>
      <c r="T577" s="117">
        <v>0</v>
      </c>
      <c r="U577" s="117">
        <v>0</v>
      </c>
      <c r="V577" s="117">
        <v>2023</v>
      </c>
      <c r="W577" s="117">
        <v>6</v>
      </c>
      <c r="X577" s="117">
        <v>0</v>
      </c>
      <c r="Y577" s="117">
        <v>0</v>
      </c>
      <c r="Z577" s="21" t="b">
        <v>0</v>
      </c>
      <c r="AA577" s="162">
        <f>+$AD$5-Tabla2[[#This Row],[FECHA DE FACTURACIÓN]]</f>
        <v>236</v>
      </c>
      <c r="AB577" s="163" t="str">
        <f>+IF(Tabla2[[#This Row],[dias de credito]]&gt;=Tabla2[[#This Row],[PLAZO Días]],"venc", "No venc")</f>
        <v>venc</v>
      </c>
      <c r="AC577" s="163" t="str">
        <f>+IF(Tabla2[[#This Row],[FECHA DE PAGO]]&gt;0,"pagada","por pagar")</f>
        <v>pagada</v>
      </c>
      <c r="AD577" s="164" t="str">
        <f>+IF(AND(Tabla2[[#This Row],[venc]]="venc",Tabla2[[#This Row],[estado pago]]="por pagar"),"vencida","no")</f>
        <v>no</v>
      </c>
    </row>
    <row r="578" spans="1:30" ht="19.5" hidden="1" customHeight="1" x14ac:dyDescent="0.25">
      <c r="A578" s="8" t="s">
        <v>1850</v>
      </c>
      <c r="B578" s="8" t="b">
        <v>0</v>
      </c>
      <c r="C578" s="8">
        <v>60</v>
      </c>
      <c r="D578" s="151">
        <v>1730482</v>
      </c>
      <c r="E578" s="151"/>
      <c r="F578" s="24" t="s">
        <v>603</v>
      </c>
      <c r="G578" s="30">
        <v>45152</v>
      </c>
      <c r="H578" s="81" t="s">
        <v>222</v>
      </c>
      <c r="I578" s="30">
        <v>45207</v>
      </c>
      <c r="J578" s="16">
        <v>1758</v>
      </c>
      <c r="K578" s="9" t="s">
        <v>1530</v>
      </c>
      <c r="L578" s="9"/>
      <c r="M578" s="152">
        <v>166000</v>
      </c>
      <c r="N578" s="153">
        <v>0</v>
      </c>
      <c r="O578" s="152">
        <v>0</v>
      </c>
      <c r="P578" s="154">
        <v>0</v>
      </c>
      <c r="Q578" s="152">
        <v>0</v>
      </c>
      <c r="R578" s="9">
        <v>166000</v>
      </c>
      <c r="S578" s="21" t="s">
        <v>1846</v>
      </c>
      <c r="T578" s="117">
        <v>0</v>
      </c>
      <c r="U578" s="117">
        <v>0</v>
      </c>
      <c r="V578" s="117">
        <v>2023</v>
      </c>
      <c r="W578" s="117">
        <v>6</v>
      </c>
      <c r="X578" s="117">
        <v>0</v>
      </c>
      <c r="Y578" s="117">
        <v>0</v>
      </c>
      <c r="Z578" s="21" t="b">
        <v>0</v>
      </c>
      <c r="AA578" s="162">
        <f>+$AD$5-Tabla2[[#This Row],[FECHA DE FACTURACIÓN]]</f>
        <v>236</v>
      </c>
      <c r="AB578" s="163" t="str">
        <f>+IF(Tabla2[[#This Row],[dias de credito]]&gt;=Tabla2[[#This Row],[PLAZO Días]],"venc", "No venc")</f>
        <v>venc</v>
      </c>
      <c r="AC578" s="163" t="str">
        <f>+IF(Tabla2[[#This Row],[FECHA DE PAGO]]&gt;0,"pagada","por pagar")</f>
        <v>pagada</v>
      </c>
      <c r="AD578" s="164" t="str">
        <f>+IF(AND(Tabla2[[#This Row],[venc]]="venc",Tabla2[[#This Row],[estado pago]]="por pagar"),"vencida","no")</f>
        <v>no</v>
      </c>
    </row>
    <row r="579" spans="1:30" ht="19.5" hidden="1" customHeight="1" x14ac:dyDescent="0.25">
      <c r="A579" s="8" t="s">
        <v>1850</v>
      </c>
      <c r="B579" s="8" t="b">
        <v>0</v>
      </c>
      <c r="C579" s="8">
        <v>60</v>
      </c>
      <c r="D579" s="151">
        <v>1730482</v>
      </c>
      <c r="E579" s="151"/>
      <c r="F579" s="24" t="s">
        <v>603</v>
      </c>
      <c r="G579" s="30">
        <v>45152</v>
      </c>
      <c r="H579" s="81" t="s">
        <v>222</v>
      </c>
      <c r="I579" s="30">
        <v>45207</v>
      </c>
      <c r="J579" s="16">
        <v>1759</v>
      </c>
      <c r="K579" s="9" t="s">
        <v>1530</v>
      </c>
      <c r="L579" s="9"/>
      <c r="M579" s="152">
        <v>166000</v>
      </c>
      <c r="N579" s="153">
        <v>0</v>
      </c>
      <c r="O579" s="152">
        <v>0</v>
      </c>
      <c r="P579" s="154">
        <v>0</v>
      </c>
      <c r="Q579" s="152">
        <v>0</v>
      </c>
      <c r="R579" s="9">
        <v>166000</v>
      </c>
      <c r="S579" s="21" t="s">
        <v>1846</v>
      </c>
      <c r="T579" s="117">
        <v>0</v>
      </c>
      <c r="U579" s="117">
        <v>0</v>
      </c>
      <c r="V579" s="117">
        <v>2023</v>
      </c>
      <c r="W579" s="117">
        <v>6</v>
      </c>
      <c r="X579" s="117">
        <v>0</v>
      </c>
      <c r="Y579" s="117">
        <v>0</v>
      </c>
      <c r="Z579" s="21" t="b">
        <v>0</v>
      </c>
      <c r="AA579" s="162">
        <f>+$AD$5-Tabla2[[#This Row],[FECHA DE FACTURACIÓN]]</f>
        <v>236</v>
      </c>
      <c r="AB579" s="163" t="str">
        <f>+IF(Tabla2[[#This Row],[dias de credito]]&gt;=Tabla2[[#This Row],[PLAZO Días]],"venc", "No venc")</f>
        <v>venc</v>
      </c>
      <c r="AC579" s="163" t="str">
        <f>+IF(Tabla2[[#This Row],[FECHA DE PAGO]]&gt;0,"pagada","por pagar")</f>
        <v>pagada</v>
      </c>
      <c r="AD579" s="164" t="str">
        <f>+IF(AND(Tabla2[[#This Row],[venc]]="venc",Tabla2[[#This Row],[estado pago]]="por pagar"),"vencida","no")</f>
        <v>no</v>
      </c>
    </row>
    <row r="580" spans="1:30" ht="19.5" hidden="1" customHeight="1" x14ac:dyDescent="0.25">
      <c r="A580" s="8" t="s">
        <v>1850</v>
      </c>
      <c r="B580" s="8" t="b">
        <v>0</v>
      </c>
      <c r="C580" s="8">
        <v>60</v>
      </c>
      <c r="D580" s="151">
        <v>1730482</v>
      </c>
      <c r="E580" s="151"/>
      <c r="F580" s="24" t="s">
        <v>603</v>
      </c>
      <c r="G580" s="30">
        <v>45152</v>
      </c>
      <c r="H580" s="81" t="s">
        <v>222</v>
      </c>
      <c r="I580" s="30">
        <v>45207</v>
      </c>
      <c r="J580" s="16">
        <v>1760</v>
      </c>
      <c r="K580" s="9" t="s">
        <v>1530</v>
      </c>
      <c r="L580" s="9"/>
      <c r="M580" s="152">
        <v>166000</v>
      </c>
      <c r="N580" s="153">
        <v>0</v>
      </c>
      <c r="O580" s="152">
        <v>0</v>
      </c>
      <c r="P580" s="154">
        <v>0</v>
      </c>
      <c r="Q580" s="152">
        <v>0</v>
      </c>
      <c r="R580" s="9">
        <v>166000</v>
      </c>
      <c r="S580" s="21" t="s">
        <v>1846</v>
      </c>
      <c r="T580" s="117">
        <v>0</v>
      </c>
      <c r="U580" s="117">
        <v>0</v>
      </c>
      <c r="V580" s="117">
        <v>2023</v>
      </c>
      <c r="W580" s="117">
        <v>6</v>
      </c>
      <c r="X580" s="117">
        <v>0</v>
      </c>
      <c r="Y580" s="117">
        <v>0</v>
      </c>
      <c r="Z580" s="21" t="b">
        <v>0</v>
      </c>
      <c r="AA580" s="162">
        <f>+$AD$5-Tabla2[[#This Row],[FECHA DE FACTURACIÓN]]</f>
        <v>236</v>
      </c>
      <c r="AB580" s="163" t="str">
        <f>+IF(Tabla2[[#This Row],[dias de credito]]&gt;=Tabla2[[#This Row],[PLAZO Días]],"venc", "No venc")</f>
        <v>venc</v>
      </c>
      <c r="AC580" s="163" t="str">
        <f>+IF(Tabla2[[#This Row],[FECHA DE PAGO]]&gt;0,"pagada","por pagar")</f>
        <v>pagada</v>
      </c>
      <c r="AD580" s="164" t="str">
        <f>+IF(AND(Tabla2[[#This Row],[venc]]="venc",Tabla2[[#This Row],[estado pago]]="por pagar"),"vencida","no")</f>
        <v>no</v>
      </c>
    </row>
    <row r="581" spans="1:30" ht="19.5" hidden="1" customHeight="1" x14ac:dyDescent="0.25">
      <c r="A581" s="8" t="s">
        <v>1852</v>
      </c>
      <c r="B581" s="8" t="b">
        <v>0</v>
      </c>
      <c r="C581" s="8">
        <v>0</v>
      </c>
      <c r="D581" s="151">
        <v>0</v>
      </c>
      <c r="E581" s="151"/>
      <c r="F581" s="24">
        <v>0</v>
      </c>
      <c r="G581" s="30">
        <v>45153</v>
      </c>
      <c r="H581" s="81" t="s">
        <v>976</v>
      </c>
      <c r="I581" s="30">
        <v>45153</v>
      </c>
      <c r="J581" s="16">
        <v>471</v>
      </c>
      <c r="K581" s="9" t="s">
        <v>1530</v>
      </c>
      <c r="L581" s="9"/>
      <c r="M581" s="152">
        <v>234000</v>
      </c>
      <c r="N581" s="153">
        <v>44460</v>
      </c>
      <c r="O581" s="152">
        <v>0</v>
      </c>
      <c r="P581" s="154">
        <v>0</v>
      </c>
      <c r="Q581" s="152">
        <v>0</v>
      </c>
      <c r="R581" s="9">
        <v>278460</v>
      </c>
      <c r="S581" s="21" t="s">
        <v>1846</v>
      </c>
      <c r="T581" s="117">
        <v>0</v>
      </c>
      <c r="U581" s="117" t="s">
        <v>347</v>
      </c>
      <c r="V581" s="117">
        <v>2023</v>
      </c>
      <c r="W581" s="117">
        <v>6</v>
      </c>
      <c r="X581" s="117">
        <v>1145000</v>
      </c>
      <c r="Y581" s="117">
        <v>2.5000000000000001E-2</v>
      </c>
      <c r="Z581" s="21" t="b">
        <v>0</v>
      </c>
      <c r="AA581" s="162">
        <f>+$AD$5-Tabla2[[#This Row],[FECHA DE FACTURACIÓN]]</f>
        <v>290</v>
      </c>
      <c r="AB581" s="163" t="str">
        <f>+IF(Tabla2[[#This Row],[dias de credito]]&gt;=Tabla2[[#This Row],[PLAZO Días]],"venc", "No venc")</f>
        <v>venc</v>
      </c>
      <c r="AC581" s="163" t="str">
        <f>+IF(Tabla2[[#This Row],[FECHA DE PAGO]]&gt;0,"pagada","por pagar")</f>
        <v>pagada</v>
      </c>
      <c r="AD581" s="164" t="str">
        <f>+IF(AND(Tabla2[[#This Row],[venc]]="venc",Tabla2[[#This Row],[estado pago]]="por pagar"),"vencida","no")</f>
        <v>no</v>
      </c>
    </row>
    <row r="582" spans="1:30" ht="19.5" hidden="1" customHeight="1" x14ac:dyDescent="0.25">
      <c r="A582" s="8" t="s">
        <v>1850</v>
      </c>
      <c r="B582" s="8" t="b">
        <v>0</v>
      </c>
      <c r="C582" s="8">
        <v>30</v>
      </c>
      <c r="D582" s="151">
        <v>0</v>
      </c>
      <c r="E582" s="151"/>
      <c r="F582" s="24" t="s">
        <v>153</v>
      </c>
      <c r="G582" s="30">
        <v>45154</v>
      </c>
      <c r="H582" s="81" t="s">
        <v>394</v>
      </c>
      <c r="I582" s="30">
        <v>45139</v>
      </c>
      <c r="J582" s="16" t="s">
        <v>1038</v>
      </c>
      <c r="K582" s="9" t="s">
        <v>1530</v>
      </c>
      <c r="L582" s="9"/>
      <c r="M582" s="152">
        <v>243611</v>
      </c>
      <c r="N582" s="153">
        <v>46286.090000000004</v>
      </c>
      <c r="O582" s="152">
        <v>0</v>
      </c>
      <c r="P582" s="154">
        <v>3.5000000000000003E-2</v>
      </c>
      <c r="Q582" s="152">
        <v>8526.3850000000002</v>
      </c>
      <c r="R582" s="9">
        <v>281370.70500000002</v>
      </c>
      <c r="S582" s="21" t="s">
        <v>1846</v>
      </c>
      <c r="T582" s="117">
        <v>0</v>
      </c>
      <c r="U582" s="117" t="s">
        <v>348</v>
      </c>
      <c r="V582" s="117">
        <v>2023</v>
      </c>
      <c r="W582" s="117">
        <v>6</v>
      </c>
      <c r="X582" s="117">
        <v>0</v>
      </c>
      <c r="Y582" s="117">
        <v>3.5000000000000003E-2</v>
      </c>
      <c r="Z582" s="21" t="b">
        <v>1</v>
      </c>
      <c r="AA582" s="162">
        <f>+$AD$5-Tabla2[[#This Row],[FECHA DE FACTURACIÓN]]</f>
        <v>304</v>
      </c>
      <c r="AB582" s="163" t="str">
        <f>+IF(Tabla2[[#This Row],[dias de credito]]&gt;=Tabla2[[#This Row],[PLAZO Días]],"venc", "No venc")</f>
        <v>venc</v>
      </c>
      <c r="AC582" s="163" t="str">
        <f>+IF(Tabla2[[#This Row],[FECHA DE PAGO]]&gt;0,"pagada","por pagar")</f>
        <v>pagada</v>
      </c>
      <c r="AD582" s="164" t="str">
        <f>+IF(AND(Tabla2[[#This Row],[venc]]="venc",Tabla2[[#This Row],[estado pago]]="por pagar"),"vencida","no")</f>
        <v>no</v>
      </c>
    </row>
    <row r="583" spans="1:30" ht="19.5" hidden="1" customHeight="1" x14ac:dyDescent="0.25">
      <c r="A583" s="8" t="s">
        <v>1850</v>
      </c>
      <c r="B583" s="8" t="b">
        <v>0</v>
      </c>
      <c r="C583" s="8">
        <v>30</v>
      </c>
      <c r="D583" s="151">
        <v>0</v>
      </c>
      <c r="E583" s="151"/>
      <c r="F583" s="24" t="s">
        <v>1447</v>
      </c>
      <c r="G583" s="30">
        <v>45154</v>
      </c>
      <c r="H583" s="81" t="s">
        <v>373</v>
      </c>
      <c r="I583" s="30">
        <v>45140</v>
      </c>
      <c r="J583" s="16" t="s">
        <v>977</v>
      </c>
      <c r="K583" s="9" t="s">
        <v>1530</v>
      </c>
      <c r="L583" s="9"/>
      <c r="M583" s="152">
        <v>1840056</v>
      </c>
      <c r="N583" s="153">
        <v>0</v>
      </c>
      <c r="O583" s="152">
        <v>0</v>
      </c>
      <c r="P583" s="154">
        <v>0</v>
      </c>
      <c r="Q583" s="152">
        <v>0</v>
      </c>
      <c r="R583" s="9">
        <v>1840056</v>
      </c>
      <c r="S583" s="21" t="s">
        <v>1846</v>
      </c>
      <c r="T583" s="117">
        <v>0</v>
      </c>
      <c r="U583" s="117">
        <v>0</v>
      </c>
      <c r="V583" s="117">
        <v>2023</v>
      </c>
      <c r="W583" s="117">
        <v>6</v>
      </c>
      <c r="X583" s="117">
        <v>0</v>
      </c>
      <c r="Y583" s="117">
        <v>0</v>
      </c>
      <c r="Z583" s="21" t="b">
        <v>1</v>
      </c>
      <c r="AA583" s="162">
        <f>+$AD$5-Tabla2[[#This Row],[FECHA DE FACTURACIÓN]]</f>
        <v>303</v>
      </c>
      <c r="AB583" s="163" t="str">
        <f>+IF(Tabla2[[#This Row],[dias de credito]]&gt;=Tabla2[[#This Row],[PLAZO Días]],"venc", "No venc")</f>
        <v>venc</v>
      </c>
      <c r="AC583" s="163" t="str">
        <f>+IF(Tabla2[[#This Row],[FECHA DE PAGO]]&gt;0,"pagada","por pagar")</f>
        <v>pagada</v>
      </c>
      <c r="AD583" s="164" t="str">
        <f>+IF(AND(Tabla2[[#This Row],[venc]]="venc",Tabla2[[#This Row],[estado pago]]="por pagar"),"vencida","no")</f>
        <v>no</v>
      </c>
    </row>
    <row r="584" spans="1:30" ht="19.5" hidden="1" customHeight="1" x14ac:dyDescent="0.25">
      <c r="A584" s="8" t="s">
        <v>1852</v>
      </c>
      <c r="B584" s="8" t="b">
        <v>0</v>
      </c>
      <c r="C584" s="8">
        <v>30</v>
      </c>
      <c r="D584" s="151">
        <v>0</v>
      </c>
      <c r="E584" s="151"/>
      <c r="F584" s="24">
        <v>0</v>
      </c>
      <c r="G584" s="30">
        <v>45154</v>
      </c>
      <c r="H584" s="81" t="s">
        <v>898</v>
      </c>
      <c r="I584" s="30">
        <v>45154</v>
      </c>
      <c r="J584" s="16" t="s">
        <v>1033</v>
      </c>
      <c r="K584" s="9" t="s">
        <v>1530</v>
      </c>
      <c r="L584" s="9"/>
      <c r="M584" s="152">
        <v>216800</v>
      </c>
      <c r="N584" s="153">
        <v>0</v>
      </c>
      <c r="O584" s="152">
        <v>0</v>
      </c>
      <c r="P584" s="154">
        <v>0</v>
      </c>
      <c r="Q584" s="152">
        <v>0</v>
      </c>
      <c r="R584" s="9">
        <v>216800</v>
      </c>
      <c r="S584" s="21" t="s">
        <v>1846</v>
      </c>
      <c r="T584" s="117">
        <v>0</v>
      </c>
      <c r="U584" s="117">
        <v>0</v>
      </c>
      <c r="V584" s="117">
        <v>2023</v>
      </c>
      <c r="W584" s="117">
        <v>6</v>
      </c>
      <c r="X584" s="117">
        <v>0</v>
      </c>
      <c r="Y584" s="117">
        <v>0</v>
      </c>
      <c r="Z584" s="21" t="b">
        <v>0</v>
      </c>
      <c r="AA584" s="162">
        <f>+$AD$5-Tabla2[[#This Row],[FECHA DE FACTURACIÓN]]</f>
        <v>289</v>
      </c>
      <c r="AB584" s="163" t="str">
        <f>+IF(Tabla2[[#This Row],[dias de credito]]&gt;=Tabla2[[#This Row],[PLAZO Días]],"venc", "No venc")</f>
        <v>venc</v>
      </c>
      <c r="AC584" s="163" t="str">
        <f>+IF(Tabla2[[#This Row],[FECHA DE PAGO]]&gt;0,"pagada","por pagar")</f>
        <v>pagada</v>
      </c>
      <c r="AD584" s="164" t="str">
        <f>+IF(AND(Tabla2[[#This Row],[venc]]="venc",Tabla2[[#This Row],[estado pago]]="por pagar"),"vencida","no")</f>
        <v>no</v>
      </c>
    </row>
    <row r="585" spans="1:30" ht="19.5" hidden="1" customHeight="1" x14ac:dyDescent="0.25">
      <c r="A585" s="8" t="s">
        <v>1850</v>
      </c>
      <c r="B585" s="8" t="b">
        <v>0</v>
      </c>
      <c r="C585" s="8">
        <v>30</v>
      </c>
      <c r="D585" s="151">
        <v>0</v>
      </c>
      <c r="E585" s="151"/>
      <c r="F585" s="24" t="s">
        <v>84</v>
      </c>
      <c r="G585" s="30">
        <v>45155</v>
      </c>
      <c r="H585" s="81" t="s">
        <v>23</v>
      </c>
      <c r="I585" s="30">
        <v>45147</v>
      </c>
      <c r="J585" s="16">
        <v>90105</v>
      </c>
      <c r="K585" s="9" t="s">
        <v>1530</v>
      </c>
      <c r="L585" s="9"/>
      <c r="M585" s="152">
        <v>50292956.899999999</v>
      </c>
      <c r="N585" s="153">
        <v>0</v>
      </c>
      <c r="O585" s="152">
        <v>0</v>
      </c>
      <c r="P585" s="154">
        <v>0</v>
      </c>
      <c r="Q585" s="152">
        <v>0</v>
      </c>
      <c r="R585" s="9">
        <v>50292956.899999999</v>
      </c>
      <c r="S585" s="21" t="s">
        <v>1846</v>
      </c>
      <c r="T585" s="117">
        <v>0</v>
      </c>
      <c r="U585" s="117">
        <v>0</v>
      </c>
      <c r="V585" s="117">
        <v>2023</v>
      </c>
      <c r="W585" s="117">
        <v>6</v>
      </c>
      <c r="X585" s="117">
        <v>0</v>
      </c>
      <c r="Y585" s="117">
        <v>0</v>
      </c>
      <c r="Z585" s="21" t="b">
        <v>0</v>
      </c>
      <c r="AA585" s="162">
        <f>+$AD$5-Tabla2[[#This Row],[FECHA DE FACTURACIÓN]]</f>
        <v>296</v>
      </c>
      <c r="AB585" s="163" t="str">
        <f>+IF(Tabla2[[#This Row],[dias de credito]]&gt;=Tabla2[[#This Row],[PLAZO Días]],"venc", "No venc")</f>
        <v>venc</v>
      </c>
      <c r="AC585" s="163" t="str">
        <f>+IF(Tabla2[[#This Row],[FECHA DE PAGO]]&gt;0,"pagada","por pagar")</f>
        <v>pagada</v>
      </c>
      <c r="AD585" s="164" t="str">
        <f>+IF(AND(Tabla2[[#This Row],[venc]]="venc",Tabla2[[#This Row],[estado pago]]="por pagar"),"vencida","no")</f>
        <v>no</v>
      </c>
    </row>
    <row r="586" spans="1:30" ht="19.5" hidden="1" customHeight="1" x14ac:dyDescent="0.25">
      <c r="A586" s="8" t="s">
        <v>1850</v>
      </c>
      <c r="B586" s="8" t="b">
        <v>0</v>
      </c>
      <c r="C586" s="8">
        <v>30</v>
      </c>
      <c r="D586" s="151">
        <v>0</v>
      </c>
      <c r="E586" s="151"/>
      <c r="F586" s="24" t="s">
        <v>268</v>
      </c>
      <c r="G586" s="30">
        <v>45156</v>
      </c>
      <c r="H586" s="81" t="s">
        <v>376</v>
      </c>
      <c r="I586" s="30">
        <v>45139</v>
      </c>
      <c r="J586" s="16" t="s">
        <v>979</v>
      </c>
      <c r="K586" s="9" t="s">
        <v>1530</v>
      </c>
      <c r="L586" s="9"/>
      <c r="M586" s="152">
        <v>318603</v>
      </c>
      <c r="N586" s="153">
        <v>0</v>
      </c>
      <c r="O586" s="152">
        <v>0</v>
      </c>
      <c r="P586" s="154">
        <v>0</v>
      </c>
      <c r="Q586" s="152">
        <v>0</v>
      </c>
      <c r="R586" s="9">
        <v>318603</v>
      </c>
      <c r="S586" s="21" t="s">
        <v>1846</v>
      </c>
      <c r="T586" s="117">
        <v>0</v>
      </c>
      <c r="U586" s="117">
        <v>0</v>
      </c>
      <c r="V586" s="117">
        <v>2023</v>
      </c>
      <c r="W586" s="117">
        <v>6</v>
      </c>
      <c r="X586" s="117">
        <v>0</v>
      </c>
      <c r="Y586" s="117">
        <v>0</v>
      </c>
      <c r="Z586" s="21" t="b">
        <v>1</v>
      </c>
      <c r="AA586" s="162">
        <f>+$AD$5-Tabla2[[#This Row],[FECHA DE FACTURACIÓN]]</f>
        <v>304</v>
      </c>
      <c r="AB586" s="163" t="str">
        <f>+IF(Tabla2[[#This Row],[dias de credito]]&gt;=Tabla2[[#This Row],[PLAZO Días]],"venc", "No venc")</f>
        <v>venc</v>
      </c>
      <c r="AC586" s="163" t="str">
        <f>+IF(Tabla2[[#This Row],[FECHA DE PAGO]]&gt;0,"pagada","por pagar")</f>
        <v>pagada</v>
      </c>
      <c r="AD586" s="164" t="str">
        <f>+IF(AND(Tabla2[[#This Row],[venc]]="venc",Tabla2[[#This Row],[estado pago]]="por pagar"),"vencida","no")</f>
        <v>no</v>
      </c>
    </row>
    <row r="587" spans="1:30" ht="19.5" hidden="1" customHeight="1" x14ac:dyDescent="0.25">
      <c r="A587" s="8" t="s">
        <v>1852</v>
      </c>
      <c r="B587" s="8" t="b">
        <v>0</v>
      </c>
      <c r="C587" s="8">
        <v>30</v>
      </c>
      <c r="D587" s="151">
        <v>0</v>
      </c>
      <c r="E587" s="151"/>
      <c r="F587" s="24" t="s">
        <v>84</v>
      </c>
      <c r="G587" s="30">
        <v>45156</v>
      </c>
      <c r="H587" s="81" t="s">
        <v>36</v>
      </c>
      <c r="I587" s="30">
        <v>45156</v>
      </c>
      <c r="J587" s="16" t="s">
        <v>1000</v>
      </c>
      <c r="K587" s="9" t="s">
        <v>1530</v>
      </c>
      <c r="L587" s="9"/>
      <c r="M587" s="152">
        <v>18513</v>
      </c>
      <c r="N587" s="153">
        <v>3517.4700000000003</v>
      </c>
      <c r="O587" s="152">
        <v>0</v>
      </c>
      <c r="P587" s="154">
        <v>0</v>
      </c>
      <c r="Q587" s="152">
        <v>0</v>
      </c>
      <c r="R587" s="9">
        <v>22030.47</v>
      </c>
      <c r="S587" s="21" t="s">
        <v>1846</v>
      </c>
      <c r="T587" s="117">
        <v>0</v>
      </c>
      <c r="U587" s="117" t="s">
        <v>347</v>
      </c>
      <c r="V587" s="117">
        <v>2023</v>
      </c>
      <c r="W587" s="117">
        <v>6</v>
      </c>
      <c r="X587" s="117">
        <v>1145000</v>
      </c>
      <c r="Y587" s="117">
        <v>2.5000000000000001E-2</v>
      </c>
      <c r="Z587" s="21" t="b">
        <v>0</v>
      </c>
      <c r="AA587" s="162">
        <f>+$AD$5-Tabla2[[#This Row],[FECHA DE FACTURACIÓN]]</f>
        <v>287</v>
      </c>
      <c r="AB587" s="163" t="str">
        <f>+IF(Tabla2[[#This Row],[dias de credito]]&gt;=Tabla2[[#This Row],[PLAZO Días]],"venc", "No venc")</f>
        <v>venc</v>
      </c>
      <c r="AC587" s="163" t="str">
        <f>+IF(Tabla2[[#This Row],[FECHA DE PAGO]]&gt;0,"pagada","por pagar")</f>
        <v>pagada</v>
      </c>
      <c r="AD587" s="164" t="str">
        <f>+IF(AND(Tabla2[[#This Row],[venc]]="venc",Tabla2[[#This Row],[estado pago]]="por pagar"),"vencida","no")</f>
        <v>no</v>
      </c>
    </row>
    <row r="588" spans="1:30" ht="19.5" hidden="1" customHeight="1" x14ac:dyDescent="0.25">
      <c r="A588" s="8" t="s">
        <v>1852</v>
      </c>
      <c r="B588" s="8" t="b">
        <v>0</v>
      </c>
      <c r="C588" s="8">
        <v>30</v>
      </c>
      <c r="D588" s="151">
        <v>0</v>
      </c>
      <c r="E588" s="151"/>
      <c r="F588" s="24" t="s">
        <v>84</v>
      </c>
      <c r="G588" s="30">
        <v>45157</v>
      </c>
      <c r="H588" s="81" t="s">
        <v>525</v>
      </c>
      <c r="I588" s="30">
        <v>45157</v>
      </c>
      <c r="J588" s="16" t="s">
        <v>994</v>
      </c>
      <c r="K588" s="9" t="s">
        <v>1530</v>
      </c>
      <c r="L588" s="9"/>
      <c r="M588" s="152">
        <v>50000</v>
      </c>
      <c r="N588" s="153">
        <v>0</v>
      </c>
      <c r="O588" s="152">
        <v>0</v>
      </c>
      <c r="P588" s="154">
        <v>0</v>
      </c>
      <c r="Q588" s="152">
        <v>0</v>
      </c>
      <c r="R588" s="9">
        <v>50000</v>
      </c>
      <c r="S588" s="21" t="s">
        <v>1846</v>
      </c>
      <c r="T588" s="117">
        <v>0</v>
      </c>
      <c r="U588" s="117">
        <v>0</v>
      </c>
      <c r="V588" s="117">
        <v>2023</v>
      </c>
      <c r="W588" s="117">
        <v>6</v>
      </c>
      <c r="X588" s="117">
        <v>0</v>
      </c>
      <c r="Y588" s="117">
        <v>0</v>
      </c>
      <c r="Z588" s="21" t="b">
        <v>0</v>
      </c>
      <c r="AA588" s="162">
        <f>+$AD$5-Tabla2[[#This Row],[FECHA DE FACTURACIÓN]]</f>
        <v>286</v>
      </c>
      <c r="AB588" s="163" t="str">
        <f>+IF(Tabla2[[#This Row],[dias de credito]]&gt;=Tabla2[[#This Row],[PLAZO Días]],"venc", "No venc")</f>
        <v>venc</v>
      </c>
      <c r="AC588" s="163" t="str">
        <f>+IF(Tabla2[[#This Row],[FECHA DE PAGO]]&gt;0,"pagada","por pagar")</f>
        <v>pagada</v>
      </c>
      <c r="AD588" s="164" t="str">
        <f>+IF(AND(Tabla2[[#This Row],[venc]]="venc",Tabla2[[#This Row],[estado pago]]="por pagar"),"vencida","no")</f>
        <v>no</v>
      </c>
    </row>
    <row r="589" spans="1:30" ht="19.5" hidden="1" customHeight="1" x14ac:dyDescent="0.25">
      <c r="A589" s="8" t="s">
        <v>1850</v>
      </c>
      <c r="B589" s="8" t="s">
        <v>1851</v>
      </c>
      <c r="C589" s="8">
        <v>30</v>
      </c>
      <c r="D589" s="151">
        <v>2080356.81</v>
      </c>
      <c r="E589" s="151"/>
      <c r="F589" s="24" t="s">
        <v>409</v>
      </c>
      <c r="G589" s="30">
        <v>45160</v>
      </c>
      <c r="H589" s="81" t="s">
        <v>31</v>
      </c>
      <c r="I589" s="30">
        <v>45100</v>
      </c>
      <c r="J589" s="16" t="s">
        <v>879</v>
      </c>
      <c r="K589" s="9" t="s">
        <v>1530</v>
      </c>
      <c r="L589" s="9"/>
      <c r="M589" s="152">
        <v>1119664</v>
      </c>
      <c r="N589" s="153">
        <v>212736.16</v>
      </c>
      <c r="O589" s="152">
        <v>0</v>
      </c>
      <c r="P589" s="154">
        <v>0</v>
      </c>
      <c r="Q589" s="152">
        <v>0</v>
      </c>
      <c r="R589" s="9">
        <v>1332400.1599999999</v>
      </c>
      <c r="S589" s="21" t="s">
        <v>1846</v>
      </c>
      <c r="T589" s="117">
        <v>0</v>
      </c>
      <c r="U589" s="117" t="s">
        <v>347</v>
      </c>
      <c r="V589" s="117">
        <v>2023</v>
      </c>
      <c r="W589" s="117">
        <v>6</v>
      </c>
      <c r="X589" s="117">
        <v>1145000</v>
      </c>
      <c r="Y589" s="117">
        <v>2.5000000000000001E-2</v>
      </c>
      <c r="Z589" s="21" t="b">
        <v>0</v>
      </c>
      <c r="AA589" s="162">
        <f>+$AD$5-Tabla2[[#This Row],[FECHA DE FACTURACIÓN]]</f>
        <v>343</v>
      </c>
      <c r="AB589" s="163" t="str">
        <f>+IF(Tabla2[[#This Row],[dias de credito]]&gt;=Tabla2[[#This Row],[PLAZO Días]],"venc", "No venc")</f>
        <v>venc</v>
      </c>
      <c r="AC589" s="163" t="str">
        <f>+IF(Tabla2[[#This Row],[FECHA DE PAGO]]&gt;0,"pagada","por pagar")</f>
        <v>pagada</v>
      </c>
      <c r="AD589" s="164" t="str">
        <f>+IF(AND(Tabla2[[#This Row],[venc]]="venc",Tabla2[[#This Row],[estado pago]]="por pagar"),"vencida","no")</f>
        <v>no</v>
      </c>
    </row>
    <row r="590" spans="1:30" ht="19.5" hidden="1" customHeight="1" x14ac:dyDescent="0.25">
      <c r="A590" s="8" t="s">
        <v>1850</v>
      </c>
      <c r="B590" s="8" t="b">
        <v>0</v>
      </c>
      <c r="C590" s="8">
        <v>30</v>
      </c>
      <c r="D590" s="151">
        <v>0</v>
      </c>
      <c r="E590" s="151"/>
      <c r="F590" s="24" t="s">
        <v>206</v>
      </c>
      <c r="G590" s="30">
        <v>45160</v>
      </c>
      <c r="H590" s="81" t="s">
        <v>380</v>
      </c>
      <c r="I590" s="30">
        <v>45148</v>
      </c>
      <c r="J590" s="16" t="s">
        <v>985</v>
      </c>
      <c r="K590" s="9" t="s">
        <v>1530</v>
      </c>
      <c r="L590" s="9"/>
      <c r="M590" s="152">
        <v>3456200</v>
      </c>
      <c r="N590" s="153">
        <v>0</v>
      </c>
      <c r="O590" s="152">
        <v>0</v>
      </c>
      <c r="P590" s="154">
        <v>3.5000000000000003E-2</v>
      </c>
      <c r="Q590" s="152">
        <v>120967.00000000001</v>
      </c>
      <c r="R590" s="9">
        <v>3335233</v>
      </c>
      <c r="S590" s="21" t="s">
        <v>1846</v>
      </c>
      <c r="T590" s="117">
        <v>0</v>
      </c>
      <c r="U590" s="117" t="s">
        <v>348</v>
      </c>
      <c r="V590" s="117">
        <v>2023</v>
      </c>
      <c r="W590" s="117">
        <v>6</v>
      </c>
      <c r="X590" s="117">
        <v>0</v>
      </c>
      <c r="Y590" s="117">
        <v>3.5000000000000003E-2</v>
      </c>
      <c r="Z590" s="21" t="b">
        <v>1</v>
      </c>
      <c r="AA590" s="162">
        <f>+$AD$5-Tabla2[[#This Row],[FECHA DE FACTURACIÓN]]</f>
        <v>295</v>
      </c>
      <c r="AB590" s="163" t="str">
        <f>+IF(Tabla2[[#This Row],[dias de credito]]&gt;=Tabla2[[#This Row],[PLAZO Días]],"venc", "No venc")</f>
        <v>venc</v>
      </c>
      <c r="AC590" s="163" t="str">
        <f>+IF(Tabla2[[#This Row],[FECHA DE PAGO]]&gt;0,"pagada","por pagar")</f>
        <v>pagada</v>
      </c>
      <c r="AD590" s="164" t="str">
        <f>+IF(AND(Tabla2[[#This Row],[venc]]="venc",Tabla2[[#This Row],[estado pago]]="por pagar"),"vencida","no")</f>
        <v>no</v>
      </c>
    </row>
    <row r="591" spans="1:30" ht="19.5" hidden="1" customHeight="1" x14ac:dyDescent="0.25">
      <c r="A591" s="8" t="s">
        <v>1852</v>
      </c>
      <c r="B591" s="8" t="b">
        <v>0</v>
      </c>
      <c r="C591" s="8">
        <v>30</v>
      </c>
      <c r="D591" s="151">
        <v>0</v>
      </c>
      <c r="E591" s="151"/>
      <c r="F591" s="24" t="s">
        <v>84</v>
      </c>
      <c r="G591" s="30">
        <v>45160</v>
      </c>
      <c r="H591" s="81" t="s">
        <v>525</v>
      </c>
      <c r="I591" s="30">
        <v>45160</v>
      </c>
      <c r="J591" s="16" t="s">
        <v>993</v>
      </c>
      <c r="K591" s="9" t="s">
        <v>1530</v>
      </c>
      <c r="L591" s="9"/>
      <c r="M591" s="152">
        <v>70000</v>
      </c>
      <c r="N591" s="153">
        <v>0</v>
      </c>
      <c r="O591" s="152">
        <v>0</v>
      </c>
      <c r="P591" s="154">
        <v>0</v>
      </c>
      <c r="Q591" s="152">
        <v>0</v>
      </c>
      <c r="R591" s="9">
        <v>70000</v>
      </c>
      <c r="S591" s="21" t="s">
        <v>1846</v>
      </c>
      <c r="T591" s="117">
        <v>0</v>
      </c>
      <c r="U591" s="117">
        <v>0</v>
      </c>
      <c r="V591" s="117">
        <v>2023</v>
      </c>
      <c r="W591" s="117">
        <v>6</v>
      </c>
      <c r="X591" s="117">
        <v>0</v>
      </c>
      <c r="Y591" s="117">
        <v>0</v>
      </c>
      <c r="Z591" s="21" t="b">
        <v>0</v>
      </c>
      <c r="AA591" s="162">
        <f>+$AD$5-Tabla2[[#This Row],[FECHA DE FACTURACIÓN]]</f>
        <v>283</v>
      </c>
      <c r="AB591" s="163" t="str">
        <f>+IF(Tabla2[[#This Row],[dias de credito]]&gt;=Tabla2[[#This Row],[PLAZO Días]],"venc", "No venc")</f>
        <v>venc</v>
      </c>
      <c r="AC591" s="163" t="str">
        <f>+IF(Tabla2[[#This Row],[FECHA DE PAGO]]&gt;0,"pagada","por pagar")</f>
        <v>pagada</v>
      </c>
      <c r="AD591" s="164" t="str">
        <f>+IF(AND(Tabla2[[#This Row],[venc]]="venc",Tabla2[[#This Row],[estado pago]]="por pagar"),"vencida","no")</f>
        <v>no</v>
      </c>
    </row>
    <row r="592" spans="1:30" ht="19.5" hidden="1" customHeight="1" x14ac:dyDescent="0.25">
      <c r="A592" s="8" t="s">
        <v>1850</v>
      </c>
      <c r="B592" s="8" t="b">
        <v>0</v>
      </c>
      <c r="C592" s="8">
        <v>30</v>
      </c>
      <c r="D592" s="151">
        <v>0</v>
      </c>
      <c r="E592" s="151"/>
      <c r="F592" s="24" t="s">
        <v>414</v>
      </c>
      <c r="G592" s="30">
        <v>45161</v>
      </c>
      <c r="H592" s="81" t="s">
        <v>382</v>
      </c>
      <c r="I592" s="30">
        <v>45139</v>
      </c>
      <c r="J592" s="16" t="s">
        <v>987</v>
      </c>
      <c r="K592" s="9" t="s">
        <v>1530</v>
      </c>
      <c r="L592" s="9"/>
      <c r="M592" s="152">
        <v>934363</v>
      </c>
      <c r="N592" s="153">
        <v>0</v>
      </c>
      <c r="O592" s="152">
        <v>0</v>
      </c>
      <c r="P592" s="154">
        <v>0</v>
      </c>
      <c r="Q592" s="152">
        <v>0</v>
      </c>
      <c r="R592" s="9">
        <v>934363</v>
      </c>
      <c r="S592" s="21" t="s">
        <v>1846</v>
      </c>
      <c r="T592" s="117">
        <v>0</v>
      </c>
      <c r="U592" s="117">
        <v>0</v>
      </c>
      <c r="V592" s="117">
        <v>2023</v>
      </c>
      <c r="W592" s="117">
        <v>6</v>
      </c>
      <c r="X592" s="117">
        <v>0</v>
      </c>
      <c r="Y592" s="117">
        <v>0</v>
      </c>
      <c r="Z592" s="21" t="b">
        <v>1</v>
      </c>
      <c r="AA592" s="162">
        <f>+$AD$5-Tabla2[[#This Row],[FECHA DE FACTURACIÓN]]</f>
        <v>304</v>
      </c>
      <c r="AB592" s="163" t="str">
        <f>+IF(Tabla2[[#This Row],[dias de credito]]&gt;=Tabla2[[#This Row],[PLAZO Días]],"venc", "No venc")</f>
        <v>venc</v>
      </c>
      <c r="AC592" s="163" t="str">
        <f>+IF(Tabla2[[#This Row],[FECHA DE PAGO]]&gt;0,"pagada","por pagar")</f>
        <v>pagada</v>
      </c>
      <c r="AD592" s="164" t="str">
        <f>+IF(AND(Tabla2[[#This Row],[venc]]="venc",Tabla2[[#This Row],[estado pago]]="por pagar"),"vencida","no")</f>
        <v>no</v>
      </c>
    </row>
    <row r="593" spans="1:30" ht="19.5" hidden="1" customHeight="1" x14ac:dyDescent="0.25">
      <c r="A593" s="8" t="s">
        <v>1850</v>
      </c>
      <c r="B593" s="8" t="b">
        <v>0</v>
      </c>
      <c r="C593" s="8">
        <v>30</v>
      </c>
      <c r="D593" s="151">
        <v>0</v>
      </c>
      <c r="E593" s="151"/>
      <c r="F593" s="24" t="s">
        <v>414</v>
      </c>
      <c r="G593" s="30">
        <v>45161</v>
      </c>
      <c r="H593" s="81" t="s">
        <v>382</v>
      </c>
      <c r="I593" s="30">
        <v>45139</v>
      </c>
      <c r="J593" s="16" t="s">
        <v>988</v>
      </c>
      <c r="K593" s="9" t="s">
        <v>1530</v>
      </c>
      <c r="L593" s="9"/>
      <c r="M593" s="152">
        <v>914023</v>
      </c>
      <c r="N593" s="153">
        <v>0</v>
      </c>
      <c r="O593" s="152">
        <v>0</v>
      </c>
      <c r="P593" s="154">
        <v>0</v>
      </c>
      <c r="Q593" s="152">
        <v>0</v>
      </c>
      <c r="R593" s="9">
        <v>914023</v>
      </c>
      <c r="S593" s="21" t="s">
        <v>1846</v>
      </c>
      <c r="T593" s="117">
        <v>0</v>
      </c>
      <c r="U593" s="117">
        <v>0</v>
      </c>
      <c r="V593" s="117">
        <v>2023</v>
      </c>
      <c r="W593" s="117">
        <v>6</v>
      </c>
      <c r="X593" s="117">
        <v>0</v>
      </c>
      <c r="Y593" s="117">
        <v>0</v>
      </c>
      <c r="Z593" s="21" t="b">
        <v>1</v>
      </c>
      <c r="AA593" s="162">
        <f>+$AD$5-Tabla2[[#This Row],[FECHA DE FACTURACIÓN]]</f>
        <v>304</v>
      </c>
      <c r="AB593" s="163" t="str">
        <f>+IF(Tabla2[[#This Row],[dias de credito]]&gt;=Tabla2[[#This Row],[PLAZO Días]],"venc", "No venc")</f>
        <v>venc</v>
      </c>
      <c r="AC593" s="163" t="str">
        <f>+IF(Tabla2[[#This Row],[FECHA DE PAGO]]&gt;0,"pagada","por pagar")</f>
        <v>pagada</v>
      </c>
      <c r="AD593" s="164" t="str">
        <f>+IF(AND(Tabla2[[#This Row],[venc]]="venc",Tabla2[[#This Row],[estado pago]]="por pagar"),"vencida","no")</f>
        <v>no</v>
      </c>
    </row>
    <row r="594" spans="1:30" ht="19.5" hidden="1" customHeight="1" x14ac:dyDescent="0.25">
      <c r="A594" s="8" t="s">
        <v>1852</v>
      </c>
      <c r="B594" s="8" t="b">
        <v>0</v>
      </c>
      <c r="C594" s="8">
        <v>0</v>
      </c>
      <c r="D594" s="151">
        <v>0</v>
      </c>
      <c r="E594" s="151"/>
      <c r="F594" s="24">
        <v>0</v>
      </c>
      <c r="G594" s="30">
        <v>45162</v>
      </c>
      <c r="H594" s="81" t="s">
        <v>995</v>
      </c>
      <c r="I594" s="30">
        <v>45162</v>
      </c>
      <c r="J594" s="16" t="s">
        <v>996</v>
      </c>
      <c r="K594" s="9" t="s">
        <v>1530</v>
      </c>
      <c r="L594" s="9"/>
      <c r="M594" s="152">
        <v>487395</v>
      </c>
      <c r="N594" s="153">
        <v>92605.05</v>
      </c>
      <c r="O594" s="152">
        <v>0</v>
      </c>
      <c r="P594" s="154">
        <v>0</v>
      </c>
      <c r="Q594" s="152">
        <v>0</v>
      </c>
      <c r="R594" s="9">
        <v>580000.05000000005</v>
      </c>
      <c r="S594" s="21" t="s">
        <v>1846</v>
      </c>
      <c r="T594" s="117">
        <v>0</v>
      </c>
      <c r="U594" s="117" t="s">
        <v>347</v>
      </c>
      <c r="V594" s="117">
        <v>2023</v>
      </c>
      <c r="W594" s="117">
        <v>6</v>
      </c>
      <c r="X594" s="117">
        <v>1145000</v>
      </c>
      <c r="Y594" s="117">
        <v>2.5000000000000001E-2</v>
      </c>
      <c r="Z594" s="21" t="b">
        <v>0</v>
      </c>
      <c r="AA594" s="162">
        <f>+$AD$5-Tabla2[[#This Row],[FECHA DE FACTURACIÓN]]</f>
        <v>281</v>
      </c>
      <c r="AB594" s="163" t="str">
        <f>+IF(Tabla2[[#This Row],[dias de credito]]&gt;=Tabla2[[#This Row],[PLAZO Días]],"venc", "No venc")</f>
        <v>venc</v>
      </c>
      <c r="AC594" s="163" t="str">
        <f>+IF(Tabla2[[#This Row],[FECHA DE PAGO]]&gt;0,"pagada","por pagar")</f>
        <v>pagada</v>
      </c>
      <c r="AD594" s="164" t="str">
        <f>+IF(AND(Tabla2[[#This Row],[venc]]="venc",Tabla2[[#This Row],[estado pago]]="por pagar"),"vencida","no")</f>
        <v>no</v>
      </c>
    </row>
    <row r="595" spans="1:30" ht="19.5" hidden="1" customHeight="1" x14ac:dyDescent="0.25">
      <c r="A595" s="8" t="s">
        <v>1850</v>
      </c>
      <c r="B595" s="8" t="s">
        <v>1851</v>
      </c>
      <c r="C595" s="8">
        <v>30</v>
      </c>
      <c r="D595" s="151">
        <v>0</v>
      </c>
      <c r="E595" s="151"/>
      <c r="F595" s="24" t="s">
        <v>159</v>
      </c>
      <c r="G595" s="30">
        <v>45163</v>
      </c>
      <c r="H595" s="81" t="s">
        <v>452</v>
      </c>
      <c r="I595" s="30">
        <v>45128</v>
      </c>
      <c r="J595" s="16" t="s">
        <v>924</v>
      </c>
      <c r="K595" s="9" t="s">
        <v>1530</v>
      </c>
      <c r="L595" s="9"/>
      <c r="M595" s="152">
        <v>1369750</v>
      </c>
      <c r="N595" s="153">
        <v>260252.5</v>
      </c>
      <c r="O595" s="152">
        <v>0</v>
      </c>
      <c r="P595" s="154">
        <v>2.5000000000000001E-2</v>
      </c>
      <c r="Q595" s="152">
        <v>34243.75</v>
      </c>
      <c r="R595" s="9">
        <v>1595758.75</v>
      </c>
      <c r="S595" s="21" t="s">
        <v>1846</v>
      </c>
      <c r="T595" s="117">
        <v>0</v>
      </c>
      <c r="U595" s="117" t="s">
        <v>347</v>
      </c>
      <c r="V595" s="117">
        <v>2023</v>
      </c>
      <c r="W595" s="117">
        <v>6</v>
      </c>
      <c r="X595" s="117">
        <v>1145000</v>
      </c>
      <c r="Y595" s="117">
        <v>2.5000000000000001E-2</v>
      </c>
      <c r="Z595" s="21" t="b">
        <v>0</v>
      </c>
      <c r="AA595" s="162">
        <f>+$AD$5-Tabla2[[#This Row],[FECHA DE FACTURACIÓN]]</f>
        <v>315</v>
      </c>
      <c r="AB595" s="163" t="str">
        <f>+IF(Tabla2[[#This Row],[dias de credito]]&gt;=Tabla2[[#This Row],[PLAZO Días]],"venc", "No venc")</f>
        <v>venc</v>
      </c>
      <c r="AC595" s="163" t="str">
        <f>+IF(Tabla2[[#This Row],[FECHA DE PAGO]]&gt;0,"pagada","por pagar")</f>
        <v>pagada</v>
      </c>
      <c r="AD595" s="164" t="str">
        <f>+IF(AND(Tabla2[[#This Row],[venc]]="venc",Tabla2[[#This Row],[estado pago]]="por pagar"),"vencida","no")</f>
        <v>no</v>
      </c>
    </row>
    <row r="596" spans="1:30" ht="19.5" hidden="1" customHeight="1" x14ac:dyDescent="0.25">
      <c r="A596" s="8" t="s">
        <v>1852</v>
      </c>
      <c r="B596" s="8" t="b">
        <v>0</v>
      </c>
      <c r="C596" s="8">
        <v>30</v>
      </c>
      <c r="D596" s="151">
        <v>1350000</v>
      </c>
      <c r="E596" s="151"/>
      <c r="F596" s="24" t="s">
        <v>84</v>
      </c>
      <c r="G596" s="30">
        <v>45163</v>
      </c>
      <c r="H596" s="81" t="s">
        <v>1807</v>
      </c>
      <c r="I596" s="30">
        <v>45163</v>
      </c>
      <c r="J596" s="16" t="s">
        <v>992</v>
      </c>
      <c r="K596" s="9" t="s">
        <v>1530</v>
      </c>
      <c r="L596" s="9"/>
      <c r="M596" s="152">
        <v>1280000</v>
      </c>
      <c r="N596" s="153">
        <v>0</v>
      </c>
      <c r="O596" s="152">
        <v>0</v>
      </c>
      <c r="P596" s="154">
        <v>0</v>
      </c>
      <c r="Q596" s="152">
        <v>0</v>
      </c>
      <c r="R596" s="9">
        <v>1280000</v>
      </c>
      <c r="S596" s="21" t="s">
        <v>1846</v>
      </c>
      <c r="T596" s="117">
        <v>0</v>
      </c>
      <c r="U596" s="117">
        <v>0</v>
      </c>
      <c r="V596" s="117">
        <v>2023</v>
      </c>
      <c r="W596" s="117">
        <v>6</v>
      </c>
      <c r="X596" s="117">
        <v>0</v>
      </c>
      <c r="Y596" s="117">
        <v>0</v>
      </c>
      <c r="Z596" s="21" t="b">
        <v>0</v>
      </c>
      <c r="AA596" s="162">
        <f>+$AD$5-Tabla2[[#This Row],[FECHA DE FACTURACIÓN]]</f>
        <v>280</v>
      </c>
      <c r="AB596" s="163" t="str">
        <f>+IF(Tabla2[[#This Row],[dias de credito]]&gt;=Tabla2[[#This Row],[PLAZO Días]],"venc", "No venc")</f>
        <v>venc</v>
      </c>
      <c r="AC596" s="163" t="str">
        <f>+IF(Tabla2[[#This Row],[FECHA DE PAGO]]&gt;0,"pagada","por pagar")</f>
        <v>pagada</v>
      </c>
      <c r="AD596" s="164" t="str">
        <f>+IF(AND(Tabla2[[#This Row],[venc]]="venc",Tabla2[[#This Row],[estado pago]]="por pagar"),"vencida","no")</f>
        <v>no</v>
      </c>
    </row>
    <row r="597" spans="1:30" ht="19.5" hidden="1" customHeight="1" x14ac:dyDescent="0.25">
      <c r="A597" s="8" t="s">
        <v>1850</v>
      </c>
      <c r="B597" s="8" t="s">
        <v>1851</v>
      </c>
      <c r="C597" s="8">
        <v>45</v>
      </c>
      <c r="D597" s="151">
        <v>22186260.039999999</v>
      </c>
      <c r="E597" s="151"/>
      <c r="F597" s="24" t="s">
        <v>357</v>
      </c>
      <c r="G597" s="30">
        <v>45166</v>
      </c>
      <c r="H597" s="81" t="s">
        <v>19</v>
      </c>
      <c r="I597" s="30">
        <v>45107</v>
      </c>
      <c r="J597" s="16" t="s">
        <v>881</v>
      </c>
      <c r="K597" s="9" t="s">
        <v>1530</v>
      </c>
      <c r="L597" s="9"/>
      <c r="M597" s="152">
        <v>7200600</v>
      </c>
      <c r="N597" s="153">
        <v>1368114</v>
      </c>
      <c r="O597" s="152">
        <v>0</v>
      </c>
      <c r="P597" s="154">
        <v>0</v>
      </c>
      <c r="Q597" s="152">
        <v>0</v>
      </c>
      <c r="R597" s="9">
        <v>8568714</v>
      </c>
      <c r="S597" s="21" t="s">
        <v>1846</v>
      </c>
      <c r="T597" s="117">
        <v>0</v>
      </c>
      <c r="U597" s="117">
        <v>0</v>
      </c>
      <c r="V597" s="117">
        <v>2023</v>
      </c>
      <c r="W597" s="117">
        <v>6</v>
      </c>
      <c r="X597" s="117">
        <v>0</v>
      </c>
      <c r="Y597" s="117">
        <v>0</v>
      </c>
      <c r="Z597" s="21" t="b">
        <v>0</v>
      </c>
      <c r="AA597" s="162">
        <f>+$AD$5-Tabla2[[#This Row],[FECHA DE FACTURACIÓN]]</f>
        <v>336</v>
      </c>
      <c r="AB597" s="163" t="str">
        <f>+IF(Tabla2[[#This Row],[dias de credito]]&gt;=Tabla2[[#This Row],[PLAZO Días]],"venc", "No venc")</f>
        <v>venc</v>
      </c>
      <c r="AC597" s="163" t="str">
        <f>+IF(Tabla2[[#This Row],[FECHA DE PAGO]]&gt;0,"pagada","por pagar")</f>
        <v>pagada</v>
      </c>
      <c r="AD597" s="164" t="str">
        <f>+IF(AND(Tabla2[[#This Row],[venc]]="venc",Tabla2[[#This Row],[estado pago]]="por pagar"),"vencida","no")</f>
        <v>no</v>
      </c>
    </row>
    <row r="598" spans="1:30" ht="19.5" hidden="1" customHeight="1" x14ac:dyDescent="0.25">
      <c r="A598" s="8" t="s">
        <v>1850</v>
      </c>
      <c r="B598" s="8" t="s">
        <v>1851</v>
      </c>
      <c r="C598" s="8">
        <v>45</v>
      </c>
      <c r="D598" s="151">
        <v>22186260.039999999</v>
      </c>
      <c r="E598" s="151"/>
      <c r="F598" s="24" t="s">
        <v>357</v>
      </c>
      <c r="G598" s="30">
        <v>45166</v>
      </c>
      <c r="H598" s="81" t="s">
        <v>19</v>
      </c>
      <c r="I598" s="30">
        <v>45118</v>
      </c>
      <c r="J598" s="16" t="s">
        <v>919</v>
      </c>
      <c r="K598" s="9" t="s">
        <v>1530</v>
      </c>
      <c r="L598" s="9"/>
      <c r="M598" s="152">
        <v>1635783</v>
      </c>
      <c r="N598" s="153">
        <v>310798.77</v>
      </c>
      <c r="O598" s="152">
        <v>0</v>
      </c>
      <c r="P598" s="154">
        <v>0</v>
      </c>
      <c r="Q598" s="152">
        <v>0</v>
      </c>
      <c r="R598" s="9">
        <v>1946581.77</v>
      </c>
      <c r="S598" s="21" t="s">
        <v>1846</v>
      </c>
      <c r="T598" s="117">
        <v>0</v>
      </c>
      <c r="U598" s="117">
        <v>0</v>
      </c>
      <c r="V598" s="117">
        <v>2023</v>
      </c>
      <c r="W598" s="117">
        <v>6</v>
      </c>
      <c r="X598" s="117">
        <v>0</v>
      </c>
      <c r="Y598" s="117">
        <v>0</v>
      </c>
      <c r="Z598" s="21" t="b">
        <v>0</v>
      </c>
      <c r="AA598" s="162">
        <f>+$AD$5-Tabla2[[#This Row],[FECHA DE FACTURACIÓN]]</f>
        <v>325</v>
      </c>
      <c r="AB598" s="163" t="str">
        <f>+IF(Tabla2[[#This Row],[dias de credito]]&gt;=Tabla2[[#This Row],[PLAZO Días]],"venc", "No venc")</f>
        <v>venc</v>
      </c>
      <c r="AC598" s="163" t="str">
        <f>+IF(Tabla2[[#This Row],[FECHA DE PAGO]]&gt;0,"pagada","por pagar")</f>
        <v>pagada</v>
      </c>
      <c r="AD598" s="164" t="str">
        <f>+IF(AND(Tabla2[[#This Row],[venc]]="venc",Tabla2[[#This Row],[estado pago]]="por pagar"),"vencida","no")</f>
        <v>no</v>
      </c>
    </row>
    <row r="599" spans="1:30" ht="19.5" hidden="1" customHeight="1" x14ac:dyDescent="0.25">
      <c r="A599" s="8" t="s">
        <v>1850</v>
      </c>
      <c r="B599" s="8" t="s">
        <v>1851</v>
      </c>
      <c r="C599" s="8">
        <v>30</v>
      </c>
      <c r="D599" s="151">
        <v>8456975.129999999</v>
      </c>
      <c r="E599" s="151"/>
      <c r="F599" s="24" t="s">
        <v>1476</v>
      </c>
      <c r="G599" s="30">
        <v>45166</v>
      </c>
      <c r="H599" s="81" t="s">
        <v>1464</v>
      </c>
      <c r="I599" s="30">
        <v>45121</v>
      </c>
      <c r="J599" s="16" t="s">
        <v>906</v>
      </c>
      <c r="K599" s="9" t="s">
        <v>1530</v>
      </c>
      <c r="L599" s="9"/>
      <c r="M599" s="152">
        <v>2828983</v>
      </c>
      <c r="N599" s="153">
        <v>537506.77</v>
      </c>
      <c r="O599" s="152">
        <v>0</v>
      </c>
      <c r="P599" s="154">
        <v>2.5000000000000001E-2</v>
      </c>
      <c r="Q599" s="152">
        <v>70724.574999999997</v>
      </c>
      <c r="R599" s="9">
        <v>3295765.1949999998</v>
      </c>
      <c r="S599" s="21" t="s">
        <v>1846</v>
      </c>
      <c r="T599" s="117">
        <v>0</v>
      </c>
      <c r="U599" s="117" t="s">
        <v>347</v>
      </c>
      <c r="V599" s="117">
        <v>2023</v>
      </c>
      <c r="W599" s="117">
        <v>6</v>
      </c>
      <c r="X599" s="117">
        <v>1145000</v>
      </c>
      <c r="Y599" s="117">
        <v>2.5000000000000001E-2</v>
      </c>
      <c r="Z599" s="21" t="b">
        <v>0</v>
      </c>
      <c r="AA599" s="162">
        <f>+$AD$5-Tabla2[[#This Row],[FECHA DE FACTURACIÓN]]</f>
        <v>322</v>
      </c>
      <c r="AB599" s="163" t="str">
        <f>+IF(Tabla2[[#This Row],[dias de credito]]&gt;=Tabla2[[#This Row],[PLAZO Días]],"venc", "No venc")</f>
        <v>venc</v>
      </c>
      <c r="AC599" s="163" t="str">
        <f>+IF(Tabla2[[#This Row],[FECHA DE PAGO]]&gt;0,"pagada","por pagar")</f>
        <v>pagada</v>
      </c>
      <c r="AD599" s="164" t="str">
        <f>+IF(AND(Tabla2[[#This Row],[venc]]="venc",Tabla2[[#This Row],[estado pago]]="por pagar"),"vencida","no")</f>
        <v>no</v>
      </c>
    </row>
    <row r="600" spans="1:30" ht="19.5" hidden="1" customHeight="1" x14ac:dyDescent="0.25">
      <c r="A600" s="8" t="s">
        <v>1850</v>
      </c>
      <c r="B600" s="8" t="s">
        <v>1851</v>
      </c>
      <c r="C600" s="8">
        <v>30</v>
      </c>
      <c r="D600" s="151">
        <v>5581100</v>
      </c>
      <c r="E600" s="151"/>
      <c r="F600" s="24" t="s">
        <v>150</v>
      </c>
      <c r="G600" s="30">
        <v>45166</v>
      </c>
      <c r="H600" s="81" t="s">
        <v>446</v>
      </c>
      <c r="I600" s="30">
        <v>45124</v>
      </c>
      <c r="J600" s="16" t="s">
        <v>912</v>
      </c>
      <c r="K600" s="9" t="s">
        <v>1530</v>
      </c>
      <c r="L600" s="9"/>
      <c r="M600" s="152">
        <v>1710000</v>
      </c>
      <c r="N600" s="153">
        <v>324900</v>
      </c>
      <c r="O600" s="152">
        <v>0</v>
      </c>
      <c r="P600" s="154">
        <v>0</v>
      </c>
      <c r="Q600" s="152">
        <v>0</v>
      </c>
      <c r="R600" s="9">
        <v>2034900</v>
      </c>
      <c r="S600" s="21" t="s">
        <v>1846</v>
      </c>
      <c r="T600" s="117">
        <v>0</v>
      </c>
      <c r="U600" s="117">
        <v>0</v>
      </c>
      <c r="V600" s="117">
        <v>2023</v>
      </c>
      <c r="W600" s="117">
        <v>6</v>
      </c>
      <c r="X600" s="117">
        <v>0</v>
      </c>
      <c r="Y600" s="117">
        <v>0</v>
      </c>
      <c r="Z600" s="21" t="b">
        <v>0</v>
      </c>
      <c r="AA600" s="162">
        <f>+$AD$5-Tabla2[[#This Row],[FECHA DE FACTURACIÓN]]</f>
        <v>319</v>
      </c>
      <c r="AB600" s="163" t="str">
        <f>+IF(Tabla2[[#This Row],[dias de credito]]&gt;=Tabla2[[#This Row],[PLAZO Días]],"venc", "No venc")</f>
        <v>venc</v>
      </c>
      <c r="AC600" s="163" t="str">
        <f>+IF(Tabla2[[#This Row],[FECHA DE PAGO]]&gt;0,"pagada","por pagar")</f>
        <v>pagada</v>
      </c>
      <c r="AD600" s="164" t="str">
        <f>+IF(AND(Tabla2[[#This Row],[venc]]="venc",Tabla2[[#This Row],[estado pago]]="por pagar"),"vencida","no")</f>
        <v>no</v>
      </c>
    </row>
    <row r="601" spans="1:30" ht="19.5" hidden="1" customHeight="1" x14ac:dyDescent="0.25">
      <c r="A601" s="8" t="s">
        <v>1850</v>
      </c>
      <c r="B601" s="8" t="s">
        <v>1851</v>
      </c>
      <c r="C601" s="8">
        <v>30</v>
      </c>
      <c r="D601" s="151">
        <v>8456975.129999999</v>
      </c>
      <c r="E601" s="151"/>
      <c r="F601" s="24" t="s">
        <v>1476</v>
      </c>
      <c r="G601" s="30">
        <v>45166</v>
      </c>
      <c r="H601" s="81" t="s">
        <v>1464</v>
      </c>
      <c r="I601" s="30">
        <v>45132</v>
      </c>
      <c r="J601" s="16" t="s">
        <v>938</v>
      </c>
      <c r="K601" s="9" t="s">
        <v>1530</v>
      </c>
      <c r="L601" s="9"/>
      <c r="M601" s="152">
        <v>1571429</v>
      </c>
      <c r="N601" s="153">
        <v>298571.51</v>
      </c>
      <c r="O601" s="152">
        <v>0</v>
      </c>
      <c r="P601" s="154">
        <v>2.5000000000000001E-2</v>
      </c>
      <c r="Q601" s="152">
        <v>39285.724999999999</v>
      </c>
      <c r="R601" s="9">
        <v>1830714.7849999999</v>
      </c>
      <c r="S601" s="21" t="s">
        <v>1846</v>
      </c>
      <c r="T601" s="117">
        <v>0</v>
      </c>
      <c r="U601" s="117" t="s">
        <v>347</v>
      </c>
      <c r="V601" s="117">
        <v>2023</v>
      </c>
      <c r="W601" s="117">
        <v>6</v>
      </c>
      <c r="X601" s="117">
        <v>1145000</v>
      </c>
      <c r="Y601" s="117">
        <v>2.5000000000000001E-2</v>
      </c>
      <c r="Z601" s="21" t="b">
        <v>0</v>
      </c>
      <c r="AA601" s="162">
        <f>+$AD$5-Tabla2[[#This Row],[FECHA DE FACTURACIÓN]]</f>
        <v>311</v>
      </c>
      <c r="AB601" s="163" t="str">
        <f>+IF(Tabla2[[#This Row],[dias de credito]]&gt;=Tabla2[[#This Row],[PLAZO Días]],"venc", "No venc")</f>
        <v>venc</v>
      </c>
      <c r="AC601" s="163" t="str">
        <f>+IF(Tabla2[[#This Row],[FECHA DE PAGO]]&gt;0,"pagada","por pagar")</f>
        <v>pagada</v>
      </c>
      <c r="AD601" s="164" t="str">
        <f>+IF(AND(Tabla2[[#This Row],[venc]]="venc",Tabla2[[#This Row],[estado pago]]="por pagar"),"vencida","no")</f>
        <v>no</v>
      </c>
    </row>
    <row r="602" spans="1:30" ht="19.5" hidden="1" customHeight="1" x14ac:dyDescent="0.25">
      <c r="A602" s="8" t="s">
        <v>1852</v>
      </c>
      <c r="B602" s="8" t="b">
        <v>0</v>
      </c>
      <c r="C602" s="8">
        <v>30</v>
      </c>
      <c r="D602" s="151">
        <v>0</v>
      </c>
      <c r="E602" s="151"/>
      <c r="F602" s="24" t="s">
        <v>1579</v>
      </c>
      <c r="G602" s="30">
        <v>45166</v>
      </c>
      <c r="H602" s="81" t="s">
        <v>207</v>
      </c>
      <c r="I602" s="30">
        <v>45166</v>
      </c>
      <c r="J602" s="16" t="s">
        <v>997</v>
      </c>
      <c r="K602" s="9" t="s">
        <v>1530</v>
      </c>
      <c r="L602" s="9"/>
      <c r="M602" s="152">
        <v>2310000</v>
      </c>
      <c r="N602" s="153">
        <v>438900</v>
      </c>
      <c r="O602" s="152">
        <v>0</v>
      </c>
      <c r="P602" s="154">
        <v>2.5000000000000001E-2</v>
      </c>
      <c r="Q602" s="152">
        <v>57750</v>
      </c>
      <c r="R602" s="9">
        <v>2691150</v>
      </c>
      <c r="S602" s="21" t="s">
        <v>1846</v>
      </c>
      <c r="T602" s="117">
        <v>0</v>
      </c>
      <c r="U602" s="117" t="s">
        <v>347</v>
      </c>
      <c r="V602" s="117">
        <v>2023</v>
      </c>
      <c r="W602" s="117">
        <v>6</v>
      </c>
      <c r="X602" s="117">
        <v>1145000</v>
      </c>
      <c r="Y602" s="117">
        <v>2.5000000000000001E-2</v>
      </c>
      <c r="Z602" s="21" t="b">
        <v>0</v>
      </c>
      <c r="AA602" s="162">
        <f>+$AD$5-Tabla2[[#This Row],[FECHA DE FACTURACIÓN]]</f>
        <v>277</v>
      </c>
      <c r="AB602" s="163" t="str">
        <f>+IF(Tabla2[[#This Row],[dias de credito]]&gt;=Tabla2[[#This Row],[PLAZO Días]],"venc", "No venc")</f>
        <v>venc</v>
      </c>
      <c r="AC602" s="163" t="str">
        <f>+IF(Tabla2[[#This Row],[FECHA DE PAGO]]&gt;0,"pagada","por pagar")</f>
        <v>pagada</v>
      </c>
      <c r="AD602" s="164" t="str">
        <f>+IF(AND(Tabla2[[#This Row],[venc]]="venc",Tabla2[[#This Row],[estado pago]]="por pagar"),"vencida","no")</f>
        <v>no</v>
      </c>
    </row>
    <row r="603" spans="1:30" ht="19.5" hidden="1" customHeight="1" x14ac:dyDescent="0.25">
      <c r="A603" s="8" t="s">
        <v>1852</v>
      </c>
      <c r="B603" s="8" t="b">
        <v>0</v>
      </c>
      <c r="C603" s="8">
        <v>30</v>
      </c>
      <c r="D603" s="151">
        <v>0</v>
      </c>
      <c r="E603" s="151"/>
      <c r="F603" s="24" t="s">
        <v>1916</v>
      </c>
      <c r="G603" s="30">
        <v>45166</v>
      </c>
      <c r="H603" s="81" t="s">
        <v>1016</v>
      </c>
      <c r="I603" s="30">
        <v>45166</v>
      </c>
      <c r="J603" s="16" t="s">
        <v>1015</v>
      </c>
      <c r="K603" s="9" t="s">
        <v>1530</v>
      </c>
      <c r="L603" s="9"/>
      <c r="M603" s="152">
        <v>1455126</v>
      </c>
      <c r="N603" s="153">
        <v>276473.94</v>
      </c>
      <c r="O603" s="152">
        <v>0</v>
      </c>
      <c r="P603" s="154">
        <v>2.5000000000000001E-2</v>
      </c>
      <c r="Q603" s="152">
        <v>36378.15</v>
      </c>
      <c r="R603" s="9">
        <v>1695221.79</v>
      </c>
      <c r="S603" s="21" t="s">
        <v>1846</v>
      </c>
      <c r="T603" s="117">
        <v>0</v>
      </c>
      <c r="U603" s="117" t="s">
        <v>347</v>
      </c>
      <c r="V603" s="117">
        <v>2023</v>
      </c>
      <c r="W603" s="117">
        <v>6</v>
      </c>
      <c r="X603" s="117">
        <v>1145000</v>
      </c>
      <c r="Y603" s="117">
        <v>2.5000000000000001E-2</v>
      </c>
      <c r="Z603" s="21" t="b">
        <v>0</v>
      </c>
      <c r="AA603" s="162">
        <f>+$AD$5-Tabla2[[#This Row],[FECHA DE FACTURACIÓN]]</f>
        <v>277</v>
      </c>
      <c r="AB603" s="163" t="str">
        <f>+IF(Tabla2[[#This Row],[dias de credito]]&gt;=Tabla2[[#This Row],[PLAZO Días]],"venc", "No venc")</f>
        <v>venc</v>
      </c>
      <c r="AC603" s="163" t="str">
        <f>+IF(Tabla2[[#This Row],[FECHA DE PAGO]]&gt;0,"pagada","por pagar")</f>
        <v>pagada</v>
      </c>
      <c r="AD603" s="164" t="str">
        <f>+IF(AND(Tabla2[[#This Row],[venc]]="venc",Tabla2[[#This Row],[estado pago]]="por pagar"),"vencida","no")</f>
        <v>no</v>
      </c>
    </row>
    <row r="604" spans="1:30" ht="19.5" hidden="1" customHeight="1" x14ac:dyDescent="0.25">
      <c r="A604" s="8" t="s">
        <v>1852</v>
      </c>
      <c r="B604" s="8" t="b">
        <v>0</v>
      </c>
      <c r="C604" s="8">
        <v>30</v>
      </c>
      <c r="D604" s="151">
        <v>0</v>
      </c>
      <c r="E604" s="151"/>
      <c r="F604" s="24" t="s">
        <v>1497</v>
      </c>
      <c r="G604" s="30">
        <v>45168</v>
      </c>
      <c r="H604" s="81" t="s">
        <v>1865</v>
      </c>
      <c r="I604" s="30">
        <v>45168</v>
      </c>
      <c r="J604" s="16" t="s">
        <v>1043</v>
      </c>
      <c r="K604" s="9" t="s">
        <v>1530</v>
      </c>
      <c r="L604" s="9"/>
      <c r="M604" s="152">
        <v>1640000</v>
      </c>
      <c r="N604" s="153">
        <v>0</v>
      </c>
      <c r="O604" s="152">
        <v>0</v>
      </c>
      <c r="P604" s="154">
        <v>0</v>
      </c>
      <c r="Q604" s="152">
        <v>0</v>
      </c>
      <c r="R604" s="9">
        <v>1640000</v>
      </c>
      <c r="S604" s="21" t="s">
        <v>1846</v>
      </c>
      <c r="T604" s="117">
        <v>0</v>
      </c>
      <c r="U604" s="117">
        <v>0</v>
      </c>
      <c r="V604" s="117">
        <v>2023</v>
      </c>
      <c r="W604" s="117">
        <v>6</v>
      </c>
      <c r="X604" s="117">
        <v>0</v>
      </c>
      <c r="Y604" s="117">
        <v>0</v>
      </c>
      <c r="Z604" s="21" t="b">
        <v>0</v>
      </c>
      <c r="AA604" s="162">
        <f>+$AD$5-Tabla2[[#This Row],[FECHA DE FACTURACIÓN]]</f>
        <v>275</v>
      </c>
      <c r="AB604" s="163" t="str">
        <f>+IF(Tabla2[[#This Row],[dias de credito]]&gt;=Tabla2[[#This Row],[PLAZO Días]],"venc", "No venc")</f>
        <v>venc</v>
      </c>
      <c r="AC604" s="163" t="str">
        <f>+IF(Tabla2[[#This Row],[FECHA DE PAGO]]&gt;0,"pagada","por pagar")</f>
        <v>pagada</v>
      </c>
      <c r="AD604" s="164" t="str">
        <f>+IF(AND(Tabla2[[#This Row],[venc]]="venc",Tabla2[[#This Row],[estado pago]]="por pagar"),"vencida","no")</f>
        <v>no</v>
      </c>
    </row>
    <row r="605" spans="1:30" ht="19.5" hidden="1" customHeight="1" x14ac:dyDescent="0.25">
      <c r="A605" s="8" t="s">
        <v>1852</v>
      </c>
      <c r="B605" s="8" t="b">
        <v>0</v>
      </c>
      <c r="C605" s="8">
        <v>30</v>
      </c>
      <c r="D605" s="151">
        <v>0</v>
      </c>
      <c r="E605" s="151"/>
      <c r="F605" s="24" t="s">
        <v>1497</v>
      </c>
      <c r="G605" s="30">
        <v>45168</v>
      </c>
      <c r="H605" s="81" t="s">
        <v>1865</v>
      </c>
      <c r="I605" s="30">
        <v>45168</v>
      </c>
      <c r="J605" s="16" t="s">
        <v>1045</v>
      </c>
      <c r="K605" s="9" t="s">
        <v>1530</v>
      </c>
      <c r="L605" s="9"/>
      <c r="M605" s="152">
        <v>2162000</v>
      </c>
      <c r="N605" s="153">
        <v>0</v>
      </c>
      <c r="O605" s="152">
        <v>0</v>
      </c>
      <c r="P605" s="154">
        <v>0</v>
      </c>
      <c r="Q605" s="152">
        <v>0</v>
      </c>
      <c r="R605" s="9">
        <v>2162000</v>
      </c>
      <c r="S605" s="21" t="s">
        <v>1846</v>
      </c>
      <c r="T605" s="117">
        <v>0</v>
      </c>
      <c r="U605" s="117">
        <v>0</v>
      </c>
      <c r="V605" s="117">
        <v>2023</v>
      </c>
      <c r="W605" s="117">
        <v>6</v>
      </c>
      <c r="X605" s="117">
        <v>0</v>
      </c>
      <c r="Y605" s="117">
        <v>0</v>
      </c>
      <c r="Z605" s="21" t="b">
        <v>0</v>
      </c>
      <c r="AA605" s="162">
        <f>+$AD$5-Tabla2[[#This Row],[FECHA DE FACTURACIÓN]]</f>
        <v>275</v>
      </c>
      <c r="AB605" s="163" t="str">
        <f>+IF(Tabla2[[#This Row],[dias de credito]]&gt;=Tabla2[[#This Row],[PLAZO Días]],"venc", "No venc")</f>
        <v>venc</v>
      </c>
      <c r="AC605" s="163" t="str">
        <f>+IF(Tabla2[[#This Row],[FECHA DE PAGO]]&gt;0,"pagada","por pagar")</f>
        <v>pagada</v>
      </c>
      <c r="AD605" s="164" t="str">
        <f>+IF(AND(Tabla2[[#This Row],[venc]]="venc",Tabla2[[#This Row],[estado pago]]="por pagar"),"vencida","no")</f>
        <v>no</v>
      </c>
    </row>
    <row r="606" spans="1:30" ht="19.5" hidden="1" customHeight="1" x14ac:dyDescent="0.25">
      <c r="A606" s="8" t="s">
        <v>1850</v>
      </c>
      <c r="B606" s="8" t="b">
        <v>0</v>
      </c>
      <c r="C606" s="8">
        <v>30</v>
      </c>
      <c r="D606" s="151">
        <v>0</v>
      </c>
      <c r="E606" s="151"/>
      <c r="F606" s="24" t="s">
        <v>84</v>
      </c>
      <c r="G606" s="30">
        <v>45169</v>
      </c>
      <c r="H606" s="81" t="s">
        <v>481</v>
      </c>
      <c r="I606" s="30">
        <v>45168</v>
      </c>
      <c r="J606" s="16" t="s">
        <v>1028</v>
      </c>
      <c r="K606" s="9" t="s">
        <v>1530</v>
      </c>
      <c r="L606" s="9"/>
      <c r="M606" s="152">
        <v>5655000</v>
      </c>
      <c r="N606" s="153">
        <v>0</v>
      </c>
      <c r="O606" s="152">
        <v>0</v>
      </c>
      <c r="P606" s="154">
        <v>0</v>
      </c>
      <c r="Q606" s="152">
        <v>0</v>
      </c>
      <c r="R606" s="9">
        <v>5655000</v>
      </c>
      <c r="S606" s="21" t="s">
        <v>1846</v>
      </c>
      <c r="T606" s="117">
        <v>0</v>
      </c>
      <c r="U606" s="117">
        <v>0</v>
      </c>
      <c r="V606" s="117">
        <v>2023</v>
      </c>
      <c r="W606" s="117">
        <v>6</v>
      </c>
      <c r="X606" s="117">
        <v>0</v>
      </c>
      <c r="Y606" s="117">
        <v>0</v>
      </c>
      <c r="Z606" s="21" t="b">
        <v>0</v>
      </c>
      <c r="AA606" s="162">
        <f>+$AD$5-Tabla2[[#This Row],[FECHA DE FACTURACIÓN]]</f>
        <v>275</v>
      </c>
      <c r="AB606" s="163" t="str">
        <f>+IF(Tabla2[[#This Row],[dias de credito]]&gt;=Tabla2[[#This Row],[PLAZO Días]],"venc", "No venc")</f>
        <v>venc</v>
      </c>
      <c r="AC606" s="163" t="str">
        <f>+IF(Tabla2[[#This Row],[FECHA DE PAGO]]&gt;0,"pagada","por pagar")</f>
        <v>pagada</v>
      </c>
      <c r="AD606" s="164" t="str">
        <f>+IF(AND(Tabla2[[#This Row],[venc]]="venc",Tabla2[[#This Row],[estado pago]]="por pagar"),"vencida","no")</f>
        <v>no</v>
      </c>
    </row>
    <row r="607" spans="1:30" ht="19.5" hidden="1" customHeight="1" x14ac:dyDescent="0.25">
      <c r="A607" s="8" t="s">
        <v>1852</v>
      </c>
      <c r="B607" s="8" t="b">
        <v>0</v>
      </c>
      <c r="C607" s="8">
        <v>30</v>
      </c>
      <c r="D607" s="151">
        <v>0</v>
      </c>
      <c r="E607" s="151"/>
      <c r="F607" s="24" t="s">
        <v>84</v>
      </c>
      <c r="G607" s="30">
        <v>45169</v>
      </c>
      <c r="H607" s="81" t="s">
        <v>525</v>
      </c>
      <c r="I607" s="30">
        <v>45169</v>
      </c>
      <c r="J607" s="16" t="s">
        <v>1032</v>
      </c>
      <c r="K607" s="9" t="s">
        <v>1530</v>
      </c>
      <c r="L607" s="9"/>
      <c r="M607" s="152">
        <v>60000</v>
      </c>
      <c r="N607" s="153">
        <v>0</v>
      </c>
      <c r="O607" s="152">
        <v>0</v>
      </c>
      <c r="P607" s="154">
        <v>0</v>
      </c>
      <c r="Q607" s="152">
        <v>0</v>
      </c>
      <c r="R607" s="9">
        <v>60000</v>
      </c>
      <c r="S607" s="21" t="s">
        <v>1846</v>
      </c>
      <c r="T607" s="117">
        <v>0</v>
      </c>
      <c r="U607" s="117">
        <v>0</v>
      </c>
      <c r="V607" s="117">
        <v>2023</v>
      </c>
      <c r="W607" s="117">
        <v>6</v>
      </c>
      <c r="X607" s="117">
        <v>0</v>
      </c>
      <c r="Y607" s="117">
        <v>0</v>
      </c>
      <c r="Z607" s="21" t="b">
        <v>0</v>
      </c>
      <c r="AA607" s="162">
        <f>+$AD$5-Tabla2[[#This Row],[FECHA DE FACTURACIÓN]]</f>
        <v>274</v>
      </c>
      <c r="AB607" s="163" t="str">
        <f>+IF(Tabla2[[#This Row],[dias de credito]]&gt;=Tabla2[[#This Row],[PLAZO Días]],"venc", "No venc")</f>
        <v>venc</v>
      </c>
      <c r="AC607" s="163" t="str">
        <f>+IF(Tabla2[[#This Row],[FECHA DE PAGO]]&gt;0,"pagada","por pagar")</f>
        <v>pagada</v>
      </c>
      <c r="AD607" s="164" t="str">
        <f>+IF(AND(Tabla2[[#This Row],[venc]]="venc",Tabla2[[#This Row],[estado pago]]="por pagar"),"vencida","no")</f>
        <v>no</v>
      </c>
    </row>
    <row r="608" spans="1:30" ht="19.5" hidden="1" customHeight="1" x14ac:dyDescent="0.25">
      <c r="A608" s="8" t="s">
        <v>1852</v>
      </c>
      <c r="B608" s="8" t="b">
        <v>0</v>
      </c>
      <c r="C608" s="8">
        <v>30</v>
      </c>
      <c r="D608" s="151">
        <v>0</v>
      </c>
      <c r="E608" s="151"/>
      <c r="F608" s="24" t="s">
        <v>84</v>
      </c>
      <c r="G608" s="30">
        <v>45169</v>
      </c>
      <c r="H608" s="81" t="s">
        <v>525</v>
      </c>
      <c r="I608" s="30">
        <v>45169</v>
      </c>
      <c r="J608" s="16" t="s">
        <v>479</v>
      </c>
      <c r="K608" s="9" t="s">
        <v>1530</v>
      </c>
      <c r="L608" s="9"/>
      <c r="M608" s="152">
        <v>165300</v>
      </c>
      <c r="N608" s="153">
        <v>0</v>
      </c>
      <c r="O608" s="152">
        <v>0</v>
      </c>
      <c r="P608" s="154">
        <v>0</v>
      </c>
      <c r="Q608" s="152">
        <v>0</v>
      </c>
      <c r="R608" s="9">
        <v>165300</v>
      </c>
      <c r="S608" s="21" t="s">
        <v>1846</v>
      </c>
      <c r="T608" s="117">
        <v>0</v>
      </c>
      <c r="U608" s="117">
        <v>0</v>
      </c>
      <c r="V608" s="117">
        <v>2023</v>
      </c>
      <c r="W608" s="117">
        <v>6</v>
      </c>
      <c r="X608" s="117">
        <v>0</v>
      </c>
      <c r="Y608" s="117">
        <v>0</v>
      </c>
      <c r="Z608" s="21" t="b">
        <v>0</v>
      </c>
      <c r="AA608" s="162">
        <f>+$AD$5-Tabla2[[#This Row],[FECHA DE FACTURACIÓN]]</f>
        <v>274</v>
      </c>
      <c r="AB608" s="163" t="str">
        <f>+IF(Tabla2[[#This Row],[dias de credito]]&gt;=Tabla2[[#This Row],[PLAZO Días]],"venc", "No venc")</f>
        <v>venc</v>
      </c>
      <c r="AC608" s="163" t="str">
        <f>+IF(Tabla2[[#This Row],[FECHA DE PAGO]]&gt;0,"pagada","por pagar")</f>
        <v>pagada</v>
      </c>
      <c r="AD608" s="164" t="str">
        <f>+IF(AND(Tabla2[[#This Row],[venc]]="venc",Tabla2[[#This Row],[estado pago]]="por pagar"),"vencida","no")</f>
        <v>no</v>
      </c>
    </row>
    <row r="609" spans="1:30" ht="19.5" hidden="1" customHeight="1" x14ac:dyDescent="0.25">
      <c r="A609" s="8" t="s">
        <v>1852</v>
      </c>
      <c r="B609" s="8" t="b">
        <v>0</v>
      </c>
      <c r="C609" s="8">
        <v>30</v>
      </c>
      <c r="D609" s="151">
        <v>0</v>
      </c>
      <c r="E609" s="151"/>
      <c r="F609" s="24" t="s">
        <v>84</v>
      </c>
      <c r="G609" s="30">
        <v>45169</v>
      </c>
      <c r="H609" s="81" t="s">
        <v>525</v>
      </c>
      <c r="I609" s="30">
        <v>45169</v>
      </c>
      <c r="J609" s="16" t="s">
        <v>1531</v>
      </c>
      <c r="K609" s="9" t="s">
        <v>1530</v>
      </c>
      <c r="L609" s="9"/>
      <c r="M609" s="152">
        <v>214000</v>
      </c>
      <c r="N609" s="153">
        <v>0</v>
      </c>
      <c r="O609" s="152">
        <v>0</v>
      </c>
      <c r="P609" s="154">
        <v>0</v>
      </c>
      <c r="Q609" s="152">
        <v>0</v>
      </c>
      <c r="R609" s="9">
        <v>214000</v>
      </c>
      <c r="S609" s="21" t="s">
        <v>1846</v>
      </c>
      <c r="T609" s="117">
        <v>0</v>
      </c>
      <c r="U609" s="117">
        <v>0</v>
      </c>
      <c r="V609" s="117">
        <v>2023</v>
      </c>
      <c r="W609" s="117">
        <v>6</v>
      </c>
      <c r="X609" s="117">
        <v>0</v>
      </c>
      <c r="Y609" s="117">
        <v>0</v>
      </c>
      <c r="Z609" s="21" t="b">
        <v>0</v>
      </c>
      <c r="AA609" s="162">
        <f>+$AD$5-Tabla2[[#This Row],[FECHA DE FACTURACIÓN]]</f>
        <v>274</v>
      </c>
      <c r="AB609" s="163" t="str">
        <f>+IF(Tabla2[[#This Row],[dias de credito]]&gt;=Tabla2[[#This Row],[PLAZO Días]],"venc", "No venc")</f>
        <v>venc</v>
      </c>
      <c r="AC609" s="163" t="str">
        <f>+IF(Tabla2[[#This Row],[FECHA DE PAGO]]&gt;0,"pagada","por pagar")</f>
        <v>pagada</v>
      </c>
      <c r="AD609" s="164" t="str">
        <f>+IF(AND(Tabla2[[#This Row],[venc]]="venc",Tabla2[[#This Row],[estado pago]]="por pagar"),"vencida","no")</f>
        <v>no</v>
      </c>
    </row>
    <row r="610" spans="1:30" ht="19.5" hidden="1" customHeight="1" x14ac:dyDescent="0.25">
      <c r="A610" s="8" t="s">
        <v>1852</v>
      </c>
      <c r="B610" s="8" t="b">
        <v>0</v>
      </c>
      <c r="C610" s="8">
        <v>30</v>
      </c>
      <c r="D610" s="151">
        <v>0</v>
      </c>
      <c r="E610" s="151"/>
      <c r="F610" s="24" t="s">
        <v>84</v>
      </c>
      <c r="G610" s="30">
        <v>45169</v>
      </c>
      <c r="H610" s="81" t="s">
        <v>525</v>
      </c>
      <c r="I610" s="30">
        <v>45169</v>
      </c>
      <c r="J610" s="16" t="s">
        <v>476</v>
      </c>
      <c r="K610" s="9" t="s">
        <v>1530</v>
      </c>
      <c r="L610" s="9"/>
      <c r="M610" s="152">
        <v>427000</v>
      </c>
      <c r="N610" s="153">
        <v>0</v>
      </c>
      <c r="O610" s="152">
        <v>0</v>
      </c>
      <c r="P610" s="154">
        <v>0</v>
      </c>
      <c r="Q610" s="152">
        <v>0</v>
      </c>
      <c r="R610" s="9">
        <v>427000</v>
      </c>
      <c r="S610" s="21" t="s">
        <v>1846</v>
      </c>
      <c r="T610" s="117">
        <v>0</v>
      </c>
      <c r="U610" s="117">
        <v>0</v>
      </c>
      <c r="V610" s="117">
        <v>2023</v>
      </c>
      <c r="W610" s="117">
        <v>6</v>
      </c>
      <c r="X610" s="117">
        <v>0</v>
      </c>
      <c r="Y610" s="117">
        <v>0</v>
      </c>
      <c r="Z610" s="21" t="b">
        <v>0</v>
      </c>
      <c r="AA610" s="162">
        <f>+$AD$5-Tabla2[[#This Row],[FECHA DE FACTURACIÓN]]</f>
        <v>274</v>
      </c>
      <c r="AB610" s="163" t="str">
        <f>+IF(Tabla2[[#This Row],[dias de credito]]&gt;=Tabla2[[#This Row],[PLAZO Días]],"venc", "No venc")</f>
        <v>venc</v>
      </c>
      <c r="AC610" s="163" t="str">
        <f>+IF(Tabla2[[#This Row],[FECHA DE PAGO]]&gt;0,"pagada","por pagar")</f>
        <v>pagada</v>
      </c>
      <c r="AD610" s="164" t="str">
        <f>+IF(AND(Tabla2[[#This Row],[venc]]="venc",Tabla2[[#This Row],[estado pago]]="por pagar"),"vencida","no")</f>
        <v>no</v>
      </c>
    </row>
    <row r="611" spans="1:30" ht="19.5" hidden="1" customHeight="1" x14ac:dyDescent="0.25">
      <c r="A611" s="8" t="s">
        <v>1852</v>
      </c>
      <c r="B611" s="8" t="b">
        <v>0</v>
      </c>
      <c r="C611" s="8">
        <v>30</v>
      </c>
      <c r="D611" s="151">
        <v>0</v>
      </c>
      <c r="E611" s="151"/>
      <c r="F611" s="24" t="s">
        <v>84</v>
      </c>
      <c r="G611" s="30">
        <v>45169</v>
      </c>
      <c r="H611" s="81" t="s">
        <v>525</v>
      </c>
      <c r="I611" s="30">
        <v>45169</v>
      </c>
      <c r="J611" s="16" t="s">
        <v>480</v>
      </c>
      <c r="K611" s="9" t="s">
        <v>1530</v>
      </c>
      <c r="L611" s="9"/>
      <c r="M611" s="152">
        <v>646000</v>
      </c>
      <c r="N611" s="153">
        <v>0</v>
      </c>
      <c r="O611" s="152">
        <v>0</v>
      </c>
      <c r="P611" s="154">
        <v>0</v>
      </c>
      <c r="Q611" s="152">
        <v>0</v>
      </c>
      <c r="R611" s="9">
        <v>646000</v>
      </c>
      <c r="S611" s="21" t="s">
        <v>1846</v>
      </c>
      <c r="T611" s="117">
        <v>0</v>
      </c>
      <c r="U611" s="117">
        <v>0</v>
      </c>
      <c r="V611" s="117">
        <v>2023</v>
      </c>
      <c r="W611" s="117">
        <v>6</v>
      </c>
      <c r="X611" s="117">
        <v>0</v>
      </c>
      <c r="Y611" s="117">
        <v>0</v>
      </c>
      <c r="Z611" s="21" t="b">
        <v>0</v>
      </c>
      <c r="AA611" s="162">
        <f>+$AD$5-Tabla2[[#This Row],[FECHA DE FACTURACIÓN]]</f>
        <v>274</v>
      </c>
      <c r="AB611" s="163" t="str">
        <f>+IF(Tabla2[[#This Row],[dias de credito]]&gt;=Tabla2[[#This Row],[PLAZO Días]],"venc", "No venc")</f>
        <v>venc</v>
      </c>
      <c r="AC611" s="163" t="str">
        <f>+IF(Tabla2[[#This Row],[FECHA DE PAGO]]&gt;0,"pagada","por pagar")</f>
        <v>pagada</v>
      </c>
      <c r="AD611" s="164" t="str">
        <f>+IF(AND(Tabla2[[#This Row],[venc]]="venc",Tabla2[[#This Row],[estado pago]]="por pagar"),"vencida","no")</f>
        <v>no</v>
      </c>
    </row>
    <row r="612" spans="1:30" ht="19.5" hidden="1" customHeight="1" x14ac:dyDescent="0.25">
      <c r="A612" s="8" t="s">
        <v>1852</v>
      </c>
      <c r="B612" s="8" t="b">
        <v>0</v>
      </c>
      <c r="C612" s="8">
        <v>30</v>
      </c>
      <c r="D612" s="151">
        <v>0</v>
      </c>
      <c r="E612" s="151"/>
      <c r="F612" s="24" t="s">
        <v>84</v>
      </c>
      <c r="G612" s="30">
        <v>45169</v>
      </c>
      <c r="H612" s="81" t="s">
        <v>525</v>
      </c>
      <c r="I612" s="30">
        <v>45169</v>
      </c>
      <c r="J612" s="16" t="s">
        <v>477</v>
      </c>
      <c r="K612" s="9" t="s">
        <v>1530</v>
      </c>
      <c r="L612" s="9"/>
      <c r="M612" s="152">
        <v>1304150</v>
      </c>
      <c r="N612" s="153">
        <v>0</v>
      </c>
      <c r="O612" s="152">
        <v>0</v>
      </c>
      <c r="P612" s="154">
        <v>0</v>
      </c>
      <c r="Q612" s="152">
        <v>0</v>
      </c>
      <c r="R612" s="9">
        <v>1304150</v>
      </c>
      <c r="S612" s="21" t="s">
        <v>1846</v>
      </c>
      <c r="T612" s="117">
        <v>0</v>
      </c>
      <c r="U612" s="117">
        <v>0</v>
      </c>
      <c r="V612" s="117">
        <v>2023</v>
      </c>
      <c r="W612" s="117">
        <v>6</v>
      </c>
      <c r="X612" s="117">
        <v>0</v>
      </c>
      <c r="Y612" s="117">
        <v>0</v>
      </c>
      <c r="Z612" s="21" t="b">
        <v>0</v>
      </c>
      <c r="AA612" s="162">
        <f>+$AD$5-Tabla2[[#This Row],[FECHA DE FACTURACIÓN]]</f>
        <v>274</v>
      </c>
      <c r="AB612" s="163" t="str">
        <f>+IF(Tabla2[[#This Row],[dias de credito]]&gt;=Tabla2[[#This Row],[PLAZO Días]],"venc", "No venc")</f>
        <v>venc</v>
      </c>
      <c r="AC612" s="163" t="str">
        <f>+IF(Tabla2[[#This Row],[FECHA DE PAGO]]&gt;0,"pagada","por pagar")</f>
        <v>pagada</v>
      </c>
      <c r="AD612" s="164" t="str">
        <f>+IF(AND(Tabla2[[#This Row],[venc]]="venc",Tabla2[[#This Row],[estado pago]]="por pagar"),"vencida","no")</f>
        <v>no</v>
      </c>
    </row>
    <row r="613" spans="1:30" ht="19.5" hidden="1" customHeight="1" x14ac:dyDescent="0.25">
      <c r="A613" s="8" t="s">
        <v>1852</v>
      </c>
      <c r="B613" s="8" t="b">
        <v>0</v>
      </c>
      <c r="C613" s="8">
        <v>30</v>
      </c>
      <c r="D613" s="151">
        <v>0</v>
      </c>
      <c r="E613" s="151"/>
      <c r="F613" s="24" t="s">
        <v>84</v>
      </c>
      <c r="G613" s="30">
        <v>45169</v>
      </c>
      <c r="H613" s="81" t="s">
        <v>525</v>
      </c>
      <c r="I613" s="30">
        <v>45169</v>
      </c>
      <c r="J613" s="16" t="s">
        <v>478</v>
      </c>
      <c r="K613" s="9" t="s">
        <v>1530</v>
      </c>
      <c r="L613" s="9"/>
      <c r="M613" s="152">
        <v>4238550</v>
      </c>
      <c r="N613" s="153">
        <v>0</v>
      </c>
      <c r="O613" s="152">
        <v>0</v>
      </c>
      <c r="P613" s="154">
        <v>0</v>
      </c>
      <c r="Q613" s="152">
        <v>0</v>
      </c>
      <c r="R613" s="9">
        <v>4238550</v>
      </c>
      <c r="S613" s="21" t="s">
        <v>1846</v>
      </c>
      <c r="T613" s="117">
        <v>0</v>
      </c>
      <c r="U613" s="117">
        <v>0</v>
      </c>
      <c r="V613" s="117">
        <v>2023</v>
      </c>
      <c r="W613" s="117">
        <v>6</v>
      </c>
      <c r="X613" s="117">
        <v>0</v>
      </c>
      <c r="Y613" s="117">
        <v>0</v>
      </c>
      <c r="Z613" s="21" t="b">
        <v>0</v>
      </c>
      <c r="AA613" s="162">
        <f>+$AD$5-Tabla2[[#This Row],[FECHA DE FACTURACIÓN]]</f>
        <v>274</v>
      </c>
      <c r="AB613" s="163" t="str">
        <f>+IF(Tabla2[[#This Row],[dias de credito]]&gt;=Tabla2[[#This Row],[PLAZO Días]],"venc", "No venc")</f>
        <v>venc</v>
      </c>
      <c r="AC613" s="163" t="str">
        <f>+IF(Tabla2[[#This Row],[FECHA DE PAGO]]&gt;0,"pagada","por pagar")</f>
        <v>pagada</v>
      </c>
      <c r="AD613" s="164" t="str">
        <f>+IF(AND(Tabla2[[#This Row],[venc]]="venc",Tabla2[[#This Row],[estado pago]]="por pagar"),"vencida","no")</f>
        <v>no</v>
      </c>
    </row>
    <row r="614" spans="1:30" ht="19.5" hidden="1" customHeight="1" x14ac:dyDescent="0.25">
      <c r="A614" s="8" t="s">
        <v>1852</v>
      </c>
      <c r="B614" s="8" t="b">
        <v>0</v>
      </c>
      <c r="C614" s="8">
        <v>30</v>
      </c>
      <c r="D614" s="151">
        <v>0</v>
      </c>
      <c r="E614" s="151"/>
      <c r="F614" s="24">
        <v>0</v>
      </c>
      <c r="G614" s="30">
        <v>45169</v>
      </c>
      <c r="H614" s="81" t="s">
        <v>861</v>
      </c>
      <c r="I614" s="30">
        <v>45169</v>
      </c>
      <c r="J614" s="16">
        <v>5918</v>
      </c>
      <c r="K614" s="9" t="s">
        <v>1530</v>
      </c>
      <c r="L614" s="9"/>
      <c r="M614" s="152">
        <v>505000</v>
      </c>
      <c r="N614" s="153">
        <v>0</v>
      </c>
      <c r="O614" s="152">
        <v>0</v>
      </c>
      <c r="P614" s="154">
        <v>0</v>
      </c>
      <c r="Q614" s="152">
        <v>0</v>
      </c>
      <c r="R614" s="9">
        <v>505000</v>
      </c>
      <c r="S614" s="21" t="s">
        <v>1846</v>
      </c>
      <c r="T614" s="117">
        <v>0</v>
      </c>
      <c r="U614" s="117">
        <v>0</v>
      </c>
      <c r="V614" s="117">
        <v>2023</v>
      </c>
      <c r="W614" s="117">
        <v>6</v>
      </c>
      <c r="X614" s="117">
        <v>0</v>
      </c>
      <c r="Y614" s="117">
        <v>0</v>
      </c>
      <c r="Z614" s="21" t="b">
        <v>0</v>
      </c>
      <c r="AA614" s="162">
        <f>+$AD$5-Tabla2[[#This Row],[FECHA DE FACTURACIÓN]]</f>
        <v>274</v>
      </c>
      <c r="AB614" s="163" t="str">
        <f>+IF(Tabla2[[#This Row],[dias de credito]]&gt;=Tabla2[[#This Row],[PLAZO Días]],"venc", "No venc")</f>
        <v>venc</v>
      </c>
      <c r="AC614" s="163" t="str">
        <f>+IF(Tabla2[[#This Row],[FECHA DE PAGO]]&gt;0,"pagada","por pagar")</f>
        <v>pagada</v>
      </c>
      <c r="AD614" s="164" t="str">
        <f>+IF(AND(Tabla2[[#This Row],[venc]]="venc",Tabla2[[#This Row],[estado pago]]="por pagar"),"vencida","no")</f>
        <v>no</v>
      </c>
    </row>
    <row r="615" spans="1:30" ht="19.5" hidden="1" customHeight="1" x14ac:dyDescent="0.25">
      <c r="A615" s="8" t="s">
        <v>1850</v>
      </c>
      <c r="B615" s="8" t="s">
        <v>1851</v>
      </c>
      <c r="C615" s="8">
        <v>30</v>
      </c>
      <c r="D615" s="151">
        <v>134000</v>
      </c>
      <c r="E615" s="151"/>
      <c r="F615" s="24" t="s">
        <v>192</v>
      </c>
      <c r="G615" s="30">
        <v>45170</v>
      </c>
      <c r="H615" s="81" t="s">
        <v>1808</v>
      </c>
      <c r="I615" s="30">
        <v>45139</v>
      </c>
      <c r="J615" s="16">
        <v>4297</v>
      </c>
      <c r="K615" s="9" t="s">
        <v>1530</v>
      </c>
      <c r="L615" s="9"/>
      <c r="M615" s="152">
        <v>138000</v>
      </c>
      <c r="N615" s="153">
        <v>0</v>
      </c>
      <c r="O615" s="152">
        <v>0</v>
      </c>
      <c r="P615" s="154">
        <v>0</v>
      </c>
      <c r="Q615" s="152">
        <v>0</v>
      </c>
      <c r="R615" s="9">
        <v>138000</v>
      </c>
      <c r="S615" s="21" t="s">
        <v>1846</v>
      </c>
      <c r="T615" s="117">
        <v>0</v>
      </c>
      <c r="U615" s="117">
        <v>0</v>
      </c>
      <c r="V615" s="117">
        <v>2023</v>
      </c>
      <c r="W615" s="117">
        <v>6</v>
      </c>
      <c r="X615" s="117">
        <v>0</v>
      </c>
      <c r="Y615" s="117">
        <v>0</v>
      </c>
      <c r="Z615" s="21" t="b">
        <v>0</v>
      </c>
      <c r="AA615" s="162">
        <f>+$AD$5-Tabla2[[#This Row],[FECHA DE FACTURACIÓN]]</f>
        <v>304</v>
      </c>
      <c r="AB615" s="163" t="str">
        <f>+IF(Tabla2[[#This Row],[dias de credito]]&gt;=Tabla2[[#This Row],[PLAZO Días]],"venc", "No venc")</f>
        <v>venc</v>
      </c>
      <c r="AC615" s="163" t="str">
        <f>+IF(Tabla2[[#This Row],[FECHA DE PAGO]]&gt;0,"pagada","por pagar")</f>
        <v>pagada</v>
      </c>
      <c r="AD615" s="164" t="str">
        <f>+IF(AND(Tabla2[[#This Row],[venc]]="venc",Tabla2[[#This Row],[estado pago]]="por pagar"),"vencida","no")</f>
        <v>no</v>
      </c>
    </row>
    <row r="616" spans="1:30" ht="19.5" hidden="1" customHeight="1" x14ac:dyDescent="0.25">
      <c r="A616" s="8" t="s">
        <v>1850</v>
      </c>
      <c r="B616" s="8" t="b">
        <v>0</v>
      </c>
      <c r="C616" s="8">
        <v>30</v>
      </c>
      <c r="D616" s="151">
        <v>0</v>
      </c>
      <c r="E616" s="151"/>
      <c r="F616" s="24">
        <v>0</v>
      </c>
      <c r="G616" s="30">
        <v>45170</v>
      </c>
      <c r="H616" s="81" t="s">
        <v>1805</v>
      </c>
      <c r="I616" s="30">
        <v>45161</v>
      </c>
      <c r="J616" s="16">
        <v>396</v>
      </c>
      <c r="K616" s="9" t="s">
        <v>1530</v>
      </c>
      <c r="L616" s="9"/>
      <c r="M616" s="152">
        <v>756000</v>
      </c>
      <c r="N616" s="153">
        <v>0</v>
      </c>
      <c r="O616" s="152">
        <v>0</v>
      </c>
      <c r="P616" s="154">
        <v>0</v>
      </c>
      <c r="Q616" s="152">
        <v>0</v>
      </c>
      <c r="R616" s="9">
        <v>756000</v>
      </c>
      <c r="S616" s="21" t="s">
        <v>1846</v>
      </c>
      <c r="T616" s="117">
        <v>0</v>
      </c>
      <c r="U616" s="117">
        <v>0</v>
      </c>
      <c r="V616" s="117">
        <v>2023</v>
      </c>
      <c r="W616" s="117">
        <v>6</v>
      </c>
      <c r="X616" s="117">
        <v>0</v>
      </c>
      <c r="Y616" s="117">
        <v>0</v>
      </c>
      <c r="Z616" s="21" t="b">
        <v>0</v>
      </c>
      <c r="AA616" s="162">
        <f>+$AD$5-Tabla2[[#This Row],[FECHA DE FACTURACIÓN]]</f>
        <v>282</v>
      </c>
      <c r="AB616" s="163" t="str">
        <f>+IF(Tabla2[[#This Row],[dias de credito]]&gt;=Tabla2[[#This Row],[PLAZO Días]],"venc", "No venc")</f>
        <v>venc</v>
      </c>
      <c r="AC616" s="163" t="str">
        <f>+IF(Tabla2[[#This Row],[FECHA DE PAGO]]&gt;0,"pagada","por pagar")</f>
        <v>pagada</v>
      </c>
      <c r="AD616" s="164" t="str">
        <f>+IF(AND(Tabla2[[#This Row],[venc]]="venc",Tabla2[[#This Row],[estado pago]]="por pagar"),"vencida","no")</f>
        <v>no</v>
      </c>
    </row>
    <row r="617" spans="1:30" ht="19.5" hidden="1" customHeight="1" x14ac:dyDescent="0.25">
      <c r="A617" s="8" t="s">
        <v>1852</v>
      </c>
      <c r="B617" s="8" t="b">
        <v>0</v>
      </c>
      <c r="C617" s="8">
        <v>30</v>
      </c>
      <c r="D617" s="151">
        <v>1350000</v>
      </c>
      <c r="E617" s="151"/>
      <c r="F617" s="24" t="s">
        <v>84</v>
      </c>
      <c r="G617" s="30">
        <v>45171</v>
      </c>
      <c r="H617" s="81" t="s">
        <v>1807</v>
      </c>
      <c r="I617" s="30">
        <v>45171</v>
      </c>
      <c r="J617" s="16" t="s">
        <v>1031</v>
      </c>
      <c r="K617" s="9" t="s">
        <v>1530</v>
      </c>
      <c r="L617" s="9"/>
      <c r="M617" s="152">
        <v>540000</v>
      </c>
      <c r="N617" s="153">
        <v>0</v>
      </c>
      <c r="O617" s="152">
        <v>0</v>
      </c>
      <c r="P617" s="154">
        <v>0</v>
      </c>
      <c r="Q617" s="152">
        <v>0</v>
      </c>
      <c r="R617" s="9">
        <v>540000</v>
      </c>
      <c r="S617" s="21" t="s">
        <v>1846</v>
      </c>
      <c r="T617" s="117">
        <v>0</v>
      </c>
      <c r="U617" s="117">
        <v>0</v>
      </c>
      <c r="V617" s="117">
        <v>2023</v>
      </c>
      <c r="W617" s="117">
        <v>6</v>
      </c>
      <c r="X617" s="117">
        <v>0</v>
      </c>
      <c r="Y617" s="117">
        <v>0</v>
      </c>
      <c r="Z617" s="21" t="b">
        <v>0</v>
      </c>
      <c r="AA617" s="162">
        <f>+$AD$5-Tabla2[[#This Row],[FECHA DE FACTURACIÓN]]</f>
        <v>272</v>
      </c>
      <c r="AB617" s="163" t="str">
        <f>+IF(Tabla2[[#This Row],[dias de credito]]&gt;=Tabla2[[#This Row],[PLAZO Días]],"venc", "No venc")</f>
        <v>venc</v>
      </c>
      <c r="AC617" s="163" t="str">
        <f>+IF(Tabla2[[#This Row],[FECHA DE PAGO]]&gt;0,"pagada","por pagar")</f>
        <v>pagada</v>
      </c>
      <c r="AD617" s="164" t="str">
        <f>+IF(AND(Tabla2[[#This Row],[venc]]="venc",Tabla2[[#This Row],[estado pago]]="por pagar"),"vencida","no")</f>
        <v>no</v>
      </c>
    </row>
    <row r="618" spans="1:30" ht="19.5" hidden="1" customHeight="1" x14ac:dyDescent="0.25">
      <c r="A618" s="8" t="s">
        <v>1852</v>
      </c>
      <c r="B618" s="8" t="b">
        <v>0</v>
      </c>
      <c r="C618" s="8">
        <v>30</v>
      </c>
      <c r="D618" s="151">
        <v>0</v>
      </c>
      <c r="E618" s="151"/>
      <c r="F618" s="24">
        <v>0</v>
      </c>
      <c r="G618" s="30">
        <v>45171</v>
      </c>
      <c r="H618" s="81" t="s">
        <v>836</v>
      </c>
      <c r="I618" s="30">
        <v>45171</v>
      </c>
      <c r="J618" s="16"/>
      <c r="K618" s="9" t="s">
        <v>1530</v>
      </c>
      <c r="L618" s="9"/>
      <c r="M618" s="152">
        <v>508000</v>
      </c>
      <c r="N618" s="153">
        <v>0</v>
      </c>
      <c r="O618" s="152">
        <v>0</v>
      </c>
      <c r="P618" s="154">
        <v>0</v>
      </c>
      <c r="Q618" s="152">
        <v>0</v>
      </c>
      <c r="R618" s="9">
        <v>508000</v>
      </c>
      <c r="S618" s="21" t="s">
        <v>1846</v>
      </c>
      <c r="T618" s="117">
        <v>0</v>
      </c>
      <c r="U618" s="117">
        <v>0</v>
      </c>
      <c r="V618" s="117">
        <v>2023</v>
      </c>
      <c r="W618" s="117">
        <v>6</v>
      </c>
      <c r="X618" s="117">
        <v>0</v>
      </c>
      <c r="Y618" s="117">
        <v>0</v>
      </c>
      <c r="Z618" s="21" t="b">
        <v>0</v>
      </c>
      <c r="AA618" s="162">
        <f>+$AD$5-Tabla2[[#This Row],[FECHA DE FACTURACIÓN]]</f>
        <v>272</v>
      </c>
      <c r="AB618" s="163" t="str">
        <f>+IF(Tabla2[[#This Row],[dias de credito]]&gt;=Tabla2[[#This Row],[PLAZO Días]],"venc", "No venc")</f>
        <v>venc</v>
      </c>
      <c r="AC618" s="163" t="str">
        <f>+IF(Tabla2[[#This Row],[FECHA DE PAGO]]&gt;0,"pagada","por pagar")</f>
        <v>pagada</v>
      </c>
      <c r="AD618" s="164" t="str">
        <f>+IF(AND(Tabla2[[#This Row],[venc]]="venc",Tabla2[[#This Row],[estado pago]]="por pagar"),"vencida","no")</f>
        <v>no</v>
      </c>
    </row>
    <row r="619" spans="1:30" ht="19.5" hidden="1" customHeight="1" x14ac:dyDescent="0.25">
      <c r="A619" s="8" t="s">
        <v>1850</v>
      </c>
      <c r="B619" s="8" t="s">
        <v>1851</v>
      </c>
      <c r="C619" s="8">
        <v>30</v>
      </c>
      <c r="D619" s="151">
        <v>3152439.05</v>
      </c>
      <c r="E619" s="151"/>
      <c r="F619" s="24" t="s">
        <v>227</v>
      </c>
      <c r="G619" s="30">
        <v>45173</v>
      </c>
      <c r="H619" s="81" t="s">
        <v>220</v>
      </c>
      <c r="I619" s="30">
        <v>45064</v>
      </c>
      <c r="J619" s="16" t="s">
        <v>967</v>
      </c>
      <c r="K619" s="9" t="s">
        <v>1530</v>
      </c>
      <c r="L619" s="9"/>
      <c r="M619" s="152">
        <v>-311718</v>
      </c>
      <c r="N619" s="153">
        <v>-59226.42</v>
      </c>
      <c r="O619" s="152">
        <v>0</v>
      </c>
      <c r="P619" s="154">
        <v>0</v>
      </c>
      <c r="Q619" s="152">
        <v>0</v>
      </c>
      <c r="R619" s="9">
        <v>-370944.42</v>
      </c>
      <c r="S619" s="21" t="s">
        <v>1846</v>
      </c>
      <c r="T619" s="117">
        <v>0</v>
      </c>
      <c r="U619" s="117">
        <v>0</v>
      </c>
      <c r="V619" s="117">
        <v>2023</v>
      </c>
      <c r="W619" s="117">
        <v>6</v>
      </c>
      <c r="X619" s="117">
        <v>0</v>
      </c>
      <c r="Y619" s="117">
        <v>0</v>
      </c>
      <c r="Z619" s="21" t="b">
        <v>0</v>
      </c>
      <c r="AA619" s="162">
        <f>+$AD$5-Tabla2[[#This Row],[FECHA DE FACTURACIÓN]]</f>
        <v>379</v>
      </c>
      <c r="AB619" s="163" t="str">
        <f>+IF(Tabla2[[#This Row],[dias de credito]]&gt;=Tabla2[[#This Row],[PLAZO Días]],"venc", "No venc")</f>
        <v>venc</v>
      </c>
      <c r="AC619" s="163" t="str">
        <f>+IF(Tabla2[[#This Row],[FECHA DE PAGO]]&gt;0,"pagada","por pagar")</f>
        <v>pagada</v>
      </c>
      <c r="AD619" s="164" t="str">
        <f>+IF(AND(Tabla2[[#This Row],[venc]]="venc",Tabla2[[#This Row],[estado pago]]="por pagar"),"vencida","no")</f>
        <v>no</v>
      </c>
    </row>
    <row r="620" spans="1:30" ht="19.5" hidden="1" customHeight="1" x14ac:dyDescent="0.25">
      <c r="A620" s="8" t="s">
        <v>1850</v>
      </c>
      <c r="B620" s="8" t="s">
        <v>1851</v>
      </c>
      <c r="C620" s="8">
        <v>30</v>
      </c>
      <c r="D620" s="151">
        <v>3152439.05</v>
      </c>
      <c r="E620" s="151"/>
      <c r="F620" s="24" t="s">
        <v>227</v>
      </c>
      <c r="G620" s="30">
        <v>45173</v>
      </c>
      <c r="H620" s="81" t="s">
        <v>220</v>
      </c>
      <c r="I620" s="30">
        <v>45107</v>
      </c>
      <c r="J620" s="16" t="s">
        <v>872</v>
      </c>
      <c r="K620" s="9" t="s">
        <v>1530</v>
      </c>
      <c r="L620" s="9"/>
      <c r="M620" s="152">
        <v>1930400</v>
      </c>
      <c r="N620" s="153">
        <v>366776</v>
      </c>
      <c r="O620" s="152">
        <v>0</v>
      </c>
      <c r="P620" s="154">
        <v>0</v>
      </c>
      <c r="Q620" s="152">
        <v>0</v>
      </c>
      <c r="R620" s="9">
        <v>2297176</v>
      </c>
      <c r="S620" s="21" t="s">
        <v>1846</v>
      </c>
      <c r="T620" s="117">
        <v>0</v>
      </c>
      <c r="U620" s="117">
        <v>0</v>
      </c>
      <c r="V620" s="117">
        <v>2023</v>
      </c>
      <c r="W620" s="117">
        <v>6</v>
      </c>
      <c r="X620" s="117">
        <v>0</v>
      </c>
      <c r="Y620" s="117">
        <v>0</v>
      </c>
      <c r="Z620" s="21" t="b">
        <v>0</v>
      </c>
      <c r="AA620" s="162">
        <f>+$AD$5-Tabla2[[#This Row],[FECHA DE FACTURACIÓN]]</f>
        <v>336</v>
      </c>
      <c r="AB620" s="163" t="str">
        <f>+IF(Tabla2[[#This Row],[dias de credito]]&gt;=Tabla2[[#This Row],[PLAZO Días]],"venc", "No venc")</f>
        <v>venc</v>
      </c>
      <c r="AC620" s="163" t="str">
        <f>+IF(Tabla2[[#This Row],[FECHA DE PAGO]]&gt;0,"pagada","por pagar")</f>
        <v>pagada</v>
      </c>
      <c r="AD620" s="164" t="str">
        <f>+IF(AND(Tabla2[[#This Row],[venc]]="venc",Tabla2[[#This Row],[estado pago]]="por pagar"),"vencida","no")</f>
        <v>no</v>
      </c>
    </row>
    <row r="621" spans="1:30" ht="19.5" hidden="1" customHeight="1" x14ac:dyDescent="0.25">
      <c r="A621" s="8" t="s">
        <v>1850</v>
      </c>
      <c r="B621" s="8" t="s">
        <v>1851</v>
      </c>
      <c r="C621" s="8">
        <v>30</v>
      </c>
      <c r="D621" s="151">
        <v>3152439.05</v>
      </c>
      <c r="E621" s="151"/>
      <c r="F621" s="24" t="s">
        <v>227</v>
      </c>
      <c r="G621" s="30">
        <v>45173</v>
      </c>
      <c r="H621" s="81" t="s">
        <v>220</v>
      </c>
      <c r="I621" s="30">
        <v>45111</v>
      </c>
      <c r="J621" s="16" t="s">
        <v>908</v>
      </c>
      <c r="K621" s="9" t="s">
        <v>1530</v>
      </c>
      <c r="L621" s="9"/>
      <c r="M621" s="152">
        <v>528624</v>
      </c>
      <c r="N621" s="153">
        <v>100438.56</v>
      </c>
      <c r="O621" s="152">
        <v>0</v>
      </c>
      <c r="P621" s="154">
        <v>0</v>
      </c>
      <c r="Q621" s="152">
        <v>0</v>
      </c>
      <c r="R621" s="9">
        <v>629062.56000000006</v>
      </c>
      <c r="S621" s="21" t="s">
        <v>1846</v>
      </c>
      <c r="T621" s="117">
        <v>0</v>
      </c>
      <c r="U621" s="117">
        <v>0</v>
      </c>
      <c r="V621" s="117">
        <v>2023</v>
      </c>
      <c r="W621" s="117">
        <v>6</v>
      </c>
      <c r="X621" s="117">
        <v>0</v>
      </c>
      <c r="Y621" s="117">
        <v>0</v>
      </c>
      <c r="Z621" s="21" t="b">
        <v>0</v>
      </c>
      <c r="AA621" s="162">
        <f>+$AD$5-Tabla2[[#This Row],[FECHA DE FACTURACIÓN]]</f>
        <v>332</v>
      </c>
      <c r="AB621" s="163" t="str">
        <f>+IF(Tabla2[[#This Row],[dias de credito]]&gt;=Tabla2[[#This Row],[PLAZO Días]],"venc", "No venc")</f>
        <v>venc</v>
      </c>
      <c r="AC621" s="163" t="str">
        <f>+IF(Tabla2[[#This Row],[FECHA DE PAGO]]&gt;0,"pagada","por pagar")</f>
        <v>pagada</v>
      </c>
      <c r="AD621" s="164" t="str">
        <f>+IF(AND(Tabla2[[#This Row],[venc]]="venc",Tabla2[[#This Row],[estado pago]]="por pagar"),"vencida","no")</f>
        <v>no</v>
      </c>
    </row>
    <row r="622" spans="1:30" ht="19.5" hidden="1" customHeight="1" x14ac:dyDescent="0.25">
      <c r="A622" s="8" t="s">
        <v>1850</v>
      </c>
      <c r="B622" s="8" t="s">
        <v>1851</v>
      </c>
      <c r="C622" s="8">
        <v>30</v>
      </c>
      <c r="D622" s="151">
        <v>3152439.05</v>
      </c>
      <c r="E622" s="151"/>
      <c r="F622" s="24" t="s">
        <v>227</v>
      </c>
      <c r="G622" s="30">
        <v>45173</v>
      </c>
      <c r="H622" s="81" t="s">
        <v>220</v>
      </c>
      <c r="I622" s="30">
        <v>45111</v>
      </c>
      <c r="J622" s="16" t="s">
        <v>907</v>
      </c>
      <c r="K622" s="9" t="s">
        <v>1530</v>
      </c>
      <c r="L622" s="9"/>
      <c r="M622" s="152">
        <v>792936</v>
      </c>
      <c r="N622" s="153">
        <v>150657.84</v>
      </c>
      <c r="O622" s="152">
        <v>0</v>
      </c>
      <c r="P622" s="154">
        <v>0</v>
      </c>
      <c r="Q622" s="152">
        <v>0</v>
      </c>
      <c r="R622" s="9">
        <v>943593.84</v>
      </c>
      <c r="S622" s="21" t="s">
        <v>1846</v>
      </c>
      <c r="T622" s="117">
        <v>0</v>
      </c>
      <c r="U622" s="117">
        <v>0</v>
      </c>
      <c r="V622" s="117">
        <v>2023</v>
      </c>
      <c r="W622" s="117">
        <v>6</v>
      </c>
      <c r="X622" s="117">
        <v>0</v>
      </c>
      <c r="Y622" s="117">
        <v>0</v>
      </c>
      <c r="Z622" s="21" t="b">
        <v>0</v>
      </c>
      <c r="AA622" s="162">
        <f>+$AD$5-Tabla2[[#This Row],[FECHA DE FACTURACIÓN]]</f>
        <v>332</v>
      </c>
      <c r="AB622" s="163" t="str">
        <f>+IF(Tabla2[[#This Row],[dias de credito]]&gt;=Tabla2[[#This Row],[PLAZO Días]],"venc", "No venc")</f>
        <v>venc</v>
      </c>
      <c r="AC622" s="163" t="str">
        <f>+IF(Tabla2[[#This Row],[FECHA DE PAGO]]&gt;0,"pagada","por pagar")</f>
        <v>pagada</v>
      </c>
      <c r="AD622" s="164" t="str">
        <f>+IF(AND(Tabla2[[#This Row],[venc]]="venc",Tabla2[[#This Row],[estado pago]]="por pagar"),"vencida","no")</f>
        <v>no</v>
      </c>
    </row>
    <row r="623" spans="1:30" ht="19.5" hidden="1" customHeight="1" x14ac:dyDescent="0.25">
      <c r="A623" s="8" t="s">
        <v>1850</v>
      </c>
      <c r="B623" s="8" t="s">
        <v>1851</v>
      </c>
      <c r="C623" s="8">
        <v>30</v>
      </c>
      <c r="D623" s="151">
        <v>1776037.21</v>
      </c>
      <c r="E623" s="151"/>
      <c r="F623" s="24" t="s">
        <v>148</v>
      </c>
      <c r="G623" s="30">
        <v>45173</v>
      </c>
      <c r="H623" s="81" t="s">
        <v>17</v>
      </c>
      <c r="I623" s="30">
        <v>45128</v>
      </c>
      <c r="J623" s="16" t="s">
        <v>914</v>
      </c>
      <c r="K623" s="9" t="s">
        <v>1530</v>
      </c>
      <c r="L623" s="9"/>
      <c r="M623" s="152">
        <v>230906</v>
      </c>
      <c r="N623" s="153">
        <v>43872.14</v>
      </c>
      <c r="O623" s="152">
        <v>0</v>
      </c>
      <c r="P623" s="154">
        <v>0</v>
      </c>
      <c r="Q623" s="152">
        <v>0</v>
      </c>
      <c r="R623" s="9">
        <v>274778.14</v>
      </c>
      <c r="S623" s="21" t="s">
        <v>1846</v>
      </c>
      <c r="T623" s="117">
        <v>0</v>
      </c>
      <c r="U623" s="117">
        <v>0</v>
      </c>
      <c r="V623" s="117">
        <v>2023</v>
      </c>
      <c r="W623" s="117">
        <v>6</v>
      </c>
      <c r="X623" s="117">
        <v>0</v>
      </c>
      <c r="Y623" s="117">
        <v>0</v>
      </c>
      <c r="Z623" s="21" t="b">
        <v>0</v>
      </c>
      <c r="AA623" s="162">
        <f>+$AD$5-Tabla2[[#This Row],[FECHA DE FACTURACIÓN]]</f>
        <v>315</v>
      </c>
      <c r="AB623" s="163" t="str">
        <f>+IF(Tabla2[[#This Row],[dias de credito]]&gt;=Tabla2[[#This Row],[PLAZO Días]],"venc", "No venc")</f>
        <v>venc</v>
      </c>
      <c r="AC623" s="163" t="str">
        <f>+IF(Tabla2[[#This Row],[FECHA DE PAGO]]&gt;0,"pagada","por pagar")</f>
        <v>pagada</v>
      </c>
      <c r="AD623" s="164" t="str">
        <f>+IF(AND(Tabla2[[#This Row],[venc]]="venc",Tabla2[[#This Row],[estado pago]]="por pagar"),"vencida","no")</f>
        <v>no</v>
      </c>
    </row>
    <row r="624" spans="1:30" ht="19.5" hidden="1" customHeight="1" x14ac:dyDescent="0.25">
      <c r="A624" s="8" t="s">
        <v>1850</v>
      </c>
      <c r="B624" s="8" t="s">
        <v>1851</v>
      </c>
      <c r="C624" s="8">
        <v>30</v>
      </c>
      <c r="D624" s="151">
        <v>1776037.21</v>
      </c>
      <c r="E624" s="151"/>
      <c r="F624" s="24" t="s">
        <v>148</v>
      </c>
      <c r="G624" s="30">
        <v>45173</v>
      </c>
      <c r="H624" s="81" t="s">
        <v>17</v>
      </c>
      <c r="I624" s="30">
        <v>45128</v>
      </c>
      <c r="J624" s="16" t="s">
        <v>915</v>
      </c>
      <c r="K624" s="9" t="s">
        <v>1530</v>
      </c>
      <c r="L624" s="9"/>
      <c r="M624" s="152">
        <v>458175</v>
      </c>
      <c r="N624" s="153">
        <v>87053.25</v>
      </c>
      <c r="O624" s="152">
        <v>0</v>
      </c>
      <c r="P624" s="154">
        <v>0</v>
      </c>
      <c r="Q624" s="152">
        <v>0</v>
      </c>
      <c r="R624" s="9">
        <v>545228.25</v>
      </c>
      <c r="S624" s="21" t="s">
        <v>1846</v>
      </c>
      <c r="T624" s="117">
        <v>0</v>
      </c>
      <c r="U624" s="117">
        <v>0</v>
      </c>
      <c r="V624" s="117">
        <v>2023</v>
      </c>
      <c r="W624" s="117">
        <v>6</v>
      </c>
      <c r="X624" s="117">
        <v>0</v>
      </c>
      <c r="Y624" s="117">
        <v>0</v>
      </c>
      <c r="Z624" s="21" t="b">
        <v>0</v>
      </c>
      <c r="AA624" s="162">
        <f>+$AD$5-Tabla2[[#This Row],[FECHA DE FACTURACIÓN]]</f>
        <v>315</v>
      </c>
      <c r="AB624" s="163" t="str">
        <f>+IF(Tabla2[[#This Row],[dias de credito]]&gt;=Tabla2[[#This Row],[PLAZO Días]],"venc", "No venc")</f>
        <v>venc</v>
      </c>
      <c r="AC624" s="163" t="str">
        <f>+IF(Tabla2[[#This Row],[FECHA DE PAGO]]&gt;0,"pagada","por pagar")</f>
        <v>pagada</v>
      </c>
      <c r="AD624" s="164" t="str">
        <f>+IF(AND(Tabla2[[#This Row],[venc]]="venc",Tabla2[[#This Row],[estado pago]]="por pagar"),"vencida","no")</f>
        <v>no</v>
      </c>
    </row>
    <row r="625" spans="1:30" ht="19.5" hidden="1" customHeight="1" x14ac:dyDescent="0.25">
      <c r="A625" s="8" t="s">
        <v>1850</v>
      </c>
      <c r="B625" s="8" t="s">
        <v>1851</v>
      </c>
      <c r="C625" s="8">
        <v>30</v>
      </c>
      <c r="D625" s="151">
        <v>1776037.21</v>
      </c>
      <c r="E625" s="151"/>
      <c r="F625" s="24" t="s">
        <v>148</v>
      </c>
      <c r="G625" s="30">
        <v>45173</v>
      </c>
      <c r="H625" s="81" t="s">
        <v>17</v>
      </c>
      <c r="I625" s="30">
        <v>45131</v>
      </c>
      <c r="J625" s="16" t="s">
        <v>913</v>
      </c>
      <c r="K625" s="9" t="s">
        <v>1530</v>
      </c>
      <c r="L625" s="9"/>
      <c r="M625" s="152">
        <v>1902271</v>
      </c>
      <c r="N625" s="153">
        <v>361431.49</v>
      </c>
      <c r="O625" s="152">
        <v>0</v>
      </c>
      <c r="P625" s="154">
        <v>0</v>
      </c>
      <c r="Q625" s="152">
        <v>0</v>
      </c>
      <c r="R625" s="9">
        <v>2263702.4900000002</v>
      </c>
      <c r="S625" s="21" t="s">
        <v>1846</v>
      </c>
      <c r="T625" s="117">
        <v>0</v>
      </c>
      <c r="U625" s="117">
        <v>0</v>
      </c>
      <c r="V625" s="117">
        <v>2023</v>
      </c>
      <c r="W625" s="117">
        <v>6</v>
      </c>
      <c r="X625" s="117">
        <v>0</v>
      </c>
      <c r="Y625" s="117">
        <v>0</v>
      </c>
      <c r="Z625" s="21" t="b">
        <v>0</v>
      </c>
      <c r="AA625" s="162">
        <f>+$AD$5-Tabla2[[#This Row],[FECHA DE FACTURACIÓN]]</f>
        <v>312</v>
      </c>
      <c r="AB625" s="163" t="str">
        <f>+IF(Tabla2[[#This Row],[dias de credito]]&gt;=Tabla2[[#This Row],[PLAZO Días]],"venc", "No venc")</f>
        <v>venc</v>
      </c>
      <c r="AC625" s="163" t="str">
        <f>+IF(Tabla2[[#This Row],[FECHA DE PAGO]]&gt;0,"pagada","por pagar")</f>
        <v>pagada</v>
      </c>
      <c r="AD625" s="164" t="str">
        <f>+IF(AND(Tabla2[[#This Row],[venc]]="venc",Tabla2[[#This Row],[estado pago]]="por pagar"),"vencida","no")</f>
        <v>no</v>
      </c>
    </row>
    <row r="626" spans="1:30" ht="19.5" hidden="1" customHeight="1" x14ac:dyDescent="0.25">
      <c r="A626" s="8" t="s">
        <v>1850</v>
      </c>
      <c r="B626" s="8" t="s">
        <v>1851</v>
      </c>
      <c r="C626" s="8">
        <v>30</v>
      </c>
      <c r="D626" s="151">
        <v>1776037.21</v>
      </c>
      <c r="E626" s="151"/>
      <c r="F626" s="24" t="s">
        <v>148</v>
      </c>
      <c r="G626" s="30">
        <v>45173</v>
      </c>
      <c r="H626" s="81" t="s">
        <v>17</v>
      </c>
      <c r="I626" s="30">
        <v>45134</v>
      </c>
      <c r="J626" s="16" t="s">
        <v>990</v>
      </c>
      <c r="K626" s="9" t="s">
        <v>1530</v>
      </c>
      <c r="L626" s="9"/>
      <c r="M626" s="152">
        <v>719000</v>
      </c>
      <c r="N626" s="153">
        <v>136610</v>
      </c>
      <c r="O626" s="152">
        <v>0</v>
      </c>
      <c r="P626" s="154">
        <v>0</v>
      </c>
      <c r="Q626" s="152">
        <v>0</v>
      </c>
      <c r="R626" s="9">
        <v>855610</v>
      </c>
      <c r="S626" s="21" t="s">
        <v>1846</v>
      </c>
      <c r="T626" s="117">
        <v>0</v>
      </c>
      <c r="U626" s="117">
        <v>0</v>
      </c>
      <c r="V626" s="117">
        <v>2023</v>
      </c>
      <c r="W626" s="117">
        <v>6</v>
      </c>
      <c r="X626" s="117">
        <v>0</v>
      </c>
      <c r="Y626" s="117">
        <v>0</v>
      </c>
      <c r="Z626" s="21" t="b">
        <v>0</v>
      </c>
      <c r="AA626" s="162">
        <f>+$AD$5-Tabla2[[#This Row],[FECHA DE FACTURACIÓN]]</f>
        <v>309</v>
      </c>
      <c r="AB626" s="163" t="str">
        <f>+IF(Tabla2[[#This Row],[dias de credito]]&gt;=Tabla2[[#This Row],[PLAZO Días]],"venc", "No venc")</f>
        <v>venc</v>
      </c>
      <c r="AC626" s="163" t="str">
        <f>+IF(Tabla2[[#This Row],[FECHA DE PAGO]]&gt;0,"pagada","por pagar")</f>
        <v>pagada</v>
      </c>
      <c r="AD626" s="164" t="str">
        <f>+IF(AND(Tabla2[[#This Row],[venc]]="venc",Tabla2[[#This Row],[estado pago]]="por pagar"),"vencida","no")</f>
        <v>no</v>
      </c>
    </row>
    <row r="627" spans="1:30" ht="19.5" hidden="1" customHeight="1" x14ac:dyDescent="0.25">
      <c r="A627" s="8" t="s">
        <v>1852</v>
      </c>
      <c r="B627" s="8" t="b">
        <v>0</v>
      </c>
      <c r="C627" s="8">
        <v>30</v>
      </c>
      <c r="D627" s="151">
        <v>0</v>
      </c>
      <c r="E627" s="151"/>
      <c r="F627" s="24" t="s">
        <v>1497</v>
      </c>
      <c r="G627" s="30">
        <v>45174</v>
      </c>
      <c r="H627" s="81" t="s">
        <v>1865</v>
      </c>
      <c r="I627" s="30">
        <v>45174</v>
      </c>
      <c r="J627" s="16" t="s">
        <v>1044</v>
      </c>
      <c r="K627" s="9" t="s">
        <v>1530</v>
      </c>
      <c r="L627" s="9"/>
      <c r="M627" s="152">
        <v>2257000</v>
      </c>
      <c r="N627" s="153">
        <v>0</v>
      </c>
      <c r="O627" s="152">
        <v>0</v>
      </c>
      <c r="P627" s="154">
        <v>0</v>
      </c>
      <c r="Q627" s="152">
        <v>0</v>
      </c>
      <c r="R627" s="9">
        <v>2257000</v>
      </c>
      <c r="S627" s="21" t="s">
        <v>1846</v>
      </c>
      <c r="T627" s="117">
        <v>0</v>
      </c>
      <c r="U627" s="117">
        <v>0</v>
      </c>
      <c r="V627" s="117">
        <v>2023</v>
      </c>
      <c r="W627" s="117">
        <v>6</v>
      </c>
      <c r="X627" s="117">
        <v>0</v>
      </c>
      <c r="Y627" s="117">
        <v>0</v>
      </c>
      <c r="Z627" s="21" t="b">
        <v>0</v>
      </c>
      <c r="AA627" s="162">
        <f>+$AD$5-Tabla2[[#This Row],[FECHA DE FACTURACIÓN]]</f>
        <v>269</v>
      </c>
      <c r="AB627" s="163" t="str">
        <f>+IF(Tabla2[[#This Row],[dias de credito]]&gt;=Tabla2[[#This Row],[PLAZO Días]],"venc", "No venc")</f>
        <v>venc</v>
      </c>
      <c r="AC627" s="163" t="str">
        <f>+IF(Tabla2[[#This Row],[FECHA DE PAGO]]&gt;0,"pagada","por pagar")</f>
        <v>pagada</v>
      </c>
      <c r="AD627" s="164" t="str">
        <f>+IF(AND(Tabla2[[#This Row],[venc]]="venc",Tabla2[[#This Row],[estado pago]]="por pagar"),"vencida","no")</f>
        <v>no</v>
      </c>
    </row>
    <row r="628" spans="1:30" ht="19.5" hidden="1" customHeight="1" x14ac:dyDescent="0.25">
      <c r="A628" s="8" t="s">
        <v>1850</v>
      </c>
      <c r="B628" s="8" t="s">
        <v>1851</v>
      </c>
      <c r="C628" s="8">
        <v>60</v>
      </c>
      <c r="D628" s="151">
        <v>19124998.199999999</v>
      </c>
      <c r="E628" s="151"/>
      <c r="F628" s="24" t="s">
        <v>184</v>
      </c>
      <c r="G628" s="30">
        <v>45175</v>
      </c>
      <c r="H628" s="81" t="s">
        <v>30</v>
      </c>
      <c r="I628" s="30">
        <v>45082</v>
      </c>
      <c r="J628" s="16">
        <v>59276</v>
      </c>
      <c r="K628" s="9" t="s">
        <v>1530</v>
      </c>
      <c r="L628" s="9"/>
      <c r="M628" s="152">
        <v>27072616.5</v>
      </c>
      <c r="N628" s="153">
        <v>0</v>
      </c>
      <c r="O628" s="152">
        <v>0</v>
      </c>
      <c r="P628" s="154">
        <v>0</v>
      </c>
      <c r="Q628" s="152">
        <v>0</v>
      </c>
      <c r="R628" s="9">
        <v>27072616.5</v>
      </c>
      <c r="S628" s="21" t="s">
        <v>1846</v>
      </c>
      <c r="T628" s="117">
        <v>0</v>
      </c>
      <c r="U628" s="117">
        <v>0</v>
      </c>
      <c r="V628" s="117">
        <v>2023</v>
      </c>
      <c r="W628" s="117">
        <v>6</v>
      </c>
      <c r="X628" s="117">
        <v>0</v>
      </c>
      <c r="Y628" s="117">
        <v>0</v>
      </c>
      <c r="Z628" s="21" t="b">
        <v>0</v>
      </c>
      <c r="AA628" s="162">
        <f>+$AD$5-Tabla2[[#This Row],[FECHA DE FACTURACIÓN]]</f>
        <v>361</v>
      </c>
      <c r="AB628" s="163" t="str">
        <f>+IF(Tabla2[[#This Row],[dias de credito]]&gt;=Tabla2[[#This Row],[PLAZO Días]],"venc", "No venc")</f>
        <v>venc</v>
      </c>
      <c r="AC628" s="163" t="str">
        <f>+IF(Tabla2[[#This Row],[FECHA DE PAGO]]&gt;0,"pagada","por pagar")</f>
        <v>pagada</v>
      </c>
      <c r="AD628" s="164" t="str">
        <f>+IF(AND(Tabla2[[#This Row],[venc]]="venc",Tabla2[[#This Row],[estado pago]]="por pagar"),"vencida","no")</f>
        <v>no</v>
      </c>
    </row>
    <row r="629" spans="1:30" ht="19.5" hidden="1" customHeight="1" x14ac:dyDescent="0.25">
      <c r="A629" s="8" t="s">
        <v>1850</v>
      </c>
      <c r="B629" s="8" t="s">
        <v>1851</v>
      </c>
      <c r="C629" s="8">
        <v>30</v>
      </c>
      <c r="D629" s="151">
        <v>3130000</v>
      </c>
      <c r="E629" s="151"/>
      <c r="F629" s="24">
        <v>0</v>
      </c>
      <c r="G629" s="30">
        <v>45175</v>
      </c>
      <c r="H629" s="81" t="s">
        <v>472</v>
      </c>
      <c r="I629" s="30">
        <v>45083</v>
      </c>
      <c r="J629" s="16">
        <v>1795</v>
      </c>
      <c r="K629" s="9" t="s">
        <v>1530</v>
      </c>
      <c r="L629" s="9"/>
      <c r="M629" s="152">
        <v>337500</v>
      </c>
      <c r="N629" s="153">
        <v>0</v>
      </c>
      <c r="O629" s="152">
        <v>0</v>
      </c>
      <c r="P629" s="154">
        <v>0</v>
      </c>
      <c r="Q629" s="152">
        <v>0</v>
      </c>
      <c r="R629" s="9">
        <v>337500</v>
      </c>
      <c r="S629" s="21" t="s">
        <v>1846</v>
      </c>
      <c r="T629" s="117">
        <v>0</v>
      </c>
      <c r="U629" s="117">
        <v>0</v>
      </c>
      <c r="V629" s="117">
        <v>2023</v>
      </c>
      <c r="W629" s="117">
        <v>6</v>
      </c>
      <c r="X629" s="117">
        <v>0</v>
      </c>
      <c r="Y629" s="117">
        <v>0</v>
      </c>
      <c r="Z629" s="21" t="b">
        <v>0</v>
      </c>
      <c r="AA629" s="162">
        <f>+$AD$5-Tabla2[[#This Row],[FECHA DE FACTURACIÓN]]</f>
        <v>360</v>
      </c>
      <c r="AB629" s="163" t="str">
        <f>+IF(Tabla2[[#This Row],[dias de credito]]&gt;=Tabla2[[#This Row],[PLAZO Días]],"venc", "No venc")</f>
        <v>venc</v>
      </c>
      <c r="AC629" s="163" t="str">
        <f>+IF(Tabla2[[#This Row],[FECHA DE PAGO]]&gt;0,"pagada","por pagar")</f>
        <v>pagada</v>
      </c>
      <c r="AD629" s="164" t="str">
        <f>+IF(AND(Tabla2[[#This Row],[venc]]="venc",Tabla2[[#This Row],[estado pago]]="por pagar"),"vencida","no")</f>
        <v>no</v>
      </c>
    </row>
    <row r="630" spans="1:30" ht="19.5" hidden="1" customHeight="1" x14ac:dyDescent="0.25">
      <c r="A630" s="8" t="s">
        <v>1850</v>
      </c>
      <c r="B630" s="8" t="s">
        <v>1851</v>
      </c>
      <c r="C630" s="8">
        <v>30</v>
      </c>
      <c r="D630" s="151">
        <v>3130000</v>
      </c>
      <c r="E630" s="151"/>
      <c r="F630" s="24">
        <v>0</v>
      </c>
      <c r="G630" s="30">
        <v>45175</v>
      </c>
      <c r="H630" s="81" t="s">
        <v>472</v>
      </c>
      <c r="I630" s="30">
        <v>45083</v>
      </c>
      <c r="J630" s="16">
        <v>1794</v>
      </c>
      <c r="K630" s="9" t="s">
        <v>1530</v>
      </c>
      <c r="L630" s="9"/>
      <c r="M630" s="152">
        <v>3346000</v>
      </c>
      <c r="N630" s="153">
        <v>0</v>
      </c>
      <c r="O630" s="152">
        <v>0</v>
      </c>
      <c r="P630" s="154">
        <v>0</v>
      </c>
      <c r="Q630" s="152">
        <v>0</v>
      </c>
      <c r="R630" s="9">
        <v>3346000</v>
      </c>
      <c r="S630" s="21" t="s">
        <v>1846</v>
      </c>
      <c r="T630" s="117">
        <v>0</v>
      </c>
      <c r="U630" s="117">
        <v>0</v>
      </c>
      <c r="V630" s="117">
        <v>2023</v>
      </c>
      <c r="W630" s="117">
        <v>6</v>
      </c>
      <c r="X630" s="117">
        <v>0</v>
      </c>
      <c r="Y630" s="117">
        <v>0</v>
      </c>
      <c r="Z630" s="21" t="b">
        <v>0</v>
      </c>
      <c r="AA630" s="162">
        <f>+$AD$5-Tabla2[[#This Row],[FECHA DE FACTURACIÓN]]</f>
        <v>360</v>
      </c>
      <c r="AB630" s="163" t="str">
        <f>+IF(Tabla2[[#This Row],[dias de credito]]&gt;=Tabla2[[#This Row],[PLAZO Días]],"venc", "No venc")</f>
        <v>venc</v>
      </c>
      <c r="AC630" s="163" t="str">
        <f>+IF(Tabla2[[#This Row],[FECHA DE PAGO]]&gt;0,"pagada","por pagar")</f>
        <v>pagada</v>
      </c>
      <c r="AD630" s="164" t="str">
        <f>+IF(AND(Tabla2[[#This Row],[venc]]="venc",Tabla2[[#This Row],[estado pago]]="por pagar"),"vencida","no")</f>
        <v>no</v>
      </c>
    </row>
    <row r="631" spans="1:30" ht="19.5" hidden="1" customHeight="1" x14ac:dyDescent="0.25">
      <c r="A631" s="8" t="s">
        <v>1850</v>
      </c>
      <c r="B631" s="8" t="s">
        <v>1851</v>
      </c>
      <c r="C631" s="8">
        <v>60</v>
      </c>
      <c r="D631" s="151">
        <v>0</v>
      </c>
      <c r="E631" s="151"/>
      <c r="F631" s="24" t="s">
        <v>399</v>
      </c>
      <c r="G631" s="30">
        <v>45175</v>
      </c>
      <c r="H631" s="81" t="s">
        <v>65</v>
      </c>
      <c r="I631" s="30">
        <v>45090</v>
      </c>
      <c r="J631" s="16" t="s">
        <v>856</v>
      </c>
      <c r="K631" s="9" t="s">
        <v>1530</v>
      </c>
      <c r="L631" s="9"/>
      <c r="M631" s="152">
        <v>4576000</v>
      </c>
      <c r="N631" s="153">
        <v>869440</v>
      </c>
      <c r="O631" s="152">
        <v>0</v>
      </c>
      <c r="P631" s="154">
        <v>2.5000000000000001E-2</v>
      </c>
      <c r="Q631" s="152">
        <v>114400</v>
      </c>
      <c r="R631" s="9">
        <v>5331040</v>
      </c>
      <c r="S631" s="21" t="s">
        <v>1846</v>
      </c>
      <c r="T631" s="117">
        <v>0</v>
      </c>
      <c r="U631" s="117" t="s">
        <v>347</v>
      </c>
      <c r="V631" s="117">
        <v>2023</v>
      </c>
      <c r="W631" s="117">
        <v>6</v>
      </c>
      <c r="X631" s="117">
        <v>1145000</v>
      </c>
      <c r="Y631" s="117">
        <v>2.5000000000000001E-2</v>
      </c>
      <c r="Z631" s="21" t="b">
        <v>0</v>
      </c>
      <c r="AA631" s="162">
        <f>+$AD$5-Tabla2[[#This Row],[FECHA DE FACTURACIÓN]]</f>
        <v>353</v>
      </c>
      <c r="AB631" s="163" t="str">
        <f>+IF(Tabla2[[#This Row],[dias de credito]]&gt;=Tabla2[[#This Row],[PLAZO Días]],"venc", "No venc")</f>
        <v>venc</v>
      </c>
      <c r="AC631" s="163" t="str">
        <f>+IF(Tabla2[[#This Row],[FECHA DE PAGO]]&gt;0,"pagada","por pagar")</f>
        <v>pagada</v>
      </c>
      <c r="AD631" s="164" t="str">
        <f>+IF(AND(Tabla2[[#This Row],[venc]]="venc",Tabla2[[#This Row],[estado pago]]="por pagar"),"vencida","no")</f>
        <v>no</v>
      </c>
    </row>
    <row r="632" spans="1:30" ht="19.5" hidden="1" customHeight="1" x14ac:dyDescent="0.25">
      <c r="A632" s="8" t="s">
        <v>1850</v>
      </c>
      <c r="B632" s="8" t="s">
        <v>1851</v>
      </c>
      <c r="C632" s="8">
        <v>60</v>
      </c>
      <c r="D632" s="151">
        <v>50353355.590000004</v>
      </c>
      <c r="E632" s="151"/>
      <c r="F632" s="24" t="s">
        <v>157</v>
      </c>
      <c r="G632" s="30">
        <v>45175</v>
      </c>
      <c r="H632" s="81" t="s">
        <v>9</v>
      </c>
      <c r="I632" s="30">
        <v>45090</v>
      </c>
      <c r="J632" s="16" t="s">
        <v>848</v>
      </c>
      <c r="K632" s="9" t="s">
        <v>1530</v>
      </c>
      <c r="L632" s="9"/>
      <c r="M632" s="152">
        <v>3578973</v>
      </c>
      <c r="N632" s="153">
        <v>680004.87</v>
      </c>
      <c r="O632" s="152">
        <v>0</v>
      </c>
      <c r="P632" s="154">
        <v>2.5000000000000001E-2</v>
      </c>
      <c r="Q632" s="152">
        <v>89474.325000000012</v>
      </c>
      <c r="R632" s="9">
        <v>4169503.5449999999</v>
      </c>
      <c r="S632" s="21" t="s">
        <v>1846</v>
      </c>
      <c r="T632" s="117">
        <v>0</v>
      </c>
      <c r="U632" s="117" t="s">
        <v>347</v>
      </c>
      <c r="V632" s="117">
        <v>2023</v>
      </c>
      <c r="W632" s="117">
        <v>6</v>
      </c>
      <c r="X632" s="117">
        <v>1145000</v>
      </c>
      <c r="Y632" s="117">
        <v>2.5000000000000001E-2</v>
      </c>
      <c r="Z632" s="21" t="b">
        <v>0</v>
      </c>
      <c r="AA632" s="162">
        <f>+$AD$5-Tabla2[[#This Row],[FECHA DE FACTURACIÓN]]</f>
        <v>353</v>
      </c>
      <c r="AB632" s="163" t="str">
        <f>+IF(Tabla2[[#This Row],[dias de credito]]&gt;=Tabla2[[#This Row],[PLAZO Días]],"venc", "No venc")</f>
        <v>venc</v>
      </c>
      <c r="AC632" s="163" t="str">
        <f>+IF(Tabla2[[#This Row],[FECHA DE PAGO]]&gt;0,"pagada","por pagar")</f>
        <v>pagada</v>
      </c>
      <c r="AD632" s="164" t="str">
        <f>+IF(AND(Tabla2[[#This Row],[venc]]="venc",Tabla2[[#This Row],[estado pago]]="por pagar"),"vencida","no")</f>
        <v>no</v>
      </c>
    </row>
    <row r="633" spans="1:30" ht="19.5" hidden="1" customHeight="1" x14ac:dyDescent="0.25">
      <c r="A633" s="8" t="s">
        <v>1850</v>
      </c>
      <c r="B633" s="8" t="s">
        <v>1851</v>
      </c>
      <c r="C633" s="8">
        <v>60</v>
      </c>
      <c r="D633" s="151">
        <v>0</v>
      </c>
      <c r="E633" s="151"/>
      <c r="F633" s="24">
        <v>0</v>
      </c>
      <c r="G633" s="30">
        <v>45175</v>
      </c>
      <c r="H633" s="81" t="s">
        <v>445</v>
      </c>
      <c r="I633" s="30">
        <v>45097</v>
      </c>
      <c r="J633" s="16" t="s">
        <v>873</v>
      </c>
      <c r="K633" s="9" t="s">
        <v>1530</v>
      </c>
      <c r="L633" s="9"/>
      <c r="M633" s="152">
        <v>2755600</v>
      </c>
      <c r="N633" s="153">
        <v>523564</v>
      </c>
      <c r="O633" s="152">
        <v>0</v>
      </c>
      <c r="P633" s="154">
        <v>0</v>
      </c>
      <c r="Q633" s="152">
        <v>0</v>
      </c>
      <c r="R633" s="9">
        <v>3279164</v>
      </c>
      <c r="S633" s="21" t="s">
        <v>1846</v>
      </c>
      <c r="T633" s="117">
        <v>0</v>
      </c>
      <c r="U633" s="117">
        <v>0</v>
      </c>
      <c r="V633" s="117">
        <v>2023</v>
      </c>
      <c r="W633" s="117">
        <v>6</v>
      </c>
      <c r="X633" s="117">
        <v>0</v>
      </c>
      <c r="Y633" s="117">
        <v>0</v>
      </c>
      <c r="Z633" s="21" t="b">
        <v>1</v>
      </c>
      <c r="AA633" s="162">
        <f>+$AD$5-Tabla2[[#This Row],[FECHA DE FACTURACIÓN]]</f>
        <v>346</v>
      </c>
      <c r="AB633" s="163" t="str">
        <f>+IF(Tabla2[[#This Row],[dias de credito]]&gt;=Tabla2[[#This Row],[PLAZO Días]],"venc", "No venc")</f>
        <v>venc</v>
      </c>
      <c r="AC633" s="163" t="str">
        <f>+IF(Tabla2[[#This Row],[FECHA DE PAGO]]&gt;0,"pagada","por pagar")</f>
        <v>pagada</v>
      </c>
      <c r="AD633" s="164" t="str">
        <f>+IF(AND(Tabla2[[#This Row],[venc]]="venc",Tabla2[[#This Row],[estado pago]]="por pagar"),"vencida","no")</f>
        <v>no</v>
      </c>
    </row>
    <row r="634" spans="1:30" ht="19.5" hidden="1" customHeight="1" x14ac:dyDescent="0.25">
      <c r="A634" s="8" t="s">
        <v>1850</v>
      </c>
      <c r="B634" s="8" t="s">
        <v>1851</v>
      </c>
      <c r="C634" s="8">
        <v>45</v>
      </c>
      <c r="D634" s="151">
        <v>2446500</v>
      </c>
      <c r="E634" s="151"/>
      <c r="F634" s="24" t="s">
        <v>158</v>
      </c>
      <c r="G634" s="30">
        <v>45175</v>
      </c>
      <c r="H634" s="81" t="s">
        <v>10</v>
      </c>
      <c r="I634" s="30">
        <v>45100</v>
      </c>
      <c r="J634" s="16" t="s">
        <v>883</v>
      </c>
      <c r="K634" s="9" t="s">
        <v>1530</v>
      </c>
      <c r="L634" s="9"/>
      <c r="M634" s="152">
        <v>560000</v>
      </c>
      <c r="N634" s="153">
        <v>106400</v>
      </c>
      <c r="O634" s="152">
        <v>0</v>
      </c>
      <c r="P634" s="154">
        <v>0</v>
      </c>
      <c r="Q634" s="152">
        <v>0</v>
      </c>
      <c r="R634" s="9">
        <v>666400</v>
      </c>
      <c r="S634" s="21" t="s">
        <v>1846</v>
      </c>
      <c r="T634" s="117">
        <v>0</v>
      </c>
      <c r="U634" s="117" t="s">
        <v>347</v>
      </c>
      <c r="V634" s="117">
        <v>2023</v>
      </c>
      <c r="W634" s="117">
        <v>6</v>
      </c>
      <c r="X634" s="117">
        <v>1145000</v>
      </c>
      <c r="Y634" s="117">
        <v>2.5000000000000001E-2</v>
      </c>
      <c r="Z634" s="21" t="b">
        <v>0</v>
      </c>
      <c r="AA634" s="162">
        <f>+$AD$5-Tabla2[[#This Row],[FECHA DE FACTURACIÓN]]</f>
        <v>343</v>
      </c>
      <c r="AB634" s="163" t="str">
        <f>+IF(Tabla2[[#This Row],[dias de credito]]&gt;=Tabla2[[#This Row],[PLAZO Días]],"venc", "No venc")</f>
        <v>venc</v>
      </c>
      <c r="AC634" s="163" t="str">
        <f>+IF(Tabla2[[#This Row],[FECHA DE PAGO]]&gt;0,"pagada","por pagar")</f>
        <v>pagada</v>
      </c>
      <c r="AD634" s="164" t="str">
        <f>+IF(AND(Tabla2[[#This Row],[venc]]="venc",Tabla2[[#This Row],[estado pago]]="por pagar"),"vencida","no")</f>
        <v>no</v>
      </c>
    </row>
    <row r="635" spans="1:30" ht="19.5" hidden="1" customHeight="1" x14ac:dyDescent="0.25">
      <c r="A635" s="8" t="s">
        <v>1850</v>
      </c>
      <c r="B635" s="8" t="b">
        <v>0</v>
      </c>
      <c r="C635" s="8">
        <v>30</v>
      </c>
      <c r="D635" s="151">
        <v>0</v>
      </c>
      <c r="E635" s="151"/>
      <c r="F635" s="24" t="s">
        <v>145</v>
      </c>
      <c r="G635" s="30">
        <v>45175</v>
      </c>
      <c r="H635" s="81" t="s">
        <v>58</v>
      </c>
      <c r="I635" s="30">
        <v>45148</v>
      </c>
      <c r="J635" s="16" t="s">
        <v>974</v>
      </c>
      <c r="K635" s="9" t="s">
        <v>1530</v>
      </c>
      <c r="L635" s="9"/>
      <c r="M635" s="152">
        <v>831933</v>
      </c>
      <c r="N635" s="153">
        <v>158067.26999999999</v>
      </c>
      <c r="O635" s="152">
        <v>0</v>
      </c>
      <c r="P635" s="154">
        <v>0</v>
      </c>
      <c r="Q635" s="152">
        <v>0</v>
      </c>
      <c r="R635" s="9">
        <v>990000.27</v>
      </c>
      <c r="S635" s="21" t="s">
        <v>1846</v>
      </c>
      <c r="T635" s="117">
        <v>0</v>
      </c>
      <c r="U635" s="117" t="s">
        <v>347</v>
      </c>
      <c r="V635" s="117">
        <v>2023</v>
      </c>
      <c r="W635" s="117">
        <v>6</v>
      </c>
      <c r="X635" s="117">
        <v>1145000</v>
      </c>
      <c r="Y635" s="117">
        <v>2.5000000000000001E-2</v>
      </c>
      <c r="Z635" s="21" t="b">
        <v>0</v>
      </c>
      <c r="AA635" s="162">
        <f>+$AD$5-Tabla2[[#This Row],[FECHA DE FACTURACIÓN]]</f>
        <v>295</v>
      </c>
      <c r="AB635" s="163" t="str">
        <f>+IF(Tabla2[[#This Row],[dias de credito]]&gt;=Tabla2[[#This Row],[PLAZO Días]],"venc", "No venc")</f>
        <v>venc</v>
      </c>
      <c r="AC635" s="163" t="str">
        <f>+IF(Tabla2[[#This Row],[FECHA DE PAGO]]&gt;0,"pagada","por pagar")</f>
        <v>pagada</v>
      </c>
      <c r="AD635" s="164" t="str">
        <f>+IF(AND(Tabla2[[#This Row],[venc]]="venc",Tabla2[[#This Row],[estado pago]]="por pagar"),"vencida","no")</f>
        <v>no</v>
      </c>
    </row>
    <row r="636" spans="1:30" ht="19.5" hidden="1" customHeight="1" x14ac:dyDescent="0.25">
      <c r="A636" s="8" t="s">
        <v>1850</v>
      </c>
      <c r="B636" s="8" t="b">
        <v>0</v>
      </c>
      <c r="C636" s="8">
        <v>30</v>
      </c>
      <c r="D636" s="151">
        <v>0</v>
      </c>
      <c r="E636" s="151"/>
      <c r="F636" s="24">
        <v>0</v>
      </c>
      <c r="G636" s="30">
        <v>45175</v>
      </c>
      <c r="H636" s="81" t="s">
        <v>898</v>
      </c>
      <c r="I636" s="30">
        <v>45174</v>
      </c>
      <c r="J636" s="16" t="s">
        <v>1034</v>
      </c>
      <c r="K636" s="9" t="s">
        <v>1530</v>
      </c>
      <c r="L636" s="9"/>
      <c r="M636" s="152">
        <v>239700</v>
      </c>
      <c r="N636" s="153">
        <v>0</v>
      </c>
      <c r="O636" s="152">
        <v>0</v>
      </c>
      <c r="P636" s="154">
        <v>0</v>
      </c>
      <c r="Q636" s="152">
        <v>0</v>
      </c>
      <c r="R636" s="9">
        <v>239700</v>
      </c>
      <c r="S636" s="21" t="s">
        <v>1846</v>
      </c>
      <c r="T636" s="117">
        <v>0</v>
      </c>
      <c r="U636" s="117">
        <v>0</v>
      </c>
      <c r="V636" s="117">
        <v>2023</v>
      </c>
      <c r="W636" s="117">
        <v>6</v>
      </c>
      <c r="X636" s="117">
        <v>0</v>
      </c>
      <c r="Y636" s="117">
        <v>0</v>
      </c>
      <c r="Z636" s="21" t="b">
        <v>0</v>
      </c>
      <c r="AA636" s="162">
        <f>+$AD$5-Tabla2[[#This Row],[FECHA DE FACTURACIÓN]]</f>
        <v>269</v>
      </c>
      <c r="AB636" s="163" t="str">
        <f>+IF(Tabla2[[#This Row],[dias de credito]]&gt;=Tabla2[[#This Row],[PLAZO Días]],"venc", "No venc")</f>
        <v>venc</v>
      </c>
      <c r="AC636" s="163" t="str">
        <f>+IF(Tabla2[[#This Row],[FECHA DE PAGO]]&gt;0,"pagada","por pagar")</f>
        <v>pagada</v>
      </c>
      <c r="AD636" s="164" t="str">
        <f>+IF(AND(Tabla2[[#This Row],[venc]]="venc",Tabla2[[#This Row],[estado pago]]="por pagar"),"vencida","no")</f>
        <v>no</v>
      </c>
    </row>
    <row r="637" spans="1:30" ht="19.5" hidden="1" customHeight="1" x14ac:dyDescent="0.25">
      <c r="A637" s="8" t="s">
        <v>1852</v>
      </c>
      <c r="B637" s="8" t="b">
        <v>0</v>
      </c>
      <c r="C637" s="8">
        <v>30</v>
      </c>
      <c r="D637" s="151">
        <v>0</v>
      </c>
      <c r="E637" s="151"/>
      <c r="F637" s="24" t="s">
        <v>84</v>
      </c>
      <c r="G637" s="30">
        <v>45175</v>
      </c>
      <c r="H637" s="81" t="s">
        <v>1803</v>
      </c>
      <c r="I637" s="30">
        <v>45175</v>
      </c>
      <c r="J637" s="16" t="s">
        <v>1110</v>
      </c>
      <c r="K637" s="9" t="s">
        <v>1530</v>
      </c>
      <c r="L637" s="9"/>
      <c r="M637" s="152">
        <v>1676636</v>
      </c>
      <c r="N637" s="153">
        <v>0</v>
      </c>
      <c r="O637" s="152">
        <v>0</v>
      </c>
      <c r="P637" s="154">
        <v>0</v>
      </c>
      <c r="Q637" s="152">
        <v>0</v>
      </c>
      <c r="R637" s="9">
        <v>1676636</v>
      </c>
      <c r="S637" s="21" t="s">
        <v>1846</v>
      </c>
      <c r="T637" s="117">
        <v>0</v>
      </c>
      <c r="U637" s="117">
        <v>0</v>
      </c>
      <c r="V637" s="117">
        <v>2023</v>
      </c>
      <c r="W637" s="117">
        <v>6</v>
      </c>
      <c r="X637" s="117">
        <v>0</v>
      </c>
      <c r="Y637" s="117">
        <v>0</v>
      </c>
      <c r="Z637" s="21" t="b">
        <v>0</v>
      </c>
      <c r="AA637" s="162">
        <f>+$AD$5-Tabla2[[#This Row],[FECHA DE FACTURACIÓN]]</f>
        <v>268</v>
      </c>
      <c r="AB637" s="163" t="str">
        <f>+IF(Tabla2[[#This Row],[dias de credito]]&gt;=Tabla2[[#This Row],[PLAZO Días]],"venc", "No venc")</f>
        <v>venc</v>
      </c>
      <c r="AC637" s="163" t="str">
        <f>+IF(Tabla2[[#This Row],[FECHA DE PAGO]]&gt;0,"pagada","por pagar")</f>
        <v>pagada</v>
      </c>
      <c r="AD637" s="164" t="str">
        <f>+IF(AND(Tabla2[[#This Row],[venc]]="venc",Tabla2[[#This Row],[estado pago]]="por pagar"),"vencida","no")</f>
        <v>no</v>
      </c>
    </row>
    <row r="638" spans="1:30" ht="19.5" hidden="1" customHeight="1" x14ac:dyDescent="0.25">
      <c r="A638" s="8" t="s">
        <v>1852</v>
      </c>
      <c r="B638" s="8" t="b">
        <v>0</v>
      </c>
      <c r="C638" s="8">
        <v>30</v>
      </c>
      <c r="D638" s="151">
        <v>1776037.21</v>
      </c>
      <c r="E638" s="151"/>
      <c r="F638" s="24" t="s">
        <v>148</v>
      </c>
      <c r="G638" s="30">
        <v>45175</v>
      </c>
      <c r="H638" s="81" t="s">
        <v>17</v>
      </c>
      <c r="I638" s="30">
        <v>45175</v>
      </c>
      <c r="J638" s="16" t="s">
        <v>1022</v>
      </c>
      <c r="K638" s="9" t="s">
        <v>1530</v>
      </c>
      <c r="L638" s="9"/>
      <c r="M638" s="152">
        <v>34665</v>
      </c>
      <c r="N638" s="153">
        <v>6586.35</v>
      </c>
      <c r="O638" s="152">
        <v>0</v>
      </c>
      <c r="P638" s="154">
        <v>0</v>
      </c>
      <c r="Q638" s="152">
        <v>0</v>
      </c>
      <c r="R638" s="9">
        <v>41251.35</v>
      </c>
      <c r="S638" s="21" t="s">
        <v>1846</v>
      </c>
      <c r="T638" s="117">
        <v>0</v>
      </c>
      <c r="U638" s="117">
        <v>0</v>
      </c>
      <c r="V638" s="117">
        <v>2023</v>
      </c>
      <c r="W638" s="117">
        <v>6</v>
      </c>
      <c r="X638" s="117">
        <v>0</v>
      </c>
      <c r="Y638" s="117">
        <v>0</v>
      </c>
      <c r="Z638" s="21" t="b">
        <v>0</v>
      </c>
      <c r="AA638" s="162">
        <f>+$AD$5-Tabla2[[#This Row],[FECHA DE FACTURACIÓN]]</f>
        <v>268</v>
      </c>
      <c r="AB638" s="163" t="str">
        <f>+IF(Tabla2[[#This Row],[dias de credito]]&gt;=Tabla2[[#This Row],[PLAZO Días]],"venc", "No venc")</f>
        <v>venc</v>
      </c>
      <c r="AC638" s="163" t="str">
        <f>+IF(Tabla2[[#This Row],[FECHA DE PAGO]]&gt;0,"pagada","por pagar")</f>
        <v>pagada</v>
      </c>
      <c r="AD638" s="164" t="str">
        <f>+IF(AND(Tabla2[[#This Row],[venc]]="venc",Tabla2[[#This Row],[estado pago]]="por pagar"),"vencida","no")</f>
        <v>no</v>
      </c>
    </row>
    <row r="639" spans="1:30" ht="19.5" hidden="1" customHeight="1" x14ac:dyDescent="0.25">
      <c r="A639" s="8" t="s">
        <v>1850</v>
      </c>
      <c r="B639" s="8" t="b">
        <v>0</v>
      </c>
      <c r="C639" s="8">
        <v>30</v>
      </c>
      <c r="D639" s="151">
        <v>0</v>
      </c>
      <c r="E639" s="151"/>
      <c r="F639" s="24">
        <v>0</v>
      </c>
      <c r="G639" s="30">
        <v>45177</v>
      </c>
      <c r="H639" s="81" t="s">
        <v>1805</v>
      </c>
      <c r="I639" s="30">
        <v>45152</v>
      </c>
      <c r="J639" s="16">
        <v>394</v>
      </c>
      <c r="K639" s="9" t="s">
        <v>1530</v>
      </c>
      <c r="L639" s="9"/>
      <c r="M639" s="152">
        <v>1176000</v>
      </c>
      <c r="N639" s="153">
        <v>0</v>
      </c>
      <c r="O639" s="152">
        <v>0</v>
      </c>
      <c r="P639" s="154">
        <v>0</v>
      </c>
      <c r="Q639" s="152">
        <v>0</v>
      </c>
      <c r="R639" s="9">
        <v>1176000</v>
      </c>
      <c r="S639" s="21" t="s">
        <v>1846</v>
      </c>
      <c r="T639" s="117">
        <v>0</v>
      </c>
      <c r="U639" s="117">
        <v>0</v>
      </c>
      <c r="V639" s="117">
        <v>2023</v>
      </c>
      <c r="W639" s="117">
        <v>6</v>
      </c>
      <c r="X639" s="117">
        <v>0</v>
      </c>
      <c r="Y639" s="117">
        <v>0</v>
      </c>
      <c r="Z639" s="21" t="b">
        <v>0</v>
      </c>
      <c r="AA639" s="162">
        <f>+$AD$5-Tabla2[[#This Row],[FECHA DE FACTURACIÓN]]</f>
        <v>291</v>
      </c>
      <c r="AB639" s="163" t="str">
        <f>+IF(Tabla2[[#This Row],[dias de credito]]&gt;=Tabla2[[#This Row],[PLAZO Días]],"venc", "No venc")</f>
        <v>venc</v>
      </c>
      <c r="AC639" s="163" t="str">
        <f>+IF(Tabla2[[#This Row],[FECHA DE PAGO]]&gt;0,"pagada","por pagar")</f>
        <v>pagada</v>
      </c>
      <c r="AD639" s="164" t="str">
        <f>+IF(AND(Tabla2[[#This Row],[venc]]="venc",Tabla2[[#This Row],[estado pago]]="por pagar"),"vencida","no")</f>
        <v>no</v>
      </c>
    </row>
    <row r="640" spans="1:30" ht="19.5" hidden="1" customHeight="1" x14ac:dyDescent="0.25">
      <c r="A640" s="8" t="s">
        <v>1852</v>
      </c>
      <c r="B640" s="8" t="b">
        <v>0</v>
      </c>
      <c r="C640" s="8">
        <v>0</v>
      </c>
      <c r="D640" s="151">
        <v>0</v>
      </c>
      <c r="E640" s="151"/>
      <c r="F640" s="24">
        <v>0</v>
      </c>
      <c r="G640" s="30">
        <v>45178</v>
      </c>
      <c r="H640" s="81" t="s">
        <v>980</v>
      </c>
      <c r="I640" s="30">
        <v>45178</v>
      </c>
      <c r="J640" s="16" t="s">
        <v>981</v>
      </c>
      <c r="K640" s="9" t="s">
        <v>1530</v>
      </c>
      <c r="L640" s="9"/>
      <c r="M640" s="152">
        <v>499612</v>
      </c>
      <c r="N640" s="153">
        <v>94926.28</v>
      </c>
      <c r="O640" s="152">
        <v>0</v>
      </c>
      <c r="P640" s="154">
        <v>0.11</v>
      </c>
      <c r="Q640" s="152">
        <v>54957.32</v>
      </c>
      <c r="R640" s="9">
        <v>539580.96000000008</v>
      </c>
      <c r="S640" s="21" t="s">
        <v>1846</v>
      </c>
      <c r="T640" s="117">
        <v>0</v>
      </c>
      <c r="U640" s="117" t="s">
        <v>351</v>
      </c>
      <c r="V640" s="117">
        <v>2023</v>
      </c>
      <c r="W640" s="117">
        <v>6</v>
      </c>
      <c r="X640" s="117">
        <v>0</v>
      </c>
      <c r="Y640" s="117">
        <v>0.11</v>
      </c>
      <c r="Z640" s="21" t="b">
        <v>0</v>
      </c>
      <c r="AA640" s="162">
        <f>+$AD$5-Tabla2[[#This Row],[FECHA DE FACTURACIÓN]]</f>
        <v>265</v>
      </c>
      <c r="AB640" s="163" t="str">
        <f>+IF(Tabla2[[#This Row],[dias de credito]]&gt;=Tabla2[[#This Row],[PLAZO Días]],"venc", "No venc")</f>
        <v>venc</v>
      </c>
      <c r="AC640" s="163" t="str">
        <f>+IF(Tabla2[[#This Row],[FECHA DE PAGO]]&gt;0,"pagada","por pagar")</f>
        <v>pagada</v>
      </c>
      <c r="AD640" s="164" t="str">
        <f>+IF(AND(Tabla2[[#This Row],[venc]]="venc",Tabla2[[#This Row],[estado pago]]="por pagar"),"vencida","no")</f>
        <v>no</v>
      </c>
    </row>
    <row r="641" spans="1:30" ht="19.5" hidden="1" customHeight="1" x14ac:dyDescent="0.25">
      <c r="A641" s="8" t="s">
        <v>1852</v>
      </c>
      <c r="B641" s="8" t="b">
        <v>0</v>
      </c>
      <c r="C641" s="8">
        <v>30</v>
      </c>
      <c r="D641" s="151">
        <v>0</v>
      </c>
      <c r="E641" s="151"/>
      <c r="F641" s="24" t="s">
        <v>1497</v>
      </c>
      <c r="G641" s="30">
        <v>45181</v>
      </c>
      <c r="H641" s="81" t="s">
        <v>1865</v>
      </c>
      <c r="I641" s="30">
        <v>45181</v>
      </c>
      <c r="J641" s="16" t="s">
        <v>1077</v>
      </c>
      <c r="K641" s="9" t="s">
        <v>1530</v>
      </c>
      <c r="L641" s="9"/>
      <c r="M641" s="152">
        <v>1660000</v>
      </c>
      <c r="N641" s="153">
        <v>0</v>
      </c>
      <c r="O641" s="152">
        <v>0</v>
      </c>
      <c r="P641" s="154">
        <v>0</v>
      </c>
      <c r="Q641" s="152">
        <v>0</v>
      </c>
      <c r="R641" s="9">
        <v>1660000</v>
      </c>
      <c r="S641" s="21" t="s">
        <v>1846</v>
      </c>
      <c r="T641" s="117">
        <v>0</v>
      </c>
      <c r="U641" s="117">
        <v>0</v>
      </c>
      <c r="V641" s="117">
        <v>2023</v>
      </c>
      <c r="W641" s="117">
        <v>6</v>
      </c>
      <c r="X641" s="117">
        <v>0</v>
      </c>
      <c r="Y641" s="117">
        <v>0</v>
      </c>
      <c r="Z641" s="21" t="b">
        <v>0</v>
      </c>
      <c r="AA641" s="162">
        <f>+$AD$5-Tabla2[[#This Row],[FECHA DE FACTURACIÓN]]</f>
        <v>262</v>
      </c>
      <c r="AB641" s="163" t="str">
        <f>+IF(Tabla2[[#This Row],[dias de credito]]&gt;=Tabla2[[#This Row],[PLAZO Días]],"venc", "No venc")</f>
        <v>venc</v>
      </c>
      <c r="AC641" s="163" t="str">
        <f>+IF(Tabla2[[#This Row],[FECHA DE PAGO]]&gt;0,"pagada","por pagar")</f>
        <v>pagada</v>
      </c>
      <c r="AD641" s="164" t="str">
        <f>+IF(AND(Tabla2[[#This Row],[venc]]="venc",Tabla2[[#This Row],[estado pago]]="por pagar"),"vencida","no")</f>
        <v>no</v>
      </c>
    </row>
    <row r="642" spans="1:30" ht="19.5" hidden="1" customHeight="1" x14ac:dyDescent="0.25">
      <c r="A642" s="8" t="s">
        <v>1850</v>
      </c>
      <c r="B642" s="8" t="s">
        <v>1851</v>
      </c>
      <c r="C642" s="8">
        <v>45</v>
      </c>
      <c r="D642" s="151">
        <v>2446500</v>
      </c>
      <c r="E642" s="151"/>
      <c r="F642" s="24" t="s">
        <v>158</v>
      </c>
      <c r="G642" s="30">
        <v>45182</v>
      </c>
      <c r="H642" s="81" t="s">
        <v>10</v>
      </c>
      <c r="I642" s="30">
        <v>45107</v>
      </c>
      <c r="J642" s="16" t="s">
        <v>923</v>
      </c>
      <c r="K642" s="9" t="s">
        <v>1530</v>
      </c>
      <c r="L642" s="9"/>
      <c r="M642" s="152">
        <v>3240000</v>
      </c>
      <c r="N642" s="153">
        <v>615600</v>
      </c>
      <c r="O642" s="152">
        <v>0</v>
      </c>
      <c r="P642" s="154">
        <v>2.5000000000000001E-2</v>
      </c>
      <c r="Q642" s="152">
        <v>81000</v>
      </c>
      <c r="R642" s="9">
        <v>3774600</v>
      </c>
      <c r="S642" s="21" t="s">
        <v>1846</v>
      </c>
      <c r="T642" s="117">
        <v>0</v>
      </c>
      <c r="U642" s="117" t="s">
        <v>347</v>
      </c>
      <c r="V642" s="117">
        <v>2023</v>
      </c>
      <c r="W642" s="117">
        <v>6</v>
      </c>
      <c r="X642" s="117">
        <v>1145000</v>
      </c>
      <c r="Y642" s="117">
        <v>2.5000000000000001E-2</v>
      </c>
      <c r="Z642" s="21" t="b">
        <v>0</v>
      </c>
      <c r="AA642" s="162">
        <f>+$AD$5-Tabla2[[#This Row],[FECHA DE FACTURACIÓN]]</f>
        <v>336</v>
      </c>
      <c r="AB642" s="163" t="str">
        <f>+IF(Tabla2[[#This Row],[dias de credito]]&gt;=Tabla2[[#This Row],[PLAZO Días]],"venc", "No venc")</f>
        <v>venc</v>
      </c>
      <c r="AC642" s="163" t="str">
        <f>+IF(Tabla2[[#This Row],[FECHA DE PAGO]]&gt;0,"pagada","por pagar")</f>
        <v>pagada</v>
      </c>
      <c r="AD642" s="164" t="str">
        <f>+IF(AND(Tabla2[[#This Row],[venc]]="venc",Tabla2[[#This Row],[estado pago]]="por pagar"),"vencida","no")</f>
        <v>no</v>
      </c>
    </row>
    <row r="643" spans="1:30" ht="19.5" hidden="1" customHeight="1" x14ac:dyDescent="0.25">
      <c r="A643" s="8" t="s">
        <v>1850</v>
      </c>
      <c r="B643" s="8" t="s">
        <v>1851</v>
      </c>
      <c r="C643" s="8">
        <v>45</v>
      </c>
      <c r="D643" s="151">
        <v>2446500</v>
      </c>
      <c r="E643" s="151"/>
      <c r="F643" s="24" t="s">
        <v>158</v>
      </c>
      <c r="G643" s="30">
        <v>45182</v>
      </c>
      <c r="H643" s="81" t="s">
        <v>10</v>
      </c>
      <c r="I643" s="30">
        <v>45118</v>
      </c>
      <c r="J643" s="16" t="s">
        <v>922</v>
      </c>
      <c r="K643" s="9" t="s">
        <v>1530</v>
      </c>
      <c r="L643" s="9"/>
      <c r="M643" s="152">
        <v>-3240000</v>
      </c>
      <c r="N643" s="153">
        <v>-615600</v>
      </c>
      <c r="O643" s="152">
        <v>0</v>
      </c>
      <c r="P643" s="154">
        <v>0</v>
      </c>
      <c r="Q643" s="152">
        <v>0</v>
      </c>
      <c r="R643" s="9">
        <v>-3855600</v>
      </c>
      <c r="S643" s="21" t="s">
        <v>1846</v>
      </c>
      <c r="T643" s="117">
        <v>0</v>
      </c>
      <c r="U643" s="117" t="s">
        <v>347</v>
      </c>
      <c r="V643" s="117">
        <v>2023</v>
      </c>
      <c r="W643" s="117">
        <v>6</v>
      </c>
      <c r="X643" s="117">
        <v>1145000</v>
      </c>
      <c r="Y643" s="117">
        <v>2.5000000000000001E-2</v>
      </c>
      <c r="Z643" s="21" t="b">
        <v>0</v>
      </c>
      <c r="AA643" s="162">
        <f>+$AD$5-Tabla2[[#This Row],[FECHA DE FACTURACIÓN]]</f>
        <v>325</v>
      </c>
      <c r="AB643" s="163" t="str">
        <f>+IF(Tabla2[[#This Row],[dias de credito]]&gt;=Tabla2[[#This Row],[PLAZO Días]],"venc", "No venc")</f>
        <v>venc</v>
      </c>
      <c r="AC643" s="163" t="str">
        <f>+IF(Tabla2[[#This Row],[FECHA DE PAGO]]&gt;0,"pagada","por pagar")</f>
        <v>pagada</v>
      </c>
      <c r="AD643" s="164" t="str">
        <f>+IF(AND(Tabla2[[#This Row],[venc]]="venc",Tabla2[[#This Row],[estado pago]]="por pagar"),"vencida","no")</f>
        <v>no</v>
      </c>
    </row>
    <row r="644" spans="1:30" ht="19.5" hidden="1" customHeight="1" x14ac:dyDescent="0.25">
      <c r="A644" s="8" t="s">
        <v>1850</v>
      </c>
      <c r="B644" s="8" t="s">
        <v>1851</v>
      </c>
      <c r="C644" s="8">
        <v>45</v>
      </c>
      <c r="D644" s="151">
        <v>2446500</v>
      </c>
      <c r="E644" s="151"/>
      <c r="F644" s="24" t="s">
        <v>158</v>
      </c>
      <c r="G644" s="30">
        <v>45182</v>
      </c>
      <c r="H644" s="81" t="s">
        <v>10</v>
      </c>
      <c r="I644" s="30">
        <v>45118</v>
      </c>
      <c r="J644" s="16" t="s">
        <v>921</v>
      </c>
      <c r="K644" s="9" t="s">
        <v>1530</v>
      </c>
      <c r="L644" s="9"/>
      <c r="M644" s="152">
        <v>924000</v>
      </c>
      <c r="N644" s="153">
        <v>175560</v>
      </c>
      <c r="O644" s="152">
        <v>0</v>
      </c>
      <c r="P644" s="154">
        <v>0</v>
      </c>
      <c r="Q644" s="152">
        <v>0</v>
      </c>
      <c r="R644" s="9">
        <v>1099560</v>
      </c>
      <c r="S644" s="21" t="s">
        <v>1846</v>
      </c>
      <c r="T644" s="117">
        <v>0</v>
      </c>
      <c r="U644" s="117" t="s">
        <v>347</v>
      </c>
      <c r="V644" s="117">
        <v>2023</v>
      </c>
      <c r="W644" s="117">
        <v>6</v>
      </c>
      <c r="X644" s="117">
        <v>1145000</v>
      </c>
      <c r="Y644" s="117">
        <v>2.5000000000000001E-2</v>
      </c>
      <c r="Z644" s="21" t="b">
        <v>0</v>
      </c>
      <c r="AA644" s="162">
        <f>+$AD$5-Tabla2[[#This Row],[FECHA DE FACTURACIÓN]]</f>
        <v>325</v>
      </c>
      <c r="AB644" s="163" t="str">
        <f>+IF(Tabla2[[#This Row],[dias de credito]]&gt;=Tabla2[[#This Row],[PLAZO Días]],"venc", "No venc")</f>
        <v>venc</v>
      </c>
      <c r="AC644" s="163" t="str">
        <f>+IF(Tabla2[[#This Row],[FECHA DE PAGO]]&gt;0,"pagada","por pagar")</f>
        <v>pagada</v>
      </c>
      <c r="AD644" s="164" t="str">
        <f>+IF(AND(Tabla2[[#This Row],[venc]]="venc",Tabla2[[#This Row],[estado pago]]="por pagar"),"vencida","no")</f>
        <v>no</v>
      </c>
    </row>
    <row r="645" spans="1:30" ht="19.5" hidden="1" customHeight="1" x14ac:dyDescent="0.25">
      <c r="A645" s="8" t="s">
        <v>1850</v>
      </c>
      <c r="B645" s="8" t="b">
        <v>0</v>
      </c>
      <c r="C645" s="8">
        <v>30</v>
      </c>
      <c r="D645" s="151">
        <v>0</v>
      </c>
      <c r="E645" s="151"/>
      <c r="F645" s="24">
        <v>0</v>
      </c>
      <c r="G645" s="30">
        <v>45182</v>
      </c>
      <c r="H645" s="81" t="s">
        <v>1823</v>
      </c>
      <c r="I645" s="30">
        <v>45176</v>
      </c>
      <c r="J645" s="16" t="s">
        <v>1065</v>
      </c>
      <c r="K645" s="9" t="s">
        <v>1530</v>
      </c>
      <c r="L645" s="9"/>
      <c r="M645" s="152">
        <v>2299500</v>
      </c>
      <c r="N645" s="153">
        <v>0</v>
      </c>
      <c r="O645" s="152">
        <v>0</v>
      </c>
      <c r="P645" s="154">
        <v>0</v>
      </c>
      <c r="Q645" s="152">
        <v>0</v>
      </c>
      <c r="R645" s="9">
        <v>2299500</v>
      </c>
      <c r="S645" s="21" t="s">
        <v>1846</v>
      </c>
      <c r="T645" s="117">
        <v>0</v>
      </c>
      <c r="U645" s="117">
        <v>0</v>
      </c>
      <c r="V645" s="117">
        <v>2023</v>
      </c>
      <c r="W645" s="117">
        <v>6</v>
      </c>
      <c r="X645" s="117">
        <v>0</v>
      </c>
      <c r="Y645" s="117">
        <v>0</v>
      </c>
      <c r="Z645" s="21" t="b">
        <v>0</v>
      </c>
      <c r="AA645" s="162">
        <f>+$AD$5-Tabla2[[#This Row],[FECHA DE FACTURACIÓN]]</f>
        <v>267</v>
      </c>
      <c r="AB645" s="163" t="str">
        <f>+IF(Tabla2[[#This Row],[dias de credito]]&gt;=Tabla2[[#This Row],[PLAZO Días]],"venc", "No venc")</f>
        <v>venc</v>
      </c>
      <c r="AC645" s="163" t="str">
        <f>+IF(Tabla2[[#This Row],[FECHA DE PAGO]]&gt;0,"pagada","por pagar")</f>
        <v>pagada</v>
      </c>
      <c r="AD645" s="164" t="str">
        <f>+IF(AND(Tabla2[[#This Row],[venc]]="venc",Tabla2[[#This Row],[estado pago]]="por pagar"),"vencida","no")</f>
        <v>no</v>
      </c>
    </row>
    <row r="646" spans="1:30" ht="19.5" hidden="1" customHeight="1" x14ac:dyDescent="0.25">
      <c r="A646" s="8" t="s">
        <v>1852</v>
      </c>
      <c r="B646" s="8" t="b">
        <v>0</v>
      </c>
      <c r="C646" s="8">
        <v>30</v>
      </c>
      <c r="D646" s="151">
        <v>0</v>
      </c>
      <c r="E646" s="151"/>
      <c r="F646" s="24">
        <v>0</v>
      </c>
      <c r="G646" s="30">
        <v>45182</v>
      </c>
      <c r="H646" s="81" t="s">
        <v>898</v>
      </c>
      <c r="I646" s="30">
        <v>45182</v>
      </c>
      <c r="J646" s="16" t="s">
        <v>1108</v>
      </c>
      <c r="K646" s="9" t="s">
        <v>1530</v>
      </c>
      <c r="L646" s="9"/>
      <c r="M646" s="152">
        <v>290750</v>
      </c>
      <c r="N646" s="153">
        <v>0</v>
      </c>
      <c r="O646" s="152">
        <v>0</v>
      </c>
      <c r="P646" s="154">
        <v>0</v>
      </c>
      <c r="Q646" s="152">
        <v>0</v>
      </c>
      <c r="R646" s="9">
        <v>290750</v>
      </c>
      <c r="S646" s="21" t="s">
        <v>1846</v>
      </c>
      <c r="T646" s="117">
        <v>0</v>
      </c>
      <c r="U646" s="117">
        <v>0</v>
      </c>
      <c r="V646" s="117">
        <v>2023</v>
      </c>
      <c r="W646" s="117">
        <v>6</v>
      </c>
      <c r="X646" s="117">
        <v>0</v>
      </c>
      <c r="Y646" s="117">
        <v>0</v>
      </c>
      <c r="Z646" s="21" t="b">
        <v>0</v>
      </c>
      <c r="AA646" s="162">
        <f>+$AD$5-Tabla2[[#This Row],[FECHA DE FACTURACIÓN]]</f>
        <v>261</v>
      </c>
      <c r="AB646" s="163" t="str">
        <f>+IF(Tabla2[[#This Row],[dias de credito]]&gt;=Tabla2[[#This Row],[PLAZO Días]],"venc", "No venc")</f>
        <v>venc</v>
      </c>
      <c r="AC646" s="163" t="str">
        <f>+IF(Tabla2[[#This Row],[FECHA DE PAGO]]&gt;0,"pagada","por pagar")</f>
        <v>pagada</v>
      </c>
      <c r="AD646" s="164" t="str">
        <f>+IF(AND(Tabla2[[#This Row],[venc]]="venc",Tabla2[[#This Row],[estado pago]]="por pagar"),"vencida","no")</f>
        <v>no</v>
      </c>
    </row>
    <row r="647" spans="1:30" ht="19.5" hidden="1" customHeight="1" x14ac:dyDescent="0.25">
      <c r="A647" s="8" t="s">
        <v>1852</v>
      </c>
      <c r="B647" s="8" t="b">
        <v>0</v>
      </c>
      <c r="C647" s="8">
        <v>30</v>
      </c>
      <c r="D647" s="151">
        <v>0</v>
      </c>
      <c r="E647" s="151"/>
      <c r="F647" s="24" t="s">
        <v>84</v>
      </c>
      <c r="G647" s="30">
        <v>45183</v>
      </c>
      <c r="H647" s="81" t="s">
        <v>481</v>
      </c>
      <c r="I647" s="30">
        <v>45183</v>
      </c>
      <c r="J647" s="16" t="s">
        <v>1111</v>
      </c>
      <c r="K647" s="9" t="s">
        <v>1530</v>
      </c>
      <c r="L647" s="9"/>
      <c r="M647" s="152">
        <v>3672000</v>
      </c>
      <c r="N647" s="153">
        <v>0</v>
      </c>
      <c r="O647" s="152">
        <v>0</v>
      </c>
      <c r="P647" s="154">
        <v>0</v>
      </c>
      <c r="Q647" s="152">
        <v>0</v>
      </c>
      <c r="R647" s="9">
        <v>3672000</v>
      </c>
      <c r="S647" s="21" t="s">
        <v>1846</v>
      </c>
      <c r="T647" s="117">
        <v>0</v>
      </c>
      <c r="U647" s="117">
        <v>0</v>
      </c>
      <c r="V647" s="117">
        <v>2023</v>
      </c>
      <c r="W647" s="117">
        <v>6</v>
      </c>
      <c r="X647" s="117">
        <v>0</v>
      </c>
      <c r="Y647" s="117">
        <v>0</v>
      </c>
      <c r="Z647" s="21" t="b">
        <v>0</v>
      </c>
      <c r="AA647" s="162">
        <f>+$AD$5-Tabla2[[#This Row],[FECHA DE FACTURACIÓN]]</f>
        <v>260</v>
      </c>
      <c r="AB647" s="163" t="str">
        <f>+IF(Tabla2[[#This Row],[dias de credito]]&gt;=Tabla2[[#This Row],[PLAZO Días]],"venc", "No venc")</f>
        <v>venc</v>
      </c>
      <c r="AC647" s="163" t="str">
        <f>+IF(Tabla2[[#This Row],[FECHA DE PAGO]]&gt;0,"pagada","por pagar")</f>
        <v>pagada</v>
      </c>
      <c r="AD647" s="164" t="str">
        <f>+IF(AND(Tabla2[[#This Row],[venc]]="venc",Tabla2[[#This Row],[estado pago]]="por pagar"),"vencida","no")</f>
        <v>no</v>
      </c>
    </row>
    <row r="648" spans="1:30" ht="19.5" hidden="1" customHeight="1" x14ac:dyDescent="0.25">
      <c r="A648" s="8" t="s">
        <v>1852</v>
      </c>
      <c r="B648" s="8" t="b">
        <v>0</v>
      </c>
      <c r="C648" s="8">
        <v>30</v>
      </c>
      <c r="D648" s="151">
        <v>0</v>
      </c>
      <c r="E648" s="151"/>
      <c r="F648" s="24" t="s">
        <v>84</v>
      </c>
      <c r="G648" s="30">
        <v>45183</v>
      </c>
      <c r="H648" s="81" t="s">
        <v>525</v>
      </c>
      <c r="I648" s="30">
        <v>45183</v>
      </c>
      <c r="J648" s="16" t="s">
        <v>1097</v>
      </c>
      <c r="K648" s="9" t="s">
        <v>1530</v>
      </c>
      <c r="L648" s="9"/>
      <c r="M648" s="152">
        <v>171400</v>
      </c>
      <c r="N648" s="153">
        <v>0</v>
      </c>
      <c r="O648" s="152">
        <v>0</v>
      </c>
      <c r="P648" s="154">
        <v>0</v>
      </c>
      <c r="Q648" s="152">
        <v>0</v>
      </c>
      <c r="R648" s="9">
        <v>171400</v>
      </c>
      <c r="S648" s="21" t="s">
        <v>1846</v>
      </c>
      <c r="T648" s="117">
        <v>0</v>
      </c>
      <c r="U648" s="117">
        <v>0</v>
      </c>
      <c r="V648" s="117">
        <v>2023</v>
      </c>
      <c r="W648" s="117">
        <v>6</v>
      </c>
      <c r="X648" s="117">
        <v>0</v>
      </c>
      <c r="Y648" s="117">
        <v>0</v>
      </c>
      <c r="Z648" s="21" t="b">
        <v>0</v>
      </c>
      <c r="AA648" s="162">
        <f>+$AD$5-Tabla2[[#This Row],[FECHA DE FACTURACIÓN]]</f>
        <v>260</v>
      </c>
      <c r="AB648" s="163" t="str">
        <f>+IF(Tabla2[[#This Row],[dias de credito]]&gt;=Tabla2[[#This Row],[PLAZO Días]],"venc", "No venc")</f>
        <v>venc</v>
      </c>
      <c r="AC648" s="163" t="str">
        <f>+IF(Tabla2[[#This Row],[FECHA DE PAGO]]&gt;0,"pagada","por pagar")</f>
        <v>pagada</v>
      </c>
      <c r="AD648" s="164" t="str">
        <f>+IF(AND(Tabla2[[#This Row],[venc]]="venc",Tabla2[[#This Row],[estado pago]]="por pagar"),"vencida","no")</f>
        <v>no</v>
      </c>
    </row>
    <row r="649" spans="1:30" ht="19.5" hidden="1" customHeight="1" x14ac:dyDescent="0.25">
      <c r="A649" s="8" t="s">
        <v>1852</v>
      </c>
      <c r="B649" s="8" t="b">
        <v>0</v>
      </c>
      <c r="C649" s="8">
        <v>30</v>
      </c>
      <c r="D649" s="151">
        <v>0</v>
      </c>
      <c r="E649" s="151"/>
      <c r="F649" s="24">
        <v>0</v>
      </c>
      <c r="G649" s="30">
        <v>45186</v>
      </c>
      <c r="H649" s="81" t="s">
        <v>836</v>
      </c>
      <c r="I649" s="30">
        <v>45186</v>
      </c>
      <c r="J649" s="16"/>
      <c r="K649" s="9" t="s">
        <v>1530</v>
      </c>
      <c r="L649" s="9"/>
      <c r="M649" s="152">
        <v>396000</v>
      </c>
      <c r="N649" s="153">
        <v>0</v>
      </c>
      <c r="O649" s="152">
        <v>0</v>
      </c>
      <c r="P649" s="154">
        <v>0</v>
      </c>
      <c r="Q649" s="152">
        <v>0</v>
      </c>
      <c r="R649" s="9">
        <v>396000</v>
      </c>
      <c r="S649" s="21" t="s">
        <v>1846</v>
      </c>
      <c r="T649" s="117">
        <v>0</v>
      </c>
      <c r="U649" s="117">
        <v>0</v>
      </c>
      <c r="V649" s="117">
        <v>2023</v>
      </c>
      <c r="W649" s="117">
        <v>6</v>
      </c>
      <c r="X649" s="117">
        <v>0</v>
      </c>
      <c r="Y649" s="117">
        <v>0</v>
      </c>
      <c r="Z649" s="21" t="b">
        <v>0</v>
      </c>
      <c r="AA649" s="162">
        <f>+$AD$5-Tabla2[[#This Row],[FECHA DE FACTURACIÓN]]</f>
        <v>257</v>
      </c>
      <c r="AB649" s="163" t="str">
        <f>+IF(Tabla2[[#This Row],[dias de credito]]&gt;=Tabla2[[#This Row],[PLAZO Días]],"venc", "No venc")</f>
        <v>venc</v>
      </c>
      <c r="AC649" s="163" t="str">
        <f>+IF(Tabla2[[#This Row],[FECHA DE PAGO]]&gt;0,"pagada","por pagar")</f>
        <v>pagada</v>
      </c>
      <c r="AD649" s="164" t="str">
        <f>+IF(AND(Tabla2[[#This Row],[venc]]="venc",Tabla2[[#This Row],[estado pago]]="por pagar"),"vencida","no")</f>
        <v>no</v>
      </c>
    </row>
    <row r="650" spans="1:30" ht="19.5" hidden="1" customHeight="1" x14ac:dyDescent="0.25">
      <c r="A650" s="8" t="s">
        <v>1850</v>
      </c>
      <c r="B650" s="8" t="s">
        <v>1851</v>
      </c>
      <c r="C650" s="8">
        <v>45</v>
      </c>
      <c r="D650" s="151">
        <v>22186260.039999999</v>
      </c>
      <c r="E650" s="151"/>
      <c r="F650" s="24" t="s">
        <v>357</v>
      </c>
      <c r="G650" s="30">
        <v>45187</v>
      </c>
      <c r="H650" s="81" t="s">
        <v>19</v>
      </c>
      <c r="I650" s="30">
        <v>45121</v>
      </c>
      <c r="J650" s="16" t="s">
        <v>918</v>
      </c>
      <c r="K650" s="9" t="s">
        <v>1530</v>
      </c>
      <c r="L650" s="9"/>
      <c r="M650" s="152">
        <v>1635783</v>
      </c>
      <c r="N650" s="153">
        <v>310798.77</v>
      </c>
      <c r="O650" s="152">
        <v>0</v>
      </c>
      <c r="P650" s="154">
        <v>0</v>
      </c>
      <c r="Q650" s="152">
        <v>0</v>
      </c>
      <c r="R650" s="9">
        <v>1946581.77</v>
      </c>
      <c r="S650" s="21" t="s">
        <v>1846</v>
      </c>
      <c r="T650" s="117">
        <v>0</v>
      </c>
      <c r="U650" s="117">
        <v>0</v>
      </c>
      <c r="V650" s="117">
        <v>2023</v>
      </c>
      <c r="W650" s="117">
        <v>6</v>
      </c>
      <c r="X650" s="117">
        <v>0</v>
      </c>
      <c r="Y650" s="117">
        <v>0</v>
      </c>
      <c r="Z650" s="21" t="b">
        <v>0</v>
      </c>
      <c r="AA650" s="162">
        <f>+$AD$5-Tabla2[[#This Row],[FECHA DE FACTURACIÓN]]</f>
        <v>322</v>
      </c>
      <c r="AB650" s="163" t="str">
        <f>+IF(Tabla2[[#This Row],[dias de credito]]&gt;=Tabla2[[#This Row],[PLAZO Días]],"venc", "No venc")</f>
        <v>venc</v>
      </c>
      <c r="AC650" s="163" t="str">
        <f>+IF(Tabla2[[#This Row],[FECHA DE PAGO]]&gt;0,"pagada","por pagar")</f>
        <v>pagada</v>
      </c>
      <c r="AD650" s="164" t="str">
        <f>+IF(AND(Tabla2[[#This Row],[venc]]="venc",Tabla2[[#This Row],[estado pago]]="por pagar"),"vencida","no")</f>
        <v>no</v>
      </c>
    </row>
    <row r="651" spans="1:30" ht="19.5" hidden="1" customHeight="1" x14ac:dyDescent="0.25">
      <c r="A651" s="8" t="s">
        <v>1850</v>
      </c>
      <c r="B651" s="8" t="s">
        <v>1851</v>
      </c>
      <c r="C651" s="8">
        <v>45</v>
      </c>
      <c r="D651" s="151">
        <v>22186260.039999999</v>
      </c>
      <c r="E651" s="151"/>
      <c r="F651" s="24" t="s">
        <v>357</v>
      </c>
      <c r="G651" s="30">
        <v>45187</v>
      </c>
      <c r="H651" s="81" t="s">
        <v>19</v>
      </c>
      <c r="I651" s="30">
        <v>45135</v>
      </c>
      <c r="J651" s="16" t="s">
        <v>952</v>
      </c>
      <c r="K651" s="9" t="s">
        <v>1530</v>
      </c>
      <c r="L651" s="9"/>
      <c r="M651" s="152">
        <v>1220051</v>
      </c>
      <c r="N651" s="153">
        <v>231809.69</v>
      </c>
      <c r="O651" s="152">
        <v>0</v>
      </c>
      <c r="P651" s="154">
        <v>0</v>
      </c>
      <c r="Q651" s="152">
        <v>0</v>
      </c>
      <c r="R651" s="9">
        <v>1451860.69</v>
      </c>
      <c r="S651" s="21" t="s">
        <v>1846</v>
      </c>
      <c r="T651" s="117">
        <v>0</v>
      </c>
      <c r="U651" s="117">
        <v>0</v>
      </c>
      <c r="V651" s="117">
        <v>2023</v>
      </c>
      <c r="W651" s="117">
        <v>6</v>
      </c>
      <c r="X651" s="117">
        <v>0</v>
      </c>
      <c r="Y651" s="117">
        <v>0</v>
      </c>
      <c r="Z651" s="21" t="b">
        <v>0</v>
      </c>
      <c r="AA651" s="162">
        <f>+$AD$5-Tabla2[[#This Row],[FECHA DE FACTURACIÓN]]</f>
        <v>308</v>
      </c>
      <c r="AB651" s="163" t="str">
        <f>+IF(Tabla2[[#This Row],[dias de credito]]&gt;=Tabla2[[#This Row],[PLAZO Días]],"venc", "No venc")</f>
        <v>venc</v>
      </c>
      <c r="AC651" s="163" t="str">
        <f>+IF(Tabla2[[#This Row],[FECHA DE PAGO]]&gt;0,"pagada","por pagar")</f>
        <v>pagada</v>
      </c>
      <c r="AD651" s="164" t="str">
        <f>+IF(AND(Tabla2[[#This Row],[venc]]="venc",Tabla2[[#This Row],[estado pago]]="por pagar"),"vencida","no")</f>
        <v>no</v>
      </c>
    </row>
    <row r="652" spans="1:30" ht="19.5" hidden="1" customHeight="1" x14ac:dyDescent="0.25">
      <c r="A652" s="8" t="s">
        <v>1850</v>
      </c>
      <c r="B652" s="8" t="b">
        <v>0</v>
      </c>
      <c r="C652" s="8">
        <v>30</v>
      </c>
      <c r="D652" s="151">
        <v>0</v>
      </c>
      <c r="E652" s="151"/>
      <c r="F652" s="24" t="s">
        <v>253</v>
      </c>
      <c r="G652" s="30">
        <v>45187</v>
      </c>
      <c r="H652" s="81" t="s">
        <v>368</v>
      </c>
      <c r="I652" s="30">
        <v>45170</v>
      </c>
      <c r="J652" s="16" t="s">
        <v>1083</v>
      </c>
      <c r="K652" s="9" t="s">
        <v>1530</v>
      </c>
      <c r="L652" s="9"/>
      <c r="M652" s="152">
        <v>908172</v>
      </c>
      <c r="N652" s="153">
        <v>172552.68</v>
      </c>
      <c r="O652" s="152">
        <v>0</v>
      </c>
      <c r="P652" s="154">
        <v>0</v>
      </c>
      <c r="Q652" s="152">
        <v>0</v>
      </c>
      <c r="R652" s="9">
        <v>1080724.68</v>
      </c>
      <c r="S652" s="21" t="s">
        <v>1846</v>
      </c>
      <c r="T652" s="117">
        <v>0</v>
      </c>
      <c r="U652" s="117">
        <v>0</v>
      </c>
      <c r="V652" s="117">
        <v>2023</v>
      </c>
      <c r="W652" s="117">
        <v>6</v>
      </c>
      <c r="X652" s="117">
        <v>0</v>
      </c>
      <c r="Y652" s="117">
        <v>0</v>
      </c>
      <c r="Z652" s="21" t="b">
        <v>1</v>
      </c>
      <c r="AA652" s="162">
        <f>+$AD$5-Tabla2[[#This Row],[FECHA DE FACTURACIÓN]]</f>
        <v>273</v>
      </c>
      <c r="AB652" s="163" t="str">
        <f>+IF(Tabla2[[#This Row],[dias de credito]]&gt;=Tabla2[[#This Row],[PLAZO Días]],"venc", "No venc")</f>
        <v>venc</v>
      </c>
      <c r="AC652" s="163" t="str">
        <f>+IF(Tabla2[[#This Row],[FECHA DE PAGO]]&gt;0,"pagada","por pagar")</f>
        <v>pagada</v>
      </c>
      <c r="AD652" s="164" t="str">
        <f>+IF(AND(Tabla2[[#This Row],[venc]]="venc",Tabla2[[#This Row],[estado pago]]="por pagar"),"vencida","no")</f>
        <v>no</v>
      </c>
    </row>
    <row r="653" spans="1:30" ht="19.5" hidden="1" customHeight="1" x14ac:dyDescent="0.25">
      <c r="A653" s="8" t="s">
        <v>1850</v>
      </c>
      <c r="B653" s="8" t="b">
        <v>0</v>
      </c>
      <c r="C653" s="8">
        <v>30</v>
      </c>
      <c r="D653" s="151">
        <v>0</v>
      </c>
      <c r="E653" s="151"/>
      <c r="F653" s="24" t="s">
        <v>253</v>
      </c>
      <c r="G653" s="30">
        <v>45187</v>
      </c>
      <c r="H653" s="81" t="s">
        <v>368</v>
      </c>
      <c r="I653" s="30">
        <v>45170</v>
      </c>
      <c r="J653" s="16" t="s">
        <v>1082</v>
      </c>
      <c r="K653" s="9" t="s">
        <v>1530</v>
      </c>
      <c r="L653" s="9"/>
      <c r="M653" s="152">
        <v>3792544</v>
      </c>
      <c r="N653" s="153">
        <v>720583.36</v>
      </c>
      <c r="O653" s="152">
        <v>0</v>
      </c>
      <c r="P653" s="154">
        <v>0</v>
      </c>
      <c r="Q653" s="152">
        <v>0</v>
      </c>
      <c r="R653" s="9">
        <v>4513127.3600000003</v>
      </c>
      <c r="S653" s="21" t="s">
        <v>1846</v>
      </c>
      <c r="T653" s="117">
        <v>0</v>
      </c>
      <c r="U653" s="117">
        <v>0</v>
      </c>
      <c r="V653" s="117">
        <v>2023</v>
      </c>
      <c r="W653" s="117">
        <v>6</v>
      </c>
      <c r="X653" s="117">
        <v>0</v>
      </c>
      <c r="Y653" s="117">
        <v>0</v>
      </c>
      <c r="Z653" s="21" t="b">
        <v>1</v>
      </c>
      <c r="AA653" s="162">
        <f>+$AD$5-Tabla2[[#This Row],[FECHA DE FACTURACIÓN]]</f>
        <v>273</v>
      </c>
      <c r="AB653" s="163" t="str">
        <f>+IF(Tabla2[[#This Row],[dias de credito]]&gt;=Tabla2[[#This Row],[PLAZO Días]],"venc", "No venc")</f>
        <v>venc</v>
      </c>
      <c r="AC653" s="163" t="str">
        <f>+IF(Tabla2[[#This Row],[FECHA DE PAGO]]&gt;0,"pagada","por pagar")</f>
        <v>pagada</v>
      </c>
      <c r="AD653" s="164" t="str">
        <f>+IF(AND(Tabla2[[#This Row],[venc]]="venc",Tabla2[[#This Row],[estado pago]]="por pagar"),"vencida","no")</f>
        <v>no</v>
      </c>
    </row>
    <row r="654" spans="1:30" ht="19.5" hidden="1" customHeight="1" x14ac:dyDescent="0.25">
      <c r="A654" s="8" t="s">
        <v>1850</v>
      </c>
      <c r="B654" s="8" t="b">
        <v>0</v>
      </c>
      <c r="C654" s="8">
        <v>30</v>
      </c>
      <c r="D654" s="151">
        <v>0</v>
      </c>
      <c r="E654" s="151"/>
      <c r="F654" s="24" t="s">
        <v>268</v>
      </c>
      <c r="G654" s="30">
        <v>45187</v>
      </c>
      <c r="H654" s="81" t="s">
        <v>376</v>
      </c>
      <c r="I654" s="30">
        <v>45170</v>
      </c>
      <c r="J654" s="16" t="s">
        <v>1040</v>
      </c>
      <c r="K654" s="9" t="s">
        <v>1530</v>
      </c>
      <c r="L654" s="9"/>
      <c r="M654" s="152">
        <v>318603</v>
      </c>
      <c r="N654" s="153">
        <v>0</v>
      </c>
      <c r="O654" s="152">
        <v>0</v>
      </c>
      <c r="P654" s="154">
        <v>0</v>
      </c>
      <c r="Q654" s="152">
        <v>0</v>
      </c>
      <c r="R654" s="9">
        <v>318603</v>
      </c>
      <c r="S654" s="21" t="s">
        <v>1846</v>
      </c>
      <c r="T654" s="117">
        <v>0</v>
      </c>
      <c r="U654" s="117">
        <v>0</v>
      </c>
      <c r="V654" s="117">
        <v>2023</v>
      </c>
      <c r="W654" s="117">
        <v>6</v>
      </c>
      <c r="X654" s="117">
        <v>0</v>
      </c>
      <c r="Y654" s="117">
        <v>0</v>
      </c>
      <c r="Z654" s="21" t="b">
        <v>1</v>
      </c>
      <c r="AA654" s="162">
        <f>+$AD$5-Tabla2[[#This Row],[FECHA DE FACTURACIÓN]]</f>
        <v>273</v>
      </c>
      <c r="AB654" s="163" t="str">
        <f>+IF(Tabla2[[#This Row],[dias de credito]]&gt;=Tabla2[[#This Row],[PLAZO Días]],"venc", "No venc")</f>
        <v>venc</v>
      </c>
      <c r="AC654" s="163" t="str">
        <f>+IF(Tabla2[[#This Row],[FECHA DE PAGO]]&gt;0,"pagada","por pagar")</f>
        <v>pagada</v>
      </c>
      <c r="AD654" s="164" t="str">
        <f>+IF(AND(Tabla2[[#This Row],[venc]]="venc",Tabla2[[#This Row],[estado pago]]="por pagar"),"vencida","no")</f>
        <v>no</v>
      </c>
    </row>
    <row r="655" spans="1:30" ht="19.5" hidden="1" customHeight="1" x14ac:dyDescent="0.25">
      <c r="A655" s="8" t="s">
        <v>1850</v>
      </c>
      <c r="B655" s="8" t="b">
        <v>0</v>
      </c>
      <c r="C655" s="8">
        <v>30</v>
      </c>
      <c r="D655" s="151">
        <v>0</v>
      </c>
      <c r="E655" s="151"/>
      <c r="F655" s="24" t="s">
        <v>153</v>
      </c>
      <c r="G655" s="30">
        <v>45187</v>
      </c>
      <c r="H655" s="81" t="s">
        <v>394</v>
      </c>
      <c r="I655" s="30">
        <v>45170</v>
      </c>
      <c r="J655" s="16" t="s">
        <v>1037</v>
      </c>
      <c r="K655" s="9" t="s">
        <v>1530</v>
      </c>
      <c r="L655" s="9"/>
      <c r="M655" s="152">
        <v>243611</v>
      </c>
      <c r="N655" s="153">
        <v>46286.090000000004</v>
      </c>
      <c r="O655" s="152">
        <v>0</v>
      </c>
      <c r="P655" s="154">
        <v>3.5000000000000003E-2</v>
      </c>
      <c r="Q655" s="152">
        <v>8526.3850000000002</v>
      </c>
      <c r="R655" s="9">
        <v>281370.70500000002</v>
      </c>
      <c r="S655" s="21" t="s">
        <v>1846</v>
      </c>
      <c r="T655" s="117">
        <v>0</v>
      </c>
      <c r="U655" s="117" t="s">
        <v>348</v>
      </c>
      <c r="V655" s="117">
        <v>2023</v>
      </c>
      <c r="W655" s="117">
        <v>6</v>
      </c>
      <c r="X655" s="117">
        <v>0</v>
      </c>
      <c r="Y655" s="117">
        <v>3.5000000000000003E-2</v>
      </c>
      <c r="Z655" s="21" t="b">
        <v>1</v>
      </c>
      <c r="AA655" s="162">
        <f>+$AD$5-Tabla2[[#This Row],[FECHA DE FACTURACIÓN]]</f>
        <v>273</v>
      </c>
      <c r="AB655" s="163" t="str">
        <f>+IF(Tabla2[[#This Row],[dias de credito]]&gt;=Tabla2[[#This Row],[PLAZO Días]],"venc", "No venc")</f>
        <v>venc</v>
      </c>
      <c r="AC655" s="163" t="str">
        <f>+IF(Tabla2[[#This Row],[FECHA DE PAGO]]&gt;0,"pagada","por pagar")</f>
        <v>pagada</v>
      </c>
      <c r="AD655" s="164" t="str">
        <f>+IF(AND(Tabla2[[#This Row],[venc]]="venc",Tabla2[[#This Row],[estado pago]]="por pagar"),"vencida","no")</f>
        <v>no</v>
      </c>
    </row>
    <row r="656" spans="1:30" ht="19.5" hidden="1" customHeight="1" x14ac:dyDescent="0.25">
      <c r="A656" s="8" t="s">
        <v>1850</v>
      </c>
      <c r="B656" s="8" t="b">
        <v>0</v>
      </c>
      <c r="C656" s="8">
        <v>30</v>
      </c>
      <c r="D656" s="151">
        <v>0</v>
      </c>
      <c r="E656" s="151"/>
      <c r="F656" s="24" t="s">
        <v>1447</v>
      </c>
      <c r="G656" s="30">
        <v>45187</v>
      </c>
      <c r="H656" s="81" t="s">
        <v>373</v>
      </c>
      <c r="I656" s="30">
        <v>45171</v>
      </c>
      <c r="J656" s="16" t="s">
        <v>1039</v>
      </c>
      <c r="K656" s="9" t="s">
        <v>1530</v>
      </c>
      <c r="L656" s="9"/>
      <c r="M656" s="152">
        <v>1840056</v>
      </c>
      <c r="N656" s="153">
        <v>0</v>
      </c>
      <c r="O656" s="152">
        <v>0</v>
      </c>
      <c r="P656" s="154">
        <v>0</v>
      </c>
      <c r="Q656" s="152">
        <v>0</v>
      </c>
      <c r="R656" s="9">
        <v>1840056</v>
      </c>
      <c r="S656" s="21" t="s">
        <v>1846</v>
      </c>
      <c r="T656" s="117">
        <v>0</v>
      </c>
      <c r="U656" s="117">
        <v>0</v>
      </c>
      <c r="V656" s="117">
        <v>2023</v>
      </c>
      <c r="W656" s="117">
        <v>6</v>
      </c>
      <c r="X656" s="117">
        <v>0</v>
      </c>
      <c r="Y656" s="117">
        <v>0</v>
      </c>
      <c r="Z656" s="21" t="b">
        <v>1</v>
      </c>
      <c r="AA656" s="162">
        <f>+$AD$5-Tabla2[[#This Row],[FECHA DE FACTURACIÓN]]</f>
        <v>272</v>
      </c>
      <c r="AB656" s="163" t="str">
        <f>+IF(Tabla2[[#This Row],[dias de credito]]&gt;=Tabla2[[#This Row],[PLAZO Días]],"venc", "No venc")</f>
        <v>venc</v>
      </c>
      <c r="AC656" s="163" t="str">
        <f>+IF(Tabla2[[#This Row],[FECHA DE PAGO]]&gt;0,"pagada","por pagar")</f>
        <v>pagada</v>
      </c>
      <c r="AD656" s="164" t="str">
        <f>+IF(AND(Tabla2[[#This Row],[venc]]="venc",Tabla2[[#This Row],[estado pago]]="por pagar"),"vencida","no")</f>
        <v>no</v>
      </c>
    </row>
    <row r="657" spans="1:30" ht="19.5" hidden="1" customHeight="1" x14ac:dyDescent="0.25">
      <c r="A657" s="8" t="s">
        <v>1850</v>
      </c>
      <c r="B657" s="8" t="b">
        <v>0</v>
      </c>
      <c r="C657" s="8">
        <v>30</v>
      </c>
      <c r="D657" s="151">
        <v>0</v>
      </c>
      <c r="E657" s="151"/>
      <c r="F657" s="24" t="s">
        <v>1579</v>
      </c>
      <c r="G657" s="30">
        <v>45187</v>
      </c>
      <c r="H657" s="81" t="s">
        <v>207</v>
      </c>
      <c r="I657" s="30">
        <v>45183</v>
      </c>
      <c r="J657" s="16" t="s">
        <v>1036</v>
      </c>
      <c r="K657" s="9" t="s">
        <v>1530</v>
      </c>
      <c r="L657" s="9"/>
      <c r="M657" s="152">
        <v>1260000</v>
      </c>
      <c r="N657" s="153">
        <v>239400</v>
      </c>
      <c r="O657" s="152">
        <v>0</v>
      </c>
      <c r="P657" s="154">
        <v>2.5000000000000001E-2</v>
      </c>
      <c r="Q657" s="152">
        <v>31500</v>
      </c>
      <c r="R657" s="9">
        <v>1467900</v>
      </c>
      <c r="S657" s="21" t="s">
        <v>1846</v>
      </c>
      <c r="T657" s="117">
        <v>0</v>
      </c>
      <c r="U657" s="117" t="s">
        <v>347</v>
      </c>
      <c r="V657" s="117">
        <v>2023</v>
      </c>
      <c r="W657" s="117">
        <v>6</v>
      </c>
      <c r="X657" s="117">
        <v>1145000</v>
      </c>
      <c r="Y657" s="117">
        <v>2.5000000000000001E-2</v>
      </c>
      <c r="Z657" s="21" t="b">
        <v>0</v>
      </c>
      <c r="AA657" s="162">
        <f>+$AD$5-Tabla2[[#This Row],[FECHA DE FACTURACIÓN]]</f>
        <v>260</v>
      </c>
      <c r="AB657" s="163" t="str">
        <f>+IF(Tabla2[[#This Row],[dias de credito]]&gt;=Tabla2[[#This Row],[PLAZO Días]],"venc", "No venc")</f>
        <v>venc</v>
      </c>
      <c r="AC657" s="163" t="str">
        <f>+IF(Tabla2[[#This Row],[FECHA DE PAGO]]&gt;0,"pagada","por pagar")</f>
        <v>pagada</v>
      </c>
      <c r="AD657" s="164" t="str">
        <f>+IF(AND(Tabla2[[#This Row],[venc]]="venc",Tabla2[[#This Row],[estado pago]]="por pagar"),"vencida","no")</f>
        <v>no</v>
      </c>
    </row>
    <row r="658" spans="1:30" ht="19.5" hidden="1" customHeight="1" x14ac:dyDescent="0.25">
      <c r="A658" s="8" t="s">
        <v>1852</v>
      </c>
      <c r="B658" s="8" t="b">
        <v>0</v>
      </c>
      <c r="C658" s="8">
        <v>30</v>
      </c>
      <c r="D658" s="151">
        <v>0</v>
      </c>
      <c r="E658" s="151"/>
      <c r="F658" s="24" t="s">
        <v>84</v>
      </c>
      <c r="G658" s="30">
        <v>45187</v>
      </c>
      <c r="H658" s="81" t="s">
        <v>481</v>
      </c>
      <c r="I658" s="30">
        <v>45187</v>
      </c>
      <c r="J658" s="16" t="s">
        <v>1112</v>
      </c>
      <c r="K658" s="9" t="s">
        <v>1530</v>
      </c>
      <c r="L658" s="9"/>
      <c r="M658" s="152">
        <v>1348000</v>
      </c>
      <c r="N658" s="153">
        <v>0</v>
      </c>
      <c r="O658" s="152">
        <v>0</v>
      </c>
      <c r="P658" s="154">
        <v>0</v>
      </c>
      <c r="Q658" s="152">
        <v>0</v>
      </c>
      <c r="R658" s="9">
        <v>1348000</v>
      </c>
      <c r="S658" s="21" t="s">
        <v>1846</v>
      </c>
      <c r="T658" s="117">
        <v>0</v>
      </c>
      <c r="U658" s="117">
        <v>0</v>
      </c>
      <c r="V658" s="117">
        <v>2023</v>
      </c>
      <c r="W658" s="117">
        <v>6</v>
      </c>
      <c r="X658" s="117">
        <v>0</v>
      </c>
      <c r="Y658" s="117">
        <v>0</v>
      </c>
      <c r="Z658" s="21" t="b">
        <v>0</v>
      </c>
      <c r="AA658" s="162">
        <f>+$AD$5-Tabla2[[#This Row],[FECHA DE FACTURACIÓN]]</f>
        <v>256</v>
      </c>
      <c r="AB658" s="163" t="str">
        <f>+IF(Tabla2[[#This Row],[dias de credito]]&gt;=Tabla2[[#This Row],[PLAZO Días]],"venc", "No venc")</f>
        <v>venc</v>
      </c>
      <c r="AC658" s="163" t="str">
        <f>+IF(Tabla2[[#This Row],[FECHA DE PAGO]]&gt;0,"pagada","por pagar")</f>
        <v>pagada</v>
      </c>
      <c r="AD658" s="164" t="str">
        <f>+IF(AND(Tabla2[[#This Row],[venc]]="venc",Tabla2[[#This Row],[estado pago]]="por pagar"),"vencida","no")</f>
        <v>no</v>
      </c>
    </row>
    <row r="659" spans="1:30" ht="19.5" hidden="1" customHeight="1" x14ac:dyDescent="0.25">
      <c r="A659" s="8" t="s">
        <v>1850</v>
      </c>
      <c r="B659" s="8" t="b">
        <v>0</v>
      </c>
      <c r="C659" s="8">
        <v>30</v>
      </c>
      <c r="D659" s="151">
        <v>0</v>
      </c>
      <c r="E659" s="151"/>
      <c r="F659" s="24" t="s">
        <v>1540</v>
      </c>
      <c r="G659" s="30">
        <v>45188</v>
      </c>
      <c r="H659" s="81" t="s">
        <v>383</v>
      </c>
      <c r="I659" s="30">
        <v>45170</v>
      </c>
      <c r="J659" s="16" t="s">
        <v>1042</v>
      </c>
      <c r="K659" s="9" t="s">
        <v>1530</v>
      </c>
      <c r="L659" s="9"/>
      <c r="M659" s="152">
        <v>3935776</v>
      </c>
      <c r="N659" s="153">
        <v>747797.44000000006</v>
      </c>
      <c r="O659" s="152">
        <v>0</v>
      </c>
      <c r="P659" s="154">
        <v>3.5000000000000003E-2</v>
      </c>
      <c r="Q659" s="152">
        <v>137752.16</v>
      </c>
      <c r="R659" s="9">
        <v>4545821.28</v>
      </c>
      <c r="S659" s="21" t="s">
        <v>1846</v>
      </c>
      <c r="T659" s="117">
        <v>0</v>
      </c>
      <c r="U659" s="117" t="s">
        <v>348</v>
      </c>
      <c r="V659" s="117">
        <v>2023</v>
      </c>
      <c r="W659" s="117">
        <v>6</v>
      </c>
      <c r="X659" s="117">
        <v>0</v>
      </c>
      <c r="Y659" s="117">
        <v>3.5000000000000003E-2</v>
      </c>
      <c r="Z659" s="21" t="b">
        <v>1</v>
      </c>
      <c r="AA659" s="162">
        <f>+$AD$5-Tabla2[[#This Row],[FECHA DE FACTURACIÓN]]</f>
        <v>273</v>
      </c>
      <c r="AB659" s="163" t="str">
        <f>+IF(Tabla2[[#This Row],[dias de credito]]&gt;=Tabla2[[#This Row],[PLAZO Días]],"venc", "No venc")</f>
        <v>venc</v>
      </c>
      <c r="AC659" s="163" t="str">
        <f>+IF(Tabla2[[#This Row],[FECHA DE PAGO]]&gt;0,"pagada","por pagar")</f>
        <v>pagada</v>
      </c>
      <c r="AD659" s="164" t="str">
        <f>+IF(AND(Tabla2[[#This Row],[venc]]="venc",Tabla2[[#This Row],[estado pago]]="por pagar"),"vencida","no")</f>
        <v>no</v>
      </c>
    </row>
    <row r="660" spans="1:30" ht="19.5" hidden="1" customHeight="1" x14ac:dyDescent="0.25">
      <c r="A660" s="8" t="s">
        <v>1850</v>
      </c>
      <c r="B660" s="8" t="b">
        <v>0</v>
      </c>
      <c r="C660" s="8">
        <v>30</v>
      </c>
      <c r="D660" s="151">
        <v>0</v>
      </c>
      <c r="E660" s="151"/>
      <c r="F660" s="24" t="s">
        <v>84</v>
      </c>
      <c r="G660" s="30">
        <v>45188</v>
      </c>
      <c r="H660" s="81" t="s">
        <v>481</v>
      </c>
      <c r="I660" s="30">
        <v>45187</v>
      </c>
      <c r="J660" s="16" t="s">
        <v>1113</v>
      </c>
      <c r="K660" s="9" t="s">
        <v>1530</v>
      </c>
      <c r="L660" s="9"/>
      <c r="M660" s="152">
        <v>5788000</v>
      </c>
      <c r="N660" s="153">
        <v>0</v>
      </c>
      <c r="O660" s="152">
        <v>0</v>
      </c>
      <c r="P660" s="154">
        <v>0</v>
      </c>
      <c r="Q660" s="152">
        <v>0</v>
      </c>
      <c r="R660" s="9">
        <v>5788000</v>
      </c>
      <c r="S660" s="21" t="s">
        <v>1846</v>
      </c>
      <c r="T660" s="117">
        <v>0</v>
      </c>
      <c r="U660" s="117">
        <v>0</v>
      </c>
      <c r="V660" s="117">
        <v>2023</v>
      </c>
      <c r="W660" s="117">
        <v>6</v>
      </c>
      <c r="X660" s="117">
        <v>0</v>
      </c>
      <c r="Y660" s="117">
        <v>0</v>
      </c>
      <c r="Z660" s="21" t="b">
        <v>0</v>
      </c>
      <c r="AA660" s="162">
        <f>+$AD$5-Tabla2[[#This Row],[FECHA DE FACTURACIÓN]]</f>
        <v>256</v>
      </c>
      <c r="AB660" s="163" t="str">
        <f>+IF(Tabla2[[#This Row],[dias de credito]]&gt;=Tabla2[[#This Row],[PLAZO Días]],"venc", "No venc")</f>
        <v>venc</v>
      </c>
      <c r="AC660" s="163" t="str">
        <f>+IF(Tabla2[[#This Row],[FECHA DE PAGO]]&gt;0,"pagada","por pagar")</f>
        <v>pagada</v>
      </c>
      <c r="AD660" s="164" t="str">
        <f>+IF(AND(Tabla2[[#This Row],[venc]]="venc",Tabla2[[#This Row],[estado pago]]="por pagar"),"vencida","no")</f>
        <v>no</v>
      </c>
    </row>
    <row r="661" spans="1:30" ht="19.5" hidden="1" customHeight="1" x14ac:dyDescent="0.25">
      <c r="A661" s="8" t="s">
        <v>1852</v>
      </c>
      <c r="B661" s="8" t="b">
        <v>0</v>
      </c>
      <c r="C661" s="8">
        <v>30</v>
      </c>
      <c r="D661" s="151">
        <v>0</v>
      </c>
      <c r="E661" s="151"/>
      <c r="F661" s="24">
        <v>0</v>
      </c>
      <c r="G661" s="30">
        <v>45188</v>
      </c>
      <c r="H661" s="81" t="s">
        <v>898</v>
      </c>
      <c r="I661" s="30">
        <v>45188</v>
      </c>
      <c r="J661" s="16" t="s">
        <v>1107</v>
      </c>
      <c r="K661" s="9" t="s">
        <v>1530</v>
      </c>
      <c r="L661" s="9"/>
      <c r="M661" s="152">
        <v>309000</v>
      </c>
      <c r="N661" s="153">
        <v>0</v>
      </c>
      <c r="O661" s="152">
        <v>0</v>
      </c>
      <c r="P661" s="154">
        <v>0</v>
      </c>
      <c r="Q661" s="152">
        <v>0</v>
      </c>
      <c r="R661" s="9">
        <v>309000</v>
      </c>
      <c r="S661" s="21" t="s">
        <v>1846</v>
      </c>
      <c r="T661" s="117">
        <v>0</v>
      </c>
      <c r="U661" s="117">
        <v>0</v>
      </c>
      <c r="V661" s="117">
        <v>2023</v>
      </c>
      <c r="W661" s="117">
        <v>6</v>
      </c>
      <c r="X661" s="117">
        <v>0</v>
      </c>
      <c r="Y661" s="117">
        <v>0</v>
      </c>
      <c r="Z661" s="21" t="b">
        <v>0</v>
      </c>
      <c r="AA661" s="162">
        <f>+$AD$5-Tabla2[[#This Row],[FECHA DE FACTURACIÓN]]</f>
        <v>255</v>
      </c>
      <c r="AB661" s="163" t="str">
        <f>+IF(Tabla2[[#This Row],[dias de credito]]&gt;=Tabla2[[#This Row],[PLAZO Días]],"venc", "No venc")</f>
        <v>venc</v>
      </c>
      <c r="AC661" s="163" t="str">
        <f>+IF(Tabla2[[#This Row],[FECHA DE PAGO]]&gt;0,"pagada","por pagar")</f>
        <v>pagada</v>
      </c>
      <c r="AD661" s="164" t="str">
        <f>+IF(AND(Tabla2[[#This Row],[venc]]="venc",Tabla2[[#This Row],[estado pago]]="por pagar"),"vencida","no")</f>
        <v>no</v>
      </c>
    </row>
    <row r="662" spans="1:30" ht="19.5" hidden="1" customHeight="1" x14ac:dyDescent="0.25">
      <c r="A662" s="8" t="s">
        <v>1850</v>
      </c>
      <c r="B662" s="8" t="s">
        <v>1851</v>
      </c>
      <c r="C662" s="8">
        <v>30</v>
      </c>
      <c r="D662" s="151">
        <v>818443.92</v>
      </c>
      <c r="E662" s="151"/>
      <c r="F662" s="24" t="s">
        <v>111</v>
      </c>
      <c r="G662" s="30">
        <v>45189</v>
      </c>
      <c r="H662" s="81" t="s">
        <v>20</v>
      </c>
      <c r="I662" s="30">
        <v>45117</v>
      </c>
      <c r="J662" s="16" t="s">
        <v>911</v>
      </c>
      <c r="K662" s="9" t="s">
        <v>1530</v>
      </c>
      <c r="L662" s="9"/>
      <c r="M662" s="152">
        <v>721284</v>
      </c>
      <c r="N662" s="153">
        <v>137043.96</v>
      </c>
      <c r="O662" s="152">
        <v>0</v>
      </c>
      <c r="P662" s="154">
        <v>0</v>
      </c>
      <c r="Q662" s="152">
        <v>0</v>
      </c>
      <c r="R662" s="9">
        <v>858327.96</v>
      </c>
      <c r="S662" s="21" t="s">
        <v>1846</v>
      </c>
      <c r="T662" s="117">
        <v>0</v>
      </c>
      <c r="U662" s="117" t="s">
        <v>347</v>
      </c>
      <c r="V662" s="117">
        <v>2023</v>
      </c>
      <c r="W662" s="117">
        <v>6</v>
      </c>
      <c r="X662" s="117">
        <v>1145000</v>
      </c>
      <c r="Y662" s="117">
        <v>2.5000000000000001E-2</v>
      </c>
      <c r="Z662" s="21" t="b">
        <v>0</v>
      </c>
      <c r="AA662" s="162">
        <f>+$AD$5-Tabla2[[#This Row],[FECHA DE FACTURACIÓN]]</f>
        <v>326</v>
      </c>
      <c r="AB662" s="163" t="str">
        <f>+IF(Tabla2[[#This Row],[dias de credito]]&gt;=Tabla2[[#This Row],[PLAZO Días]],"venc", "No venc")</f>
        <v>venc</v>
      </c>
      <c r="AC662" s="163" t="str">
        <f>+IF(Tabla2[[#This Row],[FECHA DE PAGO]]&gt;0,"pagada","por pagar")</f>
        <v>pagada</v>
      </c>
      <c r="AD662" s="164" t="str">
        <f>+IF(AND(Tabla2[[#This Row],[venc]]="venc",Tabla2[[#This Row],[estado pago]]="por pagar"),"vencida","no")</f>
        <v>no</v>
      </c>
    </row>
    <row r="663" spans="1:30" ht="19.5" hidden="1" customHeight="1" x14ac:dyDescent="0.25">
      <c r="A663" s="8" t="s">
        <v>1850</v>
      </c>
      <c r="B663" s="8" t="s">
        <v>1851</v>
      </c>
      <c r="C663" s="8">
        <v>30</v>
      </c>
      <c r="D663" s="151">
        <v>4466504.835</v>
      </c>
      <c r="E663" s="151"/>
      <c r="F663" s="24" t="s">
        <v>1553</v>
      </c>
      <c r="G663" s="30">
        <v>45189</v>
      </c>
      <c r="H663" s="81" t="s">
        <v>18</v>
      </c>
      <c r="I663" s="30">
        <v>45128</v>
      </c>
      <c r="J663" s="16" t="s">
        <v>910</v>
      </c>
      <c r="K663" s="9" t="s">
        <v>1530</v>
      </c>
      <c r="L663" s="9"/>
      <c r="M663" s="152">
        <v>3393918</v>
      </c>
      <c r="N663" s="153">
        <v>644844.42000000004</v>
      </c>
      <c r="O663" s="152">
        <v>0</v>
      </c>
      <c r="P663" s="154">
        <v>2.5000000000000001E-2</v>
      </c>
      <c r="Q663" s="152">
        <v>84847.950000000012</v>
      </c>
      <c r="R663" s="9">
        <v>3953914.4699999997</v>
      </c>
      <c r="S663" s="21" t="s">
        <v>1846</v>
      </c>
      <c r="T663" s="117">
        <v>0</v>
      </c>
      <c r="U663" s="117" t="s">
        <v>347</v>
      </c>
      <c r="V663" s="117">
        <v>2023</v>
      </c>
      <c r="W663" s="117">
        <v>6</v>
      </c>
      <c r="X663" s="117">
        <v>1145000</v>
      </c>
      <c r="Y663" s="117">
        <v>2.5000000000000001E-2</v>
      </c>
      <c r="Z663" s="21" t="b">
        <v>0</v>
      </c>
      <c r="AA663" s="162">
        <f>+$AD$5-Tabla2[[#This Row],[FECHA DE FACTURACIÓN]]</f>
        <v>315</v>
      </c>
      <c r="AB663" s="163" t="str">
        <f>+IF(Tabla2[[#This Row],[dias de credito]]&gt;=Tabla2[[#This Row],[PLAZO Días]],"venc", "No venc")</f>
        <v>venc</v>
      </c>
      <c r="AC663" s="163" t="str">
        <f>+IF(Tabla2[[#This Row],[FECHA DE PAGO]]&gt;0,"pagada","por pagar")</f>
        <v>pagada</v>
      </c>
      <c r="AD663" s="164" t="str">
        <f>+IF(AND(Tabla2[[#This Row],[venc]]="venc",Tabla2[[#This Row],[estado pago]]="por pagar"),"vencida","no")</f>
        <v>no</v>
      </c>
    </row>
    <row r="664" spans="1:30" ht="19.5" hidden="1" customHeight="1" x14ac:dyDescent="0.25">
      <c r="A664" s="8" t="s">
        <v>1850</v>
      </c>
      <c r="B664" s="8" t="s">
        <v>1851</v>
      </c>
      <c r="C664" s="8">
        <v>30</v>
      </c>
      <c r="D664" s="151">
        <v>4466504.835</v>
      </c>
      <c r="E664" s="151"/>
      <c r="F664" s="24" t="s">
        <v>1553</v>
      </c>
      <c r="G664" s="30">
        <v>45189</v>
      </c>
      <c r="H664" s="81" t="s">
        <v>18</v>
      </c>
      <c r="I664" s="30">
        <v>45134</v>
      </c>
      <c r="J664" s="16" t="s">
        <v>1035</v>
      </c>
      <c r="K664" s="9" t="s">
        <v>1530</v>
      </c>
      <c r="L664" s="9"/>
      <c r="M664" s="152">
        <v>8431200</v>
      </c>
      <c r="N664" s="153">
        <v>1601928</v>
      </c>
      <c r="O664" s="152">
        <v>0</v>
      </c>
      <c r="P664" s="154">
        <v>2.5000000000000001E-2</v>
      </c>
      <c r="Q664" s="152">
        <v>210780</v>
      </c>
      <c r="R664" s="9">
        <v>9822348</v>
      </c>
      <c r="S664" s="21" t="s">
        <v>1846</v>
      </c>
      <c r="T664" s="117">
        <v>0</v>
      </c>
      <c r="U664" s="117" t="s">
        <v>347</v>
      </c>
      <c r="V664" s="117">
        <v>2023</v>
      </c>
      <c r="W664" s="117">
        <v>6</v>
      </c>
      <c r="X664" s="117">
        <v>1145000</v>
      </c>
      <c r="Y664" s="117">
        <v>2.5000000000000001E-2</v>
      </c>
      <c r="Z664" s="21" t="b">
        <v>0</v>
      </c>
      <c r="AA664" s="162">
        <f>+$AD$5-Tabla2[[#This Row],[FECHA DE FACTURACIÓN]]</f>
        <v>309</v>
      </c>
      <c r="AB664" s="163" t="str">
        <f>+IF(Tabla2[[#This Row],[dias de credito]]&gt;=Tabla2[[#This Row],[PLAZO Días]],"venc", "No venc")</f>
        <v>venc</v>
      </c>
      <c r="AC664" s="163" t="str">
        <f>+IF(Tabla2[[#This Row],[FECHA DE PAGO]]&gt;0,"pagada","por pagar")</f>
        <v>pagada</v>
      </c>
      <c r="AD664" s="164" t="str">
        <f>+IF(AND(Tabla2[[#This Row],[venc]]="venc",Tabla2[[#This Row],[estado pago]]="por pagar"),"vencida","no")</f>
        <v>no</v>
      </c>
    </row>
    <row r="665" spans="1:30" ht="19.5" hidden="1" customHeight="1" x14ac:dyDescent="0.25">
      <c r="A665" s="8" t="s">
        <v>1850</v>
      </c>
      <c r="B665" s="8" t="s">
        <v>1851</v>
      </c>
      <c r="C665" s="8">
        <v>30</v>
      </c>
      <c r="D665" s="151">
        <v>8456975.129999999</v>
      </c>
      <c r="E665" s="151"/>
      <c r="F665" s="24" t="s">
        <v>1476</v>
      </c>
      <c r="G665" s="30">
        <v>45190</v>
      </c>
      <c r="H665" s="81" t="s">
        <v>1464</v>
      </c>
      <c r="I665" s="30">
        <v>45139</v>
      </c>
      <c r="J665" s="16" t="s">
        <v>998</v>
      </c>
      <c r="K665" s="9" t="s">
        <v>1530</v>
      </c>
      <c r="L665" s="9"/>
      <c r="M665" s="152">
        <v>25562</v>
      </c>
      <c r="N665" s="153">
        <v>4856.78</v>
      </c>
      <c r="O665" s="152">
        <v>0</v>
      </c>
      <c r="P665" s="154">
        <v>0</v>
      </c>
      <c r="Q665" s="152">
        <v>0</v>
      </c>
      <c r="R665" s="9">
        <v>30418.78</v>
      </c>
      <c r="S665" s="21" t="s">
        <v>1846</v>
      </c>
      <c r="T665" s="117">
        <v>0</v>
      </c>
      <c r="U665" s="117" t="s">
        <v>347</v>
      </c>
      <c r="V665" s="117">
        <v>2023</v>
      </c>
      <c r="W665" s="117">
        <v>6</v>
      </c>
      <c r="X665" s="117">
        <v>1145000</v>
      </c>
      <c r="Y665" s="117">
        <v>2.5000000000000001E-2</v>
      </c>
      <c r="Z665" s="21" t="b">
        <v>0</v>
      </c>
      <c r="AA665" s="162">
        <f>+$AD$5-Tabla2[[#This Row],[FECHA DE FACTURACIÓN]]</f>
        <v>304</v>
      </c>
      <c r="AB665" s="163" t="str">
        <f>+IF(Tabla2[[#This Row],[dias de credito]]&gt;=Tabla2[[#This Row],[PLAZO Días]],"venc", "No venc")</f>
        <v>venc</v>
      </c>
      <c r="AC665" s="163" t="str">
        <f>+IF(Tabla2[[#This Row],[FECHA DE PAGO]]&gt;0,"pagada","por pagar")</f>
        <v>pagada</v>
      </c>
      <c r="AD665" s="164" t="str">
        <f>+IF(AND(Tabla2[[#This Row],[venc]]="venc",Tabla2[[#This Row],[estado pago]]="por pagar"),"vencida","no")</f>
        <v>no</v>
      </c>
    </row>
    <row r="666" spans="1:30" ht="19.5" hidden="1" customHeight="1" x14ac:dyDescent="0.25">
      <c r="A666" s="8" t="s">
        <v>1850</v>
      </c>
      <c r="B666" s="8" t="b">
        <v>0</v>
      </c>
      <c r="C666" s="8">
        <v>30</v>
      </c>
      <c r="D666" s="151">
        <v>1776037.21</v>
      </c>
      <c r="E666" s="151"/>
      <c r="F666" s="24" t="s">
        <v>148</v>
      </c>
      <c r="G666" s="30">
        <v>45190</v>
      </c>
      <c r="H666" s="81" t="s">
        <v>17</v>
      </c>
      <c r="I666" s="30">
        <v>45160</v>
      </c>
      <c r="J666" s="16" t="s">
        <v>989</v>
      </c>
      <c r="K666" s="9" t="s">
        <v>1530</v>
      </c>
      <c r="L666" s="9"/>
      <c r="M666" s="152">
        <v>614158</v>
      </c>
      <c r="N666" s="153">
        <v>116690.02</v>
      </c>
      <c r="O666" s="152">
        <v>0</v>
      </c>
      <c r="P666" s="154">
        <v>0</v>
      </c>
      <c r="Q666" s="152">
        <v>0</v>
      </c>
      <c r="R666" s="9">
        <v>730848.02</v>
      </c>
      <c r="S666" s="21" t="s">
        <v>1846</v>
      </c>
      <c r="T666" s="117">
        <v>0</v>
      </c>
      <c r="U666" s="117">
        <v>0</v>
      </c>
      <c r="V666" s="117">
        <v>2023</v>
      </c>
      <c r="W666" s="117">
        <v>6</v>
      </c>
      <c r="X666" s="117">
        <v>0</v>
      </c>
      <c r="Y666" s="117">
        <v>0</v>
      </c>
      <c r="Z666" s="21" t="b">
        <v>0</v>
      </c>
      <c r="AA666" s="162">
        <f>+$AD$5-Tabla2[[#This Row],[FECHA DE FACTURACIÓN]]</f>
        <v>283</v>
      </c>
      <c r="AB666" s="163" t="str">
        <f>+IF(Tabla2[[#This Row],[dias de credito]]&gt;=Tabla2[[#This Row],[PLAZO Días]],"venc", "No venc")</f>
        <v>venc</v>
      </c>
      <c r="AC666" s="163" t="str">
        <f>+IF(Tabla2[[#This Row],[FECHA DE PAGO]]&gt;0,"pagada","por pagar")</f>
        <v>pagada</v>
      </c>
      <c r="AD666" s="164" t="str">
        <f>+IF(AND(Tabla2[[#This Row],[venc]]="venc",Tabla2[[#This Row],[estado pago]]="por pagar"),"vencida","no")</f>
        <v>no</v>
      </c>
    </row>
    <row r="667" spans="1:30" ht="19.5" hidden="1" customHeight="1" x14ac:dyDescent="0.25">
      <c r="A667" s="8" t="s">
        <v>1850</v>
      </c>
      <c r="B667" s="8" t="s">
        <v>1851</v>
      </c>
      <c r="C667" s="8">
        <v>30</v>
      </c>
      <c r="D667" s="151">
        <v>9349257.8100000005</v>
      </c>
      <c r="E667" s="151"/>
      <c r="F667" s="24" t="s">
        <v>277</v>
      </c>
      <c r="G667" s="30">
        <v>45191</v>
      </c>
      <c r="H667" s="81" t="s">
        <v>226</v>
      </c>
      <c r="I667" s="30">
        <v>45108</v>
      </c>
      <c r="J667" s="16" t="s">
        <v>920</v>
      </c>
      <c r="K667" s="9" t="s">
        <v>1530</v>
      </c>
      <c r="L667" s="9"/>
      <c r="M667" s="152">
        <v>4879238</v>
      </c>
      <c r="N667" s="153">
        <v>927055.22</v>
      </c>
      <c r="O667" s="152">
        <v>0</v>
      </c>
      <c r="P667" s="154">
        <v>2.5000000000000001E-2</v>
      </c>
      <c r="Q667" s="152">
        <v>121980.95000000001</v>
      </c>
      <c r="R667" s="9">
        <v>5684312.2699999996</v>
      </c>
      <c r="S667" s="21" t="s">
        <v>1846</v>
      </c>
      <c r="T667" s="117">
        <v>0</v>
      </c>
      <c r="U667" s="117" t="s">
        <v>347</v>
      </c>
      <c r="V667" s="117">
        <v>2023</v>
      </c>
      <c r="W667" s="117">
        <v>6</v>
      </c>
      <c r="X667" s="117">
        <v>1145000</v>
      </c>
      <c r="Y667" s="117">
        <v>2.5000000000000001E-2</v>
      </c>
      <c r="Z667" s="21" t="b">
        <v>0</v>
      </c>
      <c r="AA667" s="162">
        <f>+$AD$5-Tabla2[[#This Row],[FECHA DE FACTURACIÓN]]</f>
        <v>335</v>
      </c>
      <c r="AB667" s="163" t="str">
        <f>+IF(Tabla2[[#This Row],[dias de credito]]&gt;=Tabla2[[#This Row],[PLAZO Días]],"venc", "No venc")</f>
        <v>venc</v>
      </c>
      <c r="AC667" s="163" t="str">
        <f>+IF(Tabla2[[#This Row],[FECHA DE PAGO]]&gt;0,"pagada","por pagar")</f>
        <v>pagada</v>
      </c>
      <c r="AD667" s="164" t="str">
        <f>+IF(AND(Tabla2[[#This Row],[venc]]="venc",Tabla2[[#This Row],[estado pago]]="por pagar"),"vencida","no")</f>
        <v>no</v>
      </c>
    </row>
    <row r="668" spans="1:30" ht="19.5" hidden="1" customHeight="1" x14ac:dyDescent="0.25">
      <c r="A668" s="8" t="s">
        <v>1850</v>
      </c>
      <c r="B668" s="8" t="s">
        <v>1851</v>
      </c>
      <c r="C668" s="8">
        <v>30</v>
      </c>
      <c r="D668" s="151">
        <v>0</v>
      </c>
      <c r="E668" s="151"/>
      <c r="F668" s="24" t="s">
        <v>169</v>
      </c>
      <c r="G668" s="30">
        <v>45191</v>
      </c>
      <c r="H668" s="81" t="s">
        <v>1592</v>
      </c>
      <c r="I668" s="30">
        <v>45124</v>
      </c>
      <c r="J668" s="16" t="s">
        <v>925</v>
      </c>
      <c r="K668" s="9" t="s">
        <v>1530</v>
      </c>
      <c r="L668" s="9"/>
      <c r="M668" s="152">
        <v>1952200</v>
      </c>
      <c r="N668" s="153">
        <v>370918</v>
      </c>
      <c r="O668" s="152">
        <v>0</v>
      </c>
      <c r="P668" s="154">
        <v>2.5000000000000001E-2</v>
      </c>
      <c r="Q668" s="152">
        <v>48805</v>
      </c>
      <c r="R668" s="9">
        <v>2274313</v>
      </c>
      <c r="S668" s="21" t="s">
        <v>1846</v>
      </c>
      <c r="T668" s="117">
        <v>0</v>
      </c>
      <c r="U668" s="117" t="s">
        <v>347</v>
      </c>
      <c r="V668" s="117">
        <v>2023</v>
      </c>
      <c r="W668" s="117">
        <v>6</v>
      </c>
      <c r="X668" s="117">
        <v>1145000</v>
      </c>
      <c r="Y668" s="117">
        <v>2.5000000000000001E-2</v>
      </c>
      <c r="Z668" s="21" t="b">
        <v>0</v>
      </c>
      <c r="AA668" s="162">
        <f>+$AD$5-Tabla2[[#This Row],[FECHA DE FACTURACIÓN]]</f>
        <v>319</v>
      </c>
      <c r="AB668" s="163" t="str">
        <f>+IF(Tabla2[[#This Row],[dias de credito]]&gt;=Tabla2[[#This Row],[PLAZO Días]],"venc", "No venc")</f>
        <v>venc</v>
      </c>
      <c r="AC668" s="163" t="str">
        <f>+IF(Tabla2[[#This Row],[FECHA DE PAGO]]&gt;0,"pagada","por pagar")</f>
        <v>pagada</v>
      </c>
      <c r="AD668" s="164" t="str">
        <f>+IF(AND(Tabla2[[#This Row],[venc]]="venc",Tabla2[[#This Row],[estado pago]]="por pagar"),"vencida","no")</f>
        <v>no</v>
      </c>
    </row>
    <row r="669" spans="1:30" ht="19.5" hidden="1" customHeight="1" x14ac:dyDescent="0.25">
      <c r="A669" s="8" t="s">
        <v>1850</v>
      </c>
      <c r="B669" s="8" t="s">
        <v>1851</v>
      </c>
      <c r="C669" s="8">
        <v>30</v>
      </c>
      <c r="D669" s="151">
        <v>9950488.6799999997</v>
      </c>
      <c r="E669" s="151"/>
      <c r="F669" s="24" t="s">
        <v>410</v>
      </c>
      <c r="G669" s="30">
        <v>45191</v>
      </c>
      <c r="H669" s="81" t="s">
        <v>11</v>
      </c>
      <c r="I669" s="30">
        <v>45133</v>
      </c>
      <c r="J669" s="16" t="s">
        <v>935</v>
      </c>
      <c r="K669" s="9" t="s">
        <v>1530</v>
      </c>
      <c r="L669" s="9"/>
      <c r="M669" s="152">
        <v>1552944</v>
      </c>
      <c r="N669" s="153">
        <v>295059.36</v>
      </c>
      <c r="O669" s="152">
        <v>0</v>
      </c>
      <c r="P669" s="154">
        <v>2.5000000000000001E-2</v>
      </c>
      <c r="Q669" s="152">
        <v>38823.599999999999</v>
      </c>
      <c r="R669" s="9">
        <v>1809179.7599999998</v>
      </c>
      <c r="S669" s="21" t="s">
        <v>1846</v>
      </c>
      <c r="T669" s="117">
        <v>0</v>
      </c>
      <c r="U669" s="117" t="s">
        <v>347</v>
      </c>
      <c r="V669" s="117">
        <v>2023</v>
      </c>
      <c r="W669" s="117">
        <v>6</v>
      </c>
      <c r="X669" s="117">
        <v>1145000</v>
      </c>
      <c r="Y669" s="117">
        <v>2.5000000000000001E-2</v>
      </c>
      <c r="Z669" s="21" t="b">
        <v>0</v>
      </c>
      <c r="AA669" s="162">
        <f>+$AD$5-Tabla2[[#This Row],[FECHA DE FACTURACIÓN]]</f>
        <v>310</v>
      </c>
      <c r="AB669" s="163" t="str">
        <f>+IF(Tabla2[[#This Row],[dias de credito]]&gt;=Tabla2[[#This Row],[PLAZO Días]],"venc", "No venc")</f>
        <v>venc</v>
      </c>
      <c r="AC669" s="163" t="str">
        <f>+IF(Tabla2[[#This Row],[FECHA DE PAGO]]&gt;0,"pagada","por pagar")</f>
        <v>pagada</v>
      </c>
      <c r="AD669" s="164" t="str">
        <f>+IF(AND(Tabla2[[#This Row],[venc]]="venc",Tabla2[[#This Row],[estado pago]]="por pagar"),"vencida","no")</f>
        <v>no</v>
      </c>
    </row>
    <row r="670" spans="1:30" ht="19.5" hidden="1" customHeight="1" x14ac:dyDescent="0.25">
      <c r="A670" s="8" t="s">
        <v>1850</v>
      </c>
      <c r="B670" s="8" t="s">
        <v>1851</v>
      </c>
      <c r="C670" s="8">
        <v>30</v>
      </c>
      <c r="D670" s="151">
        <v>9349257.8100000005</v>
      </c>
      <c r="E670" s="151"/>
      <c r="F670" s="24" t="s">
        <v>277</v>
      </c>
      <c r="G670" s="30">
        <v>45191</v>
      </c>
      <c r="H670" s="81" t="s">
        <v>226</v>
      </c>
      <c r="I670" s="30">
        <v>45156</v>
      </c>
      <c r="J670" s="16" t="s">
        <v>1008</v>
      </c>
      <c r="K670" s="9" t="s">
        <v>1530</v>
      </c>
      <c r="L670" s="9"/>
      <c r="M670" s="152">
        <v>1000204</v>
      </c>
      <c r="N670" s="153">
        <v>190038.76</v>
      </c>
      <c r="O670" s="152">
        <v>0</v>
      </c>
      <c r="P670" s="154">
        <v>0</v>
      </c>
      <c r="Q670" s="152">
        <v>0</v>
      </c>
      <c r="R670" s="9">
        <v>1190242.76</v>
      </c>
      <c r="S670" s="21" t="s">
        <v>1846</v>
      </c>
      <c r="T670" s="117">
        <v>0</v>
      </c>
      <c r="U670" s="117" t="s">
        <v>347</v>
      </c>
      <c r="V670" s="117">
        <v>2023</v>
      </c>
      <c r="W670" s="117">
        <v>6</v>
      </c>
      <c r="X670" s="117">
        <v>1145000</v>
      </c>
      <c r="Y670" s="117">
        <v>2.5000000000000001E-2</v>
      </c>
      <c r="Z670" s="21" t="b">
        <v>0</v>
      </c>
      <c r="AA670" s="162">
        <f>+$AD$5-Tabla2[[#This Row],[FECHA DE FACTURACIÓN]]</f>
        <v>287</v>
      </c>
      <c r="AB670" s="163" t="str">
        <f>+IF(Tabla2[[#This Row],[dias de credito]]&gt;=Tabla2[[#This Row],[PLAZO Días]],"venc", "No venc")</f>
        <v>venc</v>
      </c>
      <c r="AC670" s="163" t="str">
        <f>+IF(Tabla2[[#This Row],[FECHA DE PAGO]]&gt;0,"pagada","por pagar")</f>
        <v>pagada</v>
      </c>
      <c r="AD670" s="164" t="str">
        <f>+IF(AND(Tabla2[[#This Row],[venc]]="venc",Tabla2[[#This Row],[estado pago]]="por pagar"),"vencida","no")</f>
        <v>no</v>
      </c>
    </row>
    <row r="671" spans="1:30" ht="19.5" hidden="1" customHeight="1" x14ac:dyDescent="0.25">
      <c r="A671" s="8" t="s">
        <v>1850</v>
      </c>
      <c r="B671" s="8" t="b">
        <v>0</v>
      </c>
      <c r="C671" s="8">
        <v>30</v>
      </c>
      <c r="D671" s="151">
        <v>0</v>
      </c>
      <c r="E671" s="151"/>
      <c r="F671" s="24">
        <v>0</v>
      </c>
      <c r="G671" s="30">
        <v>45191</v>
      </c>
      <c r="H671" s="81" t="s">
        <v>291</v>
      </c>
      <c r="I671" s="30">
        <v>45190</v>
      </c>
      <c r="J671" s="16" t="s">
        <v>1070</v>
      </c>
      <c r="K671" s="9" t="s">
        <v>1530</v>
      </c>
      <c r="L671" s="9"/>
      <c r="M671" s="152">
        <v>1669877</v>
      </c>
      <c r="N671" s="153">
        <v>317276.63</v>
      </c>
      <c r="O671" s="152">
        <v>0</v>
      </c>
      <c r="P671" s="154">
        <v>2.5000000000000001E-2</v>
      </c>
      <c r="Q671" s="152">
        <v>41746.925000000003</v>
      </c>
      <c r="R671" s="9">
        <v>1945406.7049999998</v>
      </c>
      <c r="S671" s="21" t="s">
        <v>1846</v>
      </c>
      <c r="T671" s="117">
        <v>0</v>
      </c>
      <c r="U671" s="117" t="s">
        <v>347</v>
      </c>
      <c r="V671" s="117">
        <v>2023</v>
      </c>
      <c r="W671" s="117">
        <v>6</v>
      </c>
      <c r="X671" s="117">
        <v>1145000</v>
      </c>
      <c r="Y671" s="117">
        <v>2.5000000000000001E-2</v>
      </c>
      <c r="Z671" s="21" t="b">
        <v>0</v>
      </c>
      <c r="AA671" s="162">
        <f>+$AD$5-Tabla2[[#This Row],[FECHA DE FACTURACIÓN]]</f>
        <v>253</v>
      </c>
      <c r="AB671" s="163" t="str">
        <f>+IF(Tabla2[[#This Row],[dias de credito]]&gt;=Tabla2[[#This Row],[PLAZO Días]],"venc", "No venc")</f>
        <v>venc</v>
      </c>
      <c r="AC671" s="163" t="str">
        <f>+IF(Tabla2[[#This Row],[FECHA DE PAGO]]&gt;0,"pagada","por pagar")</f>
        <v>pagada</v>
      </c>
      <c r="AD671" s="164" t="str">
        <f>+IF(AND(Tabla2[[#This Row],[venc]]="venc",Tabla2[[#This Row],[estado pago]]="por pagar"),"vencida","no")</f>
        <v>no</v>
      </c>
    </row>
    <row r="672" spans="1:30" ht="19.5" hidden="1" customHeight="1" x14ac:dyDescent="0.25">
      <c r="A672" s="8" t="s">
        <v>1852</v>
      </c>
      <c r="B672" s="8" t="b">
        <v>0</v>
      </c>
      <c r="C672" s="8">
        <v>0</v>
      </c>
      <c r="D672" s="151">
        <v>0</v>
      </c>
      <c r="E672" s="151"/>
      <c r="F672" s="24">
        <v>0</v>
      </c>
      <c r="G672" s="30">
        <v>45191</v>
      </c>
      <c r="H672" s="81" t="s">
        <v>980</v>
      </c>
      <c r="I672" s="30">
        <v>45191</v>
      </c>
      <c r="J672" s="16" t="s">
        <v>1046</v>
      </c>
      <c r="K672" s="9" t="s">
        <v>1530</v>
      </c>
      <c r="L672" s="9"/>
      <c r="M672" s="152">
        <v>105212</v>
      </c>
      <c r="N672" s="153">
        <v>19990.28</v>
      </c>
      <c r="O672" s="152">
        <v>0</v>
      </c>
      <c r="P672" s="154">
        <v>0.11</v>
      </c>
      <c r="Q672" s="152">
        <v>11573.32</v>
      </c>
      <c r="R672" s="9">
        <v>113628.95999999999</v>
      </c>
      <c r="S672" s="21" t="s">
        <v>1846</v>
      </c>
      <c r="T672" s="117">
        <v>0</v>
      </c>
      <c r="U672" s="117" t="s">
        <v>351</v>
      </c>
      <c r="V672" s="117">
        <v>2023</v>
      </c>
      <c r="W672" s="117">
        <v>6</v>
      </c>
      <c r="X672" s="117">
        <v>0</v>
      </c>
      <c r="Y672" s="117">
        <v>0.11</v>
      </c>
      <c r="Z672" s="21" t="b">
        <v>0</v>
      </c>
      <c r="AA672" s="162">
        <f>+$AD$5-Tabla2[[#This Row],[FECHA DE FACTURACIÓN]]</f>
        <v>252</v>
      </c>
      <c r="AB672" s="163" t="str">
        <f>+IF(Tabla2[[#This Row],[dias de credito]]&gt;=Tabla2[[#This Row],[PLAZO Días]],"venc", "No venc")</f>
        <v>venc</v>
      </c>
      <c r="AC672" s="163" t="str">
        <f>+IF(Tabla2[[#This Row],[FECHA DE PAGO]]&gt;0,"pagada","por pagar")</f>
        <v>pagada</v>
      </c>
      <c r="AD672" s="164" t="str">
        <f>+IF(AND(Tabla2[[#This Row],[venc]]="venc",Tabla2[[#This Row],[estado pago]]="por pagar"),"vencida","no")</f>
        <v>no</v>
      </c>
    </row>
    <row r="673" spans="1:30" ht="19.5" hidden="1" customHeight="1" x14ac:dyDescent="0.25">
      <c r="A673" s="8" t="s">
        <v>1852</v>
      </c>
      <c r="B673" s="8" t="b">
        <v>0</v>
      </c>
      <c r="C673" s="8">
        <v>30</v>
      </c>
      <c r="D673" s="151">
        <v>1350000</v>
      </c>
      <c r="E673" s="151"/>
      <c r="F673" s="24" t="s">
        <v>84</v>
      </c>
      <c r="G673" s="30">
        <v>45192</v>
      </c>
      <c r="H673" s="81" t="s">
        <v>1807</v>
      </c>
      <c r="I673" s="30">
        <v>45192</v>
      </c>
      <c r="J673" s="16" t="s">
        <v>1104</v>
      </c>
      <c r="K673" s="9" t="s">
        <v>1530</v>
      </c>
      <c r="L673" s="9"/>
      <c r="M673" s="152">
        <v>900000</v>
      </c>
      <c r="N673" s="153">
        <v>0</v>
      </c>
      <c r="O673" s="152">
        <v>0</v>
      </c>
      <c r="P673" s="154">
        <v>0</v>
      </c>
      <c r="Q673" s="152">
        <v>0</v>
      </c>
      <c r="R673" s="9">
        <v>900000</v>
      </c>
      <c r="S673" s="21" t="s">
        <v>1846</v>
      </c>
      <c r="T673" s="117">
        <v>0</v>
      </c>
      <c r="U673" s="117">
        <v>0</v>
      </c>
      <c r="V673" s="117">
        <v>2023</v>
      </c>
      <c r="W673" s="117">
        <v>6</v>
      </c>
      <c r="X673" s="117">
        <v>0</v>
      </c>
      <c r="Y673" s="117">
        <v>0</v>
      </c>
      <c r="Z673" s="21" t="b">
        <v>0</v>
      </c>
      <c r="AA673" s="162">
        <f>+$AD$5-Tabla2[[#This Row],[FECHA DE FACTURACIÓN]]</f>
        <v>251</v>
      </c>
      <c r="AB673" s="163" t="str">
        <f>+IF(Tabla2[[#This Row],[dias de credito]]&gt;=Tabla2[[#This Row],[PLAZO Días]],"venc", "No venc")</f>
        <v>venc</v>
      </c>
      <c r="AC673" s="163" t="str">
        <f>+IF(Tabla2[[#This Row],[FECHA DE PAGO]]&gt;0,"pagada","por pagar")</f>
        <v>pagada</v>
      </c>
      <c r="AD673" s="164" t="str">
        <f>+IF(AND(Tabla2[[#This Row],[venc]]="venc",Tabla2[[#This Row],[estado pago]]="por pagar"),"vencida","no")</f>
        <v>no</v>
      </c>
    </row>
    <row r="674" spans="1:30" ht="19.5" hidden="1" customHeight="1" x14ac:dyDescent="0.25">
      <c r="A674" s="8" t="s">
        <v>1850</v>
      </c>
      <c r="B674" s="8" t="s">
        <v>1851</v>
      </c>
      <c r="C674" s="8">
        <v>30</v>
      </c>
      <c r="D674" s="151">
        <v>134000</v>
      </c>
      <c r="E674" s="151"/>
      <c r="F674" s="24" t="s">
        <v>192</v>
      </c>
      <c r="G674" s="30">
        <v>45194</v>
      </c>
      <c r="H674" s="81" t="s">
        <v>1808</v>
      </c>
      <c r="I674" s="30">
        <v>45055</v>
      </c>
      <c r="J674" s="16">
        <v>4136</v>
      </c>
      <c r="K674" s="9" t="s">
        <v>1530</v>
      </c>
      <c r="L674" s="9"/>
      <c r="M674" s="152">
        <v>44000</v>
      </c>
      <c r="N674" s="153">
        <v>0</v>
      </c>
      <c r="O674" s="152">
        <v>0</v>
      </c>
      <c r="P674" s="154">
        <v>0</v>
      </c>
      <c r="Q674" s="152">
        <v>0</v>
      </c>
      <c r="R674" s="9">
        <v>44000</v>
      </c>
      <c r="S674" s="21" t="s">
        <v>1846</v>
      </c>
      <c r="T674" s="117">
        <v>0</v>
      </c>
      <c r="U674" s="117">
        <v>0</v>
      </c>
      <c r="V674" s="117">
        <v>2023</v>
      </c>
      <c r="W674" s="117">
        <v>6</v>
      </c>
      <c r="X674" s="117">
        <v>0</v>
      </c>
      <c r="Y674" s="117">
        <v>0</v>
      </c>
      <c r="Z674" s="21" t="b">
        <v>0</v>
      </c>
      <c r="AA674" s="162">
        <f>+$AD$5-Tabla2[[#This Row],[FECHA DE FACTURACIÓN]]</f>
        <v>388</v>
      </c>
      <c r="AB674" s="163" t="str">
        <f>+IF(Tabla2[[#This Row],[dias de credito]]&gt;=Tabla2[[#This Row],[PLAZO Días]],"venc", "No venc")</f>
        <v>venc</v>
      </c>
      <c r="AC674" s="163" t="str">
        <f>+IF(Tabla2[[#This Row],[FECHA DE PAGO]]&gt;0,"pagada","por pagar")</f>
        <v>pagada</v>
      </c>
      <c r="AD674" s="164" t="str">
        <f>+IF(AND(Tabla2[[#This Row],[venc]]="venc",Tabla2[[#This Row],[estado pago]]="por pagar"),"vencida","no")</f>
        <v>no</v>
      </c>
    </row>
    <row r="675" spans="1:30" ht="19.5" hidden="1" customHeight="1" x14ac:dyDescent="0.25">
      <c r="A675" s="8" t="s">
        <v>1850</v>
      </c>
      <c r="B675" s="8" t="s">
        <v>1851</v>
      </c>
      <c r="C675" s="8">
        <v>30</v>
      </c>
      <c r="D675" s="151">
        <v>134000</v>
      </c>
      <c r="E675" s="151"/>
      <c r="F675" s="24" t="s">
        <v>192</v>
      </c>
      <c r="G675" s="30">
        <v>45194</v>
      </c>
      <c r="H675" s="81" t="s">
        <v>1808</v>
      </c>
      <c r="I675" s="30">
        <v>45078</v>
      </c>
      <c r="J675" s="16">
        <v>4186</v>
      </c>
      <c r="K675" s="9" t="s">
        <v>1530</v>
      </c>
      <c r="L675" s="9"/>
      <c r="M675" s="152">
        <v>99000</v>
      </c>
      <c r="N675" s="153">
        <v>0</v>
      </c>
      <c r="O675" s="152">
        <v>0</v>
      </c>
      <c r="P675" s="154">
        <v>0</v>
      </c>
      <c r="Q675" s="152">
        <v>0</v>
      </c>
      <c r="R675" s="9">
        <v>99000</v>
      </c>
      <c r="S675" s="21" t="s">
        <v>1846</v>
      </c>
      <c r="T675" s="117">
        <v>0</v>
      </c>
      <c r="U675" s="117">
        <v>0</v>
      </c>
      <c r="V675" s="117">
        <v>2023</v>
      </c>
      <c r="W675" s="117">
        <v>6</v>
      </c>
      <c r="X675" s="117">
        <v>0</v>
      </c>
      <c r="Y675" s="117">
        <v>0</v>
      </c>
      <c r="Z675" s="21" t="b">
        <v>0</v>
      </c>
      <c r="AA675" s="162">
        <f>+$AD$5-Tabla2[[#This Row],[FECHA DE FACTURACIÓN]]</f>
        <v>365</v>
      </c>
      <c r="AB675" s="163" t="str">
        <f>+IF(Tabla2[[#This Row],[dias de credito]]&gt;=Tabla2[[#This Row],[PLAZO Días]],"venc", "No venc")</f>
        <v>venc</v>
      </c>
      <c r="AC675" s="163" t="str">
        <f>+IF(Tabla2[[#This Row],[FECHA DE PAGO]]&gt;0,"pagada","por pagar")</f>
        <v>pagada</v>
      </c>
      <c r="AD675" s="164" t="str">
        <f>+IF(AND(Tabla2[[#This Row],[venc]]="venc",Tabla2[[#This Row],[estado pago]]="por pagar"),"vencida","no")</f>
        <v>no</v>
      </c>
    </row>
    <row r="676" spans="1:30" ht="19.5" hidden="1" customHeight="1" x14ac:dyDescent="0.25">
      <c r="A676" s="8" t="s">
        <v>1850</v>
      </c>
      <c r="B676" s="8" t="s">
        <v>1851</v>
      </c>
      <c r="C676" s="8">
        <v>60</v>
      </c>
      <c r="D676" s="151">
        <v>50353355.590000004</v>
      </c>
      <c r="E676" s="151"/>
      <c r="F676" s="24" t="s">
        <v>157</v>
      </c>
      <c r="G676" s="30">
        <v>45194</v>
      </c>
      <c r="H676" s="81" t="s">
        <v>9</v>
      </c>
      <c r="I676" s="30">
        <v>45100</v>
      </c>
      <c r="J676" s="16" t="s">
        <v>882</v>
      </c>
      <c r="K676" s="9" t="s">
        <v>1530</v>
      </c>
      <c r="L676" s="9"/>
      <c r="M676" s="152">
        <v>2734715</v>
      </c>
      <c r="N676" s="153">
        <v>519595.85000000003</v>
      </c>
      <c r="O676" s="152">
        <v>0</v>
      </c>
      <c r="P676" s="154">
        <v>2.5000000000000001E-2</v>
      </c>
      <c r="Q676" s="152">
        <v>68367.875</v>
      </c>
      <c r="R676" s="9">
        <v>3185942.9750000001</v>
      </c>
      <c r="S676" s="21" t="s">
        <v>1846</v>
      </c>
      <c r="T676" s="117">
        <v>0</v>
      </c>
      <c r="U676" s="117" t="s">
        <v>347</v>
      </c>
      <c r="V676" s="117">
        <v>2023</v>
      </c>
      <c r="W676" s="117">
        <v>6</v>
      </c>
      <c r="X676" s="117">
        <v>1145000</v>
      </c>
      <c r="Y676" s="117">
        <v>2.5000000000000001E-2</v>
      </c>
      <c r="Z676" s="21" t="b">
        <v>0</v>
      </c>
      <c r="AA676" s="162">
        <f>+$AD$5-Tabla2[[#This Row],[FECHA DE FACTURACIÓN]]</f>
        <v>343</v>
      </c>
      <c r="AB676" s="163" t="str">
        <f>+IF(Tabla2[[#This Row],[dias de credito]]&gt;=Tabla2[[#This Row],[PLAZO Días]],"venc", "No venc")</f>
        <v>venc</v>
      </c>
      <c r="AC676" s="163" t="str">
        <f>+IF(Tabla2[[#This Row],[FECHA DE PAGO]]&gt;0,"pagada","por pagar")</f>
        <v>pagada</v>
      </c>
      <c r="AD676" s="164" t="str">
        <f>+IF(AND(Tabla2[[#This Row],[venc]]="venc",Tabla2[[#This Row],[estado pago]]="por pagar"),"vencida","no")</f>
        <v>no</v>
      </c>
    </row>
    <row r="677" spans="1:30" ht="19.5" hidden="1" customHeight="1" x14ac:dyDescent="0.25">
      <c r="A677" s="8" t="s">
        <v>1850</v>
      </c>
      <c r="B677" s="8" t="s">
        <v>1851</v>
      </c>
      <c r="C677" s="8">
        <v>30</v>
      </c>
      <c r="D677" s="151">
        <v>352000</v>
      </c>
      <c r="E677" s="151"/>
      <c r="F677" s="24" t="s">
        <v>84</v>
      </c>
      <c r="G677" s="30">
        <v>45194</v>
      </c>
      <c r="H677" s="81" t="s">
        <v>527</v>
      </c>
      <c r="I677" s="30">
        <v>45111</v>
      </c>
      <c r="J677" s="16">
        <v>57</v>
      </c>
      <c r="K677" s="9" t="s">
        <v>1530</v>
      </c>
      <c r="L677" s="9"/>
      <c r="M677" s="152">
        <v>171500</v>
      </c>
      <c r="N677" s="153">
        <v>0</v>
      </c>
      <c r="O677" s="152">
        <v>0</v>
      </c>
      <c r="P677" s="154">
        <v>0</v>
      </c>
      <c r="Q677" s="152">
        <v>0</v>
      </c>
      <c r="R677" s="9">
        <v>171500</v>
      </c>
      <c r="S677" s="21" t="s">
        <v>1846</v>
      </c>
      <c r="T677" s="117">
        <v>0</v>
      </c>
      <c r="U677" s="117">
        <v>0</v>
      </c>
      <c r="V677" s="117">
        <v>2023</v>
      </c>
      <c r="W677" s="117">
        <v>6</v>
      </c>
      <c r="X677" s="117">
        <v>0</v>
      </c>
      <c r="Y677" s="117">
        <v>0</v>
      </c>
      <c r="Z677" s="21" t="b">
        <v>0</v>
      </c>
      <c r="AA677" s="162">
        <f>+$AD$5-Tabla2[[#This Row],[FECHA DE FACTURACIÓN]]</f>
        <v>332</v>
      </c>
      <c r="AB677" s="163" t="str">
        <f>+IF(Tabla2[[#This Row],[dias de credito]]&gt;=Tabla2[[#This Row],[PLAZO Días]],"venc", "No venc")</f>
        <v>venc</v>
      </c>
      <c r="AC677" s="163" t="str">
        <f>+IF(Tabla2[[#This Row],[FECHA DE PAGO]]&gt;0,"pagada","por pagar")</f>
        <v>pagada</v>
      </c>
      <c r="AD677" s="164" t="str">
        <f>+IF(AND(Tabla2[[#This Row],[venc]]="venc",Tabla2[[#This Row],[estado pago]]="por pagar"),"vencida","no")</f>
        <v>no</v>
      </c>
    </row>
    <row r="678" spans="1:30" ht="19.5" hidden="1" customHeight="1" x14ac:dyDescent="0.25">
      <c r="A678" s="8" t="s">
        <v>1850</v>
      </c>
      <c r="B678" s="8" t="s">
        <v>1851</v>
      </c>
      <c r="C678" s="8">
        <v>30</v>
      </c>
      <c r="D678" s="151">
        <v>134000</v>
      </c>
      <c r="E678" s="151"/>
      <c r="F678" s="24" t="s">
        <v>192</v>
      </c>
      <c r="G678" s="30">
        <v>45194</v>
      </c>
      <c r="H678" s="81" t="s">
        <v>1808</v>
      </c>
      <c r="I678" s="30">
        <v>45111</v>
      </c>
      <c r="J678" s="16">
        <v>4236</v>
      </c>
      <c r="K678" s="9" t="s">
        <v>1530</v>
      </c>
      <c r="L678" s="9"/>
      <c r="M678" s="152">
        <v>233000</v>
      </c>
      <c r="N678" s="153">
        <v>0</v>
      </c>
      <c r="O678" s="152">
        <v>0</v>
      </c>
      <c r="P678" s="154">
        <v>0</v>
      </c>
      <c r="Q678" s="152">
        <v>0</v>
      </c>
      <c r="R678" s="9">
        <v>233000</v>
      </c>
      <c r="S678" s="21" t="s">
        <v>1846</v>
      </c>
      <c r="T678" s="117">
        <v>0</v>
      </c>
      <c r="U678" s="117">
        <v>0</v>
      </c>
      <c r="V678" s="117">
        <v>2023</v>
      </c>
      <c r="W678" s="117">
        <v>6</v>
      </c>
      <c r="X678" s="117">
        <v>0</v>
      </c>
      <c r="Y678" s="117">
        <v>0</v>
      </c>
      <c r="Z678" s="21" t="b">
        <v>0</v>
      </c>
      <c r="AA678" s="162">
        <f>+$AD$5-Tabla2[[#This Row],[FECHA DE FACTURACIÓN]]</f>
        <v>332</v>
      </c>
      <c r="AB678" s="163" t="str">
        <f>+IF(Tabla2[[#This Row],[dias de credito]]&gt;=Tabla2[[#This Row],[PLAZO Días]],"venc", "No venc")</f>
        <v>venc</v>
      </c>
      <c r="AC678" s="163" t="str">
        <f>+IF(Tabla2[[#This Row],[FECHA DE PAGO]]&gt;0,"pagada","por pagar")</f>
        <v>pagada</v>
      </c>
      <c r="AD678" s="164" t="str">
        <f>+IF(AND(Tabla2[[#This Row],[venc]]="venc",Tabla2[[#This Row],[estado pago]]="por pagar"),"vencida","no")</f>
        <v>no</v>
      </c>
    </row>
    <row r="679" spans="1:30" ht="19.5" hidden="1" customHeight="1" x14ac:dyDescent="0.25">
      <c r="A679" s="8" t="s">
        <v>1850</v>
      </c>
      <c r="B679" s="8" t="s">
        <v>1851</v>
      </c>
      <c r="C679" s="8">
        <v>30</v>
      </c>
      <c r="D679" s="151">
        <v>352000</v>
      </c>
      <c r="E679" s="151"/>
      <c r="F679" s="24" t="s">
        <v>84</v>
      </c>
      <c r="G679" s="30">
        <v>45194</v>
      </c>
      <c r="H679" s="81" t="s">
        <v>527</v>
      </c>
      <c r="I679" s="30">
        <v>45114</v>
      </c>
      <c r="J679" s="16">
        <v>58</v>
      </c>
      <c r="K679" s="9" t="s">
        <v>1530</v>
      </c>
      <c r="L679" s="9"/>
      <c r="M679" s="152">
        <v>65000</v>
      </c>
      <c r="N679" s="153">
        <v>0</v>
      </c>
      <c r="O679" s="152">
        <v>0</v>
      </c>
      <c r="P679" s="154">
        <v>0</v>
      </c>
      <c r="Q679" s="152">
        <v>0</v>
      </c>
      <c r="R679" s="9">
        <v>65000</v>
      </c>
      <c r="S679" s="21" t="s">
        <v>1846</v>
      </c>
      <c r="T679" s="117">
        <v>0</v>
      </c>
      <c r="U679" s="117">
        <v>0</v>
      </c>
      <c r="V679" s="117">
        <v>2023</v>
      </c>
      <c r="W679" s="117">
        <v>6</v>
      </c>
      <c r="X679" s="117">
        <v>0</v>
      </c>
      <c r="Y679" s="117">
        <v>0</v>
      </c>
      <c r="Z679" s="21" t="b">
        <v>0</v>
      </c>
      <c r="AA679" s="162">
        <f>+$AD$5-Tabla2[[#This Row],[FECHA DE FACTURACIÓN]]</f>
        <v>329</v>
      </c>
      <c r="AB679" s="163" t="str">
        <f>+IF(Tabla2[[#This Row],[dias de credito]]&gt;=Tabla2[[#This Row],[PLAZO Días]],"venc", "No venc")</f>
        <v>venc</v>
      </c>
      <c r="AC679" s="163" t="str">
        <f>+IF(Tabla2[[#This Row],[FECHA DE PAGO]]&gt;0,"pagada","por pagar")</f>
        <v>pagada</v>
      </c>
      <c r="AD679" s="164" t="str">
        <f>+IF(AND(Tabla2[[#This Row],[venc]]="venc",Tabla2[[#This Row],[estado pago]]="por pagar"),"vencida","no")</f>
        <v>no</v>
      </c>
    </row>
    <row r="680" spans="1:30" ht="19.5" hidden="1" customHeight="1" x14ac:dyDescent="0.25">
      <c r="A680" s="8" t="s">
        <v>1850</v>
      </c>
      <c r="B680" s="8" t="s">
        <v>1851</v>
      </c>
      <c r="C680" s="8">
        <v>30</v>
      </c>
      <c r="D680" s="151">
        <v>0</v>
      </c>
      <c r="E680" s="151"/>
      <c r="F680" s="24">
        <v>0</v>
      </c>
      <c r="G680" s="30">
        <v>45194</v>
      </c>
      <c r="H680" s="81" t="s">
        <v>492</v>
      </c>
      <c r="I680" s="30">
        <v>45120</v>
      </c>
      <c r="J680" s="16">
        <v>461</v>
      </c>
      <c r="K680" s="9" t="s">
        <v>1530</v>
      </c>
      <c r="L680" s="9"/>
      <c r="M680" s="152">
        <v>780000</v>
      </c>
      <c r="N680" s="153">
        <v>0</v>
      </c>
      <c r="O680" s="152">
        <v>0</v>
      </c>
      <c r="P680" s="154">
        <v>0</v>
      </c>
      <c r="Q680" s="152">
        <v>0</v>
      </c>
      <c r="R680" s="9">
        <v>780000</v>
      </c>
      <c r="S680" s="21" t="s">
        <v>1846</v>
      </c>
      <c r="T680" s="117">
        <v>0</v>
      </c>
      <c r="U680" s="117">
        <v>0</v>
      </c>
      <c r="V680" s="117">
        <v>2023</v>
      </c>
      <c r="W680" s="117">
        <v>6</v>
      </c>
      <c r="X680" s="117">
        <v>0</v>
      </c>
      <c r="Y680" s="117">
        <v>0</v>
      </c>
      <c r="Z680" s="21" t="b">
        <v>0</v>
      </c>
      <c r="AA680" s="162">
        <f>+$AD$5-Tabla2[[#This Row],[FECHA DE FACTURACIÓN]]</f>
        <v>323</v>
      </c>
      <c r="AB680" s="163" t="str">
        <f>+IF(Tabla2[[#This Row],[dias de credito]]&gt;=Tabla2[[#This Row],[PLAZO Días]],"venc", "No venc")</f>
        <v>venc</v>
      </c>
      <c r="AC680" s="163" t="str">
        <f>+IF(Tabla2[[#This Row],[FECHA DE PAGO]]&gt;0,"pagada","por pagar")</f>
        <v>pagada</v>
      </c>
      <c r="AD680" s="164" t="str">
        <f>+IF(AND(Tabla2[[#This Row],[venc]]="venc",Tabla2[[#This Row],[estado pago]]="por pagar"),"vencida","no")</f>
        <v>no</v>
      </c>
    </row>
    <row r="681" spans="1:30" ht="19.5" hidden="1" customHeight="1" x14ac:dyDescent="0.25">
      <c r="A681" s="8" t="s">
        <v>1850</v>
      </c>
      <c r="B681" s="8" t="s">
        <v>1851</v>
      </c>
      <c r="C681" s="8">
        <v>30</v>
      </c>
      <c r="D681" s="151">
        <v>352000</v>
      </c>
      <c r="E681" s="151"/>
      <c r="F681" s="24" t="s">
        <v>84</v>
      </c>
      <c r="G681" s="30">
        <v>45194</v>
      </c>
      <c r="H681" s="81" t="s">
        <v>527</v>
      </c>
      <c r="I681" s="30">
        <v>45122</v>
      </c>
      <c r="J681" s="16">
        <v>59</v>
      </c>
      <c r="K681" s="9" t="s">
        <v>1530</v>
      </c>
      <c r="L681" s="9"/>
      <c r="M681" s="152">
        <v>78000</v>
      </c>
      <c r="N681" s="153">
        <v>0</v>
      </c>
      <c r="O681" s="152">
        <v>0</v>
      </c>
      <c r="P681" s="154">
        <v>0</v>
      </c>
      <c r="Q681" s="152">
        <v>0</v>
      </c>
      <c r="R681" s="9">
        <v>78000</v>
      </c>
      <c r="S681" s="21" t="s">
        <v>1846</v>
      </c>
      <c r="T681" s="117">
        <v>0</v>
      </c>
      <c r="U681" s="117">
        <v>0</v>
      </c>
      <c r="V681" s="117">
        <v>2023</v>
      </c>
      <c r="W681" s="117">
        <v>6</v>
      </c>
      <c r="X681" s="117">
        <v>0</v>
      </c>
      <c r="Y681" s="117">
        <v>0</v>
      </c>
      <c r="Z681" s="21" t="b">
        <v>0</v>
      </c>
      <c r="AA681" s="162">
        <f>+$AD$5-Tabla2[[#This Row],[FECHA DE FACTURACIÓN]]</f>
        <v>321</v>
      </c>
      <c r="AB681" s="163" t="str">
        <f>+IF(Tabla2[[#This Row],[dias de credito]]&gt;=Tabla2[[#This Row],[PLAZO Días]],"venc", "No venc")</f>
        <v>venc</v>
      </c>
      <c r="AC681" s="163" t="str">
        <f>+IF(Tabla2[[#This Row],[FECHA DE PAGO]]&gt;0,"pagada","por pagar")</f>
        <v>pagada</v>
      </c>
      <c r="AD681" s="164" t="str">
        <f>+IF(AND(Tabla2[[#This Row],[venc]]="venc",Tabla2[[#This Row],[estado pago]]="por pagar"),"vencida","no")</f>
        <v>no</v>
      </c>
    </row>
    <row r="682" spans="1:30" ht="19.5" hidden="1" customHeight="1" x14ac:dyDescent="0.25">
      <c r="A682" s="8" t="s">
        <v>1850</v>
      </c>
      <c r="B682" s="8" t="s">
        <v>1851</v>
      </c>
      <c r="C682" s="8">
        <v>30</v>
      </c>
      <c r="D682" s="151">
        <v>352000</v>
      </c>
      <c r="E682" s="151"/>
      <c r="F682" s="24" t="s">
        <v>84</v>
      </c>
      <c r="G682" s="30">
        <v>45194</v>
      </c>
      <c r="H682" s="81" t="s">
        <v>527</v>
      </c>
      <c r="I682" s="30">
        <v>45122</v>
      </c>
      <c r="J682" s="16">
        <v>60</v>
      </c>
      <c r="K682" s="9" t="s">
        <v>1530</v>
      </c>
      <c r="L682" s="9"/>
      <c r="M682" s="152">
        <v>227000</v>
      </c>
      <c r="N682" s="153">
        <v>0</v>
      </c>
      <c r="O682" s="152">
        <v>0</v>
      </c>
      <c r="P682" s="154">
        <v>0</v>
      </c>
      <c r="Q682" s="152">
        <v>0</v>
      </c>
      <c r="R682" s="9">
        <v>227000</v>
      </c>
      <c r="S682" s="21" t="s">
        <v>1846</v>
      </c>
      <c r="T682" s="117">
        <v>0</v>
      </c>
      <c r="U682" s="117">
        <v>0</v>
      </c>
      <c r="V682" s="117">
        <v>2023</v>
      </c>
      <c r="W682" s="117">
        <v>6</v>
      </c>
      <c r="X682" s="117">
        <v>0</v>
      </c>
      <c r="Y682" s="117">
        <v>0</v>
      </c>
      <c r="Z682" s="21" t="b">
        <v>0</v>
      </c>
      <c r="AA682" s="162">
        <f>+$AD$5-Tabla2[[#This Row],[FECHA DE FACTURACIÓN]]</f>
        <v>321</v>
      </c>
      <c r="AB682" s="163" t="str">
        <f>+IF(Tabla2[[#This Row],[dias de credito]]&gt;=Tabla2[[#This Row],[PLAZO Días]],"venc", "No venc")</f>
        <v>venc</v>
      </c>
      <c r="AC682" s="163" t="str">
        <f>+IF(Tabla2[[#This Row],[FECHA DE PAGO]]&gt;0,"pagada","por pagar")</f>
        <v>pagada</v>
      </c>
      <c r="AD682" s="164" t="str">
        <f>+IF(AND(Tabla2[[#This Row],[venc]]="venc",Tabla2[[#This Row],[estado pago]]="por pagar"),"vencida","no")</f>
        <v>no</v>
      </c>
    </row>
    <row r="683" spans="1:30" ht="19.5" hidden="1" customHeight="1" x14ac:dyDescent="0.25">
      <c r="A683" s="8" t="s">
        <v>1850</v>
      </c>
      <c r="B683" s="8" t="s">
        <v>1851</v>
      </c>
      <c r="C683" s="8">
        <v>30</v>
      </c>
      <c r="D683" s="151">
        <v>134000</v>
      </c>
      <c r="E683" s="151"/>
      <c r="F683" s="24" t="s">
        <v>192</v>
      </c>
      <c r="G683" s="30">
        <v>45194</v>
      </c>
      <c r="H683" s="81" t="s">
        <v>1808</v>
      </c>
      <c r="I683" s="30">
        <v>45124</v>
      </c>
      <c r="J683" s="16">
        <v>4272</v>
      </c>
      <c r="K683" s="9" t="s">
        <v>1530</v>
      </c>
      <c r="L683" s="9"/>
      <c r="M683" s="152">
        <v>703000</v>
      </c>
      <c r="N683" s="153">
        <v>0</v>
      </c>
      <c r="O683" s="152">
        <v>0</v>
      </c>
      <c r="P683" s="154">
        <v>0</v>
      </c>
      <c r="Q683" s="152">
        <v>0</v>
      </c>
      <c r="R683" s="9">
        <v>703000</v>
      </c>
      <c r="S683" s="21" t="s">
        <v>1846</v>
      </c>
      <c r="T683" s="117">
        <v>0</v>
      </c>
      <c r="U683" s="117">
        <v>0</v>
      </c>
      <c r="V683" s="117">
        <v>2023</v>
      </c>
      <c r="W683" s="117">
        <v>6</v>
      </c>
      <c r="X683" s="117">
        <v>0</v>
      </c>
      <c r="Y683" s="117">
        <v>0</v>
      </c>
      <c r="Z683" s="21" t="b">
        <v>0</v>
      </c>
      <c r="AA683" s="162">
        <f>+$AD$5-Tabla2[[#This Row],[FECHA DE FACTURACIÓN]]</f>
        <v>319</v>
      </c>
      <c r="AB683" s="163" t="str">
        <f>+IF(Tabla2[[#This Row],[dias de credito]]&gt;=Tabla2[[#This Row],[PLAZO Días]],"venc", "No venc")</f>
        <v>venc</v>
      </c>
      <c r="AC683" s="163" t="str">
        <f>+IF(Tabla2[[#This Row],[FECHA DE PAGO]]&gt;0,"pagada","por pagar")</f>
        <v>pagada</v>
      </c>
      <c r="AD683" s="164" t="str">
        <f>+IF(AND(Tabla2[[#This Row],[venc]]="venc",Tabla2[[#This Row],[estado pago]]="por pagar"),"vencida","no")</f>
        <v>no</v>
      </c>
    </row>
    <row r="684" spans="1:30" ht="19.5" hidden="1" customHeight="1" x14ac:dyDescent="0.25">
      <c r="A684" s="8" t="s">
        <v>1850</v>
      </c>
      <c r="B684" s="8" t="s">
        <v>1851</v>
      </c>
      <c r="C684" s="8">
        <v>30</v>
      </c>
      <c r="D684" s="151">
        <v>12628497</v>
      </c>
      <c r="E684" s="151"/>
      <c r="F684" s="24" t="s">
        <v>149</v>
      </c>
      <c r="G684" s="30">
        <v>45194</v>
      </c>
      <c r="H684" s="81" t="s">
        <v>451</v>
      </c>
      <c r="I684" s="30">
        <v>45124</v>
      </c>
      <c r="J684" s="16" t="s">
        <v>917</v>
      </c>
      <c r="K684" s="9" t="s">
        <v>1530</v>
      </c>
      <c r="L684" s="9"/>
      <c r="M684" s="152">
        <v>925000</v>
      </c>
      <c r="N684" s="153">
        <v>175750</v>
      </c>
      <c r="O684" s="152">
        <v>0</v>
      </c>
      <c r="P684" s="154">
        <v>0</v>
      </c>
      <c r="Q684" s="152">
        <v>0</v>
      </c>
      <c r="R684" s="9">
        <v>1100750</v>
      </c>
      <c r="S684" s="21" t="s">
        <v>1846</v>
      </c>
      <c r="T684" s="117">
        <v>0</v>
      </c>
      <c r="U684" s="117" t="s">
        <v>347</v>
      </c>
      <c r="V684" s="117">
        <v>2023</v>
      </c>
      <c r="W684" s="117">
        <v>6</v>
      </c>
      <c r="X684" s="117">
        <v>1145000</v>
      </c>
      <c r="Y684" s="117">
        <v>2.5000000000000001E-2</v>
      </c>
      <c r="Z684" s="21" t="b">
        <v>0</v>
      </c>
      <c r="AA684" s="162">
        <f>+$AD$5-Tabla2[[#This Row],[FECHA DE FACTURACIÓN]]</f>
        <v>319</v>
      </c>
      <c r="AB684" s="163" t="str">
        <f>+IF(Tabla2[[#This Row],[dias de credito]]&gt;=Tabla2[[#This Row],[PLAZO Días]],"venc", "No venc")</f>
        <v>venc</v>
      </c>
      <c r="AC684" s="163" t="str">
        <f>+IF(Tabla2[[#This Row],[FECHA DE PAGO]]&gt;0,"pagada","por pagar")</f>
        <v>pagada</v>
      </c>
      <c r="AD684" s="164" t="str">
        <f>+IF(AND(Tabla2[[#This Row],[venc]]="venc",Tabla2[[#This Row],[estado pago]]="por pagar"),"vencida","no")</f>
        <v>no</v>
      </c>
    </row>
    <row r="685" spans="1:30" ht="19.5" hidden="1" customHeight="1" x14ac:dyDescent="0.25">
      <c r="A685" s="8" t="s">
        <v>1850</v>
      </c>
      <c r="B685" s="8" t="s">
        <v>1851</v>
      </c>
      <c r="C685" s="8">
        <v>30</v>
      </c>
      <c r="D685" s="151">
        <v>12628497</v>
      </c>
      <c r="E685" s="151"/>
      <c r="F685" s="24" t="s">
        <v>149</v>
      </c>
      <c r="G685" s="30">
        <v>45194</v>
      </c>
      <c r="H685" s="81" t="s">
        <v>451</v>
      </c>
      <c r="I685" s="30">
        <v>45131</v>
      </c>
      <c r="J685" s="16" t="s">
        <v>916</v>
      </c>
      <c r="K685" s="9" t="s">
        <v>1530</v>
      </c>
      <c r="L685" s="9"/>
      <c r="M685" s="152">
        <v>3318355</v>
      </c>
      <c r="N685" s="153">
        <v>630487.44999999995</v>
      </c>
      <c r="O685" s="152">
        <v>0</v>
      </c>
      <c r="P685" s="154">
        <v>2.5000000000000001E-2</v>
      </c>
      <c r="Q685" s="152">
        <v>82958.875</v>
      </c>
      <c r="R685" s="9">
        <v>3865883.5750000002</v>
      </c>
      <c r="S685" s="21" t="s">
        <v>1846</v>
      </c>
      <c r="T685" s="117">
        <v>0</v>
      </c>
      <c r="U685" s="117" t="s">
        <v>347</v>
      </c>
      <c r="V685" s="117">
        <v>2023</v>
      </c>
      <c r="W685" s="117">
        <v>6</v>
      </c>
      <c r="X685" s="117">
        <v>1145000</v>
      </c>
      <c r="Y685" s="117">
        <v>2.5000000000000001E-2</v>
      </c>
      <c r="Z685" s="21" t="b">
        <v>0</v>
      </c>
      <c r="AA685" s="162">
        <f>+$AD$5-Tabla2[[#This Row],[FECHA DE FACTURACIÓN]]</f>
        <v>312</v>
      </c>
      <c r="AB685" s="163" t="str">
        <f>+IF(Tabla2[[#This Row],[dias de credito]]&gt;=Tabla2[[#This Row],[PLAZO Días]],"venc", "No venc")</f>
        <v>venc</v>
      </c>
      <c r="AC685" s="163" t="str">
        <f>+IF(Tabla2[[#This Row],[FECHA DE PAGO]]&gt;0,"pagada","por pagar")</f>
        <v>pagada</v>
      </c>
      <c r="AD685" s="164" t="str">
        <f>+IF(AND(Tabla2[[#This Row],[venc]]="venc",Tabla2[[#This Row],[estado pago]]="por pagar"),"vencida","no")</f>
        <v>no</v>
      </c>
    </row>
    <row r="686" spans="1:30" ht="19.5" hidden="1" customHeight="1" x14ac:dyDescent="0.25">
      <c r="A686" s="8" t="s">
        <v>1850</v>
      </c>
      <c r="B686" s="8" t="s">
        <v>1851</v>
      </c>
      <c r="C686" s="8">
        <v>30</v>
      </c>
      <c r="D686" s="151">
        <v>0</v>
      </c>
      <c r="E686" s="151"/>
      <c r="F686" s="24">
        <v>0</v>
      </c>
      <c r="G686" s="30">
        <v>45194</v>
      </c>
      <c r="H686" s="81" t="s">
        <v>492</v>
      </c>
      <c r="I686" s="30">
        <v>45134</v>
      </c>
      <c r="J686" s="16">
        <v>474</v>
      </c>
      <c r="K686" s="9" t="s">
        <v>1530</v>
      </c>
      <c r="L686" s="9"/>
      <c r="M686" s="152">
        <v>621600</v>
      </c>
      <c r="N686" s="153">
        <v>0</v>
      </c>
      <c r="O686" s="152">
        <v>0</v>
      </c>
      <c r="P686" s="154">
        <v>0</v>
      </c>
      <c r="Q686" s="152">
        <v>0</v>
      </c>
      <c r="R686" s="9">
        <v>621600</v>
      </c>
      <c r="S686" s="21" t="s">
        <v>1846</v>
      </c>
      <c r="T686" s="117">
        <v>0</v>
      </c>
      <c r="U686" s="117">
        <v>0</v>
      </c>
      <c r="V686" s="117">
        <v>2023</v>
      </c>
      <c r="W686" s="117">
        <v>6</v>
      </c>
      <c r="X686" s="117">
        <v>0</v>
      </c>
      <c r="Y686" s="117">
        <v>0</v>
      </c>
      <c r="Z686" s="21" t="b">
        <v>0</v>
      </c>
      <c r="AA686" s="162">
        <f>+$AD$5-Tabla2[[#This Row],[FECHA DE FACTURACIÓN]]</f>
        <v>309</v>
      </c>
      <c r="AB686" s="163" t="str">
        <f>+IF(Tabla2[[#This Row],[dias de credito]]&gt;=Tabla2[[#This Row],[PLAZO Días]],"venc", "No venc")</f>
        <v>venc</v>
      </c>
      <c r="AC686" s="163" t="str">
        <f>+IF(Tabla2[[#This Row],[FECHA DE PAGO]]&gt;0,"pagada","por pagar")</f>
        <v>pagada</v>
      </c>
      <c r="AD686" s="164" t="str">
        <f>+IF(AND(Tabla2[[#This Row],[venc]]="venc",Tabla2[[#This Row],[estado pago]]="por pagar"),"vencida","no")</f>
        <v>no</v>
      </c>
    </row>
    <row r="687" spans="1:30" ht="19.5" hidden="1" customHeight="1" x14ac:dyDescent="0.25">
      <c r="A687" s="8" t="s">
        <v>1850</v>
      </c>
      <c r="B687" s="8" t="s">
        <v>1851</v>
      </c>
      <c r="C687" s="8">
        <v>30</v>
      </c>
      <c r="D687" s="151">
        <v>12628497</v>
      </c>
      <c r="E687" s="151"/>
      <c r="F687" s="24" t="s">
        <v>149</v>
      </c>
      <c r="G687" s="30">
        <v>45194</v>
      </c>
      <c r="H687" s="81" t="s">
        <v>451</v>
      </c>
      <c r="I687" s="30">
        <v>45136</v>
      </c>
      <c r="J687" s="16" t="s">
        <v>949</v>
      </c>
      <c r="K687" s="9" t="s">
        <v>1530</v>
      </c>
      <c r="L687" s="9"/>
      <c r="M687" s="152">
        <v>225600</v>
      </c>
      <c r="N687" s="153">
        <v>42864</v>
      </c>
      <c r="O687" s="152">
        <v>0</v>
      </c>
      <c r="P687" s="154">
        <v>0</v>
      </c>
      <c r="Q687" s="152">
        <v>0</v>
      </c>
      <c r="R687" s="9">
        <v>268464</v>
      </c>
      <c r="S687" s="21" t="s">
        <v>1846</v>
      </c>
      <c r="T687" s="117">
        <v>0</v>
      </c>
      <c r="U687" s="117" t="s">
        <v>347</v>
      </c>
      <c r="V687" s="117">
        <v>2023</v>
      </c>
      <c r="W687" s="117">
        <v>6</v>
      </c>
      <c r="X687" s="117">
        <v>1145000</v>
      </c>
      <c r="Y687" s="117">
        <v>2.5000000000000001E-2</v>
      </c>
      <c r="Z687" s="21" t="b">
        <v>0</v>
      </c>
      <c r="AA687" s="162">
        <f>+$AD$5-Tabla2[[#This Row],[FECHA DE FACTURACIÓN]]</f>
        <v>307</v>
      </c>
      <c r="AB687" s="163" t="str">
        <f>+IF(Tabla2[[#This Row],[dias de credito]]&gt;=Tabla2[[#This Row],[PLAZO Días]],"venc", "No venc")</f>
        <v>venc</v>
      </c>
      <c r="AC687" s="163" t="str">
        <f>+IF(Tabla2[[#This Row],[FECHA DE PAGO]]&gt;0,"pagada","por pagar")</f>
        <v>pagada</v>
      </c>
      <c r="AD687" s="164" t="str">
        <f>+IF(AND(Tabla2[[#This Row],[venc]]="venc",Tabla2[[#This Row],[estado pago]]="por pagar"),"vencida","no")</f>
        <v>no</v>
      </c>
    </row>
    <row r="688" spans="1:30" ht="19.5" hidden="1" customHeight="1" x14ac:dyDescent="0.25">
      <c r="A688" s="8" t="s">
        <v>1850</v>
      </c>
      <c r="B688" s="8" t="s">
        <v>1851</v>
      </c>
      <c r="C688" s="8">
        <v>30</v>
      </c>
      <c r="D688" s="151">
        <v>352000</v>
      </c>
      <c r="E688" s="151"/>
      <c r="F688" s="24" t="s">
        <v>84</v>
      </c>
      <c r="G688" s="30">
        <v>45194</v>
      </c>
      <c r="H688" s="81" t="s">
        <v>527</v>
      </c>
      <c r="I688" s="30">
        <v>45140</v>
      </c>
      <c r="J688" s="16">
        <v>61</v>
      </c>
      <c r="K688" s="9" t="s">
        <v>1530</v>
      </c>
      <c r="L688" s="9"/>
      <c r="M688" s="152">
        <v>75000</v>
      </c>
      <c r="N688" s="153">
        <v>0</v>
      </c>
      <c r="O688" s="152">
        <v>0</v>
      </c>
      <c r="P688" s="154">
        <v>0</v>
      </c>
      <c r="Q688" s="152">
        <v>0</v>
      </c>
      <c r="R688" s="9">
        <v>75000</v>
      </c>
      <c r="S688" s="21" t="s">
        <v>1846</v>
      </c>
      <c r="T688" s="117">
        <v>0</v>
      </c>
      <c r="U688" s="117">
        <v>0</v>
      </c>
      <c r="V688" s="117">
        <v>2023</v>
      </c>
      <c r="W688" s="117">
        <v>6</v>
      </c>
      <c r="X688" s="117">
        <v>0</v>
      </c>
      <c r="Y688" s="117">
        <v>0</v>
      </c>
      <c r="Z688" s="21" t="b">
        <v>0</v>
      </c>
      <c r="AA688" s="162">
        <f>+$AD$5-Tabla2[[#This Row],[FECHA DE FACTURACIÓN]]</f>
        <v>303</v>
      </c>
      <c r="AB688" s="163" t="str">
        <f>+IF(Tabla2[[#This Row],[dias de credito]]&gt;=Tabla2[[#This Row],[PLAZO Días]],"venc", "No venc")</f>
        <v>venc</v>
      </c>
      <c r="AC688" s="163" t="str">
        <f>+IF(Tabla2[[#This Row],[FECHA DE PAGO]]&gt;0,"pagada","por pagar")</f>
        <v>pagada</v>
      </c>
      <c r="AD688" s="164" t="str">
        <f>+IF(AND(Tabla2[[#This Row],[venc]]="venc",Tabla2[[#This Row],[estado pago]]="por pagar"),"vencida","no")</f>
        <v>no</v>
      </c>
    </row>
    <row r="689" spans="1:30" ht="19.5" hidden="1" customHeight="1" x14ac:dyDescent="0.25">
      <c r="A689" s="8" t="s">
        <v>1850</v>
      </c>
      <c r="B689" s="8" t="s">
        <v>1851</v>
      </c>
      <c r="C689" s="8">
        <v>30</v>
      </c>
      <c r="D689" s="151">
        <v>12628497</v>
      </c>
      <c r="E689" s="151"/>
      <c r="F689" s="24" t="s">
        <v>149</v>
      </c>
      <c r="G689" s="30">
        <v>45194</v>
      </c>
      <c r="H689" s="81" t="s">
        <v>451</v>
      </c>
      <c r="I689" s="30">
        <v>45141</v>
      </c>
      <c r="J689" s="16" t="s">
        <v>955</v>
      </c>
      <c r="K689" s="9" t="s">
        <v>1530</v>
      </c>
      <c r="L689" s="9"/>
      <c r="M689" s="152">
        <v>4116710</v>
      </c>
      <c r="N689" s="153">
        <v>782174.9</v>
      </c>
      <c r="O689" s="152">
        <v>0</v>
      </c>
      <c r="P689" s="154">
        <v>2.5000000000000001E-2</v>
      </c>
      <c r="Q689" s="152">
        <v>102917.75</v>
      </c>
      <c r="R689" s="9">
        <v>4795967.1500000004</v>
      </c>
      <c r="S689" s="21" t="s">
        <v>1846</v>
      </c>
      <c r="T689" s="117">
        <v>0</v>
      </c>
      <c r="U689" s="117" t="s">
        <v>347</v>
      </c>
      <c r="V689" s="117">
        <v>2023</v>
      </c>
      <c r="W689" s="117">
        <v>6</v>
      </c>
      <c r="X689" s="117">
        <v>1145000</v>
      </c>
      <c r="Y689" s="117">
        <v>2.5000000000000001E-2</v>
      </c>
      <c r="Z689" s="21" t="b">
        <v>0</v>
      </c>
      <c r="AA689" s="162">
        <f>+$AD$5-Tabla2[[#This Row],[FECHA DE FACTURACIÓN]]</f>
        <v>302</v>
      </c>
      <c r="AB689" s="163" t="str">
        <f>+IF(Tabla2[[#This Row],[dias de credito]]&gt;=Tabla2[[#This Row],[PLAZO Días]],"venc", "No venc")</f>
        <v>venc</v>
      </c>
      <c r="AC689" s="163" t="str">
        <f>+IF(Tabla2[[#This Row],[FECHA DE PAGO]]&gt;0,"pagada","por pagar")</f>
        <v>pagada</v>
      </c>
      <c r="AD689" s="164" t="str">
        <f>+IF(AND(Tabla2[[#This Row],[venc]]="venc",Tabla2[[#This Row],[estado pago]]="por pagar"),"vencida","no")</f>
        <v>no</v>
      </c>
    </row>
    <row r="690" spans="1:30" ht="19.5" hidden="1" customHeight="1" x14ac:dyDescent="0.25">
      <c r="A690" s="8" t="s">
        <v>1850</v>
      </c>
      <c r="B690" s="8" t="s">
        <v>1851</v>
      </c>
      <c r="C690" s="8">
        <v>30</v>
      </c>
      <c r="D690" s="151">
        <v>134000</v>
      </c>
      <c r="E690" s="151"/>
      <c r="F690" s="24" t="s">
        <v>192</v>
      </c>
      <c r="G690" s="30">
        <v>45194</v>
      </c>
      <c r="H690" s="81" t="s">
        <v>1808</v>
      </c>
      <c r="I690" s="30">
        <v>45142</v>
      </c>
      <c r="J690" s="16">
        <v>4307</v>
      </c>
      <c r="K690" s="9" t="s">
        <v>1530</v>
      </c>
      <c r="L690" s="9"/>
      <c r="M690" s="152">
        <v>413100</v>
      </c>
      <c r="N690" s="153">
        <v>0</v>
      </c>
      <c r="O690" s="152">
        <v>0</v>
      </c>
      <c r="P690" s="154">
        <v>0</v>
      </c>
      <c r="Q690" s="152">
        <v>0</v>
      </c>
      <c r="R690" s="9">
        <v>413100</v>
      </c>
      <c r="S690" s="21" t="s">
        <v>1846</v>
      </c>
      <c r="T690" s="117">
        <v>0</v>
      </c>
      <c r="U690" s="117">
        <v>0</v>
      </c>
      <c r="V690" s="117">
        <v>2023</v>
      </c>
      <c r="W690" s="117">
        <v>6</v>
      </c>
      <c r="X690" s="117">
        <v>0</v>
      </c>
      <c r="Y690" s="117">
        <v>0</v>
      </c>
      <c r="Z690" s="21" t="b">
        <v>0</v>
      </c>
      <c r="AA690" s="162">
        <f>+$AD$5-Tabla2[[#This Row],[FECHA DE FACTURACIÓN]]</f>
        <v>301</v>
      </c>
      <c r="AB690" s="163" t="str">
        <f>+IF(Tabla2[[#This Row],[dias de credito]]&gt;=Tabla2[[#This Row],[PLAZO Días]],"venc", "No venc")</f>
        <v>venc</v>
      </c>
      <c r="AC690" s="163" t="str">
        <f>+IF(Tabla2[[#This Row],[FECHA DE PAGO]]&gt;0,"pagada","por pagar")</f>
        <v>pagada</v>
      </c>
      <c r="AD690" s="164" t="str">
        <f>+IF(AND(Tabla2[[#This Row],[venc]]="venc",Tabla2[[#This Row],[estado pago]]="por pagar"),"vencida","no")</f>
        <v>no</v>
      </c>
    </row>
    <row r="691" spans="1:30" ht="19.5" hidden="1" customHeight="1" x14ac:dyDescent="0.25">
      <c r="A691" s="8" t="s">
        <v>1850</v>
      </c>
      <c r="B691" s="8" t="s">
        <v>1851</v>
      </c>
      <c r="C691" s="8">
        <v>30</v>
      </c>
      <c r="D691" s="151">
        <v>352000</v>
      </c>
      <c r="E691" s="151"/>
      <c r="F691" s="24" t="s">
        <v>84</v>
      </c>
      <c r="G691" s="30">
        <v>45194</v>
      </c>
      <c r="H691" s="81" t="s">
        <v>527</v>
      </c>
      <c r="I691" s="30">
        <v>45142</v>
      </c>
      <c r="J691" s="16">
        <v>62</v>
      </c>
      <c r="K691" s="9" t="s">
        <v>1530</v>
      </c>
      <c r="L691" s="9"/>
      <c r="M691" s="152">
        <v>50000</v>
      </c>
      <c r="N691" s="153">
        <v>0</v>
      </c>
      <c r="O691" s="152">
        <v>0</v>
      </c>
      <c r="P691" s="154">
        <v>0</v>
      </c>
      <c r="Q691" s="152">
        <v>0</v>
      </c>
      <c r="R691" s="9">
        <v>50000</v>
      </c>
      <c r="S691" s="21" t="s">
        <v>1846</v>
      </c>
      <c r="T691" s="117">
        <v>0</v>
      </c>
      <c r="U691" s="117">
        <v>0</v>
      </c>
      <c r="V691" s="117">
        <v>2023</v>
      </c>
      <c r="W691" s="117">
        <v>6</v>
      </c>
      <c r="X691" s="117">
        <v>0</v>
      </c>
      <c r="Y691" s="117">
        <v>0</v>
      </c>
      <c r="Z691" s="21" t="b">
        <v>0</v>
      </c>
      <c r="AA691" s="162">
        <f>+$AD$5-Tabla2[[#This Row],[FECHA DE FACTURACIÓN]]</f>
        <v>301</v>
      </c>
      <c r="AB691" s="163" t="str">
        <f>+IF(Tabla2[[#This Row],[dias de credito]]&gt;=Tabla2[[#This Row],[PLAZO Días]],"venc", "No venc")</f>
        <v>venc</v>
      </c>
      <c r="AC691" s="163" t="str">
        <f>+IF(Tabla2[[#This Row],[FECHA DE PAGO]]&gt;0,"pagada","por pagar")</f>
        <v>pagada</v>
      </c>
      <c r="AD691" s="164" t="str">
        <f>+IF(AND(Tabla2[[#This Row],[venc]]="venc",Tabla2[[#This Row],[estado pago]]="por pagar"),"vencida","no")</f>
        <v>no</v>
      </c>
    </row>
    <row r="692" spans="1:30" ht="19.5" hidden="1" customHeight="1" x14ac:dyDescent="0.25">
      <c r="A692" s="8" t="s">
        <v>1850</v>
      </c>
      <c r="B692" s="8" t="s">
        <v>1851</v>
      </c>
      <c r="C692" s="8">
        <v>30</v>
      </c>
      <c r="D692" s="151">
        <v>352000</v>
      </c>
      <c r="E692" s="151"/>
      <c r="F692" s="24" t="s">
        <v>84</v>
      </c>
      <c r="G692" s="30">
        <v>45194</v>
      </c>
      <c r="H692" s="81" t="s">
        <v>527</v>
      </c>
      <c r="I692" s="30">
        <v>45144</v>
      </c>
      <c r="J692" s="16">
        <v>63</v>
      </c>
      <c r="K692" s="9" t="s">
        <v>1530</v>
      </c>
      <c r="L692" s="9"/>
      <c r="M692" s="152">
        <v>49000</v>
      </c>
      <c r="N692" s="153">
        <v>0</v>
      </c>
      <c r="O692" s="152">
        <v>0</v>
      </c>
      <c r="P692" s="154">
        <v>0</v>
      </c>
      <c r="Q692" s="152">
        <v>0</v>
      </c>
      <c r="R692" s="9">
        <v>49000</v>
      </c>
      <c r="S692" s="21" t="s">
        <v>1846</v>
      </c>
      <c r="T692" s="117">
        <v>0</v>
      </c>
      <c r="U692" s="117">
        <v>0</v>
      </c>
      <c r="V692" s="117">
        <v>2023</v>
      </c>
      <c r="W692" s="117">
        <v>6</v>
      </c>
      <c r="X692" s="117">
        <v>0</v>
      </c>
      <c r="Y692" s="117">
        <v>0</v>
      </c>
      <c r="Z692" s="21" t="b">
        <v>0</v>
      </c>
      <c r="AA692" s="162">
        <f>+$AD$5-Tabla2[[#This Row],[FECHA DE FACTURACIÓN]]</f>
        <v>299</v>
      </c>
      <c r="AB692" s="163" t="str">
        <f>+IF(Tabla2[[#This Row],[dias de credito]]&gt;=Tabla2[[#This Row],[PLAZO Días]],"venc", "No venc")</f>
        <v>venc</v>
      </c>
      <c r="AC692" s="163" t="str">
        <f>+IF(Tabla2[[#This Row],[FECHA DE PAGO]]&gt;0,"pagada","por pagar")</f>
        <v>pagada</v>
      </c>
      <c r="AD692" s="164" t="str">
        <f>+IF(AND(Tabla2[[#This Row],[venc]]="venc",Tabla2[[#This Row],[estado pago]]="por pagar"),"vencida","no")</f>
        <v>no</v>
      </c>
    </row>
    <row r="693" spans="1:30" ht="19.5" hidden="1" customHeight="1" x14ac:dyDescent="0.25">
      <c r="A693" s="8" t="s">
        <v>1850</v>
      </c>
      <c r="B693" s="8" t="s">
        <v>1851</v>
      </c>
      <c r="C693" s="8">
        <v>30</v>
      </c>
      <c r="D693" s="151">
        <v>352000</v>
      </c>
      <c r="E693" s="151"/>
      <c r="F693" s="24" t="s">
        <v>84</v>
      </c>
      <c r="G693" s="30">
        <v>45194</v>
      </c>
      <c r="H693" s="81" t="s">
        <v>527</v>
      </c>
      <c r="I693" s="30">
        <v>45149</v>
      </c>
      <c r="J693" s="16">
        <v>64</v>
      </c>
      <c r="K693" s="9" t="s">
        <v>1530</v>
      </c>
      <c r="L693" s="9"/>
      <c r="M693" s="152">
        <v>34000</v>
      </c>
      <c r="N693" s="153">
        <v>0</v>
      </c>
      <c r="O693" s="152">
        <v>0</v>
      </c>
      <c r="P693" s="154">
        <v>0</v>
      </c>
      <c r="Q693" s="152">
        <v>0</v>
      </c>
      <c r="R693" s="9">
        <v>34000</v>
      </c>
      <c r="S693" s="21" t="s">
        <v>1846</v>
      </c>
      <c r="T693" s="117">
        <v>0</v>
      </c>
      <c r="U693" s="117">
        <v>0</v>
      </c>
      <c r="V693" s="117">
        <v>2023</v>
      </c>
      <c r="W693" s="117">
        <v>6</v>
      </c>
      <c r="X693" s="117">
        <v>0</v>
      </c>
      <c r="Y693" s="117">
        <v>0</v>
      </c>
      <c r="Z693" s="21" t="b">
        <v>0</v>
      </c>
      <c r="AA693" s="162">
        <f>+$AD$5-Tabla2[[#This Row],[FECHA DE FACTURACIÓN]]</f>
        <v>294</v>
      </c>
      <c r="AB693" s="163" t="str">
        <f>+IF(Tabla2[[#This Row],[dias de credito]]&gt;=Tabla2[[#This Row],[PLAZO Días]],"venc", "No venc")</f>
        <v>venc</v>
      </c>
      <c r="AC693" s="163" t="str">
        <f>+IF(Tabla2[[#This Row],[FECHA DE PAGO]]&gt;0,"pagada","por pagar")</f>
        <v>pagada</v>
      </c>
      <c r="AD693" s="164" t="str">
        <f>+IF(AND(Tabla2[[#This Row],[venc]]="venc",Tabla2[[#This Row],[estado pago]]="por pagar"),"vencida","no")</f>
        <v>no</v>
      </c>
    </row>
    <row r="694" spans="1:30" ht="19.5" hidden="1" customHeight="1" x14ac:dyDescent="0.25">
      <c r="A694" s="8" t="s">
        <v>1850</v>
      </c>
      <c r="B694" s="8" t="s">
        <v>1851</v>
      </c>
      <c r="C694" s="8">
        <v>30</v>
      </c>
      <c r="D694" s="151">
        <v>352000</v>
      </c>
      <c r="E694" s="151"/>
      <c r="F694" s="24" t="s">
        <v>84</v>
      </c>
      <c r="G694" s="30">
        <v>45194</v>
      </c>
      <c r="H694" s="81" t="s">
        <v>527</v>
      </c>
      <c r="I694" s="30">
        <v>45153</v>
      </c>
      <c r="J694" s="16">
        <v>65</v>
      </c>
      <c r="K694" s="9" t="s">
        <v>1530</v>
      </c>
      <c r="L694" s="9"/>
      <c r="M694" s="152">
        <v>74000</v>
      </c>
      <c r="N694" s="153">
        <v>0</v>
      </c>
      <c r="O694" s="152">
        <v>0</v>
      </c>
      <c r="P694" s="154">
        <v>0</v>
      </c>
      <c r="Q694" s="152">
        <v>0</v>
      </c>
      <c r="R694" s="9">
        <v>74000</v>
      </c>
      <c r="S694" s="21" t="s">
        <v>1846</v>
      </c>
      <c r="T694" s="117">
        <v>0</v>
      </c>
      <c r="U694" s="117">
        <v>0</v>
      </c>
      <c r="V694" s="117">
        <v>2023</v>
      </c>
      <c r="W694" s="117">
        <v>6</v>
      </c>
      <c r="X694" s="117">
        <v>0</v>
      </c>
      <c r="Y694" s="117">
        <v>0</v>
      </c>
      <c r="Z694" s="21" t="b">
        <v>0</v>
      </c>
      <c r="AA694" s="162">
        <f>+$AD$5-Tabla2[[#This Row],[FECHA DE FACTURACIÓN]]</f>
        <v>290</v>
      </c>
      <c r="AB694" s="163" t="str">
        <f>+IF(Tabla2[[#This Row],[dias de credito]]&gt;=Tabla2[[#This Row],[PLAZO Días]],"venc", "No venc")</f>
        <v>venc</v>
      </c>
      <c r="AC694" s="163" t="str">
        <f>+IF(Tabla2[[#This Row],[FECHA DE PAGO]]&gt;0,"pagada","por pagar")</f>
        <v>pagada</v>
      </c>
      <c r="AD694" s="164" t="str">
        <f>+IF(AND(Tabla2[[#This Row],[venc]]="venc",Tabla2[[#This Row],[estado pago]]="por pagar"),"vencida","no")</f>
        <v>no</v>
      </c>
    </row>
    <row r="695" spans="1:30" ht="19.5" hidden="1" customHeight="1" x14ac:dyDescent="0.25">
      <c r="A695" s="8" t="s">
        <v>1850</v>
      </c>
      <c r="B695" s="8" t="s">
        <v>1851</v>
      </c>
      <c r="C695" s="8">
        <v>30</v>
      </c>
      <c r="D695" s="151">
        <v>134000</v>
      </c>
      <c r="E695" s="151"/>
      <c r="F695" s="24" t="s">
        <v>192</v>
      </c>
      <c r="G695" s="30">
        <v>45194</v>
      </c>
      <c r="H695" s="81" t="s">
        <v>1808</v>
      </c>
      <c r="I695" s="30">
        <v>45154</v>
      </c>
      <c r="J695" s="16">
        <v>4327</v>
      </c>
      <c r="K695" s="9" t="s">
        <v>1530</v>
      </c>
      <c r="L695" s="9"/>
      <c r="M695" s="152">
        <v>200000</v>
      </c>
      <c r="N695" s="153">
        <v>0</v>
      </c>
      <c r="O695" s="152">
        <v>0</v>
      </c>
      <c r="P695" s="154">
        <v>0</v>
      </c>
      <c r="Q695" s="152">
        <v>0</v>
      </c>
      <c r="R695" s="9">
        <v>200000</v>
      </c>
      <c r="S695" s="21" t="s">
        <v>1846</v>
      </c>
      <c r="T695" s="117">
        <v>0</v>
      </c>
      <c r="U695" s="117">
        <v>0</v>
      </c>
      <c r="V695" s="117">
        <v>2023</v>
      </c>
      <c r="W695" s="117">
        <v>6</v>
      </c>
      <c r="X695" s="117">
        <v>0</v>
      </c>
      <c r="Y695" s="117">
        <v>0</v>
      </c>
      <c r="Z695" s="21" t="b">
        <v>0</v>
      </c>
      <c r="AA695" s="162">
        <f>+$AD$5-Tabla2[[#This Row],[FECHA DE FACTURACIÓN]]</f>
        <v>289</v>
      </c>
      <c r="AB695" s="163" t="str">
        <f>+IF(Tabla2[[#This Row],[dias de credito]]&gt;=Tabla2[[#This Row],[PLAZO Días]],"venc", "No venc")</f>
        <v>venc</v>
      </c>
      <c r="AC695" s="163" t="str">
        <f>+IF(Tabla2[[#This Row],[FECHA DE PAGO]]&gt;0,"pagada","por pagar")</f>
        <v>pagada</v>
      </c>
      <c r="AD695" s="164" t="str">
        <f>+IF(AND(Tabla2[[#This Row],[venc]]="venc",Tabla2[[#This Row],[estado pago]]="por pagar"),"vencida","no")</f>
        <v>no</v>
      </c>
    </row>
    <row r="696" spans="1:30" ht="19.5" hidden="1" customHeight="1" x14ac:dyDescent="0.25">
      <c r="A696" s="8" t="s">
        <v>1850</v>
      </c>
      <c r="B696" s="8" t="s">
        <v>1851</v>
      </c>
      <c r="C696" s="8">
        <v>30</v>
      </c>
      <c r="D696" s="151">
        <v>0</v>
      </c>
      <c r="E696" s="151"/>
      <c r="F696" s="24">
        <v>0</v>
      </c>
      <c r="G696" s="30">
        <v>45194</v>
      </c>
      <c r="H696" s="81" t="s">
        <v>492</v>
      </c>
      <c r="I696" s="30">
        <v>45155</v>
      </c>
      <c r="J696" s="16">
        <v>491</v>
      </c>
      <c r="K696" s="9" t="s">
        <v>1530</v>
      </c>
      <c r="L696" s="9"/>
      <c r="M696" s="152">
        <v>300000</v>
      </c>
      <c r="N696" s="153">
        <v>0</v>
      </c>
      <c r="O696" s="152">
        <v>0</v>
      </c>
      <c r="P696" s="154">
        <v>0</v>
      </c>
      <c r="Q696" s="152">
        <v>0</v>
      </c>
      <c r="R696" s="9">
        <v>300000</v>
      </c>
      <c r="S696" s="21" t="s">
        <v>1846</v>
      </c>
      <c r="T696" s="117">
        <v>0</v>
      </c>
      <c r="U696" s="117">
        <v>0</v>
      </c>
      <c r="V696" s="117">
        <v>2023</v>
      </c>
      <c r="W696" s="117">
        <v>6</v>
      </c>
      <c r="X696" s="117">
        <v>0</v>
      </c>
      <c r="Y696" s="117">
        <v>0</v>
      </c>
      <c r="Z696" s="21" t="b">
        <v>0</v>
      </c>
      <c r="AA696" s="162">
        <f>+$AD$5-Tabla2[[#This Row],[FECHA DE FACTURACIÓN]]</f>
        <v>288</v>
      </c>
      <c r="AB696" s="163" t="str">
        <f>+IF(Tabla2[[#This Row],[dias de credito]]&gt;=Tabla2[[#This Row],[PLAZO Días]],"venc", "No venc")</f>
        <v>venc</v>
      </c>
      <c r="AC696" s="163" t="str">
        <f>+IF(Tabla2[[#This Row],[FECHA DE PAGO]]&gt;0,"pagada","por pagar")</f>
        <v>pagada</v>
      </c>
      <c r="AD696" s="164" t="str">
        <f>+IF(AND(Tabla2[[#This Row],[venc]]="venc",Tabla2[[#This Row],[estado pago]]="por pagar"),"vencida","no")</f>
        <v>no</v>
      </c>
    </row>
    <row r="697" spans="1:30" ht="19.5" hidden="1" customHeight="1" x14ac:dyDescent="0.25">
      <c r="A697" s="8" t="s">
        <v>1850</v>
      </c>
      <c r="B697" s="8" t="s">
        <v>1851</v>
      </c>
      <c r="C697" s="8">
        <v>30</v>
      </c>
      <c r="D697" s="151">
        <v>352000</v>
      </c>
      <c r="E697" s="151"/>
      <c r="F697" s="24" t="s">
        <v>84</v>
      </c>
      <c r="G697" s="30">
        <v>45194</v>
      </c>
      <c r="H697" s="81" t="s">
        <v>527</v>
      </c>
      <c r="I697" s="30">
        <v>45160</v>
      </c>
      <c r="J697" s="16">
        <v>66</v>
      </c>
      <c r="K697" s="9" t="s">
        <v>1530</v>
      </c>
      <c r="L697" s="9"/>
      <c r="M697" s="152">
        <v>20000</v>
      </c>
      <c r="N697" s="153">
        <v>0</v>
      </c>
      <c r="O697" s="152">
        <v>0</v>
      </c>
      <c r="P697" s="154">
        <v>0</v>
      </c>
      <c r="Q697" s="152">
        <v>0</v>
      </c>
      <c r="R697" s="9">
        <v>20000</v>
      </c>
      <c r="S697" s="21" t="s">
        <v>1846</v>
      </c>
      <c r="T697" s="117">
        <v>0</v>
      </c>
      <c r="U697" s="117">
        <v>0</v>
      </c>
      <c r="V697" s="117">
        <v>2023</v>
      </c>
      <c r="W697" s="117">
        <v>6</v>
      </c>
      <c r="X697" s="117">
        <v>0</v>
      </c>
      <c r="Y697" s="117">
        <v>0</v>
      </c>
      <c r="Z697" s="21" t="b">
        <v>0</v>
      </c>
      <c r="AA697" s="162">
        <f>+$AD$5-Tabla2[[#This Row],[FECHA DE FACTURACIÓN]]</f>
        <v>283</v>
      </c>
      <c r="AB697" s="163" t="str">
        <f>+IF(Tabla2[[#This Row],[dias de credito]]&gt;=Tabla2[[#This Row],[PLAZO Días]],"venc", "No venc")</f>
        <v>venc</v>
      </c>
      <c r="AC697" s="163" t="str">
        <f>+IF(Tabla2[[#This Row],[FECHA DE PAGO]]&gt;0,"pagada","por pagar")</f>
        <v>pagada</v>
      </c>
      <c r="AD697" s="164" t="str">
        <f>+IF(AND(Tabla2[[#This Row],[venc]]="venc",Tabla2[[#This Row],[estado pago]]="por pagar"),"vencida","no")</f>
        <v>no</v>
      </c>
    </row>
    <row r="698" spans="1:30" ht="19.5" hidden="1" customHeight="1" x14ac:dyDescent="0.25">
      <c r="A698" s="8" t="s">
        <v>1850</v>
      </c>
      <c r="B698" s="8" t="s">
        <v>1851</v>
      </c>
      <c r="C698" s="8">
        <v>30</v>
      </c>
      <c r="D698" s="151">
        <v>8456975.129999999</v>
      </c>
      <c r="E698" s="151"/>
      <c r="F698" s="24" t="s">
        <v>1476</v>
      </c>
      <c r="G698" s="30">
        <v>45194</v>
      </c>
      <c r="H698" s="81" t="s">
        <v>1464</v>
      </c>
      <c r="I698" s="30">
        <v>45162</v>
      </c>
      <c r="J698" s="16" t="s">
        <v>999</v>
      </c>
      <c r="K698" s="9" t="s">
        <v>1530</v>
      </c>
      <c r="L698" s="9"/>
      <c r="M698" s="152">
        <v>1877600</v>
      </c>
      <c r="N698" s="153">
        <v>356744</v>
      </c>
      <c r="O698" s="152">
        <v>0</v>
      </c>
      <c r="P698" s="154">
        <v>2.5000000000000001E-2</v>
      </c>
      <c r="Q698" s="152">
        <v>46940</v>
      </c>
      <c r="R698" s="9">
        <v>2187404</v>
      </c>
      <c r="S698" s="21" t="s">
        <v>1846</v>
      </c>
      <c r="T698" s="117">
        <v>0</v>
      </c>
      <c r="U698" s="117" t="s">
        <v>347</v>
      </c>
      <c r="V698" s="117">
        <v>2023</v>
      </c>
      <c r="W698" s="117">
        <v>6</v>
      </c>
      <c r="X698" s="117">
        <v>1145000</v>
      </c>
      <c r="Y698" s="117">
        <v>2.5000000000000001E-2</v>
      </c>
      <c r="Z698" s="21" t="b">
        <v>0</v>
      </c>
      <c r="AA698" s="162">
        <f>+$AD$5-Tabla2[[#This Row],[FECHA DE FACTURACIÓN]]</f>
        <v>281</v>
      </c>
      <c r="AB698" s="163" t="str">
        <f>+IF(Tabla2[[#This Row],[dias de credito]]&gt;=Tabla2[[#This Row],[PLAZO Días]],"venc", "No venc")</f>
        <v>venc</v>
      </c>
      <c r="AC698" s="163" t="str">
        <f>+IF(Tabla2[[#This Row],[FECHA DE PAGO]]&gt;0,"pagada","por pagar")</f>
        <v>pagada</v>
      </c>
      <c r="AD698" s="164" t="str">
        <f>+IF(AND(Tabla2[[#This Row],[venc]]="venc",Tabla2[[#This Row],[estado pago]]="por pagar"),"vencida","no")</f>
        <v>no</v>
      </c>
    </row>
    <row r="699" spans="1:30" ht="19.5" hidden="1" customHeight="1" x14ac:dyDescent="0.25">
      <c r="A699" s="8" t="s">
        <v>1850</v>
      </c>
      <c r="B699" s="8" t="b">
        <v>0</v>
      </c>
      <c r="C699" s="8">
        <v>30</v>
      </c>
      <c r="D699" s="151">
        <v>352000</v>
      </c>
      <c r="E699" s="151"/>
      <c r="F699" s="24" t="s">
        <v>84</v>
      </c>
      <c r="G699" s="30">
        <v>45194</v>
      </c>
      <c r="H699" s="81" t="s">
        <v>527</v>
      </c>
      <c r="I699" s="30">
        <v>45166</v>
      </c>
      <c r="J699" s="16">
        <v>67</v>
      </c>
      <c r="K699" s="9" t="s">
        <v>1530</v>
      </c>
      <c r="L699" s="9"/>
      <c r="M699" s="152">
        <v>22000</v>
      </c>
      <c r="N699" s="153">
        <v>0</v>
      </c>
      <c r="O699" s="152">
        <v>0</v>
      </c>
      <c r="P699" s="154">
        <v>0</v>
      </c>
      <c r="Q699" s="152">
        <v>0</v>
      </c>
      <c r="R699" s="9">
        <v>22000</v>
      </c>
      <c r="S699" s="21" t="s">
        <v>1846</v>
      </c>
      <c r="T699" s="117">
        <v>0</v>
      </c>
      <c r="U699" s="117">
        <v>0</v>
      </c>
      <c r="V699" s="117">
        <v>2023</v>
      </c>
      <c r="W699" s="117">
        <v>6</v>
      </c>
      <c r="X699" s="117">
        <v>0</v>
      </c>
      <c r="Y699" s="117">
        <v>0</v>
      </c>
      <c r="Z699" s="21" t="b">
        <v>0</v>
      </c>
      <c r="AA699" s="162">
        <f>+$AD$5-Tabla2[[#This Row],[FECHA DE FACTURACIÓN]]</f>
        <v>277</v>
      </c>
      <c r="AB699" s="163" t="str">
        <f>+IF(Tabla2[[#This Row],[dias de credito]]&gt;=Tabla2[[#This Row],[PLAZO Días]],"venc", "No venc")</f>
        <v>venc</v>
      </c>
      <c r="AC699" s="163" t="str">
        <f>+IF(Tabla2[[#This Row],[FECHA DE PAGO]]&gt;0,"pagada","por pagar")</f>
        <v>pagada</v>
      </c>
      <c r="AD699" s="164" t="str">
        <f>+IF(AND(Tabla2[[#This Row],[venc]]="venc",Tabla2[[#This Row],[estado pago]]="por pagar"),"vencida","no")</f>
        <v>no</v>
      </c>
    </row>
    <row r="700" spans="1:30" ht="19.5" hidden="1" customHeight="1" x14ac:dyDescent="0.25">
      <c r="A700" s="8" t="s">
        <v>1850</v>
      </c>
      <c r="B700" s="8" t="b">
        <v>0</v>
      </c>
      <c r="C700" s="8">
        <v>30</v>
      </c>
      <c r="D700" s="151">
        <v>352000</v>
      </c>
      <c r="E700" s="151"/>
      <c r="F700" s="24" t="s">
        <v>84</v>
      </c>
      <c r="G700" s="30">
        <v>45194</v>
      </c>
      <c r="H700" s="81" t="s">
        <v>527</v>
      </c>
      <c r="I700" s="30">
        <v>45168</v>
      </c>
      <c r="J700" s="16">
        <v>68</v>
      </c>
      <c r="K700" s="9" t="s">
        <v>1530</v>
      </c>
      <c r="L700" s="9"/>
      <c r="M700" s="152">
        <v>66000</v>
      </c>
      <c r="N700" s="153">
        <v>0</v>
      </c>
      <c r="O700" s="152">
        <v>0</v>
      </c>
      <c r="P700" s="154">
        <v>0</v>
      </c>
      <c r="Q700" s="152">
        <v>0</v>
      </c>
      <c r="R700" s="9">
        <v>66000</v>
      </c>
      <c r="S700" s="21" t="s">
        <v>1846</v>
      </c>
      <c r="T700" s="117">
        <v>0</v>
      </c>
      <c r="U700" s="117">
        <v>0</v>
      </c>
      <c r="V700" s="117">
        <v>2023</v>
      </c>
      <c r="W700" s="117">
        <v>6</v>
      </c>
      <c r="X700" s="117">
        <v>0</v>
      </c>
      <c r="Y700" s="117">
        <v>0</v>
      </c>
      <c r="Z700" s="21" t="b">
        <v>0</v>
      </c>
      <c r="AA700" s="162">
        <f>+$AD$5-Tabla2[[#This Row],[FECHA DE FACTURACIÓN]]</f>
        <v>275</v>
      </c>
      <c r="AB700" s="163" t="str">
        <f>+IF(Tabla2[[#This Row],[dias de credito]]&gt;=Tabla2[[#This Row],[PLAZO Días]],"venc", "No venc")</f>
        <v>venc</v>
      </c>
      <c r="AC700" s="163" t="str">
        <f>+IF(Tabla2[[#This Row],[FECHA DE PAGO]]&gt;0,"pagada","por pagar")</f>
        <v>pagada</v>
      </c>
      <c r="AD700" s="164" t="str">
        <f>+IF(AND(Tabla2[[#This Row],[venc]]="venc",Tabla2[[#This Row],[estado pago]]="por pagar"),"vencida","no")</f>
        <v>no</v>
      </c>
    </row>
    <row r="701" spans="1:30" ht="19.5" hidden="1" customHeight="1" x14ac:dyDescent="0.25">
      <c r="A701" s="8" t="s">
        <v>1850</v>
      </c>
      <c r="B701" s="8" t="b">
        <v>0</v>
      </c>
      <c r="C701" s="8">
        <v>30</v>
      </c>
      <c r="D701" s="151">
        <v>0</v>
      </c>
      <c r="E701" s="151"/>
      <c r="F701" s="24" t="s">
        <v>414</v>
      </c>
      <c r="G701" s="30">
        <v>45194</v>
      </c>
      <c r="H701" s="81" t="s">
        <v>382</v>
      </c>
      <c r="I701" s="30">
        <v>45170</v>
      </c>
      <c r="J701" s="16" t="s">
        <v>1050</v>
      </c>
      <c r="K701" s="9" t="s">
        <v>1530</v>
      </c>
      <c r="L701" s="9"/>
      <c r="M701" s="152">
        <v>914023</v>
      </c>
      <c r="N701" s="153">
        <v>0</v>
      </c>
      <c r="O701" s="152">
        <v>0</v>
      </c>
      <c r="P701" s="154">
        <v>0</v>
      </c>
      <c r="Q701" s="152">
        <v>0</v>
      </c>
      <c r="R701" s="9">
        <v>914023</v>
      </c>
      <c r="S701" s="21" t="s">
        <v>1846</v>
      </c>
      <c r="T701" s="117">
        <v>0</v>
      </c>
      <c r="U701" s="117">
        <v>0</v>
      </c>
      <c r="V701" s="117">
        <v>2023</v>
      </c>
      <c r="W701" s="117">
        <v>6</v>
      </c>
      <c r="X701" s="117">
        <v>0</v>
      </c>
      <c r="Y701" s="117">
        <v>0</v>
      </c>
      <c r="Z701" s="21" t="b">
        <v>1</v>
      </c>
      <c r="AA701" s="162">
        <f>+$AD$5-Tabla2[[#This Row],[FECHA DE FACTURACIÓN]]</f>
        <v>273</v>
      </c>
      <c r="AB701" s="163" t="str">
        <f>+IF(Tabla2[[#This Row],[dias de credito]]&gt;=Tabla2[[#This Row],[PLAZO Días]],"venc", "No venc")</f>
        <v>venc</v>
      </c>
      <c r="AC701" s="163" t="str">
        <f>+IF(Tabla2[[#This Row],[FECHA DE PAGO]]&gt;0,"pagada","por pagar")</f>
        <v>pagada</v>
      </c>
      <c r="AD701" s="164" t="str">
        <f>+IF(AND(Tabla2[[#This Row],[venc]]="venc",Tabla2[[#This Row],[estado pago]]="por pagar"),"vencida","no")</f>
        <v>no</v>
      </c>
    </row>
    <row r="702" spans="1:30" ht="19.5" hidden="1" customHeight="1" x14ac:dyDescent="0.25">
      <c r="A702" s="8" t="s">
        <v>1850</v>
      </c>
      <c r="B702" s="8" t="b">
        <v>0</v>
      </c>
      <c r="C702" s="8">
        <v>30</v>
      </c>
      <c r="D702" s="151">
        <v>0</v>
      </c>
      <c r="E702" s="151"/>
      <c r="F702" s="24" t="s">
        <v>414</v>
      </c>
      <c r="G702" s="30">
        <v>45194</v>
      </c>
      <c r="H702" s="81" t="s">
        <v>382</v>
      </c>
      <c r="I702" s="30">
        <v>45170</v>
      </c>
      <c r="J702" s="16" t="s">
        <v>1051</v>
      </c>
      <c r="K702" s="9" t="s">
        <v>1530</v>
      </c>
      <c r="L702" s="9"/>
      <c r="M702" s="152">
        <v>934363</v>
      </c>
      <c r="N702" s="153">
        <v>0</v>
      </c>
      <c r="O702" s="152">
        <v>0</v>
      </c>
      <c r="P702" s="154">
        <v>0</v>
      </c>
      <c r="Q702" s="152">
        <v>0</v>
      </c>
      <c r="R702" s="9">
        <v>934363</v>
      </c>
      <c r="S702" s="21" t="s">
        <v>1846</v>
      </c>
      <c r="T702" s="117">
        <v>0</v>
      </c>
      <c r="U702" s="117">
        <v>0</v>
      </c>
      <c r="V702" s="117">
        <v>2023</v>
      </c>
      <c r="W702" s="117">
        <v>6</v>
      </c>
      <c r="X702" s="117">
        <v>0</v>
      </c>
      <c r="Y702" s="117">
        <v>0</v>
      </c>
      <c r="Z702" s="21" t="b">
        <v>1</v>
      </c>
      <c r="AA702" s="162">
        <f>+$AD$5-Tabla2[[#This Row],[FECHA DE FACTURACIÓN]]</f>
        <v>273</v>
      </c>
      <c r="AB702" s="163" t="str">
        <f>+IF(Tabla2[[#This Row],[dias de credito]]&gt;=Tabla2[[#This Row],[PLAZO Días]],"venc", "No venc")</f>
        <v>venc</v>
      </c>
      <c r="AC702" s="163" t="str">
        <f>+IF(Tabla2[[#This Row],[FECHA DE PAGO]]&gt;0,"pagada","por pagar")</f>
        <v>pagada</v>
      </c>
      <c r="AD702" s="164" t="str">
        <f>+IF(AND(Tabla2[[#This Row],[venc]]="venc",Tabla2[[#This Row],[estado pago]]="por pagar"),"vencida","no")</f>
        <v>no</v>
      </c>
    </row>
    <row r="703" spans="1:30" ht="19.5" hidden="1" customHeight="1" x14ac:dyDescent="0.25">
      <c r="A703" s="8" t="s">
        <v>1850</v>
      </c>
      <c r="B703" s="8" t="s">
        <v>1851</v>
      </c>
      <c r="C703" s="8">
        <v>10</v>
      </c>
      <c r="D703" s="151">
        <v>0</v>
      </c>
      <c r="E703" s="151"/>
      <c r="F703" s="24" t="s">
        <v>483</v>
      </c>
      <c r="G703" s="30">
        <v>45194</v>
      </c>
      <c r="H703" s="81" t="s">
        <v>482</v>
      </c>
      <c r="I703" s="30">
        <v>45170</v>
      </c>
      <c r="J703" s="16" t="s">
        <v>1049</v>
      </c>
      <c r="K703" s="9" t="s">
        <v>1530</v>
      </c>
      <c r="L703" s="9"/>
      <c r="M703" s="152">
        <v>5350576</v>
      </c>
      <c r="N703" s="153">
        <v>1016609.4400000001</v>
      </c>
      <c r="O703" s="152">
        <v>0</v>
      </c>
      <c r="P703" s="154">
        <v>0</v>
      </c>
      <c r="Q703" s="152">
        <v>0</v>
      </c>
      <c r="R703" s="9">
        <v>6367185.4400000004</v>
      </c>
      <c r="S703" s="21" t="s">
        <v>1846</v>
      </c>
      <c r="T703" s="117">
        <v>0</v>
      </c>
      <c r="U703" s="117">
        <v>0</v>
      </c>
      <c r="V703" s="117">
        <v>2023</v>
      </c>
      <c r="W703" s="117">
        <v>6</v>
      </c>
      <c r="X703" s="117">
        <v>0</v>
      </c>
      <c r="Y703" s="117">
        <v>0</v>
      </c>
      <c r="Z703" s="21" t="b">
        <v>1</v>
      </c>
      <c r="AA703" s="162">
        <f>+$AD$5-Tabla2[[#This Row],[FECHA DE FACTURACIÓN]]</f>
        <v>273</v>
      </c>
      <c r="AB703" s="163" t="str">
        <f>+IF(Tabla2[[#This Row],[dias de credito]]&gt;=Tabla2[[#This Row],[PLAZO Días]],"venc", "No venc")</f>
        <v>venc</v>
      </c>
      <c r="AC703" s="163" t="str">
        <f>+IF(Tabla2[[#This Row],[FECHA DE PAGO]]&gt;0,"pagada","por pagar")</f>
        <v>pagada</v>
      </c>
      <c r="AD703" s="164" t="str">
        <f>+IF(AND(Tabla2[[#This Row],[venc]]="venc",Tabla2[[#This Row],[estado pago]]="por pagar"),"vencida","no")</f>
        <v>no</v>
      </c>
    </row>
    <row r="704" spans="1:30" ht="19.5" hidden="1" customHeight="1" x14ac:dyDescent="0.25">
      <c r="A704" s="8" t="s">
        <v>1850</v>
      </c>
      <c r="B704" s="8" t="b">
        <v>0</v>
      </c>
      <c r="C704" s="8">
        <v>30</v>
      </c>
      <c r="D704" s="151">
        <v>0</v>
      </c>
      <c r="E704" s="151"/>
      <c r="F704" s="24" t="s">
        <v>206</v>
      </c>
      <c r="G704" s="30">
        <v>45194</v>
      </c>
      <c r="H704" s="81" t="s">
        <v>380</v>
      </c>
      <c r="I704" s="30">
        <v>45179</v>
      </c>
      <c r="J704" s="16" t="s">
        <v>1048</v>
      </c>
      <c r="K704" s="9" t="s">
        <v>1530</v>
      </c>
      <c r="L704" s="9"/>
      <c r="M704" s="152">
        <v>3456200</v>
      </c>
      <c r="N704" s="153">
        <v>0</v>
      </c>
      <c r="O704" s="152">
        <v>0</v>
      </c>
      <c r="P704" s="154">
        <v>3.5000000000000003E-2</v>
      </c>
      <c r="Q704" s="152">
        <v>120967.00000000001</v>
      </c>
      <c r="R704" s="9">
        <v>3335233</v>
      </c>
      <c r="S704" s="21" t="s">
        <v>1846</v>
      </c>
      <c r="T704" s="117">
        <v>0</v>
      </c>
      <c r="U704" s="117" t="s">
        <v>348</v>
      </c>
      <c r="V704" s="117">
        <v>2023</v>
      </c>
      <c r="W704" s="117">
        <v>6</v>
      </c>
      <c r="X704" s="117">
        <v>0</v>
      </c>
      <c r="Y704" s="117">
        <v>3.5000000000000003E-2</v>
      </c>
      <c r="Z704" s="21" t="b">
        <v>1</v>
      </c>
      <c r="AA704" s="162">
        <f>+$AD$5-Tabla2[[#This Row],[FECHA DE FACTURACIÓN]]</f>
        <v>264</v>
      </c>
      <c r="AB704" s="163" t="str">
        <f>+IF(Tabla2[[#This Row],[dias de credito]]&gt;=Tabla2[[#This Row],[PLAZO Días]],"venc", "No venc")</f>
        <v>venc</v>
      </c>
      <c r="AC704" s="163" t="str">
        <f>+IF(Tabla2[[#This Row],[FECHA DE PAGO]]&gt;0,"pagada","por pagar")</f>
        <v>pagada</v>
      </c>
      <c r="AD704" s="164" t="str">
        <f>+IF(AND(Tabla2[[#This Row],[venc]]="venc",Tabla2[[#This Row],[estado pago]]="por pagar"),"vencida","no")</f>
        <v>no</v>
      </c>
    </row>
    <row r="705" spans="1:30" ht="19.5" hidden="1" customHeight="1" x14ac:dyDescent="0.25">
      <c r="A705" s="8" t="s">
        <v>1852</v>
      </c>
      <c r="B705" s="8" t="b">
        <v>0</v>
      </c>
      <c r="C705" s="8">
        <v>30</v>
      </c>
      <c r="D705" s="151">
        <v>0</v>
      </c>
      <c r="E705" s="151"/>
      <c r="F705" s="24" t="s">
        <v>1497</v>
      </c>
      <c r="G705" s="30">
        <v>45194</v>
      </c>
      <c r="H705" s="81" t="s">
        <v>1865</v>
      </c>
      <c r="I705" s="30">
        <v>45194</v>
      </c>
      <c r="J705" s="16" t="s">
        <v>1079</v>
      </c>
      <c r="K705" s="9" t="s">
        <v>1530</v>
      </c>
      <c r="L705" s="9"/>
      <c r="M705" s="152">
        <v>2299649</v>
      </c>
      <c r="N705" s="153">
        <v>0</v>
      </c>
      <c r="O705" s="152">
        <v>0</v>
      </c>
      <c r="P705" s="154">
        <v>0</v>
      </c>
      <c r="Q705" s="152">
        <v>0</v>
      </c>
      <c r="R705" s="9">
        <v>2299649</v>
      </c>
      <c r="S705" s="21" t="s">
        <v>1846</v>
      </c>
      <c r="T705" s="117">
        <v>0</v>
      </c>
      <c r="U705" s="117">
        <v>0</v>
      </c>
      <c r="V705" s="117">
        <v>2023</v>
      </c>
      <c r="W705" s="117">
        <v>6</v>
      </c>
      <c r="X705" s="117">
        <v>0</v>
      </c>
      <c r="Y705" s="117">
        <v>0</v>
      </c>
      <c r="Z705" s="21" t="b">
        <v>0</v>
      </c>
      <c r="AA705" s="162">
        <f>+$AD$5-Tabla2[[#This Row],[FECHA DE FACTURACIÓN]]</f>
        <v>249</v>
      </c>
      <c r="AB705" s="163" t="str">
        <f>+IF(Tabla2[[#This Row],[dias de credito]]&gt;=Tabla2[[#This Row],[PLAZO Días]],"venc", "No venc")</f>
        <v>venc</v>
      </c>
      <c r="AC705" s="163" t="str">
        <f>+IF(Tabla2[[#This Row],[FECHA DE PAGO]]&gt;0,"pagada","por pagar")</f>
        <v>pagada</v>
      </c>
      <c r="AD705" s="164" t="str">
        <f>+IF(AND(Tabla2[[#This Row],[venc]]="venc",Tabla2[[#This Row],[estado pago]]="por pagar"),"vencida","no")</f>
        <v>no</v>
      </c>
    </row>
    <row r="706" spans="1:30" ht="19.5" hidden="1" customHeight="1" x14ac:dyDescent="0.25">
      <c r="A706" s="8" t="s">
        <v>1850</v>
      </c>
      <c r="B706" s="8" t="s">
        <v>1851</v>
      </c>
      <c r="C706" s="8">
        <v>30</v>
      </c>
      <c r="D706" s="151">
        <v>2028306.6264000002</v>
      </c>
      <c r="E706" s="151"/>
      <c r="F706" s="24" t="s">
        <v>1475</v>
      </c>
      <c r="G706" s="30">
        <v>45195</v>
      </c>
      <c r="H706" s="81" t="s">
        <v>218</v>
      </c>
      <c r="I706" s="30">
        <v>45132</v>
      </c>
      <c r="J706" s="16" t="s">
        <v>937</v>
      </c>
      <c r="K706" s="9" t="s">
        <v>1530</v>
      </c>
      <c r="L706" s="9"/>
      <c r="M706" s="152">
        <v>887394</v>
      </c>
      <c r="N706" s="153">
        <v>168604.86000000002</v>
      </c>
      <c r="O706" s="152">
        <v>0</v>
      </c>
      <c r="P706" s="154">
        <v>0</v>
      </c>
      <c r="Q706" s="152">
        <v>0</v>
      </c>
      <c r="R706" s="9">
        <v>1055998.8600000001</v>
      </c>
      <c r="S706" s="21" t="s">
        <v>1846</v>
      </c>
      <c r="T706" s="117">
        <v>0</v>
      </c>
      <c r="U706" s="117" t="s">
        <v>347</v>
      </c>
      <c r="V706" s="117">
        <v>2023</v>
      </c>
      <c r="W706" s="117">
        <v>6</v>
      </c>
      <c r="X706" s="117">
        <v>1145000</v>
      </c>
      <c r="Y706" s="117">
        <v>2.5000000000000001E-2</v>
      </c>
      <c r="Z706" s="21" t="b">
        <v>0</v>
      </c>
      <c r="AA706" s="162">
        <f>+$AD$5-Tabla2[[#This Row],[FECHA DE FACTURACIÓN]]</f>
        <v>311</v>
      </c>
      <c r="AB706" s="163" t="str">
        <f>+IF(Tabla2[[#This Row],[dias de credito]]&gt;=Tabla2[[#This Row],[PLAZO Días]],"venc", "No venc")</f>
        <v>venc</v>
      </c>
      <c r="AC706" s="163" t="str">
        <f>+IF(Tabla2[[#This Row],[FECHA DE PAGO]]&gt;0,"pagada","por pagar")</f>
        <v>pagada</v>
      </c>
      <c r="AD706" s="164" t="str">
        <f>+IF(AND(Tabla2[[#This Row],[venc]]="venc",Tabla2[[#This Row],[estado pago]]="por pagar"),"vencida","no")</f>
        <v>no</v>
      </c>
    </row>
    <row r="707" spans="1:30" ht="19.5" hidden="1" customHeight="1" x14ac:dyDescent="0.25">
      <c r="A707" s="8" t="s">
        <v>1850</v>
      </c>
      <c r="B707" s="8" t="s">
        <v>1851</v>
      </c>
      <c r="C707" s="8">
        <v>30</v>
      </c>
      <c r="D707" s="151">
        <v>0</v>
      </c>
      <c r="E707" s="151"/>
      <c r="F707" s="24" t="s">
        <v>227</v>
      </c>
      <c r="G707" s="30">
        <v>45195</v>
      </c>
      <c r="H707" s="81" t="s">
        <v>360</v>
      </c>
      <c r="I707" s="30">
        <v>45134</v>
      </c>
      <c r="J707" s="16" t="s">
        <v>954</v>
      </c>
      <c r="K707" s="9" t="s">
        <v>1530</v>
      </c>
      <c r="L707" s="9"/>
      <c r="M707" s="152">
        <v>2187560</v>
      </c>
      <c r="N707" s="153">
        <v>415636.4</v>
      </c>
      <c r="O707" s="152">
        <v>0</v>
      </c>
      <c r="P707" s="154">
        <v>0</v>
      </c>
      <c r="Q707" s="152">
        <v>0</v>
      </c>
      <c r="R707" s="9">
        <v>2603196.4</v>
      </c>
      <c r="S707" s="21" t="s">
        <v>1846</v>
      </c>
      <c r="T707" s="117">
        <v>0</v>
      </c>
      <c r="U707" s="117">
        <v>0</v>
      </c>
      <c r="V707" s="117">
        <v>2023</v>
      </c>
      <c r="W707" s="117">
        <v>6</v>
      </c>
      <c r="X707" s="117">
        <v>0</v>
      </c>
      <c r="Y707" s="117">
        <v>0</v>
      </c>
      <c r="Z707" s="21" t="b">
        <v>1</v>
      </c>
      <c r="AA707" s="162">
        <f>+$AD$5-Tabla2[[#This Row],[FECHA DE FACTURACIÓN]]</f>
        <v>309</v>
      </c>
      <c r="AB707" s="163" t="str">
        <f>+IF(Tabla2[[#This Row],[dias de credito]]&gt;=Tabla2[[#This Row],[PLAZO Días]],"venc", "No venc")</f>
        <v>venc</v>
      </c>
      <c r="AC707" s="163" t="str">
        <f>+IF(Tabla2[[#This Row],[FECHA DE PAGO]]&gt;0,"pagada","por pagar")</f>
        <v>pagada</v>
      </c>
      <c r="AD707" s="164" t="str">
        <f>+IF(AND(Tabla2[[#This Row],[venc]]="venc",Tabla2[[#This Row],[estado pago]]="por pagar"),"vencida","no")</f>
        <v>no</v>
      </c>
    </row>
    <row r="708" spans="1:30" ht="19.5" hidden="1" customHeight="1" x14ac:dyDescent="0.25">
      <c r="A708" s="8" t="s">
        <v>1852</v>
      </c>
      <c r="B708" s="8" t="b">
        <v>0</v>
      </c>
      <c r="C708" s="8">
        <v>30</v>
      </c>
      <c r="D708" s="151">
        <v>0</v>
      </c>
      <c r="E708" s="151"/>
      <c r="F708" s="24" t="s">
        <v>84</v>
      </c>
      <c r="G708" s="30">
        <v>45195</v>
      </c>
      <c r="H708" s="81" t="s">
        <v>1821</v>
      </c>
      <c r="I708" s="30">
        <v>45195</v>
      </c>
      <c r="J708" s="16" t="s">
        <v>1102</v>
      </c>
      <c r="K708" s="9" t="s">
        <v>1530</v>
      </c>
      <c r="L708" s="9"/>
      <c r="M708" s="152">
        <v>320000</v>
      </c>
      <c r="N708" s="153">
        <v>0</v>
      </c>
      <c r="O708" s="152">
        <v>0</v>
      </c>
      <c r="P708" s="154">
        <v>0</v>
      </c>
      <c r="Q708" s="152">
        <v>0</v>
      </c>
      <c r="R708" s="9">
        <v>320000</v>
      </c>
      <c r="S708" s="21" t="s">
        <v>1846</v>
      </c>
      <c r="T708" s="117">
        <v>0</v>
      </c>
      <c r="U708" s="117">
        <v>0</v>
      </c>
      <c r="V708" s="117">
        <v>2023</v>
      </c>
      <c r="W708" s="117">
        <v>6</v>
      </c>
      <c r="X708" s="117">
        <v>0</v>
      </c>
      <c r="Y708" s="117">
        <v>0</v>
      </c>
      <c r="Z708" s="21" t="b">
        <v>0</v>
      </c>
      <c r="AA708" s="162">
        <f>+$AD$5-Tabla2[[#This Row],[FECHA DE FACTURACIÓN]]</f>
        <v>248</v>
      </c>
      <c r="AB708" s="163" t="str">
        <f>+IF(Tabla2[[#This Row],[dias de credito]]&gt;=Tabla2[[#This Row],[PLAZO Días]],"venc", "No venc")</f>
        <v>venc</v>
      </c>
      <c r="AC708" s="163" t="str">
        <f>+IF(Tabla2[[#This Row],[FECHA DE PAGO]]&gt;0,"pagada","por pagar")</f>
        <v>pagada</v>
      </c>
      <c r="AD708" s="164" t="str">
        <f>+IF(AND(Tabla2[[#This Row],[venc]]="venc",Tabla2[[#This Row],[estado pago]]="por pagar"),"vencida","no")</f>
        <v>no</v>
      </c>
    </row>
    <row r="709" spans="1:30" ht="19.5" hidden="1" customHeight="1" x14ac:dyDescent="0.25">
      <c r="A709" s="8" t="s">
        <v>1852</v>
      </c>
      <c r="B709" s="8" t="b">
        <v>0</v>
      </c>
      <c r="C709" s="8">
        <v>30</v>
      </c>
      <c r="D709" s="151">
        <v>0</v>
      </c>
      <c r="E709" s="151"/>
      <c r="F709" s="24" t="s">
        <v>84</v>
      </c>
      <c r="G709" s="30">
        <v>45195</v>
      </c>
      <c r="H709" s="81" t="s">
        <v>525</v>
      </c>
      <c r="I709" s="30">
        <v>45195</v>
      </c>
      <c r="J709" s="16" t="s">
        <v>1103</v>
      </c>
      <c r="K709" s="9" t="s">
        <v>1530</v>
      </c>
      <c r="L709" s="9"/>
      <c r="M709" s="152">
        <v>708000</v>
      </c>
      <c r="N709" s="153">
        <v>0</v>
      </c>
      <c r="O709" s="152">
        <v>0</v>
      </c>
      <c r="P709" s="154">
        <v>0</v>
      </c>
      <c r="Q709" s="152">
        <v>0</v>
      </c>
      <c r="R709" s="9">
        <v>708000</v>
      </c>
      <c r="S709" s="21" t="s">
        <v>1846</v>
      </c>
      <c r="T709" s="117">
        <v>0</v>
      </c>
      <c r="U709" s="117">
        <v>0</v>
      </c>
      <c r="V709" s="117">
        <v>2023</v>
      </c>
      <c r="W709" s="117">
        <v>6</v>
      </c>
      <c r="X709" s="117">
        <v>0</v>
      </c>
      <c r="Y709" s="117">
        <v>0</v>
      </c>
      <c r="Z709" s="21" t="b">
        <v>0</v>
      </c>
      <c r="AA709" s="162">
        <f>+$AD$5-Tabla2[[#This Row],[FECHA DE FACTURACIÓN]]</f>
        <v>248</v>
      </c>
      <c r="AB709" s="163" t="str">
        <f>+IF(Tabla2[[#This Row],[dias de credito]]&gt;=Tabla2[[#This Row],[PLAZO Días]],"venc", "No venc")</f>
        <v>venc</v>
      </c>
      <c r="AC709" s="163" t="str">
        <f>+IF(Tabla2[[#This Row],[FECHA DE PAGO]]&gt;0,"pagada","por pagar")</f>
        <v>pagada</v>
      </c>
      <c r="AD709" s="164" t="str">
        <f>+IF(AND(Tabla2[[#This Row],[venc]]="venc",Tabla2[[#This Row],[estado pago]]="por pagar"),"vencida","no")</f>
        <v>no</v>
      </c>
    </row>
    <row r="710" spans="1:30" ht="19.5" hidden="1" customHeight="1" x14ac:dyDescent="0.25">
      <c r="A710" s="8" t="s">
        <v>1850</v>
      </c>
      <c r="B710" s="8" t="s">
        <v>1851</v>
      </c>
      <c r="C710" s="8">
        <v>45</v>
      </c>
      <c r="D710" s="151">
        <v>22186260.039999999</v>
      </c>
      <c r="E710" s="151"/>
      <c r="F710" s="24" t="s">
        <v>357</v>
      </c>
      <c r="G710" s="30">
        <v>45197</v>
      </c>
      <c r="H710" s="81" t="s">
        <v>19</v>
      </c>
      <c r="I710" s="30">
        <v>45142</v>
      </c>
      <c r="J710" s="16" t="s">
        <v>972</v>
      </c>
      <c r="K710" s="9" t="s">
        <v>1530</v>
      </c>
      <c r="L710" s="9"/>
      <c r="M710" s="152">
        <v>7543977</v>
      </c>
      <c r="N710" s="153">
        <v>1433355.6300000001</v>
      </c>
      <c r="O710" s="152">
        <v>0</v>
      </c>
      <c r="P710" s="154">
        <v>0</v>
      </c>
      <c r="Q710" s="152">
        <v>0</v>
      </c>
      <c r="R710" s="9">
        <v>8977332.6300000008</v>
      </c>
      <c r="S710" s="21" t="s">
        <v>1846</v>
      </c>
      <c r="T710" s="117">
        <v>0</v>
      </c>
      <c r="U710" s="117">
        <v>0</v>
      </c>
      <c r="V710" s="117">
        <v>2023</v>
      </c>
      <c r="W710" s="117">
        <v>6</v>
      </c>
      <c r="X710" s="117">
        <v>0</v>
      </c>
      <c r="Y710" s="117">
        <v>0</v>
      </c>
      <c r="Z710" s="21" t="b">
        <v>0</v>
      </c>
      <c r="AA710" s="162">
        <f>+$AD$5-Tabla2[[#This Row],[FECHA DE FACTURACIÓN]]</f>
        <v>301</v>
      </c>
      <c r="AB710" s="163" t="str">
        <f>+IF(Tabla2[[#This Row],[dias de credito]]&gt;=Tabla2[[#This Row],[PLAZO Días]],"venc", "No venc")</f>
        <v>venc</v>
      </c>
      <c r="AC710" s="163" t="str">
        <f>+IF(Tabla2[[#This Row],[FECHA DE PAGO]]&gt;0,"pagada","por pagar")</f>
        <v>pagada</v>
      </c>
      <c r="AD710" s="164" t="str">
        <f>+IF(AND(Tabla2[[#This Row],[venc]]="venc",Tabla2[[#This Row],[estado pago]]="por pagar"),"vencida","no")</f>
        <v>no</v>
      </c>
    </row>
    <row r="711" spans="1:30" ht="19.5" hidden="1" customHeight="1" x14ac:dyDescent="0.25">
      <c r="A711" s="8" t="s">
        <v>1850</v>
      </c>
      <c r="B711" s="8" t="s">
        <v>1851</v>
      </c>
      <c r="C711" s="8">
        <v>45</v>
      </c>
      <c r="D711" s="151">
        <v>22186260.039999999</v>
      </c>
      <c r="E711" s="151"/>
      <c r="F711" s="24" t="s">
        <v>357</v>
      </c>
      <c r="G711" s="30">
        <v>45197</v>
      </c>
      <c r="H711" s="81" t="s">
        <v>19</v>
      </c>
      <c r="I711" s="30">
        <v>45146</v>
      </c>
      <c r="J711" s="16" t="s">
        <v>971</v>
      </c>
      <c r="K711" s="9" t="s">
        <v>1530</v>
      </c>
      <c r="L711" s="9"/>
      <c r="M711" s="152">
        <v>4162770</v>
      </c>
      <c r="N711" s="153">
        <v>790926.3</v>
      </c>
      <c r="O711" s="152">
        <v>0</v>
      </c>
      <c r="P711" s="154">
        <v>0</v>
      </c>
      <c r="Q711" s="152">
        <v>0</v>
      </c>
      <c r="R711" s="9">
        <v>4953696.3</v>
      </c>
      <c r="S711" s="21" t="s">
        <v>1846</v>
      </c>
      <c r="T711" s="117">
        <v>0</v>
      </c>
      <c r="U711" s="117">
        <v>0</v>
      </c>
      <c r="V711" s="117">
        <v>2023</v>
      </c>
      <c r="W711" s="117">
        <v>6</v>
      </c>
      <c r="X711" s="117">
        <v>0</v>
      </c>
      <c r="Y711" s="117">
        <v>0</v>
      </c>
      <c r="Z711" s="21" t="b">
        <v>0</v>
      </c>
      <c r="AA711" s="162">
        <f>+$AD$5-Tabla2[[#This Row],[FECHA DE FACTURACIÓN]]</f>
        <v>297</v>
      </c>
      <c r="AB711" s="163" t="str">
        <f>+IF(Tabla2[[#This Row],[dias de credito]]&gt;=Tabla2[[#This Row],[PLAZO Días]],"venc", "No venc")</f>
        <v>venc</v>
      </c>
      <c r="AC711" s="163" t="str">
        <f>+IF(Tabla2[[#This Row],[FECHA DE PAGO]]&gt;0,"pagada","por pagar")</f>
        <v>pagada</v>
      </c>
      <c r="AD711" s="164" t="str">
        <f>+IF(AND(Tabla2[[#This Row],[venc]]="venc",Tabla2[[#This Row],[estado pago]]="por pagar"),"vencida","no")</f>
        <v>no</v>
      </c>
    </row>
    <row r="712" spans="1:30" ht="19.5" hidden="1" customHeight="1" x14ac:dyDescent="0.25">
      <c r="A712" s="8" t="s">
        <v>1850</v>
      </c>
      <c r="B712" s="8" t="s">
        <v>1851</v>
      </c>
      <c r="C712" s="8">
        <v>30</v>
      </c>
      <c r="D712" s="151">
        <v>3130000</v>
      </c>
      <c r="E712" s="151"/>
      <c r="F712" s="24">
        <v>0</v>
      </c>
      <c r="G712" s="30">
        <v>45198</v>
      </c>
      <c r="H712" s="81" t="s">
        <v>472</v>
      </c>
      <c r="I712" s="30">
        <v>45147</v>
      </c>
      <c r="J712" s="16">
        <v>3979</v>
      </c>
      <c r="K712" s="9" t="s">
        <v>1530</v>
      </c>
      <c r="L712" s="9"/>
      <c r="M712" s="152">
        <v>2142000</v>
      </c>
      <c r="N712" s="153">
        <v>0</v>
      </c>
      <c r="O712" s="152">
        <v>0</v>
      </c>
      <c r="P712" s="154">
        <v>0</v>
      </c>
      <c r="Q712" s="152">
        <v>0</v>
      </c>
      <c r="R712" s="9">
        <v>2142000</v>
      </c>
      <c r="S712" s="21" t="s">
        <v>1846</v>
      </c>
      <c r="T712" s="117">
        <v>0</v>
      </c>
      <c r="U712" s="117">
        <v>0</v>
      </c>
      <c r="V712" s="117">
        <v>2023</v>
      </c>
      <c r="W712" s="117">
        <v>6</v>
      </c>
      <c r="X712" s="117">
        <v>0</v>
      </c>
      <c r="Y712" s="117">
        <v>0</v>
      </c>
      <c r="Z712" s="21" t="b">
        <v>0</v>
      </c>
      <c r="AA712" s="162">
        <f>+$AD$5-Tabla2[[#This Row],[FECHA DE FACTURACIÓN]]</f>
        <v>296</v>
      </c>
      <c r="AB712" s="163" t="str">
        <f>+IF(Tabla2[[#This Row],[dias de credito]]&gt;=Tabla2[[#This Row],[PLAZO Días]],"venc", "No venc")</f>
        <v>venc</v>
      </c>
      <c r="AC712" s="163" t="str">
        <f>+IF(Tabla2[[#This Row],[FECHA DE PAGO]]&gt;0,"pagada","por pagar")</f>
        <v>pagada</v>
      </c>
      <c r="AD712" s="164" t="str">
        <f>+IF(AND(Tabla2[[#This Row],[venc]]="venc",Tabla2[[#This Row],[estado pago]]="por pagar"),"vencida","no")</f>
        <v>no</v>
      </c>
    </row>
    <row r="713" spans="1:30" ht="19.5" hidden="1" customHeight="1" x14ac:dyDescent="0.25">
      <c r="A713" s="8" t="s">
        <v>1852</v>
      </c>
      <c r="B713" s="8" t="b">
        <v>0</v>
      </c>
      <c r="C713" s="8">
        <v>30</v>
      </c>
      <c r="D713" s="151">
        <v>0</v>
      </c>
      <c r="E713" s="151"/>
      <c r="F713" s="24" t="s">
        <v>84</v>
      </c>
      <c r="G713" s="30">
        <v>45199</v>
      </c>
      <c r="H713" s="81" t="s">
        <v>525</v>
      </c>
      <c r="I713" s="30">
        <v>45199</v>
      </c>
      <c r="J713" s="16" t="s">
        <v>1531</v>
      </c>
      <c r="K713" s="9" t="s">
        <v>1530</v>
      </c>
      <c r="L713" s="9"/>
      <c r="M713" s="152">
        <v>0</v>
      </c>
      <c r="N713" s="153">
        <v>0</v>
      </c>
      <c r="O713" s="152">
        <v>0</v>
      </c>
      <c r="P713" s="154">
        <v>0</v>
      </c>
      <c r="Q713" s="152">
        <v>0</v>
      </c>
      <c r="R713" s="9">
        <v>0</v>
      </c>
      <c r="S713" s="21" t="s">
        <v>1846</v>
      </c>
      <c r="T713" s="117">
        <v>0</v>
      </c>
      <c r="U713" s="117">
        <v>0</v>
      </c>
      <c r="V713" s="117">
        <v>2023</v>
      </c>
      <c r="W713" s="117">
        <v>6</v>
      </c>
      <c r="X713" s="117">
        <v>0</v>
      </c>
      <c r="Y713" s="117">
        <v>0</v>
      </c>
      <c r="Z713" s="21" t="b">
        <v>0</v>
      </c>
      <c r="AA713" s="162">
        <f>+$AD$5-Tabla2[[#This Row],[FECHA DE FACTURACIÓN]]</f>
        <v>244</v>
      </c>
      <c r="AB713" s="163" t="str">
        <f>+IF(Tabla2[[#This Row],[dias de credito]]&gt;=Tabla2[[#This Row],[PLAZO Días]],"venc", "No venc")</f>
        <v>venc</v>
      </c>
      <c r="AC713" s="163" t="str">
        <f>+IF(Tabla2[[#This Row],[FECHA DE PAGO]]&gt;0,"pagada","por pagar")</f>
        <v>pagada</v>
      </c>
      <c r="AD713" s="164" t="str">
        <f>+IF(AND(Tabla2[[#This Row],[venc]]="venc",Tabla2[[#This Row],[estado pago]]="por pagar"),"vencida","no")</f>
        <v>no</v>
      </c>
    </row>
    <row r="714" spans="1:30" ht="19.5" hidden="1" customHeight="1" x14ac:dyDescent="0.25">
      <c r="A714" s="8" t="s">
        <v>1852</v>
      </c>
      <c r="B714" s="8" t="b">
        <v>0</v>
      </c>
      <c r="C714" s="8">
        <v>30</v>
      </c>
      <c r="D714" s="151">
        <v>0</v>
      </c>
      <c r="E714" s="151"/>
      <c r="F714" s="24" t="s">
        <v>84</v>
      </c>
      <c r="G714" s="30">
        <v>45199</v>
      </c>
      <c r="H714" s="81" t="s">
        <v>525</v>
      </c>
      <c r="I714" s="30">
        <v>45199</v>
      </c>
      <c r="J714" s="16" t="s">
        <v>479</v>
      </c>
      <c r="K714" s="9" t="s">
        <v>1530</v>
      </c>
      <c r="L714" s="9"/>
      <c r="M714" s="152">
        <v>19000</v>
      </c>
      <c r="N714" s="153">
        <v>0</v>
      </c>
      <c r="O714" s="152">
        <v>0</v>
      </c>
      <c r="P714" s="154">
        <v>0</v>
      </c>
      <c r="Q714" s="152">
        <v>0</v>
      </c>
      <c r="R714" s="9">
        <v>19000</v>
      </c>
      <c r="S714" s="21" t="s">
        <v>1846</v>
      </c>
      <c r="T714" s="117">
        <v>0</v>
      </c>
      <c r="U714" s="117">
        <v>0</v>
      </c>
      <c r="V714" s="117">
        <v>2023</v>
      </c>
      <c r="W714" s="117">
        <v>6</v>
      </c>
      <c r="X714" s="117">
        <v>0</v>
      </c>
      <c r="Y714" s="117">
        <v>0</v>
      </c>
      <c r="Z714" s="21" t="b">
        <v>0</v>
      </c>
      <c r="AA714" s="162">
        <f>+$AD$5-Tabla2[[#This Row],[FECHA DE FACTURACIÓN]]</f>
        <v>244</v>
      </c>
      <c r="AB714" s="163" t="str">
        <f>+IF(Tabla2[[#This Row],[dias de credito]]&gt;=Tabla2[[#This Row],[PLAZO Días]],"venc", "No venc")</f>
        <v>venc</v>
      </c>
      <c r="AC714" s="163" t="str">
        <f>+IF(Tabla2[[#This Row],[FECHA DE PAGO]]&gt;0,"pagada","por pagar")</f>
        <v>pagada</v>
      </c>
      <c r="AD714" s="164" t="str">
        <f>+IF(AND(Tabla2[[#This Row],[venc]]="venc",Tabla2[[#This Row],[estado pago]]="por pagar"),"vencida","no")</f>
        <v>no</v>
      </c>
    </row>
    <row r="715" spans="1:30" ht="19.5" hidden="1" customHeight="1" x14ac:dyDescent="0.25">
      <c r="A715" s="8" t="s">
        <v>1852</v>
      </c>
      <c r="B715" s="8" t="b">
        <v>0</v>
      </c>
      <c r="C715" s="8">
        <v>30</v>
      </c>
      <c r="D715" s="151">
        <v>0</v>
      </c>
      <c r="E715" s="151"/>
      <c r="F715" s="24" t="s">
        <v>84</v>
      </c>
      <c r="G715" s="30">
        <v>45199</v>
      </c>
      <c r="H715" s="81" t="s">
        <v>525</v>
      </c>
      <c r="I715" s="30">
        <v>45199</v>
      </c>
      <c r="J715" s="16" t="s">
        <v>478</v>
      </c>
      <c r="K715" s="9" t="s">
        <v>1530</v>
      </c>
      <c r="L715" s="9"/>
      <c r="M715" s="152">
        <v>135500</v>
      </c>
      <c r="N715" s="153">
        <v>0</v>
      </c>
      <c r="O715" s="152">
        <v>0</v>
      </c>
      <c r="P715" s="154">
        <v>0</v>
      </c>
      <c r="Q715" s="152">
        <v>0</v>
      </c>
      <c r="R715" s="9">
        <v>135500</v>
      </c>
      <c r="S715" s="21" t="s">
        <v>1846</v>
      </c>
      <c r="T715" s="117">
        <v>0</v>
      </c>
      <c r="U715" s="117">
        <v>0</v>
      </c>
      <c r="V715" s="117">
        <v>2023</v>
      </c>
      <c r="W715" s="117">
        <v>6</v>
      </c>
      <c r="X715" s="117">
        <v>0</v>
      </c>
      <c r="Y715" s="117">
        <v>0</v>
      </c>
      <c r="Z715" s="21" t="b">
        <v>0</v>
      </c>
      <c r="AA715" s="162">
        <f>+$AD$5-Tabla2[[#This Row],[FECHA DE FACTURACIÓN]]</f>
        <v>244</v>
      </c>
      <c r="AB715" s="163" t="str">
        <f>+IF(Tabla2[[#This Row],[dias de credito]]&gt;=Tabla2[[#This Row],[PLAZO Días]],"venc", "No venc")</f>
        <v>venc</v>
      </c>
      <c r="AC715" s="163" t="str">
        <f>+IF(Tabla2[[#This Row],[FECHA DE PAGO]]&gt;0,"pagada","por pagar")</f>
        <v>pagada</v>
      </c>
      <c r="AD715" s="164" t="str">
        <f>+IF(AND(Tabla2[[#This Row],[venc]]="venc",Tabla2[[#This Row],[estado pago]]="por pagar"),"vencida","no")</f>
        <v>no</v>
      </c>
    </row>
    <row r="716" spans="1:30" ht="19.5" hidden="1" customHeight="1" x14ac:dyDescent="0.25">
      <c r="A716" s="8" t="s">
        <v>1852</v>
      </c>
      <c r="B716" s="8" t="b">
        <v>0</v>
      </c>
      <c r="C716" s="8">
        <v>30</v>
      </c>
      <c r="D716" s="151">
        <v>0</v>
      </c>
      <c r="E716" s="151"/>
      <c r="F716" s="24" t="s">
        <v>84</v>
      </c>
      <c r="G716" s="30">
        <v>45199</v>
      </c>
      <c r="H716" s="81" t="s">
        <v>525</v>
      </c>
      <c r="I716" s="30">
        <v>45199</v>
      </c>
      <c r="J716" s="16" t="s">
        <v>480</v>
      </c>
      <c r="K716" s="9" t="s">
        <v>1530</v>
      </c>
      <c r="L716" s="9"/>
      <c r="M716" s="152">
        <v>284873</v>
      </c>
      <c r="N716" s="153">
        <v>0</v>
      </c>
      <c r="O716" s="152">
        <v>0</v>
      </c>
      <c r="P716" s="154">
        <v>0</v>
      </c>
      <c r="Q716" s="152">
        <v>0</v>
      </c>
      <c r="R716" s="9">
        <v>284873</v>
      </c>
      <c r="S716" s="21" t="s">
        <v>1846</v>
      </c>
      <c r="T716" s="117">
        <v>0</v>
      </c>
      <c r="U716" s="117">
        <v>0</v>
      </c>
      <c r="V716" s="117">
        <v>2023</v>
      </c>
      <c r="W716" s="117">
        <v>6</v>
      </c>
      <c r="X716" s="117">
        <v>0</v>
      </c>
      <c r="Y716" s="117">
        <v>0</v>
      </c>
      <c r="Z716" s="21" t="b">
        <v>0</v>
      </c>
      <c r="AA716" s="162">
        <f>+$AD$5-Tabla2[[#This Row],[FECHA DE FACTURACIÓN]]</f>
        <v>244</v>
      </c>
      <c r="AB716" s="163" t="str">
        <f>+IF(Tabla2[[#This Row],[dias de credito]]&gt;=Tabla2[[#This Row],[PLAZO Días]],"venc", "No venc")</f>
        <v>venc</v>
      </c>
      <c r="AC716" s="163" t="str">
        <f>+IF(Tabla2[[#This Row],[FECHA DE PAGO]]&gt;0,"pagada","por pagar")</f>
        <v>pagada</v>
      </c>
      <c r="AD716" s="164" t="str">
        <f>+IF(AND(Tabla2[[#This Row],[venc]]="venc",Tabla2[[#This Row],[estado pago]]="por pagar"),"vencida","no")</f>
        <v>no</v>
      </c>
    </row>
    <row r="717" spans="1:30" ht="19.5" hidden="1" customHeight="1" x14ac:dyDescent="0.25">
      <c r="A717" s="8" t="s">
        <v>1852</v>
      </c>
      <c r="B717" s="8" t="b">
        <v>0</v>
      </c>
      <c r="C717" s="8">
        <v>30</v>
      </c>
      <c r="D717" s="151">
        <v>0</v>
      </c>
      <c r="E717" s="151"/>
      <c r="F717" s="24" t="s">
        <v>84</v>
      </c>
      <c r="G717" s="30">
        <v>45199</v>
      </c>
      <c r="H717" s="81" t="s">
        <v>525</v>
      </c>
      <c r="I717" s="30">
        <v>45199</v>
      </c>
      <c r="J717" s="16" t="s">
        <v>476</v>
      </c>
      <c r="K717" s="9" t="s">
        <v>1530</v>
      </c>
      <c r="L717" s="9"/>
      <c r="M717" s="152">
        <v>512100</v>
      </c>
      <c r="N717" s="153">
        <v>0</v>
      </c>
      <c r="O717" s="152">
        <v>0</v>
      </c>
      <c r="P717" s="154">
        <v>0</v>
      </c>
      <c r="Q717" s="152">
        <v>0</v>
      </c>
      <c r="R717" s="9">
        <v>512100</v>
      </c>
      <c r="S717" s="21" t="s">
        <v>1846</v>
      </c>
      <c r="T717" s="117">
        <v>0</v>
      </c>
      <c r="U717" s="117">
        <v>0</v>
      </c>
      <c r="V717" s="117">
        <v>2023</v>
      </c>
      <c r="W717" s="117">
        <v>6</v>
      </c>
      <c r="X717" s="117">
        <v>0</v>
      </c>
      <c r="Y717" s="117">
        <v>0</v>
      </c>
      <c r="Z717" s="21" t="b">
        <v>0</v>
      </c>
      <c r="AA717" s="162">
        <f>+$AD$5-Tabla2[[#This Row],[FECHA DE FACTURACIÓN]]</f>
        <v>244</v>
      </c>
      <c r="AB717" s="163" t="str">
        <f>+IF(Tabla2[[#This Row],[dias de credito]]&gt;=Tabla2[[#This Row],[PLAZO Días]],"venc", "No venc")</f>
        <v>venc</v>
      </c>
      <c r="AC717" s="163" t="str">
        <f>+IF(Tabla2[[#This Row],[FECHA DE PAGO]]&gt;0,"pagada","por pagar")</f>
        <v>pagada</v>
      </c>
      <c r="AD717" s="164" t="str">
        <f>+IF(AND(Tabla2[[#This Row],[venc]]="venc",Tabla2[[#This Row],[estado pago]]="por pagar"),"vencida","no")</f>
        <v>no</v>
      </c>
    </row>
    <row r="718" spans="1:30" ht="19.5" hidden="1" customHeight="1" x14ac:dyDescent="0.25">
      <c r="A718" s="8" t="s">
        <v>1852</v>
      </c>
      <c r="B718" s="8" t="b">
        <v>0</v>
      </c>
      <c r="C718" s="8">
        <v>30</v>
      </c>
      <c r="D718" s="151">
        <v>0</v>
      </c>
      <c r="E718" s="151"/>
      <c r="F718" s="24" t="s">
        <v>84</v>
      </c>
      <c r="G718" s="30">
        <v>45199</v>
      </c>
      <c r="H718" s="81" t="s">
        <v>525</v>
      </c>
      <c r="I718" s="30">
        <v>45199</v>
      </c>
      <c r="J718" s="16" t="s">
        <v>477</v>
      </c>
      <c r="K718" s="9" t="s">
        <v>1530</v>
      </c>
      <c r="L718" s="9"/>
      <c r="M718" s="152">
        <v>2566850</v>
      </c>
      <c r="N718" s="153">
        <v>0</v>
      </c>
      <c r="O718" s="152">
        <v>0</v>
      </c>
      <c r="P718" s="154">
        <v>0</v>
      </c>
      <c r="Q718" s="152">
        <v>0</v>
      </c>
      <c r="R718" s="9">
        <v>2566850</v>
      </c>
      <c r="S718" s="21" t="s">
        <v>1846</v>
      </c>
      <c r="T718" s="117">
        <v>0</v>
      </c>
      <c r="U718" s="117">
        <v>0</v>
      </c>
      <c r="V718" s="117">
        <v>2023</v>
      </c>
      <c r="W718" s="117">
        <v>6</v>
      </c>
      <c r="X718" s="117">
        <v>0</v>
      </c>
      <c r="Y718" s="117">
        <v>0</v>
      </c>
      <c r="Z718" s="21" t="b">
        <v>0</v>
      </c>
      <c r="AA718" s="162">
        <f>+$AD$5-Tabla2[[#This Row],[FECHA DE FACTURACIÓN]]</f>
        <v>244</v>
      </c>
      <c r="AB718" s="163" t="str">
        <f>+IF(Tabla2[[#This Row],[dias de credito]]&gt;=Tabla2[[#This Row],[PLAZO Días]],"venc", "No venc")</f>
        <v>venc</v>
      </c>
      <c r="AC718" s="163" t="str">
        <f>+IF(Tabla2[[#This Row],[FECHA DE PAGO]]&gt;0,"pagada","por pagar")</f>
        <v>pagada</v>
      </c>
      <c r="AD718" s="164" t="str">
        <f>+IF(AND(Tabla2[[#This Row],[venc]]="venc",Tabla2[[#This Row],[estado pago]]="por pagar"),"vencida","no")</f>
        <v>no</v>
      </c>
    </row>
    <row r="719" spans="1:30" ht="19.5" hidden="1" customHeight="1" x14ac:dyDescent="0.25">
      <c r="A719" s="8" t="s">
        <v>1850</v>
      </c>
      <c r="B719" s="8" t="s">
        <v>1851</v>
      </c>
      <c r="C719" s="8">
        <v>60</v>
      </c>
      <c r="D719" s="151">
        <v>0</v>
      </c>
      <c r="E719" s="151"/>
      <c r="F719" s="24" t="s">
        <v>583</v>
      </c>
      <c r="G719" s="30">
        <v>45201</v>
      </c>
      <c r="H719" s="81" t="s">
        <v>582</v>
      </c>
      <c r="I719" s="30">
        <v>45114</v>
      </c>
      <c r="J719" s="16" t="s">
        <v>909</v>
      </c>
      <c r="K719" s="9" t="s">
        <v>1530</v>
      </c>
      <c r="L719" s="9"/>
      <c r="M719" s="152">
        <v>1519000</v>
      </c>
      <c r="N719" s="153">
        <v>288610</v>
      </c>
      <c r="O719" s="152">
        <v>0</v>
      </c>
      <c r="P719" s="154">
        <v>2.5000000000000001E-2</v>
      </c>
      <c r="Q719" s="152">
        <v>37975</v>
      </c>
      <c r="R719" s="9">
        <v>1769635</v>
      </c>
      <c r="S719" s="21" t="s">
        <v>1846</v>
      </c>
      <c r="T719" s="117">
        <v>0</v>
      </c>
      <c r="U719" s="117" t="s">
        <v>347</v>
      </c>
      <c r="V719" s="117">
        <v>2023</v>
      </c>
      <c r="W719" s="117">
        <v>6</v>
      </c>
      <c r="X719" s="117">
        <v>1145000</v>
      </c>
      <c r="Y719" s="117">
        <v>2.5000000000000001E-2</v>
      </c>
      <c r="Z719" s="21" t="b">
        <v>0</v>
      </c>
      <c r="AA719" s="162">
        <f>+$AD$5-Tabla2[[#This Row],[FECHA DE FACTURACIÓN]]</f>
        <v>329</v>
      </c>
      <c r="AB719" s="163" t="str">
        <f>+IF(Tabla2[[#This Row],[dias de credito]]&gt;=Tabla2[[#This Row],[PLAZO Días]],"venc", "No venc")</f>
        <v>venc</v>
      </c>
      <c r="AC719" s="163" t="str">
        <f>+IF(Tabla2[[#This Row],[FECHA DE PAGO]]&gt;0,"pagada","por pagar")</f>
        <v>pagada</v>
      </c>
      <c r="AD719" s="164" t="str">
        <f>+IF(AND(Tabla2[[#This Row],[venc]]="venc",Tabla2[[#This Row],[estado pago]]="por pagar"),"vencida","no")</f>
        <v>no</v>
      </c>
    </row>
    <row r="720" spans="1:30" ht="19.5" hidden="1" customHeight="1" x14ac:dyDescent="0.25">
      <c r="A720" s="8" t="s">
        <v>1850</v>
      </c>
      <c r="B720" s="8" t="s">
        <v>1851</v>
      </c>
      <c r="C720" s="8">
        <v>30</v>
      </c>
      <c r="D720" s="151">
        <v>0</v>
      </c>
      <c r="E720" s="151"/>
      <c r="F720" s="24" t="s">
        <v>84</v>
      </c>
      <c r="G720" s="30">
        <v>45201</v>
      </c>
      <c r="H720" s="81" t="s">
        <v>525</v>
      </c>
      <c r="I720" s="30">
        <v>45117</v>
      </c>
      <c r="J720" s="16" t="s">
        <v>890</v>
      </c>
      <c r="K720" s="9" t="s">
        <v>1530</v>
      </c>
      <c r="L720" s="9"/>
      <c r="M720" s="152">
        <v>1117000</v>
      </c>
      <c r="N720" s="153">
        <v>0</v>
      </c>
      <c r="O720" s="152">
        <v>0</v>
      </c>
      <c r="P720" s="154">
        <v>0</v>
      </c>
      <c r="Q720" s="152">
        <v>0</v>
      </c>
      <c r="R720" s="9">
        <v>1117000</v>
      </c>
      <c r="S720" s="21" t="s">
        <v>1846</v>
      </c>
      <c r="T720" s="117">
        <v>0</v>
      </c>
      <c r="U720" s="117">
        <v>0</v>
      </c>
      <c r="V720" s="117">
        <v>2023</v>
      </c>
      <c r="W720" s="117">
        <v>6</v>
      </c>
      <c r="X720" s="117">
        <v>0</v>
      </c>
      <c r="Y720" s="117">
        <v>0</v>
      </c>
      <c r="Z720" s="21" t="b">
        <v>0</v>
      </c>
      <c r="AA720" s="162">
        <f>+$AD$5-Tabla2[[#This Row],[FECHA DE FACTURACIÓN]]</f>
        <v>326</v>
      </c>
      <c r="AB720" s="163" t="str">
        <f>+IF(Tabla2[[#This Row],[dias de credito]]&gt;=Tabla2[[#This Row],[PLAZO Días]],"venc", "No venc")</f>
        <v>venc</v>
      </c>
      <c r="AC720" s="163" t="str">
        <f>+IF(Tabla2[[#This Row],[FECHA DE PAGO]]&gt;0,"pagada","por pagar")</f>
        <v>pagada</v>
      </c>
      <c r="AD720" s="164" t="str">
        <f>+IF(AND(Tabla2[[#This Row],[venc]]="venc",Tabla2[[#This Row],[estado pago]]="por pagar"),"vencida","no")</f>
        <v>no</v>
      </c>
    </row>
    <row r="721" spans="1:30" ht="19.5" hidden="1" customHeight="1" x14ac:dyDescent="0.25">
      <c r="A721" s="8" t="s">
        <v>1850</v>
      </c>
      <c r="B721" s="8" t="s">
        <v>1851</v>
      </c>
      <c r="C721" s="8">
        <v>30</v>
      </c>
      <c r="D721" s="151">
        <v>0</v>
      </c>
      <c r="E721" s="151"/>
      <c r="F721" s="24" t="s">
        <v>84</v>
      </c>
      <c r="G721" s="30">
        <v>45201</v>
      </c>
      <c r="H721" s="81" t="s">
        <v>1149</v>
      </c>
      <c r="I721" s="30">
        <v>45117</v>
      </c>
      <c r="J721" s="16">
        <v>8943</v>
      </c>
      <c r="K721" s="9" t="s">
        <v>1530</v>
      </c>
      <c r="L721" s="9"/>
      <c r="M721" s="152">
        <v>3668500</v>
      </c>
      <c r="N721" s="153">
        <v>0</v>
      </c>
      <c r="O721" s="152">
        <v>0</v>
      </c>
      <c r="P721" s="154">
        <v>0</v>
      </c>
      <c r="Q721" s="152">
        <v>0</v>
      </c>
      <c r="R721" s="9">
        <v>3668500</v>
      </c>
      <c r="S721" s="21" t="s">
        <v>1846</v>
      </c>
      <c r="T721" s="117">
        <v>0</v>
      </c>
      <c r="U721" s="117">
        <v>0</v>
      </c>
      <c r="V721" s="117">
        <v>2023</v>
      </c>
      <c r="W721" s="117">
        <v>6</v>
      </c>
      <c r="X721" s="117">
        <v>0</v>
      </c>
      <c r="Y721" s="117">
        <v>0</v>
      </c>
      <c r="Z721" s="21" t="b">
        <v>0</v>
      </c>
      <c r="AA721" s="162">
        <f>+$AD$5-Tabla2[[#This Row],[FECHA DE FACTURACIÓN]]</f>
        <v>326</v>
      </c>
      <c r="AB721" s="163" t="str">
        <f>+IF(Tabla2[[#This Row],[dias de credito]]&gt;=Tabla2[[#This Row],[PLAZO Días]],"venc", "No venc")</f>
        <v>venc</v>
      </c>
      <c r="AC721" s="163" t="str">
        <f>+IF(Tabla2[[#This Row],[FECHA DE PAGO]]&gt;0,"pagada","por pagar")</f>
        <v>pagada</v>
      </c>
      <c r="AD721" s="164" t="str">
        <f>+IF(AND(Tabla2[[#This Row],[venc]]="venc",Tabla2[[#This Row],[estado pago]]="por pagar"),"vencida","no")</f>
        <v>no</v>
      </c>
    </row>
    <row r="722" spans="1:30" ht="19.5" hidden="1" customHeight="1" x14ac:dyDescent="0.25">
      <c r="A722" s="8" t="s">
        <v>1850</v>
      </c>
      <c r="B722" s="8" t="s">
        <v>1851</v>
      </c>
      <c r="C722" s="8">
        <v>45</v>
      </c>
      <c r="D722" s="151">
        <v>2446500</v>
      </c>
      <c r="E722" s="151"/>
      <c r="F722" s="24" t="s">
        <v>158</v>
      </c>
      <c r="G722" s="30">
        <v>45201</v>
      </c>
      <c r="H722" s="81" t="s">
        <v>10</v>
      </c>
      <c r="I722" s="30">
        <v>45135</v>
      </c>
      <c r="J722" s="16" t="s">
        <v>942</v>
      </c>
      <c r="K722" s="9" t="s">
        <v>1530</v>
      </c>
      <c r="L722" s="9"/>
      <c r="M722" s="152">
        <v>4200000</v>
      </c>
      <c r="N722" s="153">
        <v>798000</v>
      </c>
      <c r="O722" s="152">
        <v>0</v>
      </c>
      <c r="P722" s="154">
        <v>2.5000000000000001E-2</v>
      </c>
      <c r="Q722" s="152">
        <v>105000</v>
      </c>
      <c r="R722" s="9">
        <v>4893000</v>
      </c>
      <c r="S722" s="21" t="s">
        <v>1846</v>
      </c>
      <c r="T722" s="117">
        <v>0</v>
      </c>
      <c r="U722" s="117" t="s">
        <v>347</v>
      </c>
      <c r="V722" s="117">
        <v>2023</v>
      </c>
      <c r="W722" s="117">
        <v>6</v>
      </c>
      <c r="X722" s="117">
        <v>1145000</v>
      </c>
      <c r="Y722" s="117">
        <v>2.5000000000000001E-2</v>
      </c>
      <c r="Z722" s="21" t="b">
        <v>0</v>
      </c>
      <c r="AA722" s="162">
        <f>+$AD$5-Tabla2[[#This Row],[FECHA DE FACTURACIÓN]]</f>
        <v>308</v>
      </c>
      <c r="AB722" s="163" t="str">
        <f>+IF(Tabla2[[#This Row],[dias de credito]]&gt;=Tabla2[[#This Row],[PLAZO Días]],"venc", "No venc")</f>
        <v>venc</v>
      </c>
      <c r="AC722" s="163" t="str">
        <f>+IF(Tabla2[[#This Row],[FECHA DE PAGO]]&gt;0,"pagada","por pagar")</f>
        <v>pagada</v>
      </c>
      <c r="AD722" s="164" t="str">
        <f>+IF(AND(Tabla2[[#This Row],[venc]]="venc",Tabla2[[#This Row],[estado pago]]="por pagar"),"vencida","no")</f>
        <v>no</v>
      </c>
    </row>
    <row r="723" spans="1:30" ht="19.5" hidden="1" customHeight="1" x14ac:dyDescent="0.25">
      <c r="A723" s="8" t="s">
        <v>1850</v>
      </c>
      <c r="B723" s="8" t="s">
        <v>1851</v>
      </c>
      <c r="C723" s="8">
        <v>60</v>
      </c>
      <c r="D723" s="151">
        <v>0</v>
      </c>
      <c r="E723" s="151"/>
      <c r="F723" s="24" t="s">
        <v>147</v>
      </c>
      <c r="G723" s="30">
        <v>45201</v>
      </c>
      <c r="H723" s="81" t="s">
        <v>221</v>
      </c>
      <c r="I723" s="30">
        <v>45139</v>
      </c>
      <c r="J723" s="16" t="s">
        <v>970</v>
      </c>
      <c r="K723" s="9" t="s">
        <v>1530</v>
      </c>
      <c r="L723" s="9"/>
      <c r="M723" s="152">
        <v>779495</v>
      </c>
      <c r="N723" s="153">
        <v>148104.04999999999</v>
      </c>
      <c r="O723" s="152">
        <v>0</v>
      </c>
      <c r="P723" s="154">
        <v>0</v>
      </c>
      <c r="Q723" s="152">
        <v>0</v>
      </c>
      <c r="R723" s="9">
        <v>927599.05</v>
      </c>
      <c r="S723" s="21" t="s">
        <v>1846</v>
      </c>
      <c r="T723" s="117">
        <v>0</v>
      </c>
      <c r="U723" s="117" t="s">
        <v>347</v>
      </c>
      <c r="V723" s="117">
        <v>2023</v>
      </c>
      <c r="W723" s="117">
        <v>6</v>
      </c>
      <c r="X723" s="117">
        <v>1145000</v>
      </c>
      <c r="Y723" s="117">
        <v>2.5000000000000001E-2</v>
      </c>
      <c r="Z723" s="21" t="b">
        <v>0</v>
      </c>
      <c r="AA723" s="162">
        <f>+$AD$5-Tabla2[[#This Row],[FECHA DE FACTURACIÓN]]</f>
        <v>304</v>
      </c>
      <c r="AB723" s="163" t="str">
        <f>+IF(Tabla2[[#This Row],[dias de credito]]&gt;=Tabla2[[#This Row],[PLAZO Días]],"venc", "No venc")</f>
        <v>venc</v>
      </c>
      <c r="AC723" s="163" t="str">
        <f>+IF(Tabla2[[#This Row],[FECHA DE PAGO]]&gt;0,"pagada","por pagar")</f>
        <v>pagada</v>
      </c>
      <c r="AD723" s="164" t="str">
        <f>+IF(AND(Tabla2[[#This Row],[venc]]="venc",Tabla2[[#This Row],[estado pago]]="por pagar"),"vencida","no")</f>
        <v>no</v>
      </c>
    </row>
    <row r="724" spans="1:30" ht="19.5" hidden="1" customHeight="1" x14ac:dyDescent="0.25">
      <c r="A724" s="8" t="s">
        <v>1850</v>
      </c>
      <c r="B724" s="8" t="s">
        <v>1851</v>
      </c>
      <c r="C724" s="8">
        <v>30</v>
      </c>
      <c r="D724" s="151">
        <v>0</v>
      </c>
      <c r="E724" s="151"/>
      <c r="F724" s="24" t="s">
        <v>156</v>
      </c>
      <c r="G724" s="30">
        <v>45201</v>
      </c>
      <c r="H724" s="81" t="s">
        <v>1580</v>
      </c>
      <c r="I724" s="30">
        <v>45160</v>
      </c>
      <c r="J724" s="16" t="s">
        <v>1010</v>
      </c>
      <c r="K724" s="9" t="s">
        <v>1530</v>
      </c>
      <c r="L724" s="9"/>
      <c r="M724" s="152">
        <v>376000</v>
      </c>
      <c r="N724" s="153">
        <v>71440</v>
      </c>
      <c r="O724" s="152">
        <v>0</v>
      </c>
      <c r="P724" s="154">
        <v>0</v>
      </c>
      <c r="Q724" s="152">
        <v>0</v>
      </c>
      <c r="R724" s="9">
        <v>447440</v>
      </c>
      <c r="S724" s="21" t="s">
        <v>1846</v>
      </c>
      <c r="T724" s="117">
        <v>0</v>
      </c>
      <c r="U724" s="117" t="s">
        <v>347</v>
      </c>
      <c r="V724" s="117">
        <v>2023</v>
      </c>
      <c r="W724" s="117">
        <v>6</v>
      </c>
      <c r="X724" s="117">
        <v>1145000</v>
      </c>
      <c r="Y724" s="117">
        <v>2.5000000000000001E-2</v>
      </c>
      <c r="Z724" s="21" t="b">
        <v>0</v>
      </c>
      <c r="AA724" s="162">
        <f>+$AD$5-Tabla2[[#This Row],[FECHA DE FACTURACIÓN]]</f>
        <v>283</v>
      </c>
      <c r="AB724" s="163" t="str">
        <f>+IF(Tabla2[[#This Row],[dias de credito]]&gt;=Tabla2[[#This Row],[PLAZO Días]],"venc", "No venc")</f>
        <v>venc</v>
      </c>
      <c r="AC724" s="163" t="str">
        <f>+IF(Tabla2[[#This Row],[FECHA DE PAGO]]&gt;0,"pagada","por pagar")</f>
        <v>pagada</v>
      </c>
      <c r="AD724" s="164" t="str">
        <f>+IF(AND(Tabla2[[#This Row],[venc]]="venc",Tabla2[[#This Row],[estado pago]]="por pagar"),"vencida","no")</f>
        <v>no</v>
      </c>
    </row>
    <row r="725" spans="1:30" ht="19.5" hidden="1" customHeight="1" x14ac:dyDescent="0.25">
      <c r="A725" s="8" t="s">
        <v>1850</v>
      </c>
      <c r="B725" s="8" t="s">
        <v>1851</v>
      </c>
      <c r="C725" s="8">
        <v>30</v>
      </c>
      <c r="D725" s="151">
        <v>0</v>
      </c>
      <c r="E725" s="151"/>
      <c r="F725" s="24" t="s">
        <v>156</v>
      </c>
      <c r="G725" s="30">
        <v>45201</v>
      </c>
      <c r="H725" s="81" t="s">
        <v>1580</v>
      </c>
      <c r="I725" s="30">
        <v>45162</v>
      </c>
      <c r="J725" s="16" t="s">
        <v>1009</v>
      </c>
      <c r="K725" s="9" t="s">
        <v>1530</v>
      </c>
      <c r="L725" s="9"/>
      <c r="M725" s="152">
        <v>8000000</v>
      </c>
      <c r="N725" s="153">
        <v>1520000</v>
      </c>
      <c r="O725" s="152">
        <v>0</v>
      </c>
      <c r="P725" s="154">
        <v>2.5000000000000001E-2</v>
      </c>
      <c r="Q725" s="152">
        <v>200000</v>
      </c>
      <c r="R725" s="9">
        <v>9320000</v>
      </c>
      <c r="S725" s="21" t="s">
        <v>1846</v>
      </c>
      <c r="T725" s="117">
        <v>0</v>
      </c>
      <c r="U725" s="117" t="s">
        <v>347</v>
      </c>
      <c r="V725" s="117">
        <v>2023</v>
      </c>
      <c r="W725" s="117">
        <v>6</v>
      </c>
      <c r="X725" s="117">
        <v>1145000</v>
      </c>
      <c r="Y725" s="117">
        <v>2.5000000000000001E-2</v>
      </c>
      <c r="Z725" s="21" t="b">
        <v>0</v>
      </c>
      <c r="AA725" s="162">
        <f>+$AD$5-Tabla2[[#This Row],[FECHA DE FACTURACIÓN]]</f>
        <v>281</v>
      </c>
      <c r="AB725" s="163" t="str">
        <f>+IF(Tabla2[[#This Row],[dias de credito]]&gt;=Tabla2[[#This Row],[PLAZO Días]],"venc", "No venc")</f>
        <v>venc</v>
      </c>
      <c r="AC725" s="163" t="str">
        <f>+IF(Tabla2[[#This Row],[FECHA DE PAGO]]&gt;0,"pagada","por pagar")</f>
        <v>pagada</v>
      </c>
      <c r="AD725" s="164" t="str">
        <f>+IF(AND(Tabla2[[#This Row],[venc]]="venc",Tabla2[[#This Row],[estado pago]]="por pagar"),"vencida","no")</f>
        <v>no</v>
      </c>
    </row>
    <row r="726" spans="1:30" ht="19.5" hidden="1" customHeight="1" x14ac:dyDescent="0.25">
      <c r="A726" s="8" t="s">
        <v>1850</v>
      </c>
      <c r="B726" s="8" t="s">
        <v>1851</v>
      </c>
      <c r="C726" s="8">
        <v>30</v>
      </c>
      <c r="D726" s="151">
        <v>1695707.16</v>
      </c>
      <c r="E726" s="151"/>
      <c r="F726" s="24" t="s">
        <v>217</v>
      </c>
      <c r="G726" s="30">
        <v>45201</v>
      </c>
      <c r="H726" s="81" t="s">
        <v>194</v>
      </c>
      <c r="I726" s="30">
        <v>45164</v>
      </c>
      <c r="J726" s="16" t="s">
        <v>1006</v>
      </c>
      <c r="K726" s="9" t="s">
        <v>1530</v>
      </c>
      <c r="L726" s="9"/>
      <c r="M726" s="152">
        <v>6502674</v>
      </c>
      <c r="N726" s="153">
        <v>1235508.06</v>
      </c>
      <c r="O726" s="152">
        <v>0</v>
      </c>
      <c r="P726" s="154">
        <v>0</v>
      </c>
      <c r="Q726" s="152">
        <v>0</v>
      </c>
      <c r="R726" s="9">
        <v>7738182.0600000005</v>
      </c>
      <c r="S726" s="21" t="s">
        <v>1846</v>
      </c>
      <c r="T726" s="117">
        <v>0</v>
      </c>
      <c r="U726" s="117">
        <v>0</v>
      </c>
      <c r="V726" s="117">
        <v>2023</v>
      </c>
      <c r="W726" s="117">
        <v>6</v>
      </c>
      <c r="X726" s="117">
        <v>0</v>
      </c>
      <c r="Y726" s="117">
        <v>0</v>
      </c>
      <c r="Z726" s="21" t="b">
        <v>0</v>
      </c>
      <c r="AA726" s="162">
        <f>+$AD$5-Tabla2[[#This Row],[FECHA DE FACTURACIÓN]]</f>
        <v>279</v>
      </c>
      <c r="AB726" s="163" t="str">
        <f>+IF(Tabla2[[#This Row],[dias de credito]]&gt;=Tabla2[[#This Row],[PLAZO Días]],"venc", "No venc")</f>
        <v>venc</v>
      </c>
      <c r="AC726" s="163" t="str">
        <f>+IF(Tabla2[[#This Row],[FECHA DE PAGO]]&gt;0,"pagada","por pagar")</f>
        <v>pagada</v>
      </c>
      <c r="AD726" s="164" t="str">
        <f>+IF(AND(Tabla2[[#This Row],[venc]]="venc",Tabla2[[#This Row],[estado pago]]="por pagar"),"vencida","no")</f>
        <v>no</v>
      </c>
    </row>
    <row r="727" spans="1:30" ht="19.5" hidden="1" customHeight="1" x14ac:dyDescent="0.25">
      <c r="A727" s="8" t="s">
        <v>1850</v>
      </c>
      <c r="B727" s="8" t="s">
        <v>1851</v>
      </c>
      <c r="C727" s="8">
        <v>30</v>
      </c>
      <c r="D727" s="151">
        <v>1695707.16</v>
      </c>
      <c r="E727" s="151"/>
      <c r="F727" s="24" t="s">
        <v>217</v>
      </c>
      <c r="G727" s="30">
        <v>45201</v>
      </c>
      <c r="H727" s="81" t="s">
        <v>194</v>
      </c>
      <c r="I727" s="30">
        <v>45169</v>
      </c>
      <c r="J727" s="16" t="s">
        <v>1057</v>
      </c>
      <c r="K727" s="9" t="s">
        <v>1530</v>
      </c>
      <c r="L727" s="9"/>
      <c r="M727" s="152">
        <v>-1748011</v>
      </c>
      <c r="N727" s="153">
        <v>-332122.09000000003</v>
      </c>
      <c r="O727" s="152">
        <v>0</v>
      </c>
      <c r="P727" s="154">
        <v>0</v>
      </c>
      <c r="Q727" s="152">
        <v>0</v>
      </c>
      <c r="R727" s="9">
        <v>-2080133.09</v>
      </c>
      <c r="S727" s="21" t="s">
        <v>1846</v>
      </c>
      <c r="T727" s="117">
        <v>0</v>
      </c>
      <c r="U727" s="117">
        <v>0</v>
      </c>
      <c r="V727" s="117">
        <v>2023</v>
      </c>
      <c r="W727" s="117">
        <v>6</v>
      </c>
      <c r="X727" s="117">
        <v>0</v>
      </c>
      <c r="Y727" s="117">
        <v>0</v>
      </c>
      <c r="Z727" s="21" t="b">
        <v>0</v>
      </c>
      <c r="AA727" s="162">
        <f>+$AD$5-Tabla2[[#This Row],[FECHA DE FACTURACIÓN]]</f>
        <v>274</v>
      </c>
      <c r="AB727" s="163" t="str">
        <f>+IF(Tabla2[[#This Row],[dias de credito]]&gt;=Tabla2[[#This Row],[PLAZO Días]],"venc", "No venc")</f>
        <v>venc</v>
      </c>
      <c r="AC727" s="163" t="str">
        <f>+IF(Tabla2[[#This Row],[FECHA DE PAGO]]&gt;0,"pagada","por pagar")</f>
        <v>pagada</v>
      </c>
      <c r="AD727" s="164" t="str">
        <f>+IF(AND(Tabla2[[#This Row],[venc]]="venc",Tabla2[[#This Row],[estado pago]]="por pagar"),"vencida","no")</f>
        <v>no</v>
      </c>
    </row>
    <row r="728" spans="1:30" ht="19.5" hidden="1" customHeight="1" x14ac:dyDescent="0.25">
      <c r="A728" s="8" t="s">
        <v>1850</v>
      </c>
      <c r="B728" s="8" t="s">
        <v>1851</v>
      </c>
      <c r="C728" s="8">
        <v>30</v>
      </c>
      <c r="D728" s="151">
        <v>4198834.75</v>
      </c>
      <c r="E728" s="151"/>
      <c r="F728" s="24" t="s">
        <v>434</v>
      </c>
      <c r="G728" s="30">
        <v>45201</v>
      </c>
      <c r="H728" s="81" t="s">
        <v>422</v>
      </c>
      <c r="I728" s="30">
        <v>45170</v>
      </c>
      <c r="J728" s="16" t="s">
        <v>1066</v>
      </c>
      <c r="K728" s="9" t="s">
        <v>1530</v>
      </c>
      <c r="L728" s="9"/>
      <c r="M728" s="152">
        <v>1796000</v>
      </c>
      <c r="N728" s="153">
        <v>341240</v>
      </c>
      <c r="O728" s="152">
        <v>0</v>
      </c>
      <c r="P728" s="154">
        <v>2.5000000000000001E-2</v>
      </c>
      <c r="Q728" s="152">
        <v>44900</v>
      </c>
      <c r="R728" s="9">
        <v>2092340</v>
      </c>
      <c r="S728" s="21" t="s">
        <v>1846</v>
      </c>
      <c r="T728" s="117">
        <v>0</v>
      </c>
      <c r="U728" s="117" t="s">
        <v>347</v>
      </c>
      <c r="V728" s="117">
        <v>2023</v>
      </c>
      <c r="W728" s="117">
        <v>6</v>
      </c>
      <c r="X728" s="117">
        <v>1145000</v>
      </c>
      <c r="Y728" s="117">
        <v>2.5000000000000001E-2</v>
      </c>
      <c r="Z728" s="21" t="b">
        <v>0</v>
      </c>
      <c r="AA728" s="162">
        <f>+$AD$5-Tabla2[[#This Row],[FECHA DE FACTURACIÓN]]</f>
        <v>273</v>
      </c>
      <c r="AB728" s="163" t="str">
        <f>+IF(Tabla2[[#This Row],[dias de credito]]&gt;=Tabla2[[#This Row],[PLAZO Días]],"venc", "No venc")</f>
        <v>venc</v>
      </c>
      <c r="AC728" s="163" t="str">
        <f>+IF(Tabla2[[#This Row],[FECHA DE PAGO]]&gt;0,"pagada","por pagar")</f>
        <v>pagada</v>
      </c>
      <c r="AD728" s="164" t="str">
        <f>+IF(AND(Tabla2[[#This Row],[venc]]="venc",Tabla2[[#This Row],[estado pago]]="por pagar"),"vencida","no")</f>
        <v>no</v>
      </c>
    </row>
    <row r="729" spans="1:30" ht="19.5" hidden="1" customHeight="1" x14ac:dyDescent="0.25">
      <c r="A729" s="8" t="s">
        <v>1852</v>
      </c>
      <c r="B729" s="8" t="b">
        <v>0</v>
      </c>
      <c r="C729" s="8">
        <v>30</v>
      </c>
      <c r="D729" s="151">
        <v>0</v>
      </c>
      <c r="E729" s="151"/>
      <c r="F729" s="24" t="s">
        <v>84</v>
      </c>
      <c r="G729" s="30">
        <v>45201</v>
      </c>
      <c r="H729" s="81" t="s">
        <v>525</v>
      </c>
      <c r="I729" s="30">
        <v>45201</v>
      </c>
      <c r="J729" s="16" t="s">
        <v>1119</v>
      </c>
      <c r="K729" s="9" t="s">
        <v>1530</v>
      </c>
      <c r="L729" s="9"/>
      <c r="M729" s="152">
        <v>150000</v>
      </c>
      <c r="N729" s="153">
        <v>0</v>
      </c>
      <c r="O729" s="152">
        <v>0</v>
      </c>
      <c r="P729" s="154">
        <v>0</v>
      </c>
      <c r="Q729" s="152">
        <v>0</v>
      </c>
      <c r="R729" s="9">
        <v>150000</v>
      </c>
      <c r="S729" s="21" t="s">
        <v>1846</v>
      </c>
      <c r="T729" s="117">
        <v>0</v>
      </c>
      <c r="U729" s="117">
        <v>0</v>
      </c>
      <c r="V729" s="117">
        <v>2023</v>
      </c>
      <c r="W729" s="117">
        <v>6</v>
      </c>
      <c r="X729" s="117">
        <v>0</v>
      </c>
      <c r="Y729" s="117">
        <v>0</v>
      </c>
      <c r="Z729" s="21" t="b">
        <v>0</v>
      </c>
      <c r="AA729" s="162">
        <f>+$AD$5-Tabla2[[#This Row],[FECHA DE FACTURACIÓN]]</f>
        <v>242</v>
      </c>
      <c r="AB729" s="163" t="str">
        <f>+IF(Tabla2[[#This Row],[dias de credito]]&gt;=Tabla2[[#This Row],[PLAZO Días]],"venc", "No venc")</f>
        <v>venc</v>
      </c>
      <c r="AC729" s="163" t="str">
        <f>+IF(Tabla2[[#This Row],[FECHA DE PAGO]]&gt;0,"pagada","por pagar")</f>
        <v>pagada</v>
      </c>
      <c r="AD729" s="164" t="str">
        <f>+IF(AND(Tabla2[[#This Row],[venc]]="venc",Tabla2[[#This Row],[estado pago]]="por pagar"),"vencida","no")</f>
        <v>no</v>
      </c>
    </row>
    <row r="730" spans="1:30" ht="19.5" hidden="1" customHeight="1" x14ac:dyDescent="0.25">
      <c r="A730" s="8" t="s">
        <v>1852</v>
      </c>
      <c r="B730" s="8" t="b">
        <v>0</v>
      </c>
      <c r="C730" s="8">
        <v>30</v>
      </c>
      <c r="D730" s="151">
        <v>0</v>
      </c>
      <c r="E730" s="151"/>
      <c r="F730" s="24" t="s">
        <v>84</v>
      </c>
      <c r="G730" s="30">
        <v>45201</v>
      </c>
      <c r="H730" s="81" t="s">
        <v>525</v>
      </c>
      <c r="I730" s="30">
        <v>45201</v>
      </c>
      <c r="J730" s="16" t="s">
        <v>1120</v>
      </c>
      <c r="K730" s="9" t="s">
        <v>1530</v>
      </c>
      <c r="L730" s="9"/>
      <c r="M730" s="152">
        <v>588000</v>
      </c>
      <c r="N730" s="153">
        <v>0</v>
      </c>
      <c r="O730" s="152">
        <v>0</v>
      </c>
      <c r="P730" s="154">
        <v>0</v>
      </c>
      <c r="Q730" s="152">
        <v>0</v>
      </c>
      <c r="R730" s="9">
        <v>588000</v>
      </c>
      <c r="S730" s="21" t="s">
        <v>1846</v>
      </c>
      <c r="T730" s="117">
        <v>0</v>
      </c>
      <c r="U730" s="117">
        <v>0</v>
      </c>
      <c r="V730" s="117">
        <v>2023</v>
      </c>
      <c r="W730" s="117">
        <v>6</v>
      </c>
      <c r="X730" s="117">
        <v>0</v>
      </c>
      <c r="Y730" s="117">
        <v>0</v>
      </c>
      <c r="Z730" s="21" t="b">
        <v>0</v>
      </c>
      <c r="AA730" s="162">
        <f>+$AD$5-Tabla2[[#This Row],[FECHA DE FACTURACIÓN]]</f>
        <v>242</v>
      </c>
      <c r="AB730" s="163" t="str">
        <f>+IF(Tabla2[[#This Row],[dias de credito]]&gt;=Tabla2[[#This Row],[PLAZO Días]],"venc", "No venc")</f>
        <v>venc</v>
      </c>
      <c r="AC730" s="163" t="str">
        <f>+IF(Tabla2[[#This Row],[FECHA DE PAGO]]&gt;0,"pagada","por pagar")</f>
        <v>pagada</v>
      </c>
      <c r="AD730" s="164" t="str">
        <f>+IF(AND(Tabla2[[#This Row],[venc]]="venc",Tabla2[[#This Row],[estado pago]]="por pagar"),"vencida","no")</f>
        <v>no</v>
      </c>
    </row>
    <row r="731" spans="1:30" ht="19.5" hidden="1" customHeight="1" x14ac:dyDescent="0.25">
      <c r="A731" s="8" t="s">
        <v>1852</v>
      </c>
      <c r="B731" s="8" t="b">
        <v>0</v>
      </c>
      <c r="C731" s="8">
        <v>30</v>
      </c>
      <c r="D731" s="151">
        <v>0</v>
      </c>
      <c r="E731" s="151"/>
      <c r="F731" s="24" t="s">
        <v>84</v>
      </c>
      <c r="G731" s="30">
        <v>45201</v>
      </c>
      <c r="H731" s="81" t="s">
        <v>1824</v>
      </c>
      <c r="I731" s="30">
        <v>45201</v>
      </c>
      <c r="J731" s="16"/>
      <c r="K731" s="9" t="s">
        <v>1530</v>
      </c>
      <c r="L731" s="9"/>
      <c r="M731" s="152">
        <v>1031000</v>
      </c>
      <c r="N731" s="153">
        <v>0</v>
      </c>
      <c r="O731" s="152">
        <v>0</v>
      </c>
      <c r="P731" s="154">
        <v>0</v>
      </c>
      <c r="Q731" s="152">
        <v>0</v>
      </c>
      <c r="R731" s="9">
        <v>1031000</v>
      </c>
      <c r="S731" s="21" t="s">
        <v>1846</v>
      </c>
      <c r="T731" s="117">
        <v>0</v>
      </c>
      <c r="U731" s="117">
        <v>0</v>
      </c>
      <c r="V731" s="117">
        <v>2023</v>
      </c>
      <c r="W731" s="117">
        <v>6</v>
      </c>
      <c r="X731" s="117">
        <v>0</v>
      </c>
      <c r="Y731" s="117">
        <v>0</v>
      </c>
      <c r="Z731" s="21" t="b">
        <v>0</v>
      </c>
      <c r="AA731" s="162">
        <f>+$AD$5-Tabla2[[#This Row],[FECHA DE FACTURACIÓN]]</f>
        <v>242</v>
      </c>
      <c r="AB731" s="163" t="str">
        <f>+IF(Tabla2[[#This Row],[dias de credito]]&gt;=Tabla2[[#This Row],[PLAZO Días]],"venc", "No venc")</f>
        <v>venc</v>
      </c>
      <c r="AC731" s="163" t="str">
        <f>+IF(Tabla2[[#This Row],[FECHA DE PAGO]]&gt;0,"pagada","por pagar")</f>
        <v>pagada</v>
      </c>
      <c r="AD731" s="164" t="str">
        <f>+IF(AND(Tabla2[[#This Row],[venc]]="venc",Tabla2[[#This Row],[estado pago]]="por pagar"),"vencida","no")</f>
        <v>no</v>
      </c>
    </row>
    <row r="732" spans="1:30" ht="19.5" hidden="1" customHeight="1" x14ac:dyDescent="0.25">
      <c r="A732" s="8" t="s">
        <v>1850</v>
      </c>
      <c r="B732" s="8" t="b">
        <v>0</v>
      </c>
      <c r="C732" s="8">
        <v>30</v>
      </c>
      <c r="D732" s="151">
        <v>0</v>
      </c>
      <c r="E732" s="151"/>
      <c r="F732" s="24" t="s">
        <v>84</v>
      </c>
      <c r="G732" s="30">
        <v>45202</v>
      </c>
      <c r="H732" s="81" t="s">
        <v>1803</v>
      </c>
      <c r="I732" s="30">
        <v>45201</v>
      </c>
      <c r="J732" s="16" t="s">
        <v>1157</v>
      </c>
      <c r="K732" s="9" t="s">
        <v>1530</v>
      </c>
      <c r="L732" s="9"/>
      <c r="M732" s="152">
        <v>1921000</v>
      </c>
      <c r="N732" s="153">
        <v>0</v>
      </c>
      <c r="O732" s="152">
        <v>0</v>
      </c>
      <c r="P732" s="154">
        <v>0</v>
      </c>
      <c r="Q732" s="152">
        <v>0</v>
      </c>
      <c r="R732" s="9">
        <v>1921000</v>
      </c>
      <c r="S732" s="21" t="s">
        <v>1846</v>
      </c>
      <c r="T732" s="117">
        <v>0</v>
      </c>
      <c r="U732" s="117">
        <v>0</v>
      </c>
      <c r="V732" s="117">
        <v>2023</v>
      </c>
      <c r="W732" s="117">
        <v>6</v>
      </c>
      <c r="X732" s="117">
        <v>0</v>
      </c>
      <c r="Y732" s="117">
        <v>0</v>
      </c>
      <c r="Z732" s="21" t="b">
        <v>0</v>
      </c>
      <c r="AA732" s="162">
        <f>+$AD$5-Tabla2[[#This Row],[FECHA DE FACTURACIÓN]]</f>
        <v>242</v>
      </c>
      <c r="AB732" s="163" t="str">
        <f>+IF(Tabla2[[#This Row],[dias de credito]]&gt;=Tabla2[[#This Row],[PLAZO Días]],"venc", "No venc")</f>
        <v>venc</v>
      </c>
      <c r="AC732" s="163" t="str">
        <f>+IF(Tabla2[[#This Row],[FECHA DE PAGO]]&gt;0,"pagada","por pagar")</f>
        <v>pagada</v>
      </c>
      <c r="AD732" s="164" t="str">
        <f>+IF(AND(Tabla2[[#This Row],[venc]]="venc",Tabla2[[#This Row],[estado pago]]="por pagar"),"vencida","no")</f>
        <v>no</v>
      </c>
    </row>
    <row r="733" spans="1:30" ht="19.5" hidden="1" customHeight="1" x14ac:dyDescent="0.25">
      <c r="A733" s="8" t="s">
        <v>1852</v>
      </c>
      <c r="B733" s="8" t="b">
        <v>0</v>
      </c>
      <c r="C733" s="8">
        <v>30</v>
      </c>
      <c r="D733" s="151">
        <v>0</v>
      </c>
      <c r="E733" s="151"/>
      <c r="F733" s="24" t="s">
        <v>84</v>
      </c>
      <c r="G733" s="30">
        <v>45202</v>
      </c>
      <c r="H733" s="81" t="s">
        <v>525</v>
      </c>
      <c r="I733" s="30">
        <v>45202</v>
      </c>
      <c r="J733" s="16" t="s">
        <v>1101</v>
      </c>
      <c r="K733" s="9" t="s">
        <v>1530</v>
      </c>
      <c r="L733" s="9"/>
      <c r="M733" s="152">
        <v>150000</v>
      </c>
      <c r="N733" s="153">
        <v>0</v>
      </c>
      <c r="O733" s="152">
        <v>0</v>
      </c>
      <c r="P733" s="154">
        <v>0</v>
      </c>
      <c r="Q733" s="152">
        <v>0</v>
      </c>
      <c r="R733" s="9">
        <v>150000</v>
      </c>
      <c r="S733" s="21" t="s">
        <v>1846</v>
      </c>
      <c r="T733" s="117">
        <v>0</v>
      </c>
      <c r="U733" s="117">
        <v>0</v>
      </c>
      <c r="V733" s="117">
        <v>2023</v>
      </c>
      <c r="W733" s="117">
        <v>6</v>
      </c>
      <c r="X733" s="117">
        <v>0</v>
      </c>
      <c r="Y733" s="117">
        <v>0</v>
      </c>
      <c r="Z733" s="21" t="b">
        <v>0</v>
      </c>
      <c r="AA733" s="162">
        <f>+$AD$5-Tabla2[[#This Row],[FECHA DE FACTURACIÓN]]</f>
        <v>241</v>
      </c>
      <c r="AB733" s="163" t="str">
        <f>+IF(Tabla2[[#This Row],[dias de credito]]&gt;=Tabla2[[#This Row],[PLAZO Días]],"venc", "No venc")</f>
        <v>venc</v>
      </c>
      <c r="AC733" s="163" t="str">
        <f>+IF(Tabla2[[#This Row],[FECHA DE PAGO]]&gt;0,"pagada","por pagar")</f>
        <v>pagada</v>
      </c>
      <c r="AD733" s="164" t="str">
        <f>+IF(AND(Tabla2[[#This Row],[venc]]="venc",Tabla2[[#This Row],[estado pago]]="por pagar"),"vencida","no")</f>
        <v>no</v>
      </c>
    </row>
    <row r="734" spans="1:30" ht="19.5" hidden="1" customHeight="1" x14ac:dyDescent="0.25">
      <c r="A734" s="8" t="s">
        <v>1852</v>
      </c>
      <c r="B734" s="8" t="b">
        <v>0</v>
      </c>
      <c r="C734" s="8">
        <v>30</v>
      </c>
      <c r="D734" s="151">
        <v>0</v>
      </c>
      <c r="E734" s="151"/>
      <c r="F734" s="24" t="s">
        <v>84</v>
      </c>
      <c r="G734" s="30">
        <v>45202</v>
      </c>
      <c r="H734" s="81" t="s">
        <v>525</v>
      </c>
      <c r="I734" s="30">
        <v>45202</v>
      </c>
      <c r="J734" s="16" t="s">
        <v>1121</v>
      </c>
      <c r="K734" s="9" t="s">
        <v>1530</v>
      </c>
      <c r="L734" s="9"/>
      <c r="M734" s="152">
        <v>210000</v>
      </c>
      <c r="N734" s="153">
        <v>0</v>
      </c>
      <c r="O734" s="152">
        <v>0</v>
      </c>
      <c r="P734" s="154">
        <v>0</v>
      </c>
      <c r="Q734" s="152">
        <v>0</v>
      </c>
      <c r="R734" s="9">
        <v>210000</v>
      </c>
      <c r="S734" s="21" t="s">
        <v>1846</v>
      </c>
      <c r="T734" s="117">
        <v>0</v>
      </c>
      <c r="U734" s="117">
        <v>0</v>
      </c>
      <c r="V734" s="117">
        <v>2023</v>
      </c>
      <c r="W734" s="117">
        <v>6</v>
      </c>
      <c r="X734" s="117">
        <v>0</v>
      </c>
      <c r="Y734" s="117">
        <v>0</v>
      </c>
      <c r="Z734" s="21" t="b">
        <v>0</v>
      </c>
      <c r="AA734" s="162">
        <f>+$AD$5-Tabla2[[#This Row],[FECHA DE FACTURACIÓN]]</f>
        <v>241</v>
      </c>
      <c r="AB734" s="163" t="str">
        <f>+IF(Tabla2[[#This Row],[dias de credito]]&gt;=Tabla2[[#This Row],[PLAZO Días]],"venc", "No venc")</f>
        <v>venc</v>
      </c>
      <c r="AC734" s="163" t="str">
        <f>+IF(Tabla2[[#This Row],[FECHA DE PAGO]]&gt;0,"pagada","por pagar")</f>
        <v>pagada</v>
      </c>
      <c r="AD734" s="164" t="str">
        <f>+IF(AND(Tabla2[[#This Row],[venc]]="venc",Tabla2[[#This Row],[estado pago]]="por pagar"),"vencida","no")</f>
        <v>no</v>
      </c>
    </row>
    <row r="735" spans="1:30" ht="19.5" hidden="1" customHeight="1" x14ac:dyDescent="0.25">
      <c r="A735" s="8" t="s">
        <v>1852</v>
      </c>
      <c r="B735" s="8" t="b">
        <v>0</v>
      </c>
      <c r="C735" s="8">
        <v>30</v>
      </c>
      <c r="D735" s="151">
        <v>0</v>
      </c>
      <c r="E735" s="151"/>
      <c r="F735" s="24">
        <v>0</v>
      </c>
      <c r="G735" s="30">
        <v>45202</v>
      </c>
      <c r="H735" s="81" t="s">
        <v>836</v>
      </c>
      <c r="I735" s="30">
        <v>45202</v>
      </c>
      <c r="J735" s="16"/>
      <c r="K735" s="9" t="s">
        <v>1530</v>
      </c>
      <c r="L735" s="9"/>
      <c r="M735" s="152">
        <v>392000</v>
      </c>
      <c r="N735" s="153">
        <v>0</v>
      </c>
      <c r="O735" s="152">
        <v>0</v>
      </c>
      <c r="P735" s="154">
        <v>0</v>
      </c>
      <c r="Q735" s="152">
        <v>0</v>
      </c>
      <c r="R735" s="9">
        <v>392000</v>
      </c>
      <c r="S735" s="21" t="s">
        <v>1846</v>
      </c>
      <c r="T735" s="117">
        <v>0</v>
      </c>
      <c r="U735" s="117">
        <v>0</v>
      </c>
      <c r="V735" s="117">
        <v>2023</v>
      </c>
      <c r="W735" s="117">
        <v>6</v>
      </c>
      <c r="X735" s="117">
        <v>0</v>
      </c>
      <c r="Y735" s="117">
        <v>0</v>
      </c>
      <c r="Z735" s="21" t="b">
        <v>0</v>
      </c>
      <c r="AA735" s="162">
        <f>+$AD$5-Tabla2[[#This Row],[FECHA DE FACTURACIÓN]]</f>
        <v>241</v>
      </c>
      <c r="AB735" s="163" t="str">
        <f>+IF(Tabla2[[#This Row],[dias de credito]]&gt;=Tabla2[[#This Row],[PLAZO Días]],"venc", "No venc")</f>
        <v>venc</v>
      </c>
      <c r="AC735" s="163" t="str">
        <f>+IF(Tabla2[[#This Row],[FECHA DE PAGO]]&gt;0,"pagada","por pagar")</f>
        <v>pagada</v>
      </c>
      <c r="AD735" s="164" t="str">
        <f>+IF(AND(Tabla2[[#This Row],[venc]]="venc",Tabla2[[#This Row],[estado pago]]="por pagar"),"vencida","no")</f>
        <v>no</v>
      </c>
    </row>
    <row r="736" spans="1:30" ht="19.5" hidden="1" customHeight="1" x14ac:dyDescent="0.25">
      <c r="A736" s="8" t="s">
        <v>1850</v>
      </c>
      <c r="B736" s="8" t="s">
        <v>1851</v>
      </c>
      <c r="C736" s="8">
        <v>30</v>
      </c>
      <c r="D736" s="151">
        <v>0</v>
      </c>
      <c r="E736" s="151"/>
      <c r="F736" s="24" t="s">
        <v>227</v>
      </c>
      <c r="G736" s="30">
        <v>45203</v>
      </c>
      <c r="H736" s="81" t="s">
        <v>360</v>
      </c>
      <c r="I736" s="30">
        <v>45126</v>
      </c>
      <c r="J736" s="16" t="s">
        <v>936</v>
      </c>
      <c r="K736" s="9" t="s">
        <v>1530</v>
      </c>
      <c r="L736" s="9"/>
      <c r="M736" s="152">
        <v>4343040</v>
      </c>
      <c r="N736" s="153">
        <v>825177.59999999998</v>
      </c>
      <c r="O736" s="152">
        <v>0</v>
      </c>
      <c r="P736" s="154">
        <v>0</v>
      </c>
      <c r="Q736" s="152">
        <v>0</v>
      </c>
      <c r="R736" s="9">
        <v>5168217.5999999996</v>
      </c>
      <c r="S736" s="21" t="s">
        <v>1846</v>
      </c>
      <c r="T736" s="117">
        <v>0</v>
      </c>
      <c r="U736" s="117">
        <v>0</v>
      </c>
      <c r="V736" s="117">
        <v>2023</v>
      </c>
      <c r="W736" s="117">
        <v>6</v>
      </c>
      <c r="X736" s="117">
        <v>0</v>
      </c>
      <c r="Y736" s="117">
        <v>0</v>
      </c>
      <c r="Z736" s="21" t="b">
        <v>1</v>
      </c>
      <c r="AA736" s="162">
        <f>+$AD$5-Tabla2[[#This Row],[FECHA DE FACTURACIÓN]]</f>
        <v>317</v>
      </c>
      <c r="AB736" s="163" t="str">
        <f>+IF(Tabla2[[#This Row],[dias de credito]]&gt;=Tabla2[[#This Row],[PLAZO Días]],"venc", "No venc")</f>
        <v>venc</v>
      </c>
      <c r="AC736" s="163" t="str">
        <f>+IF(Tabla2[[#This Row],[FECHA DE PAGO]]&gt;0,"pagada","por pagar")</f>
        <v>pagada</v>
      </c>
      <c r="AD736" s="164" t="str">
        <f>+IF(AND(Tabla2[[#This Row],[venc]]="venc",Tabla2[[#This Row],[estado pago]]="por pagar"),"vencida","no")</f>
        <v>no</v>
      </c>
    </row>
    <row r="737" spans="1:30" ht="19.5" hidden="1" customHeight="1" x14ac:dyDescent="0.25">
      <c r="A737" s="8" t="s">
        <v>1850</v>
      </c>
      <c r="B737" s="8" t="s">
        <v>1851</v>
      </c>
      <c r="C737" s="8">
        <v>30</v>
      </c>
      <c r="D737" s="151">
        <v>0</v>
      </c>
      <c r="E737" s="151"/>
      <c r="F737" s="24" t="s">
        <v>227</v>
      </c>
      <c r="G737" s="30">
        <v>45203</v>
      </c>
      <c r="H737" s="81" t="s">
        <v>360</v>
      </c>
      <c r="I737" s="30">
        <v>45134</v>
      </c>
      <c r="J737" s="16" t="s">
        <v>953</v>
      </c>
      <c r="K737" s="9" t="s">
        <v>1530</v>
      </c>
      <c r="L737" s="9"/>
      <c r="M737" s="152">
        <v>2187560</v>
      </c>
      <c r="N737" s="153">
        <v>415636.4</v>
      </c>
      <c r="O737" s="152">
        <v>0</v>
      </c>
      <c r="P737" s="154">
        <v>0</v>
      </c>
      <c r="Q737" s="152">
        <v>0</v>
      </c>
      <c r="R737" s="9">
        <v>2603196.4</v>
      </c>
      <c r="S737" s="21" t="s">
        <v>1846</v>
      </c>
      <c r="T737" s="117">
        <v>0</v>
      </c>
      <c r="U737" s="117">
        <v>0</v>
      </c>
      <c r="V737" s="117">
        <v>2023</v>
      </c>
      <c r="W737" s="117">
        <v>6</v>
      </c>
      <c r="X737" s="117">
        <v>0</v>
      </c>
      <c r="Y737" s="117">
        <v>0</v>
      </c>
      <c r="Z737" s="21" t="b">
        <v>1</v>
      </c>
      <c r="AA737" s="162">
        <f>+$AD$5-Tabla2[[#This Row],[FECHA DE FACTURACIÓN]]</f>
        <v>309</v>
      </c>
      <c r="AB737" s="163" t="str">
        <f>+IF(Tabla2[[#This Row],[dias de credito]]&gt;=Tabla2[[#This Row],[PLAZO Días]],"venc", "No venc")</f>
        <v>venc</v>
      </c>
      <c r="AC737" s="163" t="str">
        <f>+IF(Tabla2[[#This Row],[FECHA DE PAGO]]&gt;0,"pagada","por pagar")</f>
        <v>pagada</v>
      </c>
      <c r="AD737" s="164" t="str">
        <f>+IF(AND(Tabla2[[#This Row],[venc]]="venc",Tabla2[[#This Row],[estado pago]]="por pagar"),"vencida","no")</f>
        <v>no</v>
      </c>
    </row>
    <row r="738" spans="1:30" ht="19.5" hidden="1" customHeight="1" x14ac:dyDescent="0.25">
      <c r="A738" s="8" t="s">
        <v>1850</v>
      </c>
      <c r="B738" s="8" t="s">
        <v>1851</v>
      </c>
      <c r="C738" s="8">
        <v>30</v>
      </c>
      <c r="D738" s="151">
        <v>0</v>
      </c>
      <c r="E738" s="151"/>
      <c r="F738" s="24" t="s">
        <v>232</v>
      </c>
      <c r="G738" s="30">
        <v>45203</v>
      </c>
      <c r="H738" s="81" t="s">
        <v>1729</v>
      </c>
      <c r="I738" s="30">
        <v>45145</v>
      </c>
      <c r="J738" s="16">
        <v>90105</v>
      </c>
      <c r="K738" s="9" t="s">
        <v>1530</v>
      </c>
      <c r="L738" s="9"/>
      <c r="M738" s="152">
        <v>2208124.6799999997</v>
      </c>
      <c r="N738" s="153">
        <v>0</v>
      </c>
      <c r="O738" s="152">
        <v>0</v>
      </c>
      <c r="P738" s="154">
        <v>0</v>
      </c>
      <c r="Q738" s="152">
        <v>0</v>
      </c>
      <c r="R738" s="9">
        <v>2208124.6799999997</v>
      </c>
      <c r="S738" s="21" t="s">
        <v>1846</v>
      </c>
      <c r="T738" s="117">
        <v>0</v>
      </c>
      <c r="U738" s="117">
        <v>0</v>
      </c>
      <c r="V738" s="117">
        <v>2023</v>
      </c>
      <c r="W738" s="117">
        <v>6</v>
      </c>
      <c r="X738" s="117">
        <v>0</v>
      </c>
      <c r="Y738" s="117">
        <v>0</v>
      </c>
      <c r="Z738" s="21" t="b">
        <v>0</v>
      </c>
      <c r="AA738" s="162">
        <f>+$AD$5-Tabla2[[#This Row],[FECHA DE FACTURACIÓN]]</f>
        <v>298</v>
      </c>
      <c r="AB738" s="163" t="str">
        <f>+IF(Tabla2[[#This Row],[dias de credito]]&gt;=Tabla2[[#This Row],[PLAZO Días]],"venc", "No venc")</f>
        <v>venc</v>
      </c>
      <c r="AC738" s="163" t="str">
        <f>+IF(Tabla2[[#This Row],[FECHA DE PAGO]]&gt;0,"pagada","por pagar")</f>
        <v>pagada</v>
      </c>
      <c r="AD738" s="164" t="str">
        <f>+IF(AND(Tabla2[[#This Row],[venc]]="venc",Tabla2[[#This Row],[estado pago]]="por pagar"),"vencida","no")</f>
        <v>no</v>
      </c>
    </row>
    <row r="739" spans="1:30" ht="19.5" hidden="1" customHeight="1" x14ac:dyDescent="0.25">
      <c r="A739" s="8" t="s">
        <v>1850</v>
      </c>
      <c r="B739" s="8" t="s">
        <v>1851</v>
      </c>
      <c r="C739" s="8">
        <v>30</v>
      </c>
      <c r="D739" s="151">
        <v>0</v>
      </c>
      <c r="E739" s="151"/>
      <c r="F739" s="24" t="s">
        <v>232</v>
      </c>
      <c r="G739" s="30">
        <v>45203</v>
      </c>
      <c r="H739" s="81" t="s">
        <v>1729</v>
      </c>
      <c r="I739" s="30">
        <v>45147</v>
      </c>
      <c r="J739" s="16">
        <v>90276</v>
      </c>
      <c r="K739" s="9" t="s">
        <v>1530</v>
      </c>
      <c r="L739" s="9"/>
      <c r="M739" s="152">
        <v>3715930</v>
      </c>
      <c r="N739" s="153">
        <v>0</v>
      </c>
      <c r="O739" s="152">
        <v>0</v>
      </c>
      <c r="P739" s="154">
        <v>0</v>
      </c>
      <c r="Q739" s="152">
        <v>0</v>
      </c>
      <c r="R739" s="9">
        <v>3715930</v>
      </c>
      <c r="S739" s="21" t="s">
        <v>1846</v>
      </c>
      <c r="T739" s="117">
        <v>0</v>
      </c>
      <c r="U739" s="117">
        <v>0</v>
      </c>
      <c r="V739" s="117">
        <v>2023</v>
      </c>
      <c r="W739" s="117">
        <v>6</v>
      </c>
      <c r="X739" s="117">
        <v>0</v>
      </c>
      <c r="Y739" s="117">
        <v>0</v>
      </c>
      <c r="Z739" s="21" t="b">
        <v>0</v>
      </c>
      <c r="AA739" s="162">
        <f>+$AD$5-Tabla2[[#This Row],[FECHA DE FACTURACIÓN]]</f>
        <v>296</v>
      </c>
      <c r="AB739" s="163" t="str">
        <f>+IF(Tabla2[[#This Row],[dias de credito]]&gt;=Tabla2[[#This Row],[PLAZO Días]],"venc", "No venc")</f>
        <v>venc</v>
      </c>
      <c r="AC739" s="163" t="str">
        <f>+IF(Tabla2[[#This Row],[FECHA DE PAGO]]&gt;0,"pagada","por pagar")</f>
        <v>pagada</v>
      </c>
      <c r="AD739" s="164" t="str">
        <f>+IF(AND(Tabla2[[#This Row],[venc]]="venc",Tabla2[[#This Row],[estado pago]]="por pagar"),"vencida","no")</f>
        <v>no</v>
      </c>
    </row>
    <row r="740" spans="1:30" ht="19.5" hidden="1" customHeight="1" x14ac:dyDescent="0.25">
      <c r="A740" s="8" t="s">
        <v>1850</v>
      </c>
      <c r="B740" s="8" t="s">
        <v>1851</v>
      </c>
      <c r="C740" s="8">
        <v>30</v>
      </c>
      <c r="D740" s="151">
        <v>0</v>
      </c>
      <c r="E740" s="151"/>
      <c r="F740" s="24" t="s">
        <v>232</v>
      </c>
      <c r="G740" s="30">
        <v>45203</v>
      </c>
      <c r="H740" s="81" t="s">
        <v>1729</v>
      </c>
      <c r="I740" s="30">
        <v>45147</v>
      </c>
      <c r="J740" s="16">
        <v>90700</v>
      </c>
      <c r="K740" s="9" t="s">
        <v>1530</v>
      </c>
      <c r="L740" s="9"/>
      <c r="M740" s="152">
        <v>3433190.84</v>
      </c>
      <c r="N740" s="153">
        <v>0</v>
      </c>
      <c r="O740" s="152">
        <v>0</v>
      </c>
      <c r="P740" s="154">
        <v>0</v>
      </c>
      <c r="Q740" s="152">
        <v>0</v>
      </c>
      <c r="R740" s="9">
        <v>3433190.84</v>
      </c>
      <c r="S740" s="21" t="s">
        <v>1846</v>
      </c>
      <c r="T740" s="117">
        <v>0</v>
      </c>
      <c r="U740" s="117">
        <v>0</v>
      </c>
      <c r="V740" s="117">
        <v>2023</v>
      </c>
      <c r="W740" s="117">
        <v>6</v>
      </c>
      <c r="X740" s="117">
        <v>0</v>
      </c>
      <c r="Y740" s="117">
        <v>0</v>
      </c>
      <c r="Z740" s="21" t="b">
        <v>0</v>
      </c>
      <c r="AA740" s="162">
        <f>+$AD$5-Tabla2[[#This Row],[FECHA DE FACTURACIÓN]]</f>
        <v>296</v>
      </c>
      <c r="AB740" s="163" t="str">
        <f>+IF(Tabla2[[#This Row],[dias de credito]]&gt;=Tabla2[[#This Row],[PLAZO Días]],"venc", "No venc")</f>
        <v>venc</v>
      </c>
      <c r="AC740" s="163" t="str">
        <f>+IF(Tabla2[[#This Row],[FECHA DE PAGO]]&gt;0,"pagada","por pagar")</f>
        <v>pagada</v>
      </c>
      <c r="AD740" s="164" t="str">
        <f>+IF(AND(Tabla2[[#This Row],[venc]]="venc",Tabla2[[#This Row],[estado pago]]="por pagar"),"vencida","no")</f>
        <v>no</v>
      </c>
    </row>
    <row r="741" spans="1:30" ht="19.5" hidden="1" customHeight="1" x14ac:dyDescent="0.25">
      <c r="A741" s="8" t="s">
        <v>1850</v>
      </c>
      <c r="B741" s="8" t="b">
        <v>0</v>
      </c>
      <c r="C741" s="8">
        <v>30</v>
      </c>
      <c r="D741" s="151">
        <v>0</v>
      </c>
      <c r="E741" s="151"/>
      <c r="F741" s="24">
        <v>0</v>
      </c>
      <c r="G741" s="30">
        <v>45203</v>
      </c>
      <c r="H741" s="81" t="s">
        <v>387</v>
      </c>
      <c r="I741" s="30">
        <v>45200</v>
      </c>
      <c r="J741" s="16" t="s">
        <v>441</v>
      </c>
      <c r="K741" s="9" t="s">
        <v>1530</v>
      </c>
      <c r="L741" s="9"/>
      <c r="M741" s="152">
        <v>129083</v>
      </c>
      <c r="N741" s="153">
        <v>0</v>
      </c>
      <c r="O741" s="152">
        <v>0</v>
      </c>
      <c r="P741" s="154">
        <v>0</v>
      </c>
      <c r="Q741" s="152">
        <v>0</v>
      </c>
      <c r="R741" s="9">
        <v>129083</v>
      </c>
      <c r="S741" s="21" t="s">
        <v>1846</v>
      </c>
      <c r="T741" s="117">
        <v>0</v>
      </c>
      <c r="U741" s="117">
        <v>0</v>
      </c>
      <c r="V741" s="117">
        <v>2023</v>
      </c>
      <c r="W741" s="117">
        <v>6</v>
      </c>
      <c r="X741" s="117">
        <v>0</v>
      </c>
      <c r="Y741" s="117">
        <v>0</v>
      </c>
      <c r="Z741" s="21" t="b">
        <v>1</v>
      </c>
      <c r="AA741" s="162">
        <f>+$AD$5-Tabla2[[#This Row],[FECHA DE FACTURACIÓN]]</f>
        <v>243</v>
      </c>
      <c r="AB741" s="163" t="str">
        <f>+IF(Tabla2[[#This Row],[dias de credito]]&gt;=Tabla2[[#This Row],[PLAZO Días]],"venc", "No venc")</f>
        <v>venc</v>
      </c>
      <c r="AC741" s="163" t="str">
        <f>+IF(Tabla2[[#This Row],[FECHA DE PAGO]]&gt;0,"pagada","por pagar")</f>
        <v>pagada</v>
      </c>
      <c r="AD741" s="164" t="str">
        <f>+IF(AND(Tabla2[[#This Row],[venc]]="venc",Tabla2[[#This Row],[estado pago]]="por pagar"),"vencida","no")</f>
        <v>no</v>
      </c>
    </row>
    <row r="742" spans="1:30" ht="19.5" hidden="1" customHeight="1" x14ac:dyDescent="0.25">
      <c r="A742" s="8" t="s">
        <v>1852</v>
      </c>
      <c r="B742" s="8" t="b">
        <v>0</v>
      </c>
      <c r="C742" s="8">
        <v>30</v>
      </c>
      <c r="D742" s="151">
        <v>0</v>
      </c>
      <c r="E742" s="151"/>
      <c r="F742" s="24">
        <v>0</v>
      </c>
      <c r="G742" s="30">
        <v>45203</v>
      </c>
      <c r="H742" s="81" t="s">
        <v>1122</v>
      </c>
      <c r="I742" s="30">
        <v>45203</v>
      </c>
      <c r="J742" s="16" t="s">
        <v>1123</v>
      </c>
      <c r="K742" s="9" t="s">
        <v>1530</v>
      </c>
      <c r="L742" s="9"/>
      <c r="M742" s="152">
        <v>833450</v>
      </c>
      <c r="N742" s="153">
        <v>0</v>
      </c>
      <c r="O742" s="152">
        <v>0</v>
      </c>
      <c r="P742" s="154">
        <v>0</v>
      </c>
      <c r="Q742" s="152">
        <v>0</v>
      </c>
      <c r="R742" s="9">
        <v>833450</v>
      </c>
      <c r="S742" s="21" t="s">
        <v>1846</v>
      </c>
      <c r="T742" s="117">
        <v>0</v>
      </c>
      <c r="U742" s="117">
        <v>0</v>
      </c>
      <c r="V742" s="117">
        <v>2023</v>
      </c>
      <c r="W742" s="117">
        <v>6</v>
      </c>
      <c r="X742" s="117">
        <v>0</v>
      </c>
      <c r="Y742" s="117">
        <v>0</v>
      </c>
      <c r="Z742" s="21" t="b">
        <v>0</v>
      </c>
      <c r="AA742" s="162">
        <f>+$AD$5-Tabla2[[#This Row],[FECHA DE FACTURACIÓN]]</f>
        <v>240</v>
      </c>
      <c r="AB742" s="163" t="str">
        <f>+IF(Tabla2[[#This Row],[dias de credito]]&gt;=Tabla2[[#This Row],[PLAZO Días]],"venc", "No venc")</f>
        <v>venc</v>
      </c>
      <c r="AC742" s="163" t="str">
        <f>+IF(Tabla2[[#This Row],[FECHA DE PAGO]]&gt;0,"pagada","por pagar")</f>
        <v>pagada</v>
      </c>
      <c r="AD742" s="164" t="str">
        <f>+IF(AND(Tabla2[[#This Row],[venc]]="venc",Tabla2[[#This Row],[estado pago]]="por pagar"),"vencida","no")</f>
        <v>no</v>
      </c>
    </row>
    <row r="743" spans="1:30" ht="19.5" hidden="1" customHeight="1" x14ac:dyDescent="0.25">
      <c r="A743" s="8" t="s">
        <v>1850</v>
      </c>
      <c r="B743" s="8" t="b">
        <v>0</v>
      </c>
      <c r="C743" s="8">
        <v>60</v>
      </c>
      <c r="D743" s="151">
        <v>1730482</v>
      </c>
      <c r="E743" s="151"/>
      <c r="F743" s="24" t="s">
        <v>603</v>
      </c>
      <c r="G743" s="30">
        <v>45205</v>
      </c>
      <c r="H743" s="81" t="s">
        <v>222</v>
      </c>
      <c r="I743" s="30">
        <v>45169</v>
      </c>
      <c r="J743" s="16">
        <v>1770</v>
      </c>
      <c r="K743" s="9" t="s">
        <v>1530</v>
      </c>
      <c r="L743" s="9"/>
      <c r="M743" s="152">
        <v>1024800</v>
      </c>
      <c r="N743" s="153">
        <v>0</v>
      </c>
      <c r="O743" s="152">
        <v>0</v>
      </c>
      <c r="P743" s="154">
        <v>0</v>
      </c>
      <c r="Q743" s="152">
        <v>0</v>
      </c>
      <c r="R743" s="9">
        <v>1024800</v>
      </c>
      <c r="S743" s="21" t="s">
        <v>1846</v>
      </c>
      <c r="T743" s="117">
        <v>0</v>
      </c>
      <c r="U743" s="117">
        <v>0</v>
      </c>
      <c r="V743" s="117">
        <v>2023</v>
      </c>
      <c r="W743" s="117">
        <v>6</v>
      </c>
      <c r="X743" s="117">
        <v>0</v>
      </c>
      <c r="Y743" s="117">
        <v>0</v>
      </c>
      <c r="Z743" s="21" t="b">
        <v>0</v>
      </c>
      <c r="AA743" s="162">
        <f>+$AD$5-Tabla2[[#This Row],[FECHA DE FACTURACIÓN]]</f>
        <v>274</v>
      </c>
      <c r="AB743" s="163" t="str">
        <f>+IF(Tabla2[[#This Row],[dias de credito]]&gt;=Tabla2[[#This Row],[PLAZO Días]],"venc", "No venc")</f>
        <v>venc</v>
      </c>
      <c r="AC743" s="163" t="str">
        <f>+IF(Tabla2[[#This Row],[FECHA DE PAGO]]&gt;0,"pagada","por pagar")</f>
        <v>pagada</v>
      </c>
      <c r="AD743" s="164" t="str">
        <f>+IF(AND(Tabla2[[#This Row],[venc]]="venc",Tabla2[[#This Row],[estado pago]]="por pagar"),"vencida","no")</f>
        <v>no</v>
      </c>
    </row>
    <row r="744" spans="1:30" ht="19.5" hidden="1" customHeight="1" x14ac:dyDescent="0.25">
      <c r="A744" s="8" t="s">
        <v>1850</v>
      </c>
      <c r="B744" s="8" t="b">
        <v>0</v>
      </c>
      <c r="C744" s="8">
        <v>45</v>
      </c>
      <c r="D744" s="151">
        <v>0</v>
      </c>
      <c r="E744" s="151"/>
      <c r="F744" s="24" t="s">
        <v>603</v>
      </c>
      <c r="G744" s="30">
        <v>45205</v>
      </c>
      <c r="H744" s="81" t="s">
        <v>1726</v>
      </c>
      <c r="I744" s="30">
        <v>45169</v>
      </c>
      <c r="J744" s="16">
        <v>1772</v>
      </c>
      <c r="K744" s="9" t="s">
        <v>1530</v>
      </c>
      <c r="L744" s="9"/>
      <c r="M744" s="152">
        <v>5107410</v>
      </c>
      <c r="N744" s="153">
        <v>0</v>
      </c>
      <c r="O744" s="152">
        <v>0</v>
      </c>
      <c r="P744" s="154">
        <v>0</v>
      </c>
      <c r="Q744" s="152">
        <v>0</v>
      </c>
      <c r="R744" s="9">
        <v>5107410</v>
      </c>
      <c r="S744" s="21" t="s">
        <v>1846</v>
      </c>
      <c r="T744" s="117">
        <v>0</v>
      </c>
      <c r="U744" s="117">
        <v>0</v>
      </c>
      <c r="V744" s="117">
        <v>2023</v>
      </c>
      <c r="W744" s="117">
        <v>6</v>
      </c>
      <c r="X744" s="117">
        <v>0</v>
      </c>
      <c r="Y744" s="117">
        <v>0</v>
      </c>
      <c r="Z744" s="21" t="b">
        <v>0</v>
      </c>
      <c r="AA744" s="162">
        <f>+$AD$5-Tabla2[[#This Row],[FECHA DE FACTURACIÓN]]</f>
        <v>274</v>
      </c>
      <c r="AB744" s="163" t="str">
        <f>+IF(Tabla2[[#This Row],[dias de credito]]&gt;=Tabla2[[#This Row],[PLAZO Días]],"venc", "No venc")</f>
        <v>venc</v>
      </c>
      <c r="AC744" s="163" t="str">
        <f>+IF(Tabla2[[#This Row],[FECHA DE PAGO]]&gt;0,"pagada","por pagar")</f>
        <v>pagada</v>
      </c>
      <c r="AD744" s="164" t="str">
        <f>+IF(AND(Tabla2[[#This Row],[venc]]="venc",Tabla2[[#This Row],[estado pago]]="por pagar"),"vencida","no")</f>
        <v>no</v>
      </c>
    </row>
    <row r="745" spans="1:30" ht="19.5" hidden="1" customHeight="1" x14ac:dyDescent="0.25">
      <c r="A745" s="8" t="s">
        <v>1850</v>
      </c>
      <c r="B745" s="8" t="b">
        <v>0</v>
      </c>
      <c r="C745" s="8">
        <v>45</v>
      </c>
      <c r="D745" s="151">
        <v>0</v>
      </c>
      <c r="E745" s="151"/>
      <c r="F745" s="24" t="s">
        <v>603</v>
      </c>
      <c r="G745" s="30">
        <v>45205</v>
      </c>
      <c r="H745" s="81" t="s">
        <v>224</v>
      </c>
      <c r="I745" s="30">
        <v>45169</v>
      </c>
      <c r="J745" s="16">
        <v>1771</v>
      </c>
      <c r="K745" s="9" t="s">
        <v>1530</v>
      </c>
      <c r="L745" s="9"/>
      <c r="M745" s="152">
        <v>2793000</v>
      </c>
      <c r="N745" s="153">
        <v>0</v>
      </c>
      <c r="O745" s="152">
        <v>0</v>
      </c>
      <c r="P745" s="154">
        <v>0</v>
      </c>
      <c r="Q745" s="152">
        <v>0</v>
      </c>
      <c r="R745" s="9">
        <v>2793000</v>
      </c>
      <c r="S745" s="21" t="s">
        <v>1846</v>
      </c>
      <c r="T745" s="117">
        <v>0</v>
      </c>
      <c r="U745" s="117">
        <v>0</v>
      </c>
      <c r="V745" s="117">
        <v>2023</v>
      </c>
      <c r="W745" s="117">
        <v>6</v>
      </c>
      <c r="X745" s="117">
        <v>0</v>
      </c>
      <c r="Y745" s="117">
        <v>0</v>
      </c>
      <c r="Z745" s="21" t="b">
        <v>0</v>
      </c>
      <c r="AA745" s="162">
        <f>+$AD$5-Tabla2[[#This Row],[FECHA DE FACTURACIÓN]]</f>
        <v>274</v>
      </c>
      <c r="AB745" s="163" t="str">
        <f>+IF(Tabla2[[#This Row],[dias de credito]]&gt;=Tabla2[[#This Row],[PLAZO Días]],"venc", "No venc")</f>
        <v>venc</v>
      </c>
      <c r="AC745" s="163" t="str">
        <f>+IF(Tabla2[[#This Row],[FECHA DE PAGO]]&gt;0,"pagada","por pagar")</f>
        <v>pagada</v>
      </c>
      <c r="AD745" s="164" t="str">
        <f>+IF(AND(Tabla2[[#This Row],[venc]]="venc",Tabla2[[#This Row],[estado pago]]="por pagar"),"vencida","no")</f>
        <v>no</v>
      </c>
    </row>
    <row r="746" spans="1:30" ht="19.5" hidden="1" customHeight="1" x14ac:dyDescent="0.25">
      <c r="A746" s="8" t="s">
        <v>1850</v>
      </c>
      <c r="B746" s="8" t="b">
        <v>0</v>
      </c>
      <c r="C746" s="8">
        <v>45</v>
      </c>
      <c r="D746" s="151">
        <v>0</v>
      </c>
      <c r="E746" s="151"/>
      <c r="F746" s="24" t="s">
        <v>603</v>
      </c>
      <c r="G746" s="30">
        <v>45205</v>
      </c>
      <c r="H746" s="81" t="s">
        <v>224</v>
      </c>
      <c r="I746" s="30">
        <v>45169</v>
      </c>
      <c r="J746" s="16">
        <v>1773</v>
      </c>
      <c r="K746" s="9" t="s">
        <v>1530</v>
      </c>
      <c r="L746" s="9"/>
      <c r="M746" s="152">
        <v>1512420</v>
      </c>
      <c r="N746" s="153">
        <v>0</v>
      </c>
      <c r="O746" s="152">
        <v>0</v>
      </c>
      <c r="P746" s="154">
        <v>0</v>
      </c>
      <c r="Q746" s="152">
        <v>0</v>
      </c>
      <c r="R746" s="9">
        <v>1512420</v>
      </c>
      <c r="S746" s="21" t="s">
        <v>1846</v>
      </c>
      <c r="T746" s="117">
        <v>0</v>
      </c>
      <c r="U746" s="117">
        <v>0</v>
      </c>
      <c r="V746" s="117">
        <v>2023</v>
      </c>
      <c r="W746" s="117">
        <v>6</v>
      </c>
      <c r="X746" s="117">
        <v>0</v>
      </c>
      <c r="Y746" s="117">
        <v>0</v>
      </c>
      <c r="Z746" s="21" t="b">
        <v>0</v>
      </c>
      <c r="AA746" s="162">
        <f>+$AD$5-Tabla2[[#This Row],[FECHA DE FACTURACIÓN]]</f>
        <v>274</v>
      </c>
      <c r="AB746" s="163" t="str">
        <f>+IF(Tabla2[[#This Row],[dias de credito]]&gt;=Tabla2[[#This Row],[PLAZO Días]],"venc", "No venc")</f>
        <v>venc</v>
      </c>
      <c r="AC746" s="163" t="str">
        <f>+IF(Tabla2[[#This Row],[FECHA DE PAGO]]&gt;0,"pagada","por pagar")</f>
        <v>pagada</v>
      </c>
      <c r="AD746" s="164" t="str">
        <f>+IF(AND(Tabla2[[#This Row],[venc]]="venc",Tabla2[[#This Row],[estado pago]]="por pagar"),"vencida","no")</f>
        <v>no</v>
      </c>
    </row>
    <row r="747" spans="1:30" ht="19.5" hidden="1" customHeight="1" x14ac:dyDescent="0.25">
      <c r="A747" s="8" t="s">
        <v>1850</v>
      </c>
      <c r="B747" s="8" t="s">
        <v>1851</v>
      </c>
      <c r="C747" s="8">
        <v>30</v>
      </c>
      <c r="D747" s="151">
        <v>4316000</v>
      </c>
      <c r="E747" s="151"/>
      <c r="F747" s="24" t="s">
        <v>84</v>
      </c>
      <c r="G747" s="30">
        <v>45205</v>
      </c>
      <c r="H747" s="81" t="s">
        <v>1812</v>
      </c>
      <c r="I747" s="30">
        <v>45169</v>
      </c>
      <c r="J747" s="16" t="s">
        <v>1030</v>
      </c>
      <c r="K747" s="9" t="s">
        <v>1530</v>
      </c>
      <c r="L747" s="9"/>
      <c r="M747" s="152">
        <v>447500</v>
      </c>
      <c r="N747" s="153">
        <v>0</v>
      </c>
      <c r="O747" s="152">
        <v>0</v>
      </c>
      <c r="P747" s="154">
        <v>0</v>
      </c>
      <c r="Q747" s="152">
        <v>0</v>
      </c>
      <c r="R747" s="9">
        <v>447500</v>
      </c>
      <c r="S747" s="21" t="s">
        <v>1846</v>
      </c>
      <c r="T747" s="117">
        <v>0</v>
      </c>
      <c r="U747" s="117">
        <v>0</v>
      </c>
      <c r="V747" s="117">
        <v>2023</v>
      </c>
      <c r="W747" s="117">
        <v>6</v>
      </c>
      <c r="X747" s="117">
        <v>0</v>
      </c>
      <c r="Y747" s="117">
        <v>0</v>
      </c>
      <c r="Z747" s="21" t="b">
        <v>0</v>
      </c>
      <c r="AA747" s="162">
        <f>+$AD$5-Tabla2[[#This Row],[FECHA DE FACTURACIÓN]]</f>
        <v>274</v>
      </c>
      <c r="AB747" s="163" t="str">
        <f>+IF(Tabla2[[#This Row],[dias de credito]]&gt;=Tabla2[[#This Row],[PLAZO Días]],"venc", "No venc")</f>
        <v>venc</v>
      </c>
      <c r="AC747" s="163" t="str">
        <f>+IF(Tabla2[[#This Row],[FECHA DE PAGO]]&gt;0,"pagada","por pagar")</f>
        <v>pagada</v>
      </c>
      <c r="AD747" s="164" t="str">
        <f>+IF(AND(Tabla2[[#This Row],[venc]]="venc",Tabla2[[#This Row],[estado pago]]="por pagar"),"vencida","no")</f>
        <v>no</v>
      </c>
    </row>
    <row r="748" spans="1:30" ht="19.5" hidden="1" customHeight="1" x14ac:dyDescent="0.25">
      <c r="A748" s="8" t="s">
        <v>1850</v>
      </c>
      <c r="B748" s="8" t="s">
        <v>1851</v>
      </c>
      <c r="C748" s="8">
        <v>30</v>
      </c>
      <c r="D748" s="151">
        <v>4316000</v>
      </c>
      <c r="E748" s="151"/>
      <c r="F748" s="24" t="s">
        <v>84</v>
      </c>
      <c r="G748" s="30">
        <v>45205</v>
      </c>
      <c r="H748" s="81" t="s">
        <v>1812</v>
      </c>
      <c r="I748" s="30">
        <v>45174</v>
      </c>
      <c r="J748" s="16" t="s">
        <v>1029</v>
      </c>
      <c r="K748" s="9" t="s">
        <v>1530</v>
      </c>
      <c r="L748" s="9"/>
      <c r="M748" s="152">
        <v>452000</v>
      </c>
      <c r="N748" s="153">
        <v>0</v>
      </c>
      <c r="O748" s="152">
        <v>0</v>
      </c>
      <c r="P748" s="154">
        <v>0</v>
      </c>
      <c r="Q748" s="152">
        <v>0</v>
      </c>
      <c r="R748" s="9">
        <v>452000</v>
      </c>
      <c r="S748" s="21" t="s">
        <v>1846</v>
      </c>
      <c r="T748" s="117">
        <v>0</v>
      </c>
      <c r="U748" s="117">
        <v>0</v>
      </c>
      <c r="V748" s="117">
        <v>2023</v>
      </c>
      <c r="W748" s="117">
        <v>6</v>
      </c>
      <c r="X748" s="117">
        <v>0</v>
      </c>
      <c r="Y748" s="117">
        <v>0</v>
      </c>
      <c r="Z748" s="21" t="b">
        <v>0</v>
      </c>
      <c r="AA748" s="162">
        <f>+$AD$5-Tabla2[[#This Row],[FECHA DE FACTURACIÓN]]</f>
        <v>269</v>
      </c>
      <c r="AB748" s="163" t="str">
        <f>+IF(Tabla2[[#This Row],[dias de credito]]&gt;=Tabla2[[#This Row],[PLAZO Días]],"venc", "No venc")</f>
        <v>venc</v>
      </c>
      <c r="AC748" s="163" t="str">
        <f>+IF(Tabla2[[#This Row],[FECHA DE PAGO]]&gt;0,"pagada","por pagar")</f>
        <v>pagada</v>
      </c>
      <c r="AD748" s="164" t="str">
        <f>+IF(AND(Tabla2[[#This Row],[venc]]="venc",Tabla2[[#This Row],[estado pago]]="por pagar"),"vencida","no")</f>
        <v>no</v>
      </c>
    </row>
    <row r="749" spans="1:30" ht="19.5" hidden="1" customHeight="1" x14ac:dyDescent="0.25">
      <c r="A749" s="8" t="s">
        <v>1850</v>
      </c>
      <c r="B749" s="8" t="b">
        <v>0</v>
      </c>
      <c r="C749" s="8">
        <v>45</v>
      </c>
      <c r="D749" s="151">
        <v>0</v>
      </c>
      <c r="E749" s="151"/>
      <c r="F749" s="24" t="s">
        <v>603</v>
      </c>
      <c r="G749" s="30">
        <v>45205</v>
      </c>
      <c r="H749" s="81" t="s">
        <v>224</v>
      </c>
      <c r="I749" s="30">
        <v>45176</v>
      </c>
      <c r="J749" s="16">
        <v>1776</v>
      </c>
      <c r="K749" s="9" t="s">
        <v>1530</v>
      </c>
      <c r="L749" s="9"/>
      <c r="M749" s="152">
        <v>1501080</v>
      </c>
      <c r="N749" s="153">
        <v>0</v>
      </c>
      <c r="O749" s="152">
        <v>0</v>
      </c>
      <c r="P749" s="154">
        <v>0</v>
      </c>
      <c r="Q749" s="152">
        <v>0</v>
      </c>
      <c r="R749" s="9">
        <v>1501080</v>
      </c>
      <c r="S749" s="21" t="s">
        <v>1846</v>
      </c>
      <c r="T749" s="117">
        <v>0</v>
      </c>
      <c r="U749" s="117">
        <v>0</v>
      </c>
      <c r="V749" s="117">
        <v>2023</v>
      </c>
      <c r="W749" s="117">
        <v>6</v>
      </c>
      <c r="X749" s="117">
        <v>0</v>
      </c>
      <c r="Y749" s="117">
        <v>0</v>
      </c>
      <c r="Z749" s="21" t="b">
        <v>0</v>
      </c>
      <c r="AA749" s="162">
        <f>+$AD$5-Tabla2[[#This Row],[FECHA DE FACTURACIÓN]]</f>
        <v>267</v>
      </c>
      <c r="AB749" s="163" t="str">
        <f>+IF(Tabla2[[#This Row],[dias de credito]]&gt;=Tabla2[[#This Row],[PLAZO Días]],"venc", "No venc")</f>
        <v>venc</v>
      </c>
      <c r="AC749" s="163" t="str">
        <f>+IF(Tabla2[[#This Row],[FECHA DE PAGO]]&gt;0,"pagada","por pagar")</f>
        <v>pagada</v>
      </c>
      <c r="AD749" s="164" t="str">
        <f>+IF(AND(Tabla2[[#This Row],[venc]]="venc",Tabla2[[#This Row],[estado pago]]="por pagar"),"vencida","no")</f>
        <v>no</v>
      </c>
    </row>
    <row r="750" spans="1:30" ht="19.5" hidden="1" customHeight="1" x14ac:dyDescent="0.25">
      <c r="A750" s="8" t="s">
        <v>1850</v>
      </c>
      <c r="B750" s="8" t="b">
        <v>0</v>
      </c>
      <c r="C750" s="8">
        <v>45</v>
      </c>
      <c r="D750" s="151">
        <v>0</v>
      </c>
      <c r="E750" s="151"/>
      <c r="F750" s="24" t="s">
        <v>603</v>
      </c>
      <c r="G750" s="30">
        <v>45205</v>
      </c>
      <c r="H750" s="81" t="s">
        <v>224</v>
      </c>
      <c r="I750" s="30">
        <v>45188</v>
      </c>
      <c r="J750" s="16">
        <v>1795</v>
      </c>
      <c r="K750" s="9" t="s">
        <v>1530</v>
      </c>
      <c r="L750" s="9"/>
      <c r="M750" s="152">
        <v>1407000</v>
      </c>
      <c r="N750" s="153">
        <v>0</v>
      </c>
      <c r="O750" s="152">
        <v>0</v>
      </c>
      <c r="P750" s="154">
        <v>0</v>
      </c>
      <c r="Q750" s="152">
        <v>0</v>
      </c>
      <c r="R750" s="9">
        <v>1407000</v>
      </c>
      <c r="S750" s="21" t="s">
        <v>1846</v>
      </c>
      <c r="T750" s="117">
        <v>0</v>
      </c>
      <c r="U750" s="117">
        <v>0</v>
      </c>
      <c r="V750" s="117">
        <v>2023</v>
      </c>
      <c r="W750" s="117">
        <v>6</v>
      </c>
      <c r="X750" s="117">
        <v>0</v>
      </c>
      <c r="Y750" s="117">
        <v>0</v>
      </c>
      <c r="Z750" s="21" t="b">
        <v>0</v>
      </c>
      <c r="AA750" s="162">
        <f>+$AD$5-Tabla2[[#This Row],[FECHA DE FACTURACIÓN]]</f>
        <v>255</v>
      </c>
      <c r="AB750" s="163" t="str">
        <f>+IF(Tabla2[[#This Row],[dias de credito]]&gt;=Tabla2[[#This Row],[PLAZO Días]],"venc", "No venc")</f>
        <v>venc</v>
      </c>
      <c r="AC750" s="163" t="str">
        <f>+IF(Tabla2[[#This Row],[FECHA DE PAGO]]&gt;0,"pagada","por pagar")</f>
        <v>pagada</v>
      </c>
      <c r="AD750" s="164" t="str">
        <f>+IF(AND(Tabla2[[#This Row],[venc]]="venc",Tabla2[[#This Row],[estado pago]]="por pagar"),"vencida","no")</f>
        <v>no</v>
      </c>
    </row>
    <row r="751" spans="1:30" ht="19.5" hidden="1" customHeight="1" x14ac:dyDescent="0.25">
      <c r="A751" s="8" t="s">
        <v>1850</v>
      </c>
      <c r="B751" s="8" t="b">
        <v>0</v>
      </c>
      <c r="C751" s="8">
        <v>45</v>
      </c>
      <c r="D751" s="151">
        <v>0</v>
      </c>
      <c r="E751" s="151"/>
      <c r="F751" s="24" t="s">
        <v>603</v>
      </c>
      <c r="G751" s="30">
        <v>45205</v>
      </c>
      <c r="H751" s="81" t="s">
        <v>224</v>
      </c>
      <c r="I751" s="30">
        <v>45189</v>
      </c>
      <c r="J751" s="16">
        <v>1793</v>
      </c>
      <c r="K751" s="9" t="s">
        <v>1530</v>
      </c>
      <c r="L751" s="9"/>
      <c r="M751" s="152">
        <v>2793000</v>
      </c>
      <c r="N751" s="153">
        <v>0</v>
      </c>
      <c r="O751" s="152">
        <v>0</v>
      </c>
      <c r="P751" s="154">
        <v>0</v>
      </c>
      <c r="Q751" s="152">
        <v>0</v>
      </c>
      <c r="R751" s="9">
        <v>2793000</v>
      </c>
      <c r="S751" s="21" t="s">
        <v>1846</v>
      </c>
      <c r="T751" s="117">
        <v>0</v>
      </c>
      <c r="U751" s="117">
        <v>0</v>
      </c>
      <c r="V751" s="117">
        <v>2023</v>
      </c>
      <c r="W751" s="117">
        <v>6</v>
      </c>
      <c r="X751" s="117">
        <v>0</v>
      </c>
      <c r="Y751" s="117">
        <v>0</v>
      </c>
      <c r="Z751" s="21" t="b">
        <v>0</v>
      </c>
      <c r="AA751" s="162">
        <f>+$AD$5-Tabla2[[#This Row],[FECHA DE FACTURACIÓN]]</f>
        <v>254</v>
      </c>
      <c r="AB751" s="163" t="str">
        <f>+IF(Tabla2[[#This Row],[dias de credito]]&gt;=Tabla2[[#This Row],[PLAZO Días]],"venc", "No venc")</f>
        <v>venc</v>
      </c>
      <c r="AC751" s="163" t="str">
        <f>+IF(Tabla2[[#This Row],[FECHA DE PAGO]]&gt;0,"pagada","por pagar")</f>
        <v>pagada</v>
      </c>
      <c r="AD751" s="164" t="str">
        <f>+IF(AND(Tabla2[[#This Row],[venc]]="venc",Tabla2[[#This Row],[estado pago]]="por pagar"),"vencida","no")</f>
        <v>no</v>
      </c>
    </row>
    <row r="752" spans="1:30" ht="19.5" hidden="1" customHeight="1" x14ac:dyDescent="0.25">
      <c r="A752" s="8" t="s">
        <v>1850</v>
      </c>
      <c r="B752" s="8" t="b">
        <v>0</v>
      </c>
      <c r="C752" s="8">
        <v>60</v>
      </c>
      <c r="D752" s="151">
        <v>1730482</v>
      </c>
      <c r="E752" s="151"/>
      <c r="F752" s="24" t="s">
        <v>603</v>
      </c>
      <c r="G752" s="30">
        <v>45205</v>
      </c>
      <c r="H752" s="81" t="s">
        <v>222</v>
      </c>
      <c r="I752" s="30">
        <v>45190</v>
      </c>
      <c r="J752" s="16">
        <v>1794</v>
      </c>
      <c r="K752" s="9" t="s">
        <v>1530</v>
      </c>
      <c r="L752" s="9"/>
      <c r="M752" s="152">
        <v>252000</v>
      </c>
      <c r="N752" s="153">
        <v>0</v>
      </c>
      <c r="O752" s="152">
        <v>0</v>
      </c>
      <c r="P752" s="154">
        <v>0</v>
      </c>
      <c r="Q752" s="152">
        <v>0</v>
      </c>
      <c r="R752" s="9">
        <v>252000</v>
      </c>
      <c r="S752" s="21" t="s">
        <v>1846</v>
      </c>
      <c r="T752" s="117">
        <v>0</v>
      </c>
      <c r="U752" s="117">
        <v>0</v>
      </c>
      <c r="V752" s="117">
        <v>2023</v>
      </c>
      <c r="W752" s="117">
        <v>6</v>
      </c>
      <c r="X752" s="117">
        <v>0</v>
      </c>
      <c r="Y752" s="117">
        <v>0</v>
      </c>
      <c r="Z752" s="21" t="b">
        <v>0</v>
      </c>
      <c r="AA752" s="162">
        <f>+$AD$5-Tabla2[[#This Row],[FECHA DE FACTURACIÓN]]</f>
        <v>253</v>
      </c>
      <c r="AB752" s="163" t="str">
        <f>+IF(Tabla2[[#This Row],[dias de credito]]&gt;=Tabla2[[#This Row],[PLAZO Días]],"venc", "No venc")</f>
        <v>venc</v>
      </c>
      <c r="AC752" s="163" t="str">
        <f>+IF(Tabla2[[#This Row],[FECHA DE PAGO]]&gt;0,"pagada","por pagar")</f>
        <v>pagada</v>
      </c>
      <c r="AD752" s="164" t="str">
        <f>+IF(AND(Tabla2[[#This Row],[venc]]="venc",Tabla2[[#This Row],[estado pago]]="por pagar"),"vencida","no")</f>
        <v>no</v>
      </c>
    </row>
    <row r="753" spans="1:30" ht="19.5" hidden="1" customHeight="1" x14ac:dyDescent="0.25">
      <c r="A753" s="8" t="s">
        <v>1850</v>
      </c>
      <c r="B753" s="8" t="b">
        <v>0</v>
      </c>
      <c r="C753" s="8">
        <v>30</v>
      </c>
      <c r="D753" s="151">
        <v>0</v>
      </c>
      <c r="E753" s="151"/>
      <c r="F753" s="24">
        <v>0</v>
      </c>
      <c r="G753" s="30">
        <v>45205</v>
      </c>
      <c r="H753" s="81" t="s">
        <v>387</v>
      </c>
      <c r="I753" s="30">
        <v>45200</v>
      </c>
      <c r="J753" s="16" t="s">
        <v>173</v>
      </c>
      <c r="K753" s="9" t="s">
        <v>1530</v>
      </c>
      <c r="L753" s="9"/>
      <c r="M753" s="152">
        <v>411454</v>
      </c>
      <c r="N753" s="153">
        <v>0</v>
      </c>
      <c r="O753" s="152">
        <v>0</v>
      </c>
      <c r="P753" s="154">
        <v>0</v>
      </c>
      <c r="Q753" s="152">
        <v>0</v>
      </c>
      <c r="R753" s="9">
        <v>411454</v>
      </c>
      <c r="S753" s="21" t="s">
        <v>1846</v>
      </c>
      <c r="T753" s="117">
        <v>0</v>
      </c>
      <c r="U753" s="117">
        <v>0</v>
      </c>
      <c r="V753" s="117">
        <v>2023</v>
      </c>
      <c r="W753" s="117">
        <v>6</v>
      </c>
      <c r="X753" s="117">
        <v>0</v>
      </c>
      <c r="Y753" s="117">
        <v>0</v>
      </c>
      <c r="Z753" s="21" t="b">
        <v>1</v>
      </c>
      <c r="AA753" s="162">
        <f>+$AD$5-Tabla2[[#This Row],[FECHA DE FACTURACIÓN]]</f>
        <v>243</v>
      </c>
      <c r="AB753" s="163" t="str">
        <f>+IF(Tabla2[[#This Row],[dias de credito]]&gt;=Tabla2[[#This Row],[PLAZO Días]],"venc", "No venc")</f>
        <v>venc</v>
      </c>
      <c r="AC753" s="163" t="str">
        <f>+IF(Tabla2[[#This Row],[FECHA DE PAGO]]&gt;0,"pagada","por pagar")</f>
        <v>pagada</v>
      </c>
      <c r="AD753" s="164" t="str">
        <f>+IF(AND(Tabla2[[#This Row],[venc]]="venc",Tabla2[[#This Row],[estado pago]]="por pagar"),"vencida","no")</f>
        <v>no</v>
      </c>
    </row>
    <row r="754" spans="1:30" ht="19.5" hidden="1" customHeight="1" x14ac:dyDescent="0.25">
      <c r="A754" s="8" t="s">
        <v>1850</v>
      </c>
      <c r="B754" s="8" t="s">
        <v>1851</v>
      </c>
      <c r="C754" s="8">
        <v>30</v>
      </c>
      <c r="D754" s="151">
        <v>2095000</v>
      </c>
      <c r="E754" s="151"/>
      <c r="F754" s="24" t="s">
        <v>204</v>
      </c>
      <c r="G754" s="30">
        <v>45206</v>
      </c>
      <c r="H754" s="81" t="s">
        <v>1804</v>
      </c>
      <c r="I754" s="30">
        <v>45149</v>
      </c>
      <c r="J754" s="16">
        <v>1863</v>
      </c>
      <c r="K754" s="9" t="s">
        <v>1530</v>
      </c>
      <c r="L754" s="9"/>
      <c r="M754" s="152">
        <v>1515000</v>
      </c>
      <c r="N754" s="153">
        <v>0</v>
      </c>
      <c r="O754" s="152">
        <v>0</v>
      </c>
      <c r="P754" s="154">
        <v>0</v>
      </c>
      <c r="Q754" s="152">
        <v>0</v>
      </c>
      <c r="R754" s="9">
        <v>1515000</v>
      </c>
      <c r="S754" s="21" t="s">
        <v>1846</v>
      </c>
      <c r="T754" s="117">
        <v>0</v>
      </c>
      <c r="U754" s="117">
        <v>0</v>
      </c>
      <c r="V754" s="117">
        <v>2023</v>
      </c>
      <c r="W754" s="117">
        <v>6</v>
      </c>
      <c r="X754" s="117">
        <v>0</v>
      </c>
      <c r="Y754" s="117">
        <v>0</v>
      </c>
      <c r="Z754" s="21" t="b">
        <v>0</v>
      </c>
      <c r="AA754" s="162">
        <f>+$AD$5-Tabla2[[#This Row],[FECHA DE FACTURACIÓN]]</f>
        <v>294</v>
      </c>
      <c r="AB754" s="163" t="str">
        <f>+IF(Tabla2[[#This Row],[dias de credito]]&gt;=Tabla2[[#This Row],[PLAZO Días]],"venc", "No venc")</f>
        <v>venc</v>
      </c>
      <c r="AC754" s="163" t="str">
        <f>+IF(Tabla2[[#This Row],[FECHA DE PAGO]]&gt;0,"pagada","por pagar")</f>
        <v>pagada</v>
      </c>
      <c r="AD754" s="164" t="str">
        <f>+IF(AND(Tabla2[[#This Row],[venc]]="venc",Tabla2[[#This Row],[estado pago]]="por pagar"),"vencida","no")</f>
        <v>no</v>
      </c>
    </row>
    <row r="755" spans="1:30" ht="19.5" hidden="1" customHeight="1" x14ac:dyDescent="0.25">
      <c r="A755" s="8" t="s">
        <v>1850</v>
      </c>
      <c r="B755" s="8" t="b">
        <v>0</v>
      </c>
      <c r="C755" s="8">
        <v>30</v>
      </c>
      <c r="D755" s="151">
        <v>0</v>
      </c>
      <c r="E755" s="151"/>
      <c r="F755" s="24">
        <v>0</v>
      </c>
      <c r="G755" s="30">
        <v>45207</v>
      </c>
      <c r="H755" s="81" t="s">
        <v>1805</v>
      </c>
      <c r="I755" s="30">
        <v>45191</v>
      </c>
      <c r="J755" s="16" t="s">
        <v>1109</v>
      </c>
      <c r="K755" s="9" t="s">
        <v>1530</v>
      </c>
      <c r="L755" s="9"/>
      <c r="M755" s="152">
        <v>546000</v>
      </c>
      <c r="N755" s="153">
        <v>0</v>
      </c>
      <c r="O755" s="152">
        <v>0</v>
      </c>
      <c r="P755" s="154">
        <v>0</v>
      </c>
      <c r="Q755" s="152">
        <v>0</v>
      </c>
      <c r="R755" s="9">
        <v>546000</v>
      </c>
      <c r="S755" s="21" t="s">
        <v>1846</v>
      </c>
      <c r="T755" s="117">
        <v>0</v>
      </c>
      <c r="U755" s="117">
        <v>0</v>
      </c>
      <c r="V755" s="117">
        <v>2023</v>
      </c>
      <c r="W755" s="117">
        <v>6</v>
      </c>
      <c r="X755" s="117">
        <v>0</v>
      </c>
      <c r="Y755" s="117">
        <v>0</v>
      </c>
      <c r="Z755" s="21" t="b">
        <v>0</v>
      </c>
      <c r="AA755" s="162">
        <f>+$AD$5-Tabla2[[#This Row],[FECHA DE FACTURACIÓN]]</f>
        <v>252</v>
      </c>
      <c r="AB755" s="163" t="str">
        <f>+IF(Tabla2[[#This Row],[dias de credito]]&gt;=Tabla2[[#This Row],[PLAZO Días]],"venc", "No venc")</f>
        <v>venc</v>
      </c>
      <c r="AC755" s="163" t="str">
        <f>+IF(Tabla2[[#This Row],[FECHA DE PAGO]]&gt;0,"pagada","por pagar")</f>
        <v>pagada</v>
      </c>
      <c r="AD755" s="164" t="str">
        <f>+IF(AND(Tabla2[[#This Row],[venc]]="venc",Tabla2[[#This Row],[estado pago]]="por pagar"),"vencida","no")</f>
        <v>no</v>
      </c>
    </row>
    <row r="756" spans="1:30" ht="19.5" hidden="1" customHeight="1" x14ac:dyDescent="0.25">
      <c r="A756" s="8" t="s">
        <v>1850</v>
      </c>
      <c r="B756" s="8" t="s">
        <v>1851</v>
      </c>
      <c r="C756" s="8">
        <v>30</v>
      </c>
      <c r="D756" s="151">
        <v>11973060.324999999</v>
      </c>
      <c r="E756" s="151"/>
      <c r="F756" s="24" t="s">
        <v>146</v>
      </c>
      <c r="G756" s="30">
        <v>45208</v>
      </c>
      <c r="H756" s="81" t="s">
        <v>64</v>
      </c>
      <c r="I756" s="30">
        <v>45135</v>
      </c>
      <c r="J756" s="16" t="s">
        <v>951</v>
      </c>
      <c r="K756" s="9" t="s">
        <v>1530</v>
      </c>
      <c r="L756" s="9"/>
      <c r="M756" s="152">
        <v>5771424</v>
      </c>
      <c r="N756" s="153">
        <v>1096570.56</v>
      </c>
      <c r="O756" s="152">
        <v>0</v>
      </c>
      <c r="P756" s="154">
        <v>2.5000000000000001E-2</v>
      </c>
      <c r="Q756" s="152">
        <v>144285.6</v>
      </c>
      <c r="R756" s="9">
        <v>6723708.9600000009</v>
      </c>
      <c r="S756" s="21" t="s">
        <v>1846</v>
      </c>
      <c r="T756" s="117">
        <v>0</v>
      </c>
      <c r="U756" s="117" t="s">
        <v>347</v>
      </c>
      <c r="V756" s="117">
        <v>2023</v>
      </c>
      <c r="W756" s="117">
        <v>6</v>
      </c>
      <c r="X756" s="117">
        <v>1145000</v>
      </c>
      <c r="Y756" s="117">
        <v>2.5000000000000001E-2</v>
      </c>
      <c r="Z756" s="21" t="b">
        <v>0</v>
      </c>
      <c r="AA756" s="162">
        <f>+$AD$5-Tabla2[[#This Row],[FECHA DE FACTURACIÓN]]</f>
        <v>308</v>
      </c>
      <c r="AB756" s="163" t="str">
        <f>+IF(Tabla2[[#This Row],[dias de credito]]&gt;=Tabla2[[#This Row],[PLAZO Días]],"venc", "No venc")</f>
        <v>venc</v>
      </c>
      <c r="AC756" s="163" t="str">
        <f>+IF(Tabla2[[#This Row],[FECHA DE PAGO]]&gt;0,"pagada","por pagar")</f>
        <v>pagada</v>
      </c>
      <c r="AD756" s="164" t="str">
        <f>+IF(AND(Tabla2[[#This Row],[venc]]="venc",Tabla2[[#This Row],[estado pago]]="por pagar"),"vencida","no")</f>
        <v>no</v>
      </c>
    </row>
    <row r="757" spans="1:30" ht="19.5" hidden="1" customHeight="1" x14ac:dyDescent="0.25">
      <c r="A757" s="8" t="s">
        <v>1850</v>
      </c>
      <c r="B757" s="8" t="s">
        <v>1851</v>
      </c>
      <c r="C757" s="8">
        <v>30</v>
      </c>
      <c r="D757" s="151">
        <v>0</v>
      </c>
      <c r="E757" s="151"/>
      <c r="F757" s="24" t="s">
        <v>237</v>
      </c>
      <c r="G757" s="30">
        <v>45208</v>
      </c>
      <c r="H757" s="81" t="s">
        <v>1817</v>
      </c>
      <c r="I757" s="30">
        <v>45139</v>
      </c>
      <c r="J757" s="16" t="s">
        <v>944</v>
      </c>
      <c r="K757" s="9" t="s">
        <v>1530</v>
      </c>
      <c r="L757" s="9"/>
      <c r="M757" s="152">
        <v>4057000</v>
      </c>
      <c r="N757" s="153">
        <v>0</v>
      </c>
      <c r="O757" s="152">
        <v>0</v>
      </c>
      <c r="P757" s="154">
        <v>0</v>
      </c>
      <c r="Q757" s="152">
        <v>0</v>
      </c>
      <c r="R757" s="9">
        <v>4057000</v>
      </c>
      <c r="S757" s="21" t="s">
        <v>1846</v>
      </c>
      <c r="T757" s="117">
        <v>0</v>
      </c>
      <c r="U757" s="117">
        <v>0</v>
      </c>
      <c r="V757" s="117">
        <v>2023</v>
      </c>
      <c r="W757" s="117">
        <v>6</v>
      </c>
      <c r="X757" s="117">
        <v>0</v>
      </c>
      <c r="Y757" s="117">
        <v>0</v>
      </c>
      <c r="Z757" s="21" t="b">
        <v>0</v>
      </c>
      <c r="AA757" s="162">
        <f>+$AD$5-Tabla2[[#This Row],[FECHA DE FACTURACIÓN]]</f>
        <v>304</v>
      </c>
      <c r="AB757" s="163" t="str">
        <f>+IF(Tabla2[[#This Row],[dias de credito]]&gt;=Tabla2[[#This Row],[PLAZO Días]],"venc", "No venc")</f>
        <v>venc</v>
      </c>
      <c r="AC757" s="163" t="str">
        <f>+IF(Tabla2[[#This Row],[FECHA DE PAGO]]&gt;0,"pagada","por pagar")</f>
        <v>pagada</v>
      </c>
      <c r="AD757" s="164" t="str">
        <f>+IF(AND(Tabla2[[#This Row],[venc]]="venc",Tabla2[[#This Row],[estado pago]]="por pagar"),"vencida","no")</f>
        <v>no</v>
      </c>
    </row>
    <row r="758" spans="1:30" ht="19.5" hidden="1" customHeight="1" x14ac:dyDescent="0.25">
      <c r="A758" s="8" t="s">
        <v>1850</v>
      </c>
      <c r="B758" s="8" t="s">
        <v>1851</v>
      </c>
      <c r="C758" s="8">
        <v>30</v>
      </c>
      <c r="D758" s="151">
        <v>0</v>
      </c>
      <c r="E758" s="151"/>
      <c r="F758" s="24" t="s">
        <v>139</v>
      </c>
      <c r="G758" s="30">
        <v>45208</v>
      </c>
      <c r="H758" s="81" t="s">
        <v>948</v>
      </c>
      <c r="I758" s="30">
        <v>45140</v>
      </c>
      <c r="J758" s="16" t="s">
        <v>950</v>
      </c>
      <c r="K758" s="9" t="s">
        <v>1530</v>
      </c>
      <c r="L758" s="9"/>
      <c r="M758" s="152">
        <v>3115967</v>
      </c>
      <c r="N758" s="153">
        <v>592033.73</v>
      </c>
      <c r="O758" s="152">
        <v>0</v>
      </c>
      <c r="P758" s="154">
        <v>2.5000000000000001E-2</v>
      </c>
      <c r="Q758" s="152">
        <v>77899.175000000003</v>
      </c>
      <c r="R758" s="9">
        <v>3630101.5550000002</v>
      </c>
      <c r="S758" s="21" t="s">
        <v>1846</v>
      </c>
      <c r="T758" s="117">
        <v>0</v>
      </c>
      <c r="U758" s="117" t="s">
        <v>347</v>
      </c>
      <c r="V758" s="117">
        <v>2023</v>
      </c>
      <c r="W758" s="117">
        <v>6</v>
      </c>
      <c r="X758" s="117">
        <v>1145000</v>
      </c>
      <c r="Y758" s="117">
        <v>2.5000000000000001E-2</v>
      </c>
      <c r="Z758" s="21" t="b">
        <v>0</v>
      </c>
      <c r="AA758" s="162">
        <f>+$AD$5-Tabla2[[#This Row],[FECHA DE FACTURACIÓN]]</f>
        <v>303</v>
      </c>
      <c r="AB758" s="163" t="str">
        <f>+IF(Tabla2[[#This Row],[dias de credito]]&gt;=Tabla2[[#This Row],[PLAZO Días]],"venc", "No venc")</f>
        <v>venc</v>
      </c>
      <c r="AC758" s="163" t="str">
        <f>+IF(Tabla2[[#This Row],[FECHA DE PAGO]]&gt;0,"pagada","por pagar")</f>
        <v>pagada</v>
      </c>
      <c r="AD758" s="164" t="str">
        <f>+IF(AND(Tabla2[[#This Row],[venc]]="venc",Tabla2[[#This Row],[estado pago]]="por pagar"),"vencida","no")</f>
        <v>no</v>
      </c>
    </row>
    <row r="759" spans="1:30" ht="19.5" hidden="1" customHeight="1" x14ac:dyDescent="0.25">
      <c r="A759" s="8" t="s">
        <v>1850</v>
      </c>
      <c r="B759" s="8" t="s">
        <v>1851</v>
      </c>
      <c r="C759" s="8">
        <v>30</v>
      </c>
      <c r="D759" s="151">
        <v>9950488.6799999997</v>
      </c>
      <c r="E759" s="151"/>
      <c r="F759" s="24" t="s">
        <v>410</v>
      </c>
      <c r="G759" s="30">
        <v>45208</v>
      </c>
      <c r="H759" s="81" t="s">
        <v>11</v>
      </c>
      <c r="I759" s="30">
        <v>45141</v>
      </c>
      <c r="J759" s="16" t="s">
        <v>956</v>
      </c>
      <c r="K759" s="9" t="s">
        <v>1530</v>
      </c>
      <c r="L759" s="9"/>
      <c r="M759" s="152">
        <v>2420172</v>
      </c>
      <c r="N759" s="153">
        <v>459832.68</v>
      </c>
      <c r="O759" s="152">
        <v>0</v>
      </c>
      <c r="P759" s="154">
        <v>2.5000000000000001E-2</v>
      </c>
      <c r="Q759" s="152">
        <v>60504.3</v>
      </c>
      <c r="R759" s="9">
        <v>2819500.3800000004</v>
      </c>
      <c r="S759" s="21" t="s">
        <v>1846</v>
      </c>
      <c r="T759" s="117">
        <v>0</v>
      </c>
      <c r="U759" s="117" t="s">
        <v>347</v>
      </c>
      <c r="V759" s="117">
        <v>2023</v>
      </c>
      <c r="W759" s="117">
        <v>6</v>
      </c>
      <c r="X759" s="117">
        <v>1145000</v>
      </c>
      <c r="Y759" s="117">
        <v>2.5000000000000001E-2</v>
      </c>
      <c r="Z759" s="21" t="b">
        <v>0</v>
      </c>
      <c r="AA759" s="162">
        <f>+$AD$5-Tabla2[[#This Row],[FECHA DE FACTURACIÓN]]</f>
        <v>302</v>
      </c>
      <c r="AB759" s="163" t="str">
        <f>+IF(Tabla2[[#This Row],[dias de credito]]&gt;=Tabla2[[#This Row],[PLAZO Días]],"venc", "No venc")</f>
        <v>venc</v>
      </c>
      <c r="AC759" s="163" t="str">
        <f>+IF(Tabla2[[#This Row],[FECHA DE PAGO]]&gt;0,"pagada","por pagar")</f>
        <v>pagada</v>
      </c>
      <c r="AD759" s="164" t="str">
        <f>+IF(AND(Tabla2[[#This Row],[venc]]="venc",Tabla2[[#This Row],[estado pago]]="por pagar"),"vencida","no")</f>
        <v>no</v>
      </c>
    </row>
    <row r="760" spans="1:30" ht="19.5" hidden="1" customHeight="1" x14ac:dyDescent="0.25">
      <c r="A760" s="8" t="s">
        <v>1850</v>
      </c>
      <c r="B760" s="8" t="s">
        <v>1851</v>
      </c>
      <c r="C760" s="8">
        <v>45</v>
      </c>
      <c r="D760" s="151">
        <v>2446500</v>
      </c>
      <c r="E760" s="151"/>
      <c r="F760" s="24" t="s">
        <v>158</v>
      </c>
      <c r="G760" s="30">
        <v>45208</v>
      </c>
      <c r="H760" s="81" t="s">
        <v>10</v>
      </c>
      <c r="I760" s="30">
        <v>45142</v>
      </c>
      <c r="J760" s="16" t="s">
        <v>957</v>
      </c>
      <c r="K760" s="9" t="s">
        <v>1530</v>
      </c>
      <c r="L760" s="9"/>
      <c r="M760" s="152">
        <v>1250000</v>
      </c>
      <c r="N760" s="153">
        <v>237500</v>
      </c>
      <c r="O760" s="152">
        <v>0</v>
      </c>
      <c r="P760" s="154">
        <v>2.5000000000000001E-2</v>
      </c>
      <c r="Q760" s="152">
        <v>31250</v>
      </c>
      <c r="R760" s="9">
        <v>1456250</v>
      </c>
      <c r="S760" s="21" t="s">
        <v>1846</v>
      </c>
      <c r="T760" s="117">
        <v>0</v>
      </c>
      <c r="U760" s="117" t="s">
        <v>347</v>
      </c>
      <c r="V760" s="117">
        <v>2023</v>
      </c>
      <c r="W760" s="117">
        <v>6</v>
      </c>
      <c r="X760" s="117">
        <v>1145000</v>
      </c>
      <c r="Y760" s="117">
        <v>2.5000000000000001E-2</v>
      </c>
      <c r="Z760" s="21" t="b">
        <v>0</v>
      </c>
      <c r="AA760" s="162">
        <f>+$AD$5-Tabla2[[#This Row],[FECHA DE FACTURACIÓN]]</f>
        <v>301</v>
      </c>
      <c r="AB760" s="163" t="str">
        <f>+IF(Tabla2[[#This Row],[dias de credito]]&gt;=Tabla2[[#This Row],[PLAZO Días]],"venc", "No venc")</f>
        <v>venc</v>
      </c>
      <c r="AC760" s="163" t="str">
        <f>+IF(Tabla2[[#This Row],[FECHA DE PAGO]]&gt;0,"pagada","por pagar")</f>
        <v>pagada</v>
      </c>
      <c r="AD760" s="164" t="str">
        <f>+IF(AND(Tabla2[[#This Row],[venc]]="venc",Tabla2[[#This Row],[estado pago]]="por pagar"),"vencida","no")</f>
        <v>no</v>
      </c>
    </row>
    <row r="761" spans="1:30" ht="19.5" hidden="1" customHeight="1" x14ac:dyDescent="0.25">
      <c r="A761" s="8" t="s">
        <v>1850</v>
      </c>
      <c r="B761" s="8" t="s">
        <v>1851</v>
      </c>
      <c r="C761" s="8">
        <v>30</v>
      </c>
      <c r="D761" s="151">
        <v>4466504.835</v>
      </c>
      <c r="E761" s="151"/>
      <c r="F761" s="24" t="s">
        <v>1553</v>
      </c>
      <c r="G761" s="30">
        <v>45208</v>
      </c>
      <c r="H761" s="81" t="s">
        <v>18</v>
      </c>
      <c r="I761" s="30">
        <v>45146</v>
      </c>
      <c r="J761" s="16" t="s">
        <v>969</v>
      </c>
      <c r="K761" s="9" t="s">
        <v>1530</v>
      </c>
      <c r="L761" s="9"/>
      <c r="M761" s="152">
        <v>2539374</v>
      </c>
      <c r="N761" s="153">
        <v>482481.06</v>
      </c>
      <c r="O761" s="152">
        <v>0</v>
      </c>
      <c r="P761" s="154">
        <v>2.5000000000000001E-2</v>
      </c>
      <c r="Q761" s="152">
        <v>63484.350000000006</v>
      </c>
      <c r="R761" s="9">
        <v>2958370.71</v>
      </c>
      <c r="S761" s="21" t="s">
        <v>1846</v>
      </c>
      <c r="T761" s="117">
        <v>0</v>
      </c>
      <c r="U761" s="117" t="s">
        <v>347</v>
      </c>
      <c r="V761" s="117">
        <v>2023</v>
      </c>
      <c r="W761" s="117">
        <v>6</v>
      </c>
      <c r="X761" s="117">
        <v>1145000</v>
      </c>
      <c r="Y761" s="117">
        <v>2.5000000000000001E-2</v>
      </c>
      <c r="Z761" s="21" t="b">
        <v>0</v>
      </c>
      <c r="AA761" s="162">
        <f>+$AD$5-Tabla2[[#This Row],[FECHA DE FACTURACIÓN]]</f>
        <v>297</v>
      </c>
      <c r="AB761" s="163" t="str">
        <f>+IF(Tabla2[[#This Row],[dias de credito]]&gt;=Tabla2[[#This Row],[PLAZO Días]],"venc", "No venc")</f>
        <v>venc</v>
      </c>
      <c r="AC761" s="163" t="str">
        <f>+IF(Tabla2[[#This Row],[FECHA DE PAGO]]&gt;0,"pagada","por pagar")</f>
        <v>pagada</v>
      </c>
      <c r="AD761" s="164" t="str">
        <f>+IF(AND(Tabla2[[#This Row],[venc]]="venc",Tabla2[[#This Row],[estado pago]]="por pagar"),"vencida","no")</f>
        <v>no</v>
      </c>
    </row>
    <row r="762" spans="1:30" ht="19.5" hidden="1" customHeight="1" x14ac:dyDescent="0.25">
      <c r="A762" s="8" t="s">
        <v>1850</v>
      </c>
      <c r="B762" s="8" t="s">
        <v>1851</v>
      </c>
      <c r="C762" s="8">
        <v>30</v>
      </c>
      <c r="D762" s="151">
        <v>4466504.835</v>
      </c>
      <c r="E762" s="151"/>
      <c r="F762" s="24" t="s">
        <v>1553</v>
      </c>
      <c r="G762" s="30">
        <v>45208</v>
      </c>
      <c r="H762" s="81" t="s">
        <v>18</v>
      </c>
      <c r="I762" s="30">
        <v>45153</v>
      </c>
      <c r="J762" s="16" t="s">
        <v>1004</v>
      </c>
      <c r="K762" s="9" t="s">
        <v>1530</v>
      </c>
      <c r="L762" s="9"/>
      <c r="M762" s="152">
        <v>3257262</v>
      </c>
      <c r="N762" s="153">
        <v>618879.78</v>
      </c>
      <c r="O762" s="152">
        <v>0</v>
      </c>
      <c r="P762" s="154">
        <v>2.5000000000000001E-2</v>
      </c>
      <c r="Q762" s="152">
        <v>81431.55</v>
      </c>
      <c r="R762" s="9">
        <v>3794710.2300000004</v>
      </c>
      <c r="S762" s="21" t="s">
        <v>1846</v>
      </c>
      <c r="T762" s="117">
        <v>0</v>
      </c>
      <c r="U762" s="117" t="s">
        <v>347</v>
      </c>
      <c r="V762" s="117">
        <v>2023</v>
      </c>
      <c r="W762" s="117">
        <v>6</v>
      </c>
      <c r="X762" s="117">
        <v>1145000</v>
      </c>
      <c r="Y762" s="117">
        <v>2.5000000000000001E-2</v>
      </c>
      <c r="Z762" s="21" t="b">
        <v>0</v>
      </c>
      <c r="AA762" s="162">
        <f>+$AD$5-Tabla2[[#This Row],[FECHA DE FACTURACIÓN]]</f>
        <v>290</v>
      </c>
      <c r="AB762" s="163" t="str">
        <f>+IF(Tabla2[[#This Row],[dias de credito]]&gt;=Tabla2[[#This Row],[PLAZO Días]],"venc", "No venc")</f>
        <v>venc</v>
      </c>
      <c r="AC762" s="163" t="str">
        <f>+IF(Tabla2[[#This Row],[FECHA DE PAGO]]&gt;0,"pagada","por pagar")</f>
        <v>pagada</v>
      </c>
      <c r="AD762" s="164" t="str">
        <f>+IF(AND(Tabla2[[#This Row],[venc]]="venc",Tabla2[[#This Row],[estado pago]]="por pagar"),"vencida","no")</f>
        <v>no</v>
      </c>
    </row>
    <row r="763" spans="1:30" ht="19.5" hidden="1" customHeight="1" x14ac:dyDescent="0.25">
      <c r="A763" s="8" t="s">
        <v>1850</v>
      </c>
      <c r="B763" s="8" t="s">
        <v>1851</v>
      </c>
      <c r="C763" s="8">
        <v>30</v>
      </c>
      <c r="D763" s="151">
        <v>0</v>
      </c>
      <c r="E763" s="151"/>
      <c r="F763" s="24" t="s">
        <v>139</v>
      </c>
      <c r="G763" s="30">
        <v>45208</v>
      </c>
      <c r="H763" s="81" t="s">
        <v>948</v>
      </c>
      <c r="I763" s="30">
        <v>45153</v>
      </c>
      <c r="J763" s="16" t="s">
        <v>1003</v>
      </c>
      <c r="K763" s="9" t="s">
        <v>1530</v>
      </c>
      <c r="L763" s="9"/>
      <c r="M763" s="152">
        <v>327731</v>
      </c>
      <c r="N763" s="153">
        <v>62268.89</v>
      </c>
      <c r="O763" s="152">
        <v>0</v>
      </c>
      <c r="P763" s="154">
        <v>0</v>
      </c>
      <c r="Q763" s="152">
        <v>0</v>
      </c>
      <c r="R763" s="9">
        <v>389999.89</v>
      </c>
      <c r="S763" s="21" t="s">
        <v>1846</v>
      </c>
      <c r="T763" s="117">
        <v>0</v>
      </c>
      <c r="U763" s="117" t="s">
        <v>347</v>
      </c>
      <c r="V763" s="117">
        <v>2023</v>
      </c>
      <c r="W763" s="117">
        <v>6</v>
      </c>
      <c r="X763" s="117">
        <v>1145000</v>
      </c>
      <c r="Y763" s="117">
        <v>2.5000000000000001E-2</v>
      </c>
      <c r="Z763" s="21" t="b">
        <v>0</v>
      </c>
      <c r="AA763" s="162">
        <f>+$AD$5-Tabla2[[#This Row],[FECHA DE FACTURACIÓN]]</f>
        <v>290</v>
      </c>
      <c r="AB763" s="163" t="str">
        <f>+IF(Tabla2[[#This Row],[dias de credito]]&gt;=Tabla2[[#This Row],[PLAZO Días]],"venc", "No venc")</f>
        <v>venc</v>
      </c>
      <c r="AC763" s="163" t="str">
        <f>+IF(Tabla2[[#This Row],[FECHA DE PAGO]]&gt;0,"pagada","por pagar")</f>
        <v>pagada</v>
      </c>
      <c r="AD763" s="164" t="str">
        <f>+IF(AND(Tabla2[[#This Row],[venc]]="venc",Tabla2[[#This Row],[estado pago]]="por pagar"),"vencida","no")</f>
        <v>no</v>
      </c>
    </row>
    <row r="764" spans="1:30" ht="19.5" hidden="1" customHeight="1" x14ac:dyDescent="0.25">
      <c r="A764" s="8" t="s">
        <v>1850</v>
      </c>
      <c r="B764" s="8" t="s">
        <v>1851</v>
      </c>
      <c r="C764" s="8">
        <v>45</v>
      </c>
      <c r="D764" s="151">
        <v>2446500</v>
      </c>
      <c r="E764" s="151"/>
      <c r="F764" s="24" t="s">
        <v>158</v>
      </c>
      <c r="G764" s="30">
        <v>45208</v>
      </c>
      <c r="H764" s="81" t="s">
        <v>10</v>
      </c>
      <c r="I764" s="30">
        <v>45153</v>
      </c>
      <c r="J764" s="16" t="s">
        <v>1012</v>
      </c>
      <c r="K764" s="9" t="s">
        <v>1530</v>
      </c>
      <c r="L764" s="9"/>
      <c r="M764" s="152">
        <v>768000</v>
      </c>
      <c r="N764" s="153">
        <v>145920</v>
      </c>
      <c r="O764" s="152">
        <v>0</v>
      </c>
      <c r="P764" s="154">
        <v>0</v>
      </c>
      <c r="Q764" s="152">
        <v>0</v>
      </c>
      <c r="R764" s="9">
        <v>913920</v>
      </c>
      <c r="S764" s="21" t="s">
        <v>1846</v>
      </c>
      <c r="T764" s="117">
        <v>0</v>
      </c>
      <c r="U764" s="117" t="s">
        <v>347</v>
      </c>
      <c r="V764" s="117">
        <v>2023</v>
      </c>
      <c r="W764" s="117">
        <v>6</v>
      </c>
      <c r="X764" s="117">
        <v>1145000</v>
      </c>
      <c r="Y764" s="117">
        <v>2.5000000000000001E-2</v>
      </c>
      <c r="Z764" s="21" t="b">
        <v>0</v>
      </c>
      <c r="AA764" s="162">
        <f>+$AD$5-Tabla2[[#This Row],[FECHA DE FACTURACIÓN]]</f>
        <v>290</v>
      </c>
      <c r="AB764" s="163" t="str">
        <f>+IF(Tabla2[[#This Row],[dias de credito]]&gt;=Tabla2[[#This Row],[PLAZO Días]],"venc", "No venc")</f>
        <v>venc</v>
      </c>
      <c r="AC764" s="163" t="str">
        <f>+IF(Tabla2[[#This Row],[FECHA DE PAGO]]&gt;0,"pagada","por pagar")</f>
        <v>pagada</v>
      </c>
      <c r="AD764" s="164" t="str">
        <f>+IF(AND(Tabla2[[#This Row],[venc]]="venc",Tabla2[[#This Row],[estado pago]]="por pagar"),"vencida","no")</f>
        <v>no</v>
      </c>
    </row>
    <row r="765" spans="1:30" ht="19.5" hidden="1" customHeight="1" x14ac:dyDescent="0.25">
      <c r="A765" s="8" t="s">
        <v>1850</v>
      </c>
      <c r="B765" s="8" t="s">
        <v>1851</v>
      </c>
      <c r="C765" s="8">
        <v>45</v>
      </c>
      <c r="D765" s="151">
        <v>2446500</v>
      </c>
      <c r="E765" s="151"/>
      <c r="F765" s="24" t="s">
        <v>158</v>
      </c>
      <c r="G765" s="30">
        <v>45208</v>
      </c>
      <c r="H765" s="81" t="s">
        <v>10</v>
      </c>
      <c r="I765" s="30">
        <v>45154</v>
      </c>
      <c r="J765" s="16" t="s">
        <v>1011</v>
      </c>
      <c r="K765" s="9" t="s">
        <v>1530</v>
      </c>
      <c r="L765" s="9"/>
      <c r="M765" s="152">
        <v>3900000</v>
      </c>
      <c r="N765" s="153">
        <v>741000</v>
      </c>
      <c r="O765" s="152">
        <v>0</v>
      </c>
      <c r="P765" s="154">
        <v>2.5000000000000001E-2</v>
      </c>
      <c r="Q765" s="152">
        <v>97500</v>
      </c>
      <c r="R765" s="9">
        <v>4543500</v>
      </c>
      <c r="S765" s="21" t="s">
        <v>1846</v>
      </c>
      <c r="T765" s="117">
        <v>0</v>
      </c>
      <c r="U765" s="117" t="s">
        <v>347</v>
      </c>
      <c r="V765" s="117">
        <v>2023</v>
      </c>
      <c r="W765" s="117">
        <v>6</v>
      </c>
      <c r="X765" s="117">
        <v>1145000</v>
      </c>
      <c r="Y765" s="117">
        <v>2.5000000000000001E-2</v>
      </c>
      <c r="Z765" s="21" t="b">
        <v>0</v>
      </c>
      <c r="AA765" s="162">
        <f>+$AD$5-Tabla2[[#This Row],[FECHA DE FACTURACIÓN]]</f>
        <v>289</v>
      </c>
      <c r="AB765" s="163" t="str">
        <f>+IF(Tabla2[[#This Row],[dias de credito]]&gt;=Tabla2[[#This Row],[PLAZO Días]],"venc", "No venc")</f>
        <v>venc</v>
      </c>
      <c r="AC765" s="163" t="str">
        <f>+IF(Tabla2[[#This Row],[FECHA DE PAGO]]&gt;0,"pagada","por pagar")</f>
        <v>pagada</v>
      </c>
      <c r="AD765" s="164" t="str">
        <f>+IF(AND(Tabla2[[#This Row],[venc]]="venc",Tabla2[[#This Row],[estado pago]]="por pagar"),"vencida","no")</f>
        <v>no</v>
      </c>
    </row>
    <row r="766" spans="1:30" ht="19.5" hidden="1" customHeight="1" x14ac:dyDescent="0.25">
      <c r="A766" s="8" t="s">
        <v>1850</v>
      </c>
      <c r="B766" s="8" t="s">
        <v>1851</v>
      </c>
      <c r="C766" s="8">
        <v>30</v>
      </c>
      <c r="D766" s="151">
        <v>9950488.6799999997</v>
      </c>
      <c r="E766" s="151"/>
      <c r="F766" s="24" t="s">
        <v>410</v>
      </c>
      <c r="G766" s="30">
        <v>45208</v>
      </c>
      <c r="H766" s="81" t="s">
        <v>11</v>
      </c>
      <c r="I766" s="30">
        <v>45155</v>
      </c>
      <c r="J766" s="16" t="s">
        <v>1014</v>
      </c>
      <c r="K766" s="9" t="s">
        <v>1530</v>
      </c>
      <c r="L766" s="9"/>
      <c r="M766" s="152">
        <v>4658832</v>
      </c>
      <c r="N766" s="153">
        <v>885178.08</v>
      </c>
      <c r="O766" s="152">
        <v>0</v>
      </c>
      <c r="P766" s="154">
        <v>2.5000000000000001E-2</v>
      </c>
      <c r="Q766" s="152">
        <v>116470.8</v>
      </c>
      <c r="R766" s="9">
        <v>5427539.2800000003</v>
      </c>
      <c r="S766" s="21" t="s">
        <v>1846</v>
      </c>
      <c r="T766" s="117">
        <v>0</v>
      </c>
      <c r="U766" s="117" t="s">
        <v>347</v>
      </c>
      <c r="V766" s="117">
        <v>2023</v>
      </c>
      <c r="W766" s="117">
        <v>6</v>
      </c>
      <c r="X766" s="117">
        <v>1145000</v>
      </c>
      <c r="Y766" s="117">
        <v>2.5000000000000001E-2</v>
      </c>
      <c r="Z766" s="21" t="b">
        <v>0</v>
      </c>
      <c r="AA766" s="162">
        <f>+$AD$5-Tabla2[[#This Row],[FECHA DE FACTURACIÓN]]</f>
        <v>288</v>
      </c>
      <c r="AB766" s="163" t="str">
        <f>+IF(Tabla2[[#This Row],[dias de credito]]&gt;=Tabla2[[#This Row],[PLAZO Días]],"venc", "No venc")</f>
        <v>venc</v>
      </c>
      <c r="AC766" s="163" t="str">
        <f>+IF(Tabla2[[#This Row],[FECHA DE PAGO]]&gt;0,"pagada","por pagar")</f>
        <v>pagada</v>
      </c>
      <c r="AD766" s="164" t="str">
        <f>+IF(AND(Tabla2[[#This Row],[venc]]="venc",Tabla2[[#This Row],[estado pago]]="por pagar"),"vencida","no")</f>
        <v>no</v>
      </c>
    </row>
    <row r="767" spans="1:30" ht="19.5" hidden="1" customHeight="1" x14ac:dyDescent="0.25">
      <c r="A767" s="8" t="s">
        <v>1850</v>
      </c>
      <c r="B767" s="8" t="s">
        <v>1851</v>
      </c>
      <c r="C767" s="8">
        <v>30</v>
      </c>
      <c r="D767" s="151">
        <v>9950488.6799999997</v>
      </c>
      <c r="E767" s="151"/>
      <c r="F767" s="24" t="s">
        <v>410</v>
      </c>
      <c r="G767" s="30">
        <v>45208</v>
      </c>
      <c r="H767" s="81" t="s">
        <v>11</v>
      </c>
      <c r="I767" s="30">
        <v>45160</v>
      </c>
      <c r="J767" s="16" t="s">
        <v>1013</v>
      </c>
      <c r="K767" s="9" t="s">
        <v>1530</v>
      </c>
      <c r="L767" s="9"/>
      <c r="M767" s="152">
        <v>776472</v>
      </c>
      <c r="N767" s="153">
        <v>147529.68</v>
      </c>
      <c r="O767" s="152">
        <v>0</v>
      </c>
      <c r="P767" s="154">
        <v>0</v>
      </c>
      <c r="Q767" s="152">
        <v>0</v>
      </c>
      <c r="R767" s="9">
        <v>924001.67999999993</v>
      </c>
      <c r="S767" s="21" t="s">
        <v>1846</v>
      </c>
      <c r="T767" s="117">
        <v>0</v>
      </c>
      <c r="U767" s="117" t="s">
        <v>347</v>
      </c>
      <c r="V767" s="117">
        <v>2023</v>
      </c>
      <c r="W767" s="117">
        <v>6</v>
      </c>
      <c r="X767" s="117">
        <v>1145000</v>
      </c>
      <c r="Y767" s="117">
        <v>2.5000000000000001E-2</v>
      </c>
      <c r="Z767" s="21" t="b">
        <v>0</v>
      </c>
      <c r="AA767" s="162">
        <f>+$AD$5-Tabla2[[#This Row],[FECHA DE FACTURACIÓN]]</f>
        <v>283</v>
      </c>
      <c r="AB767" s="163" t="str">
        <f>+IF(Tabla2[[#This Row],[dias de credito]]&gt;=Tabla2[[#This Row],[PLAZO Días]],"venc", "No venc")</f>
        <v>venc</v>
      </c>
      <c r="AC767" s="163" t="str">
        <f>+IF(Tabla2[[#This Row],[FECHA DE PAGO]]&gt;0,"pagada","por pagar")</f>
        <v>pagada</v>
      </c>
      <c r="AD767" s="164" t="str">
        <f>+IF(AND(Tabla2[[#This Row],[venc]]="venc",Tabla2[[#This Row],[estado pago]]="por pagar"),"vencida","no")</f>
        <v>no</v>
      </c>
    </row>
    <row r="768" spans="1:30" ht="19.5" hidden="1" customHeight="1" x14ac:dyDescent="0.25">
      <c r="A768" s="8" t="s">
        <v>1850</v>
      </c>
      <c r="B768" s="8" t="s">
        <v>1851</v>
      </c>
      <c r="C768" s="8">
        <v>30</v>
      </c>
      <c r="D768" s="151">
        <v>4466504.835</v>
      </c>
      <c r="E768" s="151"/>
      <c r="F768" s="24" t="s">
        <v>1553</v>
      </c>
      <c r="G768" s="30">
        <v>45208</v>
      </c>
      <c r="H768" s="81" t="s">
        <v>18</v>
      </c>
      <c r="I768" s="30">
        <v>45161</v>
      </c>
      <c r="J768" s="16" t="s">
        <v>1005</v>
      </c>
      <c r="K768" s="9" t="s">
        <v>1530</v>
      </c>
      <c r="L768" s="9"/>
      <c r="M768" s="152">
        <v>1809303</v>
      </c>
      <c r="N768" s="153">
        <v>343767.57</v>
      </c>
      <c r="O768" s="152">
        <v>0</v>
      </c>
      <c r="P768" s="154">
        <v>2.5000000000000001E-2</v>
      </c>
      <c r="Q768" s="152">
        <v>45232.575000000004</v>
      </c>
      <c r="R768" s="9">
        <v>2107837.9949999996</v>
      </c>
      <c r="S768" s="21" t="s">
        <v>1846</v>
      </c>
      <c r="T768" s="117">
        <v>0</v>
      </c>
      <c r="U768" s="117" t="s">
        <v>347</v>
      </c>
      <c r="V768" s="117">
        <v>2023</v>
      </c>
      <c r="W768" s="117">
        <v>6</v>
      </c>
      <c r="X768" s="117">
        <v>1145000</v>
      </c>
      <c r="Y768" s="117">
        <v>2.5000000000000001E-2</v>
      </c>
      <c r="Z768" s="21" t="b">
        <v>0</v>
      </c>
      <c r="AA768" s="162">
        <f>+$AD$5-Tabla2[[#This Row],[FECHA DE FACTURACIÓN]]</f>
        <v>282</v>
      </c>
      <c r="AB768" s="163" t="str">
        <f>+IF(Tabla2[[#This Row],[dias de credito]]&gt;=Tabla2[[#This Row],[PLAZO Días]],"venc", "No venc")</f>
        <v>venc</v>
      </c>
      <c r="AC768" s="163" t="str">
        <f>+IF(Tabla2[[#This Row],[FECHA DE PAGO]]&gt;0,"pagada","por pagar")</f>
        <v>pagada</v>
      </c>
      <c r="AD768" s="164" t="str">
        <f>+IF(AND(Tabla2[[#This Row],[venc]]="venc",Tabla2[[#This Row],[estado pago]]="por pagar"),"vencida","no")</f>
        <v>no</v>
      </c>
    </row>
    <row r="769" spans="1:30" ht="19.5" hidden="1" customHeight="1" x14ac:dyDescent="0.25">
      <c r="A769" s="8" t="s">
        <v>1850</v>
      </c>
      <c r="B769" s="8" t="s">
        <v>1851</v>
      </c>
      <c r="C769" s="8">
        <v>30</v>
      </c>
      <c r="D769" s="151">
        <v>0</v>
      </c>
      <c r="E769" s="151"/>
      <c r="F769" s="24" t="s">
        <v>169</v>
      </c>
      <c r="G769" s="30">
        <v>45208</v>
      </c>
      <c r="H769" s="81" t="s">
        <v>1592</v>
      </c>
      <c r="I769" s="30">
        <v>45166</v>
      </c>
      <c r="J769" s="16" t="s">
        <v>1017</v>
      </c>
      <c r="K769" s="9" t="s">
        <v>1530</v>
      </c>
      <c r="L769" s="9"/>
      <c r="M769" s="152">
        <v>1230000</v>
      </c>
      <c r="N769" s="153">
        <v>233700</v>
      </c>
      <c r="O769" s="152">
        <v>0</v>
      </c>
      <c r="P769" s="154">
        <v>2.5000000000000001E-2</v>
      </c>
      <c r="Q769" s="152">
        <v>30750</v>
      </c>
      <c r="R769" s="9">
        <v>1432950</v>
      </c>
      <c r="S769" s="21" t="s">
        <v>1846</v>
      </c>
      <c r="T769" s="117">
        <v>0</v>
      </c>
      <c r="U769" s="117" t="s">
        <v>347</v>
      </c>
      <c r="V769" s="117">
        <v>2023</v>
      </c>
      <c r="W769" s="117">
        <v>6</v>
      </c>
      <c r="X769" s="117">
        <v>1145000</v>
      </c>
      <c r="Y769" s="117">
        <v>2.5000000000000001E-2</v>
      </c>
      <c r="Z769" s="21" t="b">
        <v>0</v>
      </c>
      <c r="AA769" s="162">
        <f>+$AD$5-Tabla2[[#This Row],[FECHA DE FACTURACIÓN]]</f>
        <v>277</v>
      </c>
      <c r="AB769" s="163" t="str">
        <f>+IF(Tabla2[[#This Row],[dias de credito]]&gt;=Tabla2[[#This Row],[PLAZO Días]],"venc", "No venc")</f>
        <v>venc</v>
      </c>
      <c r="AC769" s="163" t="str">
        <f>+IF(Tabla2[[#This Row],[FECHA DE PAGO]]&gt;0,"pagada","por pagar")</f>
        <v>pagada</v>
      </c>
      <c r="AD769" s="164" t="str">
        <f>+IF(AND(Tabla2[[#This Row],[venc]]="venc",Tabla2[[#This Row],[estado pago]]="por pagar"),"vencida","no")</f>
        <v>no</v>
      </c>
    </row>
    <row r="770" spans="1:30" ht="19.5" hidden="1" customHeight="1" x14ac:dyDescent="0.25">
      <c r="A770" s="8" t="s">
        <v>1850</v>
      </c>
      <c r="B770" s="8" t="s">
        <v>1851</v>
      </c>
      <c r="C770" s="8">
        <v>30</v>
      </c>
      <c r="D770" s="151">
        <v>4466504.835</v>
      </c>
      <c r="E770" s="151"/>
      <c r="F770" s="24" t="s">
        <v>1553</v>
      </c>
      <c r="G770" s="30">
        <v>45208</v>
      </c>
      <c r="H770" s="81" t="s">
        <v>18</v>
      </c>
      <c r="I770" s="30">
        <v>45168</v>
      </c>
      <c r="J770" s="16" t="s">
        <v>1026</v>
      </c>
      <c r="K770" s="9" t="s">
        <v>1530</v>
      </c>
      <c r="L770" s="9"/>
      <c r="M770" s="152">
        <v>1507927</v>
      </c>
      <c r="N770" s="153">
        <v>286506.13</v>
      </c>
      <c r="O770" s="152">
        <v>0</v>
      </c>
      <c r="P770" s="154">
        <v>2.5000000000000001E-2</v>
      </c>
      <c r="Q770" s="152">
        <v>37698.175000000003</v>
      </c>
      <c r="R770" s="9">
        <v>1756734.9549999998</v>
      </c>
      <c r="S770" s="21" t="s">
        <v>1846</v>
      </c>
      <c r="T770" s="117">
        <v>0</v>
      </c>
      <c r="U770" s="117" t="s">
        <v>347</v>
      </c>
      <c r="V770" s="117">
        <v>2023</v>
      </c>
      <c r="W770" s="117">
        <v>6</v>
      </c>
      <c r="X770" s="117">
        <v>1145000</v>
      </c>
      <c r="Y770" s="117">
        <v>2.5000000000000001E-2</v>
      </c>
      <c r="Z770" s="21" t="b">
        <v>0</v>
      </c>
      <c r="AA770" s="162">
        <f>+$AD$5-Tabla2[[#This Row],[FECHA DE FACTURACIÓN]]</f>
        <v>275</v>
      </c>
      <c r="AB770" s="163" t="str">
        <f>+IF(Tabla2[[#This Row],[dias de credito]]&gt;=Tabla2[[#This Row],[PLAZO Días]],"venc", "No venc")</f>
        <v>venc</v>
      </c>
      <c r="AC770" s="163" t="str">
        <f>+IF(Tabla2[[#This Row],[FECHA DE PAGO]]&gt;0,"pagada","por pagar")</f>
        <v>pagada</v>
      </c>
      <c r="AD770" s="164" t="str">
        <f>+IF(AND(Tabla2[[#This Row],[venc]]="venc",Tabla2[[#This Row],[estado pago]]="por pagar"),"vencida","no")</f>
        <v>no</v>
      </c>
    </row>
    <row r="771" spans="1:30" ht="19.5" hidden="1" customHeight="1" x14ac:dyDescent="0.25">
      <c r="A771" s="8" t="s">
        <v>1850</v>
      </c>
      <c r="B771" s="8" t="s">
        <v>1851</v>
      </c>
      <c r="C771" s="8">
        <v>30</v>
      </c>
      <c r="D771" s="151">
        <v>4466504.835</v>
      </c>
      <c r="E771" s="151"/>
      <c r="F771" s="24" t="s">
        <v>1553</v>
      </c>
      <c r="G771" s="30">
        <v>45208</v>
      </c>
      <c r="H771" s="81" t="s">
        <v>18</v>
      </c>
      <c r="I771" s="30">
        <v>45169</v>
      </c>
      <c r="J771" s="16" t="s">
        <v>1025</v>
      </c>
      <c r="K771" s="9" t="s">
        <v>1530</v>
      </c>
      <c r="L771" s="9"/>
      <c r="M771" s="152">
        <v>825295</v>
      </c>
      <c r="N771" s="153">
        <v>156806.04999999999</v>
      </c>
      <c r="O771" s="152">
        <v>0</v>
      </c>
      <c r="P771" s="154">
        <v>0</v>
      </c>
      <c r="Q771" s="152">
        <v>0</v>
      </c>
      <c r="R771" s="9">
        <v>982101.05</v>
      </c>
      <c r="S771" s="21" t="s">
        <v>1846</v>
      </c>
      <c r="T771" s="117">
        <v>0</v>
      </c>
      <c r="U771" s="117" t="s">
        <v>347</v>
      </c>
      <c r="V771" s="117">
        <v>2023</v>
      </c>
      <c r="W771" s="117">
        <v>6</v>
      </c>
      <c r="X771" s="117">
        <v>1145000</v>
      </c>
      <c r="Y771" s="117">
        <v>2.5000000000000001E-2</v>
      </c>
      <c r="Z771" s="21" t="b">
        <v>0</v>
      </c>
      <c r="AA771" s="162">
        <f>+$AD$5-Tabla2[[#This Row],[FECHA DE FACTURACIÓN]]</f>
        <v>274</v>
      </c>
      <c r="AB771" s="163" t="str">
        <f>+IF(Tabla2[[#This Row],[dias de credito]]&gt;=Tabla2[[#This Row],[PLAZO Días]],"venc", "No venc")</f>
        <v>venc</v>
      </c>
      <c r="AC771" s="163" t="str">
        <f>+IF(Tabla2[[#This Row],[FECHA DE PAGO]]&gt;0,"pagada","por pagar")</f>
        <v>pagada</v>
      </c>
      <c r="AD771" s="164" t="str">
        <f>+IF(AND(Tabla2[[#This Row],[venc]]="venc",Tabla2[[#This Row],[estado pago]]="por pagar"),"vencida","no")</f>
        <v>no</v>
      </c>
    </row>
    <row r="772" spans="1:30" ht="19.5" hidden="1" customHeight="1" x14ac:dyDescent="0.25">
      <c r="A772" s="8" t="s">
        <v>1850</v>
      </c>
      <c r="B772" s="8" t="s">
        <v>1851</v>
      </c>
      <c r="C772" s="8">
        <v>30</v>
      </c>
      <c r="D772" s="151">
        <v>1776037.21</v>
      </c>
      <c r="E772" s="151"/>
      <c r="F772" s="24" t="s">
        <v>148</v>
      </c>
      <c r="G772" s="30">
        <v>45208</v>
      </c>
      <c r="H772" s="81" t="s">
        <v>17</v>
      </c>
      <c r="I772" s="30">
        <v>45173</v>
      </c>
      <c r="J772" s="16" t="s">
        <v>1076</v>
      </c>
      <c r="K772" s="9" t="s">
        <v>1530</v>
      </c>
      <c r="L772" s="9"/>
      <c r="M772" s="152">
        <v>787465</v>
      </c>
      <c r="N772" s="153">
        <v>149618.35</v>
      </c>
      <c r="O772" s="152">
        <v>0</v>
      </c>
      <c r="P772" s="154">
        <v>0</v>
      </c>
      <c r="Q772" s="152">
        <v>0</v>
      </c>
      <c r="R772" s="9">
        <v>937083.35</v>
      </c>
      <c r="S772" s="21" t="s">
        <v>1846</v>
      </c>
      <c r="T772" s="117">
        <v>0</v>
      </c>
      <c r="U772" s="117">
        <v>0</v>
      </c>
      <c r="V772" s="117">
        <v>2023</v>
      </c>
      <c r="W772" s="117">
        <v>6</v>
      </c>
      <c r="X772" s="117">
        <v>0</v>
      </c>
      <c r="Y772" s="117">
        <v>0</v>
      </c>
      <c r="Z772" s="21" t="b">
        <v>0</v>
      </c>
      <c r="AA772" s="162">
        <f>+$AD$5-Tabla2[[#This Row],[FECHA DE FACTURACIÓN]]</f>
        <v>270</v>
      </c>
      <c r="AB772" s="163" t="str">
        <f>+IF(Tabla2[[#This Row],[dias de credito]]&gt;=Tabla2[[#This Row],[PLAZO Días]],"venc", "No venc")</f>
        <v>venc</v>
      </c>
      <c r="AC772" s="163" t="str">
        <f>+IF(Tabla2[[#This Row],[FECHA DE PAGO]]&gt;0,"pagada","por pagar")</f>
        <v>pagada</v>
      </c>
      <c r="AD772" s="164" t="str">
        <f>+IF(AND(Tabla2[[#This Row],[venc]]="venc",Tabla2[[#This Row],[estado pago]]="por pagar"),"vencida","no")</f>
        <v>no</v>
      </c>
    </row>
    <row r="773" spans="1:30" ht="19.5" hidden="1" customHeight="1" x14ac:dyDescent="0.25">
      <c r="A773" s="8" t="s">
        <v>1850</v>
      </c>
      <c r="B773" s="8" t="s">
        <v>1851</v>
      </c>
      <c r="C773" s="8">
        <v>30</v>
      </c>
      <c r="D773" s="151">
        <v>1776037.21</v>
      </c>
      <c r="E773" s="151"/>
      <c r="F773" s="24" t="s">
        <v>148</v>
      </c>
      <c r="G773" s="30">
        <v>45208</v>
      </c>
      <c r="H773" s="81" t="s">
        <v>17</v>
      </c>
      <c r="I773" s="30">
        <v>45174</v>
      </c>
      <c r="J773" s="16" t="s">
        <v>1146</v>
      </c>
      <c r="K773" s="9" t="s">
        <v>1530</v>
      </c>
      <c r="L773" s="9"/>
      <c r="M773" s="152">
        <v>1053062</v>
      </c>
      <c r="N773" s="153">
        <v>200081.78</v>
      </c>
      <c r="O773" s="152">
        <v>0</v>
      </c>
      <c r="P773" s="154">
        <v>0</v>
      </c>
      <c r="Q773" s="152">
        <v>0</v>
      </c>
      <c r="R773" s="9">
        <v>1253143.78</v>
      </c>
      <c r="S773" s="21" t="s">
        <v>1846</v>
      </c>
      <c r="T773" s="117">
        <v>0</v>
      </c>
      <c r="U773" s="117">
        <v>0</v>
      </c>
      <c r="V773" s="117">
        <v>2023</v>
      </c>
      <c r="W773" s="117">
        <v>6</v>
      </c>
      <c r="X773" s="117">
        <v>0</v>
      </c>
      <c r="Y773" s="117">
        <v>0</v>
      </c>
      <c r="Z773" s="21" t="b">
        <v>0</v>
      </c>
      <c r="AA773" s="162">
        <f>+$AD$5-Tabla2[[#This Row],[FECHA DE FACTURACIÓN]]</f>
        <v>269</v>
      </c>
      <c r="AB773" s="163" t="str">
        <f>+IF(Tabla2[[#This Row],[dias de credito]]&gt;=Tabla2[[#This Row],[PLAZO Días]],"venc", "No venc")</f>
        <v>venc</v>
      </c>
      <c r="AC773" s="163" t="str">
        <f>+IF(Tabla2[[#This Row],[FECHA DE PAGO]]&gt;0,"pagada","por pagar")</f>
        <v>pagada</v>
      </c>
      <c r="AD773" s="164" t="str">
        <f>+IF(AND(Tabla2[[#This Row],[venc]]="venc",Tabla2[[#This Row],[estado pago]]="por pagar"),"vencida","no")</f>
        <v>no</v>
      </c>
    </row>
    <row r="774" spans="1:30" ht="19.5" hidden="1" customHeight="1" x14ac:dyDescent="0.25">
      <c r="A774" s="8" t="s">
        <v>1850</v>
      </c>
      <c r="B774" s="8" t="s">
        <v>1851</v>
      </c>
      <c r="C774" s="8">
        <v>30</v>
      </c>
      <c r="D774" s="151">
        <v>0</v>
      </c>
      <c r="E774" s="151"/>
      <c r="F774" s="24" t="s">
        <v>159</v>
      </c>
      <c r="G774" s="30">
        <v>45208</v>
      </c>
      <c r="H774" s="81" t="s">
        <v>452</v>
      </c>
      <c r="I774" s="30">
        <v>45174</v>
      </c>
      <c r="J774" s="16" t="s">
        <v>1062</v>
      </c>
      <c r="K774" s="9" t="s">
        <v>1530</v>
      </c>
      <c r="L774" s="9"/>
      <c r="M774" s="152">
        <v>1928576</v>
      </c>
      <c r="N774" s="153">
        <v>366429.44</v>
      </c>
      <c r="O774" s="152">
        <v>0</v>
      </c>
      <c r="P774" s="154">
        <v>2.5000000000000001E-2</v>
      </c>
      <c r="Q774" s="152">
        <v>48214.400000000001</v>
      </c>
      <c r="R774" s="9">
        <v>2246791.04</v>
      </c>
      <c r="S774" s="21" t="s">
        <v>1846</v>
      </c>
      <c r="T774" s="117">
        <v>0</v>
      </c>
      <c r="U774" s="117" t="s">
        <v>347</v>
      </c>
      <c r="V774" s="117">
        <v>2023</v>
      </c>
      <c r="W774" s="117">
        <v>6</v>
      </c>
      <c r="X774" s="117">
        <v>1145000</v>
      </c>
      <c r="Y774" s="117">
        <v>2.5000000000000001E-2</v>
      </c>
      <c r="Z774" s="21" t="b">
        <v>0</v>
      </c>
      <c r="AA774" s="162">
        <f>+$AD$5-Tabla2[[#This Row],[FECHA DE FACTURACIÓN]]</f>
        <v>269</v>
      </c>
      <c r="AB774" s="163" t="str">
        <f>+IF(Tabla2[[#This Row],[dias de credito]]&gt;=Tabla2[[#This Row],[PLAZO Días]],"venc", "No venc")</f>
        <v>venc</v>
      </c>
      <c r="AC774" s="163" t="str">
        <f>+IF(Tabla2[[#This Row],[FECHA DE PAGO]]&gt;0,"pagada","por pagar")</f>
        <v>pagada</v>
      </c>
      <c r="AD774" s="164" t="str">
        <f>+IF(AND(Tabla2[[#This Row],[venc]]="venc",Tabla2[[#This Row],[estado pago]]="por pagar"),"vencida","no")</f>
        <v>no</v>
      </c>
    </row>
    <row r="775" spans="1:30" ht="19.5" hidden="1" customHeight="1" x14ac:dyDescent="0.25">
      <c r="A775" s="8" t="s">
        <v>1850</v>
      </c>
      <c r="B775" s="8" t="s">
        <v>1851</v>
      </c>
      <c r="C775" s="8">
        <v>30</v>
      </c>
      <c r="D775" s="151">
        <v>4466504.835</v>
      </c>
      <c r="E775" s="151"/>
      <c r="F775" s="24" t="s">
        <v>1553</v>
      </c>
      <c r="G775" s="30">
        <v>45208</v>
      </c>
      <c r="H775" s="81" t="s">
        <v>18</v>
      </c>
      <c r="I775" s="30">
        <v>45175</v>
      </c>
      <c r="J775" s="16" t="s">
        <v>1068</v>
      </c>
      <c r="K775" s="9" t="s">
        <v>1530</v>
      </c>
      <c r="L775" s="9"/>
      <c r="M775" s="152">
        <v>884468</v>
      </c>
      <c r="N775" s="153">
        <v>168048.92</v>
      </c>
      <c r="O775" s="152">
        <v>0</v>
      </c>
      <c r="P775" s="154">
        <v>0</v>
      </c>
      <c r="Q775" s="152">
        <v>0</v>
      </c>
      <c r="R775" s="9">
        <v>1052516.92</v>
      </c>
      <c r="S775" s="21" t="s">
        <v>1846</v>
      </c>
      <c r="T775" s="117">
        <v>0</v>
      </c>
      <c r="U775" s="117" t="s">
        <v>347</v>
      </c>
      <c r="V775" s="117">
        <v>2023</v>
      </c>
      <c r="W775" s="117">
        <v>6</v>
      </c>
      <c r="X775" s="117">
        <v>1145000</v>
      </c>
      <c r="Y775" s="117">
        <v>2.5000000000000001E-2</v>
      </c>
      <c r="Z775" s="21" t="b">
        <v>0</v>
      </c>
      <c r="AA775" s="162">
        <f>+$AD$5-Tabla2[[#This Row],[FECHA DE FACTURACIÓN]]</f>
        <v>268</v>
      </c>
      <c r="AB775" s="163" t="str">
        <f>+IF(Tabla2[[#This Row],[dias de credito]]&gt;=Tabla2[[#This Row],[PLAZO Días]],"venc", "No venc")</f>
        <v>venc</v>
      </c>
      <c r="AC775" s="163" t="str">
        <f>+IF(Tabla2[[#This Row],[FECHA DE PAGO]]&gt;0,"pagada","por pagar")</f>
        <v>pagada</v>
      </c>
      <c r="AD775" s="164" t="str">
        <f>+IF(AND(Tabla2[[#This Row],[venc]]="venc",Tabla2[[#This Row],[estado pago]]="por pagar"),"vencida","no")</f>
        <v>no</v>
      </c>
    </row>
    <row r="776" spans="1:30" ht="19.5" hidden="1" customHeight="1" x14ac:dyDescent="0.25">
      <c r="A776" s="8" t="s">
        <v>1852</v>
      </c>
      <c r="B776" s="8" t="b">
        <v>0</v>
      </c>
      <c r="C776" s="8">
        <v>30</v>
      </c>
      <c r="D776" s="151">
        <v>0</v>
      </c>
      <c r="E776" s="151"/>
      <c r="F776" s="24" t="s">
        <v>84</v>
      </c>
      <c r="G776" s="30">
        <v>45208</v>
      </c>
      <c r="H776" s="81" t="s">
        <v>1824</v>
      </c>
      <c r="I776" s="30">
        <v>45208</v>
      </c>
      <c r="J776" s="16"/>
      <c r="K776" s="9" t="s">
        <v>1530</v>
      </c>
      <c r="L776" s="9"/>
      <c r="M776" s="152">
        <v>1000000</v>
      </c>
      <c r="N776" s="153">
        <v>0</v>
      </c>
      <c r="O776" s="152">
        <v>0</v>
      </c>
      <c r="P776" s="154">
        <v>0</v>
      </c>
      <c r="Q776" s="152">
        <v>0</v>
      </c>
      <c r="R776" s="9">
        <v>1000000</v>
      </c>
      <c r="S776" s="21" t="s">
        <v>1846</v>
      </c>
      <c r="T776" s="117">
        <v>0</v>
      </c>
      <c r="U776" s="117">
        <v>0</v>
      </c>
      <c r="V776" s="117">
        <v>2023</v>
      </c>
      <c r="W776" s="117">
        <v>6</v>
      </c>
      <c r="X776" s="117">
        <v>0</v>
      </c>
      <c r="Y776" s="117">
        <v>0</v>
      </c>
      <c r="Z776" s="21" t="b">
        <v>0</v>
      </c>
      <c r="AA776" s="162">
        <f>+$AD$5-Tabla2[[#This Row],[FECHA DE FACTURACIÓN]]</f>
        <v>235</v>
      </c>
      <c r="AB776" s="163" t="str">
        <f>+IF(Tabla2[[#This Row],[dias de credito]]&gt;=Tabla2[[#This Row],[PLAZO Días]],"venc", "No venc")</f>
        <v>venc</v>
      </c>
      <c r="AC776" s="163" t="str">
        <f>+IF(Tabla2[[#This Row],[FECHA DE PAGO]]&gt;0,"pagada","por pagar")</f>
        <v>pagada</v>
      </c>
      <c r="AD776" s="164" t="str">
        <f>+IF(AND(Tabla2[[#This Row],[venc]]="venc",Tabla2[[#This Row],[estado pago]]="por pagar"),"vencida","no")</f>
        <v>no</v>
      </c>
    </row>
    <row r="777" spans="1:30" ht="19.5" hidden="1" customHeight="1" x14ac:dyDescent="0.25">
      <c r="A777" s="8" t="s">
        <v>1852</v>
      </c>
      <c r="B777" s="8" t="b">
        <v>0</v>
      </c>
      <c r="C777" s="8">
        <v>30</v>
      </c>
      <c r="D777" s="151">
        <v>0</v>
      </c>
      <c r="E777" s="151"/>
      <c r="F777" s="24">
        <v>0</v>
      </c>
      <c r="G777" s="30">
        <v>45208</v>
      </c>
      <c r="H777" s="81" t="s">
        <v>547</v>
      </c>
      <c r="I777" s="30">
        <v>45208</v>
      </c>
      <c r="J777" s="16" t="s">
        <v>1183</v>
      </c>
      <c r="K777" s="9" t="s">
        <v>1530</v>
      </c>
      <c r="L777" s="9"/>
      <c r="M777" s="152">
        <v>416500</v>
      </c>
      <c r="N777" s="153">
        <v>79135</v>
      </c>
      <c r="O777" s="152">
        <v>0</v>
      </c>
      <c r="P777" s="154">
        <v>0</v>
      </c>
      <c r="Q777" s="152">
        <v>0</v>
      </c>
      <c r="R777" s="9">
        <v>495635</v>
      </c>
      <c r="S777" s="21" t="s">
        <v>1846</v>
      </c>
      <c r="T777" s="117">
        <v>0</v>
      </c>
      <c r="U777" s="117" t="s">
        <v>347</v>
      </c>
      <c r="V777" s="117">
        <v>2023</v>
      </c>
      <c r="W777" s="117">
        <v>6</v>
      </c>
      <c r="X777" s="117">
        <v>1145000</v>
      </c>
      <c r="Y777" s="117">
        <v>2.5000000000000001E-2</v>
      </c>
      <c r="Z777" s="21" t="b">
        <v>0</v>
      </c>
      <c r="AA777" s="162">
        <f>+$AD$5-Tabla2[[#This Row],[FECHA DE FACTURACIÓN]]</f>
        <v>235</v>
      </c>
      <c r="AB777" s="163" t="str">
        <f>+IF(Tabla2[[#This Row],[dias de credito]]&gt;=Tabla2[[#This Row],[PLAZO Días]],"venc", "No venc")</f>
        <v>venc</v>
      </c>
      <c r="AC777" s="163" t="str">
        <f>+IF(Tabla2[[#This Row],[FECHA DE PAGO]]&gt;0,"pagada","por pagar")</f>
        <v>pagada</v>
      </c>
      <c r="AD777" s="164" t="str">
        <f>+IF(AND(Tabla2[[#This Row],[venc]]="venc",Tabla2[[#This Row],[estado pago]]="por pagar"),"vencida","no")</f>
        <v>no</v>
      </c>
    </row>
    <row r="778" spans="1:30" ht="19.5" hidden="1" customHeight="1" x14ac:dyDescent="0.25">
      <c r="A778" s="8" t="s">
        <v>1850</v>
      </c>
      <c r="B778" s="8" t="b">
        <v>0</v>
      </c>
      <c r="C778" s="8">
        <v>30</v>
      </c>
      <c r="D778" s="151">
        <v>4316000</v>
      </c>
      <c r="E778" s="151"/>
      <c r="F778" s="24" t="s">
        <v>84</v>
      </c>
      <c r="G778" s="30">
        <v>45209</v>
      </c>
      <c r="H778" s="81" t="s">
        <v>1812</v>
      </c>
      <c r="I778" s="30">
        <v>45181</v>
      </c>
      <c r="J778" s="16" t="s">
        <v>1106</v>
      </c>
      <c r="K778" s="9" t="s">
        <v>1530</v>
      </c>
      <c r="L778" s="9"/>
      <c r="M778" s="152">
        <v>1068000</v>
      </c>
      <c r="N778" s="153">
        <v>0</v>
      </c>
      <c r="O778" s="152">
        <v>0</v>
      </c>
      <c r="P778" s="154">
        <v>0</v>
      </c>
      <c r="Q778" s="152">
        <v>0</v>
      </c>
      <c r="R778" s="9">
        <v>1068000</v>
      </c>
      <c r="S778" s="21" t="s">
        <v>1846</v>
      </c>
      <c r="T778" s="117">
        <v>0</v>
      </c>
      <c r="U778" s="117">
        <v>0</v>
      </c>
      <c r="V778" s="117">
        <v>2023</v>
      </c>
      <c r="W778" s="117">
        <v>6</v>
      </c>
      <c r="X778" s="117">
        <v>0</v>
      </c>
      <c r="Y778" s="117">
        <v>0</v>
      </c>
      <c r="Z778" s="21" t="b">
        <v>0</v>
      </c>
      <c r="AA778" s="162">
        <f>+$AD$5-Tabla2[[#This Row],[FECHA DE FACTURACIÓN]]</f>
        <v>262</v>
      </c>
      <c r="AB778" s="163" t="str">
        <f>+IF(Tabla2[[#This Row],[dias de credito]]&gt;=Tabla2[[#This Row],[PLAZO Días]],"venc", "No venc")</f>
        <v>venc</v>
      </c>
      <c r="AC778" s="163" t="str">
        <f>+IF(Tabla2[[#This Row],[FECHA DE PAGO]]&gt;0,"pagada","por pagar")</f>
        <v>pagada</v>
      </c>
      <c r="AD778" s="164" t="str">
        <f>+IF(AND(Tabla2[[#This Row],[venc]]="venc",Tabla2[[#This Row],[estado pago]]="por pagar"),"vencida","no")</f>
        <v>no</v>
      </c>
    </row>
    <row r="779" spans="1:30" ht="19.5" hidden="1" customHeight="1" x14ac:dyDescent="0.25">
      <c r="A779" s="8" t="s">
        <v>1850</v>
      </c>
      <c r="B779" s="8" t="b">
        <v>0</v>
      </c>
      <c r="C779" s="8">
        <v>30</v>
      </c>
      <c r="D779" s="151">
        <v>0</v>
      </c>
      <c r="E779" s="151"/>
      <c r="F779" s="24" t="s">
        <v>253</v>
      </c>
      <c r="G779" s="30">
        <v>45209</v>
      </c>
      <c r="H779" s="81" t="s">
        <v>368</v>
      </c>
      <c r="I779" s="30">
        <v>45200</v>
      </c>
      <c r="J779" s="16" t="s">
        <v>1085</v>
      </c>
      <c r="K779" s="9" t="s">
        <v>1530</v>
      </c>
      <c r="L779" s="9"/>
      <c r="M779" s="152">
        <v>20226</v>
      </c>
      <c r="N779" s="153">
        <v>3842.94</v>
      </c>
      <c r="O779" s="152">
        <v>0</v>
      </c>
      <c r="P779" s="154">
        <v>0</v>
      </c>
      <c r="Q779" s="152">
        <v>0</v>
      </c>
      <c r="R779" s="9">
        <v>24068.94</v>
      </c>
      <c r="S779" s="21" t="s">
        <v>1846</v>
      </c>
      <c r="T779" s="117">
        <v>0</v>
      </c>
      <c r="U779" s="117">
        <v>0</v>
      </c>
      <c r="V779" s="117">
        <v>2023</v>
      </c>
      <c r="W779" s="117">
        <v>6</v>
      </c>
      <c r="X779" s="117">
        <v>0</v>
      </c>
      <c r="Y779" s="117">
        <v>0</v>
      </c>
      <c r="Z779" s="21" t="b">
        <v>1</v>
      </c>
      <c r="AA779" s="162">
        <f>+$AD$5-Tabla2[[#This Row],[FECHA DE FACTURACIÓN]]</f>
        <v>243</v>
      </c>
      <c r="AB779" s="163" t="str">
        <f>+IF(Tabla2[[#This Row],[dias de credito]]&gt;=Tabla2[[#This Row],[PLAZO Días]],"venc", "No venc")</f>
        <v>venc</v>
      </c>
      <c r="AC779" s="163" t="str">
        <f>+IF(Tabla2[[#This Row],[FECHA DE PAGO]]&gt;0,"pagada","por pagar")</f>
        <v>pagada</v>
      </c>
      <c r="AD779" s="164" t="str">
        <f>+IF(AND(Tabla2[[#This Row],[venc]]="venc",Tabla2[[#This Row],[estado pago]]="por pagar"),"vencida","no")</f>
        <v>no</v>
      </c>
    </row>
    <row r="780" spans="1:30" ht="19.5" hidden="1" customHeight="1" x14ac:dyDescent="0.25">
      <c r="A780" s="8" t="s">
        <v>1850</v>
      </c>
      <c r="B780" s="8" t="b">
        <v>0</v>
      </c>
      <c r="C780" s="8">
        <v>30</v>
      </c>
      <c r="D780" s="151">
        <v>0</v>
      </c>
      <c r="E780" s="151"/>
      <c r="F780" s="24" t="s">
        <v>253</v>
      </c>
      <c r="G780" s="30">
        <v>45209</v>
      </c>
      <c r="H780" s="81" t="s">
        <v>368</v>
      </c>
      <c r="I780" s="30">
        <v>45200</v>
      </c>
      <c r="J780" s="16" t="s">
        <v>1084</v>
      </c>
      <c r="K780" s="9" t="s">
        <v>1530</v>
      </c>
      <c r="L780" s="9"/>
      <c r="M780" s="152">
        <v>908172</v>
      </c>
      <c r="N780" s="153">
        <v>172552.68</v>
      </c>
      <c r="O780" s="152">
        <v>0</v>
      </c>
      <c r="P780" s="154">
        <v>0</v>
      </c>
      <c r="Q780" s="152">
        <v>0</v>
      </c>
      <c r="R780" s="9">
        <v>1080724.68</v>
      </c>
      <c r="S780" s="21" t="s">
        <v>1846</v>
      </c>
      <c r="T780" s="117">
        <v>0</v>
      </c>
      <c r="U780" s="117">
        <v>0</v>
      </c>
      <c r="V780" s="117">
        <v>2023</v>
      </c>
      <c r="W780" s="117">
        <v>6</v>
      </c>
      <c r="X780" s="117">
        <v>0</v>
      </c>
      <c r="Y780" s="117">
        <v>0</v>
      </c>
      <c r="Z780" s="21" t="b">
        <v>1</v>
      </c>
      <c r="AA780" s="162">
        <f>+$AD$5-Tabla2[[#This Row],[FECHA DE FACTURACIÓN]]</f>
        <v>243</v>
      </c>
      <c r="AB780" s="163" t="str">
        <f>+IF(Tabla2[[#This Row],[dias de credito]]&gt;=Tabla2[[#This Row],[PLAZO Días]],"venc", "No venc")</f>
        <v>venc</v>
      </c>
      <c r="AC780" s="163" t="str">
        <f>+IF(Tabla2[[#This Row],[FECHA DE PAGO]]&gt;0,"pagada","por pagar")</f>
        <v>pagada</v>
      </c>
      <c r="AD780" s="164" t="str">
        <f>+IF(AND(Tabla2[[#This Row],[venc]]="venc",Tabla2[[#This Row],[estado pago]]="por pagar"),"vencida","no")</f>
        <v>no</v>
      </c>
    </row>
    <row r="781" spans="1:30" ht="19.5" hidden="1" customHeight="1" x14ac:dyDescent="0.25">
      <c r="A781" s="8" t="s">
        <v>1850</v>
      </c>
      <c r="B781" s="8" t="b">
        <v>0</v>
      </c>
      <c r="C781" s="8">
        <v>30</v>
      </c>
      <c r="D781" s="151">
        <v>0</v>
      </c>
      <c r="E781" s="151"/>
      <c r="F781" s="24" t="s">
        <v>253</v>
      </c>
      <c r="G781" s="30">
        <v>45209</v>
      </c>
      <c r="H781" s="81" t="s">
        <v>368</v>
      </c>
      <c r="I781" s="30">
        <v>45200</v>
      </c>
      <c r="J781" s="16" t="s">
        <v>1081</v>
      </c>
      <c r="K781" s="9" t="s">
        <v>1530</v>
      </c>
      <c r="L781" s="9"/>
      <c r="M781" s="152">
        <v>3792544</v>
      </c>
      <c r="N781" s="153">
        <v>720583.36</v>
      </c>
      <c r="O781" s="152">
        <v>0</v>
      </c>
      <c r="P781" s="154">
        <v>0</v>
      </c>
      <c r="Q781" s="152">
        <v>0</v>
      </c>
      <c r="R781" s="9">
        <v>4513127.3600000003</v>
      </c>
      <c r="S781" s="21" t="s">
        <v>1846</v>
      </c>
      <c r="T781" s="117">
        <v>0</v>
      </c>
      <c r="U781" s="117">
        <v>0</v>
      </c>
      <c r="V781" s="117">
        <v>2023</v>
      </c>
      <c r="W781" s="117">
        <v>6</v>
      </c>
      <c r="X781" s="117">
        <v>0</v>
      </c>
      <c r="Y781" s="117">
        <v>0</v>
      </c>
      <c r="Z781" s="21" t="b">
        <v>1</v>
      </c>
      <c r="AA781" s="162">
        <f>+$AD$5-Tabla2[[#This Row],[FECHA DE FACTURACIÓN]]</f>
        <v>243</v>
      </c>
      <c r="AB781" s="163" t="str">
        <f>+IF(Tabla2[[#This Row],[dias de credito]]&gt;=Tabla2[[#This Row],[PLAZO Días]],"venc", "No venc")</f>
        <v>venc</v>
      </c>
      <c r="AC781" s="163" t="str">
        <f>+IF(Tabla2[[#This Row],[FECHA DE PAGO]]&gt;0,"pagada","por pagar")</f>
        <v>pagada</v>
      </c>
      <c r="AD781" s="164" t="str">
        <f>+IF(AND(Tabla2[[#This Row],[venc]]="venc",Tabla2[[#This Row],[estado pago]]="por pagar"),"vencida","no")</f>
        <v>no</v>
      </c>
    </row>
    <row r="782" spans="1:30" ht="19.5" hidden="1" customHeight="1" x14ac:dyDescent="0.25">
      <c r="A782" s="8" t="s">
        <v>1852</v>
      </c>
      <c r="B782" s="8" t="b">
        <v>0</v>
      </c>
      <c r="C782" s="8">
        <v>30</v>
      </c>
      <c r="D782" s="151">
        <v>1350000</v>
      </c>
      <c r="E782" s="151"/>
      <c r="F782" s="24" t="s">
        <v>84</v>
      </c>
      <c r="G782" s="30">
        <v>45209</v>
      </c>
      <c r="H782" s="81" t="s">
        <v>1807</v>
      </c>
      <c r="I782" s="30">
        <v>45209</v>
      </c>
      <c r="J782" s="16" t="s">
        <v>1152</v>
      </c>
      <c r="K782" s="9" t="s">
        <v>1530</v>
      </c>
      <c r="L782" s="9"/>
      <c r="M782" s="152">
        <v>1380000</v>
      </c>
      <c r="N782" s="153">
        <v>0</v>
      </c>
      <c r="O782" s="152">
        <v>0</v>
      </c>
      <c r="P782" s="154">
        <v>0</v>
      </c>
      <c r="Q782" s="152">
        <v>0</v>
      </c>
      <c r="R782" s="9">
        <v>1380000</v>
      </c>
      <c r="S782" s="21" t="s">
        <v>1846</v>
      </c>
      <c r="T782" s="117">
        <v>0</v>
      </c>
      <c r="U782" s="117">
        <v>0</v>
      </c>
      <c r="V782" s="117">
        <v>2023</v>
      </c>
      <c r="W782" s="117">
        <v>6</v>
      </c>
      <c r="X782" s="117">
        <v>0</v>
      </c>
      <c r="Y782" s="117">
        <v>0</v>
      </c>
      <c r="Z782" s="21" t="b">
        <v>0</v>
      </c>
      <c r="AA782" s="162">
        <f>+$AD$5-Tabla2[[#This Row],[FECHA DE FACTURACIÓN]]</f>
        <v>234</v>
      </c>
      <c r="AB782" s="163" t="str">
        <f>+IF(Tabla2[[#This Row],[dias de credito]]&gt;=Tabla2[[#This Row],[PLAZO Días]],"venc", "No venc")</f>
        <v>venc</v>
      </c>
      <c r="AC782" s="163" t="str">
        <f>+IF(Tabla2[[#This Row],[FECHA DE PAGO]]&gt;0,"pagada","por pagar")</f>
        <v>pagada</v>
      </c>
      <c r="AD782" s="164" t="str">
        <f>+IF(AND(Tabla2[[#This Row],[venc]]="venc",Tabla2[[#This Row],[estado pago]]="por pagar"),"vencida","no")</f>
        <v>no</v>
      </c>
    </row>
    <row r="783" spans="1:30" ht="19.5" hidden="1" customHeight="1" x14ac:dyDescent="0.25">
      <c r="A783" s="8" t="s">
        <v>1852</v>
      </c>
      <c r="B783" s="8" t="b">
        <v>0</v>
      </c>
      <c r="C783" s="8">
        <v>30</v>
      </c>
      <c r="D783" s="151">
        <v>0</v>
      </c>
      <c r="E783" s="151"/>
      <c r="F783" s="24" t="s">
        <v>84</v>
      </c>
      <c r="G783" s="30">
        <v>45210</v>
      </c>
      <c r="H783" s="81" t="s">
        <v>525</v>
      </c>
      <c r="I783" s="30">
        <v>45210</v>
      </c>
      <c r="J783" s="16" t="s">
        <v>1148</v>
      </c>
      <c r="K783" s="9" t="s">
        <v>1530</v>
      </c>
      <c r="L783" s="9"/>
      <c r="M783" s="152">
        <v>180000</v>
      </c>
      <c r="N783" s="153">
        <v>0</v>
      </c>
      <c r="O783" s="152">
        <v>0</v>
      </c>
      <c r="P783" s="154">
        <v>0</v>
      </c>
      <c r="Q783" s="152">
        <v>0</v>
      </c>
      <c r="R783" s="9">
        <v>180000</v>
      </c>
      <c r="S783" s="21" t="s">
        <v>1846</v>
      </c>
      <c r="T783" s="117">
        <v>0</v>
      </c>
      <c r="U783" s="117">
        <v>0</v>
      </c>
      <c r="V783" s="117">
        <v>2023</v>
      </c>
      <c r="W783" s="117">
        <v>6</v>
      </c>
      <c r="X783" s="117">
        <v>0</v>
      </c>
      <c r="Y783" s="117">
        <v>0</v>
      </c>
      <c r="Z783" s="21" t="b">
        <v>0</v>
      </c>
      <c r="AA783" s="162">
        <f>+$AD$5-Tabla2[[#This Row],[FECHA DE FACTURACIÓN]]</f>
        <v>233</v>
      </c>
      <c r="AB783" s="163" t="str">
        <f>+IF(Tabla2[[#This Row],[dias de credito]]&gt;=Tabla2[[#This Row],[PLAZO Días]],"venc", "No venc")</f>
        <v>venc</v>
      </c>
      <c r="AC783" s="163" t="str">
        <f>+IF(Tabla2[[#This Row],[FECHA DE PAGO]]&gt;0,"pagada","por pagar")</f>
        <v>pagada</v>
      </c>
      <c r="AD783" s="164" t="str">
        <f>+IF(AND(Tabla2[[#This Row],[venc]]="venc",Tabla2[[#This Row],[estado pago]]="por pagar"),"vencida","no")</f>
        <v>no</v>
      </c>
    </row>
    <row r="784" spans="1:30" ht="19.5" hidden="1" customHeight="1" x14ac:dyDescent="0.25">
      <c r="A784" s="8" t="s">
        <v>1852</v>
      </c>
      <c r="B784" s="8" t="b">
        <v>0</v>
      </c>
      <c r="C784" s="8">
        <v>30</v>
      </c>
      <c r="D784" s="151">
        <v>0</v>
      </c>
      <c r="E784" s="151"/>
      <c r="F784" s="24" t="s">
        <v>84</v>
      </c>
      <c r="G784" s="30">
        <v>45211</v>
      </c>
      <c r="H784" s="81" t="s">
        <v>525</v>
      </c>
      <c r="I784" s="30">
        <v>45211</v>
      </c>
      <c r="J784" s="16" t="s">
        <v>1126</v>
      </c>
      <c r="K784" s="9" t="s">
        <v>1530</v>
      </c>
      <c r="L784" s="9"/>
      <c r="M784" s="152">
        <v>280331</v>
      </c>
      <c r="N784" s="153">
        <v>0</v>
      </c>
      <c r="O784" s="152">
        <v>0</v>
      </c>
      <c r="P784" s="154">
        <v>0</v>
      </c>
      <c r="Q784" s="152">
        <v>0</v>
      </c>
      <c r="R784" s="9">
        <v>280331</v>
      </c>
      <c r="S784" s="21" t="s">
        <v>1846</v>
      </c>
      <c r="T784" s="117">
        <v>0</v>
      </c>
      <c r="U784" s="117">
        <v>0</v>
      </c>
      <c r="V784" s="117">
        <v>2023</v>
      </c>
      <c r="W784" s="117">
        <v>6</v>
      </c>
      <c r="X784" s="117">
        <v>0</v>
      </c>
      <c r="Y784" s="117">
        <v>0</v>
      </c>
      <c r="Z784" s="21" t="b">
        <v>0</v>
      </c>
      <c r="AA784" s="162">
        <f>+$AD$5-Tabla2[[#This Row],[FECHA DE FACTURACIÓN]]</f>
        <v>232</v>
      </c>
      <c r="AB784" s="163" t="str">
        <f>+IF(Tabla2[[#This Row],[dias de credito]]&gt;=Tabla2[[#This Row],[PLAZO Días]],"venc", "No venc")</f>
        <v>venc</v>
      </c>
      <c r="AC784" s="163" t="str">
        <f>+IF(Tabla2[[#This Row],[FECHA DE PAGO]]&gt;0,"pagada","por pagar")</f>
        <v>pagada</v>
      </c>
      <c r="AD784" s="164" t="str">
        <f>+IF(AND(Tabla2[[#This Row],[venc]]="venc",Tabla2[[#This Row],[estado pago]]="por pagar"),"vencida","no")</f>
        <v>no</v>
      </c>
    </row>
    <row r="785" spans="1:30" ht="19.5" hidden="1" customHeight="1" x14ac:dyDescent="0.25">
      <c r="A785" s="8" t="s">
        <v>1852</v>
      </c>
      <c r="B785" s="8" t="b">
        <v>0</v>
      </c>
      <c r="C785" s="8">
        <v>30</v>
      </c>
      <c r="D785" s="151">
        <v>0</v>
      </c>
      <c r="E785" s="151"/>
      <c r="F785" s="24" t="s">
        <v>84</v>
      </c>
      <c r="G785" s="30">
        <v>45211</v>
      </c>
      <c r="H785" s="81" t="s">
        <v>1815</v>
      </c>
      <c r="I785" s="30">
        <v>45211</v>
      </c>
      <c r="J785" s="16" t="s">
        <v>1139</v>
      </c>
      <c r="K785" s="9" t="s">
        <v>1530</v>
      </c>
      <c r="L785" s="9"/>
      <c r="M785" s="152">
        <v>550000</v>
      </c>
      <c r="N785" s="153">
        <v>0</v>
      </c>
      <c r="O785" s="152">
        <v>0</v>
      </c>
      <c r="P785" s="154">
        <v>0</v>
      </c>
      <c r="Q785" s="152">
        <v>0</v>
      </c>
      <c r="R785" s="9">
        <v>550000</v>
      </c>
      <c r="S785" s="21" t="s">
        <v>1846</v>
      </c>
      <c r="T785" s="117">
        <v>0</v>
      </c>
      <c r="U785" s="117">
        <v>0</v>
      </c>
      <c r="V785" s="117">
        <v>2023</v>
      </c>
      <c r="W785" s="117">
        <v>6</v>
      </c>
      <c r="X785" s="117">
        <v>0</v>
      </c>
      <c r="Y785" s="117">
        <v>0</v>
      </c>
      <c r="Z785" s="21" t="b">
        <v>0</v>
      </c>
      <c r="AA785" s="162">
        <f>+$AD$5-Tabla2[[#This Row],[FECHA DE FACTURACIÓN]]</f>
        <v>232</v>
      </c>
      <c r="AB785" s="163" t="str">
        <f>+IF(Tabla2[[#This Row],[dias de credito]]&gt;=Tabla2[[#This Row],[PLAZO Días]],"venc", "No venc")</f>
        <v>venc</v>
      </c>
      <c r="AC785" s="163" t="str">
        <f>+IF(Tabla2[[#This Row],[FECHA DE PAGO]]&gt;0,"pagada","por pagar")</f>
        <v>pagada</v>
      </c>
      <c r="AD785" s="164" t="str">
        <f>+IF(AND(Tabla2[[#This Row],[venc]]="venc",Tabla2[[#This Row],[estado pago]]="por pagar"),"vencida","no")</f>
        <v>no</v>
      </c>
    </row>
    <row r="786" spans="1:30" ht="19.5" hidden="1" customHeight="1" x14ac:dyDescent="0.25">
      <c r="A786" s="8" t="s">
        <v>1850</v>
      </c>
      <c r="B786" s="8" t="b">
        <v>0</v>
      </c>
      <c r="C786" s="8">
        <v>30</v>
      </c>
      <c r="D786" s="151">
        <v>0</v>
      </c>
      <c r="E786" s="151"/>
      <c r="F786" s="24" t="s">
        <v>84</v>
      </c>
      <c r="G786" s="30">
        <v>45213</v>
      </c>
      <c r="H786" s="81" t="s">
        <v>481</v>
      </c>
      <c r="I786" s="30">
        <v>45212</v>
      </c>
      <c r="J786" s="16" t="s">
        <v>1145</v>
      </c>
      <c r="K786" s="9" t="s">
        <v>1530</v>
      </c>
      <c r="L786" s="9"/>
      <c r="M786" s="152">
        <v>2740000</v>
      </c>
      <c r="N786" s="153">
        <v>0</v>
      </c>
      <c r="O786" s="152">
        <v>0</v>
      </c>
      <c r="P786" s="154">
        <v>0</v>
      </c>
      <c r="Q786" s="152">
        <v>0</v>
      </c>
      <c r="R786" s="9">
        <v>2740000</v>
      </c>
      <c r="S786" s="21" t="s">
        <v>1846</v>
      </c>
      <c r="T786" s="117">
        <v>0</v>
      </c>
      <c r="U786" s="117">
        <v>0</v>
      </c>
      <c r="V786" s="117">
        <v>2023</v>
      </c>
      <c r="W786" s="117">
        <v>6</v>
      </c>
      <c r="X786" s="117">
        <v>0</v>
      </c>
      <c r="Y786" s="117">
        <v>0</v>
      </c>
      <c r="Z786" s="21" t="b">
        <v>0</v>
      </c>
      <c r="AA786" s="162">
        <f>+$AD$5-Tabla2[[#This Row],[FECHA DE FACTURACIÓN]]</f>
        <v>231</v>
      </c>
      <c r="AB786" s="163" t="str">
        <f>+IF(Tabla2[[#This Row],[dias de credito]]&gt;=Tabla2[[#This Row],[PLAZO Días]],"venc", "No venc")</f>
        <v>venc</v>
      </c>
      <c r="AC786" s="163" t="str">
        <f>+IF(Tabla2[[#This Row],[FECHA DE PAGO]]&gt;0,"pagada","por pagar")</f>
        <v>pagada</v>
      </c>
      <c r="AD786" s="164" t="str">
        <f>+IF(AND(Tabla2[[#This Row],[venc]]="venc",Tabla2[[#This Row],[estado pago]]="por pagar"),"vencida","no")</f>
        <v>no</v>
      </c>
    </row>
    <row r="787" spans="1:30" ht="19.5" hidden="1" customHeight="1" x14ac:dyDescent="0.25">
      <c r="A787" s="8" t="s">
        <v>1850</v>
      </c>
      <c r="B787" s="8" t="s">
        <v>1851</v>
      </c>
      <c r="C787" s="8">
        <v>30</v>
      </c>
      <c r="D787" s="151">
        <v>0</v>
      </c>
      <c r="E787" s="151"/>
      <c r="F787" s="24" t="s">
        <v>84</v>
      </c>
      <c r="G787" s="30">
        <v>45217</v>
      </c>
      <c r="H787" s="81" t="s">
        <v>1811</v>
      </c>
      <c r="I787" s="30">
        <v>45140</v>
      </c>
      <c r="J787" s="16" t="s">
        <v>945</v>
      </c>
      <c r="K787" s="9" t="s">
        <v>1530</v>
      </c>
      <c r="L787" s="9"/>
      <c r="M787" s="152">
        <v>3496000</v>
      </c>
      <c r="N787" s="153">
        <v>0</v>
      </c>
      <c r="O787" s="152">
        <v>0</v>
      </c>
      <c r="P787" s="154">
        <v>0</v>
      </c>
      <c r="Q787" s="152">
        <v>0</v>
      </c>
      <c r="R787" s="9">
        <v>3496000</v>
      </c>
      <c r="S787" s="21" t="s">
        <v>1846</v>
      </c>
      <c r="T787" s="117">
        <v>0</v>
      </c>
      <c r="U787" s="117">
        <v>0</v>
      </c>
      <c r="V787" s="117">
        <v>2023</v>
      </c>
      <c r="W787" s="117">
        <v>6</v>
      </c>
      <c r="X787" s="117">
        <v>0</v>
      </c>
      <c r="Y787" s="117">
        <v>0</v>
      </c>
      <c r="Z787" s="21" t="b">
        <v>0</v>
      </c>
      <c r="AA787" s="162">
        <f>+$AD$5-Tabla2[[#This Row],[FECHA DE FACTURACIÓN]]</f>
        <v>303</v>
      </c>
      <c r="AB787" s="163" t="str">
        <f>+IF(Tabla2[[#This Row],[dias de credito]]&gt;=Tabla2[[#This Row],[PLAZO Días]],"venc", "No venc")</f>
        <v>venc</v>
      </c>
      <c r="AC787" s="163" t="str">
        <f>+IF(Tabla2[[#This Row],[FECHA DE PAGO]]&gt;0,"pagada","por pagar")</f>
        <v>pagada</v>
      </c>
      <c r="AD787" s="164" t="str">
        <f>+IF(AND(Tabla2[[#This Row],[venc]]="venc",Tabla2[[#This Row],[estado pago]]="por pagar"),"vencida","no")</f>
        <v>no</v>
      </c>
    </row>
    <row r="788" spans="1:30" ht="19.5" hidden="1" customHeight="1" x14ac:dyDescent="0.25">
      <c r="A788" s="8" t="s">
        <v>1850</v>
      </c>
      <c r="B788" s="8" t="s">
        <v>1851</v>
      </c>
      <c r="C788" s="8">
        <v>30</v>
      </c>
      <c r="D788" s="151">
        <v>0</v>
      </c>
      <c r="E788" s="151"/>
      <c r="F788" s="24" t="s">
        <v>711</v>
      </c>
      <c r="G788" s="30">
        <v>45218</v>
      </c>
      <c r="H788" s="81" t="s">
        <v>1818</v>
      </c>
      <c r="I788" s="30">
        <v>45153</v>
      </c>
      <c r="J788" s="16">
        <v>31505</v>
      </c>
      <c r="K788" s="9" t="s">
        <v>1530</v>
      </c>
      <c r="L788" s="9"/>
      <c r="M788" s="152">
        <v>116000</v>
      </c>
      <c r="N788" s="153">
        <v>0</v>
      </c>
      <c r="O788" s="152">
        <v>0</v>
      </c>
      <c r="P788" s="154">
        <v>0</v>
      </c>
      <c r="Q788" s="152">
        <v>0</v>
      </c>
      <c r="R788" s="9">
        <v>116000</v>
      </c>
      <c r="S788" s="21" t="s">
        <v>1846</v>
      </c>
      <c r="T788" s="117">
        <v>0</v>
      </c>
      <c r="U788" s="117">
        <v>0</v>
      </c>
      <c r="V788" s="117">
        <v>2023</v>
      </c>
      <c r="W788" s="117">
        <v>6</v>
      </c>
      <c r="X788" s="117">
        <v>0</v>
      </c>
      <c r="Y788" s="117">
        <v>0</v>
      </c>
      <c r="Z788" s="21" t="b">
        <v>0</v>
      </c>
      <c r="AA788" s="162">
        <f>+$AD$5-Tabla2[[#This Row],[FECHA DE FACTURACIÓN]]</f>
        <v>290</v>
      </c>
      <c r="AB788" s="163" t="str">
        <f>+IF(Tabla2[[#This Row],[dias de credito]]&gt;=Tabla2[[#This Row],[PLAZO Días]],"venc", "No venc")</f>
        <v>venc</v>
      </c>
      <c r="AC788" s="163" t="str">
        <f>+IF(Tabla2[[#This Row],[FECHA DE PAGO]]&gt;0,"pagada","por pagar")</f>
        <v>pagada</v>
      </c>
      <c r="AD788" s="164" t="str">
        <f>+IF(AND(Tabla2[[#This Row],[venc]]="venc",Tabla2[[#This Row],[estado pago]]="por pagar"),"vencida","no")</f>
        <v>no</v>
      </c>
    </row>
    <row r="789" spans="1:30" ht="19.5" hidden="1" customHeight="1" x14ac:dyDescent="0.25">
      <c r="A789" s="8" t="s">
        <v>1850</v>
      </c>
      <c r="B789" s="8" t="s">
        <v>1851</v>
      </c>
      <c r="C789" s="8">
        <v>30</v>
      </c>
      <c r="D789" s="151">
        <v>0</v>
      </c>
      <c r="E789" s="151"/>
      <c r="F789" s="24" t="s">
        <v>711</v>
      </c>
      <c r="G789" s="30">
        <v>45218</v>
      </c>
      <c r="H789" s="81" t="s">
        <v>710</v>
      </c>
      <c r="I789" s="30">
        <v>45154</v>
      </c>
      <c r="J789" s="16" t="s">
        <v>1007</v>
      </c>
      <c r="K789" s="9" t="s">
        <v>1530</v>
      </c>
      <c r="L789" s="9"/>
      <c r="M789" s="152">
        <v>6870000</v>
      </c>
      <c r="N789" s="153">
        <v>1305300</v>
      </c>
      <c r="O789" s="152">
        <v>0</v>
      </c>
      <c r="P789" s="154">
        <v>0</v>
      </c>
      <c r="Q789" s="152">
        <v>0</v>
      </c>
      <c r="R789" s="9">
        <v>8175300</v>
      </c>
      <c r="S789" s="21" t="s">
        <v>1846</v>
      </c>
      <c r="T789" s="117">
        <v>0</v>
      </c>
      <c r="U789" s="117">
        <v>0</v>
      </c>
      <c r="V789" s="117">
        <v>2023</v>
      </c>
      <c r="W789" s="117">
        <v>6</v>
      </c>
      <c r="X789" s="117">
        <v>0</v>
      </c>
      <c r="Y789" s="117">
        <v>0</v>
      </c>
      <c r="Z789" s="21" t="b">
        <v>0</v>
      </c>
      <c r="AA789" s="162">
        <f>+$AD$5-Tabla2[[#This Row],[FECHA DE FACTURACIÓN]]</f>
        <v>289</v>
      </c>
      <c r="AB789" s="163" t="str">
        <f>+IF(Tabla2[[#This Row],[dias de credito]]&gt;=Tabla2[[#This Row],[PLAZO Días]],"venc", "No venc")</f>
        <v>venc</v>
      </c>
      <c r="AC789" s="163" t="str">
        <f>+IF(Tabla2[[#This Row],[FECHA DE PAGO]]&gt;0,"pagada","por pagar")</f>
        <v>pagada</v>
      </c>
      <c r="AD789" s="164" t="str">
        <f>+IF(AND(Tabla2[[#This Row],[venc]]="venc",Tabla2[[#This Row],[estado pago]]="por pagar"),"vencida","no")</f>
        <v>no</v>
      </c>
    </row>
    <row r="790" spans="1:30" ht="19.5" hidden="1" customHeight="1" x14ac:dyDescent="0.25">
      <c r="A790" s="8" t="s">
        <v>1850</v>
      </c>
      <c r="B790" s="8" t="s">
        <v>1851</v>
      </c>
      <c r="C790" s="8">
        <v>30</v>
      </c>
      <c r="D790" s="151">
        <v>2028306.6264000002</v>
      </c>
      <c r="E790" s="151"/>
      <c r="F790" s="24" t="s">
        <v>1475</v>
      </c>
      <c r="G790" s="30">
        <v>45218</v>
      </c>
      <c r="H790" s="81" t="s">
        <v>218</v>
      </c>
      <c r="I790" s="30">
        <v>45169</v>
      </c>
      <c r="J790" s="16" t="s">
        <v>1027</v>
      </c>
      <c r="K790" s="9" t="s">
        <v>1530</v>
      </c>
      <c r="L790" s="9"/>
      <c r="M790" s="152">
        <v>1181915</v>
      </c>
      <c r="N790" s="153">
        <v>224563.85</v>
      </c>
      <c r="O790" s="152">
        <v>0</v>
      </c>
      <c r="P790" s="154">
        <v>2.5000000000000001E-2</v>
      </c>
      <c r="Q790" s="152">
        <v>29547.875</v>
      </c>
      <c r="R790" s="9">
        <v>1376930.9750000001</v>
      </c>
      <c r="S790" s="21" t="s">
        <v>1846</v>
      </c>
      <c r="T790" s="117">
        <v>0</v>
      </c>
      <c r="U790" s="117" t="s">
        <v>347</v>
      </c>
      <c r="V790" s="117">
        <v>2023</v>
      </c>
      <c r="W790" s="117">
        <v>6</v>
      </c>
      <c r="X790" s="117">
        <v>1145000</v>
      </c>
      <c r="Y790" s="117">
        <v>2.5000000000000001E-2</v>
      </c>
      <c r="Z790" s="21" t="b">
        <v>0</v>
      </c>
      <c r="AA790" s="162">
        <f>+$AD$5-Tabla2[[#This Row],[FECHA DE FACTURACIÓN]]</f>
        <v>274</v>
      </c>
      <c r="AB790" s="163" t="str">
        <f>+IF(Tabla2[[#This Row],[dias de credito]]&gt;=Tabla2[[#This Row],[PLAZO Días]],"venc", "No venc")</f>
        <v>venc</v>
      </c>
      <c r="AC790" s="163" t="str">
        <f>+IF(Tabla2[[#This Row],[FECHA DE PAGO]]&gt;0,"pagada","por pagar")</f>
        <v>pagada</v>
      </c>
      <c r="AD790" s="164" t="str">
        <f>+IF(AND(Tabla2[[#This Row],[venc]]="venc",Tabla2[[#This Row],[estado pago]]="por pagar"),"vencida","no")</f>
        <v>no</v>
      </c>
    </row>
    <row r="791" spans="1:30" ht="19.5" hidden="1" customHeight="1" x14ac:dyDescent="0.25">
      <c r="A791" s="8" t="s">
        <v>1850</v>
      </c>
      <c r="B791" s="8" t="b">
        <v>0</v>
      </c>
      <c r="C791" s="8">
        <v>30</v>
      </c>
      <c r="D791" s="151">
        <v>0</v>
      </c>
      <c r="E791" s="151"/>
      <c r="F791" s="24" t="s">
        <v>268</v>
      </c>
      <c r="G791" s="30">
        <v>45218</v>
      </c>
      <c r="H791" s="81" t="s">
        <v>376</v>
      </c>
      <c r="I791" s="30">
        <v>45200</v>
      </c>
      <c r="J791" s="16" t="s">
        <v>1116</v>
      </c>
      <c r="K791" s="9" t="s">
        <v>1530</v>
      </c>
      <c r="L791" s="9"/>
      <c r="M791" s="152">
        <v>318603</v>
      </c>
      <c r="N791" s="153">
        <v>0</v>
      </c>
      <c r="O791" s="152">
        <v>0</v>
      </c>
      <c r="P791" s="154">
        <v>0</v>
      </c>
      <c r="Q791" s="152">
        <v>0</v>
      </c>
      <c r="R791" s="9">
        <v>318603</v>
      </c>
      <c r="S791" s="21" t="s">
        <v>1846</v>
      </c>
      <c r="T791" s="117">
        <v>0</v>
      </c>
      <c r="U791" s="117">
        <v>0</v>
      </c>
      <c r="V791" s="117">
        <v>2023</v>
      </c>
      <c r="W791" s="117">
        <v>6</v>
      </c>
      <c r="X791" s="117">
        <v>0</v>
      </c>
      <c r="Y791" s="117">
        <v>0</v>
      </c>
      <c r="Z791" s="21" t="b">
        <v>1</v>
      </c>
      <c r="AA791" s="162">
        <f>+$AD$5-Tabla2[[#This Row],[FECHA DE FACTURACIÓN]]</f>
        <v>243</v>
      </c>
      <c r="AB791" s="163" t="str">
        <f>+IF(Tabla2[[#This Row],[dias de credito]]&gt;=Tabla2[[#This Row],[PLAZO Días]],"venc", "No venc")</f>
        <v>venc</v>
      </c>
      <c r="AC791" s="163" t="str">
        <f>+IF(Tabla2[[#This Row],[FECHA DE PAGO]]&gt;0,"pagada","por pagar")</f>
        <v>pagada</v>
      </c>
      <c r="AD791" s="164" t="str">
        <f>+IF(AND(Tabla2[[#This Row],[venc]]="venc",Tabla2[[#This Row],[estado pago]]="por pagar"),"vencida","no")</f>
        <v>no</v>
      </c>
    </row>
    <row r="792" spans="1:30" ht="19.5" hidden="1" customHeight="1" x14ac:dyDescent="0.25">
      <c r="A792" s="8" t="s">
        <v>1850</v>
      </c>
      <c r="B792" s="8" t="b">
        <v>0</v>
      </c>
      <c r="C792" s="8">
        <v>30</v>
      </c>
      <c r="D792" s="151">
        <v>0</v>
      </c>
      <c r="E792" s="151"/>
      <c r="F792" s="24" t="s">
        <v>1540</v>
      </c>
      <c r="G792" s="30">
        <v>45218</v>
      </c>
      <c r="H792" s="81" t="s">
        <v>383</v>
      </c>
      <c r="I792" s="30">
        <v>45200</v>
      </c>
      <c r="J792" s="16" t="s">
        <v>1127</v>
      </c>
      <c r="K792" s="9" t="s">
        <v>1530</v>
      </c>
      <c r="L792" s="9"/>
      <c r="M792" s="152">
        <v>3935776</v>
      </c>
      <c r="N792" s="153">
        <v>747797.44000000006</v>
      </c>
      <c r="O792" s="152">
        <v>0</v>
      </c>
      <c r="P792" s="154">
        <v>3.5000000000000003E-2</v>
      </c>
      <c r="Q792" s="152">
        <v>137752.16</v>
      </c>
      <c r="R792" s="9">
        <v>4545821.28</v>
      </c>
      <c r="S792" s="21" t="s">
        <v>1846</v>
      </c>
      <c r="T792" s="117">
        <v>0</v>
      </c>
      <c r="U792" s="117" t="s">
        <v>348</v>
      </c>
      <c r="V792" s="117">
        <v>2023</v>
      </c>
      <c r="W792" s="117">
        <v>6</v>
      </c>
      <c r="X792" s="117">
        <v>0</v>
      </c>
      <c r="Y792" s="117">
        <v>3.5000000000000003E-2</v>
      </c>
      <c r="Z792" s="21" t="b">
        <v>1</v>
      </c>
      <c r="AA792" s="162">
        <f>+$AD$5-Tabla2[[#This Row],[FECHA DE FACTURACIÓN]]</f>
        <v>243</v>
      </c>
      <c r="AB792" s="163" t="str">
        <f>+IF(Tabla2[[#This Row],[dias de credito]]&gt;=Tabla2[[#This Row],[PLAZO Días]],"venc", "No venc")</f>
        <v>venc</v>
      </c>
      <c r="AC792" s="163" t="str">
        <f>+IF(Tabla2[[#This Row],[FECHA DE PAGO]]&gt;0,"pagada","por pagar")</f>
        <v>pagada</v>
      </c>
      <c r="AD792" s="164" t="str">
        <f>+IF(AND(Tabla2[[#This Row],[venc]]="venc",Tabla2[[#This Row],[estado pago]]="por pagar"),"vencida","no")</f>
        <v>no</v>
      </c>
    </row>
    <row r="793" spans="1:30" ht="19.5" hidden="1" customHeight="1" x14ac:dyDescent="0.25">
      <c r="A793" s="8" t="s">
        <v>1850</v>
      </c>
      <c r="B793" s="8" t="b">
        <v>0</v>
      </c>
      <c r="C793" s="8">
        <v>30</v>
      </c>
      <c r="D793" s="151">
        <v>0</v>
      </c>
      <c r="E793" s="151"/>
      <c r="F793" s="24" t="s">
        <v>153</v>
      </c>
      <c r="G793" s="30">
        <v>45218</v>
      </c>
      <c r="H793" s="81" t="s">
        <v>394</v>
      </c>
      <c r="I793" s="30">
        <v>45200</v>
      </c>
      <c r="J793" s="16" t="s">
        <v>1118</v>
      </c>
      <c r="K793" s="9" t="s">
        <v>1530</v>
      </c>
      <c r="L793" s="9"/>
      <c r="M793" s="152">
        <v>243611</v>
      </c>
      <c r="N793" s="153">
        <v>46286.090000000004</v>
      </c>
      <c r="O793" s="152">
        <v>0</v>
      </c>
      <c r="P793" s="154">
        <v>3.5000000000000003E-2</v>
      </c>
      <c r="Q793" s="152">
        <v>8526.3850000000002</v>
      </c>
      <c r="R793" s="9">
        <v>281370.70500000002</v>
      </c>
      <c r="S793" s="21" t="s">
        <v>1846</v>
      </c>
      <c r="T793" s="117">
        <v>0</v>
      </c>
      <c r="U793" s="117" t="s">
        <v>348</v>
      </c>
      <c r="V793" s="117">
        <v>2023</v>
      </c>
      <c r="W793" s="117">
        <v>6</v>
      </c>
      <c r="X793" s="117">
        <v>0</v>
      </c>
      <c r="Y793" s="117">
        <v>3.5000000000000003E-2</v>
      </c>
      <c r="Z793" s="21" t="b">
        <v>1</v>
      </c>
      <c r="AA793" s="162">
        <f>+$AD$5-Tabla2[[#This Row],[FECHA DE FACTURACIÓN]]</f>
        <v>243</v>
      </c>
      <c r="AB793" s="163" t="str">
        <f>+IF(Tabla2[[#This Row],[dias de credito]]&gt;=Tabla2[[#This Row],[PLAZO Días]],"venc", "No venc")</f>
        <v>venc</v>
      </c>
      <c r="AC793" s="163" t="str">
        <f>+IF(Tabla2[[#This Row],[FECHA DE PAGO]]&gt;0,"pagada","por pagar")</f>
        <v>pagada</v>
      </c>
      <c r="AD793" s="164" t="str">
        <f>+IF(AND(Tabla2[[#This Row],[venc]]="venc",Tabla2[[#This Row],[estado pago]]="por pagar"),"vencida","no")</f>
        <v>no</v>
      </c>
    </row>
    <row r="794" spans="1:30" ht="19.5" hidden="1" customHeight="1" x14ac:dyDescent="0.25">
      <c r="A794" s="8" t="s">
        <v>1850</v>
      </c>
      <c r="B794" s="8" t="s">
        <v>1851</v>
      </c>
      <c r="C794" s="8">
        <v>10</v>
      </c>
      <c r="D794" s="151">
        <v>0</v>
      </c>
      <c r="E794" s="151"/>
      <c r="F794" s="24" t="s">
        <v>483</v>
      </c>
      <c r="G794" s="30">
        <v>45218</v>
      </c>
      <c r="H794" s="81" t="s">
        <v>482</v>
      </c>
      <c r="I794" s="30">
        <v>45200</v>
      </c>
      <c r="J794" s="16" t="s">
        <v>1115</v>
      </c>
      <c r="K794" s="9" t="s">
        <v>1530</v>
      </c>
      <c r="L794" s="9"/>
      <c r="M794" s="152">
        <v>5350576</v>
      </c>
      <c r="N794" s="153">
        <v>1016609.4400000001</v>
      </c>
      <c r="O794" s="152">
        <v>0</v>
      </c>
      <c r="P794" s="154">
        <v>0</v>
      </c>
      <c r="Q794" s="152">
        <v>0</v>
      </c>
      <c r="R794" s="9">
        <v>6367185.4400000004</v>
      </c>
      <c r="S794" s="21" t="s">
        <v>1846</v>
      </c>
      <c r="T794" s="117">
        <v>0</v>
      </c>
      <c r="U794" s="117">
        <v>0</v>
      </c>
      <c r="V794" s="117">
        <v>2023</v>
      </c>
      <c r="W794" s="117">
        <v>6</v>
      </c>
      <c r="X794" s="117">
        <v>0</v>
      </c>
      <c r="Y794" s="117">
        <v>0</v>
      </c>
      <c r="Z794" s="21" t="b">
        <v>1</v>
      </c>
      <c r="AA794" s="162">
        <f>+$AD$5-Tabla2[[#This Row],[FECHA DE FACTURACIÓN]]</f>
        <v>243</v>
      </c>
      <c r="AB794" s="163" t="str">
        <f>+IF(Tabla2[[#This Row],[dias de credito]]&gt;=Tabla2[[#This Row],[PLAZO Días]],"venc", "No venc")</f>
        <v>venc</v>
      </c>
      <c r="AC794" s="163" t="str">
        <f>+IF(Tabla2[[#This Row],[FECHA DE PAGO]]&gt;0,"pagada","por pagar")</f>
        <v>pagada</v>
      </c>
      <c r="AD794" s="164" t="str">
        <f>+IF(AND(Tabla2[[#This Row],[venc]]="venc",Tabla2[[#This Row],[estado pago]]="por pagar"),"vencida","no")</f>
        <v>no</v>
      </c>
    </row>
    <row r="795" spans="1:30" ht="19.5" hidden="1" customHeight="1" x14ac:dyDescent="0.25">
      <c r="A795" s="8" t="s">
        <v>1850</v>
      </c>
      <c r="B795" s="8" t="b">
        <v>0</v>
      </c>
      <c r="C795" s="8">
        <v>30</v>
      </c>
      <c r="D795" s="151">
        <v>0</v>
      </c>
      <c r="E795" s="151"/>
      <c r="F795" s="24" t="s">
        <v>1447</v>
      </c>
      <c r="G795" s="30">
        <v>45218</v>
      </c>
      <c r="H795" s="81" t="s">
        <v>373</v>
      </c>
      <c r="I795" s="30">
        <v>45201</v>
      </c>
      <c r="J795" s="16" t="s">
        <v>1117</v>
      </c>
      <c r="K795" s="9" t="s">
        <v>1530</v>
      </c>
      <c r="L795" s="9"/>
      <c r="M795" s="152">
        <v>1840056</v>
      </c>
      <c r="N795" s="153">
        <v>0</v>
      </c>
      <c r="O795" s="152">
        <v>0</v>
      </c>
      <c r="P795" s="154">
        <v>0</v>
      </c>
      <c r="Q795" s="152">
        <v>0</v>
      </c>
      <c r="R795" s="9">
        <v>1840056</v>
      </c>
      <c r="S795" s="21" t="s">
        <v>1846</v>
      </c>
      <c r="T795" s="117">
        <v>0</v>
      </c>
      <c r="U795" s="117">
        <v>0</v>
      </c>
      <c r="V795" s="117">
        <v>2023</v>
      </c>
      <c r="W795" s="117">
        <v>6</v>
      </c>
      <c r="X795" s="117">
        <v>0</v>
      </c>
      <c r="Y795" s="117">
        <v>0</v>
      </c>
      <c r="Z795" s="21" t="b">
        <v>1</v>
      </c>
      <c r="AA795" s="162">
        <f>+$AD$5-Tabla2[[#This Row],[FECHA DE FACTURACIÓN]]</f>
        <v>242</v>
      </c>
      <c r="AB795" s="163" t="str">
        <f>+IF(Tabla2[[#This Row],[dias de credito]]&gt;=Tabla2[[#This Row],[PLAZO Días]],"venc", "No venc")</f>
        <v>venc</v>
      </c>
      <c r="AC795" s="163" t="str">
        <f>+IF(Tabla2[[#This Row],[FECHA DE PAGO]]&gt;0,"pagada","por pagar")</f>
        <v>pagada</v>
      </c>
      <c r="AD795" s="164" t="str">
        <f>+IF(AND(Tabla2[[#This Row],[venc]]="venc",Tabla2[[#This Row],[estado pago]]="por pagar"),"vencida","no")</f>
        <v>no</v>
      </c>
    </row>
    <row r="796" spans="1:30" ht="19.5" hidden="1" customHeight="1" x14ac:dyDescent="0.25">
      <c r="A796" s="8" t="s">
        <v>1850</v>
      </c>
      <c r="B796" s="8" t="b">
        <v>0</v>
      </c>
      <c r="C796" s="8">
        <v>30</v>
      </c>
      <c r="D796" s="151">
        <v>0</v>
      </c>
      <c r="E796" s="151"/>
      <c r="F796" s="24" t="s">
        <v>84</v>
      </c>
      <c r="G796" s="30">
        <v>45218</v>
      </c>
      <c r="H796" s="81" t="s">
        <v>481</v>
      </c>
      <c r="I796" s="30">
        <v>45217</v>
      </c>
      <c r="J796" s="16" t="s">
        <v>1144</v>
      </c>
      <c r="K796" s="9" t="s">
        <v>1530</v>
      </c>
      <c r="L796" s="9"/>
      <c r="M796" s="152">
        <v>6764000</v>
      </c>
      <c r="N796" s="153">
        <v>0</v>
      </c>
      <c r="O796" s="152">
        <v>0</v>
      </c>
      <c r="P796" s="154">
        <v>0</v>
      </c>
      <c r="Q796" s="152">
        <v>0</v>
      </c>
      <c r="R796" s="9">
        <v>6764000</v>
      </c>
      <c r="S796" s="21" t="s">
        <v>1846</v>
      </c>
      <c r="T796" s="117">
        <v>0</v>
      </c>
      <c r="U796" s="117">
        <v>0</v>
      </c>
      <c r="V796" s="117">
        <v>2023</v>
      </c>
      <c r="W796" s="117">
        <v>6</v>
      </c>
      <c r="X796" s="117">
        <v>0</v>
      </c>
      <c r="Y796" s="117">
        <v>0</v>
      </c>
      <c r="Z796" s="21" t="b">
        <v>0</v>
      </c>
      <c r="AA796" s="162">
        <f>+$AD$5-Tabla2[[#This Row],[FECHA DE FACTURACIÓN]]</f>
        <v>226</v>
      </c>
      <c r="AB796" s="163" t="str">
        <f>+IF(Tabla2[[#This Row],[dias de credito]]&gt;=Tabla2[[#This Row],[PLAZO Días]],"venc", "No venc")</f>
        <v>venc</v>
      </c>
      <c r="AC796" s="163" t="str">
        <f>+IF(Tabla2[[#This Row],[FECHA DE PAGO]]&gt;0,"pagada","por pagar")</f>
        <v>pagada</v>
      </c>
      <c r="AD796" s="164" t="str">
        <f>+IF(AND(Tabla2[[#This Row],[venc]]="venc",Tabla2[[#This Row],[estado pago]]="por pagar"),"vencida","no")</f>
        <v>no</v>
      </c>
    </row>
    <row r="797" spans="1:30" ht="19.5" hidden="1" customHeight="1" x14ac:dyDescent="0.25">
      <c r="A797" s="8" t="s">
        <v>1852</v>
      </c>
      <c r="B797" s="8" t="b">
        <v>0</v>
      </c>
      <c r="C797" s="8">
        <v>30</v>
      </c>
      <c r="D797" s="151">
        <v>0</v>
      </c>
      <c r="E797" s="151"/>
      <c r="F797" s="24" t="s">
        <v>84</v>
      </c>
      <c r="G797" s="30">
        <v>45218</v>
      </c>
      <c r="H797" s="81" t="s">
        <v>1824</v>
      </c>
      <c r="I797" s="30">
        <v>45218</v>
      </c>
      <c r="J797" s="16"/>
      <c r="K797" s="9" t="s">
        <v>1530</v>
      </c>
      <c r="L797" s="9"/>
      <c r="M797" s="152">
        <v>1000000</v>
      </c>
      <c r="N797" s="153">
        <v>0</v>
      </c>
      <c r="O797" s="152">
        <v>0</v>
      </c>
      <c r="P797" s="154">
        <v>0</v>
      </c>
      <c r="Q797" s="152">
        <v>0</v>
      </c>
      <c r="R797" s="9">
        <v>1000000</v>
      </c>
      <c r="S797" s="21" t="s">
        <v>1846</v>
      </c>
      <c r="T797" s="117">
        <v>0</v>
      </c>
      <c r="U797" s="117">
        <v>0</v>
      </c>
      <c r="V797" s="117">
        <v>2023</v>
      </c>
      <c r="W797" s="117">
        <v>6</v>
      </c>
      <c r="X797" s="117">
        <v>0</v>
      </c>
      <c r="Y797" s="117">
        <v>0</v>
      </c>
      <c r="Z797" s="21" t="b">
        <v>0</v>
      </c>
      <c r="AA797" s="162">
        <f>+$AD$5-Tabla2[[#This Row],[FECHA DE FACTURACIÓN]]</f>
        <v>225</v>
      </c>
      <c r="AB797" s="163" t="str">
        <f>+IF(Tabla2[[#This Row],[dias de credito]]&gt;=Tabla2[[#This Row],[PLAZO Días]],"venc", "No venc")</f>
        <v>venc</v>
      </c>
      <c r="AC797" s="163" t="str">
        <f>+IF(Tabla2[[#This Row],[FECHA DE PAGO]]&gt;0,"pagada","por pagar")</f>
        <v>pagada</v>
      </c>
      <c r="AD797" s="164" t="str">
        <f>+IF(AND(Tabla2[[#This Row],[venc]]="venc",Tabla2[[#This Row],[estado pago]]="por pagar"),"vencida","no")</f>
        <v>no</v>
      </c>
    </row>
    <row r="798" spans="1:30" ht="19.5" hidden="1" customHeight="1" x14ac:dyDescent="0.25">
      <c r="A798" s="8" t="s">
        <v>1850</v>
      </c>
      <c r="B798" s="8" t="s">
        <v>1851</v>
      </c>
      <c r="C798" s="8">
        <v>45</v>
      </c>
      <c r="D798" s="151">
        <v>22186260.039999999</v>
      </c>
      <c r="E798" s="151"/>
      <c r="F798" s="24" t="s">
        <v>357</v>
      </c>
      <c r="G798" s="30">
        <v>45219</v>
      </c>
      <c r="H798" s="81" t="s">
        <v>19</v>
      </c>
      <c r="I798" s="30">
        <v>45167</v>
      </c>
      <c r="J798" s="16" t="s">
        <v>1021</v>
      </c>
      <c r="K798" s="9" t="s">
        <v>1530</v>
      </c>
      <c r="L798" s="9"/>
      <c r="M798" s="152">
        <v>13296150</v>
      </c>
      <c r="N798" s="153">
        <v>2526268.5</v>
      </c>
      <c r="O798" s="152">
        <v>0</v>
      </c>
      <c r="P798" s="154">
        <v>0</v>
      </c>
      <c r="Q798" s="152">
        <v>0</v>
      </c>
      <c r="R798" s="9">
        <v>15822418.5</v>
      </c>
      <c r="S798" s="21" t="s">
        <v>1846</v>
      </c>
      <c r="T798" s="117">
        <v>0</v>
      </c>
      <c r="U798" s="117">
        <v>0</v>
      </c>
      <c r="V798" s="117">
        <v>2023</v>
      </c>
      <c r="W798" s="117">
        <v>6</v>
      </c>
      <c r="X798" s="117">
        <v>0</v>
      </c>
      <c r="Y798" s="117">
        <v>0</v>
      </c>
      <c r="Z798" s="21" t="b">
        <v>0</v>
      </c>
      <c r="AA798" s="162">
        <f>+$AD$5-Tabla2[[#This Row],[FECHA DE FACTURACIÓN]]</f>
        <v>276</v>
      </c>
      <c r="AB798" s="163" t="str">
        <f>+IF(Tabla2[[#This Row],[dias de credito]]&gt;=Tabla2[[#This Row],[PLAZO Días]],"venc", "No venc")</f>
        <v>venc</v>
      </c>
      <c r="AC798" s="163" t="str">
        <f>+IF(Tabla2[[#This Row],[FECHA DE PAGO]]&gt;0,"pagada","por pagar")</f>
        <v>pagada</v>
      </c>
      <c r="AD798" s="164" t="str">
        <f>+IF(AND(Tabla2[[#This Row],[venc]]="venc",Tabla2[[#This Row],[estado pago]]="por pagar"),"vencida","no")</f>
        <v>no</v>
      </c>
    </row>
    <row r="799" spans="1:30" ht="19.5" hidden="1" customHeight="1" x14ac:dyDescent="0.25">
      <c r="A799" s="8" t="s">
        <v>1850</v>
      </c>
      <c r="B799" s="8" t="b">
        <v>0</v>
      </c>
      <c r="C799" s="8">
        <v>45</v>
      </c>
      <c r="D799" s="151">
        <v>22186260.039999999</v>
      </c>
      <c r="E799" s="151"/>
      <c r="F799" s="24" t="s">
        <v>357</v>
      </c>
      <c r="G799" s="30">
        <v>45219</v>
      </c>
      <c r="H799" s="81" t="s">
        <v>19</v>
      </c>
      <c r="I799" s="30">
        <v>45197</v>
      </c>
      <c r="J799" s="16" t="s">
        <v>1052</v>
      </c>
      <c r="K799" s="9" t="s">
        <v>1530</v>
      </c>
      <c r="L799" s="9"/>
      <c r="M799" s="152">
        <v>-5882353</v>
      </c>
      <c r="N799" s="153">
        <v>-1117647.07</v>
      </c>
      <c r="O799" s="152">
        <v>0</v>
      </c>
      <c r="P799" s="154">
        <v>0</v>
      </c>
      <c r="Q799" s="152">
        <v>0</v>
      </c>
      <c r="R799" s="9">
        <v>-7000000.0700000003</v>
      </c>
      <c r="S799" s="21" t="s">
        <v>1846</v>
      </c>
      <c r="T799" s="117">
        <v>0</v>
      </c>
      <c r="U799" s="117">
        <v>0</v>
      </c>
      <c r="V799" s="117">
        <v>2023</v>
      </c>
      <c r="W799" s="117">
        <v>6</v>
      </c>
      <c r="X799" s="117">
        <v>0</v>
      </c>
      <c r="Y799" s="117">
        <v>0</v>
      </c>
      <c r="Z799" s="21" t="b">
        <v>0</v>
      </c>
      <c r="AA799" s="162">
        <f>+$AD$5-Tabla2[[#This Row],[FECHA DE FACTURACIÓN]]</f>
        <v>246</v>
      </c>
      <c r="AB799" s="163" t="str">
        <f>+IF(Tabla2[[#This Row],[dias de credito]]&gt;=Tabla2[[#This Row],[PLAZO Días]],"venc", "No venc")</f>
        <v>venc</v>
      </c>
      <c r="AC799" s="163" t="str">
        <f>+IF(Tabla2[[#This Row],[FECHA DE PAGO]]&gt;0,"pagada","por pagar")</f>
        <v>pagada</v>
      </c>
      <c r="AD799" s="164" t="str">
        <f>+IF(AND(Tabla2[[#This Row],[venc]]="venc",Tabla2[[#This Row],[estado pago]]="por pagar"),"vencida","no")</f>
        <v>no</v>
      </c>
    </row>
    <row r="800" spans="1:30" ht="19.5" hidden="1" customHeight="1" x14ac:dyDescent="0.25">
      <c r="A800" s="8" t="s">
        <v>1850</v>
      </c>
      <c r="B800" s="8" t="b">
        <v>0</v>
      </c>
      <c r="C800" s="8">
        <v>30</v>
      </c>
      <c r="D800" s="151">
        <v>0</v>
      </c>
      <c r="E800" s="151"/>
      <c r="F800" s="24">
        <v>0</v>
      </c>
      <c r="G800" s="30">
        <v>45219</v>
      </c>
      <c r="H800" s="81" t="s">
        <v>836</v>
      </c>
      <c r="I800" s="30">
        <v>45217</v>
      </c>
      <c r="J800" s="16"/>
      <c r="K800" s="9" t="s">
        <v>1530</v>
      </c>
      <c r="L800" s="9"/>
      <c r="M800" s="152">
        <v>478000</v>
      </c>
      <c r="N800" s="153">
        <v>0</v>
      </c>
      <c r="O800" s="152">
        <v>0</v>
      </c>
      <c r="P800" s="154">
        <v>0</v>
      </c>
      <c r="Q800" s="152">
        <v>0</v>
      </c>
      <c r="R800" s="9">
        <v>478000</v>
      </c>
      <c r="S800" s="21" t="s">
        <v>1846</v>
      </c>
      <c r="T800" s="117">
        <v>0</v>
      </c>
      <c r="U800" s="117">
        <v>0</v>
      </c>
      <c r="V800" s="117">
        <v>2023</v>
      </c>
      <c r="W800" s="117">
        <v>6</v>
      </c>
      <c r="X800" s="117">
        <v>0</v>
      </c>
      <c r="Y800" s="117">
        <v>0</v>
      </c>
      <c r="Z800" s="21" t="b">
        <v>0</v>
      </c>
      <c r="AA800" s="162">
        <f>+$AD$5-Tabla2[[#This Row],[FECHA DE FACTURACIÓN]]</f>
        <v>226</v>
      </c>
      <c r="AB800" s="163" t="str">
        <f>+IF(Tabla2[[#This Row],[dias de credito]]&gt;=Tabla2[[#This Row],[PLAZO Días]],"venc", "No venc")</f>
        <v>venc</v>
      </c>
      <c r="AC800" s="163" t="str">
        <f>+IF(Tabla2[[#This Row],[FECHA DE PAGO]]&gt;0,"pagada","por pagar")</f>
        <v>pagada</v>
      </c>
      <c r="AD800" s="164" t="str">
        <f>+IF(AND(Tabla2[[#This Row],[venc]]="venc",Tabla2[[#This Row],[estado pago]]="por pagar"),"vencida","no")</f>
        <v>no</v>
      </c>
    </row>
    <row r="801" spans="1:30" ht="19.5" hidden="1" customHeight="1" x14ac:dyDescent="0.25">
      <c r="A801" s="8" t="s">
        <v>1852</v>
      </c>
      <c r="B801" s="8" t="b">
        <v>0</v>
      </c>
      <c r="C801" s="8">
        <v>30</v>
      </c>
      <c r="D801" s="151">
        <v>0</v>
      </c>
      <c r="E801" s="151"/>
      <c r="F801" s="24" t="s">
        <v>1447</v>
      </c>
      <c r="G801" s="30">
        <v>45219</v>
      </c>
      <c r="H801" s="81" t="s">
        <v>373</v>
      </c>
      <c r="I801" s="30">
        <v>45219</v>
      </c>
      <c r="J801" s="16" t="s">
        <v>1128</v>
      </c>
      <c r="K801" s="9" t="s">
        <v>1530</v>
      </c>
      <c r="L801" s="9"/>
      <c r="M801" s="152">
        <v>196317</v>
      </c>
      <c r="N801" s="153">
        <v>0</v>
      </c>
      <c r="O801" s="152">
        <v>0</v>
      </c>
      <c r="P801" s="154">
        <v>0</v>
      </c>
      <c r="Q801" s="152">
        <v>0</v>
      </c>
      <c r="R801" s="9">
        <v>196317</v>
      </c>
      <c r="S801" s="21" t="s">
        <v>1846</v>
      </c>
      <c r="T801" s="117">
        <v>0</v>
      </c>
      <c r="U801" s="117">
        <v>0</v>
      </c>
      <c r="V801" s="117">
        <v>2023</v>
      </c>
      <c r="W801" s="117">
        <v>6</v>
      </c>
      <c r="X801" s="117">
        <v>0</v>
      </c>
      <c r="Y801" s="117">
        <v>0</v>
      </c>
      <c r="Z801" s="21" t="b">
        <v>1</v>
      </c>
      <c r="AA801" s="162">
        <f>+$AD$5-Tabla2[[#This Row],[FECHA DE FACTURACIÓN]]</f>
        <v>224</v>
      </c>
      <c r="AB801" s="163" t="str">
        <f>+IF(Tabla2[[#This Row],[dias de credito]]&gt;=Tabla2[[#This Row],[PLAZO Días]],"venc", "No venc")</f>
        <v>venc</v>
      </c>
      <c r="AC801" s="163" t="str">
        <f>+IF(Tabla2[[#This Row],[FECHA DE PAGO]]&gt;0,"pagada","por pagar")</f>
        <v>pagada</v>
      </c>
      <c r="AD801" s="164" t="str">
        <f>+IF(AND(Tabla2[[#This Row],[venc]]="venc",Tabla2[[#This Row],[estado pago]]="por pagar"),"vencida","no")</f>
        <v>no</v>
      </c>
    </row>
    <row r="802" spans="1:30" ht="19.5" hidden="1" customHeight="1" x14ac:dyDescent="0.25">
      <c r="A802" s="8" t="s">
        <v>1852</v>
      </c>
      <c r="B802" s="8" t="b">
        <v>0</v>
      </c>
      <c r="C802" s="8">
        <v>30</v>
      </c>
      <c r="D802" s="151">
        <v>0</v>
      </c>
      <c r="E802" s="151"/>
      <c r="F802" s="24" t="s">
        <v>84</v>
      </c>
      <c r="G802" s="30">
        <v>45220</v>
      </c>
      <c r="H802" s="81" t="s">
        <v>525</v>
      </c>
      <c r="I802" s="30">
        <v>45220</v>
      </c>
      <c r="J802" s="16" t="s">
        <v>1120</v>
      </c>
      <c r="K802" s="9" t="s">
        <v>1530</v>
      </c>
      <c r="L802" s="9"/>
      <c r="M802" s="152">
        <v>200000</v>
      </c>
      <c r="N802" s="153">
        <v>0</v>
      </c>
      <c r="O802" s="152">
        <v>0</v>
      </c>
      <c r="P802" s="154">
        <v>0</v>
      </c>
      <c r="Q802" s="152">
        <v>0</v>
      </c>
      <c r="R802" s="9">
        <v>200000</v>
      </c>
      <c r="S802" s="21" t="s">
        <v>1846</v>
      </c>
      <c r="T802" s="117">
        <v>0</v>
      </c>
      <c r="U802" s="117">
        <v>0</v>
      </c>
      <c r="V802" s="117">
        <v>2023</v>
      </c>
      <c r="W802" s="117">
        <v>6</v>
      </c>
      <c r="X802" s="117">
        <v>0</v>
      </c>
      <c r="Y802" s="117">
        <v>0</v>
      </c>
      <c r="Z802" s="21" t="b">
        <v>0</v>
      </c>
      <c r="AA802" s="162">
        <f>+$AD$5-Tabla2[[#This Row],[FECHA DE FACTURACIÓN]]</f>
        <v>223</v>
      </c>
      <c r="AB802" s="163" t="str">
        <f>+IF(Tabla2[[#This Row],[dias de credito]]&gt;=Tabla2[[#This Row],[PLAZO Días]],"venc", "No venc")</f>
        <v>venc</v>
      </c>
      <c r="AC802" s="163" t="str">
        <f>+IF(Tabla2[[#This Row],[FECHA DE PAGO]]&gt;0,"pagada","por pagar")</f>
        <v>pagada</v>
      </c>
      <c r="AD802" s="164" t="str">
        <f>+IF(AND(Tabla2[[#This Row],[venc]]="venc",Tabla2[[#This Row],[estado pago]]="por pagar"),"vencida","no")</f>
        <v>no</v>
      </c>
    </row>
    <row r="803" spans="1:30" ht="19.5" hidden="1" customHeight="1" x14ac:dyDescent="0.25">
      <c r="A803" s="8" t="s">
        <v>1852</v>
      </c>
      <c r="B803" s="8" t="b">
        <v>0</v>
      </c>
      <c r="C803" s="8">
        <v>30</v>
      </c>
      <c r="D803" s="151">
        <v>1350000</v>
      </c>
      <c r="E803" s="151"/>
      <c r="F803" s="24" t="s">
        <v>84</v>
      </c>
      <c r="G803" s="30">
        <v>45220</v>
      </c>
      <c r="H803" s="81" t="s">
        <v>1807</v>
      </c>
      <c r="I803" s="30">
        <v>45220</v>
      </c>
      <c r="J803" s="16" t="s">
        <v>1153</v>
      </c>
      <c r="K803" s="9" t="s">
        <v>1530</v>
      </c>
      <c r="L803" s="9"/>
      <c r="M803" s="152">
        <v>680000</v>
      </c>
      <c r="N803" s="153">
        <v>0</v>
      </c>
      <c r="O803" s="152">
        <v>0</v>
      </c>
      <c r="P803" s="154">
        <v>0</v>
      </c>
      <c r="Q803" s="152">
        <v>0</v>
      </c>
      <c r="R803" s="9">
        <v>680000</v>
      </c>
      <c r="S803" s="21" t="s">
        <v>1846</v>
      </c>
      <c r="T803" s="117">
        <v>0</v>
      </c>
      <c r="U803" s="117">
        <v>0</v>
      </c>
      <c r="V803" s="117">
        <v>2023</v>
      </c>
      <c r="W803" s="117">
        <v>6</v>
      </c>
      <c r="X803" s="117">
        <v>0</v>
      </c>
      <c r="Y803" s="117">
        <v>0</v>
      </c>
      <c r="Z803" s="21" t="b">
        <v>0</v>
      </c>
      <c r="AA803" s="162">
        <f>+$AD$5-Tabla2[[#This Row],[FECHA DE FACTURACIÓN]]</f>
        <v>223</v>
      </c>
      <c r="AB803" s="163" t="str">
        <f>+IF(Tabla2[[#This Row],[dias de credito]]&gt;=Tabla2[[#This Row],[PLAZO Días]],"venc", "No venc")</f>
        <v>venc</v>
      </c>
      <c r="AC803" s="163" t="str">
        <f>+IF(Tabla2[[#This Row],[FECHA DE PAGO]]&gt;0,"pagada","por pagar")</f>
        <v>pagada</v>
      </c>
      <c r="AD803" s="164" t="str">
        <f>+IF(AND(Tabla2[[#This Row],[venc]]="venc",Tabla2[[#This Row],[estado pago]]="por pagar"),"vencida","no")</f>
        <v>no</v>
      </c>
    </row>
    <row r="804" spans="1:30" ht="19.5" hidden="1" customHeight="1" x14ac:dyDescent="0.25">
      <c r="A804" s="8" t="s">
        <v>1850</v>
      </c>
      <c r="B804" s="8" t="s">
        <v>1851</v>
      </c>
      <c r="C804" s="8">
        <v>30</v>
      </c>
      <c r="D804" s="151">
        <v>0</v>
      </c>
      <c r="E804" s="151"/>
      <c r="F804" s="24" t="s">
        <v>159</v>
      </c>
      <c r="G804" s="30">
        <v>45222</v>
      </c>
      <c r="H804" s="81" t="s">
        <v>452</v>
      </c>
      <c r="I804" s="30">
        <v>45187</v>
      </c>
      <c r="J804" s="16" t="s">
        <v>1063</v>
      </c>
      <c r="K804" s="9" t="s">
        <v>1530</v>
      </c>
      <c r="L804" s="9"/>
      <c r="M804" s="152">
        <v>2762184</v>
      </c>
      <c r="N804" s="153">
        <v>524814.96</v>
      </c>
      <c r="O804" s="152">
        <v>0</v>
      </c>
      <c r="P804" s="154">
        <v>2.5000000000000001E-2</v>
      </c>
      <c r="Q804" s="152">
        <v>69054.600000000006</v>
      </c>
      <c r="R804" s="9">
        <v>3217944.36</v>
      </c>
      <c r="S804" s="21" t="s">
        <v>1846</v>
      </c>
      <c r="T804" s="117">
        <v>0</v>
      </c>
      <c r="U804" s="117" t="s">
        <v>347</v>
      </c>
      <c r="V804" s="117">
        <v>2023</v>
      </c>
      <c r="W804" s="117">
        <v>6</v>
      </c>
      <c r="X804" s="117">
        <v>1145000</v>
      </c>
      <c r="Y804" s="117">
        <v>2.5000000000000001E-2</v>
      </c>
      <c r="Z804" s="21" t="b">
        <v>0</v>
      </c>
      <c r="AA804" s="162">
        <f>+$AD$5-Tabla2[[#This Row],[FECHA DE FACTURACIÓN]]</f>
        <v>256</v>
      </c>
      <c r="AB804" s="163" t="str">
        <f>+IF(Tabla2[[#This Row],[dias de credito]]&gt;=Tabla2[[#This Row],[PLAZO Días]],"venc", "No venc")</f>
        <v>venc</v>
      </c>
      <c r="AC804" s="163" t="str">
        <f>+IF(Tabla2[[#This Row],[FECHA DE PAGO]]&gt;0,"pagada","por pagar")</f>
        <v>pagada</v>
      </c>
      <c r="AD804" s="164" t="str">
        <f>+IF(AND(Tabla2[[#This Row],[venc]]="venc",Tabla2[[#This Row],[estado pago]]="por pagar"),"vencida","no")</f>
        <v>no</v>
      </c>
    </row>
    <row r="805" spans="1:30" ht="19.5" hidden="1" customHeight="1" x14ac:dyDescent="0.25">
      <c r="A805" s="8" t="s">
        <v>1850</v>
      </c>
      <c r="B805" s="8" t="b">
        <v>0</v>
      </c>
      <c r="C805" s="8">
        <v>30</v>
      </c>
      <c r="D805" s="151">
        <v>0</v>
      </c>
      <c r="E805" s="151"/>
      <c r="F805" s="24" t="s">
        <v>397</v>
      </c>
      <c r="G805" s="30">
        <v>45222</v>
      </c>
      <c r="H805" s="81" t="s">
        <v>1826</v>
      </c>
      <c r="I805" s="30">
        <v>45219</v>
      </c>
      <c r="J805" s="16" t="s">
        <v>1135</v>
      </c>
      <c r="K805" s="9" t="s">
        <v>1530</v>
      </c>
      <c r="L805" s="9"/>
      <c r="M805" s="152">
        <v>2074832</v>
      </c>
      <c r="N805" s="153">
        <v>0</v>
      </c>
      <c r="O805" s="152">
        <v>0</v>
      </c>
      <c r="P805" s="154">
        <v>0</v>
      </c>
      <c r="Q805" s="152">
        <v>0</v>
      </c>
      <c r="R805" s="9">
        <v>2074832</v>
      </c>
      <c r="S805" s="21" t="s">
        <v>1846</v>
      </c>
      <c r="T805" s="117">
        <v>0</v>
      </c>
      <c r="U805" s="117">
        <v>0</v>
      </c>
      <c r="V805" s="117">
        <v>2023</v>
      </c>
      <c r="W805" s="117">
        <v>6</v>
      </c>
      <c r="X805" s="117">
        <v>0</v>
      </c>
      <c r="Y805" s="117">
        <v>0</v>
      </c>
      <c r="Z805" s="21" t="b">
        <v>0</v>
      </c>
      <c r="AA805" s="162">
        <f>+$AD$5-Tabla2[[#This Row],[FECHA DE FACTURACIÓN]]</f>
        <v>224</v>
      </c>
      <c r="AB805" s="163" t="str">
        <f>+IF(Tabla2[[#This Row],[dias de credito]]&gt;=Tabla2[[#This Row],[PLAZO Días]],"venc", "No venc")</f>
        <v>venc</v>
      </c>
      <c r="AC805" s="163" t="str">
        <f>+IF(Tabla2[[#This Row],[FECHA DE PAGO]]&gt;0,"pagada","por pagar")</f>
        <v>pagada</v>
      </c>
      <c r="AD805" s="164" t="str">
        <f>+IF(AND(Tabla2[[#This Row],[venc]]="venc",Tabla2[[#This Row],[estado pago]]="por pagar"),"vencida","no")</f>
        <v>no</v>
      </c>
    </row>
    <row r="806" spans="1:30" ht="19.5" hidden="1" customHeight="1" x14ac:dyDescent="0.25">
      <c r="A806" s="8" t="s">
        <v>1850</v>
      </c>
      <c r="B806" s="8" t="b">
        <v>0</v>
      </c>
      <c r="C806" s="8">
        <v>30</v>
      </c>
      <c r="D806" s="151">
        <v>0</v>
      </c>
      <c r="E806" s="151"/>
      <c r="F806" s="24" t="s">
        <v>206</v>
      </c>
      <c r="G806" s="30">
        <v>45222</v>
      </c>
      <c r="H806" s="81" t="s">
        <v>380</v>
      </c>
      <c r="I806" s="30">
        <v>45219</v>
      </c>
      <c r="J806" s="16" t="s">
        <v>1132</v>
      </c>
      <c r="K806" s="9" t="s">
        <v>1530</v>
      </c>
      <c r="L806" s="9"/>
      <c r="M806" s="152">
        <v>3456200</v>
      </c>
      <c r="N806" s="153">
        <v>0</v>
      </c>
      <c r="O806" s="152">
        <v>0</v>
      </c>
      <c r="P806" s="154">
        <v>3.5000000000000003E-2</v>
      </c>
      <c r="Q806" s="152">
        <v>120967.00000000001</v>
      </c>
      <c r="R806" s="9">
        <v>3335233</v>
      </c>
      <c r="S806" s="21" t="s">
        <v>1846</v>
      </c>
      <c r="T806" s="117">
        <v>0</v>
      </c>
      <c r="U806" s="117" t="s">
        <v>348</v>
      </c>
      <c r="V806" s="117">
        <v>2023</v>
      </c>
      <c r="W806" s="117">
        <v>6</v>
      </c>
      <c r="X806" s="117">
        <v>0</v>
      </c>
      <c r="Y806" s="117">
        <v>3.5000000000000003E-2</v>
      </c>
      <c r="Z806" s="21" t="b">
        <v>1</v>
      </c>
      <c r="AA806" s="162">
        <f>+$AD$5-Tabla2[[#This Row],[FECHA DE FACTURACIÓN]]</f>
        <v>224</v>
      </c>
      <c r="AB806" s="163" t="str">
        <f>+IF(Tabla2[[#This Row],[dias de credito]]&gt;=Tabla2[[#This Row],[PLAZO Días]],"venc", "No venc")</f>
        <v>venc</v>
      </c>
      <c r="AC806" s="163" t="str">
        <f>+IF(Tabla2[[#This Row],[FECHA DE PAGO]]&gt;0,"pagada","por pagar")</f>
        <v>pagada</v>
      </c>
      <c r="AD806" s="164" t="str">
        <f>+IF(AND(Tabla2[[#This Row],[venc]]="venc",Tabla2[[#This Row],[estado pago]]="por pagar"),"vencida","no")</f>
        <v>no</v>
      </c>
    </row>
    <row r="807" spans="1:30" ht="19.5" hidden="1" customHeight="1" x14ac:dyDescent="0.25">
      <c r="A807" s="8" t="s">
        <v>1850</v>
      </c>
      <c r="B807" s="8" t="b">
        <v>0</v>
      </c>
      <c r="C807" s="8">
        <v>30</v>
      </c>
      <c r="D807" s="151">
        <v>0</v>
      </c>
      <c r="E807" s="151"/>
      <c r="F807" s="24" t="s">
        <v>1129</v>
      </c>
      <c r="G807" s="30">
        <v>45222</v>
      </c>
      <c r="H807" s="81" t="s">
        <v>1130</v>
      </c>
      <c r="I807" s="30">
        <v>45220</v>
      </c>
      <c r="J807" s="16" t="s">
        <v>1131</v>
      </c>
      <c r="K807" s="9" t="s">
        <v>1530</v>
      </c>
      <c r="L807" s="9"/>
      <c r="M807" s="152">
        <v>973672</v>
      </c>
      <c r="N807" s="153">
        <v>184997.68</v>
      </c>
      <c r="O807" s="152">
        <v>0</v>
      </c>
      <c r="P807" s="154">
        <v>0</v>
      </c>
      <c r="Q807" s="152">
        <v>0</v>
      </c>
      <c r="R807" s="9">
        <v>1158669.68</v>
      </c>
      <c r="S807" s="21" t="s">
        <v>1846</v>
      </c>
      <c r="T807" s="117">
        <v>0</v>
      </c>
      <c r="U807" s="117" t="s">
        <v>347</v>
      </c>
      <c r="V807" s="117">
        <v>2023</v>
      </c>
      <c r="W807" s="117">
        <v>6</v>
      </c>
      <c r="X807" s="117">
        <v>1145000</v>
      </c>
      <c r="Y807" s="117">
        <v>2.5000000000000001E-2</v>
      </c>
      <c r="Z807" s="21" t="b">
        <v>0</v>
      </c>
      <c r="AA807" s="162">
        <f>+$AD$5-Tabla2[[#This Row],[FECHA DE FACTURACIÓN]]</f>
        <v>223</v>
      </c>
      <c r="AB807" s="163" t="str">
        <f>+IF(Tabla2[[#This Row],[dias de credito]]&gt;=Tabla2[[#This Row],[PLAZO Días]],"venc", "No venc")</f>
        <v>venc</v>
      </c>
      <c r="AC807" s="163" t="str">
        <f>+IF(Tabla2[[#This Row],[FECHA DE PAGO]]&gt;0,"pagada","por pagar")</f>
        <v>pagada</v>
      </c>
      <c r="AD807" s="164" t="str">
        <f>+IF(AND(Tabla2[[#This Row],[venc]]="venc",Tabla2[[#This Row],[estado pago]]="por pagar"),"vencida","no")</f>
        <v>no</v>
      </c>
    </row>
    <row r="808" spans="1:30" ht="19.5" hidden="1" customHeight="1" x14ac:dyDescent="0.25">
      <c r="A808" s="8" t="s">
        <v>1852</v>
      </c>
      <c r="B808" s="8" t="b">
        <v>0</v>
      </c>
      <c r="C808" s="8">
        <v>30</v>
      </c>
      <c r="D808" s="151">
        <v>0</v>
      </c>
      <c r="E808" s="151"/>
      <c r="F808" s="24" t="s">
        <v>84</v>
      </c>
      <c r="G808" s="30">
        <v>45222</v>
      </c>
      <c r="H808" s="81" t="s">
        <v>525</v>
      </c>
      <c r="I808" s="30">
        <v>45222</v>
      </c>
      <c r="J808" s="16" t="s">
        <v>1137</v>
      </c>
      <c r="K808" s="9" t="s">
        <v>1530</v>
      </c>
      <c r="L808" s="9"/>
      <c r="M808" s="152">
        <v>172600</v>
      </c>
      <c r="N808" s="153">
        <v>0</v>
      </c>
      <c r="O808" s="152">
        <v>0</v>
      </c>
      <c r="P808" s="154">
        <v>0</v>
      </c>
      <c r="Q808" s="152">
        <v>0</v>
      </c>
      <c r="R808" s="9">
        <v>172600</v>
      </c>
      <c r="S808" s="21" t="s">
        <v>1846</v>
      </c>
      <c r="T808" s="117">
        <v>0</v>
      </c>
      <c r="U808" s="117">
        <v>0</v>
      </c>
      <c r="V808" s="117">
        <v>2023</v>
      </c>
      <c r="W808" s="117">
        <v>6</v>
      </c>
      <c r="X808" s="117">
        <v>0</v>
      </c>
      <c r="Y808" s="117">
        <v>0</v>
      </c>
      <c r="Z808" s="21" t="b">
        <v>0</v>
      </c>
      <c r="AA808" s="162">
        <f>+$AD$5-Tabla2[[#This Row],[FECHA DE FACTURACIÓN]]</f>
        <v>221</v>
      </c>
      <c r="AB808" s="163" t="str">
        <f>+IF(Tabla2[[#This Row],[dias de credito]]&gt;=Tabla2[[#This Row],[PLAZO Días]],"venc", "No venc")</f>
        <v>venc</v>
      </c>
      <c r="AC808" s="163" t="str">
        <f>+IF(Tabla2[[#This Row],[FECHA DE PAGO]]&gt;0,"pagada","por pagar")</f>
        <v>pagada</v>
      </c>
      <c r="AD808" s="164" t="str">
        <f>+IF(AND(Tabla2[[#This Row],[venc]]="venc",Tabla2[[#This Row],[estado pago]]="por pagar"),"vencida","no")</f>
        <v>no</v>
      </c>
    </row>
    <row r="809" spans="1:30" ht="19.5" hidden="1" customHeight="1" x14ac:dyDescent="0.25">
      <c r="A809" s="8" t="s">
        <v>1852</v>
      </c>
      <c r="B809" s="8" t="b">
        <v>0</v>
      </c>
      <c r="C809" s="8">
        <v>30</v>
      </c>
      <c r="D809" s="151">
        <v>0</v>
      </c>
      <c r="E809" s="151"/>
      <c r="F809" s="24" t="s">
        <v>84</v>
      </c>
      <c r="G809" s="30">
        <v>45222</v>
      </c>
      <c r="H809" s="81" t="s">
        <v>525</v>
      </c>
      <c r="I809" s="30">
        <v>45222</v>
      </c>
      <c r="J809" s="16" t="s">
        <v>1141</v>
      </c>
      <c r="K809" s="9" t="s">
        <v>1530</v>
      </c>
      <c r="L809" s="9"/>
      <c r="M809" s="152">
        <v>245000</v>
      </c>
      <c r="N809" s="153">
        <v>0</v>
      </c>
      <c r="O809" s="152">
        <v>0</v>
      </c>
      <c r="P809" s="154">
        <v>0</v>
      </c>
      <c r="Q809" s="152">
        <v>0</v>
      </c>
      <c r="R809" s="9">
        <v>245000</v>
      </c>
      <c r="S809" s="21" t="s">
        <v>1846</v>
      </c>
      <c r="T809" s="117">
        <v>0</v>
      </c>
      <c r="U809" s="117">
        <v>0</v>
      </c>
      <c r="V809" s="117">
        <v>2023</v>
      </c>
      <c r="W809" s="117">
        <v>6</v>
      </c>
      <c r="X809" s="117">
        <v>0</v>
      </c>
      <c r="Y809" s="117">
        <v>0</v>
      </c>
      <c r="Z809" s="21" t="b">
        <v>0</v>
      </c>
      <c r="AA809" s="162">
        <f>+$AD$5-Tabla2[[#This Row],[FECHA DE FACTURACIÓN]]</f>
        <v>221</v>
      </c>
      <c r="AB809" s="163" t="str">
        <f>+IF(Tabla2[[#This Row],[dias de credito]]&gt;=Tabla2[[#This Row],[PLAZO Días]],"venc", "No venc")</f>
        <v>venc</v>
      </c>
      <c r="AC809" s="163" t="str">
        <f>+IF(Tabla2[[#This Row],[FECHA DE PAGO]]&gt;0,"pagada","por pagar")</f>
        <v>pagada</v>
      </c>
      <c r="AD809" s="164" t="str">
        <f>+IF(AND(Tabla2[[#This Row],[venc]]="venc",Tabla2[[#This Row],[estado pago]]="por pagar"),"vencida","no")</f>
        <v>no</v>
      </c>
    </row>
    <row r="810" spans="1:30" ht="19.5" hidden="1" customHeight="1" x14ac:dyDescent="0.25">
      <c r="A810" s="8" t="s">
        <v>1852</v>
      </c>
      <c r="B810" s="8" t="b">
        <v>0</v>
      </c>
      <c r="C810" s="8">
        <v>30</v>
      </c>
      <c r="D810" s="151">
        <v>0</v>
      </c>
      <c r="E810" s="151"/>
      <c r="F810" s="24" t="s">
        <v>84</v>
      </c>
      <c r="G810" s="30">
        <v>45222</v>
      </c>
      <c r="H810" s="81" t="s">
        <v>525</v>
      </c>
      <c r="I810" s="30">
        <v>45222</v>
      </c>
      <c r="J810" s="16" t="s">
        <v>1142</v>
      </c>
      <c r="K810" s="9" t="s">
        <v>1530</v>
      </c>
      <c r="L810" s="9"/>
      <c r="M810" s="152">
        <v>621000</v>
      </c>
      <c r="N810" s="153">
        <v>0</v>
      </c>
      <c r="O810" s="152">
        <v>0</v>
      </c>
      <c r="P810" s="154">
        <v>0</v>
      </c>
      <c r="Q810" s="152">
        <v>0</v>
      </c>
      <c r="R810" s="9">
        <v>621000</v>
      </c>
      <c r="S810" s="21" t="s">
        <v>1846</v>
      </c>
      <c r="T810" s="117">
        <v>0</v>
      </c>
      <c r="U810" s="117">
        <v>0</v>
      </c>
      <c r="V810" s="117">
        <v>2023</v>
      </c>
      <c r="W810" s="117">
        <v>6</v>
      </c>
      <c r="X810" s="117">
        <v>0</v>
      </c>
      <c r="Y810" s="117">
        <v>0</v>
      </c>
      <c r="Z810" s="21" t="b">
        <v>0</v>
      </c>
      <c r="AA810" s="162">
        <f>+$AD$5-Tabla2[[#This Row],[FECHA DE FACTURACIÓN]]</f>
        <v>221</v>
      </c>
      <c r="AB810" s="163" t="str">
        <f>+IF(Tabla2[[#This Row],[dias de credito]]&gt;=Tabla2[[#This Row],[PLAZO Días]],"venc", "No venc")</f>
        <v>venc</v>
      </c>
      <c r="AC810" s="163" t="str">
        <f>+IF(Tabla2[[#This Row],[FECHA DE PAGO]]&gt;0,"pagada","por pagar")</f>
        <v>pagada</v>
      </c>
      <c r="AD810" s="164" t="str">
        <f>+IF(AND(Tabla2[[#This Row],[venc]]="venc",Tabla2[[#This Row],[estado pago]]="por pagar"),"vencida","no")</f>
        <v>no</v>
      </c>
    </row>
    <row r="811" spans="1:30" ht="19.5" hidden="1" customHeight="1" x14ac:dyDescent="0.25">
      <c r="A811" s="8" t="s">
        <v>1852</v>
      </c>
      <c r="B811" s="8" t="b">
        <v>0</v>
      </c>
      <c r="C811" s="8">
        <v>30</v>
      </c>
      <c r="D811" s="151">
        <v>0</v>
      </c>
      <c r="E811" s="151"/>
      <c r="F811" s="24" t="s">
        <v>84</v>
      </c>
      <c r="G811" s="30">
        <v>45222</v>
      </c>
      <c r="H811" s="81" t="s">
        <v>525</v>
      </c>
      <c r="I811" s="30">
        <v>45222</v>
      </c>
      <c r="J811" s="16" t="s">
        <v>1136</v>
      </c>
      <c r="K811" s="9" t="s">
        <v>1530</v>
      </c>
      <c r="L811" s="9"/>
      <c r="M811" s="152">
        <v>628650</v>
      </c>
      <c r="N811" s="153">
        <v>0</v>
      </c>
      <c r="O811" s="152">
        <v>0</v>
      </c>
      <c r="P811" s="154">
        <v>0</v>
      </c>
      <c r="Q811" s="152">
        <v>0</v>
      </c>
      <c r="R811" s="9">
        <v>628650</v>
      </c>
      <c r="S811" s="21" t="s">
        <v>1846</v>
      </c>
      <c r="T811" s="117">
        <v>0</v>
      </c>
      <c r="U811" s="117">
        <v>0</v>
      </c>
      <c r="V811" s="117">
        <v>2023</v>
      </c>
      <c r="W811" s="117">
        <v>6</v>
      </c>
      <c r="X811" s="117">
        <v>0</v>
      </c>
      <c r="Y811" s="117">
        <v>0</v>
      </c>
      <c r="Z811" s="21" t="b">
        <v>0</v>
      </c>
      <c r="AA811" s="162">
        <f>+$AD$5-Tabla2[[#This Row],[FECHA DE FACTURACIÓN]]</f>
        <v>221</v>
      </c>
      <c r="AB811" s="163" t="str">
        <f>+IF(Tabla2[[#This Row],[dias de credito]]&gt;=Tabla2[[#This Row],[PLAZO Días]],"venc", "No venc")</f>
        <v>venc</v>
      </c>
      <c r="AC811" s="163" t="str">
        <f>+IF(Tabla2[[#This Row],[FECHA DE PAGO]]&gt;0,"pagada","por pagar")</f>
        <v>pagada</v>
      </c>
      <c r="AD811" s="164" t="str">
        <f>+IF(AND(Tabla2[[#This Row],[venc]]="venc",Tabla2[[#This Row],[estado pago]]="por pagar"),"vencida","no")</f>
        <v>no</v>
      </c>
    </row>
    <row r="812" spans="1:30" ht="19.5" hidden="1" customHeight="1" x14ac:dyDescent="0.25">
      <c r="A812" s="8" t="s">
        <v>1852</v>
      </c>
      <c r="B812" s="8" t="b">
        <v>0</v>
      </c>
      <c r="C812" s="8">
        <v>30</v>
      </c>
      <c r="D812" s="151">
        <v>0</v>
      </c>
      <c r="E812" s="151"/>
      <c r="F812" s="24" t="s">
        <v>84</v>
      </c>
      <c r="G812" s="30">
        <v>45222</v>
      </c>
      <c r="H812" s="81" t="s">
        <v>525</v>
      </c>
      <c r="I812" s="30">
        <v>45222</v>
      </c>
      <c r="J812" s="16" t="s">
        <v>1143</v>
      </c>
      <c r="K812" s="9" t="s">
        <v>1530</v>
      </c>
      <c r="L812" s="9"/>
      <c r="M812" s="152">
        <v>1200000</v>
      </c>
      <c r="N812" s="153">
        <v>0</v>
      </c>
      <c r="O812" s="152">
        <v>0</v>
      </c>
      <c r="P812" s="154">
        <v>0</v>
      </c>
      <c r="Q812" s="152">
        <v>0</v>
      </c>
      <c r="R812" s="9">
        <v>1200000</v>
      </c>
      <c r="S812" s="21" t="s">
        <v>1846</v>
      </c>
      <c r="T812" s="117">
        <v>0</v>
      </c>
      <c r="U812" s="117">
        <v>0</v>
      </c>
      <c r="V812" s="117">
        <v>2023</v>
      </c>
      <c r="W812" s="117">
        <v>6</v>
      </c>
      <c r="X812" s="117">
        <v>0</v>
      </c>
      <c r="Y812" s="117">
        <v>0</v>
      </c>
      <c r="Z812" s="21" t="b">
        <v>0</v>
      </c>
      <c r="AA812" s="162">
        <f>+$AD$5-Tabla2[[#This Row],[FECHA DE FACTURACIÓN]]</f>
        <v>221</v>
      </c>
      <c r="AB812" s="163" t="str">
        <f>+IF(Tabla2[[#This Row],[dias de credito]]&gt;=Tabla2[[#This Row],[PLAZO Días]],"venc", "No venc")</f>
        <v>venc</v>
      </c>
      <c r="AC812" s="163" t="str">
        <f>+IF(Tabla2[[#This Row],[FECHA DE PAGO]]&gt;0,"pagada","por pagar")</f>
        <v>pagada</v>
      </c>
      <c r="AD812" s="164" t="str">
        <f>+IF(AND(Tabla2[[#This Row],[venc]]="venc",Tabla2[[#This Row],[estado pago]]="por pagar"),"vencida","no")</f>
        <v>no</v>
      </c>
    </row>
    <row r="813" spans="1:30" ht="19.5" hidden="1" customHeight="1" x14ac:dyDescent="0.25">
      <c r="A813" s="8" t="s">
        <v>1852</v>
      </c>
      <c r="B813" s="8" t="b">
        <v>0</v>
      </c>
      <c r="C813" s="8">
        <v>30</v>
      </c>
      <c r="D813" s="151">
        <v>0</v>
      </c>
      <c r="E813" s="151"/>
      <c r="F813" s="24" t="s">
        <v>84</v>
      </c>
      <c r="G813" s="30">
        <v>45222</v>
      </c>
      <c r="H813" s="81" t="s">
        <v>525</v>
      </c>
      <c r="I813" s="30">
        <v>45222</v>
      </c>
      <c r="J813" s="16" t="s">
        <v>1138</v>
      </c>
      <c r="K813" s="9" t="s">
        <v>1530</v>
      </c>
      <c r="L813" s="9"/>
      <c r="M813" s="152">
        <v>2000000</v>
      </c>
      <c r="N813" s="153">
        <v>0</v>
      </c>
      <c r="O813" s="152">
        <v>0</v>
      </c>
      <c r="P813" s="154">
        <v>0</v>
      </c>
      <c r="Q813" s="152">
        <v>0</v>
      </c>
      <c r="R813" s="9">
        <v>2000000</v>
      </c>
      <c r="S813" s="21" t="s">
        <v>1846</v>
      </c>
      <c r="T813" s="117">
        <v>0</v>
      </c>
      <c r="U813" s="117">
        <v>0</v>
      </c>
      <c r="V813" s="117">
        <v>2023</v>
      </c>
      <c r="W813" s="117">
        <v>6</v>
      </c>
      <c r="X813" s="117">
        <v>0</v>
      </c>
      <c r="Y813" s="117">
        <v>0</v>
      </c>
      <c r="Z813" s="21" t="b">
        <v>0</v>
      </c>
      <c r="AA813" s="162">
        <f>+$AD$5-Tabla2[[#This Row],[FECHA DE FACTURACIÓN]]</f>
        <v>221</v>
      </c>
      <c r="AB813" s="163" t="str">
        <f>+IF(Tabla2[[#This Row],[dias de credito]]&gt;=Tabla2[[#This Row],[PLAZO Días]],"venc", "No venc")</f>
        <v>venc</v>
      </c>
      <c r="AC813" s="163" t="str">
        <f>+IF(Tabla2[[#This Row],[FECHA DE PAGO]]&gt;0,"pagada","por pagar")</f>
        <v>pagada</v>
      </c>
      <c r="AD813" s="164" t="str">
        <f>+IF(AND(Tabla2[[#This Row],[venc]]="venc",Tabla2[[#This Row],[estado pago]]="por pagar"),"vencida","no")</f>
        <v>no</v>
      </c>
    </row>
    <row r="814" spans="1:30" ht="19.5" hidden="1" customHeight="1" x14ac:dyDescent="0.25">
      <c r="A814" s="8" t="s">
        <v>1850</v>
      </c>
      <c r="B814" s="8" t="b">
        <v>0</v>
      </c>
      <c r="C814" s="8">
        <v>30</v>
      </c>
      <c r="D814" s="151">
        <v>0</v>
      </c>
      <c r="E814" s="151"/>
      <c r="F814" s="24" t="s">
        <v>414</v>
      </c>
      <c r="G814" s="30">
        <v>45223</v>
      </c>
      <c r="H814" s="81" t="s">
        <v>382</v>
      </c>
      <c r="I814" s="30">
        <v>45200</v>
      </c>
      <c r="J814" s="16" t="s">
        <v>1133</v>
      </c>
      <c r="K814" s="9" t="s">
        <v>1530</v>
      </c>
      <c r="L814" s="9"/>
      <c r="M814" s="152">
        <v>934363</v>
      </c>
      <c r="N814" s="153">
        <v>0</v>
      </c>
      <c r="O814" s="152">
        <v>0</v>
      </c>
      <c r="P814" s="154">
        <v>0</v>
      </c>
      <c r="Q814" s="152">
        <v>0</v>
      </c>
      <c r="R814" s="9">
        <v>934363</v>
      </c>
      <c r="S814" s="21" t="s">
        <v>1846</v>
      </c>
      <c r="T814" s="117">
        <v>0</v>
      </c>
      <c r="U814" s="117">
        <v>0</v>
      </c>
      <c r="V814" s="117">
        <v>2023</v>
      </c>
      <c r="W814" s="117">
        <v>6</v>
      </c>
      <c r="X814" s="117">
        <v>0</v>
      </c>
      <c r="Y814" s="117">
        <v>0</v>
      </c>
      <c r="Z814" s="21" t="b">
        <v>1</v>
      </c>
      <c r="AA814" s="162">
        <f>+$AD$5-Tabla2[[#This Row],[FECHA DE FACTURACIÓN]]</f>
        <v>243</v>
      </c>
      <c r="AB814" s="163" t="str">
        <f>+IF(Tabla2[[#This Row],[dias de credito]]&gt;=Tabla2[[#This Row],[PLAZO Días]],"venc", "No venc")</f>
        <v>venc</v>
      </c>
      <c r="AC814" s="163" t="str">
        <f>+IF(Tabla2[[#This Row],[FECHA DE PAGO]]&gt;0,"pagada","por pagar")</f>
        <v>pagada</v>
      </c>
      <c r="AD814" s="164" t="str">
        <f>+IF(AND(Tabla2[[#This Row],[venc]]="venc",Tabla2[[#This Row],[estado pago]]="por pagar"),"vencida","no")</f>
        <v>no</v>
      </c>
    </row>
    <row r="815" spans="1:30" ht="19.5" hidden="1" customHeight="1" x14ac:dyDescent="0.25">
      <c r="A815" s="8" t="s">
        <v>1850</v>
      </c>
      <c r="B815" s="8" t="b">
        <v>0</v>
      </c>
      <c r="C815" s="8">
        <v>30</v>
      </c>
      <c r="D815" s="151">
        <v>0</v>
      </c>
      <c r="E815" s="151"/>
      <c r="F815" s="24" t="s">
        <v>414</v>
      </c>
      <c r="G815" s="30">
        <v>45223</v>
      </c>
      <c r="H815" s="81" t="s">
        <v>382</v>
      </c>
      <c r="I815" s="30">
        <v>45200</v>
      </c>
      <c r="J815" s="16" t="s">
        <v>1134</v>
      </c>
      <c r="K815" s="9" t="s">
        <v>1530</v>
      </c>
      <c r="L815" s="9"/>
      <c r="M815" s="152">
        <v>914023</v>
      </c>
      <c r="N815" s="153">
        <v>0</v>
      </c>
      <c r="O815" s="152">
        <v>0</v>
      </c>
      <c r="P815" s="154">
        <v>0</v>
      </c>
      <c r="Q815" s="152">
        <v>0</v>
      </c>
      <c r="R815" s="9">
        <v>914023</v>
      </c>
      <c r="S815" s="21" t="s">
        <v>1846</v>
      </c>
      <c r="T815" s="117">
        <v>0</v>
      </c>
      <c r="U815" s="117">
        <v>0</v>
      </c>
      <c r="V815" s="117">
        <v>2023</v>
      </c>
      <c r="W815" s="117">
        <v>6</v>
      </c>
      <c r="X815" s="117">
        <v>0</v>
      </c>
      <c r="Y815" s="117">
        <v>0</v>
      </c>
      <c r="Z815" s="21" t="b">
        <v>1</v>
      </c>
      <c r="AA815" s="162">
        <f>+$AD$5-Tabla2[[#This Row],[FECHA DE FACTURACIÓN]]</f>
        <v>243</v>
      </c>
      <c r="AB815" s="163" t="str">
        <f>+IF(Tabla2[[#This Row],[dias de credito]]&gt;=Tabla2[[#This Row],[PLAZO Días]],"venc", "No venc")</f>
        <v>venc</v>
      </c>
      <c r="AC815" s="163" t="str">
        <f>+IF(Tabla2[[#This Row],[FECHA DE PAGO]]&gt;0,"pagada","por pagar")</f>
        <v>pagada</v>
      </c>
      <c r="AD815" s="164" t="str">
        <f>+IF(AND(Tabla2[[#This Row],[venc]]="venc",Tabla2[[#This Row],[estado pago]]="por pagar"),"vencida","no")</f>
        <v>no</v>
      </c>
    </row>
    <row r="816" spans="1:30" ht="19.5" hidden="1" customHeight="1" x14ac:dyDescent="0.25">
      <c r="A816" s="8" t="s">
        <v>1850</v>
      </c>
      <c r="B816" s="8" t="s">
        <v>1851</v>
      </c>
      <c r="C816" s="8">
        <v>60</v>
      </c>
      <c r="D816" s="151">
        <v>0</v>
      </c>
      <c r="E816" s="151"/>
      <c r="F816" s="24" t="s">
        <v>583</v>
      </c>
      <c r="G816" s="30">
        <v>45224</v>
      </c>
      <c r="H816" s="81" t="s">
        <v>582</v>
      </c>
      <c r="I816" s="30">
        <v>45155</v>
      </c>
      <c r="J816" s="16" t="s">
        <v>1001</v>
      </c>
      <c r="K816" s="9" t="s">
        <v>1530</v>
      </c>
      <c r="L816" s="9"/>
      <c r="M816" s="152">
        <v>3384000</v>
      </c>
      <c r="N816" s="153">
        <v>642960</v>
      </c>
      <c r="O816" s="152">
        <v>0</v>
      </c>
      <c r="P816" s="154">
        <v>2.5000000000000001E-2</v>
      </c>
      <c r="Q816" s="152">
        <v>84600</v>
      </c>
      <c r="R816" s="9">
        <v>3942360</v>
      </c>
      <c r="S816" s="21" t="s">
        <v>1846</v>
      </c>
      <c r="T816" s="117">
        <v>0</v>
      </c>
      <c r="U816" s="117" t="s">
        <v>347</v>
      </c>
      <c r="V816" s="117">
        <v>2023</v>
      </c>
      <c r="W816" s="117">
        <v>6</v>
      </c>
      <c r="X816" s="117">
        <v>1145000</v>
      </c>
      <c r="Y816" s="117">
        <v>2.5000000000000001E-2</v>
      </c>
      <c r="Z816" s="21" t="b">
        <v>0</v>
      </c>
      <c r="AA816" s="162">
        <f>+$AD$5-Tabla2[[#This Row],[FECHA DE FACTURACIÓN]]</f>
        <v>288</v>
      </c>
      <c r="AB816" s="163" t="str">
        <f>+IF(Tabla2[[#This Row],[dias de credito]]&gt;=Tabla2[[#This Row],[PLAZO Días]],"venc", "No venc")</f>
        <v>venc</v>
      </c>
      <c r="AC816" s="163" t="str">
        <f>+IF(Tabla2[[#This Row],[FECHA DE PAGO]]&gt;0,"pagada","por pagar")</f>
        <v>pagada</v>
      </c>
      <c r="AD816" s="164" t="str">
        <f>+IF(AND(Tabla2[[#This Row],[venc]]="venc",Tabla2[[#This Row],[estado pago]]="por pagar"),"vencida","no")</f>
        <v>no</v>
      </c>
    </row>
    <row r="817" spans="1:30" ht="19.5" hidden="1" customHeight="1" x14ac:dyDescent="0.25">
      <c r="A817" s="8" t="s">
        <v>1850</v>
      </c>
      <c r="B817" s="8" t="s">
        <v>1851</v>
      </c>
      <c r="C817" s="8">
        <v>30</v>
      </c>
      <c r="D817" s="151">
        <v>818443.92</v>
      </c>
      <c r="E817" s="151"/>
      <c r="F817" s="24" t="s">
        <v>111</v>
      </c>
      <c r="G817" s="30">
        <v>45224</v>
      </c>
      <c r="H817" s="81" t="s">
        <v>20</v>
      </c>
      <c r="I817" s="30">
        <v>45168</v>
      </c>
      <c r="J817" s="16" t="s">
        <v>1024</v>
      </c>
      <c r="K817" s="9" t="s">
        <v>1530</v>
      </c>
      <c r="L817" s="9"/>
      <c r="M817" s="152">
        <v>876780</v>
      </c>
      <c r="N817" s="153">
        <v>166588.20000000001</v>
      </c>
      <c r="O817" s="152">
        <v>0</v>
      </c>
      <c r="P817" s="154">
        <v>0</v>
      </c>
      <c r="Q817" s="152">
        <v>0</v>
      </c>
      <c r="R817" s="9">
        <v>1043368.2</v>
      </c>
      <c r="S817" s="21" t="s">
        <v>1846</v>
      </c>
      <c r="T817" s="117">
        <v>0</v>
      </c>
      <c r="U817" s="117" t="s">
        <v>347</v>
      </c>
      <c r="V817" s="117">
        <v>2023</v>
      </c>
      <c r="W817" s="117">
        <v>6</v>
      </c>
      <c r="X817" s="117">
        <v>1145000</v>
      </c>
      <c r="Y817" s="117">
        <v>2.5000000000000001E-2</v>
      </c>
      <c r="Z817" s="21" t="b">
        <v>0</v>
      </c>
      <c r="AA817" s="162">
        <f>+$AD$5-Tabla2[[#This Row],[FECHA DE FACTURACIÓN]]</f>
        <v>275</v>
      </c>
      <c r="AB817" s="163" t="str">
        <f>+IF(Tabla2[[#This Row],[dias de credito]]&gt;=Tabla2[[#This Row],[PLAZO Días]],"venc", "No venc")</f>
        <v>venc</v>
      </c>
      <c r="AC817" s="163" t="str">
        <f>+IF(Tabla2[[#This Row],[FECHA DE PAGO]]&gt;0,"pagada","por pagar")</f>
        <v>pagada</v>
      </c>
      <c r="AD817" s="164" t="str">
        <f>+IF(AND(Tabla2[[#This Row],[venc]]="venc",Tabla2[[#This Row],[estado pago]]="por pagar"),"vencida","no")</f>
        <v>no</v>
      </c>
    </row>
    <row r="818" spans="1:30" ht="19.5" hidden="1" customHeight="1" x14ac:dyDescent="0.25">
      <c r="A818" s="8" t="s">
        <v>1852</v>
      </c>
      <c r="B818" s="8" t="b">
        <v>0</v>
      </c>
      <c r="C818" s="8">
        <v>60</v>
      </c>
      <c r="D818" s="151">
        <v>0</v>
      </c>
      <c r="E818" s="151"/>
      <c r="F818" s="24" t="s">
        <v>399</v>
      </c>
      <c r="G818" s="30">
        <v>45224</v>
      </c>
      <c r="H818" s="81" t="s">
        <v>65</v>
      </c>
      <c r="I818" s="30">
        <v>45224</v>
      </c>
      <c r="J818" s="16" t="s">
        <v>1140</v>
      </c>
      <c r="K818" s="9" t="s">
        <v>1530</v>
      </c>
      <c r="L818" s="9"/>
      <c r="M818" s="152">
        <v>166386.6</v>
      </c>
      <c r="N818" s="153">
        <v>31613.454000000002</v>
      </c>
      <c r="O818" s="152">
        <v>0</v>
      </c>
      <c r="P818" s="154">
        <v>0</v>
      </c>
      <c r="Q818" s="152">
        <v>0</v>
      </c>
      <c r="R818" s="9">
        <v>198000.054</v>
      </c>
      <c r="S818" s="21" t="s">
        <v>1846</v>
      </c>
      <c r="T818" s="117">
        <v>0</v>
      </c>
      <c r="U818" s="117" t="s">
        <v>347</v>
      </c>
      <c r="V818" s="117">
        <v>2023</v>
      </c>
      <c r="W818" s="117">
        <v>6</v>
      </c>
      <c r="X818" s="117">
        <v>1145000</v>
      </c>
      <c r="Y818" s="117">
        <v>2.5000000000000001E-2</v>
      </c>
      <c r="Z818" s="21" t="b">
        <v>0</v>
      </c>
      <c r="AA818" s="162">
        <f>+$AD$5-Tabla2[[#This Row],[FECHA DE FACTURACIÓN]]</f>
        <v>219</v>
      </c>
      <c r="AB818" s="163" t="str">
        <f>+IF(Tabla2[[#This Row],[dias de credito]]&gt;=Tabla2[[#This Row],[PLAZO Días]],"venc", "No venc")</f>
        <v>venc</v>
      </c>
      <c r="AC818" s="163" t="str">
        <f>+IF(Tabla2[[#This Row],[FECHA DE PAGO]]&gt;0,"pagada","por pagar")</f>
        <v>pagada</v>
      </c>
      <c r="AD818" s="164" t="str">
        <f>+IF(AND(Tabla2[[#This Row],[venc]]="venc",Tabla2[[#This Row],[estado pago]]="por pagar"),"vencida","no")</f>
        <v>no</v>
      </c>
    </row>
    <row r="819" spans="1:30" ht="19.5" hidden="1" customHeight="1" x14ac:dyDescent="0.25">
      <c r="A819" s="8" t="s">
        <v>1852</v>
      </c>
      <c r="B819" s="8" t="b">
        <v>0</v>
      </c>
      <c r="C819" s="8">
        <v>30</v>
      </c>
      <c r="D819" s="151">
        <v>0</v>
      </c>
      <c r="E819" s="151"/>
      <c r="F819" s="24" t="s">
        <v>84</v>
      </c>
      <c r="G819" s="30">
        <v>45224</v>
      </c>
      <c r="H819" s="81" t="s">
        <v>1824</v>
      </c>
      <c r="I819" s="30">
        <v>45224</v>
      </c>
      <c r="J819" s="16"/>
      <c r="K819" s="9" t="s">
        <v>1530</v>
      </c>
      <c r="L819" s="9"/>
      <c r="M819" s="152">
        <v>800000</v>
      </c>
      <c r="N819" s="153">
        <v>0</v>
      </c>
      <c r="O819" s="152">
        <v>0</v>
      </c>
      <c r="P819" s="154">
        <v>0</v>
      </c>
      <c r="Q819" s="152">
        <v>0</v>
      </c>
      <c r="R819" s="9">
        <v>800000</v>
      </c>
      <c r="S819" s="21" t="s">
        <v>1846</v>
      </c>
      <c r="T819" s="117">
        <v>0</v>
      </c>
      <c r="U819" s="117">
        <v>0</v>
      </c>
      <c r="V819" s="117">
        <v>2023</v>
      </c>
      <c r="W819" s="117">
        <v>6</v>
      </c>
      <c r="X819" s="117">
        <v>0</v>
      </c>
      <c r="Y819" s="117">
        <v>0</v>
      </c>
      <c r="Z819" s="21" t="b">
        <v>0</v>
      </c>
      <c r="AA819" s="162">
        <f>+$AD$5-Tabla2[[#This Row],[FECHA DE FACTURACIÓN]]</f>
        <v>219</v>
      </c>
      <c r="AB819" s="163" t="str">
        <f>+IF(Tabla2[[#This Row],[dias de credito]]&gt;=Tabla2[[#This Row],[PLAZO Días]],"venc", "No venc")</f>
        <v>venc</v>
      </c>
      <c r="AC819" s="163" t="str">
        <f>+IF(Tabla2[[#This Row],[FECHA DE PAGO]]&gt;0,"pagada","por pagar")</f>
        <v>pagada</v>
      </c>
      <c r="AD819" s="164" t="str">
        <f>+IF(AND(Tabla2[[#This Row],[venc]]="venc",Tabla2[[#This Row],[estado pago]]="por pagar"),"vencida","no")</f>
        <v>no</v>
      </c>
    </row>
    <row r="820" spans="1:30" ht="19.5" hidden="1" customHeight="1" x14ac:dyDescent="0.25">
      <c r="A820" s="8" t="s">
        <v>1850</v>
      </c>
      <c r="B820" s="8" t="s">
        <v>1851</v>
      </c>
      <c r="C820" s="8">
        <v>60</v>
      </c>
      <c r="D820" s="151">
        <v>50353355.590000004</v>
      </c>
      <c r="E820" s="151"/>
      <c r="F820" s="24" t="s">
        <v>157</v>
      </c>
      <c r="G820" s="30">
        <v>45225</v>
      </c>
      <c r="H820" s="81" t="s">
        <v>9</v>
      </c>
      <c r="I820" s="30">
        <v>45156</v>
      </c>
      <c r="J820" s="16" t="s">
        <v>986</v>
      </c>
      <c r="K820" s="9" t="s">
        <v>1530</v>
      </c>
      <c r="L820" s="9"/>
      <c r="M820" s="152">
        <v>-18933650</v>
      </c>
      <c r="N820" s="153">
        <v>-3597393.5</v>
      </c>
      <c r="O820" s="152">
        <v>0</v>
      </c>
      <c r="P820" s="154">
        <v>0</v>
      </c>
      <c r="Q820" s="152">
        <v>0</v>
      </c>
      <c r="R820" s="9">
        <v>-22531043.5</v>
      </c>
      <c r="S820" s="21" t="s">
        <v>1846</v>
      </c>
      <c r="T820" s="117">
        <v>0</v>
      </c>
      <c r="U820" s="117" t="s">
        <v>347</v>
      </c>
      <c r="V820" s="117">
        <v>2023</v>
      </c>
      <c r="W820" s="117">
        <v>6</v>
      </c>
      <c r="X820" s="117">
        <v>1145000</v>
      </c>
      <c r="Y820" s="117">
        <v>2.5000000000000001E-2</v>
      </c>
      <c r="Z820" s="21" t="b">
        <v>0</v>
      </c>
      <c r="AA820" s="162">
        <f>+$AD$5-Tabla2[[#This Row],[FECHA DE FACTURACIÓN]]</f>
        <v>287</v>
      </c>
      <c r="AB820" s="163" t="str">
        <f>+IF(Tabla2[[#This Row],[dias de credito]]&gt;=Tabla2[[#This Row],[PLAZO Días]],"venc", "No venc")</f>
        <v>venc</v>
      </c>
      <c r="AC820" s="163" t="str">
        <f>+IF(Tabla2[[#This Row],[FECHA DE PAGO]]&gt;0,"pagada","por pagar")</f>
        <v>pagada</v>
      </c>
      <c r="AD820" s="164" t="str">
        <f>+IF(AND(Tabla2[[#This Row],[venc]]="venc",Tabla2[[#This Row],[estado pago]]="por pagar"),"vencida","no")</f>
        <v>no</v>
      </c>
    </row>
    <row r="821" spans="1:30" ht="19.5" hidden="1" customHeight="1" x14ac:dyDescent="0.25">
      <c r="A821" s="8" t="s">
        <v>1850</v>
      </c>
      <c r="B821" s="8" t="s">
        <v>1851</v>
      </c>
      <c r="C821" s="8">
        <v>60</v>
      </c>
      <c r="D821" s="151">
        <v>50353355.590000004</v>
      </c>
      <c r="E821" s="151"/>
      <c r="F821" s="24" t="s">
        <v>157</v>
      </c>
      <c r="G821" s="30">
        <v>45225</v>
      </c>
      <c r="H821" s="81" t="s">
        <v>9</v>
      </c>
      <c r="I821" s="30">
        <v>45162</v>
      </c>
      <c r="J821" s="16" t="s">
        <v>1018</v>
      </c>
      <c r="K821" s="9" t="s">
        <v>1530</v>
      </c>
      <c r="L821" s="9"/>
      <c r="M821" s="152">
        <v>62709092</v>
      </c>
      <c r="N821" s="153">
        <v>11914727.48</v>
      </c>
      <c r="O821" s="152">
        <v>0</v>
      </c>
      <c r="P821" s="154">
        <v>2.5000000000000001E-2</v>
      </c>
      <c r="Q821" s="152">
        <v>1567727.3</v>
      </c>
      <c r="R821" s="9">
        <v>73056092.180000007</v>
      </c>
      <c r="S821" s="21" t="s">
        <v>1846</v>
      </c>
      <c r="T821" s="117">
        <v>0</v>
      </c>
      <c r="U821" s="117" t="s">
        <v>347</v>
      </c>
      <c r="V821" s="117">
        <v>2023</v>
      </c>
      <c r="W821" s="117">
        <v>6</v>
      </c>
      <c r="X821" s="117">
        <v>1145000</v>
      </c>
      <c r="Y821" s="117">
        <v>2.5000000000000001E-2</v>
      </c>
      <c r="Z821" s="21" t="b">
        <v>0</v>
      </c>
      <c r="AA821" s="162">
        <f>+$AD$5-Tabla2[[#This Row],[FECHA DE FACTURACIÓN]]</f>
        <v>281</v>
      </c>
      <c r="AB821" s="163" t="str">
        <f>+IF(Tabla2[[#This Row],[dias de credito]]&gt;=Tabla2[[#This Row],[PLAZO Días]],"venc", "No venc")</f>
        <v>venc</v>
      </c>
      <c r="AC821" s="163" t="str">
        <f>+IF(Tabla2[[#This Row],[FECHA DE PAGO]]&gt;0,"pagada","por pagar")</f>
        <v>pagada</v>
      </c>
      <c r="AD821" s="164" t="str">
        <f>+IF(AND(Tabla2[[#This Row],[venc]]="venc",Tabla2[[#This Row],[estado pago]]="por pagar"),"vencida","no")</f>
        <v>no</v>
      </c>
    </row>
    <row r="822" spans="1:30" ht="19.5" hidden="1" customHeight="1" x14ac:dyDescent="0.25">
      <c r="A822" s="8" t="s">
        <v>1850</v>
      </c>
      <c r="B822" s="8" t="b">
        <v>0</v>
      </c>
      <c r="C822" s="8">
        <v>60</v>
      </c>
      <c r="D822" s="151">
        <v>50353355.590000004</v>
      </c>
      <c r="E822" s="151"/>
      <c r="F822" s="24" t="s">
        <v>157</v>
      </c>
      <c r="G822" s="30">
        <v>45225</v>
      </c>
      <c r="H822" s="81" t="s">
        <v>9</v>
      </c>
      <c r="I822" s="30">
        <v>45203</v>
      </c>
      <c r="J822" s="16" t="s">
        <v>1086</v>
      </c>
      <c r="K822" s="9" t="s">
        <v>1530</v>
      </c>
      <c r="L822" s="9"/>
      <c r="M822" s="152">
        <v>-159664</v>
      </c>
      <c r="N822" s="153">
        <v>-30336.16</v>
      </c>
      <c r="O822" s="152">
        <v>0</v>
      </c>
      <c r="P822" s="154">
        <v>0</v>
      </c>
      <c r="Q822" s="152">
        <v>0</v>
      </c>
      <c r="R822" s="9">
        <v>-190000.16</v>
      </c>
      <c r="S822" s="21" t="s">
        <v>1846</v>
      </c>
      <c r="T822" s="117">
        <v>0</v>
      </c>
      <c r="U822" s="117" t="s">
        <v>347</v>
      </c>
      <c r="V822" s="117">
        <v>2023</v>
      </c>
      <c r="W822" s="117">
        <v>6</v>
      </c>
      <c r="X822" s="117">
        <v>1145000</v>
      </c>
      <c r="Y822" s="117">
        <v>2.5000000000000001E-2</v>
      </c>
      <c r="Z822" s="21" t="b">
        <v>0</v>
      </c>
      <c r="AA822" s="162">
        <f>+$AD$5-Tabla2[[#This Row],[FECHA DE FACTURACIÓN]]</f>
        <v>240</v>
      </c>
      <c r="AB822" s="163" t="str">
        <f>+IF(Tabla2[[#This Row],[dias de credito]]&gt;=Tabla2[[#This Row],[PLAZO Días]],"venc", "No venc")</f>
        <v>venc</v>
      </c>
      <c r="AC822" s="163" t="str">
        <f>+IF(Tabla2[[#This Row],[FECHA DE PAGO]]&gt;0,"pagada","por pagar")</f>
        <v>pagada</v>
      </c>
      <c r="AD822" s="164" t="str">
        <f>+IF(AND(Tabla2[[#This Row],[venc]]="venc",Tabla2[[#This Row],[estado pago]]="por pagar"),"vencida","no")</f>
        <v>no</v>
      </c>
    </row>
    <row r="823" spans="1:30" ht="19.5" hidden="1" customHeight="1" x14ac:dyDescent="0.25">
      <c r="A823" s="8" t="s">
        <v>1852</v>
      </c>
      <c r="B823" s="8" t="b">
        <v>0</v>
      </c>
      <c r="C823" s="8">
        <v>30</v>
      </c>
      <c r="D823" s="151">
        <v>0</v>
      </c>
      <c r="E823" s="151"/>
      <c r="F823" s="24" t="s">
        <v>84</v>
      </c>
      <c r="G823" s="30">
        <v>45226</v>
      </c>
      <c r="H823" s="81" t="s">
        <v>525</v>
      </c>
      <c r="I823" s="30">
        <v>45226</v>
      </c>
      <c r="J823" s="16" t="s">
        <v>1120</v>
      </c>
      <c r="K823" s="9" t="s">
        <v>1530</v>
      </c>
      <c r="L823" s="9"/>
      <c r="M823" s="152">
        <v>200000</v>
      </c>
      <c r="N823" s="153">
        <v>0</v>
      </c>
      <c r="O823" s="152">
        <v>0</v>
      </c>
      <c r="P823" s="154">
        <v>0</v>
      </c>
      <c r="Q823" s="152">
        <v>0</v>
      </c>
      <c r="R823" s="9">
        <v>200000</v>
      </c>
      <c r="S823" s="21" t="s">
        <v>1846</v>
      </c>
      <c r="T823" s="117">
        <v>0</v>
      </c>
      <c r="U823" s="117">
        <v>0</v>
      </c>
      <c r="V823" s="117">
        <v>2023</v>
      </c>
      <c r="W823" s="117">
        <v>6</v>
      </c>
      <c r="X823" s="117">
        <v>0</v>
      </c>
      <c r="Y823" s="117">
        <v>0</v>
      </c>
      <c r="Z823" s="21" t="b">
        <v>0</v>
      </c>
      <c r="AA823" s="162">
        <f>+$AD$5-Tabla2[[#This Row],[FECHA DE FACTURACIÓN]]</f>
        <v>217</v>
      </c>
      <c r="AB823" s="163" t="str">
        <f>+IF(Tabla2[[#This Row],[dias de credito]]&gt;=Tabla2[[#This Row],[PLAZO Días]],"venc", "No venc")</f>
        <v>venc</v>
      </c>
      <c r="AC823" s="163" t="str">
        <f>+IF(Tabla2[[#This Row],[FECHA DE PAGO]]&gt;0,"pagada","por pagar")</f>
        <v>pagada</v>
      </c>
      <c r="AD823" s="164" t="str">
        <f>+IF(AND(Tabla2[[#This Row],[venc]]="venc",Tabla2[[#This Row],[estado pago]]="por pagar"),"vencida","no")</f>
        <v>no</v>
      </c>
    </row>
    <row r="824" spans="1:30" ht="19.5" hidden="1" customHeight="1" x14ac:dyDescent="0.25">
      <c r="A824" s="8" t="s">
        <v>1852</v>
      </c>
      <c r="B824" s="8" t="b">
        <v>0</v>
      </c>
      <c r="C824" s="8">
        <v>30</v>
      </c>
      <c r="D824" s="151">
        <v>1391998.93</v>
      </c>
      <c r="E824" s="151"/>
      <c r="F824" s="24" t="s">
        <v>1185</v>
      </c>
      <c r="G824" s="30">
        <v>45226</v>
      </c>
      <c r="H824" s="81" t="s">
        <v>1186</v>
      </c>
      <c r="I824" s="30">
        <v>45226</v>
      </c>
      <c r="J824" s="16" t="s">
        <v>1187</v>
      </c>
      <c r="K824" s="9" t="s">
        <v>1530</v>
      </c>
      <c r="L824" s="9"/>
      <c r="M824" s="152">
        <v>702352</v>
      </c>
      <c r="N824" s="153">
        <v>133446.88</v>
      </c>
      <c r="O824" s="152">
        <v>0</v>
      </c>
      <c r="P824" s="154">
        <v>0</v>
      </c>
      <c r="Q824" s="152">
        <v>0</v>
      </c>
      <c r="R824" s="9">
        <v>835798.88</v>
      </c>
      <c r="S824" s="21" t="s">
        <v>1846</v>
      </c>
      <c r="T824" s="117">
        <v>0</v>
      </c>
      <c r="U824" s="117" t="s">
        <v>347</v>
      </c>
      <c r="V824" s="117">
        <v>2023</v>
      </c>
      <c r="W824" s="117">
        <v>6</v>
      </c>
      <c r="X824" s="117">
        <v>1145000</v>
      </c>
      <c r="Y824" s="117">
        <v>2.5000000000000001E-2</v>
      </c>
      <c r="Z824" s="21" t="b">
        <v>0</v>
      </c>
      <c r="AA824" s="162">
        <f>+$AD$5-Tabla2[[#This Row],[FECHA DE FACTURACIÓN]]</f>
        <v>217</v>
      </c>
      <c r="AB824" s="163" t="str">
        <f>+IF(Tabla2[[#This Row],[dias de credito]]&gt;=Tabla2[[#This Row],[PLAZO Días]],"venc", "No venc")</f>
        <v>venc</v>
      </c>
      <c r="AC824" s="163" t="str">
        <f>+IF(Tabla2[[#This Row],[FECHA DE PAGO]]&gt;0,"pagada","por pagar")</f>
        <v>pagada</v>
      </c>
      <c r="AD824" s="164" t="str">
        <f>+IF(AND(Tabla2[[#This Row],[venc]]="venc",Tabla2[[#This Row],[estado pago]]="por pagar"),"vencida","no")</f>
        <v>no</v>
      </c>
    </row>
    <row r="825" spans="1:30" ht="19.5" hidden="1" customHeight="1" x14ac:dyDescent="0.25">
      <c r="A825" s="8" t="s">
        <v>1852</v>
      </c>
      <c r="B825" s="8" t="b">
        <v>0</v>
      </c>
      <c r="C825" s="8">
        <v>60</v>
      </c>
      <c r="D825" s="151">
        <v>0</v>
      </c>
      <c r="E825" s="151"/>
      <c r="F825" s="24" t="s">
        <v>399</v>
      </c>
      <c r="G825" s="30">
        <v>45229</v>
      </c>
      <c r="H825" s="81" t="s">
        <v>65</v>
      </c>
      <c r="I825" s="30">
        <v>45229</v>
      </c>
      <c r="J825" s="16" t="s">
        <v>1197</v>
      </c>
      <c r="K825" s="9" t="s">
        <v>1530</v>
      </c>
      <c r="L825" s="9"/>
      <c r="M825" s="152">
        <v>-7563025</v>
      </c>
      <c r="N825" s="153">
        <v>-1436974.75</v>
      </c>
      <c r="O825" s="152">
        <v>0</v>
      </c>
      <c r="P825" s="154">
        <v>0</v>
      </c>
      <c r="Q825" s="152">
        <v>0</v>
      </c>
      <c r="R825" s="9">
        <v>-8999999.75</v>
      </c>
      <c r="S825" s="21" t="s">
        <v>1846</v>
      </c>
      <c r="T825" s="117">
        <v>0</v>
      </c>
      <c r="U825" s="117" t="s">
        <v>347</v>
      </c>
      <c r="V825" s="117">
        <v>2023</v>
      </c>
      <c r="W825" s="117">
        <v>6</v>
      </c>
      <c r="X825" s="117">
        <v>1145000</v>
      </c>
      <c r="Y825" s="117">
        <v>2.5000000000000001E-2</v>
      </c>
      <c r="Z825" s="21" t="b">
        <v>0</v>
      </c>
      <c r="AA825" s="162">
        <f>+$AD$5-Tabla2[[#This Row],[FECHA DE FACTURACIÓN]]</f>
        <v>214</v>
      </c>
      <c r="AB825" s="163" t="str">
        <f>+IF(Tabla2[[#This Row],[dias de credito]]&gt;=Tabla2[[#This Row],[PLAZO Días]],"venc", "No venc")</f>
        <v>venc</v>
      </c>
      <c r="AC825" s="163" t="str">
        <f>+IF(Tabla2[[#This Row],[FECHA DE PAGO]]&gt;0,"pagada","por pagar")</f>
        <v>pagada</v>
      </c>
      <c r="AD825" s="164" t="str">
        <f>+IF(AND(Tabla2[[#This Row],[venc]]="venc",Tabla2[[#This Row],[estado pago]]="por pagar"),"vencida","no")</f>
        <v>no</v>
      </c>
    </row>
    <row r="826" spans="1:30" ht="19.5" hidden="1" customHeight="1" x14ac:dyDescent="0.25">
      <c r="A826" s="8" t="s">
        <v>1852</v>
      </c>
      <c r="B826" s="8" t="e">
        <v>#N/A</v>
      </c>
      <c r="C826" s="8" t="e">
        <v>#N/A</v>
      </c>
      <c r="D826" s="151">
        <v>0</v>
      </c>
      <c r="E826" s="151"/>
      <c r="F826" s="24" t="e">
        <v>#N/A</v>
      </c>
      <c r="G826" s="30">
        <v>45230</v>
      </c>
      <c r="H826" s="81" t="s">
        <v>1873</v>
      </c>
      <c r="I826" s="30">
        <v>45230</v>
      </c>
      <c r="J826" s="16">
        <v>313196</v>
      </c>
      <c r="K826" s="9" t="s">
        <v>1530</v>
      </c>
      <c r="L826" s="9"/>
      <c r="M826" s="152">
        <v>2262000</v>
      </c>
      <c r="N826" s="153">
        <v>0</v>
      </c>
      <c r="O826" s="152">
        <v>0</v>
      </c>
      <c r="P826" s="154">
        <v>0</v>
      </c>
      <c r="Q826" s="152">
        <v>0</v>
      </c>
      <c r="R826" s="9">
        <v>2262000</v>
      </c>
      <c r="S826" s="21" t="s">
        <v>1846</v>
      </c>
      <c r="T826" s="117">
        <v>0</v>
      </c>
      <c r="U826" s="117" t="e">
        <v>#N/A</v>
      </c>
      <c r="V826" s="117">
        <v>2023</v>
      </c>
      <c r="W826" s="117">
        <v>6</v>
      </c>
      <c r="X826" s="117" t="e">
        <v>#N/A</v>
      </c>
      <c r="Y826" s="117" t="e">
        <v>#N/A</v>
      </c>
      <c r="Z826" s="21" t="b">
        <v>0</v>
      </c>
      <c r="AA826" s="162">
        <f>+$AD$5-Tabla2[[#This Row],[FECHA DE FACTURACIÓN]]</f>
        <v>213</v>
      </c>
      <c r="AB826" s="163" t="e">
        <f>+IF(Tabla2[[#This Row],[dias de credito]]&gt;=Tabla2[[#This Row],[PLAZO Días]],"venc", "No venc")</f>
        <v>#N/A</v>
      </c>
      <c r="AC826" s="163" t="str">
        <f>+IF(Tabla2[[#This Row],[FECHA DE PAGO]]&gt;0,"pagada","por pagar")</f>
        <v>pagada</v>
      </c>
      <c r="AD826" s="164" t="e">
        <f>+IF(AND(Tabla2[[#This Row],[venc]]="venc",Tabla2[[#This Row],[estado pago]]="por pagar"),"vencida","no")</f>
        <v>#N/A</v>
      </c>
    </row>
    <row r="827" spans="1:30" ht="19.5" hidden="1" customHeight="1" x14ac:dyDescent="0.25">
      <c r="A827" s="8" t="s">
        <v>1852</v>
      </c>
      <c r="B827" s="8" t="b">
        <v>0</v>
      </c>
      <c r="C827" s="8">
        <v>30</v>
      </c>
      <c r="D827" s="151">
        <v>0</v>
      </c>
      <c r="E827" s="151"/>
      <c r="F827" s="24" t="s">
        <v>1497</v>
      </c>
      <c r="G827" s="30">
        <v>45230</v>
      </c>
      <c r="H827" s="81" t="s">
        <v>1865</v>
      </c>
      <c r="I827" s="30">
        <v>45230</v>
      </c>
      <c r="J827" s="16" t="s">
        <v>1191</v>
      </c>
      <c r="K827" s="9" t="s">
        <v>1530</v>
      </c>
      <c r="L827" s="9"/>
      <c r="M827" s="152">
        <v>1790000</v>
      </c>
      <c r="N827" s="153">
        <v>0</v>
      </c>
      <c r="O827" s="152">
        <v>0</v>
      </c>
      <c r="P827" s="154">
        <v>0</v>
      </c>
      <c r="Q827" s="152">
        <v>0</v>
      </c>
      <c r="R827" s="9">
        <v>1790000</v>
      </c>
      <c r="S827" s="21" t="s">
        <v>1846</v>
      </c>
      <c r="T827" s="117">
        <v>0</v>
      </c>
      <c r="U827" s="117">
        <v>0</v>
      </c>
      <c r="V827" s="117">
        <v>2023</v>
      </c>
      <c r="W827" s="117">
        <v>6</v>
      </c>
      <c r="X827" s="117">
        <v>0</v>
      </c>
      <c r="Y827" s="117">
        <v>0</v>
      </c>
      <c r="Z827" s="21" t="b">
        <v>0</v>
      </c>
      <c r="AA827" s="162">
        <f>+$AD$5-Tabla2[[#This Row],[FECHA DE FACTURACIÓN]]</f>
        <v>213</v>
      </c>
      <c r="AB827" s="163" t="str">
        <f>+IF(Tabla2[[#This Row],[dias de credito]]&gt;=Tabla2[[#This Row],[PLAZO Días]],"venc", "No venc")</f>
        <v>venc</v>
      </c>
      <c r="AC827" s="163" t="str">
        <f>+IF(Tabla2[[#This Row],[FECHA DE PAGO]]&gt;0,"pagada","por pagar")</f>
        <v>pagada</v>
      </c>
      <c r="AD827" s="164" t="str">
        <f>+IF(AND(Tabla2[[#This Row],[venc]]="venc",Tabla2[[#This Row],[estado pago]]="por pagar"),"vencida","no")</f>
        <v>no</v>
      </c>
    </row>
    <row r="828" spans="1:30" ht="19.5" hidden="1" customHeight="1" x14ac:dyDescent="0.25">
      <c r="A828" s="8" t="s">
        <v>1852</v>
      </c>
      <c r="B828" s="8" t="b">
        <v>0</v>
      </c>
      <c r="C828" s="8">
        <v>30</v>
      </c>
      <c r="D828" s="151">
        <v>0</v>
      </c>
      <c r="E828" s="151"/>
      <c r="F828" s="24" t="s">
        <v>84</v>
      </c>
      <c r="G828" s="30">
        <v>45230</v>
      </c>
      <c r="H828" s="81" t="s">
        <v>525</v>
      </c>
      <c r="I828" s="30">
        <v>45230</v>
      </c>
      <c r="J828" s="16" t="s">
        <v>1531</v>
      </c>
      <c r="K828" s="9" t="s">
        <v>1530</v>
      </c>
      <c r="L828" s="9"/>
      <c r="M828" s="152">
        <v>0</v>
      </c>
      <c r="N828" s="153">
        <v>0</v>
      </c>
      <c r="O828" s="152">
        <v>0</v>
      </c>
      <c r="P828" s="154">
        <v>0</v>
      </c>
      <c r="Q828" s="152">
        <v>0</v>
      </c>
      <c r="R828" s="9">
        <v>0</v>
      </c>
      <c r="S828" s="21" t="s">
        <v>1846</v>
      </c>
      <c r="T828" s="117">
        <v>0</v>
      </c>
      <c r="U828" s="117">
        <v>0</v>
      </c>
      <c r="V828" s="117">
        <v>2023</v>
      </c>
      <c r="W828" s="117">
        <v>6</v>
      </c>
      <c r="X828" s="117">
        <v>0</v>
      </c>
      <c r="Y828" s="117">
        <v>0</v>
      </c>
      <c r="Z828" s="21" t="b">
        <v>0</v>
      </c>
      <c r="AA828" s="162">
        <f>+$AD$5-Tabla2[[#This Row],[FECHA DE FACTURACIÓN]]</f>
        <v>213</v>
      </c>
      <c r="AB828" s="163" t="str">
        <f>+IF(Tabla2[[#This Row],[dias de credito]]&gt;=Tabla2[[#This Row],[PLAZO Días]],"venc", "No venc")</f>
        <v>venc</v>
      </c>
      <c r="AC828" s="163" t="str">
        <f>+IF(Tabla2[[#This Row],[FECHA DE PAGO]]&gt;0,"pagada","por pagar")</f>
        <v>pagada</v>
      </c>
      <c r="AD828" s="164" t="str">
        <f>+IF(AND(Tabla2[[#This Row],[venc]]="venc",Tabla2[[#This Row],[estado pago]]="por pagar"),"vencida","no")</f>
        <v>no</v>
      </c>
    </row>
    <row r="829" spans="1:30" ht="19.5" hidden="1" customHeight="1" x14ac:dyDescent="0.25">
      <c r="A829" s="8" t="s">
        <v>1852</v>
      </c>
      <c r="B829" s="8" t="b">
        <v>0</v>
      </c>
      <c r="C829" s="8">
        <v>30</v>
      </c>
      <c r="D829" s="151">
        <v>0</v>
      </c>
      <c r="E829" s="151"/>
      <c r="F829" s="24" t="s">
        <v>84</v>
      </c>
      <c r="G829" s="30">
        <v>45230</v>
      </c>
      <c r="H829" s="81" t="s">
        <v>525</v>
      </c>
      <c r="I829" s="30">
        <v>45230</v>
      </c>
      <c r="J829" s="16" t="s">
        <v>478</v>
      </c>
      <c r="K829" s="9" t="s">
        <v>1530</v>
      </c>
      <c r="L829" s="9"/>
      <c r="M829" s="152">
        <v>144000</v>
      </c>
      <c r="N829" s="153">
        <v>0</v>
      </c>
      <c r="O829" s="152">
        <v>0</v>
      </c>
      <c r="P829" s="154">
        <v>0</v>
      </c>
      <c r="Q829" s="152">
        <v>0</v>
      </c>
      <c r="R829" s="9">
        <v>144000</v>
      </c>
      <c r="S829" s="21" t="s">
        <v>1846</v>
      </c>
      <c r="T829" s="117">
        <v>0</v>
      </c>
      <c r="U829" s="117">
        <v>0</v>
      </c>
      <c r="V829" s="117">
        <v>2023</v>
      </c>
      <c r="W829" s="117">
        <v>6</v>
      </c>
      <c r="X829" s="117">
        <v>0</v>
      </c>
      <c r="Y829" s="117">
        <v>0</v>
      </c>
      <c r="Z829" s="21" t="b">
        <v>0</v>
      </c>
      <c r="AA829" s="162">
        <f>+$AD$5-Tabla2[[#This Row],[FECHA DE FACTURACIÓN]]</f>
        <v>213</v>
      </c>
      <c r="AB829" s="163" t="str">
        <f>+IF(Tabla2[[#This Row],[dias de credito]]&gt;=Tabla2[[#This Row],[PLAZO Días]],"venc", "No venc")</f>
        <v>venc</v>
      </c>
      <c r="AC829" s="163" t="str">
        <f>+IF(Tabla2[[#This Row],[FECHA DE PAGO]]&gt;0,"pagada","por pagar")</f>
        <v>pagada</v>
      </c>
      <c r="AD829" s="164" t="str">
        <f>+IF(AND(Tabla2[[#This Row],[venc]]="venc",Tabla2[[#This Row],[estado pago]]="por pagar"),"vencida","no")</f>
        <v>no</v>
      </c>
    </row>
    <row r="830" spans="1:30" ht="19.5" hidden="1" customHeight="1" x14ac:dyDescent="0.25">
      <c r="A830" s="8" t="s">
        <v>1852</v>
      </c>
      <c r="B830" s="8" t="b">
        <v>0</v>
      </c>
      <c r="C830" s="8">
        <v>30</v>
      </c>
      <c r="D830" s="151">
        <v>0</v>
      </c>
      <c r="E830" s="151"/>
      <c r="F830" s="24" t="s">
        <v>84</v>
      </c>
      <c r="G830" s="30">
        <v>45230</v>
      </c>
      <c r="H830" s="81" t="s">
        <v>525</v>
      </c>
      <c r="I830" s="30">
        <v>45230</v>
      </c>
      <c r="J830" s="16" t="s">
        <v>479</v>
      </c>
      <c r="K830" s="9" t="s">
        <v>1530</v>
      </c>
      <c r="L830" s="9"/>
      <c r="M830" s="152">
        <v>157900</v>
      </c>
      <c r="N830" s="153">
        <v>0</v>
      </c>
      <c r="O830" s="152">
        <v>0</v>
      </c>
      <c r="P830" s="154">
        <v>0</v>
      </c>
      <c r="Q830" s="152">
        <v>0</v>
      </c>
      <c r="R830" s="9">
        <v>157900</v>
      </c>
      <c r="S830" s="21" t="s">
        <v>1846</v>
      </c>
      <c r="T830" s="117">
        <v>0</v>
      </c>
      <c r="U830" s="117">
        <v>0</v>
      </c>
      <c r="V830" s="117">
        <v>2023</v>
      </c>
      <c r="W830" s="117">
        <v>6</v>
      </c>
      <c r="X830" s="117">
        <v>0</v>
      </c>
      <c r="Y830" s="117">
        <v>0</v>
      </c>
      <c r="Z830" s="21" t="b">
        <v>0</v>
      </c>
      <c r="AA830" s="162">
        <f>+$AD$5-Tabla2[[#This Row],[FECHA DE FACTURACIÓN]]</f>
        <v>213</v>
      </c>
      <c r="AB830" s="163" t="str">
        <f>+IF(Tabla2[[#This Row],[dias de credito]]&gt;=Tabla2[[#This Row],[PLAZO Días]],"venc", "No venc")</f>
        <v>venc</v>
      </c>
      <c r="AC830" s="163" t="str">
        <f>+IF(Tabla2[[#This Row],[FECHA DE PAGO]]&gt;0,"pagada","por pagar")</f>
        <v>pagada</v>
      </c>
      <c r="AD830" s="164" t="str">
        <f>+IF(AND(Tabla2[[#This Row],[venc]]="venc",Tabla2[[#This Row],[estado pago]]="por pagar"),"vencida","no")</f>
        <v>no</v>
      </c>
    </row>
    <row r="831" spans="1:30" ht="19.5" hidden="1" customHeight="1" x14ac:dyDescent="0.25">
      <c r="A831" s="8" t="s">
        <v>1852</v>
      </c>
      <c r="B831" s="8" t="b">
        <v>0</v>
      </c>
      <c r="C831" s="8">
        <v>30</v>
      </c>
      <c r="D831" s="151">
        <v>0</v>
      </c>
      <c r="E831" s="151"/>
      <c r="F831" s="24" t="s">
        <v>84</v>
      </c>
      <c r="G831" s="30">
        <v>45230</v>
      </c>
      <c r="H831" s="81" t="s">
        <v>525</v>
      </c>
      <c r="I831" s="30">
        <v>45230</v>
      </c>
      <c r="J831" s="16" t="s">
        <v>480</v>
      </c>
      <c r="K831" s="9" t="s">
        <v>1530</v>
      </c>
      <c r="L831" s="9"/>
      <c r="M831" s="152">
        <v>160000</v>
      </c>
      <c r="N831" s="153">
        <v>0</v>
      </c>
      <c r="O831" s="152">
        <v>0</v>
      </c>
      <c r="P831" s="154">
        <v>0</v>
      </c>
      <c r="Q831" s="152">
        <v>0</v>
      </c>
      <c r="R831" s="9">
        <v>160000</v>
      </c>
      <c r="S831" s="21" t="s">
        <v>1846</v>
      </c>
      <c r="T831" s="117">
        <v>0</v>
      </c>
      <c r="U831" s="117">
        <v>0</v>
      </c>
      <c r="V831" s="117">
        <v>2023</v>
      </c>
      <c r="W831" s="117">
        <v>6</v>
      </c>
      <c r="X831" s="117">
        <v>0</v>
      </c>
      <c r="Y831" s="117">
        <v>0</v>
      </c>
      <c r="Z831" s="21" t="b">
        <v>0</v>
      </c>
      <c r="AA831" s="162">
        <f>+$AD$5-Tabla2[[#This Row],[FECHA DE FACTURACIÓN]]</f>
        <v>213</v>
      </c>
      <c r="AB831" s="163" t="str">
        <f>+IF(Tabla2[[#This Row],[dias de credito]]&gt;=Tabla2[[#This Row],[PLAZO Días]],"venc", "No venc")</f>
        <v>venc</v>
      </c>
      <c r="AC831" s="163" t="str">
        <f>+IF(Tabla2[[#This Row],[FECHA DE PAGO]]&gt;0,"pagada","por pagar")</f>
        <v>pagada</v>
      </c>
      <c r="AD831" s="164" t="str">
        <f>+IF(AND(Tabla2[[#This Row],[venc]]="venc",Tabla2[[#This Row],[estado pago]]="por pagar"),"vencida","no")</f>
        <v>no</v>
      </c>
    </row>
    <row r="832" spans="1:30" ht="19.5" hidden="1" customHeight="1" x14ac:dyDescent="0.25">
      <c r="A832" s="8" t="s">
        <v>1852</v>
      </c>
      <c r="B832" s="8" t="b">
        <v>0</v>
      </c>
      <c r="C832" s="8">
        <v>30</v>
      </c>
      <c r="D832" s="151">
        <v>0</v>
      </c>
      <c r="E832" s="151"/>
      <c r="F832" s="24" t="s">
        <v>84</v>
      </c>
      <c r="G832" s="30">
        <v>45230</v>
      </c>
      <c r="H832" s="81" t="s">
        <v>525</v>
      </c>
      <c r="I832" s="30">
        <v>45230</v>
      </c>
      <c r="J832" s="16" t="s">
        <v>476</v>
      </c>
      <c r="K832" s="9" t="s">
        <v>1530</v>
      </c>
      <c r="L832" s="9"/>
      <c r="M832" s="152">
        <v>267000</v>
      </c>
      <c r="N832" s="153">
        <v>0</v>
      </c>
      <c r="O832" s="152">
        <v>0</v>
      </c>
      <c r="P832" s="154">
        <v>0</v>
      </c>
      <c r="Q832" s="152">
        <v>0</v>
      </c>
      <c r="R832" s="9">
        <v>267000</v>
      </c>
      <c r="S832" s="21" t="s">
        <v>1846</v>
      </c>
      <c r="T832" s="117">
        <v>0</v>
      </c>
      <c r="U832" s="117">
        <v>0</v>
      </c>
      <c r="V832" s="117">
        <v>2023</v>
      </c>
      <c r="W832" s="117">
        <v>6</v>
      </c>
      <c r="X832" s="117">
        <v>0</v>
      </c>
      <c r="Y832" s="117">
        <v>0</v>
      </c>
      <c r="Z832" s="21" t="b">
        <v>0</v>
      </c>
      <c r="AA832" s="162">
        <f>+$AD$5-Tabla2[[#This Row],[FECHA DE FACTURACIÓN]]</f>
        <v>213</v>
      </c>
      <c r="AB832" s="163" t="str">
        <f>+IF(Tabla2[[#This Row],[dias de credito]]&gt;=Tabla2[[#This Row],[PLAZO Días]],"venc", "No venc")</f>
        <v>venc</v>
      </c>
      <c r="AC832" s="163" t="str">
        <f>+IF(Tabla2[[#This Row],[FECHA DE PAGO]]&gt;0,"pagada","por pagar")</f>
        <v>pagada</v>
      </c>
      <c r="AD832" s="164" t="str">
        <f>+IF(AND(Tabla2[[#This Row],[venc]]="venc",Tabla2[[#This Row],[estado pago]]="por pagar"),"vencida","no")</f>
        <v>no</v>
      </c>
    </row>
    <row r="833" spans="1:30" ht="19.5" hidden="1" customHeight="1" x14ac:dyDescent="0.25">
      <c r="A833" s="8" t="s">
        <v>1852</v>
      </c>
      <c r="B833" s="8" t="b">
        <v>0</v>
      </c>
      <c r="C833" s="8">
        <v>30</v>
      </c>
      <c r="D833" s="151">
        <v>0</v>
      </c>
      <c r="E833" s="151"/>
      <c r="F833" s="24" t="s">
        <v>84</v>
      </c>
      <c r="G833" s="30">
        <v>45230</v>
      </c>
      <c r="H833" s="81" t="s">
        <v>525</v>
      </c>
      <c r="I833" s="30">
        <v>45230</v>
      </c>
      <c r="J833" s="16" t="s">
        <v>477</v>
      </c>
      <c r="K833" s="9" t="s">
        <v>1530</v>
      </c>
      <c r="L833" s="9"/>
      <c r="M833" s="152">
        <v>1574050</v>
      </c>
      <c r="N833" s="153">
        <v>0</v>
      </c>
      <c r="O833" s="152">
        <v>0</v>
      </c>
      <c r="P833" s="154">
        <v>0</v>
      </c>
      <c r="Q833" s="152">
        <v>0</v>
      </c>
      <c r="R833" s="9">
        <v>1574050</v>
      </c>
      <c r="S833" s="21" t="s">
        <v>1846</v>
      </c>
      <c r="T833" s="117">
        <v>0</v>
      </c>
      <c r="U833" s="117">
        <v>0</v>
      </c>
      <c r="V833" s="117">
        <v>2023</v>
      </c>
      <c r="W833" s="117">
        <v>6</v>
      </c>
      <c r="X833" s="117">
        <v>0</v>
      </c>
      <c r="Y833" s="117">
        <v>0</v>
      </c>
      <c r="Z833" s="21" t="b">
        <v>0</v>
      </c>
      <c r="AA833" s="162">
        <f>+$AD$5-Tabla2[[#This Row],[FECHA DE FACTURACIÓN]]</f>
        <v>213</v>
      </c>
      <c r="AB833" s="163" t="str">
        <f>+IF(Tabla2[[#This Row],[dias de credito]]&gt;=Tabla2[[#This Row],[PLAZO Días]],"venc", "No venc")</f>
        <v>venc</v>
      </c>
      <c r="AC833" s="163" t="str">
        <f>+IF(Tabla2[[#This Row],[FECHA DE PAGO]]&gt;0,"pagada","por pagar")</f>
        <v>pagada</v>
      </c>
      <c r="AD833" s="164" t="str">
        <f>+IF(AND(Tabla2[[#This Row],[venc]]="venc",Tabla2[[#This Row],[estado pago]]="por pagar"),"vencida","no")</f>
        <v>no</v>
      </c>
    </row>
    <row r="834" spans="1:30" ht="19.5" hidden="1" customHeight="1" x14ac:dyDescent="0.25">
      <c r="A834" s="8" t="s">
        <v>1852</v>
      </c>
      <c r="B834" s="8" t="b">
        <v>0</v>
      </c>
      <c r="C834" s="8">
        <v>30</v>
      </c>
      <c r="D834" s="151">
        <v>134000</v>
      </c>
      <c r="E834" s="151"/>
      <c r="F834" s="24" t="s">
        <v>192</v>
      </c>
      <c r="G834" s="30">
        <v>45231</v>
      </c>
      <c r="H834" s="81" t="s">
        <v>1808</v>
      </c>
      <c r="I834" s="30">
        <v>45231</v>
      </c>
      <c r="J834" s="16" t="s">
        <v>1276</v>
      </c>
      <c r="K834" s="9" t="s">
        <v>1530</v>
      </c>
      <c r="L834" s="9"/>
      <c r="M834" s="152">
        <v>39000</v>
      </c>
      <c r="N834" s="153">
        <v>0</v>
      </c>
      <c r="O834" s="152">
        <v>0</v>
      </c>
      <c r="P834" s="154">
        <v>0</v>
      </c>
      <c r="Q834" s="152">
        <v>0</v>
      </c>
      <c r="R834" s="9">
        <v>39000</v>
      </c>
      <c r="S834" s="21" t="s">
        <v>1846</v>
      </c>
      <c r="T834" s="117">
        <v>0</v>
      </c>
      <c r="U834" s="117">
        <v>0</v>
      </c>
      <c r="V834" s="117">
        <v>2023</v>
      </c>
      <c r="W834" s="117">
        <v>6</v>
      </c>
      <c r="X834" s="117">
        <v>0</v>
      </c>
      <c r="Y834" s="117">
        <v>0</v>
      </c>
      <c r="Z834" s="21" t="b">
        <v>0</v>
      </c>
      <c r="AA834" s="162">
        <f>+$AD$5-Tabla2[[#This Row],[FECHA DE FACTURACIÓN]]</f>
        <v>212</v>
      </c>
      <c r="AB834" s="163" t="str">
        <f>+IF(Tabla2[[#This Row],[dias de credito]]&gt;=Tabla2[[#This Row],[PLAZO Días]],"venc", "No venc")</f>
        <v>venc</v>
      </c>
      <c r="AC834" s="163" t="str">
        <f>+IF(Tabla2[[#This Row],[FECHA DE PAGO]]&gt;0,"pagada","por pagar")</f>
        <v>pagada</v>
      </c>
      <c r="AD834" s="164" t="str">
        <f>+IF(AND(Tabla2[[#This Row],[venc]]="venc",Tabla2[[#This Row],[estado pago]]="por pagar"),"vencida","no")</f>
        <v>no</v>
      </c>
    </row>
    <row r="835" spans="1:30" ht="19.5" hidden="1" customHeight="1" x14ac:dyDescent="0.25">
      <c r="A835" s="8" t="s">
        <v>1852</v>
      </c>
      <c r="B835" s="8" t="b">
        <v>0</v>
      </c>
      <c r="C835" s="8">
        <v>30</v>
      </c>
      <c r="D835" s="151">
        <v>134000</v>
      </c>
      <c r="E835" s="151"/>
      <c r="F835" s="24" t="s">
        <v>192</v>
      </c>
      <c r="G835" s="30">
        <v>45231</v>
      </c>
      <c r="H835" s="81" t="s">
        <v>1808</v>
      </c>
      <c r="I835" s="30">
        <v>45231</v>
      </c>
      <c r="J835" s="16" t="s">
        <v>1275</v>
      </c>
      <c r="K835" s="9" t="s">
        <v>1530</v>
      </c>
      <c r="L835" s="9"/>
      <c r="M835" s="152">
        <v>45000</v>
      </c>
      <c r="N835" s="153">
        <v>0</v>
      </c>
      <c r="O835" s="152">
        <v>0</v>
      </c>
      <c r="P835" s="154">
        <v>0</v>
      </c>
      <c r="Q835" s="152">
        <v>0</v>
      </c>
      <c r="R835" s="9">
        <v>45000</v>
      </c>
      <c r="S835" s="21" t="s">
        <v>1846</v>
      </c>
      <c r="T835" s="117">
        <v>0</v>
      </c>
      <c r="U835" s="117">
        <v>0</v>
      </c>
      <c r="V835" s="117">
        <v>2023</v>
      </c>
      <c r="W835" s="117">
        <v>6</v>
      </c>
      <c r="X835" s="117">
        <v>0</v>
      </c>
      <c r="Y835" s="117">
        <v>0</v>
      </c>
      <c r="Z835" s="21" t="b">
        <v>0</v>
      </c>
      <c r="AA835" s="162">
        <f>+$AD$5-Tabla2[[#This Row],[FECHA DE FACTURACIÓN]]</f>
        <v>212</v>
      </c>
      <c r="AB835" s="163" t="str">
        <f>+IF(Tabla2[[#This Row],[dias de credito]]&gt;=Tabla2[[#This Row],[PLAZO Días]],"venc", "No venc")</f>
        <v>venc</v>
      </c>
      <c r="AC835" s="163" t="str">
        <f>+IF(Tabla2[[#This Row],[FECHA DE PAGO]]&gt;0,"pagada","por pagar")</f>
        <v>pagada</v>
      </c>
      <c r="AD835" s="164" t="str">
        <f>+IF(AND(Tabla2[[#This Row],[venc]]="venc",Tabla2[[#This Row],[estado pago]]="por pagar"),"vencida","no")</f>
        <v>no</v>
      </c>
    </row>
    <row r="836" spans="1:30" ht="19.5" hidden="1" customHeight="1" x14ac:dyDescent="0.25">
      <c r="A836" s="8" t="s">
        <v>1852</v>
      </c>
      <c r="B836" s="8" t="b">
        <v>0</v>
      </c>
      <c r="C836" s="8">
        <v>30</v>
      </c>
      <c r="D836" s="151">
        <v>0</v>
      </c>
      <c r="E836" s="151"/>
      <c r="F836" s="24" t="s">
        <v>84</v>
      </c>
      <c r="G836" s="30">
        <v>45231</v>
      </c>
      <c r="H836" s="81" t="s">
        <v>525</v>
      </c>
      <c r="I836" s="30">
        <v>45231</v>
      </c>
      <c r="J836" s="16" t="s">
        <v>1215</v>
      </c>
      <c r="K836" s="9" t="s">
        <v>1530</v>
      </c>
      <c r="L836" s="9"/>
      <c r="M836" s="152">
        <v>120000</v>
      </c>
      <c r="N836" s="153">
        <v>0</v>
      </c>
      <c r="O836" s="152">
        <v>0</v>
      </c>
      <c r="P836" s="154">
        <v>0</v>
      </c>
      <c r="Q836" s="152">
        <v>0</v>
      </c>
      <c r="R836" s="9">
        <v>120000</v>
      </c>
      <c r="S836" s="21" t="s">
        <v>1846</v>
      </c>
      <c r="T836" s="117">
        <v>0</v>
      </c>
      <c r="U836" s="117">
        <v>0</v>
      </c>
      <c r="V836" s="117">
        <v>2023</v>
      </c>
      <c r="W836" s="117">
        <v>6</v>
      </c>
      <c r="X836" s="117">
        <v>0</v>
      </c>
      <c r="Y836" s="117">
        <v>0</v>
      </c>
      <c r="Z836" s="21" t="b">
        <v>0</v>
      </c>
      <c r="AA836" s="162">
        <f>+$AD$5-Tabla2[[#This Row],[FECHA DE FACTURACIÓN]]</f>
        <v>212</v>
      </c>
      <c r="AB836" s="163" t="str">
        <f>+IF(Tabla2[[#This Row],[dias de credito]]&gt;=Tabla2[[#This Row],[PLAZO Días]],"venc", "No venc")</f>
        <v>venc</v>
      </c>
      <c r="AC836" s="163" t="str">
        <f>+IF(Tabla2[[#This Row],[FECHA DE PAGO]]&gt;0,"pagada","por pagar")</f>
        <v>pagada</v>
      </c>
      <c r="AD836" s="164" t="str">
        <f>+IF(AND(Tabla2[[#This Row],[venc]]="venc",Tabla2[[#This Row],[estado pago]]="por pagar"),"vencida","no")</f>
        <v>no</v>
      </c>
    </row>
    <row r="837" spans="1:30" ht="19.5" hidden="1" customHeight="1" x14ac:dyDescent="0.25">
      <c r="A837" s="8" t="s">
        <v>1852</v>
      </c>
      <c r="B837" s="8" t="b">
        <v>0</v>
      </c>
      <c r="C837" s="8">
        <v>30</v>
      </c>
      <c r="D837" s="151">
        <v>0</v>
      </c>
      <c r="E837" s="151"/>
      <c r="F837" s="24" t="s">
        <v>84</v>
      </c>
      <c r="G837" s="30">
        <v>45231</v>
      </c>
      <c r="H837" s="81" t="s">
        <v>525</v>
      </c>
      <c r="I837" s="30">
        <v>45231</v>
      </c>
      <c r="J837" s="16" t="s">
        <v>1212</v>
      </c>
      <c r="K837" s="9" t="s">
        <v>1530</v>
      </c>
      <c r="L837" s="9"/>
      <c r="M837" s="152">
        <v>420000</v>
      </c>
      <c r="N837" s="153">
        <v>0</v>
      </c>
      <c r="O837" s="152">
        <v>0</v>
      </c>
      <c r="P837" s="154">
        <v>0</v>
      </c>
      <c r="Q837" s="152">
        <v>0</v>
      </c>
      <c r="R837" s="9">
        <v>420000</v>
      </c>
      <c r="S837" s="21" t="s">
        <v>1846</v>
      </c>
      <c r="T837" s="117">
        <v>0</v>
      </c>
      <c r="U837" s="117">
        <v>0</v>
      </c>
      <c r="V837" s="117">
        <v>2023</v>
      </c>
      <c r="W837" s="117">
        <v>6</v>
      </c>
      <c r="X837" s="117">
        <v>0</v>
      </c>
      <c r="Y837" s="117">
        <v>0</v>
      </c>
      <c r="Z837" s="21" t="b">
        <v>0</v>
      </c>
      <c r="AA837" s="162">
        <f>+$AD$5-Tabla2[[#This Row],[FECHA DE FACTURACIÓN]]</f>
        <v>212</v>
      </c>
      <c r="AB837" s="163" t="str">
        <f>+IF(Tabla2[[#This Row],[dias de credito]]&gt;=Tabla2[[#This Row],[PLAZO Días]],"venc", "No venc")</f>
        <v>venc</v>
      </c>
      <c r="AC837" s="163" t="str">
        <f>+IF(Tabla2[[#This Row],[FECHA DE PAGO]]&gt;0,"pagada","por pagar")</f>
        <v>pagada</v>
      </c>
      <c r="AD837" s="164" t="str">
        <f>+IF(AND(Tabla2[[#This Row],[venc]]="venc",Tabla2[[#This Row],[estado pago]]="por pagar"),"vencida","no")</f>
        <v>no</v>
      </c>
    </row>
    <row r="838" spans="1:30" ht="19.5" hidden="1" customHeight="1" x14ac:dyDescent="0.25">
      <c r="A838" s="8" t="s">
        <v>1852</v>
      </c>
      <c r="B838" s="8" t="b">
        <v>0</v>
      </c>
      <c r="C838" s="8">
        <v>30</v>
      </c>
      <c r="D838" s="151">
        <v>1350000</v>
      </c>
      <c r="E838" s="151"/>
      <c r="F838" s="24" t="s">
        <v>84</v>
      </c>
      <c r="G838" s="30">
        <v>45231</v>
      </c>
      <c r="H838" s="81" t="s">
        <v>1807</v>
      </c>
      <c r="I838" s="30">
        <v>45231</v>
      </c>
      <c r="J838" s="16" t="s">
        <v>1216</v>
      </c>
      <c r="K838" s="9" t="s">
        <v>1530</v>
      </c>
      <c r="L838" s="9"/>
      <c r="M838" s="152">
        <v>810000</v>
      </c>
      <c r="N838" s="153">
        <v>0</v>
      </c>
      <c r="O838" s="152">
        <v>0</v>
      </c>
      <c r="P838" s="154">
        <v>0</v>
      </c>
      <c r="Q838" s="152">
        <v>0</v>
      </c>
      <c r="R838" s="9">
        <v>810000</v>
      </c>
      <c r="S838" s="21" t="s">
        <v>1846</v>
      </c>
      <c r="T838" s="117">
        <v>0</v>
      </c>
      <c r="U838" s="117">
        <v>0</v>
      </c>
      <c r="V838" s="117">
        <v>2023</v>
      </c>
      <c r="W838" s="117">
        <v>6</v>
      </c>
      <c r="X838" s="117">
        <v>0</v>
      </c>
      <c r="Y838" s="117">
        <v>0</v>
      </c>
      <c r="Z838" s="21" t="b">
        <v>0</v>
      </c>
      <c r="AA838" s="162">
        <f>+$AD$5-Tabla2[[#This Row],[FECHA DE FACTURACIÓN]]</f>
        <v>212</v>
      </c>
      <c r="AB838" s="163" t="str">
        <f>+IF(Tabla2[[#This Row],[dias de credito]]&gt;=Tabla2[[#This Row],[PLAZO Días]],"venc", "No venc")</f>
        <v>venc</v>
      </c>
      <c r="AC838" s="163" t="str">
        <f>+IF(Tabla2[[#This Row],[FECHA DE PAGO]]&gt;0,"pagada","por pagar")</f>
        <v>pagada</v>
      </c>
      <c r="AD838" s="164" t="str">
        <f>+IF(AND(Tabla2[[#This Row],[venc]]="venc",Tabla2[[#This Row],[estado pago]]="por pagar"),"vencida","no")</f>
        <v>no</v>
      </c>
    </row>
    <row r="839" spans="1:30" ht="19.5" hidden="1" customHeight="1" x14ac:dyDescent="0.25">
      <c r="A839" s="8" t="s">
        <v>1852</v>
      </c>
      <c r="B839" s="8" t="b">
        <v>0</v>
      </c>
      <c r="C839" s="8">
        <v>30</v>
      </c>
      <c r="D839" s="151">
        <v>0</v>
      </c>
      <c r="E839" s="151"/>
      <c r="F839" s="24" t="s">
        <v>84</v>
      </c>
      <c r="G839" s="30">
        <v>45231</v>
      </c>
      <c r="H839" s="81" t="s">
        <v>1803</v>
      </c>
      <c r="I839" s="30">
        <v>45231</v>
      </c>
      <c r="J839" s="16" t="s">
        <v>1277</v>
      </c>
      <c r="K839" s="9" t="s">
        <v>1530</v>
      </c>
      <c r="L839" s="9"/>
      <c r="M839" s="152">
        <v>1234000</v>
      </c>
      <c r="N839" s="153">
        <v>0</v>
      </c>
      <c r="O839" s="152">
        <v>0</v>
      </c>
      <c r="P839" s="154">
        <v>0</v>
      </c>
      <c r="Q839" s="152">
        <v>0</v>
      </c>
      <c r="R839" s="9">
        <v>1234000</v>
      </c>
      <c r="S839" s="21" t="s">
        <v>1846</v>
      </c>
      <c r="T839" s="117">
        <v>0</v>
      </c>
      <c r="U839" s="117">
        <v>0</v>
      </c>
      <c r="V839" s="117">
        <v>2023</v>
      </c>
      <c r="W839" s="117">
        <v>6</v>
      </c>
      <c r="X839" s="117">
        <v>0</v>
      </c>
      <c r="Y839" s="117">
        <v>0</v>
      </c>
      <c r="Z839" s="21" t="b">
        <v>0</v>
      </c>
      <c r="AA839" s="162">
        <f>+$AD$5-Tabla2[[#This Row],[FECHA DE FACTURACIÓN]]</f>
        <v>212</v>
      </c>
      <c r="AB839" s="163" t="str">
        <f>+IF(Tabla2[[#This Row],[dias de credito]]&gt;=Tabla2[[#This Row],[PLAZO Días]],"venc", "No venc")</f>
        <v>venc</v>
      </c>
      <c r="AC839" s="163" t="str">
        <f>+IF(Tabla2[[#This Row],[FECHA DE PAGO]]&gt;0,"pagada","por pagar")</f>
        <v>pagada</v>
      </c>
      <c r="AD839" s="164" t="str">
        <f>+IF(AND(Tabla2[[#This Row],[venc]]="venc",Tabla2[[#This Row],[estado pago]]="por pagar"),"vencida","no")</f>
        <v>no</v>
      </c>
    </row>
    <row r="840" spans="1:30" ht="19.5" hidden="1" customHeight="1" x14ac:dyDescent="0.25">
      <c r="A840" s="8" t="s">
        <v>1850</v>
      </c>
      <c r="B840" s="8" t="s">
        <v>1851</v>
      </c>
      <c r="C840" s="8">
        <v>30</v>
      </c>
      <c r="D840" s="151">
        <v>5813868.5099999998</v>
      </c>
      <c r="E840" s="151"/>
      <c r="F840" s="24" t="s">
        <v>455</v>
      </c>
      <c r="G840" s="30">
        <v>45232</v>
      </c>
      <c r="H840" s="81" t="s">
        <v>24</v>
      </c>
      <c r="I840" s="30">
        <v>44998</v>
      </c>
      <c r="J840" s="16" t="s">
        <v>491</v>
      </c>
      <c r="K840" s="9" t="s">
        <v>504</v>
      </c>
      <c r="L840" s="9"/>
      <c r="M840" s="152">
        <v>-1680672</v>
      </c>
      <c r="N840" s="153">
        <v>-319327.68</v>
      </c>
      <c r="O840" s="152">
        <v>0</v>
      </c>
      <c r="P840" s="154">
        <v>0</v>
      </c>
      <c r="Q840" s="152">
        <v>0</v>
      </c>
      <c r="R840" s="9">
        <v>-1999999.68</v>
      </c>
      <c r="S840" s="21" t="s">
        <v>1846</v>
      </c>
      <c r="T840" s="117">
        <v>0</v>
      </c>
      <c r="U840" s="117" t="s">
        <v>347</v>
      </c>
      <c r="V840" s="117">
        <v>2023</v>
      </c>
      <c r="W840" s="117">
        <v>6</v>
      </c>
      <c r="X840" s="117">
        <v>1145000</v>
      </c>
      <c r="Y840" s="117">
        <v>2.5000000000000001E-2</v>
      </c>
      <c r="Z840" s="21" t="b">
        <v>0</v>
      </c>
      <c r="AA840" s="162">
        <f>+$AD$5-Tabla2[[#This Row],[FECHA DE FACTURACIÓN]]</f>
        <v>445</v>
      </c>
      <c r="AB840" s="163" t="str">
        <f>+IF(Tabla2[[#This Row],[dias de credito]]&gt;=Tabla2[[#This Row],[PLAZO Días]],"venc", "No venc")</f>
        <v>venc</v>
      </c>
      <c r="AC840" s="163" t="str">
        <f>+IF(Tabla2[[#This Row],[FECHA DE PAGO]]&gt;0,"pagada","por pagar")</f>
        <v>pagada</v>
      </c>
      <c r="AD840" s="164" t="str">
        <f>+IF(AND(Tabla2[[#This Row],[venc]]="venc",Tabla2[[#This Row],[estado pago]]="por pagar"),"vencida","no")</f>
        <v>no</v>
      </c>
    </row>
    <row r="841" spans="1:30" ht="19.5" hidden="1" customHeight="1" x14ac:dyDescent="0.25">
      <c r="A841" s="8" t="s">
        <v>1850</v>
      </c>
      <c r="B841" s="8" t="b">
        <v>0</v>
      </c>
      <c r="C841" s="8">
        <v>90</v>
      </c>
      <c r="D841" s="151">
        <v>0</v>
      </c>
      <c r="E841" s="151"/>
      <c r="F841" s="24" t="s">
        <v>205</v>
      </c>
      <c r="G841" s="30">
        <v>45232</v>
      </c>
      <c r="H841" s="81" t="s">
        <v>32</v>
      </c>
      <c r="I841" s="30">
        <v>45146</v>
      </c>
      <c r="J841" s="16" t="s">
        <v>973</v>
      </c>
      <c r="K841" s="9" t="s">
        <v>1530</v>
      </c>
      <c r="L841" s="9"/>
      <c r="M841" s="152">
        <v>4565000</v>
      </c>
      <c r="N841" s="153">
        <v>867350</v>
      </c>
      <c r="O841" s="152">
        <v>0</v>
      </c>
      <c r="P841" s="154">
        <v>2.5000000000000001E-2</v>
      </c>
      <c r="Q841" s="152">
        <v>114125</v>
      </c>
      <c r="R841" s="9">
        <v>5318225</v>
      </c>
      <c r="S841" s="21" t="s">
        <v>1846</v>
      </c>
      <c r="T841" s="117">
        <v>0</v>
      </c>
      <c r="U841" s="117" t="s">
        <v>347</v>
      </c>
      <c r="V841" s="117">
        <v>2023</v>
      </c>
      <c r="W841" s="117">
        <v>6</v>
      </c>
      <c r="X841" s="117">
        <v>1145000</v>
      </c>
      <c r="Y841" s="117">
        <v>2.5000000000000001E-2</v>
      </c>
      <c r="Z841" s="21" t="b">
        <v>0</v>
      </c>
      <c r="AA841" s="162">
        <f>+$AD$5-Tabla2[[#This Row],[FECHA DE FACTURACIÓN]]</f>
        <v>297</v>
      </c>
      <c r="AB841" s="163" t="str">
        <f>+IF(Tabla2[[#This Row],[dias de credito]]&gt;=Tabla2[[#This Row],[PLAZO Días]],"venc", "No venc")</f>
        <v>venc</v>
      </c>
      <c r="AC841" s="163" t="str">
        <f>+IF(Tabla2[[#This Row],[FECHA DE PAGO]]&gt;0,"pagada","por pagar")</f>
        <v>pagada</v>
      </c>
      <c r="AD841" s="164" t="str">
        <f>+IF(AND(Tabla2[[#This Row],[venc]]="venc",Tabla2[[#This Row],[estado pago]]="por pagar"),"vencida","no")</f>
        <v>no</v>
      </c>
    </row>
    <row r="842" spans="1:30" ht="19.5" hidden="1" customHeight="1" x14ac:dyDescent="0.25">
      <c r="A842" s="8" t="s">
        <v>1850</v>
      </c>
      <c r="B842" s="8" t="b">
        <v>0</v>
      </c>
      <c r="C842" s="8">
        <v>90</v>
      </c>
      <c r="D842" s="151">
        <v>17710735.315650001</v>
      </c>
      <c r="E842" s="151"/>
      <c r="F842" s="24" t="s">
        <v>141</v>
      </c>
      <c r="G842" s="30">
        <v>45232</v>
      </c>
      <c r="H842" s="81" t="s">
        <v>12</v>
      </c>
      <c r="I842" s="30">
        <v>45152</v>
      </c>
      <c r="J842" s="16" t="s">
        <v>975</v>
      </c>
      <c r="K842" s="9" t="s">
        <v>1530</v>
      </c>
      <c r="L842" s="9"/>
      <c r="M842" s="152">
        <v>-436975</v>
      </c>
      <c r="N842" s="153">
        <v>-83025.25</v>
      </c>
      <c r="O842" s="152">
        <v>0</v>
      </c>
      <c r="P842" s="154">
        <v>0</v>
      </c>
      <c r="Q842" s="152">
        <v>0</v>
      </c>
      <c r="R842" s="9">
        <v>-520000.25</v>
      </c>
      <c r="S842" s="21" t="s">
        <v>1846</v>
      </c>
      <c r="T842" s="117">
        <v>0</v>
      </c>
      <c r="U842" s="117" t="s">
        <v>347</v>
      </c>
      <c r="V842" s="117">
        <v>2023</v>
      </c>
      <c r="W842" s="117">
        <v>6</v>
      </c>
      <c r="X842" s="117">
        <v>1145000</v>
      </c>
      <c r="Y842" s="117">
        <v>2.5000000000000001E-2</v>
      </c>
      <c r="Z842" s="21" t="b">
        <v>0</v>
      </c>
      <c r="AA842" s="162">
        <f>+$AD$5-Tabla2[[#This Row],[FECHA DE FACTURACIÓN]]</f>
        <v>291</v>
      </c>
      <c r="AB842" s="163" t="str">
        <f>+IF(Tabla2[[#This Row],[dias de credito]]&gt;=Tabla2[[#This Row],[PLAZO Días]],"venc", "No venc")</f>
        <v>venc</v>
      </c>
      <c r="AC842" s="163" t="str">
        <f>+IF(Tabla2[[#This Row],[FECHA DE PAGO]]&gt;0,"pagada","por pagar")</f>
        <v>pagada</v>
      </c>
      <c r="AD842" s="164" t="str">
        <f>+IF(AND(Tabla2[[#This Row],[venc]]="venc",Tabla2[[#This Row],[estado pago]]="por pagar"),"vencida","no")</f>
        <v>no</v>
      </c>
    </row>
    <row r="843" spans="1:30" ht="19.5" hidden="1" customHeight="1" x14ac:dyDescent="0.25">
      <c r="A843" s="8" t="s">
        <v>1850</v>
      </c>
      <c r="B843" s="8" t="b">
        <v>0</v>
      </c>
      <c r="C843" s="8">
        <v>90</v>
      </c>
      <c r="D843" s="151">
        <v>17710735.315650001</v>
      </c>
      <c r="E843" s="151"/>
      <c r="F843" s="24" t="s">
        <v>141</v>
      </c>
      <c r="G843" s="30">
        <v>45232</v>
      </c>
      <c r="H843" s="81" t="s">
        <v>12</v>
      </c>
      <c r="I843" s="30">
        <v>45155</v>
      </c>
      <c r="J843" s="16" t="s">
        <v>1002</v>
      </c>
      <c r="K843" s="9" t="s">
        <v>1530</v>
      </c>
      <c r="L843" s="9"/>
      <c r="M843" s="152">
        <v>5567234</v>
      </c>
      <c r="N843" s="153">
        <v>1057774.46</v>
      </c>
      <c r="O843" s="152">
        <v>0</v>
      </c>
      <c r="P843" s="154">
        <v>2.5000000000000001E-2</v>
      </c>
      <c r="Q843" s="152">
        <v>139180.85</v>
      </c>
      <c r="R843" s="9">
        <v>6485827.6100000003</v>
      </c>
      <c r="S843" s="21" t="s">
        <v>1846</v>
      </c>
      <c r="T843" s="117">
        <v>0</v>
      </c>
      <c r="U843" s="117" t="s">
        <v>347</v>
      </c>
      <c r="V843" s="117">
        <v>2023</v>
      </c>
      <c r="W843" s="117">
        <v>6</v>
      </c>
      <c r="X843" s="117">
        <v>1145000</v>
      </c>
      <c r="Y843" s="117">
        <v>2.5000000000000001E-2</v>
      </c>
      <c r="Z843" s="21" t="b">
        <v>0</v>
      </c>
      <c r="AA843" s="162">
        <f>+$AD$5-Tabla2[[#This Row],[FECHA DE FACTURACIÓN]]</f>
        <v>288</v>
      </c>
      <c r="AB843" s="163" t="str">
        <f>+IF(Tabla2[[#This Row],[dias de credito]]&gt;=Tabla2[[#This Row],[PLAZO Días]],"venc", "No venc")</f>
        <v>venc</v>
      </c>
      <c r="AC843" s="163" t="str">
        <f>+IF(Tabla2[[#This Row],[FECHA DE PAGO]]&gt;0,"pagada","por pagar")</f>
        <v>pagada</v>
      </c>
      <c r="AD843" s="164" t="str">
        <f>+IF(AND(Tabla2[[#This Row],[venc]]="venc",Tabla2[[#This Row],[estado pago]]="por pagar"),"vencida","no")</f>
        <v>no</v>
      </c>
    </row>
    <row r="844" spans="1:30" ht="19.5" hidden="1" customHeight="1" x14ac:dyDescent="0.25">
      <c r="A844" s="8" t="s">
        <v>1850</v>
      </c>
      <c r="B844" s="8" t="s">
        <v>1851</v>
      </c>
      <c r="C844" s="8">
        <v>30</v>
      </c>
      <c r="D844" s="151">
        <v>5813868.5099999998</v>
      </c>
      <c r="E844" s="151"/>
      <c r="F844" s="24" t="s">
        <v>455</v>
      </c>
      <c r="G844" s="30">
        <v>45232</v>
      </c>
      <c r="H844" s="81" t="s">
        <v>24</v>
      </c>
      <c r="I844" s="30">
        <v>45162</v>
      </c>
      <c r="J844" s="16">
        <v>5042020</v>
      </c>
      <c r="K844" s="9" t="s">
        <v>504</v>
      </c>
      <c r="L844" s="9"/>
      <c r="M844" s="152">
        <v>798720</v>
      </c>
      <c r="N844" s="153">
        <v>151756.79999999999</v>
      </c>
      <c r="O844" s="152">
        <v>0</v>
      </c>
      <c r="P844" s="154">
        <v>0</v>
      </c>
      <c r="Q844" s="152">
        <v>0</v>
      </c>
      <c r="R844" s="9">
        <v>950476.80000000005</v>
      </c>
      <c r="S844" s="21" t="s">
        <v>1846</v>
      </c>
      <c r="T844" s="117">
        <v>0</v>
      </c>
      <c r="U844" s="117" t="s">
        <v>347</v>
      </c>
      <c r="V844" s="117">
        <v>2023</v>
      </c>
      <c r="W844" s="117">
        <v>6</v>
      </c>
      <c r="X844" s="117">
        <v>1145000</v>
      </c>
      <c r="Y844" s="117">
        <v>2.5000000000000001E-2</v>
      </c>
      <c r="Z844" s="21" t="b">
        <v>0</v>
      </c>
      <c r="AA844" s="162">
        <f>+$AD$5-Tabla2[[#This Row],[FECHA DE FACTURACIÓN]]</f>
        <v>281</v>
      </c>
      <c r="AB844" s="163" t="str">
        <f>+IF(Tabla2[[#This Row],[dias de credito]]&gt;=Tabla2[[#This Row],[PLAZO Días]],"venc", "No venc")</f>
        <v>venc</v>
      </c>
      <c r="AC844" s="163" t="str">
        <f>+IF(Tabla2[[#This Row],[FECHA DE PAGO]]&gt;0,"pagada","por pagar")</f>
        <v>pagada</v>
      </c>
      <c r="AD844" s="164" t="str">
        <f>+IF(AND(Tabla2[[#This Row],[venc]]="venc",Tabla2[[#This Row],[estado pago]]="por pagar"),"vencida","no")</f>
        <v>no</v>
      </c>
    </row>
    <row r="845" spans="1:30" ht="19.5" hidden="1" customHeight="1" x14ac:dyDescent="0.25">
      <c r="A845" s="8" t="s">
        <v>1850</v>
      </c>
      <c r="B845" s="8" t="b">
        <v>0</v>
      </c>
      <c r="C845" s="8">
        <v>90</v>
      </c>
      <c r="D845" s="151">
        <v>0</v>
      </c>
      <c r="E845" s="151"/>
      <c r="F845" s="24" t="s">
        <v>205</v>
      </c>
      <c r="G845" s="30">
        <v>45232</v>
      </c>
      <c r="H845" s="81" t="s">
        <v>32</v>
      </c>
      <c r="I845" s="30">
        <v>45167</v>
      </c>
      <c r="J845" s="16" t="s">
        <v>1023</v>
      </c>
      <c r="K845" s="9" t="s">
        <v>1530</v>
      </c>
      <c r="L845" s="9"/>
      <c r="M845" s="152">
        <v>6926500</v>
      </c>
      <c r="N845" s="153">
        <v>1316035</v>
      </c>
      <c r="O845" s="152">
        <v>0</v>
      </c>
      <c r="P845" s="154">
        <v>2.5000000000000001E-2</v>
      </c>
      <c r="Q845" s="152">
        <v>173162.5</v>
      </c>
      <c r="R845" s="9">
        <v>8069372.5</v>
      </c>
      <c r="S845" s="21" t="s">
        <v>1846</v>
      </c>
      <c r="T845" s="117">
        <v>0</v>
      </c>
      <c r="U845" s="117" t="s">
        <v>347</v>
      </c>
      <c r="V845" s="117">
        <v>2023</v>
      </c>
      <c r="W845" s="117">
        <v>6</v>
      </c>
      <c r="X845" s="117">
        <v>1145000</v>
      </c>
      <c r="Y845" s="117">
        <v>2.5000000000000001E-2</v>
      </c>
      <c r="Z845" s="21" t="b">
        <v>0</v>
      </c>
      <c r="AA845" s="162">
        <f>+$AD$5-Tabla2[[#This Row],[FECHA DE FACTURACIÓN]]</f>
        <v>276</v>
      </c>
      <c r="AB845" s="163" t="str">
        <f>+IF(Tabla2[[#This Row],[dias de credito]]&gt;=Tabla2[[#This Row],[PLAZO Días]],"venc", "No venc")</f>
        <v>venc</v>
      </c>
      <c r="AC845" s="163" t="str">
        <f>+IF(Tabla2[[#This Row],[FECHA DE PAGO]]&gt;0,"pagada","por pagar")</f>
        <v>pagada</v>
      </c>
      <c r="AD845" s="164" t="str">
        <f>+IF(AND(Tabla2[[#This Row],[venc]]="venc",Tabla2[[#This Row],[estado pago]]="por pagar"),"vencida","no")</f>
        <v>no</v>
      </c>
    </row>
    <row r="846" spans="1:30" ht="19.5" hidden="1" customHeight="1" x14ac:dyDescent="0.25">
      <c r="A846" s="8" t="s">
        <v>1850</v>
      </c>
      <c r="B846" s="8" t="s">
        <v>1851</v>
      </c>
      <c r="C846" s="8">
        <v>30</v>
      </c>
      <c r="D846" s="151">
        <v>5813868.5099999998</v>
      </c>
      <c r="E846" s="151"/>
      <c r="F846" s="24" t="s">
        <v>455</v>
      </c>
      <c r="G846" s="30">
        <v>45232</v>
      </c>
      <c r="H846" s="81" t="s">
        <v>24</v>
      </c>
      <c r="I846" s="30">
        <v>45174</v>
      </c>
      <c r="J846" s="16" t="s">
        <v>1054</v>
      </c>
      <c r="K846" s="9" t="s">
        <v>504</v>
      </c>
      <c r="L846" s="9"/>
      <c r="M846" s="152">
        <v>444528</v>
      </c>
      <c r="N846" s="153">
        <v>84460.32</v>
      </c>
      <c r="O846" s="152">
        <v>0</v>
      </c>
      <c r="P846" s="154">
        <v>0</v>
      </c>
      <c r="Q846" s="152">
        <v>0</v>
      </c>
      <c r="R846" s="9">
        <v>528988.32000000007</v>
      </c>
      <c r="S846" s="21" t="s">
        <v>1846</v>
      </c>
      <c r="T846" s="117">
        <v>0</v>
      </c>
      <c r="U846" s="117" t="s">
        <v>347</v>
      </c>
      <c r="V846" s="117">
        <v>2023</v>
      </c>
      <c r="W846" s="117">
        <v>6</v>
      </c>
      <c r="X846" s="117">
        <v>1145000</v>
      </c>
      <c r="Y846" s="117">
        <v>2.5000000000000001E-2</v>
      </c>
      <c r="Z846" s="21" t="b">
        <v>0</v>
      </c>
      <c r="AA846" s="162">
        <f>+$AD$5-Tabla2[[#This Row],[FECHA DE FACTURACIÓN]]</f>
        <v>269</v>
      </c>
      <c r="AB846" s="163" t="str">
        <f>+IF(Tabla2[[#This Row],[dias de credito]]&gt;=Tabla2[[#This Row],[PLAZO Días]],"venc", "No venc")</f>
        <v>venc</v>
      </c>
      <c r="AC846" s="163" t="str">
        <f>+IF(Tabla2[[#This Row],[FECHA DE PAGO]]&gt;0,"pagada","por pagar")</f>
        <v>pagada</v>
      </c>
      <c r="AD846" s="164" t="str">
        <f>+IF(AND(Tabla2[[#This Row],[venc]]="venc",Tabla2[[#This Row],[estado pago]]="por pagar"),"vencida","no")</f>
        <v>no</v>
      </c>
    </row>
    <row r="847" spans="1:30" ht="19.5" hidden="1" customHeight="1" x14ac:dyDescent="0.25">
      <c r="A847" s="8" t="s">
        <v>1850</v>
      </c>
      <c r="B847" s="8" t="s">
        <v>1851</v>
      </c>
      <c r="C847" s="8">
        <v>30</v>
      </c>
      <c r="D847" s="151">
        <v>1695707.16</v>
      </c>
      <c r="E847" s="151"/>
      <c r="F847" s="24" t="s">
        <v>217</v>
      </c>
      <c r="G847" s="30">
        <v>45232</v>
      </c>
      <c r="H847" s="81" t="s">
        <v>194</v>
      </c>
      <c r="I847" s="30">
        <v>45184</v>
      </c>
      <c r="J847" s="16" t="s">
        <v>1056</v>
      </c>
      <c r="K847" s="9" t="s">
        <v>1530</v>
      </c>
      <c r="L847" s="9"/>
      <c r="M847" s="152">
        <v>174783</v>
      </c>
      <c r="N847" s="153">
        <v>33208.769999999997</v>
      </c>
      <c r="O847" s="152">
        <v>0</v>
      </c>
      <c r="P847" s="154">
        <v>0</v>
      </c>
      <c r="Q847" s="152">
        <v>0</v>
      </c>
      <c r="R847" s="9">
        <v>207991.77</v>
      </c>
      <c r="S847" s="21" t="s">
        <v>1846</v>
      </c>
      <c r="T847" s="117">
        <v>0</v>
      </c>
      <c r="U847" s="117">
        <v>0</v>
      </c>
      <c r="V847" s="117">
        <v>2023</v>
      </c>
      <c r="W847" s="117">
        <v>6</v>
      </c>
      <c r="X847" s="117">
        <v>0</v>
      </c>
      <c r="Y847" s="117">
        <v>0</v>
      </c>
      <c r="Z847" s="21" t="b">
        <v>0</v>
      </c>
      <c r="AA847" s="162">
        <f>+$AD$5-Tabla2[[#This Row],[FECHA DE FACTURACIÓN]]</f>
        <v>259</v>
      </c>
      <c r="AB847" s="163" t="str">
        <f>+IF(Tabla2[[#This Row],[dias de credito]]&gt;=Tabla2[[#This Row],[PLAZO Días]],"venc", "No venc")</f>
        <v>venc</v>
      </c>
      <c r="AC847" s="163" t="str">
        <f>+IF(Tabla2[[#This Row],[FECHA DE PAGO]]&gt;0,"pagada","por pagar")</f>
        <v>pagada</v>
      </c>
      <c r="AD847" s="164" t="str">
        <f>+IF(AND(Tabla2[[#This Row],[venc]]="venc",Tabla2[[#This Row],[estado pago]]="por pagar"),"vencida","no")</f>
        <v>no</v>
      </c>
    </row>
    <row r="848" spans="1:30" ht="19.5" hidden="1" customHeight="1" x14ac:dyDescent="0.25">
      <c r="A848" s="8" t="s">
        <v>1850</v>
      </c>
      <c r="B848" s="8" t="s">
        <v>1851</v>
      </c>
      <c r="C848" s="8">
        <v>30</v>
      </c>
      <c r="D848" s="151">
        <v>5813868.5099999998</v>
      </c>
      <c r="E848" s="151"/>
      <c r="F848" s="24" t="s">
        <v>455</v>
      </c>
      <c r="G848" s="30">
        <v>45232</v>
      </c>
      <c r="H848" s="81" t="s">
        <v>24</v>
      </c>
      <c r="I848" s="30">
        <v>45185</v>
      </c>
      <c r="J848" s="16" t="s">
        <v>1053</v>
      </c>
      <c r="K848" s="9" t="s">
        <v>504</v>
      </c>
      <c r="L848" s="9"/>
      <c r="M848" s="152">
        <v>4376000</v>
      </c>
      <c r="N848" s="153">
        <v>831440</v>
      </c>
      <c r="O848" s="152">
        <v>0</v>
      </c>
      <c r="P848" s="154">
        <v>2.5000000000000001E-2</v>
      </c>
      <c r="Q848" s="152">
        <v>109400</v>
      </c>
      <c r="R848" s="9">
        <v>5098040</v>
      </c>
      <c r="S848" s="21" t="s">
        <v>1846</v>
      </c>
      <c r="T848" s="117">
        <v>0</v>
      </c>
      <c r="U848" s="117" t="s">
        <v>347</v>
      </c>
      <c r="V848" s="117">
        <v>2023</v>
      </c>
      <c r="W848" s="117">
        <v>6</v>
      </c>
      <c r="X848" s="117">
        <v>1145000</v>
      </c>
      <c r="Y848" s="117">
        <v>2.5000000000000001E-2</v>
      </c>
      <c r="Z848" s="21" t="b">
        <v>0</v>
      </c>
      <c r="AA848" s="162">
        <f>+$AD$5-Tabla2[[#This Row],[FECHA DE FACTURACIÓN]]</f>
        <v>258</v>
      </c>
      <c r="AB848" s="163" t="str">
        <f>+IF(Tabla2[[#This Row],[dias de credito]]&gt;=Tabla2[[#This Row],[PLAZO Días]],"venc", "No venc")</f>
        <v>venc</v>
      </c>
      <c r="AC848" s="163" t="str">
        <f>+IF(Tabla2[[#This Row],[FECHA DE PAGO]]&gt;0,"pagada","por pagar")</f>
        <v>pagada</v>
      </c>
      <c r="AD848" s="164" t="str">
        <f>+IF(AND(Tabla2[[#This Row],[venc]]="venc",Tabla2[[#This Row],[estado pago]]="por pagar"),"vencida","no")</f>
        <v>no</v>
      </c>
    </row>
    <row r="849" spans="1:30" ht="19.5" hidden="1" customHeight="1" x14ac:dyDescent="0.25">
      <c r="A849" s="8" t="s">
        <v>1850</v>
      </c>
      <c r="B849" s="8" t="s">
        <v>1851</v>
      </c>
      <c r="C849" s="8">
        <v>30</v>
      </c>
      <c r="D849" s="151">
        <v>5813868.5099999998</v>
      </c>
      <c r="E849" s="151"/>
      <c r="F849" s="24" t="s">
        <v>455</v>
      </c>
      <c r="G849" s="30">
        <v>45232</v>
      </c>
      <c r="H849" s="81" t="s">
        <v>24</v>
      </c>
      <c r="I849" s="30">
        <v>45187</v>
      </c>
      <c r="J849" s="16" t="s">
        <v>1520</v>
      </c>
      <c r="K849" s="9" t="s">
        <v>504</v>
      </c>
      <c r="L849" s="9"/>
      <c r="M849" s="152">
        <v>-354192</v>
      </c>
      <c r="N849" s="153">
        <v>-67296.479999999996</v>
      </c>
      <c r="O849" s="152">
        <v>0</v>
      </c>
      <c r="P849" s="154">
        <v>0</v>
      </c>
      <c r="Q849" s="152">
        <v>0</v>
      </c>
      <c r="R849" s="9">
        <v>-421488.48</v>
      </c>
      <c r="S849" s="21" t="s">
        <v>1846</v>
      </c>
      <c r="T849" s="117">
        <v>0</v>
      </c>
      <c r="U849" s="117" t="s">
        <v>347</v>
      </c>
      <c r="V849" s="117">
        <v>2023</v>
      </c>
      <c r="W849" s="117">
        <v>6</v>
      </c>
      <c r="X849" s="117">
        <v>1145000</v>
      </c>
      <c r="Y849" s="117">
        <v>2.5000000000000001E-2</v>
      </c>
      <c r="Z849" s="21" t="b">
        <v>0</v>
      </c>
      <c r="AA849" s="162">
        <f>+$AD$5-Tabla2[[#This Row],[FECHA DE FACTURACIÓN]]</f>
        <v>256</v>
      </c>
      <c r="AB849" s="163" t="str">
        <f>+IF(Tabla2[[#This Row],[dias de credito]]&gt;=Tabla2[[#This Row],[PLAZO Días]],"venc", "No venc")</f>
        <v>venc</v>
      </c>
      <c r="AC849" s="163" t="str">
        <f>+IF(Tabla2[[#This Row],[FECHA DE PAGO]]&gt;0,"pagada","por pagar")</f>
        <v>pagada</v>
      </c>
      <c r="AD849" s="164" t="str">
        <f>+IF(AND(Tabla2[[#This Row],[venc]]="venc",Tabla2[[#This Row],[estado pago]]="por pagar"),"vencida","no")</f>
        <v>no</v>
      </c>
    </row>
    <row r="850" spans="1:30" ht="19.5" hidden="1" customHeight="1" x14ac:dyDescent="0.25">
      <c r="A850" s="8" t="s">
        <v>1850</v>
      </c>
      <c r="B850" s="8" t="s">
        <v>1851</v>
      </c>
      <c r="C850" s="8">
        <v>30</v>
      </c>
      <c r="D850" s="151">
        <v>5813868.5099999998</v>
      </c>
      <c r="E850" s="151"/>
      <c r="F850" s="24" t="s">
        <v>455</v>
      </c>
      <c r="G850" s="30">
        <v>45232</v>
      </c>
      <c r="H850" s="81" t="s">
        <v>24</v>
      </c>
      <c r="I850" s="30">
        <v>45194</v>
      </c>
      <c r="J850" s="16" t="s">
        <v>1054</v>
      </c>
      <c r="K850" s="9" t="s">
        <v>504</v>
      </c>
      <c r="L850" s="9"/>
      <c r="M850" s="152">
        <v>5600000</v>
      </c>
      <c r="N850" s="153">
        <v>1064000</v>
      </c>
      <c r="O850" s="152">
        <v>0</v>
      </c>
      <c r="P850" s="154">
        <v>2.5000000000000001E-2</v>
      </c>
      <c r="Q850" s="152">
        <v>140000</v>
      </c>
      <c r="R850" s="9">
        <v>6524000</v>
      </c>
      <c r="S850" s="21" t="s">
        <v>1846</v>
      </c>
      <c r="T850" s="117">
        <v>0</v>
      </c>
      <c r="U850" s="117" t="s">
        <v>347</v>
      </c>
      <c r="V850" s="117">
        <v>2023</v>
      </c>
      <c r="W850" s="117">
        <v>6</v>
      </c>
      <c r="X850" s="117">
        <v>1145000</v>
      </c>
      <c r="Y850" s="117">
        <v>2.5000000000000001E-2</v>
      </c>
      <c r="Z850" s="21" t="b">
        <v>0</v>
      </c>
      <c r="AA850" s="162">
        <f>+$AD$5-Tabla2[[#This Row],[FECHA DE FACTURACIÓN]]</f>
        <v>249</v>
      </c>
      <c r="AB850" s="163" t="str">
        <f>+IF(Tabla2[[#This Row],[dias de credito]]&gt;=Tabla2[[#This Row],[PLAZO Días]],"venc", "No venc")</f>
        <v>venc</v>
      </c>
      <c r="AC850" s="163" t="str">
        <f>+IF(Tabla2[[#This Row],[FECHA DE PAGO]]&gt;0,"pagada","por pagar")</f>
        <v>pagada</v>
      </c>
      <c r="AD850" s="164" t="str">
        <f>+IF(AND(Tabla2[[#This Row],[venc]]="venc",Tabla2[[#This Row],[estado pago]]="por pagar"),"vencida","no")</f>
        <v>no</v>
      </c>
    </row>
    <row r="851" spans="1:30" ht="19.5" hidden="1" customHeight="1" x14ac:dyDescent="0.25">
      <c r="A851" s="8" t="s">
        <v>1850</v>
      </c>
      <c r="B851" s="8" t="s">
        <v>1851</v>
      </c>
      <c r="C851" s="8">
        <v>30</v>
      </c>
      <c r="D851" s="151">
        <v>1695707.16</v>
      </c>
      <c r="E851" s="151"/>
      <c r="F851" s="24" t="s">
        <v>217</v>
      </c>
      <c r="G851" s="30">
        <v>45232</v>
      </c>
      <c r="H851" s="81" t="s">
        <v>194</v>
      </c>
      <c r="I851" s="30">
        <v>45196</v>
      </c>
      <c r="J851" s="16" t="s">
        <v>1088</v>
      </c>
      <c r="K851" s="9" t="s">
        <v>1530</v>
      </c>
      <c r="L851" s="9"/>
      <c r="M851" s="152">
        <v>893952</v>
      </c>
      <c r="N851" s="153">
        <v>169850.88</v>
      </c>
      <c r="O851" s="152">
        <v>0</v>
      </c>
      <c r="P851" s="154">
        <v>0</v>
      </c>
      <c r="Q851" s="152">
        <v>0</v>
      </c>
      <c r="R851" s="9">
        <v>1063802.8799999999</v>
      </c>
      <c r="S851" s="21" t="s">
        <v>1846</v>
      </c>
      <c r="T851" s="117">
        <v>0</v>
      </c>
      <c r="U851" s="117">
        <v>0</v>
      </c>
      <c r="V851" s="117">
        <v>2023</v>
      </c>
      <c r="W851" s="117">
        <v>6</v>
      </c>
      <c r="X851" s="117">
        <v>0</v>
      </c>
      <c r="Y851" s="117">
        <v>0</v>
      </c>
      <c r="Z851" s="21" t="b">
        <v>0</v>
      </c>
      <c r="AA851" s="162">
        <f>+$AD$5-Tabla2[[#This Row],[FECHA DE FACTURACIÓN]]</f>
        <v>247</v>
      </c>
      <c r="AB851" s="163" t="str">
        <f>+IF(Tabla2[[#This Row],[dias de credito]]&gt;=Tabla2[[#This Row],[PLAZO Días]],"venc", "No venc")</f>
        <v>venc</v>
      </c>
      <c r="AC851" s="163" t="str">
        <f>+IF(Tabla2[[#This Row],[FECHA DE PAGO]]&gt;0,"pagada","por pagar")</f>
        <v>pagada</v>
      </c>
      <c r="AD851" s="164" t="str">
        <f>+IF(AND(Tabla2[[#This Row],[venc]]="venc",Tabla2[[#This Row],[estado pago]]="por pagar"),"vencida","no")</f>
        <v>no</v>
      </c>
    </row>
    <row r="852" spans="1:30" ht="19.5" hidden="1" customHeight="1" x14ac:dyDescent="0.25">
      <c r="A852" s="8" t="s">
        <v>1850</v>
      </c>
      <c r="B852" s="8" t="b">
        <v>0</v>
      </c>
      <c r="C852" s="8">
        <v>30</v>
      </c>
      <c r="D852" s="151">
        <v>0</v>
      </c>
      <c r="E852" s="151"/>
      <c r="F852" s="24" t="s">
        <v>84</v>
      </c>
      <c r="G852" s="30">
        <v>45232</v>
      </c>
      <c r="H852" s="81" t="s">
        <v>481</v>
      </c>
      <c r="I852" s="30">
        <v>45231</v>
      </c>
      <c r="J852" s="16" t="s">
        <v>1282</v>
      </c>
      <c r="K852" s="9" t="s">
        <v>1530</v>
      </c>
      <c r="L852" s="9"/>
      <c r="M852" s="152">
        <v>5136000</v>
      </c>
      <c r="N852" s="153">
        <v>0</v>
      </c>
      <c r="O852" s="152">
        <v>0</v>
      </c>
      <c r="P852" s="154">
        <v>0</v>
      </c>
      <c r="Q852" s="152">
        <v>0</v>
      </c>
      <c r="R852" s="9">
        <v>5136000</v>
      </c>
      <c r="S852" s="21" t="s">
        <v>1846</v>
      </c>
      <c r="T852" s="117">
        <v>0</v>
      </c>
      <c r="U852" s="117">
        <v>0</v>
      </c>
      <c r="V852" s="117">
        <v>2023</v>
      </c>
      <c r="W852" s="117">
        <v>6</v>
      </c>
      <c r="X852" s="117">
        <v>0</v>
      </c>
      <c r="Y852" s="117">
        <v>0</v>
      </c>
      <c r="Z852" s="21" t="b">
        <v>0</v>
      </c>
      <c r="AA852" s="162">
        <f>+$AD$5-Tabla2[[#This Row],[FECHA DE FACTURACIÓN]]</f>
        <v>212</v>
      </c>
      <c r="AB852" s="163" t="str">
        <f>+IF(Tabla2[[#This Row],[dias de credito]]&gt;=Tabla2[[#This Row],[PLAZO Días]],"venc", "No venc")</f>
        <v>venc</v>
      </c>
      <c r="AC852" s="163" t="str">
        <f>+IF(Tabla2[[#This Row],[FECHA DE PAGO]]&gt;0,"pagada","por pagar")</f>
        <v>pagada</v>
      </c>
      <c r="AD852" s="164" t="str">
        <f>+IF(AND(Tabla2[[#This Row],[venc]]="venc",Tabla2[[#This Row],[estado pago]]="por pagar"),"vencida","no")</f>
        <v>no</v>
      </c>
    </row>
    <row r="853" spans="1:30" ht="19.5" hidden="1" customHeight="1" x14ac:dyDescent="0.25">
      <c r="A853" s="8" t="s">
        <v>1850</v>
      </c>
      <c r="B853" s="8" t="b">
        <v>0</v>
      </c>
      <c r="C853" s="8">
        <v>30</v>
      </c>
      <c r="D853" s="151">
        <v>0</v>
      </c>
      <c r="E853" s="151"/>
      <c r="F853" s="24" t="s">
        <v>86</v>
      </c>
      <c r="G853" s="30">
        <v>45232</v>
      </c>
      <c r="H853" s="81" t="s">
        <v>390</v>
      </c>
      <c r="I853" s="30">
        <v>45231</v>
      </c>
      <c r="J853" s="16"/>
      <c r="K853" s="9" t="s">
        <v>1530</v>
      </c>
      <c r="L853" s="9"/>
      <c r="M853" s="152">
        <v>620524</v>
      </c>
      <c r="N853" s="153">
        <v>0</v>
      </c>
      <c r="O853" s="152">
        <v>0</v>
      </c>
      <c r="P853" s="154">
        <v>0</v>
      </c>
      <c r="Q853" s="152">
        <v>0</v>
      </c>
      <c r="R853" s="9">
        <v>620524</v>
      </c>
      <c r="S853" s="21" t="s">
        <v>1846</v>
      </c>
      <c r="T853" s="117">
        <v>0</v>
      </c>
      <c r="U853" s="117">
        <v>0</v>
      </c>
      <c r="V853" s="117">
        <v>2023</v>
      </c>
      <c r="W853" s="117">
        <v>6</v>
      </c>
      <c r="X853" s="117">
        <v>0</v>
      </c>
      <c r="Y853" s="117">
        <v>0</v>
      </c>
      <c r="Z853" s="21" t="b">
        <v>1</v>
      </c>
      <c r="AA853" s="162">
        <f>+$AD$5-Tabla2[[#This Row],[FECHA DE FACTURACIÓN]]</f>
        <v>212</v>
      </c>
      <c r="AB853" s="163" t="str">
        <f>+IF(Tabla2[[#This Row],[dias de credito]]&gt;=Tabla2[[#This Row],[PLAZO Días]],"venc", "No venc")</f>
        <v>venc</v>
      </c>
      <c r="AC853" s="163" t="str">
        <f>+IF(Tabla2[[#This Row],[FECHA DE PAGO]]&gt;0,"pagada","por pagar")</f>
        <v>pagada</v>
      </c>
      <c r="AD853" s="164" t="str">
        <f>+IF(AND(Tabla2[[#This Row],[venc]]="venc",Tabla2[[#This Row],[estado pago]]="por pagar"),"vencida","no")</f>
        <v>no</v>
      </c>
    </row>
    <row r="854" spans="1:30" ht="19.5" hidden="1" customHeight="1" x14ac:dyDescent="0.25">
      <c r="A854" s="8" t="s">
        <v>1852</v>
      </c>
      <c r="B854" s="8" t="b">
        <v>0</v>
      </c>
      <c r="C854" s="8">
        <v>30</v>
      </c>
      <c r="D854" s="151">
        <v>0</v>
      </c>
      <c r="E854" s="151"/>
      <c r="F854" s="24" t="s">
        <v>84</v>
      </c>
      <c r="G854" s="30">
        <v>45232</v>
      </c>
      <c r="H854" s="81" t="s">
        <v>1824</v>
      </c>
      <c r="I854" s="30">
        <v>45232</v>
      </c>
      <c r="J854" s="16"/>
      <c r="K854" s="9" t="s">
        <v>1530</v>
      </c>
      <c r="L854" s="9"/>
      <c r="M854" s="152">
        <v>1000000</v>
      </c>
      <c r="N854" s="153">
        <v>0</v>
      </c>
      <c r="O854" s="152">
        <v>0</v>
      </c>
      <c r="P854" s="154">
        <v>0</v>
      </c>
      <c r="Q854" s="152">
        <v>0</v>
      </c>
      <c r="R854" s="9">
        <v>1000000</v>
      </c>
      <c r="S854" s="21" t="s">
        <v>1846</v>
      </c>
      <c r="T854" s="117">
        <v>0</v>
      </c>
      <c r="U854" s="117">
        <v>0</v>
      </c>
      <c r="V854" s="117">
        <v>2023</v>
      </c>
      <c r="W854" s="117">
        <v>6</v>
      </c>
      <c r="X854" s="117">
        <v>0</v>
      </c>
      <c r="Y854" s="117">
        <v>0</v>
      </c>
      <c r="Z854" s="21" t="b">
        <v>0</v>
      </c>
      <c r="AA854" s="162">
        <f>+$AD$5-Tabla2[[#This Row],[FECHA DE FACTURACIÓN]]</f>
        <v>211</v>
      </c>
      <c r="AB854" s="163" t="str">
        <f>+IF(Tabla2[[#This Row],[dias de credito]]&gt;=Tabla2[[#This Row],[PLAZO Días]],"venc", "No venc")</f>
        <v>venc</v>
      </c>
      <c r="AC854" s="163" t="str">
        <f>+IF(Tabla2[[#This Row],[FECHA DE PAGO]]&gt;0,"pagada","por pagar")</f>
        <v>pagada</v>
      </c>
      <c r="AD854" s="164" t="str">
        <f>+IF(AND(Tabla2[[#This Row],[venc]]="venc",Tabla2[[#This Row],[estado pago]]="por pagar"),"vencida","no")</f>
        <v>no</v>
      </c>
    </row>
    <row r="855" spans="1:30" ht="19.5" hidden="1" customHeight="1" x14ac:dyDescent="0.25">
      <c r="A855" s="8" t="s">
        <v>1850</v>
      </c>
      <c r="B855" s="8" t="b">
        <v>0</v>
      </c>
      <c r="C855" s="8">
        <v>30</v>
      </c>
      <c r="D855" s="151">
        <v>0</v>
      </c>
      <c r="E855" s="151"/>
      <c r="F855" s="24" t="s">
        <v>84</v>
      </c>
      <c r="G855" s="30">
        <v>45233</v>
      </c>
      <c r="H855" s="81" t="s">
        <v>481</v>
      </c>
      <c r="I855" s="30">
        <v>45232</v>
      </c>
      <c r="J855" s="16" t="s">
        <v>1283</v>
      </c>
      <c r="K855" s="9" t="s">
        <v>1530</v>
      </c>
      <c r="L855" s="9"/>
      <c r="M855" s="152">
        <v>2700000</v>
      </c>
      <c r="N855" s="153">
        <v>0</v>
      </c>
      <c r="O855" s="152">
        <v>0</v>
      </c>
      <c r="P855" s="154">
        <v>0</v>
      </c>
      <c r="Q855" s="152">
        <v>0</v>
      </c>
      <c r="R855" s="9">
        <v>2700000</v>
      </c>
      <c r="S855" s="21" t="s">
        <v>1846</v>
      </c>
      <c r="T855" s="117">
        <v>0</v>
      </c>
      <c r="U855" s="117">
        <v>0</v>
      </c>
      <c r="V855" s="117">
        <v>2023</v>
      </c>
      <c r="W855" s="117">
        <v>6</v>
      </c>
      <c r="X855" s="117">
        <v>0</v>
      </c>
      <c r="Y855" s="117">
        <v>0</v>
      </c>
      <c r="Z855" s="21" t="b">
        <v>0</v>
      </c>
      <c r="AA855" s="162">
        <f>+$AD$5-Tabla2[[#This Row],[FECHA DE FACTURACIÓN]]</f>
        <v>211</v>
      </c>
      <c r="AB855" s="163" t="str">
        <f>+IF(Tabla2[[#This Row],[dias de credito]]&gt;=Tabla2[[#This Row],[PLAZO Días]],"venc", "No venc")</f>
        <v>venc</v>
      </c>
      <c r="AC855" s="163" t="str">
        <f>+IF(Tabla2[[#This Row],[FECHA DE PAGO]]&gt;0,"pagada","por pagar")</f>
        <v>pagada</v>
      </c>
      <c r="AD855" s="164" t="str">
        <f>+IF(AND(Tabla2[[#This Row],[venc]]="venc",Tabla2[[#This Row],[estado pago]]="por pagar"),"vencida","no")</f>
        <v>no</v>
      </c>
    </row>
    <row r="856" spans="1:30" ht="19.5" hidden="1" customHeight="1" x14ac:dyDescent="0.25">
      <c r="A856" s="8" t="s">
        <v>1852</v>
      </c>
      <c r="B856" s="8" t="b">
        <v>0</v>
      </c>
      <c r="C856" s="8">
        <v>30</v>
      </c>
      <c r="D856" s="151">
        <v>0</v>
      </c>
      <c r="E856" s="151"/>
      <c r="F856" s="24">
        <v>0</v>
      </c>
      <c r="G856" s="30">
        <v>45233</v>
      </c>
      <c r="H856" s="81" t="s">
        <v>836</v>
      </c>
      <c r="I856" s="30">
        <v>45233</v>
      </c>
      <c r="J856" s="16"/>
      <c r="K856" s="9" t="s">
        <v>1530</v>
      </c>
      <c r="L856" s="9"/>
      <c r="M856" s="152">
        <v>389000</v>
      </c>
      <c r="N856" s="153">
        <v>0</v>
      </c>
      <c r="O856" s="152">
        <v>0</v>
      </c>
      <c r="P856" s="154">
        <v>0</v>
      </c>
      <c r="Q856" s="152">
        <v>0</v>
      </c>
      <c r="R856" s="9">
        <v>389000</v>
      </c>
      <c r="S856" s="21" t="s">
        <v>1846</v>
      </c>
      <c r="T856" s="117">
        <v>0</v>
      </c>
      <c r="U856" s="117">
        <v>0</v>
      </c>
      <c r="V856" s="117">
        <v>2023</v>
      </c>
      <c r="W856" s="117">
        <v>6</v>
      </c>
      <c r="X856" s="117">
        <v>0</v>
      </c>
      <c r="Y856" s="117">
        <v>0</v>
      </c>
      <c r="Z856" s="21" t="b">
        <v>0</v>
      </c>
      <c r="AA856" s="162">
        <f>+$AD$5-Tabla2[[#This Row],[FECHA DE FACTURACIÓN]]</f>
        <v>210</v>
      </c>
      <c r="AB856" s="163" t="str">
        <f>+IF(Tabla2[[#This Row],[dias de credito]]&gt;=Tabla2[[#This Row],[PLAZO Días]],"venc", "No venc")</f>
        <v>venc</v>
      </c>
      <c r="AC856" s="163" t="str">
        <f>+IF(Tabla2[[#This Row],[FECHA DE PAGO]]&gt;0,"pagada","por pagar")</f>
        <v>pagada</v>
      </c>
      <c r="AD856" s="164" t="str">
        <f>+IF(AND(Tabla2[[#This Row],[venc]]="venc",Tabla2[[#This Row],[estado pago]]="por pagar"),"vencida","no")</f>
        <v>no</v>
      </c>
    </row>
    <row r="857" spans="1:30" ht="19.5" hidden="1" customHeight="1" x14ac:dyDescent="0.25">
      <c r="A857" s="8" t="s">
        <v>1850</v>
      </c>
      <c r="B857" s="8" t="b">
        <v>0</v>
      </c>
      <c r="C857" s="8">
        <v>30</v>
      </c>
      <c r="D857" s="151">
        <v>0</v>
      </c>
      <c r="E857" s="151"/>
      <c r="F857" s="24">
        <v>0</v>
      </c>
      <c r="G857" s="30">
        <v>45234</v>
      </c>
      <c r="H857" s="81" t="s">
        <v>387</v>
      </c>
      <c r="I857" s="30">
        <v>45231</v>
      </c>
      <c r="J857" s="16" t="s">
        <v>173</v>
      </c>
      <c r="K857" s="9" t="s">
        <v>1530</v>
      </c>
      <c r="L857" s="9"/>
      <c r="M857" s="152">
        <v>411454</v>
      </c>
      <c r="N857" s="153">
        <v>0</v>
      </c>
      <c r="O857" s="152">
        <v>0</v>
      </c>
      <c r="P857" s="154">
        <v>0</v>
      </c>
      <c r="Q857" s="152">
        <v>0</v>
      </c>
      <c r="R857" s="9">
        <v>411454</v>
      </c>
      <c r="S857" s="21" t="s">
        <v>1846</v>
      </c>
      <c r="T857" s="117">
        <v>0</v>
      </c>
      <c r="U857" s="117">
        <v>0</v>
      </c>
      <c r="V857" s="117">
        <v>2023</v>
      </c>
      <c r="W857" s="117">
        <v>6</v>
      </c>
      <c r="X857" s="117">
        <v>0</v>
      </c>
      <c r="Y857" s="117">
        <v>0</v>
      </c>
      <c r="Z857" s="21" t="b">
        <v>1</v>
      </c>
      <c r="AA857" s="162">
        <f>+$AD$5-Tabla2[[#This Row],[FECHA DE FACTURACIÓN]]</f>
        <v>212</v>
      </c>
      <c r="AB857" s="163" t="str">
        <f>+IF(Tabla2[[#This Row],[dias de credito]]&gt;=Tabla2[[#This Row],[PLAZO Días]],"venc", "No venc")</f>
        <v>venc</v>
      </c>
      <c r="AC857" s="163" t="str">
        <f>+IF(Tabla2[[#This Row],[FECHA DE PAGO]]&gt;0,"pagada","por pagar")</f>
        <v>pagada</v>
      </c>
      <c r="AD857" s="164" t="str">
        <f>+IF(AND(Tabla2[[#This Row],[venc]]="venc",Tabla2[[#This Row],[estado pago]]="por pagar"),"vencida","no")</f>
        <v>no</v>
      </c>
    </row>
    <row r="858" spans="1:30" ht="19.5" hidden="1" customHeight="1" x14ac:dyDescent="0.25">
      <c r="A858" s="8" t="s">
        <v>1852</v>
      </c>
      <c r="B858" s="8" t="b">
        <v>0</v>
      </c>
      <c r="C858" s="8">
        <v>30</v>
      </c>
      <c r="D858" s="151">
        <v>1350000</v>
      </c>
      <c r="E858" s="151"/>
      <c r="F858" s="24" t="s">
        <v>84</v>
      </c>
      <c r="G858" s="30">
        <v>45234</v>
      </c>
      <c r="H858" s="81" t="s">
        <v>1807</v>
      </c>
      <c r="I858" s="30">
        <v>45234</v>
      </c>
      <c r="J858" s="16" t="s">
        <v>1214</v>
      </c>
      <c r="K858" s="9" t="s">
        <v>1530</v>
      </c>
      <c r="L858" s="9"/>
      <c r="M858" s="152">
        <v>520000</v>
      </c>
      <c r="N858" s="153">
        <v>0</v>
      </c>
      <c r="O858" s="152">
        <v>0</v>
      </c>
      <c r="P858" s="154">
        <v>0</v>
      </c>
      <c r="Q858" s="152">
        <v>0</v>
      </c>
      <c r="R858" s="9">
        <v>520000</v>
      </c>
      <c r="S858" s="21" t="s">
        <v>1846</v>
      </c>
      <c r="T858" s="117">
        <v>0</v>
      </c>
      <c r="U858" s="117">
        <v>0</v>
      </c>
      <c r="V858" s="117">
        <v>2023</v>
      </c>
      <c r="W858" s="117">
        <v>6</v>
      </c>
      <c r="X858" s="117">
        <v>0</v>
      </c>
      <c r="Y858" s="117">
        <v>0</v>
      </c>
      <c r="Z858" s="21" t="b">
        <v>0</v>
      </c>
      <c r="AA858" s="162">
        <f>+$AD$5-Tabla2[[#This Row],[FECHA DE FACTURACIÓN]]</f>
        <v>209</v>
      </c>
      <c r="AB858" s="163" t="str">
        <f>+IF(Tabla2[[#This Row],[dias de credito]]&gt;=Tabla2[[#This Row],[PLAZO Días]],"venc", "No venc")</f>
        <v>venc</v>
      </c>
      <c r="AC858" s="163" t="str">
        <f>+IF(Tabla2[[#This Row],[FECHA DE PAGO]]&gt;0,"pagada","por pagar")</f>
        <v>pagada</v>
      </c>
      <c r="AD858" s="164" t="str">
        <f>+IF(AND(Tabla2[[#This Row],[venc]]="venc",Tabla2[[#This Row],[estado pago]]="por pagar"),"vencida","no")</f>
        <v>no</v>
      </c>
    </row>
    <row r="859" spans="1:30" ht="19.5" hidden="1" customHeight="1" x14ac:dyDescent="0.25">
      <c r="A859" s="8" t="s">
        <v>1850</v>
      </c>
      <c r="B859" s="8" t="s">
        <v>1851</v>
      </c>
      <c r="C859" s="8">
        <v>30</v>
      </c>
      <c r="D859" s="151">
        <v>3130000</v>
      </c>
      <c r="E859" s="151"/>
      <c r="F859" s="24">
        <v>0</v>
      </c>
      <c r="G859" s="30">
        <v>45237</v>
      </c>
      <c r="H859" s="81" t="s">
        <v>472</v>
      </c>
      <c r="I859" s="30">
        <v>45170</v>
      </c>
      <c r="J859" s="16">
        <v>4847</v>
      </c>
      <c r="K859" s="9" t="s">
        <v>1530</v>
      </c>
      <c r="L859" s="9"/>
      <c r="M859" s="152">
        <v>450000</v>
      </c>
      <c r="N859" s="153">
        <v>0</v>
      </c>
      <c r="O859" s="152">
        <v>0</v>
      </c>
      <c r="P859" s="154">
        <v>0</v>
      </c>
      <c r="Q859" s="152">
        <v>0</v>
      </c>
      <c r="R859" s="9">
        <v>450000</v>
      </c>
      <c r="S859" s="21" t="s">
        <v>1846</v>
      </c>
      <c r="T859" s="117">
        <v>0</v>
      </c>
      <c r="U859" s="117">
        <v>0</v>
      </c>
      <c r="V859" s="117">
        <v>2023</v>
      </c>
      <c r="W859" s="117">
        <v>6</v>
      </c>
      <c r="X859" s="117">
        <v>0</v>
      </c>
      <c r="Y859" s="117">
        <v>0</v>
      </c>
      <c r="Z859" s="21" t="b">
        <v>0</v>
      </c>
      <c r="AA859" s="162">
        <f>+$AD$5-Tabla2[[#This Row],[FECHA DE FACTURACIÓN]]</f>
        <v>273</v>
      </c>
      <c r="AB859" s="163" t="str">
        <f>+IF(Tabla2[[#This Row],[dias de credito]]&gt;=Tabla2[[#This Row],[PLAZO Días]],"venc", "No venc")</f>
        <v>venc</v>
      </c>
      <c r="AC859" s="163" t="str">
        <f>+IF(Tabla2[[#This Row],[FECHA DE PAGO]]&gt;0,"pagada","por pagar")</f>
        <v>pagada</v>
      </c>
      <c r="AD859" s="164" t="str">
        <f>+IF(AND(Tabla2[[#This Row],[venc]]="venc",Tabla2[[#This Row],[estado pago]]="por pagar"),"vencida","no")</f>
        <v>no</v>
      </c>
    </row>
    <row r="860" spans="1:30" ht="19.5" hidden="1" customHeight="1" x14ac:dyDescent="0.25">
      <c r="A860" s="8" t="s">
        <v>1850</v>
      </c>
      <c r="B860" s="8" t="s">
        <v>1851</v>
      </c>
      <c r="C860" s="8">
        <v>45</v>
      </c>
      <c r="D860" s="151">
        <v>22186260.039999999</v>
      </c>
      <c r="E860" s="151"/>
      <c r="F860" s="24" t="s">
        <v>357</v>
      </c>
      <c r="G860" s="30">
        <v>45237</v>
      </c>
      <c r="H860" s="81" t="s">
        <v>19</v>
      </c>
      <c r="I860" s="30">
        <v>45177</v>
      </c>
      <c r="J860" s="16" t="s">
        <v>1055</v>
      </c>
      <c r="K860" s="9" t="s">
        <v>1530</v>
      </c>
      <c r="L860" s="9"/>
      <c r="M860" s="152">
        <v>723695</v>
      </c>
      <c r="N860" s="153">
        <v>137502.04999999999</v>
      </c>
      <c r="O860" s="152">
        <v>0</v>
      </c>
      <c r="P860" s="154">
        <v>0</v>
      </c>
      <c r="Q860" s="152">
        <v>0</v>
      </c>
      <c r="R860" s="9">
        <v>861197.05</v>
      </c>
      <c r="S860" s="21" t="s">
        <v>1846</v>
      </c>
      <c r="T860" s="117">
        <v>0</v>
      </c>
      <c r="U860" s="117">
        <v>0</v>
      </c>
      <c r="V860" s="117">
        <v>2023</v>
      </c>
      <c r="W860" s="117">
        <v>6</v>
      </c>
      <c r="X860" s="117">
        <v>0</v>
      </c>
      <c r="Y860" s="117">
        <v>0</v>
      </c>
      <c r="Z860" s="21" t="b">
        <v>0</v>
      </c>
      <c r="AA860" s="162">
        <f>+$AD$5-Tabla2[[#This Row],[FECHA DE FACTURACIÓN]]</f>
        <v>266</v>
      </c>
      <c r="AB860" s="163" t="str">
        <f>+IF(Tabla2[[#This Row],[dias de credito]]&gt;=Tabla2[[#This Row],[PLAZO Días]],"venc", "No venc")</f>
        <v>venc</v>
      </c>
      <c r="AC860" s="163" t="str">
        <f>+IF(Tabla2[[#This Row],[FECHA DE PAGO]]&gt;0,"pagada","por pagar")</f>
        <v>pagada</v>
      </c>
      <c r="AD860" s="164" t="str">
        <f>+IF(AND(Tabla2[[#This Row],[venc]]="venc",Tabla2[[#This Row],[estado pago]]="por pagar"),"vencida","no")</f>
        <v>no</v>
      </c>
    </row>
    <row r="861" spans="1:30" ht="19.5" hidden="1" customHeight="1" x14ac:dyDescent="0.25">
      <c r="A861" s="8" t="s">
        <v>1850</v>
      </c>
      <c r="B861" s="8" t="s">
        <v>1851</v>
      </c>
      <c r="C861" s="8">
        <v>30</v>
      </c>
      <c r="D861" s="151">
        <v>0</v>
      </c>
      <c r="E861" s="151"/>
      <c r="F861" s="24">
        <v>0</v>
      </c>
      <c r="G861" s="30">
        <v>45237</v>
      </c>
      <c r="H861" s="81" t="s">
        <v>475</v>
      </c>
      <c r="I861" s="30">
        <v>45184</v>
      </c>
      <c r="J861" s="16" t="s">
        <v>1100</v>
      </c>
      <c r="K861" s="9" t="s">
        <v>1530</v>
      </c>
      <c r="L861" s="9"/>
      <c r="M861" s="152">
        <v>1958700</v>
      </c>
      <c r="N861" s="153">
        <v>0</v>
      </c>
      <c r="O861" s="152">
        <v>0</v>
      </c>
      <c r="P861" s="154">
        <v>0</v>
      </c>
      <c r="Q861" s="152">
        <v>0</v>
      </c>
      <c r="R861" s="9">
        <v>1958700</v>
      </c>
      <c r="S861" s="21" t="s">
        <v>1846</v>
      </c>
      <c r="T861" s="117">
        <v>0</v>
      </c>
      <c r="U861" s="117">
        <v>0</v>
      </c>
      <c r="V861" s="117">
        <v>2023</v>
      </c>
      <c r="W861" s="117">
        <v>6</v>
      </c>
      <c r="X861" s="117">
        <v>0</v>
      </c>
      <c r="Y861" s="117">
        <v>0</v>
      </c>
      <c r="Z861" s="21" t="b">
        <v>0</v>
      </c>
      <c r="AA861" s="162">
        <f>+$AD$5-Tabla2[[#This Row],[FECHA DE FACTURACIÓN]]</f>
        <v>259</v>
      </c>
      <c r="AB861" s="163" t="str">
        <f>+IF(Tabla2[[#This Row],[dias de credito]]&gt;=Tabla2[[#This Row],[PLAZO Días]],"venc", "No venc")</f>
        <v>venc</v>
      </c>
      <c r="AC861" s="163" t="str">
        <f>+IF(Tabla2[[#This Row],[FECHA DE PAGO]]&gt;0,"pagada","por pagar")</f>
        <v>pagada</v>
      </c>
      <c r="AD861" s="164" t="str">
        <f>+IF(AND(Tabla2[[#This Row],[venc]]="venc",Tabla2[[#This Row],[estado pago]]="por pagar"),"vencida","no")</f>
        <v>no</v>
      </c>
    </row>
    <row r="862" spans="1:30" ht="19.5" hidden="1" customHeight="1" x14ac:dyDescent="0.25">
      <c r="A862" s="8" t="s">
        <v>1850</v>
      </c>
      <c r="B862" s="8" t="s">
        <v>1851</v>
      </c>
      <c r="C862" s="8">
        <v>30</v>
      </c>
      <c r="D862" s="151">
        <v>0</v>
      </c>
      <c r="E862" s="151"/>
      <c r="F862" s="24" t="s">
        <v>84</v>
      </c>
      <c r="G862" s="30">
        <v>45237</v>
      </c>
      <c r="H862" s="81" t="s">
        <v>1811</v>
      </c>
      <c r="I862" s="30">
        <v>45187</v>
      </c>
      <c r="J862" s="16" t="s">
        <v>1098</v>
      </c>
      <c r="K862" s="9" t="s">
        <v>1530</v>
      </c>
      <c r="L862" s="9"/>
      <c r="M862" s="152">
        <v>1242500</v>
      </c>
      <c r="N862" s="153">
        <v>0</v>
      </c>
      <c r="O862" s="152">
        <v>0</v>
      </c>
      <c r="P862" s="154">
        <v>0</v>
      </c>
      <c r="Q862" s="152">
        <v>0</v>
      </c>
      <c r="R862" s="9">
        <v>1242500</v>
      </c>
      <c r="S862" s="21" t="s">
        <v>1846</v>
      </c>
      <c r="T862" s="117">
        <v>0</v>
      </c>
      <c r="U862" s="117">
        <v>0</v>
      </c>
      <c r="V862" s="117">
        <v>2023</v>
      </c>
      <c r="W862" s="117">
        <v>6</v>
      </c>
      <c r="X862" s="117">
        <v>0</v>
      </c>
      <c r="Y862" s="117">
        <v>0</v>
      </c>
      <c r="Z862" s="21" t="b">
        <v>0</v>
      </c>
      <c r="AA862" s="162">
        <f>+$AD$5-Tabla2[[#This Row],[FECHA DE FACTURACIÓN]]</f>
        <v>256</v>
      </c>
      <c r="AB862" s="163" t="str">
        <f>+IF(Tabla2[[#This Row],[dias de credito]]&gt;=Tabla2[[#This Row],[PLAZO Días]],"venc", "No venc")</f>
        <v>venc</v>
      </c>
      <c r="AC862" s="163" t="str">
        <f>+IF(Tabla2[[#This Row],[FECHA DE PAGO]]&gt;0,"pagada","por pagar")</f>
        <v>pagada</v>
      </c>
      <c r="AD862" s="164" t="str">
        <f>+IF(AND(Tabla2[[#This Row],[venc]]="venc",Tabla2[[#This Row],[estado pago]]="por pagar"),"vencida","no")</f>
        <v>no</v>
      </c>
    </row>
    <row r="863" spans="1:30" ht="19.5" hidden="1" customHeight="1" x14ac:dyDescent="0.25">
      <c r="A863" s="8" t="s">
        <v>1850</v>
      </c>
      <c r="B863" s="8" t="s">
        <v>1851</v>
      </c>
      <c r="C863" s="8">
        <v>30</v>
      </c>
      <c r="D863" s="151">
        <v>9950488.6799999997</v>
      </c>
      <c r="E863" s="151"/>
      <c r="F863" s="24" t="s">
        <v>410</v>
      </c>
      <c r="G863" s="30">
        <v>45237</v>
      </c>
      <c r="H863" s="81" t="s">
        <v>11</v>
      </c>
      <c r="I863" s="30">
        <v>45188</v>
      </c>
      <c r="J863" s="16" t="s">
        <v>1064</v>
      </c>
      <c r="K863" s="9" t="s">
        <v>1530</v>
      </c>
      <c r="L863" s="9"/>
      <c r="M863" s="152">
        <v>2631937</v>
      </c>
      <c r="N863" s="153">
        <v>500068.03</v>
      </c>
      <c r="O863" s="152">
        <v>0</v>
      </c>
      <c r="P863" s="154">
        <v>2.5000000000000001E-2</v>
      </c>
      <c r="Q863" s="152">
        <v>65798.425000000003</v>
      </c>
      <c r="R863" s="9">
        <v>3066206.6050000004</v>
      </c>
      <c r="S863" s="21" t="s">
        <v>1846</v>
      </c>
      <c r="T863" s="117">
        <v>0</v>
      </c>
      <c r="U863" s="117" t="s">
        <v>347</v>
      </c>
      <c r="V863" s="117">
        <v>2023</v>
      </c>
      <c r="W863" s="117">
        <v>6</v>
      </c>
      <c r="X863" s="117">
        <v>1145000</v>
      </c>
      <c r="Y863" s="117">
        <v>2.5000000000000001E-2</v>
      </c>
      <c r="Z863" s="21" t="b">
        <v>0</v>
      </c>
      <c r="AA863" s="162">
        <f>+$AD$5-Tabla2[[#This Row],[FECHA DE FACTURACIÓN]]</f>
        <v>255</v>
      </c>
      <c r="AB863" s="163" t="str">
        <f>+IF(Tabla2[[#This Row],[dias de credito]]&gt;=Tabla2[[#This Row],[PLAZO Días]],"venc", "No venc")</f>
        <v>venc</v>
      </c>
      <c r="AC863" s="163" t="str">
        <f>+IF(Tabla2[[#This Row],[FECHA DE PAGO]]&gt;0,"pagada","por pagar")</f>
        <v>pagada</v>
      </c>
      <c r="AD863" s="164" t="str">
        <f>+IF(AND(Tabla2[[#This Row],[venc]]="venc",Tabla2[[#This Row],[estado pago]]="por pagar"),"vencida","no")</f>
        <v>no</v>
      </c>
    </row>
    <row r="864" spans="1:30" ht="19.5" hidden="1" customHeight="1" x14ac:dyDescent="0.25">
      <c r="A864" s="8" t="s">
        <v>1850</v>
      </c>
      <c r="B864" s="8" t="s">
        <v>1851</v>
      </c>
      <c r="C864" s="8">
        <v>30</v>
      </c>
      <c r="D864" s="151">
        <v>3130000</v>
      </c>
      <c r="E864" s="151"/>
      <c r="F864" s="24">
        <v>0</v>
      </c>
      <c r="G864" s="30">
        <v>45237</v>
      </c>
      <c r="H864" s="81" t="s">
        <v>472</v>
      </c>
      <c r="I864" s="30">
        <v>45190</v>
      </c>
      <c r="J864" s="16">
        <v>5470</v>
      </c>
      <c r="K864" s="9" t="s">
        <v>1530</v>
      </c>
      <c r="L864" s="9"/>
      <c r="M864" s="152">
        <v>375000</v>
      </c>
      <c r="N864" s="153">
        <v>0</v>
      </c>
      <c r="O864" s="152">
        <v>0</v>
      </c>
      <c r="P864" s="154">
        <v>0</v>
      </c>
      <c r="Q864" s="152">
        <v>0</v>
      </c>
      <c r="R864" s="9">
        <v>375000</v>
      </c>
      <c r="S864" s="21" t="s">
        <v>1846</v>
      </c>
      <c r="T864" s="117">
        <v>0</v>
      </c>
      <c r="U864" s="117">
        <v>0</v>
      </c>
      <c r="V864" s="117">
        <v>2023</v>
      </c>
      <c r="W864" s="117">
        <v>6</v>
      </c>
      <c r="X864" s="117">
        <v>0</v>
      </c>
      <c r="Y864" s="117">
        <v>0</v>
      </c>
      <c r="Z864" s="21" t="b">
        <v>0</v>
      </c>
      <c r="AA864" s="162">
        <f>+$AD$5-Tabla2[[#This Row],[FECHA DE FACTURACIÓN]]</f>
        <v>253</v>
      </c>
      <c r="AB864" s="163" t="str">
        <f>+IF(Tabla2[[#This Row],[dias de credito]]&gt;=Tabla2[[#This Row],[PLAZO Días]],"venc", "No venc")</f>
        <v>venc</v>
      </c>
      <c r="AC864" s="163" t="str">
        <f>+IF(Tabla2[[#This Row],[FECHA DE PAGO]]&gt;0,"pagada","por pagar")</f>
        <v>pagada</v>
      </c>
      <c r="AD864" s="164" t="str">
        <f>+IF(AND(Tabla2[[#This Row],[venc]]="venc",Tabla2[[#This Row],[estado pago]]="por pagar"),"vencida","no")</f>
        <v>no</v>
      </c>
    </row>
    <row r="865" spans="1:30" ht="19.5" hidden="1" customHeight="1" x14ac:dyDescent="0.25">
      <c r="A865" s="8" t="s">
        <v>1850</v>
      </c>
      <c r="B865" s="8" t="b">
        <v>0</v>
      </c>
      <c r="C865" s="8">
        <v>45</v>
      </c>
      <c r="D865" s="151">
        <v>22186260.039999999</v>
      </c>
      <c r="E865" s="151"/>
      <c r="F865" s="24" t="s">
        <v>357</v>
      </c>
      <c r="G865" s="30">
        <v>45237</v>
      </c>
      <c r="H865" s="81" t="s">
        <v>19</v>
      </c>
      <c r="I865" s="30">
        <v>45197</v>
      </c>
      <c r="J865" s="16" t="s">
        <v>1073</v>
      </c>
      <c r="K865" s="9" t="s">
        <v>1530</v>
      </c>
      <c r="L865" s="9"/>
      <c r="M865" s="152">
        <v>6110400</v>
      </c>
      <c r="N865" s="153">
        <v>1160976</v>
      </c>
      <c r="O865" s="152">
        <v>0</v>
      </c>
      <c r="P865" s="154">
        <v>0</v>
      </c>
      <c r="Q865" s="152">
        <v>0</v>
      </c>
      <c r="R865" s="9">
        <v>7271376</v>
      </c>
      <c r="S865" s="21" t="s">
        <v>1846</v>
      </c>
      <c r="T865" s="117">
        <v>0</v>
      </c>
      <c r="U865" s="117">
        <v>0</v>
      </c>
      <c r="V865" s="117">
        <v>2023</v>
      </c>
      <c r="W865" s="117">
        <v>6</v>
      </c>
      <c r="X865" s="117">
        <v>0</v>
      </c>
      <c r="Y865" s="117">
        <v>0</v>
      </c>
      <c r="Z865" s="21" t="b">
        <v>0</v>
      </c>
      <c r="AA865" s="162">
        <f>+$AD$5-Tabla2[[#This Row],[FECHA DE FACTURACIÓN]]</f>
        <v>246</v>
      </c>
      <c r="AB865" s="163" t="str">
        <f>+IF(Tabla2[[#This Row],[dias de credito]]&gt;=Tabla2[[#This Row],[PLAZO Días]],"venc", "No venc")</f>
        <v>venc</v>
      </c>
      <c r="AC865" s="163" t="str">
        <f>+IF(Tabla2[[#This Row],[FECHA DE PAGO]]&gt;0,"pagada","por pagar")</f>
        <v>pagada</v>
      </c>
      <c r="AD865" s="164" t="str">
        <f>+IF(AND(Tabla2[[#This Row],[venc]]="venc",Tabla2[[#This Row],[estado pago]]="por pagar"),"vencida","no")</f>
        <v>no</v>
      </c>
    </row>
    <row r="866" spans="1:30" ht="19.5" hidden="1" customHeight="1" x14ac:dyDescent="0.25">
      <c r="A866" s="8" t="s">
        <v>1850</v>
      </c>
      <c r="B866" s="8" t="s">
        <v>1851</v>
      </c>
      <c r="C866" s="8">
        <v>30</v>
      </c>
      <c r="D866" s="151">
        <v>9950488.6799999997</v>
      </c>
      <c r="E866" s="151"/>
      <c r="F866" s="24" t="s">
        <v>410</v>
      </c>
      <c r="G866" s="30">
        <v>45237</v>
      </c>
      <c r="H866" s="81" t="s">
        <v>11</v>
      </c>
      <c r="I866" s="30">
        <v>45197</v>
      </c>
      <c r="J866" s="16" t="s">
        <v>1087</v>
      </c>
      <c r="K866" s="9" t="s">
        <v>1530</v>
      </c>
      <c r="L866" s="9"/>
      <c r="M866" s="152">
        <v>2329416</v>
      </c>
      <c r="N866" s="153">
        <v>442589.04</v>
      </c>
      <c r="O866" s="152">
        <v>0</v>
      </c>
      <c r="P866" s="154">
        <v>2.5000000000000001E-2</v>
      </c>
      <c r="Q866" s="152">
        <v>58235.4</v>
      </c>
      <c r="R866" s="9">
        <v>2713769.64</v>
      </c>
      <c r="S866" s="21" t="s">
        <v>1846</v>
      </c>
      <c r="T866" s="117">
        <v>0</v>
      </c>
      <c r="U866" s="117" t="s">
        <v>347</v>
      </c>
      <c r="V866" s="117">
        <v>2023</v>
      </c>
      <c r="W866" s="117">
        <v>6</v>
      </c>
      <c r="X866" s="117">
        <v>1145000</v>
      </c>
      <c r="Y866" s="117">
        <v>2.5000000000000001E-2</v>
      </c>
      <c r="Z866" s="21" t="b">
        <v>0</v>
      </c>
      <c r="AA866" s="162">
        <f>+$AD$5-Tabla2[[#This Row],[FECHA DE FACTURACIÓN]]</f>
        <v>246</v>
      </c>
      <c r="AB866" s="163" t="str">
        <f>+IF(Tabla2[[#This Row],[dias de credito]]&gt;=Tabla2[[#This Row],[PLAZO Días]],"venc", "No venc")</f>
        <v>venc</v>
      </c>
      <c r="AC866" s="163" t="str">
        <f>+IF(Tabla2[[#This Row],[FECHA DE PAGO]]&gt;0,"pagada","por pagar")</f>
        <v>pagada</v>
      </c>
      <c r="AD866" s="164" t="str">
        <f>+IF(AND(Tabla2[[#This Row],[venc]]="venc",Tabla2[[#This Row],[estado pago]]="por pagar"),"vencida","no")</f>
        <v>no</v>
      </c>
    </row>
    <row r="867" spans="1:30" ht="19.5" hidden="1" customHeight="1" x14ac:dyDescent="0.25">
      <c r="A867" s="8" t="s">
        <v>1850</v>
      </c>
      <c r="B867" s="8" t="s">
        <v>1851</v>
      </c>
      <c r="C867" s="8">
        <v>30</v>
      </c>
      <c r="D867" s="151">
        <v>3130000</v>
      </c>
      <c r="E867" s="151"/>
      <c r="F867" s="24">
        <v>0</v>
      </c>
      <c r="G867" s="30">
        <v>45237</v>
      </c>
      <c r="H867" s="81" t="s">
        <v>472</v>
      </c>
      <c r="I867" s="30">
        <v>45198</v>
      </c>
      <c r="J867" s="16">
        <v>5729</v>
      </c>
      <c r="K867" s="9" t="s">
        <v>1530</v>
      </c>
      <c r="L867" s="9"/>
      <c r="M867" s="152">
        <v>1740000</v>
      </c>
      <c r="N867" s="153">
        <v>0</v>
      </c>
      <c r="O867" s="152">
        <v>0</v>
      </c>
      <c r="P867" s="154">
        <v>0</v>
      </c>
      <c r="Q867" s="152">
        <v>0</v>
      </c>
      <c r="R867" s="9">
        <v>1740000</v>
      </c>
      <c r="S867" s="21" t="s">
        <v>1846</v>
      </c>
      <c r="T867" s="117">
        <v>0</v>
      </c>
      <c r="U867" s="117">
        <v>0</v>
      </c>
      <c r="V867" s="117">
        <v>2023</v>
      </c>
      <c r="W867" s="117">
        <v>6</v>
      </c>
      <c r="X867" s="117">
        <v>0</v>
      </c>
      <c r="Y867" s="117">
        <v>0</v>
      </c>
      <c r="Z867" s="21" t="b">
        <v>0</v>
      </c>
      <c r="AA867" s="162">
        <f>+$AD$5-Tabla2[[#This Row],[FECHA DE FACTURACIÓN]]</f>
        <v>245</v>
      </c>
      <c r="AB867" s="163" t="str">
        <f>+IF(Tabla2[[#This Row],[dias de credito]]&gt;=Tabla2[[#This Row],[PLAZO Días]],"venc", "No venc")</f>
        <v>venc</v>
      </c>
      <c r="AC867" s="163" t="str">
        <f>+IF(Tabla2[[#This Row],[FECHA DE PAGO]]&gt;0,"pagada","por pagar")</f>
        <v>pagada</v>
      </c>
      <c r="AD867" s="164" t="str">
        <f>+IF(AND(Tabla2[[#This Row],[venc]]="venc",Tabla2[[#This Row],[estado pago]]="por pagar"),"vencida","no")</f>
        <v>no</v>
      </c>
    </row>
    <row r="868" spans="1:30" ht="19.5" hidden="1" customHeight="1" x14ac:dyDescent="0.25">
      <c r="A868" s="8" t="s">
        <v>1850</v>
      </c>
      <c r="B868" s="8" t="s">
        <v>1851</v>
      </c>
      <c r="C868" s="8">
        <v>30</v>
      </c>
      <c r="D868" s="151">
        <v>0</v>
      </c>
      <c r="E868" s="151"/>
      <c r="F868" s="24" t="s">
        <v>1164</v>
      </c>
      <c r="G868" s="30">
        <v>45237</v>
      </c>
      <c r="H868" s="81" t="s">
        <v>1163</v>
      </c>
      <c r="I868" s="30">
        <v>45205</v>
      </c>
      <c r="J868" s="16" t="s">
        <v>1165</v>
      </c>
      <c r="K868" s="9" t="s">
        <v>1530</v>
      </c>
      <c r="L868" s="9"/>
      <c r="M868" s="152">
        <v>757984</v>
      </c>
      <c r="N868" s="153">
        <v>144016.95999999999</v>
      </c>
      <c r="O868" s="152">
        <v>0</v>
      </c>
      <c r="P868" s="154">
        <v>0</v>
      </c>
      <c r="Q868" s="152">
        <v>0</v>
      </c>
      <c r="R868" s="9">
        <v>902000.96</v>
      </c>
      <c r="S868" s="21" t="s">
        <v>1846</v>
      </c>
      <c r="T868" s="117">
        <v>0</v>
      </c>
      <c r="U868" s="117" t="s">
        <v>347</v>
      </c>
      <c r="V868" s="117">
        <v>2023</v>
      </c>
      <c r="W868" s="117">
        <v>6</v>
      </c>
      <c r="X868" s="117">
        <v>1145000</v>
      </c>
      <c r="Y868" s="117">
        <v>2.5000000000000001E-2</v>
      </c>
      <c r="Z868" s="21" t="b">
        <v>0</v>
      </c>
      <c r="AA868" s="162">
        <f>+$AD$5-Tabla2[[#This Row],[FECHA DE FACTURACIÓN]]</f>
        <v>238</v>
      </c>
      <c r="AB868" s="163" t="str">
        <f>+IF(Tabla2[[#This Row],[dias de credito]]&gt;=Tabla2[[#This Row],[PLAZO Días]],"venc", "No venc")</f>
        <v>venc</v>
      </c>
      <c r="AC868" s="163" t="str">
        <f>+IF(Tabla2[[#This Row],[FECHA DE PAGO]]&gt;0,"pagada","por pagar")</f>
        <v>pagada</v>
      </c>
      <c r="AD868" s="164" t="str">
        <f>+IF(AND(Tabla2[[#This Row],[venc]]="venc",Tabla2[[#This Row],[estado pago]]="por pagar"),"vencida","no")</f>
        <v>no</v>
      </c>
    </row>
    <row r="869" spans="1:30" ht="19.5" hidden="1" customHeight="1" x14ac:dyDescent="0.25">
      <c r="A869" s="8" t="s">
        <v>1852</v>
      </c>
      <c r="B869" s="8" t="b">
        <v>0</v>
      </c>
      <c r="C869" s="8">
        <v>30</v>
      </c>
      <c r="D869" s="151">
        <v>0</v>
      </c>
      <c r="E869" s="151"/>
      <c r="F869" s="24" t="s">
        <v>84</v>
      </c>
      <c r="G869" s="30">
        <v>45237</v>
      </c>
      <c r="H869" s="81" t="s">
        <v>1824</v>
      </c>
      <c r="I869" s="30">
        <v>45237</v>
      </c>
      <c r="J869" s="16"/>
      <c r="K869" s="9" t="s">
        <v>1530</v>
      </c>
      <c r="L869" s="9"/>
      <c r="M869" s="152">
        <v>1000000</v>
      </c>
      <c r="N869" s="153">
        <v>0</v>
      </c>
      <c r="O869" s="152">
        <v>0</v>
      </c>
      <c r="P869" s="154">
        <v>0</v>
      </c>
      <c r="Q869" s="152">
        <v>0</v>
      </c>
      <c r="R869" s="9">
        <v>1000000</v>
      </c>
      <c r="S869" s="21" t="s">
        <v>1846</v>
      </c>
      <c r="T869" s="117">
        <v>0</v>
      </c>
      <c r="U869" s="117">
        <v>0</v>
      </c>
      <c r="V869" s="117">
        <v>2023</v>
      </c>
      <c r="W869" s="117">
        <v>6</v>
      </c>
      <c r="X869" s="117">
        <v>0</v>
      </c>
      <c r="Y869" s="117">
        <v>0</v>
      </c>
      <c r="Z869" s="21" t="b">
        <v>0</v>
      </c>
      <c r="AA869" s="162">
        <f>+$AD$5-Tabla2[[#This Row],[FECHA DE FACTURACIÓN]]</f>
        <v>206</v>
      </c>
      <c r="AB869" s="163" t="str">
        <f>+IF(Tabla2[[#This Row],[dias de credito]]&gt;=Tabla2[[#This Row],[PLAZO Días]],"venc", "No venc")</f>
        <v>venc</v>
      </c>
      <c r="AC869" s="163" t="str">
        <f>+IF(Tabla2[[#This Row],[FECHA DE PAGO]]&gt;0,"pagada","por pagar")</f>
        <v>pagada</v>
      </c>
      <c r="AD869" s="164" t="str">
        <f>+IF(AND(Tabla2[[#This Row],[venc]]="venc",Tabla2[[#This Row],[estado pago]]="por pagar"),"vencida","no")</f>
        <v>no</v>
      </c>
    </row>
    <row r="870" spans="1:30" ht="19.5" hidden="1" customHeight="1" x14ac:dyDescent="0.25">
      <c r="A870" s="8" t="s">
        <v>1852</v>
      </c>
      <c r="B870" s="8" t="b">
        <v>0</v>
      </c>
      <c r="C870" s="8">
        <v>30</v>
      </c>
      <c r="D870" s="151">
        <v>3130000</v>
      </c>
      <c r="E870" s="151"/>
      <c r="F870" s="24">
        <v>0</v>
      </c>
      <c r="G870" s="30">
        <v>45237</v>
      </c>
      <c r="H870" s="81" t="s">
        <v>472</v>
      </c>
      <c r="I870" s="30">
        <v>45237</v>
      </c>
      <c r="J870" s="16" t="s">
        <v>1243</v>
      </c>
      <c r="K870" s="9" t="s">
        <v>1530</v>
      </c>
      <c r="L870" s="9"/>
      <c r="M870" s="152">
        <v>400000</v>
      </c>
      <c r="N870" s="153">
        <v>0</v>
      </c>
      <c r="O870" s="152">
        <v>0</v>
      </c>
      <c r="P870" s="154">
        <v>0</v>
      </c>
      <c r="Q870" s="152">
        <v>0</v>
      </c>
      <c r="R870" s="9">
        <v>400000</v>
      </c>
      <c r="S870" s="21" t="s">
        <v>1846</v>
      </c>
      <c r="T870" s="117">
        <v>0</v>
      </c>
      <c r="U870" s="117">
        <v>0</v>
      </c>
      <c r="V870" s="117">
        <v>2023</v>
      </c>
      <c r="W870" s="117">
        <v>6</v>
      </c>
      <c r="X870" s="117">
        <v>0</v>
      </c>
      <c r="Y870" s="117">
        <v>0</v>
      </c>
      <c r="Z870" s="21" t="b">
        <v>0</v>
      </c>
      <c r="AA870" s="162">
        <f>+$AD$5-Tabla2[[#This Row],[FECHA DE FACTURACIÓN]]</f>
        <v>206</v>
      </c>
      <c r="AB870" s="163" t="str">
        <f>+IF(Tabla2[[#This Row],[dias de credito]]&gt;=Tabla2[[#This Row],[PLAZO Días]],"venc", "No venc")</f>
        <v>venc</v>
      </c>
      <c r="AC870" s="163" t="str">
        <f>+IF(Tabla2[[#This Row],[FECHA DE PAGO]]&gt;0,"pagada","por pagar")</f>
        <v>pagada</v>
      </c>
      <c r="AD870" s="164" t="str">
        <f>+IF(AND(Tabla2[[#This Row],[venc]]="venc",Tabla2[[#This Row],[estado pago]]="por pagar"),"vencida","no")</f>
        <v>no</v>
      </c>
    </row>
    <row r="871" spans="1:30" ht="19.5" hidden="1" customHeight="1" x14ac:dyDescent="0.25">
      <c r="A871" s="8" t="s">
        <v>1850</v>
      </c>
      <c r="B871" s="8" t="s">
        <v>1851</v>
      </c>
      <c r="C871" s="8">
        <v>30</v>
      </c>
      <c r="D871" s="151">
        <v>0</v>
      </c>
      <c r="E871" s="151"/>
      <c r="F871" s="24" t="s">
        <v>139</v>
      </c>
      <c r="G871" s="30">
        <v>45239</v>
      </c>
      <c r="H871" s="81" t="s">
        <v>1820</v>
      </c>
      <c r="I871" s="30">
        <v>45140</v>
      </c>
      <c r="J871" s="16">
        <v>328151</v>
      </c>
      <c r="K871" s="9" t="s">
        <v>1530</v>
      </c>
      <c r="L871" s="9"/>
      <c r="M871" s="152">
        <v>780000</v>
      </c>
      <c r="N871" s="153">
        <v>0</v>
      </c>
      <c r="O871" s="152">
        <v>0</v>
      </c>
      <c r="P871" s="154">
        <v>0</v>
      </c>
      <c r="Q871" s="152">
        <v>0</v>
      </c>
      <c r="R871" s="9">
        <v>780000</v>
      </c>
      <c r="S871" s="21" t="s">
        <v>1846</v>
      </c>
      <c r="T871" s="117">
        <v>0</v>
      </c>
      <c r="U871" s="117">
        <v>0</v>
      </c>
      <c r="V871" s="117">
        <v>2023</v>
      </c>
      <c r="W871" s="117">
        <v>6</v>
      </c>
      <c r="X871" s="117">
        <v>0</v>
      </c>
      <c r="Y871" s="117">
        <v>0</v>
      </c>
      <c r="Z871" s="21" t="b">
        <v>0</v>
      </c>
      <c r="AA871" s="162">
        <f>+$AD$5-Tabla2[[#This Row],[FECHA DE FACTURACIÓN]]</f>
        <v>303</v>
      </c>
      <c r="AB871" s="163" t="str">
        <f>+IF(Tabla2[[#This Row],[dias de credito]]&gt;=Tabla2[[#This Row],[PLAZO Días]],"venc", "No venc")</f>
        <v>venc</v>
      </c>
      <c r="AC871" s="163" t="str">
        <f>+IF(Tabla2[[#This Row],[FECHA DE PAGO]]&gt;0,"pagada","por pagar")</f>
        <v>pagada</v>
      </c>
      <c r="AD871" s="164" t="str">
        <f>+IF(AND(Tabla2[[#This Row],[venc]]="venc",Tabla2[[#This Row],[estado pago]]="por pagar"),"vencida","no")</f>
        <v>no</v>
      </c>
    </row>
    <row r="872" spans="1:30" ht="19.5" hidden="1" customHeight="1" x14ac:dyDescent="0.25">
      <c r="A872" s="8" t="s">
        <v>1850</v>
      </c>
      <c r="B872" s="8" t="s">
        <v>1851</v>
      </c>
      <c r="C872" s="8">
        <v>30</v>
      </c>
      <c r="D872" s="151">
        <v>0</v>
      </c>
      <c r="E872" s="151"/>
      <c r="F872" s="24" t="s">
        <v>139</v>
      </c>
      <c r="G872" s="30">
        <v>45239</v>
      </c>
      <c r="H872" s="81" t="s">
        <v>1820</v>
      </c>
      <c r="I872" s="30">
        <v>45177</v>
      </c>
      <c r="J872" s="16">
        <v>550829</v>
      </c>
      <c r="K872" s="9" t="s">
        <v>1530</v>
      </c>
      <c r="L872" s="9"/>
      <c r="M872" s="152">
        <v>130000</v>
      </c>
      <c r="N872" s="153">
        <v>0</v>
      </c>
      <c r="O872" s="152">
        <v>0</v>
      </c>
      <c r="P872" s="154">
        <v>0</v>
      </c>
      <c r="Q872" s="152">
        <v>0</v>
      </c>
      <c r="R872" s="9">
        <v>130000</v>
      </c>
      <c r="S872" s="21" t="s">
        <v>1846</v>
      </c>
      <c r="T872" s="117">
        <v>0</v>
      </c>
      <c r="U872" s="117">
        <v>0</v>
      </c>
      <c r="V872" s="117">
        <v>2023</v>
      </c>
      <c r="W872" s="117">
        <v>6</v>
      </c>
      <c r="X872" s="117">
        <v>0</v>
      </c>
      <c r="Y872" s="117">
        <v>0</v>
      </c>
      <c r="Z872" s="21" t="b">
        <v>0</v>
      </c>
      <c r="AA872" s="162">
        <f>+$AD$5-Tabla2[[#This Row],[FECHA DE FACTURACIÓN]]</f>
        <v>266</v>
      </c>
      <c r="AB872" s="163" t="str">
        <f>+IF(Tabla2[[#This Row],[dias de credito]]&gt;=Tabla2[[#This Row],[PLAZO Días]],"venc", "No venc")</f>
        <v>venc</v>
      </c>
      <c r="AC872" s="163" t="str">
        <f>+IF(Tabla2[[#This Row],[FECHA DE PAGO]]&gt;0,"pagada","por pagar")</f>
        <v>pagada</v>
      </c>
      <c r="AD872" s="164" t="str">
        <f>+IF(AND(Tabla2[[#This Row],[venc]]="venc",Tabla2[[#This Row],[estado pago]]="por pagar"),"vencida","no")</f>
        <v>no</v>
      </c>
    </row>
    <row r="873" spans="1:30" ht="19.5" hidden="1" customHeight="1" x14ac:dyDescent="0.25">
      <c r="A873" s="8" t="s">
        <v>1850</v>
      </c>
      <c r="B873" s="8" t="s">
        <v>1851</v>
      </c>
      <c r="C873" s="8">
        <v>45</v>
      </c>
      <c r="D873" s="151">
        <v>2446500</v>
      </c>
      <c r="E873" s="151"/>
      <c r="F873" s="24" t="s">
        <v>158</v>
      </c>
      <c r="G873" s="30">
        <v>45239</v>
      </c>
      <c r="H873" s="81" t="s">
        <v>10</v>
      </c>
      <c r="I873" s="30">
        <v>45184</v>
      </c>
      <c r="J873" s="16" t="s">
        <v>1061</v>
      </c>
      <c r="K873" s="9" t="s">
        <v>1530</v>
      </c>
      <c r="L873" s="9"/>
      <c r="M873" s="152">
        <v>2520000</v>
      </c>
      <c r="N873" s="153">
        <v>478800</v>
      </c>
      <c r="O873" s="152">
        <v>0</v>
      </c>
      <c r="P873" s="154">
        <v>2.5000000000000001E-2</v>
      </c>
      <c r="Q873" s="152">
        <v>63000</v>
      </c>
      <c r="R873" s="9">
        <v>2935800</v>
      </c>
      <c r="S873" s="21" t="s">
        <v>1846</v>
      </c>
      <c r="T873" s="117">
        <v>0</v>
      </c>
      <c r="U873" s="117" t="s">
        <v>347</v>
      </c>
      <c r="V873" s="117">
        <v>2023</v>
      </c>
      <c r="W873" s="117">
        <v>6</v>
      </c>
      <c r="X873" s="117">
        <v>1145000</v>
      </c>
      <c r="Y873" s="117">
        <v>2.5000000000000001E-2</v>
      </c>
      <c r="Z873" s="21" t="b">
        <v>0</v>
      </c>
      <c r="AA873" s="162">
        <f>+$AD$5-Tabla2[[#This Row],[FECHA DE FACTURACIÓN]]</f>
        <v>259</v>
      </c>
      <c r="AB873" s="163" t="str">
        <f>+IF(Tabla2[[#This Row],[dias de credito]]&gt;=Tabla2[[#This Row],[PLAZO Días]],"venc", "No venc")</f>
        <v>venc</v>
      </c>
      <c r="AC873" s="163" t="str">
        <f>+IF(Tabla2[[#This Row],[FECHA DE PAGO]]&gt;0,"pagada","por pagar")</f>
        <v>pagada</v>
      </c>
      <c r="AD873" s="164" t="str">
        <f>+IF(AND(Tabla2[[#This Row],[venc]]="venc",Tabla2[[#This Row],[estado pago]]="por pagar"),"vencida","no")</f>
        <v>no</v>
      </c>
    </row>
    <row r="874" spans="1:30" ht="19.5" hidden="1" customHeight="1" x14ac:dyDescent="0.25">
      <c r="A874" s="8" t="s">
        <v>1850</v>
      </c>
      <c r="B874" s="8" t="s">
        <v>1851</v>
      </c>
      <c r="C874" s="8">
        <v>30</v>
      </c>
      <c r="D874" s="151">
        <v>4466504.835</v>
      </c>
      <c r="E874" s="151"/>
      <c r="F874" s="24" t="s">
        <v>1553</v>
      </c>
      <c r="G874" s="30">
        <v>45239</v>
      </c>
      <c r="H874" s="81" t="s">
        <v>18</v>
      </c>
      <c r="I874" s="30">
        <v>45190</v>
      </c>
      <c r="J874" s="16" t="s">
        <v>1069</v>
      </c>
      <c r="K874" s="9" t="s">
        <v>1530</v>
      </c>
      <c r="L874" s="9"/>
      <c r="M874" s="152">
        <v>804018</v>
      </c>
      <c r="N874" s="153">
        <v>152763.42000000001</v>
      </c>
      <c r="O874" s="152">
        <v>0</v>
      </c>
      <c r="P874" s="154">
        <v>0</v>
      </c>
      <c r="Q874" s="152">
        <v>0</v>
      </c>
      <c r="R874" s="9">
        <v>956781.42</v>
      </c>
      <c r="S874" s="21" t="s">
        <v>1846</v>
      </c>
      <c r="T874" s="117">
        <v>0</v>
      </c>
      <c r="U874" s="117" t="s">
        <v>347</v>
      </c>
      <c r="V874" s="117">
        <v>2023</v>
      </c>
      <c r="W874" s="117">
        <v>6</v>
      </c>
      <c r="X874" s="117">
        <v>1145000</v>
      </c>
      <c r="Y874" s="117">
        <v>2.5000000000000001E-2</v>
      </c>
      <c r="Z874" s="21" t="b">
        <v>0</v>
      </c>
      <c r="AA874" s="162">
        <f>+$AD$5-Tabla2[[#This Row],[FECHA DE FACTURACIÓN]]</f>
        <v>253</v>
      </c>
      <c r="AB874" s="163" t="str">
        <f>+IF(Tabla2[[#This Row],[dias de credito]]&gt;=Tabla2[[#This Row],[PLAZO Días]],"venc", "No venc")</f>
        <v>venc</v>
      </c>
      <c r="AC874" s="163" t="str">
        <f>+IF(Tabla2[[#This Row],[FECHA DE PAGO]]&gt;0,"pagada","por pagar")</f>
        <v>pagada</v>
      </c>
      <c r="AD874" s="164" t="str">
        <f>+IF(AND(Tabla2[[#This Row],[venc]]="venc",Tabla2[[#This Row],[estado pago]]="por pagar"),"vencida","no")</f>
        <v>no</v>
      </c>
    </row>
    <row r="875" spans="1:30" ht="19.5" hidden="1" customHeight="1" x14ac:dyDescent="0.25">
      <c r="A875" s="8" t="s">
        <v>1850</v>
      </c>
      <c r="B875" s="8" t="s">
        <v>1851</v>
      </c>
      <c r="C875" s="8">
        <v>30</v>
      </c>
      <c r="D875" s="151">
        <v>4466504.835</v>
      </c>
      <c r="E875" s="151"/>
      <c r="F875" s="24" t="s">
        <v>1553</v>
      </c>
      <c r="G875" s="30">
        <v>45239</v>
      </c>
      <c r="H875" s="81" t="s">
        <v>18</v>
      </c>
      <c r="I875" s="30">
        <v>45198</v>
      </c>
      <c r="J875" s="16" t="s">
        <v>1094</v>
      </c>
      <c r="K875" s="9" t="s">
        <v>1530</v>
      </c>
      <c r="L875" s="9"/>
      <c r="M875" s="152">
        <v>2031499</v>
      </c>
      <c r="N875" s="153">
        <v>385984.81</v>
      </c>
      <c r="O875" s="152">
        <v>0</v>
      </c>
      <c r="P875" s="154">
        <v>2.5000000000000001E-2</v>
      </c>
      <c r="Q875" s="152">
        <v>50787.475000000006</v>
      </c>
      <c r="R875" s="9">
        <v>2366696.335</v>
      </c>
      <c r="S875" s="21" t="s">
        <v>1846</v>
      </c>
      <c r="T875" s="117">
        <v>0</v>
      </c>
      <c r="U875" s="117" t="s">
        <v>347</v>
      </c>
      <c r="V875" s="117">
        <v>2023</v>
      </c>
      <c r="W875" s="117">
        <v>6</v>
      </c>
      <c r="X875" s="117">
        <v>1145000</v>
      </c>
      <c r="Y875" s="117">
        <v>2.5000000000000001E-2</v>
      </c>
      <c r="Z875" s="21" t="b">
        <v>0</v>
      </c>
      <c r="AA875" s="162">
        <f>+$AD$5-Tabla2[[#This Row],[FECHA DE FACTURACIÓN]]</f>
        <v>245</v>
      </c>
      <c r="AB875" s="163" t="str">
        <f>+IF(Tabla2[[#This Row],[dias de credito]]&gt;=Tabla2[[#This Row],[PLAZO Días]],"venc", "No venc")</f>
        <v>venc</v>
      </c>
      <c r="AC875" s="163" t="str">
        <f>+IF(Tabla2[[#This Row],[FECHA DE PAGO]]&gt;0,"pagada","por pagar")</f>
        <v>pagada</v>
      </c>
      <c r="AD875" s="164" t="str">
        <f>+IF(AND(Tabla2[[#This Row],[venc]]="venc",Tabla2[[#This Row],[estado pago]]="por pagar"),"vencida","no")</f>
        <v>no</v>
      </c>
    </row>
    <row r="876" spans="1:30" ht="19.5" hidden="1" customHeight="1" x14ac:dyDescent="0.25">
      <c r="A876" s="8" t="s">
        <v>1850</v>
      </c>
      <c r="B876" s="8" t="s">
        <v>1851</v>
      </c>
      <c r="C876" s="8">
        <v>30</v>
      </c>
      <c r="D876" s="151">
        <v>4466504.835</v>
      </c>
      <c r="E876" s="151"/>
      <c r="F876" s="24" t="s">
        <v>1553</v>
      </c>
      <c r="G876" s="30">
        <v>45239</v>
      </c>
      <c r="H876" s="81" t="s">
        <v>18</v>
      </c>
      <c r="I876" s="30">
        <v>45203</v>
      </c>
      <c r="J876" s="16" t="s">
        <v>1093</v>
      </c>
      <c r="K876" s="9" t="s">
        <v>1530</v>
      </c>
      <c r="L876" s="9"/>
      <c r="M876" s="152">
        <v>3099280</v>
      </c>
      <c r="N876" s="153">
        <v>588863.19999999995</v>
      </c>
      <c r="O876" s="152">
        <v>0</v>
      </c>
      <c r="P876" s="154">
        <v>2.5000000000000001E-2</v>
      </c>
      <c r="Q876" s="152">
        <v>77482</v>
      </c>
      <c r="R876" s="9">
        <v>3610661.2</v>
      </c>
      <c r="S876" s="21" t="s">
        <v>1846</v>
      </c>
      <c r="T876" s="117">
        <v>0</v>
      </c>
      <c r="U876" s="117" t="s">
        <v>347</v>
      </c>
      <c r="V876" s="117">
        <v>2023</v>
      </c>
      <c r="W876" s="117">
        <v>6</v>
      </c>
      <c r="X876" s="117">
        <v>1145000</v>
      </c>
      <c r="Y876" s="117">
        <v>2.5000000000000001E-2</v>
      </c>
      <c r="Z876" s="21" t="b">
        <v>0</v>
      </c>
      <c r="AA876" s="162">
        <f>+$AD$5-Tabla2[[#This Row],[FECHA DE FACTURACIÓN]]</f>
        <v>240</v>
      </c>
      <c r="AB876" s="163" t="str">
        <f>+IF(Tabla2[[#This Row],[dias de credito]]&gt;=Tabla2[[#This Row],[PLAZO Días]],"venc", "No venc")</f>
        <v>venc</v>
      </c>
      <c r="AC876" s="163" t="str">
        <f>+IF(Tabla2[[#This Row],[FECHA DE PAGO]]&gt;0,"pagada","por pagar")</f>
        <v>pagada</v>
      </c>
      <c r="AD876" s="164" t="str">
        <f>+IF(AND(Tabla2[[#This Row],[venc]]="venc",Tabla2[[#This Row],[estado pago]]="por pagar"),"vencida","no")</f>
        <v>no</v>
      </c>
    </row>
    <row r="877" spans="1:30" ht="19.5" hidden="1" customHeight="1" x14ac:dyDescent="0.25">
      <c r="A877" s="8" t="s">
        <v>1850</v>
      </c>
      <c r="B877" s="8" t="b">
        <v>0</v>
      </c>
      <c r="C877" s="8">
        <v>30</v>
      </c>
      <c r="D877" s="151">
        <v>0</v>
      </c>
      <c r="E877" s="151"/>
      <c r="F877" s="24">
        <v>0</v>
      </c>
      <c r="G877" s="30">
        <v>45239</v>
      </c>
      <c r="H877" s="81" t="s">
        <v>387</v>
      </c>
      <c r="I877" s="30">
        <v>45231</v>
      </c>
      <c r="J877" s="16" t="s">
        <v>441</v>
      </c>
      <c r="K877" s="9" t="s">
        <v>1530</v>
      </c>
      <c r="L877" s="9"/>
      <c r="M877" s="152">
        <v>129083</v>
      </c>
      <c r="N877" s="153">
        <v>0</v>
      </c>
      <c r="O877" s="152">
        <v>0</v>
      </c>
      <c r="P877" s="154">
        <v>0</v>
      </c>
      <c r="Q877" s="152">
        <v>0</v>
      </c>
      <c r="R877" s="9">
        <v>129083</v>
      </c>
      <c r="S877" s="21" t="s">
        <v>1846</v>
      </c>
      <c r="T877" s="117">
        <v>0</v>
      </c>
      <c r="U877" s="117">
        <v>0</v>
      </c>
      <c r="V877" s="117">
        <v>2023</v>
      </c>
      <c r="W877" s="117">
        <v>6</v>
      </c>
      <c r="X877" s="117">
        <v>0</v>
      </c>
      <c r="Y877" s="117">
        <v>0</v>
      </c>
      <c r="Z877" s="21" t="b">
        <v>1</v>
      </c>
      <c r="AA877" s="162">
        <f>+$AD$5-Tabla2[[#This Row],[FECHA DE FACTURACIÓN]]</f>
        <v>212</v>
      </c>
      <c r="AB877" s="163" t="str">
        <f>+IF(Tabla2[[#This Row],[dias de credito]]&gt;=Tabla2[[#This Row],[PLAZO Días]],"venc", "No venc")</f>
        <v>venc</v>
      </c>
      <c r="AC877" s="163" t="str">
        <f>+IF(Tabla2[[#This Row],[FECHA DE PAGO]]&gt;0,"pagada","por pagar")</f>
        <v>pagada</v>
      </c>
      <c r="AD877" s="164" t="str">
        <f>+IF(AND(Tabla2[[#This Row],[venc]]="venc",Tabla2[[#This Row],[estado pago]]="por pagar"),"vencida","no")</f>
        <v>no</v>
      </c>
    </row>
    <row r="878" spans="1:30" ht="19.5" hidden="1" customHeight="1" x14ac:dyDescent="0.25">
      <c r="A878" s="8" t="s">
        <v>1850</v>
      </c>
      <c r="B878" s="8" t="b">
        <v>0</v>
      </c>
      <c r="C878" s="8">
        <v>30</v>
      </c>
      <c r="D878" s="151">
        <v>0</v>
      </c>
      <c r="E878" s="151"/>
      <c r="F878" s="24" t="s">
        <v>84</v>
      </c>
      <c r="G878" s="30">
        <v>45239</v>
      </c>
      <c r="H878" s="81" t="s">
        <v>481</v>
      </c>
      <c r="I878" s="30">
        <v>45238</v>
      </c>
      <c r="J878" s="16" t="s">
        <v>1284</v>
      </c>
      <c r="K878" s="9" t="s">
        <v>1530</v>
      </c>
      <c r="L878" s="9"/>
      <c r="M878" s="152">
        <v>2128000</v>
      </c>
      <c r="N878" s="153">
        <v>0</v>
      </c>
      <c r="O878" s="152">
        <v>0</v>
      </c>
      <c r="P878" s="154">
        <v>0</v>
      </c>
      <c r="Q878" s="152">
        <v>0</v>
      </c>
      <c r="R878" s="9">
        <v>2128000</v>
      </c>
      <c r="S878" s="21" t="s">
        <v>1846</v>
      </c>
      <c r="T878" s="117">
        <v>0</v>
      </c>
      <c r="U878" s="117">
        <v>0</v>
      </c>
      <c r="V878" s="117">
        <v>2023</v>
      </c>
      <c r="W878" s="117">
        <v>6</v>
      </c>
      <c r="X878" s="117">
        <v>0</v>
      </c>
      <c r="Y878" s="117">
        <v>0</v>
      </c>
      <c r="Z878" s="21" t="b">
        <v>0</v>
      </c>
      <c r="AA878" s="162">
        <f>+$AD$5-Tabla2[[#This Row],[FECHA DE FACTURACIÓN]]</f>
        <v>205</v>
      </c>
      <c r="AB878" s="163" t="str">
        <f>+IF(Tabla2[[#This Row],[dias de credito]]&gt;=Tabla2[[#This Row],[PLAZO Días]],"venc", "No venc")</f>
        <v>venc</v>
      </c>
      <c r="AC878" s="163" t="str">
        <f>+IF(Tabla2[[#This Row],[FECHA DE PAGO]]&gt;0,"pagada","por pagar")</f>
        <v>pagada</v>
      </c>
      <c r="AD878" s="164" t="str">
        <f>+IF(AND(Tabla2[[#This Row],[venc]]="venc",Tabla2[[#This Row],[estado pago]]="por pagar"),"vencida","no")</f>
        <v>no</v>
      </c>
    </row>
    <row r="879" spans="1:30" ht="19.5" hidden="1" customHeight="1" x14ac:dyDescent="0.25">
      <c r="A879" s="8" t="s">
        <v>1852</v>
      </c>
      <c r="B879" s="8" t="b">
        <v>0</v>
      </c>
      <c r="C879" s="8">
        <v>30</v>
      </c>
      <c r="D879" s="151">
        <v>0</v>
      </c>
      <c r="E879" s="151"/>
      <c r="F879" s="24">
        <v>0</v>
      </c>
      <c r="G879" s="30">
        <v>45239</v>
      </c>
      <c r="H879" s="81" t="s">
        <v>387</v>
      </c>
      <c r="I879" s="30">
        <v>45239</v>
      </c>
      <c r="J879" s="16" t="s">
        <v>1193</v>
      </c>
      <c r="K879" s="9" t="s">
        <v>1530</v>
      </c>
      <c r="L879" s="9"/>
      <c r="M879" s="152">
        <v>1482303</v>
      </c>
      <c r="N879" s="153">
        <v>0</v>
      </c>
      <c r="O879" s="152">
        <v>0</v>
      </c>
      <c r="P879" s="154">
        <v>0</v>
      </c>
      <c r="Q879" s="152">
        <v>0</v>
      </c>
      <c r="R879" s="9">
        <v>1482303</v>
      </c>
      <c r="S879" s="21" t="s">
        <v>1846</v>
      </c>
      <c r="T879" s="117">
        <v>0</v>
      </c>
      <c r="U879" s="117">
        <v>0</v>
      </c>
      <c r="V879" s="117">
        <v>2023</v>
      </c>
      <c r="W879" s="117">
        <v>6</v>
      </c>
      <c r="X879" s="117">
        <v>0</v>
      </c>
      <c r="Y879" s="117">
        <v>0</v>
      </c>
      <c r="Z879" s="21" t="b">
        <v>1</v>
      </c>
      <c r="AA879" s="162">
        <f>+$AD$5-Tabla2[[#This Row],[FECHA DE FACTURACIÓN]]</f>
        <v>204</v>
      </c>
      <c r="AB879" s="163" t="str">
        <f>+IF(Tabla2[[#This Row],[dias de credito]]&gt;=Tabla2[[#This Row],[PLAZO Días]],"venc", "No venc")</f>
        <v>venc</v>
      </c>
      <c r="AC879" s="163" t="str">
        <f>+IF(Tabla2[[#This Row],[FECHA DE PAGO]]&gt;0,"pagada","por pagar")</f>
        <v>pagada</v>
      </c>
      <c r="AD879" s="164" t="str">
        <f>+IF(AND(Tabla2[[#This Row],[venc]]="venc",Tabla2[[#This Row],[estado pago]]="por pagar"),"vencida","no")</f>
        <v>no</v>
      </c>
    </row>
    <row r="880" spans="1:30" ht="19.5" hidden="1" customHeight="1" x14ac:dyDescent="0.25">
      <c r="A880" s="8" t="s">
        <v>1850</v>
      </c>
      <c r="B880" s="8" t="b">
        <v>0</v>
      </c>
      <c r="C880" s="8">
        <v>30</v>
      </c>
      <c r="D880" s="151">
        <v>0</v>
      </c>
      <c r="E880" s="151"/>
      <c r="F880" s="24" t="s">
        <v>253</v>
      </c>
      <c r="G880" s="30">
        <v>45240</v>
      </c>
      <c r="H880" s="81" t="s">
        <v>368</v>
      </c>
      <c r="I880" s="30">
        <v>45231</v>
      </c>
      <c r="J880" s="16" t="s">
        <v>1195</v>
      </c>
      <c r="K880" s="9" t="s">
        <v>1530</v>
      </c>
      <c r="L880" s="9"/>
      <c r="M880" s="152">
        <v>908172</v>
      </c>
      <c r="N880" s="153">
        <v>172552.68</v>
      </c>
      <c r="O880" s="152">
        <v>0</v>
      </c>
      <c r="P880" s="154">
        <v>0</v>
      </c>
      <c r="Q880" s="152">
        <v>0</v>
      </c>
      <c r="R880" s="9">
        <v>1080724.68</v>
      </c>
      <c r="S880" s="21" t="s">
        <v>1846</v>
      </c>
      <c r="T880" s="117">
        <v>0</v>
      </c>
      <c r="U880" s="117">
        <v>0</v>
      </c>
      <c r="V880" s="117">
        <v>2023</v>
      </c>
      <c r="W880" s="117">
        <v>6</v>
      </c>
      <c r="X880" s="117">
        <v>0</v>
      </c>
      <c r="Y880" s="117">
        <v>0</v>
      </c>
      <c r="Z880" s="21" t="b">
        <v>1</v>
      </c>
      <c r="AA880" s="162">
        <f>+$AD$5-Tabla2[[#This Row],[FECHA DE FACTURACIÓN]]</f>
        <v>212</v>
      </c>
      <c r="AB880" s="163" t="str">
        <f>+IF(Tabla2[[#This Row],[dias de credito]]&gt;=Tabla2[[#This Row],[PLAZO Días]],"venc", "No venc")</f>
        <v>venc</v>
      </c>
      <c r="AC880" s="163" t="str">
        <f>+IF(Tabla2[[#This Row],[FECHA DE PAGO]]&gt;0,"pagada","por pagar")</f>
        <v>pagada</v>
      </c>
      <c r="AD880" s="164" t="str">
        <f>+IF(AND(Tabla2[[#This Row],[venc]]="venc",Tabla2[[#This Row],[estado pago]]="por pagar"),"vencida","no")</f>
        <v>no</v>
      </c>
    </row>
    <row r="881" spans="1:30" ht="19.5" hidden="1" customHeight="1" x14ac:dyDescent="0.25">
      <c r="A881" s="8" t="s">
        <v>1850</v>
      </c>
      <c r="B881" s="8" t="b">
        <v>0</v>
      </c>
      <c r="C881" s="8">
        <v>30</v>
      </c>
      <c r="D881" s="151">
        <v>0</v>
      </c>
      <c r="E881" s="151"/>
      <c r="F881" s="24" t="s">
        <v>253</v>
      </c>
      <c r="G881" s="30">
        <v>45240</v>
      </c>
      <c r="H881" s="81" t="s">
        <v>368</v>
      </c>
      <c r="I881" s="30">
        <v>45231</v>
      </c>
      <c r="J881" s="16" t="s">
        <v>1196</v>
      </c>
      <c r="K881" s="9" t="s">
        <v>1530</v>
      </c>
      <c r="L881" s="9"/>
      <c r="M881" s="152">
        <v>3792544</v>
      </c>
      <c r="N881" s="153">
        <v>720583.36</v>
      </c>
      <c r="O881" s="152">
        <v>0</v>
      </c>
      <c r="P881" s="154">
        <v>0</v>
      </c>
      <c r="Q881" s="152">
        <v>0</v>
      </c>
      <c r="R881" s="9">
        <v>4513127.3600000003</v>
      </c>
      <c r="S881" s="21" t="s">
        <v>1846</v>
      </c>
      <c r="T881" s="117">
        <v>0</v>
      </c>
      <c r="U881" s="117">
        <v>0</v>
      </c>
      <c r="V881" s="117">
        <v>2023</v>
      </c>
      <c r="W881" s="117">
        <v>6</v>
      </c>
      <c r="X881" s="117">
        <v>0</v>
      </c>
      <c r="Y881" s="117">
        <v>0</v>
      </c>
      <c r="Z881" s="21" t="b">
        <v>1</v>
      </c>
      <c r="AA881" s="162">
        <f>+$AD$5-Tabla2[[#This Row],[FECHA DE FACTURACIÓN]]</f>
        <v>212</v>
      </c>
      <c r="AB881" s="163" t="str">
        <f>+IF(Tabla2[[#This Row],[dias de credito]]&gt;=Tabla2[[#This Row],[PLAZO Días]],"venc", "No venc")</f>
        <v>venc</v>
      </c>
      <c r="AC881" s="163" t="str">
        <f>+IF(Tabla2[[#This Row],[FECHA DE PAGO]]&gt;0,"pagada","por pagar")</f>
        <v>pagada</v>
      </c>
      <c r="AD881" s="164" t="str">
        <f>+IF(AND(Tabla2[[#This Row],[venc]]="venc",Tabla2[[#This Row],[estado pago]]="por pagar"),"vencida","no")</f>
        <v>no</v>
      </c>
    </row>
    <row r="882" spans="1:30" ht="19.5" hidden="1" customHeight="1" x14ac:dyDescent="0.25">
      <c r="A882" s="8" t="s">
        <v>1850</v>
      </c>
      <c r="B882" s="8" t="b">
        <v>0</v>
      </c>
      <c r="C882" s="8">
        <v>30</v>
      </c>
      <c r="D882" s="151">
        <v>0</v>
      </c>
      <c r="E882" s="151"/>
      <c r="F882" s="24">
        <v>0</v>
      </c>
      <c r="G882" s="30">
        <v>45240</v>
      </c>
      <c r="H882" s="81" t="s">
        <v>1805</v>
      </c>
      <c r="I882" s="30">
        <v>45231</v>
      </c>
      <c r="J882" s="16" t="s">
        <v>1236</v>
      </c>
      <c r="K882" s="9" t="s">
        <v>1530</v>
      </c>
      <c r="L882" s="9"/>
      <c r="M882" s="152">
        <v>1128000</v>
      </c>
      <c r="N882" s="153">
        <v>0</v>
      </c>
      <c r="O882" s="152">
        <v>0</v>
      </c>
      <c r="P882" s="154">
        <v>0</v>
      </c>
      <c r="Q882" s="152">
        <v>0</v>
      </c>
      <c r="R882" s="9">
        <v>1128000</v>
      </c>
      <c r="S882" s="21" t="s">
        <v>1846</v>
      </c>
      <c r="T882" s="117">
        <v>0</v>
      </c>
      <c r="U882" s="117">
        <v>0</v>
      </c>
      <c r="V882" s="117">
        <v>2023</v>
      </c>
      <c r="W882" s="117">
        <v>6</v>
      </c>
      <c r="X882" s="117">
        <v>0</v>
      </c>
      <c r="Y882" s="117">
        <v>0</v>
      </c>
      <c r="Z882" s="21" t="b">
        <v>0</v>
      </c>
      <c r="AA882" s="162">
        <f>+$AD$5-Tabla2[[#This Row],[FECHA DE FACTURACIÓN]]</f>
        <v>212</v>
      </c>
      <c r="AB882" s="163" t="str">
        <f>+IF(Tabla2[[#This Row],[dias de credito]]&gt;=Tabla2[[#This Row],[PLAZO Días]],"venc", "No venc")</f>
        <v>venc</v>
      </c>
      <c r="AC882" s="163" t="str">
        <f>+IF(Tabla2[[#This Row],[FECHA DE PAGO]]&gt;0,"pagada","por pagar")</f>
        <v>pagada</v>
      </c>
      <c r="AD882" s="164" t="str">
        <f>+IF(AND(Tabla2[[#This Row],[venc]]="venc",Tabla2[[#This Row],[estado pago]]="por pagar"),"vencida","no")</f>
        <v>no</v>
      </c>
    </row>
    <row r="883" spans="1:30" ht="19.5" hidden="1" customHeight="1" x14ac:dyDescent="0.25">
      <c r="A883" s="8" t="s">
        <v>1850</v>
      </c>
      <c r="B883" s="8" t="b">
        <v>0</v>
      </c>
      <c r="C883" s="8">
        <v>10</v>
      </c>
      <c r="D883" s="151">
        <v>0</v>
      </c>
      <c r="E883" s="151"/>
      <c r="F883" s="24" t="s">
        <v>483</v>
      </c>
      <c r="G883" s="30">
        <v>45240</v>
      </c>
      <c r="H883" s="81" t="s">
        <v>482</v>
      </c>
      <c r="I883" s="30">
        <v>45231</v>
      </c>
      <c r="J883" s="16" t="s">
        <v>1194</v>
      </c>
      <c r="K883" s="9" t="s">
        <v>1530</v>
      </c>
      <c r="L883" s="9"/>
      <c r="M883" s="152">
        <v>5350576</v>
      </c>
      <c r="N883" s="153">
        <v>1016609.4400000001</v>
      </c>
      <c r="O883" s="152">
        <v>0</v>
      </c>
      <c r="P883" s="154">
        <v>0</v>
      </c>
      <c r="Q883" s="152">
        <v>0</v>
      </c>
      <c r="R883" s="9">
        <v>6367185.4400000004</v>
      </c>
      <c r="S883" s="21" t="s">
        <v>1846</v>
      </c>
      <c r="T883" s="117">
        <v>0</v>
      </c>
      <c r="U883" s="117">
        <v>0</v>
      </c>
      <c r="V883" s="117">
        <v>2023</v>
      </c>
      <c r="W883" s="117">
        <v>6</v>
      </c>
      <c r="X883" s="117">
        <v>0</v>
      </c>
      <c r="Y883" s="117">
        <v>0</v>
      </c>
      <c r="Z883" s="21" t="b">
        <v>1</v>
      </c>
      <c r="AA883" s="162">
        <f>+$AD$5-Tabla2[[#This Row],[FECHA DE FACTURACIÓN]]</f>
        <v>212</v>
      </c>
      <c r="AB883" s="163" t="str">
        <f>+IF(Tabla2[[#This Row],[dias de credito]]&gt;=Tabla2[[#This Row],[PLAZO Días]],"venc", "No venc")</f>
        <v>venc</v>
      </c>
      <c r="AC883" s="163" t="str">
        <f>+IF(Tabla2[[#This Row],[FECHA DE PAGO]]&gt;0,"pagada","por pagar")</f>
        <v>pagada</v>
      </c>
      <c r="AD883" s="164" t="str">
        <f>+IF(AND(Tabla2[[#This Row],[venc]]="venc",Tabla2[[#This Row],[estado pago]]="por pagar"),"vencida","no")</f>
        <v>no</v>
      </c>
    </row>
    <row r="884" spans="1:30" ht="19.5" hidden="1" customHeight="1" x14ac:dyDescent="0.25">
      <c r="A884" s="8" t="s">
        <v>1850</v>
      </c>
      <c r="B884" s="8" t="s">
        <v>1851</v>
      </c>
      <c r="C884" s="8">
        <v>30</v>
      </c>
      <c r="D884" s="151">
        <v>8456975.129999999</v>
      </c>
      <c r="E884" s="151"/>
      <c r="F884" s="24" t="s">
        <v>1476</v>
      </c>
      <c r="G884" s="30">
        <v>45244</v>
      </c>
      <c r="H884" s="81" t="s">
        <v>1464</v>
      </c>
      <c r="I884" s="30">
        <v>45196</v>
      </c>
      <c r="J884" s="16" t="s">
        <v>1095</v>
      </c>
      <c r="K884" s="9" t="s">
        <v>1530</v>
      </c>
      <c r="L884" s="9"/>
      <c r="M884" s="152">
        <v>2740335</v>
      </c>
      <c r="N884" s="153">
        <v>520663.65</v>
      </c>
      <c r="O884" s="152">
        <v>0</v>
      </c>
      <c r="P884" s="154">
        <v>2.5000000000000001E-2</v>
      </c>
      <c r="Q884" s="152">
        <v>68508.375</v>
      </c>
      <c r="R884" s="9">
        <v>3192490.2749999999</v>
      </c>
      <c r="S884" s="21" t="s">
        <v>1846</v>
      </c>
      <c r="T884" s="117">
        <v>0</v>
      </c>
      <c r="U884" s="117" t="s">
        <v>347</v>
      </c>
      <c r="V884" s="117">
        <v>2023</v>
      </c>
      <c r="W884" s="117">
        <v>6</v>
      </c>
      <c r="X884" s="117">
        <v>1145000</v>
      </c>
      <c r="Y884" s="117">
        <v>2.5000000000000001E-2</v>
      </c>
      <c r="Z884" s="21" t="b">
        <v>0</v>
      </c>
      <c r="AA884" s="162">
        <f>+$AD$5-Tabla2[[#This Row],[FECHA DE FACTURACIÓN]]</f>
        <v>247</v>
      </c>
      <c r="AB884" s="163" t="str">
        <f>+IF(Tabla2[[#This Row],[dias de credito]]&gt;=Tabla2[[#This Row],[PLAZO Días]],"venc", "No venc")</f>
        <v>venc</v>
      </c>
      <c r="AC884" s="163" t="str">
        <f>+IF(Tabla2[[#This Row],[FECHA DE PAGO]]&gt;0,"pagada","por pagar")</f>
        <v>pagada</v>
      </c>
      <c r="AD884" s="164" t="str">
        <f>+IF(AND(Tabla2[[#This Row],[venc]]="venc",Tabla2[[#This Row],[estado pago]]="por pagar"),"vencida","no")</f>
        <v>no</v>
      </c>
    </row>
    <row r="885" spans="1:30" ht="19.5" hidden="1" customHeight="1" x14ac:dyDescent="0.25">
      <c r="A885" s="8" t="s">
        <v>1850</v>
      </c>
      <c r="B885" s="8" t="s">
        <v>1851</v>
      </c>
      <c r="C885" s="8">
        <v>30</v>
      </c>
      <c r="D885" s="151">
        <v>8456975.129999999</v>
      </c>
      <c r="E885" s="151"/>
      <c r="F885" s="24" t="s">
        <v>1476</v>
      </c>
      <c r="G885" s="30">
        <v>45244</v>
      </c>
      <c r="H885" s="81" t="s">
        <v>1464</v>
      </c>
      <c r="I885" s="30">
        <v>45203</v>
      </c>
      <c r="J885" s="16" t="s">
        <v>1158</v>
      </c>
      <c r="K885" s="9" t="s">
        <v>1530</v>
      </c>
      <c r="L885" s="9"/>
      <c r="M885" s="152">
        <v>168068</v>
      </c>
      <c r="N885" s="153">
        <v>31932.920000000002</v>
      </c>
      <c r="O885" s="152">
        <v>0</v>
      </c>
      <c r="P885" s="154">
        <v>0</v>
      </c>
      <c r="Q885" s="152">
        <v>0</v>
      </c>
      <c r="R885" s="9">
        <v>200000.92</v>
      </c>
      <c r="S885" s="21" t="s">
        <v>1846</v>
      </c>
      <c r="T885" s="117">
        <v>0</v>
      </c>
      <c r="U885" s="117" t="s">
        <v>347</v>
      </c>
      <c r="V885" s="117">
        <v>2023</v>
      </c>
      <c r="W885" s="117">
        <v>6</v>
      </c>
      <c r="X885" s="117">
        <v>1145000</v>
      </c>
      <c r="Y885" s="117">
        <v>2.5000000000000001E-2</v>
      </c>
      <c r="Z885" s="21" t="b">
        <v>0</v>
      </c>
      <c r="AA885" s="162">
        <f>+$AD$5-Tabla2[[#This Row],[FECHA DE FACTURACIÓN]]</f>
        <v>240</v>
      </c>
      <c r="AB885" s="163" t="str">
        <f>+IF(Tabla2[[#This Row],[dias de credito]]&gt;=Tabla2[[#This Row],[PLAZO Días]],"venc", "No venc")</f>
        <v>venc</v>
      </c>
      <c r="AC885" s="163" t="str">
        <f>+IF(Tabla2[[#This Row],[FECHA DE PAGO]]&gt;0,"pagada","por pagar")</f>
        <v>pagada</v>
      </c>
      <c r="AD885" s="164" t="str">
        <f>+IF(AND(Tabla2[[#This Row],[venc]]="venc",Tabla2[[#This Row],[estado pago]]="por pagar"),"vencida","no")</f>
        <v>no</v>
      </c>
    </row>
    <row r="886" spans="1:30" ht="19.5" hidden="1" customHeight="1" x14ac:dyDescent="0.25">
      <c r="A886" s="8" t="s">
        <v>1850</v>
      </c>
      <c r="B886" s="8" t="s">
        <v>1851</v>
      </c>
      <c r="C886" s="8">
        <v>30</v>
      </c>
      <c r="D886" s="151">
        <v>2095000</v>
      </c>
      <c r="E886" s="151"/>
      <c r="F886" s="24" t="s">
        <v>204</v>
      </c>
      <c r="G886" s="30">
        <v>45244</v>
      </c>
      <c r="H886" s="81" t="s">
        <v>1804</v>
      </c>
      <c r="I886" s="30">
        <v>45210</v>
      </c>
      <c r="J886" s="16" t="s">
        <v>1155</v>
      </c>
      <c r="K886" s="9" t="s">
        <v>1530</v>
      </c>
      <c r="L886" s="9"/>
      <c r="M886" s="152">
        <v>986500</v>
      </c>
      <c r="N886" s="153">
        <v>0</v>
      </c>
      <c r="O886" s="152">
        <v>0</v>
      </c>
      <c r="P886" s="154">
        <v>0</v>
      </c>
      <c r="Q886" s="152">
        <v>0</v>
      </c>
      <c r="R886" s="9">
        <v>986500</v>
      </c>
      <c r="S886" s="21" t="s">
        <v>1846</v>
      </c>
      <c r="T886" s="117">
        <v>0</v>
      </c>
      <c r="U886" s="117">
        <v>0</v>
      </c>
      <c r="V886" s="117">
        <v>2023</v>
      </c>
      <c r="W886" s="117">
        <v>6</v>
      </c>
      <c r="X886" s="117">
        <v>0</v>
      </c>
      <c r="Y886" s="117">
        <v>0</v>
      </c>
      <c r="Z886" s="21" t="b">
        <v>0</v>
      </c>
      <c r="AA886" s="162">
        <f>+$AD$5-Tabla2[[#This Row],[FECHA DE FACTURACIÓN]]</f>
        <v>233</v>
      </c>
      <c r="AB886" s="163" t="str">
        <f>+IF(Tabla2[[#This Row],[dias de credito]]&gt;=Tabla2[[#This Row],[PLAZO Días]],"venc", "No venc")</f>
        <v>venc</v>
      </c>
      <c r="AC886" s="163" t="str">
        <f>+IF(Tabla2[[#This Row],[FECHA DE PAGO]]&gt;0,"pagada","por pagar")</f>
        <v>pagada</v>
      </c>
      <c r="AD886" s="164" t="str">
        <f>+IF(AND(Tabla2[[#This Row],[venc]]="venc",Tabla2[[#This Row],[estado pago]]="por pagar"),"vencida","no")</f>
        <v>no</v>
      </c>
    </row>
    <row r="887" spans="1:30" ht="19.5" hidden="1" customHeight="1" x14ac:dyDescent="0.25">
      <c r="A887" s="8" t="s">
        <v>1852</v>
      </c>
      <c r="B887" s="8" t="e">
        <v>#N/A</v>
      </c>
      <c r="C887" s="8" t="e">
        <v>#N/A</v>
      </c>
      <c r="D887" s="151">
        <v>0</v>
      </c>
      <c r="E887" s="151"/>
      <c r="F887" s="24" t="e">
        <v>#N/A</v>
      </c>
      <c r="G887" s="30">
        <v>45244</v>
      </c>
      <c r="H887" s="81" t="s">
        <v>1873</v>
      </c>
      <c r="I887" s="30">
        <v>45244</v>
      </c>
      <c r="J887" s="16">
        <v>310278</v>
      </c>
      <c r="K887" s="9" t="s">
        <v>1530</v>
      </c>
      <c r="L887" s="9"/>
      <c r="M887" s="152">
        <v>2296000</v>
      </c>
      <c r="N887" s="153">
        <v>0</v>
      </c>
      <c r="O887" s="152">
        <v>0</v>
      </c>
      <c r="P887" s="154">
        <v>0</v>
      </c>
      <c r="Q887" s="152">
        <v>0</v>
      </c>
      <c r="R887" s="9">
        <v>2296000</v>
      </c>
      <c r="S887" s="21" t="s">
        <v>1846</v>
      </c>
      <c r="T887" s="117">
        <v>0</v>
      </c>
      <c r="U887" s="117" t="e">
        <v>#N/A</v>
      </c>
      <c r="V887" s="117">
        <v>2023</v>
      </c>
      <c r="W887" s="117">
        <v>6</v>
      </c>
      <c r="X887" s="117" t="e">
        <v>#N/A</v>
      </c>
      <c r="Y887" s="117" t="e">
        <v>#N/A</v>
      </c>
      <c r="Z887" s="21" t="b">
        <v>0</v>
      </c>
      <c r="AA887" s="162">
        <f>+$AD$5-Tabla2[[#This Row],[FECHA DE FACTURACIÓN]]</f>
        <v>199</v>
      </c>
      <c r="AB887" s="163" t="e">
        <f>+IF(Tabla2[[#This Row],[dias de credito]]&gt;=Tabla2[[#This Row],[PLAZO Días]],"venc", "No venc")</f>
        <v>#N/A</v>
      </c>
      <c r="AC887" s="163" t="str">
        <f>+IF(Tabla2[[#This Row],[FECHA DE PAGO]]&gt;0,"pagada","por pagar")</f>
        <v>pagada</v>
      </c>
      <c r="AD887" s="164" t="e">
        <f>+IF(AND(Tabla2[[#This Row],[venc]]="venc",Tabla2[[#This Row],[estado pago]]="por pagar"),"vencida","no")</f>
        <v>#N/A</v>
      </c>
    </row>
    <row r="888" spans="1:30" ht="19.5" hidden="1" customHeight="1" x14ac:dyDescent="0.25">
      <c r="A888" s="8" t="s">
        <v>1852</v>
      </c>
      <c r="B888" s="8" t="e">
        <v>#N/A</v>
      </c>
      <c r="C888" s="8" t="e">
        <v>#N/A</v>
      </c>
      <c r="D888" s="151">
        <v>0</v>
      </c>
      <c r="E888" s="151"/>
      <c r="F888" s="24" t="e">
        <v>#N/A</v>
      </c>
      <c r="G888" s="30">
        <v>45244</v>
      </c>
      <c r="H888" s="81" t="s">
        <v>1873</v>
      </c>
      <c r="I888" s="30">
        <v>45244</v>
      </c>
      <c r="J888" s="16">
        <v>310278</v>
      </c>
      <c r="K888" s="9" t="s">
        <v>1530</v>
      </c>
      <c r="L888" s="9"/>
      <c r="M888" s="152">
        <v>1036000</v>
      </c>
      <c r="N888" s="153">
        <v>0</v>
      </c>
      <c r="O888" s="152">
        <v>0</v>
      </c>
      <c r="P888" s="154">
        <v>0</v>
      </c>
      <c r="Q888" s="152">
        <v>0</v>
      </c>
      <c r="R888" s="9">
        <v>1036000</v>
      </c>
      <c r="S888" s="21" t="s">
        <v>1846</v>
      </c>
      <c r="T888" s="117">
        <v>0</v>
      </c>
      <c r="U888" s="117" t="e">
        <v>#N/A</v>
      </c>
      <c r="V888" s="117">
        <v>2023</v>
      </c>
      <c r="W888" s="117">
        <v>6</v>
      </c>
      <c r="X888" s="117" t="e">
        <v>#N/A</v>
      </c>
      <c r="Y888" s="117" t="e">
        <v>#N/A</v>
      </c>
      <c r="Z888" s="21" t="b">
        <v>0</v>
      </c>
      <c r="AA888" s="162">
        <f>+$AD$5-Tabla2[[#This Row],[FECHA DE FACTURACIÓN]]</f>
        <v>199</v>
      </c>
      <c r="AB888" s="163" t="e">
        <f>+IF(Tabla2[[#This Row],[dias de credito]]&gt;=Tabla2[[#This Row],[PLAZO Días]],"venc", "No venc")</f>
        <v>#N/A</v>
      </c>
      <c r="AC888" s="163" t="str">
        <f>+IF(Tabla2[[#This Row],[FECHA DE PAGO]]&gt;0,"pagada","por pagar")</f>
        <v>pagada</v>
      </c>
      <c r="AD888" s="164" t="e">
        <f>+IF(AND(Tabla2[[#This Row],[venc]]="venc",Tabla2[[#This Row],[estado pago]]="por pagar"),"vencida","no")</f>
        <v>#N/A</v>
      </c>
    </row>
    <row r="889" spans="1:30" ht="19.5" hidden="1" customHeight="1" x14ac:dyDescent="0.25">
      <c r="A889" s="8" t="s">
        <v>1852</v>
      </c>
      <c r="B889" s="8" t="b">
        <v>0</v>
      </c>
      <c r="C889" s="8">
        <v>30</v>
      </c>
      <c r="D889" s="151">
        <v>0</v>
      </c>
      <c r="E889" s="151"/>
      <c r="F889" s="24" t="s">
        <v>1497</v>
      </c>
      <c r="G889" s="30">
        <v>45244</v>
      </c>
      <c r="H889" s="81" t="s">
        <v>1865</v>
      </c>
      <c r="I889" s="30">
        <v>45244</v>
      </c>
      <c r="J889" s="16" t="s">
        <v>1227</v>
      </c>
      <c r="K889" s="9" t="s">
        <v>1530</v>
      </c>
      <c r="L889" s="9"/>
      <c r="M889" s="152">
        <v>2313921</v>
      </c>
      <c r="N889" s="153">
        <v>0</v>
      </c>
      <c r="O889" s="152">
        <v>0</v>
      </c>
      <c r="P889" s="154">
        <v>0</v>
      </c>
      <c r="Q889" s="152">
        <v>0</v>
      </c>
      <c r="R889" s="9">
        <v>2313921</v>
      </c>
      <c r="S889" s="21" t="s">
        <v>1846</v>
      </c>
      <c r="T889" s="117">
        <v>0</v>
      </c>
      <c r="U889" s="117">
        <v>0</v>
      </c>
      <c r="V889" s="117">
        <v>2023</v>
      </c>
      <c r="W889" s="117">
        <v>6</v>
      </c>
      <c r="X889" s="117">
        <v>0</v>
      </c>
      <c r="Y889" s="117">
        <v>0</v>
      </c>
      <c r="Z889" s="21" t="b">
        <v>0</v>
      </c>
      <c r="AA889" s="162">
        <f>+$AD$5-Tabla2[[#This Row],[FECHA DE FACTURACIÓN]]</f>
        <v>199</v>
      </c>
      <c r="AB889" s="163" t="str">
        <f>+IF(Tabla2[[#This Row],[dias de credito]]&gt;=Tabla2[[#This Row],[PLAZO Días]],"venc", "No venc")</f>
        <v>venc</v>
      </c>
      <c r="AC889" s="163" t="str">
        <f>+IF(Tabla2[[#This Row],[FECHA DE PAGO]]&gt;0,"pagada","por pagar")</f>
        <v>pagada</v>
      </c>
      <c r="AD889" s="164" t="str">
        <f>+IF(AND(Tabla2[[#This Row],[venc]]="venc",Tabla2[[#This Row],[estado pago]]="por pagar"),"vencida","no")</f>
        <v>no</v>
      </c>
    </row>
    <row r="890" spans="1:30" ht="19.5" hidden="1" customHeight="1" x14ac:dyDescent="0.25">
      <c r="A890" s="8" t="s">
        <v>1852</v>
      </c>
      <c r="B890" s="8" t="b">
        <v>0</v>
      </c>
      <c r="C890" s="8">
        <v>30</v>
      </c>
      <c r="D890" s="151">
        <v>1391998.93</v>
      </c>
      <c r="E890" s="151"/>
      <c r="F890" s="24" t="s">
        <v>1185</v>
      </c>
      <c r="G890" s="30">
        <v>45244</v>
      </c>
      <c r="H890" s="81" t="s">
        <v>1186</v>
      </c>
      <c r="I890" s="30">
        <v>45244</v>
      </c>
      <c r="J890" s="16" t="s">
        <v>1250</v>
      </c>
      <c r="K890" s="9" t="s">
        <v>1530</v>
      </c>
      <c r="L890" s="9"/>
      <c r="M890" s="152">
        <v>502938</v>
      </c>
      <c r="N890" s="153">
        <v>95558.22</v>
      </c>
      <c r="O890" s="152">
        <v>0</v>
      </c>
      <c r="P890" s="154">
        <v>0</v>
      </c>
      <c r="Q890" s="152">
        <v>0</v>
      </c>
      <c r="R890" s="9">
        <v>598496.22</v>
      </c>
      <c r="S890" s="21" t="s">
        <v>1846</v>
      </c>
      <c r="T890" s="117">
        <v>0</v>
      </c>
      <c r="U890" s="117" t="s">
        <v>347</v>
      </c>
      <c r="V890" s="117">
        <v>2023</v>
      </c>
      <c r="W890" s="117">
        <v>6</v>
      </c>
      <c r="X890" s="117">
        <v>1145000</v>
      </c>
      <c r="Y890" s="117">
        <v>2.5000000000000001E-2</v>
      </c>
      <c r="Z890" s="21" t="b">
        <v>0</v>
      </c>
      <c r="AA890" s="162">
        <f>+$AD$5-Tabla2[[#This Row],[FECHA DE FACTURACIÓN]]</f>
        <v>199</v>
      </c>
      <c r="AB890" s="163" t="str">
        <f>+IF(Tabla2[[#This Row],[dias de credito]]&gt;=Tabla2[[#This Row],[PLAZO Días]],"venc", "No venc")</f>
        <v>venc</v>
      </c>
      <c r="AC890" s="163" t="str">
        <f>+IF(Tabla2[[#This Row],[FECHA DE PAGO]]&gt;0,"pagada","por pagar")</f>
        <v>pagada</v>
      </c>
      <c r="AD890" s="164" t="str">
        <f>+IF(AND(Tabla2[[#This Row],[venc]]="venc",Tabla2[[#This Row],[estado pago]]="por pagar"),"vencida","no")</f>
        <v>no</v>
      </c>
    </row>
    <row r="891" spans="1:30" ht="19.5" hidden="1" customHeight="1" x14ac:dyDescent="0.25">
      <c r="A891" s="8" t="s">
        <v>1850</v>
      </c>
      <c r="B891" s="8" t="s">
        <v>1851</v>
      </c>
      <c r="C891" s="8">
        <v>13</v>
      </c>
      <c r="D891" s="151">
        <v>0</v>
      </c>
      <c r="E891" s="151"/>
      <c r="F891" s="24">
        <v>0</v>
      </c>
      <c r="G891" s="30">
        <v>45245</v>
      </c>
      <c r="H891" s="81" t="s">
        <v>389</v>
      </c>
      <c r="I891" s="30">
        <v>45231</v>
      </c>
      <c r="J891" s="16"/>
      <c r="K891" s="9" t="s">
        <v>1530</v>
      </c>
      <c r="L891" s="9"/>
      <c r="M891" s="152">
        <v>959182</v>
      </c>
      <c r="N891" s="153">
        <v>0</v>
      </c>
      <c r="O891" s="152">
        <v>0</v>
      </c>
      <c r="P891" s="154">
        <v>0</v>
      </c>
      <c r="Q891" s="152">
        <v>0</v>
      </c>
      <c r="R891" s="9">
        <v>959182</v>
      </c>
      <c r="S891" s="21" t="s">
        <v>1846</v>
      </c>
      <c r="T891" s="117">
        <v>0</v>
      </c>
      <c r="U891" s="117">
        <v>0</v>
      </c>
      <c r="V891" s="117">
        <v>2023</v>
      </c>
      <c r="W891" s="117">
        <v>6</v>
      </c>
      <c r="X891" s="117">
        <v>0</v>
      </c>
      <c r="Y891" s="117">
        <v>0</v>
      </c>
      <c r="Z891" s="21" t="b">
        <v>1</v>
      </c>
      <c r="AA891" s="162">
        <f>+$AD$5-Tabla2[[#This Row],[FECHA DE FACTURACIÓN]]</f>
        <v>212</v>
      </c>
      <c r="AB891" s="163" t="str">
        <f>+IF(Tabla2[[#This Row],[dias de credito]]&gt;=Tabla2[[#This Row],[PLAZO Días]],"venc", "No venc")</f>
        <v>venc</v>
      </c>
      <c r="AC891" s="163" t="str">
        <f>+IF(Tabla2[[#This Row],[FECHA DE PAGO]]&gt;0,"pagada","por pagar")</f>
        <v>pagada</v>
      </c>
      <c r="AD891" s="164" t="str">
        <f>+IF(AND(Tabla2[[#This Row],[venc]]="venc",Tabla2[[#This Row],[estado pago]]="por pagar"),"vencida","no")</f>
        <v>no</v>
      </c>
    </row>
    <row r="892" spans="1:30" ht="19.5" hidden="1" customHeight="1" x14ac:dyDescent="0.25">
      <c r="A892" s="8" t="s">
        <v>1852</v>
      </c>
      <c r="B892" s="8" t="b">
        <v>0</v>
      </c>
      <c r="C892" s="8">
        <v>30</v>
      </c>
      <c r="D892" s="151">
        <v>0</v>
      </c>
      <c r="E892" s="151"/>
      <c r="F892" s="24" t="s">
        <v>84</v>
      </c>
      <c r="G892" s="30">
        <v>45245</v>
      </c>
      <c r="H892" s="81" t="s">
        <v>525</v>
      </c>
      <c r="I892" s="30">
        <v>45245</v>
      </c>
      <c r="J892" s="16" t="s">
        <v>1281</v>
      </c>
      <c r="K892" s="9" t="s">
        <v>1530</v>
      </c>
      <c r="L892" s="9"/>
      <c r="M892" s="152">
        <v>600000</v>
      </c>
      <c r="N892" s="153">
        <v>0</v>
      </c>
      <c r="O892" s="152">
        <v>0</v>
      </c>
      <c r="P892" s="154">
        <v>0</v>
      </c>
      <c r="Q892" s="152">
        <v>0</v>
      </c>
      <c r="R892" s="9">
        <v>600000</v>
      </c>
      <c r="S892" s="21" t="s">
        <v>1846</v>
      </c>
      <c r="T892" s="117">
        <v>0</v>
      </c>
      <c r="U892" s="117">
        <v>0</v>
      </c>
      <c r="V892" s="117">
        <v>2023</v>
      </c>
      <c r="W892" s="117">
        <v>6</v>
      </c>
      <c r="X892" s="117">
        <v>0</v>
      </c>
      <c r="Y892" s="117">
        <v>0</v>
      </c>
      <c r="Z892" s="21" t="b">
        <v>0</v>
      </c>
      <c r="AA892" s="162">
        <f>+$AD$5-Tabla2[[#This Row],[FECHA DE FACTURACIÓN]]</f>
        <v>198</v>
      </c>
      <c r="AB892" s="163" t="str">
        <f>+IF(Tabla2[[#This Row],[dias de credito]]&gt;=Tabla2[[#This Row],[PLAZO Días]],"venc", "No venc")</f>
        <v>venc</v>
      </c>
      <c r="AC892" s="163" t="str">
        <f>+IF(Tabla2[[#This Row],[FECHA DE PAGO]]&gt;0,"pagada","por pagar")</f>
        <v>pagada</v>
      </c>
      <c r="AD892" s="164" t="str">
        <f>+IF(AND(Tabla2[[#This Row],[venc]]="venc",Tabla2[[#This Row],[estado pago]]="por pagar"),"vencida","no")</f>
        <v>no</v>
      </c>
    </row>
    <row r="893" spans="1:30" ht="19.5" hidden="1" customHeight="1" x14ac:dyDescent="0.25">
      <c r="A893" s="8" t="s">
        <v>1852</v>
      </c>
      <c r="B893" s="8" t="b">
        <v>0</v>
      </c>
      <c r="C893" s="8">
        <v>30</v>
      </c>
      <c r="D893" s="151">
        <v>1350000</v>
      </c>
      <c r="E893" s="151"/>
      <c r="F893" s="24" t="s">
        <v>84</v>
      </c>
      <c r="G893" s="30">
        <v>45245</v>
      </c>
      <c r="H893" s="81" t="s">
        <v>1807</v>
      </c>
      <c r="I893" s="30">
        <v>45245</v>
      </c>
      <c r="J893" s="16" t="s">
        <v>1278</v>
      </c>
      <c r="K893" s="9" t="s">
        <v>1530</v>
      </c>
      <c r="L893" s="9"/>
      <c r="M893" s="152">
        <v>460000</v>
      </c>
      <c r="N893" s="153">
        <v>0</v>
      </c>
      <c r="O893" s="152">
        <v>0</v>
      </c>
      <c r="P893" s="154">
        <v>0</v>
      </c>
      <c r="Q893" s="152">
        <v>0</v>
      </c>
      <c r="R893" s="9">
        <v>460000</v>
      </c>
      <c r="S893" s="21" t="s">
        <v>1846</v>
      </c>
      <c r="T893" s="117">
        <v>0</v>
      </c>
      <c r="U893" s="117">
        <v>0</v>
      </c>
      <c r="V893" s="117">
        <v>2023</v>
      </c>
      <c r="W893" s="117">
        <v>6</v>
      </c>
      <c r="X893" s="117">
        <v>0</v>
      </c>
      <c r="Y893" s="117">
        <v>0</v>
      </c>
      <c r="Z893" s="21" t="b">
        <v>0</v>
      </c>
      <c r="AA893" s="162">
        <f>+$AD$5-Tabla2[[#This Row],[FECHA DE FACTURACIÓN]]</f>
        <v>198</v>
      </c>
      <c r="AB893" s="163" t="str">
        <f>+IF(Tabla2[[#This Row],[dias de credito]]&gt;=Tabla2[[#This Row],[PLAZO Días]],"venc", "No venc")</f>
        <v>venc</v>
      </c>
      <c r="AC893" s="163" t="str">
        <f>+IF(Tabla2[[#This Row],[FECHA DE PAGO]]&gt;0,"pagada","por pagar")</f>
        <v>pagada</v>
      </c>
      <c r="AD893" s="164" t="str">
        <f>+IF(AND(Tabla2[[#This Row],[venc]]="venc",Tabla2[[#This Row],[estado pago]]="por pagar"),"vencida","no")</f>
        <v>no</v>
      </c>
    </row>
    <row r="894" spans="1:30" ht="19.5" hidden="1" customHeight="1" x14ac:dyDescent="0.25">
      <c r="A894" s="8" t="s">
        <v>1850</v>
      </c>
      <c r="B894" s="8" t="s">
        <v>1851</v>
      </c>
      <c r="C894" s="8">
        <v>30</v>
      </c>
      <c r="D894" s="151">
        <v>1460000.29</v>
      </c>
      <c r="E894" s="151"/>
      <c r="F894" s="24" t="s">
        <v>139</v>
      </c>
      <c r="G894" s="30">
        <v>45246</v>
      </c>
      <c r="H894" s="81" t="s">
        <v>131</v>
      </c>
      <c r="I894" s="30">
        <v>45156</v>
      </c>
      <c r="J894" s="16" t="s">
        <v>500</v>
      </c>
      <c r="K894" s="9" t="s">
        <v>1530</v>
      </c>
      <c r="L894" s="9"/>
      <c r="M894" s="152">
        <v>-537815</v>
      </c>
      <c r="N894" s="153">
        <v>-102184.85</v>
      </c>
      <c r="O894" s="152">
        <v>0</v>
      </c>
      <c r="P894" s="154">
        <v>0</v>
      </c>
      <c r="Q894" s="152">
        <v>0</v>
      </c>
      <c r="R894" s="9">
        <v>-639999.85</v>
      </c>
      <c r="S894" s="21" t="s">
        <v>1846</v>
      </c>
      <c r="T894" s="117">
        <v>0</v>
      </c>
      <c r="U894" s="117" t="s">
        <v>347</v>
      </c>
      <c r="V894" s="117">
        <v>2023</v>
      </c>
      <c r="W894" s="117">
        <v>6</v>
      </c>
      <c r="X894" s="117">
        <v>1145000</v>
      </c>
      <c r="Y894" s="117">
        <v>2.5000000000000001E-2</v>
      </c>
      <c r="Z894" s="21" t="b">
        <v>0</v>
      </c>
      <c r="AA894" s="162">
        <f>+$AD$5-Tabla2[[#This Row],[FECHA DE FACTURACIÓN]]</f>
        <v>287</v>
      </c>
      <c r="AB894" s="163" t="str">
        <f>+IF(Tabla2[[#This Row],[dias de credito]]&gt;=Tabla2[[#This Row],[PLAZO Días]],"venc", "No venc")</f>
        <v>venc</v>
      </c>
      <c r="AC894" s="163" t="str">
        <f>+IF(Tabla2[[#This Row],[FECHA DE PAGO]]&gt;0,"pagada","por pagar")</f>
        <v>pagada</v>
      </c>
      <c r="AD894" s="164" t="str">
        <f>+IF(AND(Tabla2[[#This Row],[venc]]="venc",Tabla2[[#This Row],[estado pago]]="por pagar"),"vencida","no")</f>
        <v>no</v>
      </c>
    </row>
    <row r="895" spans="1:30" ht="19.5" hidden="1" customHeight="1" x14ac:dyDescent="0.25">
      <c r="A895" s="8" t="s">
        <v>1850</v>
      </c>
      <c r="B895" s="8" t="s">
        <v>1851</v>
      </c>
      <c r="C895" s="8">
        <v>30</v>
      </c>
      <c r="D895" s="151">
        <v>1460000.29</v>
      </c>
      <c r="E895" s="151"/>
      <c r="F895" s="24" t="s">
        <v>139</v>
      </c>
      <c r="G895" s="30">
        <v>45246</v>
      </c>
      <c r="H895" s="81" t="s">
        <v>131</v>
      </c>
      <c r="I895" s="30">
        <v>45177</v>
      </c>
      <c r="J895" s="16" t="s">
        <v>1058</v>
      </c>
      <c r="K895" s="9" t="s">
        <v>1530</v>
      </c>
      <c r="L895" s="9"/>
      <c r="M895" s="152">
        <v>3048739</v>
      </c>
      <c r="N895" s="153">
        <v>579260.41</v>
      </c>
      <c r="O895" s="152">
        <v>0</v>
      </c>
      <c r="P895" s="154">
        <v>2.5000000000000001E-2</v>
      </c>
      <c r="Q895" s="152">
        <v>76218.475000000006</v>
      </c>
      <c r="R895" s="9">
        <v>3551780.9350000001</v>
      </c>
      <c r="S895" s="21" t="s">
        <v>1846</v>
      </c>
      <c r="T895" s="117">
        <v>0</v>
      </c>
      <c r="U895" s="117" t="s">
        <v>347</v>
      </c>
      <c r="V895" s="117">
        <v>2023</v>
      </c>
      <c r="W895" s="117">
        <v>6</v>
      </c>
      <c r="X895" s="117">
        <v>1145000</v>
      </c>
      <c r="Y895" s="117">
        <v>2.5000000000000001E-2</v>
      </c>
      <c r="Z895" s="21" t="b">
        <v>0</v>
      </c>
      <c r="AA895" s="162">
        <f>+$AD$5-Tabla2[[#This Row],[FECHA DE FACTURACIÓN]]</f>
        <v>266</v>
      </c>
      <c r="AB895" s="163" t="str">
        <f>+IF(Tabla2[[#This Row],[dias de credito]]&gt;=Tabla2[[#This Row],[PLAZO Días]],"venc", "No venc")</f>
        <v>venc</v>
      </c>
      <c r="AC895" s="163" t="str">
        <f>+IF(Tabla2[[#This Row],[FECHA DE PAGO]]&gt;0,"pagada","por pagar")</f>
        <v>pagada</v>
      </c>
      <c r="AD895" s="164" t="str">
        <f>+IF(AND(Tabla2[[#This Row],[venc]]="venc",Tabla2[[#This Row],[estado pago]]="por pagar"),"vencida","no")</f>
        <v>no</v>
      </c>
    </row>
    <row r="896" spans="1:30" ht="19.5" hidden="1" customHeight="1" x14ac:dyDescent="0.25">
      <c r="A896" s="8" t="s">
        <v>1850</v>
      </c>
      <c r="B896" s="8" t="s">
        <v>1851</v>
      </c>
      <c r="C896" s="8">
        <v>30</v>
      </c>
      <c r="D896" s="151">
        <v>0</v>
      </c>
      <c r="E896" s="151"/>
      <c r="F896" s="24" t="s">
        <v>139</v>
      </c>
      <c r="G896" s="30">
        <v>45246</v>
      </c>
      <c r="H896" s="81" t="s">
        <v>948</v>
      </c>
      <c r="I896" s="30">
        <v>45178</v>
      </c>
      <c r="J896" s="16" t="s">
        <v>1067</v>
      </c>
      <c r="K896" s="9" t="s">
        <v>1530</v>
      </c>
      <c r="L896" s="9"/>
      <c r="M896" s="152">
        <v>1157983</v>
      </c>
      <c r="N896" s="153">
        <v>220016.77</v>
      </c>
      <c r="O896" s="152">
        <v>0</v>
      </c>
      <c r="P896" s="154">
        <v>2.5000000000000001E-2</v>
      </c>
      <c r="Q896" s="152">
        <v>28949.575000000001</v>
      </c>
      <c r="R896" s="9">
        <v>1349050.1950000001</v>
      </c>
      <c r="S896" s="21" t="s">
        <v>1846</v>
      </c>
      <c r="T896" s="117">
        <v>0</v>
      </c>
      <c r="U896" s="117" t="s">
        <v>347</v>
      </c>
      <c r="V896" s="117">
        <v>2023</v>
      </c>
      <c r="W896" s="117">
        <v>6</v>
      </c>
      <c r="X896" s="117">
        <v>1145000</v>
      </c>
      <c r="Y896" s="117">
        <v>2.5000000000000001E-2</v>
      </c>
      <c r="Z896" s="21" t="b">
        <v>0</v>
      </c>
      <c r="AA896" s="162">
        <f>+$AD$5-Tabla2[[#This Row],[FECHA DE FACTURACIÓN]]</f>
        <v>265</v>
      </c>
      <c r="AB896" s="163" t="str">
        <f>+IF(Tabla2[[#This Row],[dias de credito]]&gt;=Tabla2[[#This Row],[PLAZO Días]],"venc", "No venc")</f>
        <v>venc</v>
      </c>
      <c r="AC896" s="163" t="str">
        <f>+IF(Tabla2[[#This Row],[FECHA DE PAGO]]&gt;0,"pagada","por pagar")</f>
        <v>pagada</v>
      </c>
      <c r="AD896" s="164" t="str">
        <f>+IF(AND(Tabla2[[#This Row],[venc]]="venc",Tabla2[[#This Row],[estado pago]]="por pagar"),"vencida","no")</f>
        <v>no</v>
      </c>
    </row>
    <row r="897" spans="1:30" ht="19.5" hidden="1" customHeight="1" x14ac:dyDescent="0.25">
      <c r="A897" s="8" t="s">
        <v>1850</v>
      </c>
      <c r="B897" s="8" t="s">
        <v>1851</v>
      </c>
      <c r="C897" s="8">
        <v>30</v>
      </c>
      <c r="D897" s="151">
        <v>1460000.29</v>
      </c>
      <c r="E897" s="151"/>
      <c r="F897" s="24" t="s">
        <v>139</v>
      </c>
      <c r="G897" s="30">
        <v>45246</v>
      </c>
      <c r="H897" s="81" t="s">
        <v>131</v>
      </c>
      <c r="I897" s="30">
        <v>45184</v>
      </c>
      <c r="J897" s="16" t="s">
        <v>1060</v>
      </c>
      <c r="K897" s="9" t="s">
        <v>1530</v>
      </c>
      <c r="L897" s="9"/>
      <c r="M897" s="152">
        <v>-210084</v>
      </c>
      <c r="N897" s="153">
        <v>-39915.96</v>
      </c>
      <c r="O897" s="152">
        <v>0</v>
      </c>
      <c r="P897" s="154">
        <v>0</v>
      </c>
      <c r="Q897" s="152">
        <v>0</v>
      </c>
      <c r="R897" s="9">
        <v>-249999.96</v>
      </c>
      <c r="S897" s="21" t="s">
        <v>1846</v>
      </c>
      <c r="T897" s="117">
        <v>0</v>
      </c>
      <c r="U897" s="117" t="s">
        <v>347</v>
      </c>
      <c r="V897" s="117">
        <v>2023</v>
      </c>
      <c r="W897" s="117">
        <v>6</v>
      </c>
      <c r="X897" s="117">
        <v>1145000</v>
      </c>
      <c r="Y897" s="117">
        <v>2.5000000000000001E-2</v>
      </c>
      <c r="Z897" s="21" t="b">
        <v>0</v>
      </c>
      <c r="AA897" s="162">
        <f>+$AD$5-Tabla2[[#This Row],[FECHA DE FACTURACIÓN]]</f>
        <v>259</v>
      </c>
      <c r="AB897" s="163" t="str">
        <f>+IF(Tabla2[[#This Row],[dias de credito]]&gt;=Tabla2[[#This Row],[PLAZO Días]],"venc", "No venc")</f>
        <v>venc</v>
      </c>
      <c r="AC897" s="163" t="str">
        <f>+IF(Tabla2[[#This Row],[FECHA DE PAGO]]&gt;0,"pagada","por pagar")</f>
        <v>pagada</v>
      </c>
      <c r="AD897" s="164" t="str">
        <f>+IF(AND(Tabla2[[#This Row],[venc]]="venc",Tabla2[[#This Row],[estado pago]]="por pagar"),"vencida","no")</f>
        <v>no</v>
      </c>
    </row>
    <row r="898" spans="1:30" ht="19.5" hidden="1" customHeight="1" x14ac:dyDescent="0.25">
      <c r="A898" s="8" t="s">
        <v>1850</v>
      </c>
      <c r="B898" s="8" t="s">
        <v>1851</v>
      </c>
      <c r="C898" s="8">
        <v>30</v>
      </c>
      <c r="D898" s="151">
        <v>1460000.29</v>
      </c>
      <c r="E898" s="151"/>
      <c r="F898" s="24" t="s">
        <v>139</v>
      </c>
      <c r="G898" s="30">
        <v>45246</v>
      </c>
      <c r="H898" s="81" t="s">
        <v>131</v>
      </c>
      <c r="I898" s="30">
        <v>45184</v>
      </c>
      <c r="J898" s="16" t="s">
        <v>1059</v>
      </c>
      <c r="K898" s="9" t="s">
        <v>1530</v>
      </c>
      <c r="L898" s="9"/>
      <c r="M898" s="152">
        <v>483193</v>
      </c>
      <c r="N898" s="153">
        <v>91806.67</v>
      </c>
      <c r="O898" s="152">
        <v>0</v>
      </c>
      <c r="P898" s="154">
        <v>0</v>
      </c>
      <c r="Q898" s="152">
        <v>0</v>
      </c>
      <c r="R898" s="9">
        <v>574999.67000000004</v>
      </c>
      <c r="S898" s="21" t="s">
        <v>1846</v>
      </c>
      <c r="T898" s="117">
        <v>0</v>
      </c>
      <c r="U898" s="117" t="s">
        <v>347</v>
      </c>
      <c r="V898" s="117">
        <v>2023</v>
      </c>
      <c r="W898" s="117">
        <v>6</v>
      </c>
      <c r="X898" s="117">
        <v>1145000</v>
      </c>
      <c r="Y898" s="117">
        <v>2.5000000000000001E-2</v>
      </c>
      <c r="Z898" s="21" t="b">
        <v>0</v>
      </c>
      <c r="AA898" s="162">
        <f>+$AD$5-Tabla2[[#This Row],[FECHA DE FACTURACIÓN]]</f>
        <v>259</v>
      </c>
      <c r="AB898" s="163" t="str">
        <f>+IF(Tabla2[[#This Row],[dias de credito]]&gt;=Tabla2[[#This Row],[PLAZO Días]],"venc", "No venc")</f>
        <v>venc</v>
      </c>
      <c r="AC898" s="163" t="str">
        <f>+IF(Tabla2[[#This Row],[FECHA DE PAGO]]&gt;0,"pagada","por pagar")</f>
        <v>pagada</v>
      </c>
      <c r="AD898" s="164" t="str">
        <f>+IF(AND(Tabla2[[#This Row],[venc]]="venc",Tabla2[[#This Row],[estado pago]]="por pagar"),"vencida","no")</f>
        <v>no</v>
      </c>
    </row>
    <row r="899" spans="1:30" ht="19.5" hidden="1" customHeight="1" x14ac:dyDescent="0.25">
      <c r="A899" s="8" t="s">
        <v>1850</v>
      </c>
      <c r="B899" s="8" t="s">
        <v>1851</v>
      </c>
      <c r="C899" s="8">
        <v>45</v>
      </c>
      <c r="D899" s="151">
        <v>22186260.039999999</v>
      </c>
      <c r="E899" s="151"/>
      <c r="F899" s="24" t="s">
        <v>357</v>
      </c>
      <c r="G899" s="30">
        <v>45246</v>
      </c>
      <c r="H899" s="81" t="s">
        <v>19</v>
      </c>
      <c r="I899" s="30">
        <v>45197</v>
      </c>
      <c r="J899" s="16" t="s">
        <v>1075</v>
      </c>
      <c r="K899" s="9" t="s">
        <v>1530</v>
      </c>
      <c r="L899" s="9"/>
      <c r="M899" s="152">
        <v>13085520</v>
      </c>
      <c r="N899" s="153">
        <v>2486248.7999999998</v>
      </c>
      <c r="O899" s="152">
        <v>0</v>
      </c>
      <c r="P899" s="154">
        <v>0</v>
      </c>
      <c r="Q899" s="152">
        <v>0</v>
      </c>
      <c r="R899" s="9">
        <v>15571768.800000001</v>
      </c>
      <c r="S899" s="21" t="s">
        <v>1846</v>
      </c>
      <c r="T899" s="117">
        <v>0</v>
      </c>
      <c r="U899" s="117">
        <v>0</v>
      </c>
      <c r="V899" s="117">
        <v>2023</v>
      </c>
      <c r="W899" s="117">
        <v>6</v>
      </c>
      <c r="X899" s="117">
        <v>0</v>
      </c>
      <c r="Y899" s="117">
        <v>0</v>
      </c>
      <c r="Z899" s="21" t="b">
        <v>0</v>
      </c>
      <c r="AA899" s="162">
        <f>+$AD$5-Tabla2[[#This Row],[FECHA DE FACTURACIÓN]]</f>
        <v>246</v>
      </c>
      <c r="AB899" s="163" t="str">
        <f>+IF(Tabla2[[#This Row],[dias de credito]]&gt;=Tabla2[[#This Row],[PLAZO Días]],"venc", "No venc")</f>
        <v>venc</v>
      </c>
      <c r="AC899" s="163" t="str">
        <f>+IF(Tabla2[[#This Row],[FECHA DE PAGO]]&gt;0,"pagada","por pagar")</f>
        <v>pagada</v>
      </c>
      <c r="AD899" s="164" t="str">
        <f>+IF(AND(Tabla2[[#This Row],[venc]]="venc",Tabla2[[#This Row],[estado pago]]="por pagar"),"vencida","no")</f>
        <v>no</v>
      </c>
    </row>
    <row r="900" spans="1:30" ht="19.5" hidden="1" customHeight="1" x14ac:dyDescent="0.25">
      <c r="A900" s="8" t="s">
        <v>1850</v>
      </c>
      <c r="B900" s="8" t="b">
        <v>0</v>
      </c>
      <c r="C900" s="8">
        <v>60</v>
      </c>
      <c r="D900" s="151">
        <v>0</v>
      </c>
      <c r="E900" s="151"/>
      <c r="F900" s="24" t="s">
        <v>399</v>
      </c>
      <c r="G900" s="30">
        <v>45246</v>
      </c>
      <c r="H900" s="81" t="s">
        <v>65</v>
      </c>
      <c r="I900" s="30">
        <v>45218</v>
      </c>
      <c r="J900" s="16" t="s">
        <v>1166</v>
      </c>
      <c r="K900" s="9" t="s">
        <v>1530</v>
      </c>
      <c r="L900" s="9"/>
      <c r="M900" s="152">
        <v>5488200</v>
      </c>
      <c r="N900" s="153">
        <v>1042758</v>
      </c>
      <c r="O900" s="152">
        <v>0</v>
      </c>
      <c r="P900" s="154">
        <v>2.5000000000000001E-2</v>
      </c>
      <c r="Q900" s="152">
        <v>137205</v>
      </c>
      <c r="R900" s="9">
        <v>6393753</v>
      </c>
      <c r="S900" s="21" t="s">
        <v>1846</v>
      </c>
      <c r="T900" s="117">
        <v>0</v>
      </c>
      <c r="U900" s="117" t="s">
        <v>347</v>
      </c>
      <c r="V900" s="117">
        <v>2023</v>
      </c>
      <c r="W900" s="117">
        <v>6</v>
      </c>
      <c r="X900" s="117">
        <v>1145000</v>
      </c>
      <c r="Y900" s="117">
        <v>2.5000000000000001E-2</v>
      </c>
      <c r="Z900" s="21" t="b">
        <v>0</v>
      </c>
      <c r="AA900" s="162">
        <f>+$AD$5-Tabla2[[#This Row],[FECHA DE FACTURACIÓN]]</f>
        <v>225</v>
      </c>
      <c r="AB900" s="163" t="str">
        <f>+IF(Tabla2[[#This Row],[dias de credito]]&gt;=Tabla2[[#This Row],[PLAZO Días]],"venc", "No venc")</f>
        <v>venc</v>
      </c>
      <c r="AC900" s="163" t="str">
        <f>+IF(Tabla2[[#This Row],[FECHA DE PAGO]]&gt;0,"pagada","por pagar")</f>
        <v>pagada</v>
      </c>
      <c r="AD900" s="164" t="str">
        <f>+IF(AND(Tabla2[[#This Row],[venc]]="venc",Tabla2[[#This Row],[estado pago]]="por pagar"),"vencida","no")</f>
        <v>no</v>
      </c>
    </row>
    <row r="901" spans="1:30" ht="19.5" hidden="1" customHeight="1" x14ac:dyDescent="0.25">
      <c r="A901" s="8" t="s">
        <v>1850</v>
      </c>
      <c r="B901" s="8" t="b">
        <v>0</v>
      </c>
      <c r="C901" s="8">
        <v>60</v>
      </c>
      <c r="D901" s="151">
        <v>0</v>
      </c>
      <c r="E901" s="151"/>
      <c r="F901" s="24" t="s">
        <v>399</v>
      </c>
      <c r="G901" s="30">
        <v>45246</v>
      </c>
      <c r="H901" s="81" t="s">
        <v>65</v>
      </c>
      <c r="I901" s="30">
        <v>45218</v>
      </c>
      <c r="J901" s="16" t="s">
        <v>1167</v>
      </c>
      <c r="K901" s="9" t="s">
        <v>1530</v>
      </c>
      <c r="L901" s="9"/>
      <c r="M901" s="152">
        <v>1478700</v>
      </c>
      <c r="N901" s="153">
        <v>280953</v>
      </c>
      <c r="O901" s="152">
        <v>0</v>
      </c>
      <c r="P901" s="154">
        <v>2.5000000000000001E-2</v>
      </c>
      <c r="Q901" s="152">
        <v>36967.5</v>
      </c>
      <c r="R901" s="9">
        <v>1722685.5</v>
      </c>
      <c r="S901" s="21" t="s">
        <v>1846</v>
      </c>
      <c r="T901" s="117">
        <v>0</v>
      </c>
      <c r="U901" s="117" t="s">
        <v>347</v>
      </c>
      <c r="V901" s="117">
        <v>2023</v>
      </c>
      <c r="W901" s="117">
        <v>6</v>
      </c>
      <c r="X901" s="117">
        <v>1145000</v>
      </c>
      <c r="Y901" s="117">
        <v>2.5000000000000001E-2</v>
      </c>
      <c r="Z901" s="21" t="b">
        <v>0</v>
      </c>
      <c r="AA901" s="162">
        <f>+$AD$5-Tabla2[[#This Row],[FECHA DE FACTURACIÓN]]</f>
        <v>225</v>
      </c>
      <c r="AB901" s="163" t="str">
        <f>+IF(Tabla2[[#This Row],[dias de credito]]&gt;=Tabla2[[#This Row],[PLAZO Días]],"venc", "No venc")</f>
        <v>venc</v>
      </c>
      <c r="AC901" s="163" t="str">
        <f>+IF(Tabla2[[#This Row],[FECHA DE PAGO]]&gt;0,"pagada","por pagar")</f>
        <v>pagada</v>
      </c>
      <c r="AD901" s="164" t="str">
        <f>+IF(AND(Tabla2[[#This Row],[venc]]="venc",Tabla2[[#This Row],[estado pago]]="por pagar"),"vencida","no")</f>
        <v>no</v>
      </c>
    </row>
    <row r="902" spans="1:30" ht="19.5" hidden="1" customHeight="1" x14ac:dyDescent="0.25">
      <c r="A902" s="8" t="s">
        <v>1850</v>
      </c>
      <c r="B902" s="8" t="b">
        <v>0</v>
      </c>
      <c r="C902" s="8">
        <v>30</v>
      </c>
      <c r="D902" s="151">
        <v>0</v>
      </c>
      <c r="E902" s="151"/>
      <c r="F902" s="24" t="s">
        <v>268</v>
      </c>
      <c r="G902" s="30">
        <v>45246</v>
      </c>
      <c r="H902" s="81" t="s">
        <v>376</v>
      </c>
      <c r="I902" s="30">
        <v>45231</v>
      </c>
      <c r="J902" s="16" t="s">
        <v>1201</v>
      </c>
      <c r="K902" s="9" t="s">
        <v>1530</v>
      </c>
      <c r="L902" s="9"/>
      <c r="M902" s="152">
        <v>318603</v>
      </c>
      <c r="N902" s="153">
        <v>0</v>
      </c>
      <c r="O902" s="152">
        <v>0</v>
      </c>
      <c r="P902" s="154">
        <v>0</v>
      </c>
      <c r="Q902" s="152">
        <v>0</v>
      </c>
      <c r="R902" s="9">
        <v>318603</v>
      </c>
      <c r="S902" s="21" t="s">
        <v>1846</v>
      </c>
      <c r="T902" s="117">
        <v>0</v>
      </c>
      <c r="U902" s="117">
        <v>0</v>
      </c>
      <c r="V902" s="117">
        <v>2023</v>
      </c>
      <c r="W902" s="117">
        <v>6</v>
      </c>
      <c r="X902" s="117">
        <v>0</v>
      </c>
      <c r="Y902" s="117">
        <v>0</v>
      </c>
      <c r="Z902" s="21" t="b">
        <v>1</v>
      </c>
      <c r="AA902" s="162">
        <f>+$AD$5-Tabla2[[#This Row],[FECHA DE FACTURACIÓN]]</f>
        <v>212</v>
      </c>
      <c r="AB902" s="163" t="str">
        <f>+IF(Tabla2[[#This Row],[dias de credito]]&gt;=Tabla2[[#This Row],[PLAZO Días]],"venc", "No venc")</f>
        <v>venc</v>
      </c>
      <c r="AC902" s="163" t="str">
        <f>+IF(Tabla2[[#This Row],[FECHA DE PAGO]]&gt;0,"pagada","por pagar")</f>
        <v>pagada</v>
      </c>
      <c r="AD902" s="164" t="str">
        <f>+IF(AND(Tabla2[[#This Row],[venc]]="venc",Tabla2[[#This Row],[estado pago]]="por pagar"),"vencida","no")</f>
        <v>no</v>
      </c>
    </row>
    <row r="903" spans="1:30" ht="19.5" hidden="1" customHeight="1" x14ac:dyDescent="0.25">
      <c r="A903" s="8" t="s">
        <v>1850</v>
      </c>
      <c r="B903" s="8" t="b">
        <v>0</v>
      </c>
      <c r="C903" s="8">
        <v>30</v>
      </c>
      <c r="D903" s="151">
        <v>0</v>
      </c>
      <c r="E903" s="151"/>
      <c r="F903" s="24" t="s">
        <v>153</v>
      </c>
      <c r="G903" s="30">
        <v>45246</v>
      </c>
      <c r="H903" s="81" t="s">
        <v>394</v>
      </c>
      <c r="I903" s="30">
        <v>45231</v>
      </c>
      <c r="J903" s="16" t="s">
        <v>1200</v>
      </c>
      <c r="K903" s="9" t="s">
        <v>1530</v>
      </c>
      <c r="L903" s="9"/>
      <c r="M903" s="152">
        <v>243611</v>
      </c>
      <c r="N903" s="153">
        <v>46286.090000000004</v>
      </c>
      <c r="O903" s="152">
        <v>0</v>
      </c>
      <c r="P903" s="154">
        <v>3.5000000000000003E-2</v>
      </c>
      <c r="Q903" s="152">
        <v>8526.3850000000002</v>
      </c>
      <c r="R903" s="9">
        <v>281370.70500000002</v>
      </c>
      <c r="S903" s="21" t="s">
        <v>1846</v>
      </c>
      <c r="T903" s="117">
        <v>0</v>
      </c>
      <c r="U903" s="117" t="s">
        <v>348</v>
      </c>
      <c r="V903" s="117">
        <v>2023</v>
      </c>
      <c r="W903" s="117">
        <v>6</v>
      </c>
      <c r="X903" s="117">
        <v>0</v>
      </c>
      <c r="Y903" s="117">
        <v>3.5000000000000003E-2</v>
      </c>
      <c r="Z903" s="21" t="b">
        <v>1</v>
      </c>
      <c r="AA903" s="162">
        <f>+$AD$5-Tabla2[[#This Row],[FECHA DE FACTURACIÓN]]</f>
        <v>212</v>
      </c>
      <c r="AB903" s="163" t="str">
        <f>+IF(Tabla2[[#This Row],[dias de credito]]&gt;=Tabla2[[#This Row],[PLAZO Días]],"venc", "No venc")</f>
        <v>venc</v>
      </c>
      <c r="AC903" s="163" t="str">
        <f>+IF(Tabla2[[#This Row],[FECHA DE PAGO]]&gt;0,"pagada","por pagar")</f>
        <v>pagada</v>
      </c>
      <c r="AD903" s="164" t="str">
        <f>+IF(AND(Tabla2[[#This Row],[venc]]="venc",Tabla2[[#This Row],[estado pago]]="por pagar"),"vencida","no")</f>
        <v>no</v>
      </c>
    </row>
    <row r="904" spans="1:30" ht="19.5" hidden="1" customHeight="1" x14ac:dyDescent="0.25">
      <c r="A904" s="8" t="s">
        <v>1850</v>
      </c>
      <c r="B904" s="8" t="b">
        <v>0</v>
      </c>
      <c r="C904" s="8">
        <v>30</v>
      </c>
      <c r="D904" s="151">
        <v>0</v>
      </c>
      <c r="E904" s="151"/>
      <c r="F904" s="24" t="s">
        <v>1447</v>
      </c>
      <c r="G904" s="30">
        <v>45246</v>
      </c>
      <c r="H904" s="81" t="s">
        <v>373</v>
      </c>
      <c r="I904" s="30">
        <v>45232</v>
      </c>
      <c r="J904" s="16" t="s">
        <v>1202</v>
      </c>
      <c r="K904" s="9" t="s">
        <v>1530</v>
      </c>
      <c r="L904" s="9"/>
      <c r="M904" s="152">
        <v>1840056</v>
      </c>
      <c r="N904" s="153">
        <v>0</v>
      </c>
      <c r="O904" s="152">
        <v>0</v>
      </c>
      <c r="P904" s="154">
        <v>0</v>
      </c>
      <c r="Q904" s="152">
        <v>0</v>
      </c>
      <c r="R904" s="9">
        <v>1840056</v>
      </c>
      <c r="S904" s="21" t="s">
        <v>1846</v>
      </c>
      <c r="T904" s="117">
        <v>0</v>
      </c>
      <c r="U904" s="117">
        <v>0</v>
      </c>
      <c r="V904" s="117">
        <v>2023</v>
      </c>
      <c r="W904" s="117">
        <v>6</v>
      </c>
      <c r="X904" s="117">
        <v>0</v>
      </c>
      <c r="Y904" s="117">
        <v>0</v>
      </c>
      <c r="Z904" s="21" t="b">
        <v>1</v>
      </c>
      <c r="AA904" s="162">
        <f>+$AD$5-Tabla2[[#This Row],[FECHA DE FACTURACIÓN]]</f>
        <v>211</v>
      </c>
      <c r="AB904" s="163" t="str">
        <f>+IF(Tabla2[[#This Row],[dias de credito]]&gt;=Tabla2[[#This Row],[PLAZO Días]],"venc", "No venc")</f>
        <v>venc</v>
      </c>
      <c r="AC904" s="163" t="str">
        <f>+IF(Tabla2[[#This Row],[FECHA DE PAGO]]&gt;0,"pagada","por pagar")</f>
        <v>pagada</v>
      </c>
      <c r="AD904" s="164" t="str">
        <f>+IF(AND(Tabla2[[#This Row],[venc]]="venc",Tabla2[[#This Row],[estado pago]]="por pagar"),"vencida","no")</f>
        <v>no</v>
      </c>
    </row>
    <row r="905" spans="1:30" ht="19.5" hidden="1" customHeight="1" x14ac:dyDescent="0.25">
      <c r="A905" s="8" t="s">
        <v>1850</v>
      </c>
      <c r="B905" s="8" t="b">
        <v>0</v>
      </c>
      <c r="C905" s="8">
        <v>30</v>
      </c>
      <c r="D905" s="151">
        <v>0</v>
      </c>
      <c r="E905" s="151"/>
      <c r="F905" s="24" t="s">
        <v>84</v>
      </c>
      <c r="G905" s="30">
        <v>45246</v>
      </c>
      <c r="H905" s="81" t="s">
        <v>481</v>
      </c>
      <c r="I905" s="30">
        <v>45245</v>
      </c>
      <c r="J905" s="16" t="s">
        <v>1285</v>
      </c>
      <c r="K905" s="9" t="s">
        <v>1530</v>
      </c>
      <c r="L905" s="9"/>
      <c r="M905" s="152">
        <v>4811000</v>
      </c>
      <c r="N905" s="153">
        <v>0</v>
      </c>
      <c r="O905" s="152">
        <v>0</v>
      </c>
      <c r="P905" s="154">
        <v>0</v>
      </c>
      <c r="Q905" s="152">
        <v>0</v>
      </c>
      <c r="R905" s="9">
        <v>4811000</v>
      </c>
      <c r="S905" s="21" t="s">
        <v>1846</v>
      </c>
      <c r="T905" s="117">
        <v>0</v>
      </c>
      <c r="U905" s="117">
        <v>0</v>
      </c>
      <c r="V905" s="117">
        <v>2023</v>
      </c>
      <c r="W905" s="117">
        <v>6</v>
      </c>
      <c r="X905" s="117">
        <v>0</v>
      </c>
      <c r="Y905" s="117">
        <v>0</v>
      </c>
      <c r="Z905" s="21" t="b">
        <v>0</v>
      </c>
      <c r="AA905" s="162">
        <f>+$AD$5-Tabla2[[#This Row],[FECHA DE FACTURACIÓN]]</f>
        <v>198</v>
      </c>
      <c r="AB905" s="163" t="str">
        <f>+IF(Tabla2[[#This Row],[dias de credito]]&gt;=Tabla2[[#This Row],[PLAZO Días]],"venc", "No venc")</f>
        <v>venc</v>
      </c>
      <c r="AC905" s="163" t="str">
        <f>+IF(Tabla2[[#This Row],[FECHA DE PAGO]]&gt;0,"pagada","por pagar")</f>
        <v>pagada</v>
      </c>
      <c r="AD905" s="164" t="str">
        <f>+IF(AND(Tabla2[[#This Row],[venc]]="venc",Tabla2[[#This Row],[estado pago]]="por pagar"),"vencida","no")</f>
        <v>no</v>
      </c>
    </row>
    <row r="906" spans="1:30" ht="19.5" hidden="1" customHeight="1" x14ac:dyDescent="0.25">
      <c r="A906" s="8" t="s">
        <v>1852</v>
      </c>
      <c r="B906" s="8" t="b">
        <v>0</v>
      </c>
      <c r="C906" s="8">
        <v>30</v>
      </c>
      <c r="D906" s="151">
        <v>0</v>
      </c>
      <c r="E906" s="151"/>
      <c r="F906" s="24">
        <v>0</v>
      </c>
      <c r="G906" s="30">
        <v>45246</v>
      </c>
      <c r="H906" s="81" t="s">
        <v>1122</v>
      </c>
      <c r="I906" s="30">
        <v>45246</v>
      </c>
      <c r="J906" s="16" t="s">
        <v>1233</v>
      </c>
      <c r="K906" s="9" t="s">
        <v>1530</v>
      </c>
      <c r="L906" s="9"/>
      <c r="M906" s="152">
        <v>258800</v>
      </c>
      <c r="N906" s="153">
        <v>0</v>
      </c>
      <c r="O906" s="152">
        <v>0</v>
      </c>
      <c r="P906" s="154">
        <v>0</v>
      </c>
      <c r="Q906" s="152">
        <v>0</v>
      </c>
      <c r="R906" s="9">
        <v>258800</v>
      </c>
      <c r="S906" s="21" t="s">
        <v>1846</v>
      </c>
      <c r="T906" s="117">
        <v>0</v>
      </c>
      <c r="U906" s="117">
        <v>0</v>
      </c>
      <c r="V906" s="117">
        <v>2023</v>
      </c>
      <c r="W906" s="117">
        <v>6</v>
      </c>
      <c r="X906" s="117">
        <v>0</v>
      </c>
      <c r="Y906" s="117">
        <v>0</v>
      </c>
      <c r="Z906" s="21" t="b">
        <v>0</v>
      </c>
      <c r="AA906" s="162">
        <f>+$AD$5-Tabla2[[#This Row],[FECHA DE FACTURACIÓN]]</f>
        <v>197</v>
      </c>
      <c r="AB906" s="163" t="str">
        <f>+IF(Tabla2[[#This Row],[dias de credito]]&gt;=Tabla2[[#This Row],[PLAZO Días]],"venc", "No venc")</f>
        <v>venc</v>
      </c>
      <c r="AC906" s="163" t="str">
        <f>+IF(Tabla2[[#This Row],[FECHA DE PAGO]]&gt;0,"pagada","por pagar")</f>
        <v>pagada</v>
      </c>
      <c r="AD906" s="164" t="str">
        <f>+IF(AND(Tabla2[[#This Row],[venc]]="venc",Tabla2[[#This Row],[estado pago]]="por pagar"),"vencida","no")</f>
        <v>no</v>
      </c>
    </row>
    <row r="907" spans="1:30" ht="19.5" hidden="1" customHeight="1" x14ac:dyDescent="0.25">
      <c r="A907" s="8" t="s">
        <v>1850</v>
      </c>
      <c r="B907" s="8" t="s">
        <v>1851</v>
      </c>
      <c r="C907" s="8">
        <v>60</v>
      </c>
      <c r="D907" s="151">
        <v>0</v>
      </c>
      <c r="E907" s="151"/>
      <c r="F907" s="24">
        <v>0</v>
      </c>
      <c r="G907" s="30">
        <v>45247</v>
      </c>
      <c r="H907" s="81" t="s">
        <v>445</v>
      </c>
      <c r="I907" s="30">
        <v>45169</v>
      </c>
      <c r="J907" s="16" t="s">
        <v>1019</v>
      </c>
      <c r="K907" s="9" t="s">
        <v>1530</v>
      </c>
      <c r="L907" s="9"/>
      <c r="M907" s="152">
        <v>4550503</v>
      </c>
      <c r="N907" s="153">
        <v>864595.57000000007</v>
      </c>
      <c r="O907" s="152">
        <v>0</v>
      </c>
      <c r="P907" s="154">
        <v>0</v>
      </c>
      <c r="Q907" s="152">
        <v>0</v>
      </c>
      <c r="R907" s="9">
        <v>5415098.5700000003</v>
      </c>
      <c r="S907" s="21" t="s">
        <v>1846</v>
      </c>
      <c r="T907" s="117">
        <v>0</v>
      </c>
      <c r="U907" s="117">
        <v>0</v>
      </c>
      <c r="V907" s="117">
        <v>2023</v>
      </c>
      <c r="W907" s="117">
        <v>6</v>
      </c>
      <c r="X907" s="117">
        <v>0</v>
      </c>
      <c r="Y907" s="117">
        <v>0</v>
      </c>
      <c r="Z907" s="21" t="b">
        <v>1</v>
      </c>
      <c r="AA907" s="162">
        <f>+$AD$5-Tabla2[[#This Row],[FECHA DE FACTURACIÓN]]</f>
        <v>274</v>
      </c>
      <c r="AB907" s="163" t="str">
        <f>+IF(Tabla2[[#This Row],[dias de credito]]&gt;=Tabla2[[#This Row],[PLAZO Días]],"venc", "No venc")</f>
        <v>venc</v>
      </c>
      <c r="AC907" s="163" t="str">
        <f>+IF(Tabla2[[#This Row],[FECHA DE PAGO]]&gt;0,"pagada","por pagar")</f>
        <v>pagada</v>
      </c>
      <c r="AD907" s="164" t="str">
        <f>+IF(AND(Tabla2[[#This Row],[venc]]="venc",Tabla2[[#This Row],[estado pago]]="por pagar"),"vencida","no")</f>
        <v>no</v>
      </c>
    </row>
    <row r="908" spans="1:30" ht="19.5" hidden="1" customHeight="1" x14ac:dyDescent="0.25">
      <c r="A908" s="8" t="s">
        <v>1850</v>
      </c>
      <c r="B908" s="8" t="s">
        <v>1851</v>
      </c>
      <c r="C908" s="8">
        <v>30</v>
      </c>
      <c r="D908" s="151">
        <v>0</v>
      </c>
      <c r="E908" s="151"/>
      <c r="F908" s="24" t="s">
        <v>84</v>
      </c>
      <c r="G908" s="30">
        <v>45247</v>
      </c>
      <c r="H908" s="81" t="s">
        <v>1811</v>
      </c>
      <c r="I908" s="30">
        <v>45180</v>
      </c>
      <c r="J908" s="16" t="s">
        <v>1099</v>
      </c>
      <c r="K908" s="9" t="s">
        <v>1530</v>
      </c>
      <c r="L908" s="9"/>
      <c r="M908" s="152">
        <v>2720000</v>
      </c>
      <c r="N908" s="153">
        <v>0</v>
      </c>
      <c r="O908" s="152">
        <v>0</v>
      </c>
      <c r="P908" s="154">
        <v>0</v>
      </c>
      <c r="Q908" s="152">
        <v>0</v>
      </c>
      <c r="R908" s="9">
        <v>2720000</v>
      </c>
      <c r="S908" s="21" t="s">
        <v>1846</v>
      </c>
      <c r="T908" s="117">
        <v>0</v>
      </c>
      <c r="U908" s="117">
        <v>0</v>
      </c>
      <c r="V908" s="117">
        <v>2023</v>
      </c>
      <c r="W908" s="117">
        <v>6</v>
      </c>
      <c r="X908" s="117">
        <v>0</v>
      </c>
      <c r="Y908" s="117">
        <v>0</v>
      </c>
      <c r="Z908" s="21" t="b">
        <v>0</v>
      </c>
      <c r="AA908" s="162">
        <f>+$AD$5-Tabla2[[#This Row],[FECHA DE FACTURACIÓN]]</f>
        <v>263</v>
      </c>
      <c r="AB908" s="163" t="str">
        <f>+IF(Tabla2[[#This Row],[dias de credito]]&gt;=Tabla2[[#This Row],[PLAZO Días]],"venc", "No venc")</f>
        <v>venc</v>
      </c>
      <c r="AC908" s="163" t="str">
        <f>+IF(Tabla2[[#This Row],[FECHA DE PAGO]]&gt;0,"pagada","por pagar")</f>
        <v>pagada</v>
      </c>
      <c r="AD908" s="164" t="str">
        <f>+IF(AND(Tabla2[[#This Row],[venc]]="venc",Tabla2[[#This Row],[estado pago]]="por pagar"),"vencida","no")</f>
        <v>no</v>
      </c>
    </row>
    <row r="909" spans="1:30" ht="19.5" hidden="1" customHeight="1" x14ac:dyDescent="0.25">
      <c r="A909" s="8" t="s">
        <v>1850</v>
      </c>
      <c r="B909" s="8" t="s">
        <v>1851</v>
      </c>
      <c r="C909" s="8">
        <v>30</v>
      </c>
      <c r="D909" s="151">
        <v>2080356.81</v>
      </c>
      <c r="E909" s="151"/>
      <c r="F909" s="24" t="s">
        <v>409</v>
      </c>
      <c r="G909" s="30">
        <v>45247</v>
      </c>
      <c r="H909" s="81" t="s">
        <v>31</v>
      </c>
      <c r="I909" s="30">
        <v>45210</v>
      </c>
      <c r="J909" s="16" t="s">
        <v>1175</v>
      </c>
      <c r="K909" s="9" t="s">
        <v>1530</v>
      </c>
      <c r="L909" s="9"/>
      <c r="M909" s="152">
        <v>3224873</v>
      </c>
      <c r="N909" s="153">
        <v>612725.87</v>
      </c>
      <c r="O909" s="152">
        <v>0</v>
      </c>
      <c r="P909" s="154">
        <v>2.5000000000000001E-2</v>
      </c>
      <c r="Q909" s="152">
        <v>80621.825000000012</v>
      </c>
      <c r="R909" s="9">
        <v>3756977.0449999999</v>
      </c>
      <c r="S909" s="21" t="s">
        <v>1846</v>
      </c>
      <c r="T909" s="117">
        <v>0</v>
      </c>
      <c r="U909" s="117" t="s">
        <v>347</v>
      </c>
      <c r="V909" s="117">
        <v>2023</v>
      </c>
      <c r="W909" s="117">
        <v>6</v>
      </c>
      <c r="X909" s="117">
        <v>1145000</v>
      </c>
      <c r="Y909" s="117">
        <v>2.5000000000000001E-2</v>
      </c>
      <c r="Z909" s="21" t="b">
        <v>0</v>
      </c>
      <c r="AA909" s="162">
        <f>+$AD$5-Tabla2[[#This Row],[FECHA DE FACTURACIÓN]]</f>
        <v>233</v>
      </c>
      <c r="AB909" s="163" t="str">
        <f>+IF(Tabla2[[#This Row],[dias de credito]]&gt;=Tabla2[[#This Row],[PLAZO Días]],"venc", "No venc")</f>
        <v>venc</v>
      </c>
      <c r="AC909" s="163" t="str">
        <f>+IF(Tabla2[[#This Row],[FECHA DE PAGO]]&gt;0,"pagada","por pagar")</f>
        <v>pagada</v>
      </c>
      <c r="AD909" s="164" t="str">
        <f>+IF(AND(Tabla2[[#This Row],[venc]]="venc",Tabla2[[#This Row],[estado pago]]="por pagar"),"vencida","no")</f>
        <v>no</v>
      </c>
    </row>
    <row r="910" spans="1:30" ht="19.5" hidden="1" customHeight="1" x14ac:dyDescent="0.25">
      <c r="A910" s="8" t="s">
        <v>1850</v>
      </c>
      <c r="B910" s="8" t="s">
        <v>1851</v>
      </c>
      <c r="C910" s="8">
        <v>30</v>
      </c>
      <c r="D910" s="151">
        <v>4316000</v>
      </c>
      <c r="E910" s="151"/>
      <c r="F910" s="24" t="s">
        <v>84</v>
      </c>
      <c r="G910" s="30">
        <v>45247</v>
      </c>
      <c r="H910" s="81" t="s">
        <v>1812</v>
      </c>
      <c r="I910" s="30">
        <v>45211</v>
      </c>
      <c r="J910" s="16" t="s">
        <v>1156</v>
      </c>
      <c r="K910" s="9" t="s">
        <v>1530</v>
      </c>
      <c r="L910" s="9"/>
      <c r="M910" s="152">
        <v>534000</v>
      </c>
      <c r="N910" s="153">
        <v>0</v>
      </c>
      <c r="O910" s="152">
        <v>0</v>
      </c>
      <c r="P910" s="154">
        <v>0</v>
      </c>
      <c r="Q910" s="152">
        <v>0</v>
      </c>
      <c r="R910" s="9">
        <v>534000</v>
      </c>
      <c r="S910" s="21" t="s">
        <v>1846</v>
      </c>
      <c r="T910" s="117">
        <v>0</v>
      </c>
      <c r="U910" s="117">
        <v>0</v>
      </c>
      <c r="V910" s="117">
        <v>2023</v>
      </c>
      <c r="W910" s="117">
        <v>6</v>
      </c>
      <c r="X910" s="117">
        <v>0</v>
      </c>
      <c r="Y910" s="117">
        <v>0</v>
      </c>
      <c r="Z910" s="21" t="b">
        <v>0</v>
      </c>
      <c r="AA910" s="162">
        <f>+$AD$5-Tabla2[[#This Row],[FECHA DE FACTURACIÓN]]</f>
        <v>232</v>
      </c>
      <c r="AB910" s="163" t="str">
        <f>+IF(Tabla2[[#This Row],[dias de credito]]&gt;=Tabla2[[#This Row],[PLAZO Días]],"venc", "No venc")</f>
        <v>venc</v>
      </c>
      <c r="AC910" s="163" t="str">
        <f>+IF(Tabla2[[#This Row],[FECHA DE PAGO]]&gt;0,"pagada","por pagar")</f>
        <v>pagada</v>
      </c>
      <c r="AD910" s="164" t="str">
        <f>+IF(AND(Tabla2[[#This Row],[venc]]="venc",Tabla2[[#This Row],[estado pago]]="por pagar"),"vencida","no")</f>
        <v>no</v>
      </c>
    </row>
    <row r="911" spans="1:30" ht="19.5" hidden="1" customHeight="1" x14ac:dyDescent="0.25">
      <c r="A911" s="8" t="s">
        <v>1850</v>
      </c>
      <c r="B911" s="8" t="s">
        <v>1851</v>
      </c>
      <c r="C911" s="8">
        <v>30</v>
      </c>
      <c r="D911" s="151">
        <v>1776037.21</v>
      </c>
      <c r="E911" s="151"/>
      <c r="F911" s="24" t="s">
        <v>148</v>
      </c>
      <c r="G911" s="30">
        <v>45247</v>
      </c>
      <c r="H911" s="81" t="s">
        <v>17</v>
      </c>
      <c r="I911" s="30">
        <v>45212</v>
      </c>
      <c r="J911" s="16" t="s">
        <v>1184</v>
      </c>
      <c r="K911" s="9" t="s">
        <v>1530</v>
      </c>
      <c r="L911" s="9"/>
      <c r="M911" s="152">
        <v>267442</v>
      </c>
      <c r="N911" s="153">
        <v>50813.98</v>
      </c>
      <c r="O911" s="152">
        <v>0</v>
      </c>
      <c r="P911" s="154">
        <v>0</v>
      </c>
      <c r="Q911" s="152">
        <v>0</v>
      </c>
      <c r="R911" s="9">
        <v>318255.98</v>
      </c>
      <c r="S911" s="21" t="s">
        <v>1846</v>
      </c>
      <c r="T911" s="117">
        <v>0</v>
      </c>
      <c r="U911" s="117">
        <v>0</v>
      </c>
      <c r="V911" s="117">
        <v>2023</v>
      </c>
      <c r="W911" s="117">
        <v>6</v>
      </c>
      <c r="X911" s="117">
        <v>0</v>
      </c>
      <c r="Y911" s="117">
        <v>0</v>
      </c>
      <c r="Z911" s="21" t="b">
        <v>0</v>
      </c>
      <c r="AA911" s="162">
        <f>+$AD$5-Tabla2[[#This Row],[FECHA DE FACTURACIÓN]]</f>
        <v>231</v>
      </c>
      <c r="AB911" s="163" t="str">
        <f>+IF(Tabla2[[#This Row],[dias de credito]]&gt;=Tabla2[[#This Row],[PLAZO Días]],"venc", "No venc")</f>
        <v>venc</v>
      </c>
      <c r="AC911" s="163" t="str">
        <f>+IF(Tabla2[[#This Row],[FECHA DE PAGO]]&gt;0,"pagada","por pagar")</f>
        <v>pagada</v>
      </c>
      <c r="AD911" s="164" t="str">
        <f>+IF(AND(Tabla2[[#This Row],[venc]]="venc",Tabla2[[#This Row],[estado pago]]="por pagar"),"vencida","no")</f>
        <v>no</v>
      </c>
    </row>
    <row r="912" spans="1:30" ht="19.5" hidden="1" customHeight="1" x14ac:dyDescent="0.25">
      <c r="A912" s="8" t="s">
        <v>1852</v>
      </c>
      <c r="B912" s="8" t="b">
        <v>0</v>
      </c>
      <c r="C912" s="8">
        <v>30</v>
      </c>
      <c r="D912" s="151">
        <v>0</v>
      </c>
      <c r="E912" s="151"/>
      <c r="F912" s="24" t="s">
        <v>84</v>
      </c>
      <c r="G912" s="30">
        <v>45247</v>
      </c>
      <c r="H912" s="81" t="s">
        <v>525</v>
      </c>
      <c r="I912" s="30">
        <v>45247</v>
      </c>
      <c r="J912" s="16" t="s">
        <v>1234</v>
      </c>
      <c r="K912" s="9" t="s">
        <v>1530</v>
      </c>
      <c r="L912" s="9"/>
      <c r="M912" s="152">
        <v>200000</v>
      </c>
      <c r="N912" s="153">
        <v>0</v>
      </c>
      <c r="O912" s="152">
        <v>0</v>
      </c>
      <c r="P912" s="154">
        <v>0</v>
      </c>
      <c r="Q912" s="152">
        <v>0</v>
      </c>
      <c r="R912" s="9">
        <v>200000</v>
      </c>
      <c r="S912" s="21" t="s">
        <v>1846</v>
      </c>
      <c r="T912" s="117">
        <v>0</v>
      </c>
      <c r="U912" s="117">
        <v>0</v>
      </c>
      <c r="V912" s="117">
        <v>2023</v>
      </c>
      <c r="W912" s="117">
        <v>6</v>
      </c>
      <c r="X912" s="117">
        <v>0</v>
      </c>
      <c r="Y912" s="117">
        <v>0</v>
      </c>
      <c r="Z912" s="21" t="b">
        <v>0</v>
      </c>
      <c r="AA912" s="162">
        <f>+$AD$5-Tabla2[[#This Row],[FECHA DE FACTURACIÓN]]</f>
        <v>196</v>
      </c>
      <c r="AB912" s="163" t="str">
        <f>+IF(Tabla2[[#This Row],[dias de credito]]&gt;=Tabla2[[#This Row],[PLAZO Días]],"venc", "No venc")</f>
        <v>venc</v>
      </c>
      <c r="AC912" s="163" t="str">
        <f>+IF(Tabla2[[#This Row],[FECHA DE PAGO]]&gt;0,"pagada","por pagar")</f>
        <v>pagada</v>
      </c>
      <c r="AD912" s="164" t="str">
        <f>+IF(AND(Tabla2[[#This Row],[venc]]="venc",Tabla2[[#This Row],[estado pago]]="por pagar"),"vencida","no")</f>
        <v>no</v>
      </c>
    </row>
    <row r="913" spans="1:30" ht="19.5" hidden="1" customHeight="1" x14ac:dyDescent="0.25">
      <c r="A913" s="8" t="s">
        <v>1852</v>
      </c>
      <c r="B913" s="8" t="b">
        <v>0</v>
      </c>
      <c r="C913" s="8">
        <v>30</v>
      </c>
      <c r="D913" s="151">
        <v>0</v>
      </c>
      <c r="E913" s="151"/>
      <c r="F913" s="24" t="s">
        <v>84</v>
      </c>
      <c r="G913" s="30">
        <v>45247</v>
      </c>
      <c r="H913" s="81" t="s">
        <v>525</v>
      </c>
      <c r="I913" s="30">
        <v>45247</v>
      </c>
      <c r="J913" s="16" t="s">
        <v>1120</v>
      </c>
      <c r="K913" s="9" t="s">
        <v>1530</v>
      </c>
      <c r="L913" s="9"/>
      <c r="M913" s="152">
        <v>200000</v>
      </c>
      <c r="N913" s="153">
        <v>0</v>
      </c>
      <c r="O913" s="152">
        <v>0</v>
      </c>
      <c r="P913" s="154">
        <v>0</v>
      </c>
      <c r="Q913" s="152">
        <v>0</v>
      </c>
      <c r="R913" s="9">
        <v>200000</v>
      </c>
      <c r="S913" s="21" t="s">
        <v>1846</v>
      </c>
      <c r="T913" s="117">
        <v>0</v>
      </c>
      <c r="U913" s="117">
        <v>0</v>
      </c>
      <c r="V913" s="117">
        <v>2023</v>
      </c>
      <c r="W913" s="117">
        <v>6</v>
      </c>
      <c r="X913" s="117">
        <v>0</v>
      </c>
      <c r="Y913" s="117">
        <v>0</v>
      </c>
      <c r="Z913" s="21" t="b">
        <v>0</v>
      </c>
      <c r="AA913" s="162">
        <f>+$AD$5-Tabla2[[#This Row],[FECHA DE FACTURACIÓN]]</f>
        <v>196</v>
      </c>
      <c r="AB913" s="163" t="str">
        <f>+IF(Tabla2[[#This Row],[dias de credito]]&gt;=Tabla2[[#This Row],[PLAZO Días]],"venc", "No venc")</f>
        <v>venc</v>
      </c>
      <c r="AC913" s="163" t="str">
        <f>+IF(Tabla2[[#This Row],[FECHA DE PAGO]]&gt;0,"pagada","por pagar")</f>
        <v>pagada</v>
      </c>
      <c r="AD913" s="164" t="str">
        <f>+IF(AND(Tabla2[[#This Row],[venc]]="venc",Tabla2[[#This Row],[estado pago]]="por pagar"),"vencida","no")</f>
        <v>no</v>
      </c>
    </row>
    <row r="914" spans="1:30" ht="19.5" hidden="1" customHeight="1" x14ac:dyDescent="0.25">
      <c r="A914" s="8" t="s">
        <v>1852</v>
      </c>
      <c r="B914" s="8" t="b">
        <v>0</v>
      </c>
      <c r="C914" s="8">
        <v>30</v>
      </c>
      <c r="D914" s="151">
        <v>0</v>
      </c>
      <c r="E914" s="151"/>
      <c r="F914" s="24">
        <v>0</v>
      </c>
      <c r="G914" s="30">
        <v>45247</v>
      </c>
      <c r="H914" s="81" t="s">
        <v>861</v>
      </c>
      <c r="I914" s="30">
        <v>45247</v>
      </c>
      <c r="J914" s="16" t="s">
        <v>1279</v>
      </c>
      <c r="K914" s="9" t="s">
        <v>1530</v>
      </c>
      <c r="L914" s="9"/>
      <c r="M914" s="152">
        <v>438000</v>
      </c>
      <c r="N914" s="153">
        <v>0</v>
      </c>
      <c r="O914" s="152">
        <v>0</v>
      </c>
      <c r="P914" s="154">
        <v>0</v>
      </c>
      <c r="Q914" s="152">
        <v>0</v>
      </c>
      <c r="R914" s="9">
        <v>438000</v>
      </c>
      <c r="S914" s="21" t="s">
        <v>1846</v>
      </c>
      <c r="T914" s="117">
        <v>0</v>
      </c>
      <c r="U914" s="117">
        <v>0</v>
      </c>
      <c r="V914" s="117">
        <v>2023</v>
      </c>
      <c r="W914" s="117">
        <v>6</v>
      </c>
      <c r="X914" s="117">
        <v>0</v>
      </c>
      <c r="Y914" s="117">
        <v>0</v>
      </c>
      <c r="Z914" s="21" t="b">
        <v>0</v>
      </c>
      <c r="AA914" s="162">
        <f>+$AD$5-Tabla2[[#This Row],[FECHA DE FACTURACIÓN]]</f>
        <v>196</v>
      </c>
      <c r="AB914" s="163" t="str">
        <f>+IF(Tabla2[[#This Row],[dias de credito]]&gt;=Tabla2[[#This Row],[PLAZO Días]],"venc", "No venc")</f>
        <v>venc</v>
      </c>
      <c r="AC914" s="163" t="str">
        <f>+IF(Tabla2[[#This Row],[FECHA DE PAGO]]&gt;0,"pagada","por pagar")</f>
        <v>pagada</v>
      </c>
      <c r="AD914" s="164" t="str">
        <f>+IF(AND(Tabla2[[#This Row],[venc]]="venc",Tabla2[[#This Row],[estado pago]]="por pagar"),"vencida","no")</f>
        <v>no</v>
      </c>
    </row>
    <row r="915" spans="1:30" ht="19.5" hidden="1" customHeight="1" x14ac:dyDescent="0.25">
      <c r="A915" s="8" t="s">
        <v>1852</v>
      </c>
      <c r="B915" s="8" t="b">
        <v>0</v>
      </c>
      <c r="C915" s="8">
        <v>30</v>
      </c>
      <c r="D915" s="151">
        <v>0</v>
      </c>
      <c r="E915" s="151"/>
      <c r="F915" s="24" t="s">
        <v>84</v>
      </c>
      <c r="G915" s="30">
        <v>45247</v>
      </c>
      <c r="H915" s="81" t="s">
        <v>1824</v>
      </c>
      <c r="I915" s="30">
        <v>45247</v>
      </c>
      <c r="J915" s="16"/>
      <c r="K915" s="9" t="s">
        <v>1530</v>
      </c>
      <c r="L915" s="9"/>
      <c r="M915" s="152">
        <v>1000000</v>
      </c>
      <c r="N915" s="153">
        <v>0</v>
      </c>
      <c r="O915" s="152">
        <v>0</v>
      </c>
      <c r="P915" s="154">
        <v>0</v>
      </c>
      <c r="Q915" s="152">
        <v>0</v>
      </c>
      <c r="R915" s="9">
        <v>1000000</v>
      </c>
      <c r="S915" s="21" t="s">
        <v>1846</v>
      </c>
      <c r="T915" s="117">
        <v>0</v>
      </c>
      <c r="U915" s="117">
        <v>0</v>
      </c>
      <c r="V915" s="117">
        <v>2023</v>
      </c>
      <c r="W915" s="117">
        <v>6</v>
      </c>
      <c r="X915" s="117">
        <v>0</v>
      </c>
      <c r="Y915" s="117">
        <v>0</v>
      </c>
      <c r="Z915" s="21" t="b">
        <v>0</v>
      </c>
      <c r="AA915" s="162">
        <f>+$AD$5-Tabla2[[#This Row],[FECHA DE FACTURACIÓN]]</f>
        <v>196</v>
      </c>
      <c r="AB915" s="163" t="str">
        <f>+IF(Tabla2[[#This Row],[dias de credito]]&gt;=Tabla2[[#This Row],[PLAZO Días]],"venc", "No venc")</f>
        <v>venc</v>
      </c>
      <c r="AC915" s="163" t="str">
        <f>+IF(Tabla2[[#This Row],[FECHA DE PAGO]]&gt;0,"pagada","por pagar")</f>
        <v>pagada</v>
      </c>
      <c r="AD915" s="164" t="str">
        <f>+IF(AND(Tabla2[[#This Row],[venc]]="venc",Tabla2[[#This Row],[estado pago]]="por pagar"),"vencida","no")</f>
        <v>no</v>
      </c>
    </row>
    <row r="916" spans="1:30" ht="19.5" hidden="1" customHeight="1" x14ac:dyDescent="0.25">
      <c r="A916" s="8" t="s">
        <v>1852</v>
      </c>
      <c r="B916" s="8" t="b">
        <v>0</v>
      </c>
      <c r="C916" s="8">
        <v>30</v>
      </c>
      <c r="D916" s="151">
        <v>0</v>
      </c>
      <c r="E916" s="151"/>
      <c r="F916" s="24">
        <v>0</v>
      </c>
      <c r="G916" s="30">
        <v>45247</v>
      </c>
      <c r="H916" s="81" t="s">
        <v>836</v>
      </c>
      <c r="I916" s="30">
        <v>45247</v>
      </c>
      <c r="J916" s="16"/>
      <c r="K916" s="9" t="s">
        <v>1530</v>
      </c>
      <c r="L916" s="9"/>
      <c r="M916" s="152">
        <v>417000</v>
      </c>
      <c r="N916" s="153">
        <v>0</v>
      </c>
      <c r="O916" s="152">
        <v>0</v>
      </c>
      <c r="P916" s="154">
        <v>0</v>
      </c>
      <c r="Q916" s="152">
        <v>0</v>
      </c>
      <c r="R916" s="9">
        <v>417000</v>
      </c>
      <c r="S916" s="21" t="s">
        <v>1846</v>
      </c>
      <c r="T916" s="117">
        <v>0</v>
      </c>
      <c r="U916" s="117">
        <v>0</v>
      </c>
      <c r="V916" s="117">
        <v>2023</v>
      </c>
      <c r="W916" s="117">
        <v>6</v>
      </c>
      <c r="X916" s="117">
        <v>0</v>
      </c>
      <c r="Y916" s="117">
        <v>0</v>
      </c>
      <c r="Z916" s="21" t="b">
        <v>0</v>
      </c>
      <c r="AA916" s="162">
        <f>+$AD$5-Tabla2[[#This Row],[FECHA DE FACTURACIÓN]]</f>
        <v>196</v>
      </c>
      <c r="AB916" s="163" t="str">
        <f>+IF(Tabla2[[#This Row],[dias de credito]]&gt;=Tabla2[[#This Row],[PLAZO Días]],"venc", "No venc")</f>
        <v>venc</v>
      </c>
      <c r="AC916" s="163" t="str">
        <f>+IF(Tabla2[[#This Row],[FECHA DE PAGO]]&gt;0,"pagada","por pagar")</f>
        <v>pagada</v>
      </c>
      <c r="AD916" s="164" t="str">
        <f>+IF(AND(Tabla2[[#This Row],[venc]]="venc",Tabla2[[#This Row],[estado pago]]="por pagar"),"vencida","no")</f>
        <v>no</v>
      </c>
    </row>
    <row r="917" spans="1:30" ht="19.5" hidden="1" customHeight="1" x14ac:dyDescent="0.25">
      <c r="A917" s="8" t="s">
        <v>1850</v>
      </c>
      <c r="B917" s="8" t="s">
        <v>1851</v>
      </c>
      <c r="C917" s="8">
        <v>0</v>
      </c>
      <c r="D917" s="151">
        <v>0</v>
      </c>
      <c r="E917" s="151"/>
      <c r="F917" s="24" t="s">
        <v>1125</v>
      </c>
      <c r="G917" s="30">
        <v>45250</v>
      </c>
      <c r="H917" s="81" t="s">
        <v>1124</v>
      </c>
      <c r="I917" s="30">
        <v>45210</v>
      </c>
      <c r="J917" s="16" t="s">
        <v>1204</v>
      </c>
      <c r="K917" s="9" t="s">
        <v>1530</v>
      </c>
      <c r="L917" s="9"/>
      <c r="M917" s="152">
        <v>-1168669</v>
      </c>
      <c r="N917" s="153">
        <v>-222047.11000000002</v>
      </c>
      <c r="O917" s="152">
        <v>0</v>
      </c>
      <c r="P917" s="154">
        <v>0</v>
      </c>
      <c r="Q917" s="152">
        <v>0</v>
      </c>
      <c r="R917" s="9">
        <v>-1390716.11</v>
      </c>
      <c r="S917" s="21" t="s">
        <v>1846</v>
      </c>
      <c r="T917" s="117">
        <v>0</v>
      </c>
      <c r="U917" s="117" t="s">
        <v>443</v>
      </c>
      <c r="V917" s="117">
        <v>2023</v>
      </c>
      <c r="W917" s="117">
        <v>6</v>
      </c>
      <c r="X917" s="117">
        <v>170000</v>
      </c>
      <c r="Y917" s="117">
        <v>0.04</v>
      </c>
      <c r="Z917" s="21" t="b">
        <v>0</v>
      </c>
      <c r="AA917" s="162">
        <f>+$AD$5-Tabla2[[#This Row],[FECHA DE FACTURACIÓN]]</f>
        <v>233</v>
      </c>
      <c r="AB917" s="163" t="str">
        <f>+IF(Tabla2[[#This Row],[dias de credito]]&gt;=Tabla2[[#This Row],[PLAZO Días]],"venc", "No venc")</f>
        <v>venc</v>
      </c>
      <c r="AC917" s="163" t="str">
        <f>+IF(Tabla2[[#This Row],[FECHA DE PAGO]]&gt;0,"pagada","por pagar")</f>
        <v>pagada</v>
      </c>
      <c r="AD917" s="164" t="str">
        <f>+IF(AND(Tabla2[[#This Row],[venc]]="venc",Tabla2[[#This Row],[estado pago]]="por pagar"),"vencida","no")</f>
        <v>no</v>
      </c>
    </row>
    <row r="918" spans="1:30" ht="19.5" hidden="1" customHeight="1" x14ac:dyDescent="0.25">
      <c r="A918" s="8" t="s">
        <v>1850</v>
      </c>
      <c r="B918" s="8" t="s">
        <v>1851</v>
      </c>
      <c r="C918" s="8">
        <v>0</v>
      </c>
      <c r="D918" s="151">
        <v>0</v>
      </c>
      <c r="E918" s="151"/>
      <c r="F918" s="24" t="s">
        <v>1125</v>
      </c>
      <c r="G918" s="30">
        <v>45250</v>
      </c>
      <c r="H918" s="81" t="s">
        <v>1124</v>
      </c>
      <c r="I918" s="30">
        <v>45210</v>
      </c>
      <c r="J918" s="16" t="s">
        <v>1203</v>
      </c>
      <c r="K918" s="9" t="s">
        <v>1530</v>
      </c>
      <c r="L918" s="9"/>
      <c r="M918" s="152">
        <v>-759339</v>
      </c>
      <c r="N918" s="153">
        <v>-144274.41</v>
      </c>
      <c r="O918" s="152">
        <v>0</v>
      </c>
      <c r="P918" s="154">
        <v>0</v>
      </c>
      <c r="Q918" s="152">
        <v>0</v>
      </c>
      <c r="R918" s="9">
        <v>-903613.41</v>
      </c>
      <c r="S918" s="21" t="s">
        <v>1846</v>
      </c>
      <c r="T918" s="117">
        <v>0</v>
      </c>
      <c r="U918" s="117" t="s">
        <v>443</v>
      </c>
      <c r="V918" s="117">
        <v>2023</v>
      </c>
      <c r="W918" s="117">
        <v>6</v>
      </c>
      <c r="X918" s="117">
        <v>170000</v>
      </c>
      <c r="Y918" s="117">
        <v>0.04</v>
      </c>
      <c r="Z918" s="21" t="b">
        <v>0</v>
      </c>
      <c r="AA918" s="162">
        <f>+$AD$5-Tabla2[[#This Row],[FECHA DE FACTURACIÓN]]</f>
        <v>233</v>
      </c>
      <c r="AB918" s="163" t="str">
        <f>+IF(Tabla2[[#This Row],[dias de credito]]&gt;=Tabla2[[#This Row],[PLAZO Días]],"venc", "No venc")</f>
        <v>venc</v>
      </c>
      <c r="AC918" s="163" t="str">
        <f>+IF(Tabla2[[#This Row],[FECHA DE PAGO]]&gt;0,"pagada","por pagar")</f>
        <v>pagada</v>
      </c>
      <c r="AD918" s="164" t="str">
        <f>+IF(AND(Tabla2[[#This Row],[venc]]="venc",Tabla2[[#This Row],[estado pago]]="por pagar"),"vencida","no")</f>
        <v>no</v>
      </c>
    </row>
    <row r="919" spans="1:30" ht="19.5" hidden="1" customHeight="1" x14ac:dyDescent="0.25">
      <c r="A919" s="8" t="s">
        <v>1850</v>
      </c>
      <c r="B919" s="8" t="s">
        <v>1851</v>
      </c>
      <c r="C919" s="8">
        <v>20</v>
      </c>
      <c r="D919" s="151">
        <v>0</v>
      </c>
      <c r="E919" s="151"/>
      <c r="F919" s="24">
        <v>0</v>
      </c>
      <c r="G919" s="30">
        <v>45250</v>
      </c>
      <c r="H919" s="81" t="s">
        <v>1825</v>
      </c>
      <c r="I919" s="30">
        <v>45218</v>
      </c>
      <c r="J919" s="16" t="s">
        <v>890</v>
      </c>
      <c r="K919" s="9" t="s">
        <v>1530</v>
      </c>
      <c r="L919" s="9"/>
      <c r="M919" s="152">
        <v>445473</v>
      </c>
      <c r="N919" s="153">
        <v>0</v>
      </c>
      <c r="O919" s="152">
        <v>0</v>
      </c>
      <c r="P919" s="154">
        <v>0</v>
      </c>
      <c r="Q919" s="152">
        <v>0</v>
      </c>
      <c r="R919" s="9">
        <v>445473</v>
      </c>
      <c r="S919" s="21" t="s">
        <v>1846</v>
      </c>
      <c r="T919" s="117">
        <v>0</v>
      </c>
      <c r="U919" s="117">
        <v>0</v>
      </c>
      <c r="V919" s="117">
        <v>2023</v>
      </c>
      <c r="W919" s="117">
        <v>6</v>
      </c>
      <c r="X919" s="117">
        <v>0</v>
      </c>
      <c r="Y919" s="117">
        <v>0</v>
      </c>
      <c r="Z919" s="21" t="b">
        <v>0</v>
      </c>
      <c r="AA919" s="162">
        <f>+$AD$5-Tabla2[[#This Row],[FECHA DE FACTURACIÓN]]</f>
        <v>225</v>
      </c>
      <c r="AB919" s="163" t="str">
        <f>+IF(Tabla2[[#This Row],[dias de credito]]&gt;=Tabla2[[#This Row],[PLAZO Días]],"venc", "No venc")</f>
        <v>venc</v>
      </c>
      <c r="AC919" s="163" t="str">
        <f>+IF(Tabla2[[#This Row],[FECHA DE PAGO]]&gt;0,"pagada","por pagar")</f>
        <v>pagada</v>
      </c>
      <c r="AD919" s="164" t="str">
        <f>+IF(AND(Tabla2[[#This Row],[venc]]="venc",Tabla2[[#This Row],[estado pago]]="por pagar"),"vencida","no")</f>
        <v>no</v>
      </c>
    </row>
    <row r="920" spans="1:30" ht="19.5" hidden="1" customHeight="1" x14ac:dyDescent="0.25">
      <c r="A920" s="8" t="s">
        <v>1850</v>
      </c>
      <c r="B920" s="8" t="b">
        <v>0</v>
      </c>
      <c r="C920" s="8">
        <v>180</v>
      </c>
      <c r="D920" s="151">
        <v>0</v>
      </c>
      <c r="E920" s="151"/>
      <c r="F920" s="24" t="s">
        <v>219</v>
      </c>
      <c r="G920" s="30">
        <v>45250</v>
      </c>
      <c r="H920" s="81" t="s">
        <v>370</v>
      </c>
      <c r="I920" s="30">
        <v>45231</v>
      </c>
      <c r="J920" s="16" t="s">
        <v>1237</v>
      </c>
      <c r="K920" s="9" t="s">
        <v>1530</v>
      </c>
      <c r="L920" s="9"/>
      <c r="M920" s="152">
        <v>442906</v>
      </c>
      <c r="N920" s="153">
        <v>22145.300000000003</v>
      </c>
      <c r="O920" s="152">
        <v>0</v>
      </c>
      <c r="P920" s="154">
        <v>0</v>
      </c>
      <c r="Q920" s="152">
        <v>0</v>
      </c>
      <c r="R920" s="9">
        <v>465051.3</v>
      </c>
      <c r="S920" s="21" t="s">
        <v>1846</v>
      </c>
      <c r="T920" s="117">
        <v>0</v>
      </c>
      <c r="U920" s="117" t="s">
        <v>347</v>
      </c>
      <c r="V920" s="117">
        <v>2023</v>
      </c>
      <c r="W920" s="117">
        <v>6</v>
      </c>
      <c r="X920" s="117">
        <v>1145000</v>
      </c>
      <c r="Y920" s="117">
        <v>2.5000000000000001E-2</v>
      </c>
      <c r="Z920" s="21" t="b">
        <v>1</v>
      </c>
      <c r="AA920" s="162">
        <f>+$AD$5-Tabla2[[#This Row],[FECHA DE FACTURACIÓN]]</f>
        <v>212</v>
      </c>
      <c r="AB920" s="163" t="str">
        <f>+IF(Tabla2[[#This Row],[dias de credito]]&gt;=Tabla2[[#This Row],[PLAZO Días]],"venc", "No venc")</f>
        <v>venc</v>
      </c>
      <c r="AC920" s="163" t="str">
        <f>+IF(Tabla2[[#This Row],[FECHA DE PAGO]]&gt;0,"pagada","por pagar")</f>
        <v>pagada</v>
      </c>
      <c r="AD920" s="164" t="str">
        <f>+IF(AND(Tabla2[[#This Row],[venc]]="venc",Tabla2[[#This Row],[estado pago]]="por pagar"),"vencida","no")</f>
        <v>no</v>
      </c>
    </row>
    <row r="921" spans="1:30" ht="19.5" hidden="1" customHeight="1" x14ac:dyDescent="0.25">
      <c r="A921" s="8" t="s">
        <v>1850</v>
      </c>
      <c r="B921" s="8" t="b">
        <v>0</v>
      </c>
      <c r="C921" s="8">
        <v>30</v>
      </c>
      <c r="D921" s="151">
        <v>0</v>
      </c>
      <c r="E921" s="151"/>
      <c r="F921" s="24" t="s">
        <v>414</v>
      </c>
      <c r="G921" s="30">
        <v>45250</v>
      </c>
      <c r="H921" s="81" t="s">
        <v>382</v>
      </c>
      <c r="I921" s="30">
        <v>45231</v>
      </c>
      <c r="J921" s="16" t="s">
        <v>1207</v>
      </c>
      <c r="K921" s="9" t="s">
        <v>1530</v>
      </c>
      <c r="L921" s="9"/>
      <c r="M921" s="152">
        <v>934363</v>
      </c>
      <c r="N921" s="153">
        <v>0</v>
      </c>
      <c r="O921" s="152">
        <v>0</v>
      </c>
      <c r="P921" s="154">
        <v>0</v>
      </c>
      <c r="Q921" s="152">
        <v>0</v>
      </c>
      <c r="R921" s="9">
        <v>934363</v>
      </c>
      <c r="S921" s="21" t="s">
        <v>1846</v>
      </c>
      <c r="T921" s="117">
        <v>0</v>
      </c>
      <c r="U921" s="117">
        <v>0</v>
      </c>
      <c r="V921" s="117">
        <v>2023</v>
      </c>
      <c r="W921" s="117">
        <v>6</v>
      </c>
      <c r="X921" s="117">
        <v>0</v>
      </c>
      <c r="Y921" s="117">
        <v>0</v>
      </c>
      <c r="Z921" s="21" t="b">
        <v>1</v>
      </c>
      <c r="AA921" s="162">
        <f>+$AD$5-Tabla2[[#This Row],[FECHA DE FACTURACIÓN]]</f>
        <v>212</v>
      </c>
      <c r="AB921" s="163" t="str">
        <f>+IF(Tabla2[[#This Row],[dias de credito]]&gt;=Tabla2[[#This Row],[PLAZO Días]],"venc", "No venc")</f>
        <v>venc</v>
      </c>
      <c r="AC921" s="163" t="str">
        <f>+IF(Tabla2[[#This Row],[FECHA DE PAGO]]&gt;0,"pagada","por pagar")</f>
        <v>pagada</v>
      </c>
      <c r="AD921" s="164" t="str">
        <f>+IF(AND(Tabla2[[#This Row],[venc]]="venc",Tabla2[[#This Row],[estado pago]]="por pagar"),"vencida","no")</f>
        <v>no</v>
      </c>
    </row>
    <row r="922" spans="1:30" ht="19.5" hidden="1" customHeight="1" x14ac:dyDescent="0.25">
      <c r="A922" s="8" t="s">
        <v>1850</v>
      </c>
      <c r="B922" s="8" t="b">
        <v>0</v>
      </c>
      <c r="C922" s="8">
        <v>30</v>
      </c>
      <c r="D922" s="151">
        <v>0</v>
      </c>
      <c r="E922" s="151"/>
      <c r="F922" s="24" t="s">
        <v>414</v>
      </c>
      <c r="G922" s="30">
        <v>45250</v>
      </c>
      <c r="H922" s="81" t="s">
        <v>382</v>
      </c>
      <c r="I922" s="30">
        <v>45231</v>
      </c>
      <c r="J922" s="16" t="s">
        <v>1208</v>
      </c>
      <c r="K922" s="9" t="s">
        <v>1530</v>
      </c>
      <c r="L922" s="9"/>
      <c r="M922" s="152">
        <v>914023</v>
      </c>
      <c r="N922" s="153">
        <v>0</v>
      </c>
      <c r="O922" s="152">
        <v>0</v>
      </c>
      <c r="P922" s="154">
        <v>0</v>
      </c>
      <c r="Q922" s="152">
        <v>0</v>
      </c>
      <c r="R922" s="9">
        <v>914023</v>
      </c>
      <c r="S922" s="21" t="s">
        <v>1846</v>
      </c>
      <c r="T922" s="117">
        <v>0</v>
      </c>
      <c r="U922" s="117">
        <v>0</v>
      </c>
      <c r="V922" s="117">
        <v>2023</v>
      </c>
      <c r="W922" s="117">
        <v>6</v>
      </c>
      <c r="X922" s="117">
        <v>0</v>
      </c>
      <c r="Y922" s="117">
        <v>0</v>
      </c>
      <c r="Z922" s="21" t="b">
        <v>1</v>
      </c>
      <c r="AA922" s="162">
        <f>+$AD$5-Tabla2[[#This Row],[FECHA DE FACTURACIÓN]]</f>
        <v>212</v>
      </c>
      <c r="AB922" s="163" t="str">
        <f>+IF(Tabla2[[#This Row],[dias de credito]]&gt;=Tabla2[[#This Row],[PLAZO Días]],"venc", "No venc")</f>
        <v>venc</v>
      </c>
      <c r="AC922" s="163" t="str">
        <f>+IF(Tabla2[[#This Row],[FECHA DE PAGO]]&gt;0,"pagada","por pagar")</f>
        <v>pagada</v>
      </c>
      <c r="AD922" s="164" t="str">
        <f>+IF(AND(Tabla2[[#This Row],[venc]]="venc",Tabla2[[#This Row],[estado pago]]="por pagar"),"vencida","no")</f>
        <v>no</v>
      </c>
    </row>
    <row r="923" spans="1:30" ht="19.5" hidden="1" customHeight="1" x14ac:dyDescent="0.25">
      <c r="A923" s="8" t="s">
        <v>1850</v>
      </c>
      <c r="B923" s="8" t="b">
        <v>0</v>
      </c>
      <c r="C923" s="8">
        <v>30</v>
      </c>
      <c r="D923" s="151">
        <v>0</v>
      </c>
      <c r="E923" s="151"/>
      <c r="F923" s="24" t="s">
        <v>1540</v>
      </c>
      <c r="G923" s="30">
        <v>45250</v>
      </c>
      <c r="H923" s="81" t="s">
        <v>383</v>
      </c>
      <c r="I923" s="30">
        <v>45231</v>
      </c>
      <c r="J923" s="16" t="s">
        <v>1235</v>
      </c>
      <c r="K923" s="9" t="s">
        <v>1530</v>
      </c>
      <c r="L923" s="9"/>
      <c r="M923" s="152">
        <v>3935776</v>
      </c>
      <c r="N923" s="153">
        <v>747797.44000000006</v>
      </c>
      <c r="O923" s="152">
        <v>0</v>
      </c>
      <c r="P923" s="154">
        <v>3.5000000000000003E-2</v>
      </c>
      <c r="Q923" s="152">
        <v>137752.16</v>
      </c>
      <c r="R923" s="9">
        <v>4545821.28</v>
      </c>
      <c r="S923" s="21" t="s">
        <v>1846</v>
      </c>
      <c r="T923" s="117">
        <v>0</v>
      </c>
      <c r="U923" s="117" t="s">
        <v>348</v>
      </c>
      <c r="V923" s="117">
        <v>2023</v>
      </c>
      <c r="W923" s="117">
        <v>6</v>
      </c>
      <c r="X923" s="117">
        <v>0</v>
      </c>
      <c r="Y923" s="117">
        <v>3.5000000000000003E-2</v>
      </c>
      <c r="Z923" s="21" t="b">
        <v>1</v>
      </c>
      <c r="AA923" s="162">
        <f>+$AD$5-Tabla2[[#This Row],[FECHA DE FACTURACIÓN]]</f>
        <v>212</v>
      </c>
      <c r="AB923" s="163" t="str">
        <f>+IF(Tabla2[[#This Row],[dias de credito]]&gt;=Tabla2[[#This Row],[PLAZO Días]],"venc", "No venc")</f>
        <v>venc</v>
      </c>
      <c r="AC923" s="163" t="str">
        <f>+IF(Tabla2[[#This Row],[FECHA DE PAGO]]&gt;0,"pagada","por pagar")</f>
        <v>pagada</v>
      </c>
      <c r="AD923" s="164" t="str">
        <f>+IF(AND(Tabla2[[#This Row],[venc]]="venc",Tabla2[[#This Row],[estado pago]]="por pagar"),"vencida","no")</f>
        <v>no</v>
      </c>
    </row>
    <row r="924" spans="1:30" ht="19.5" hidden="1" customHeight="1" x14ac:dyDescent="0.25">
      <c r="A924" s="8" t="s">
        <v>1852</v>
      </c>
      <c r="B924" s="8" t="b">
        <v>0</v>
      </c>
      <c r="C924" s="8">
        <v>0</v>
      </c>
      <c r="D924" s="151">
        <v>0</v>
      </c>
      <c r="E924" s="151"/>
      <c r="F924" s="24" t="s">
        <v>1125</v>
      </c>
      <c r="G924" s="30">
        <v>45250</v>
      </c>
      <c r="H924" s="81" t="s">
        <v>1124</v>
      </c>
      <c r="I924" s="30">
        <v>45250</v>
      </c>
      <c r="J924" s="16" t="s">
        <v>1205</v>
      </c>
      <c r="K924" s="9" t="s">
        <v>1530</v>
      </c>
      <c r="L924" s="9"/>
      <c r="M924" s="152">
        <v>1964150</v>
      </c>
      <c r="N924" s="153">
        <v>373188.5</v>
      </c>
      <c r="O924" s="152">
        <v>0</v>
      </c>
      <c r="P924" s="154">
        <v>0.04</v>
      </c>
      <c r="Q924" s="152">
        <v>78566</v>
      </c>
      <c r="R924" s="9">
        <v>2258772.5</v>
      </c>
      <c r="S924" s="21" t="s">
        <v>1846</v>
      </c>
      <c r="T924" s="117">
        <v>0</v>
      </c>
      <c r="U924" s="117" t="s">
        <v>443</v>
      </c>
      <c r="V924" s="117">
        <v>2023</v>
      </c>
      <c r="W924" s="117">
        <v>6</v>
      </c>
      <c r="X924" s="117">
        <v>170000</v>
      </c>
      <c r="Y924" s="117">
        <v>0.04</v>
      </c>
      <c r="Z924" s="21" t="b">
        <v>0</v>
      </c>
      <c r="AA924" s="162">
        <f>+$AD$5-Tabla2[[#This Row],[FECHA DE FACTURACIÓN]]</f>
        <v>193</v>
      </c>
      <c r="AB924" s="163" t="str">
        <f>+IF(Tabla2[[#This Row],[dias de credito]]&gt;=Tabla2[[#This Row],[PLAZO Días]],"venc", "No venc")</f>
        <v>venc</v>
      </c>
      <c r="AC924" s="163" t="str">
        <f>+IF(Tabla2[[#This Row],[FECHA DE PAGO]]&gt;0,"pagada","por pagar")</f>
        <v>pagada</v>
      </c>
      <c r="AD924" s="164" t="str">
        <f>+IF(AND(Tabla2[[#This Row],[venc]]="venc",Tabla2[[#This Row],[estado pago]]="por pagar"),"vencida","no")</f>
        <v>no</v>
      </c>
    </row>
    <row r="925" spans="1:30" ht="19.5" hidden="1" customHeight="1" x14ac:dyDescent="0.25">
      <c r="A925" s="8" t="s">
        <v>1852</v>
      </c>
      <c r="B925" s="8" t="b">
        <v>0</v>
      </c>
      <c r="C925" s="8">
        <v>0</v>
      </c>
      <c r="D925" s="151">
        <v>0</v>
      </c>
      <c r="E925" s="151"/>
      <c r="F925" s="24" t="s">
        <v>1125</v>
      </c>
      <c r="G925" s="30">
        <v>45250</v>
      </c>
      <c r="H925" s="81" t="s">
        <v>1124</v>
      </c>
      <c r="I925" s="30">
        <v>45250</v>
      </c>
      <c r="J925" s="16" t="s">
        <v>1206</v>
      </c>
      <c r="K925" s="9" t="s">
        <v>1530</v>
      </c>
      <c r="L925" s="9"/>
      <c r="M925" s="152">
        <v>1276200</v>
      </c>
      <c r="N925" s="153">
        <v>242478</v>
      </c>
      <c r="O925" s="152">
        <v>0</v>
      </c>
      <c r="P925" s="154">
        <v>0.04</v>
      </c>
      <c r="Q925" s="152">
        <v>51048</v>
      </c>
      <c r="R925" s="9">
        <v>1467630</v>
      </c>
      <c r="S925" s="21" t="s">
        <v>1846</v>
      </c>
      <c r="T925" s="117">
        <v>0</v>
      </c>
      <c r="U925" s="117" t="s">
        <v>443</v>
      </c>
      <c r="V925" s="117">
        <v>2023</v>
      </c>
      <c r="W925" s="117">
        <v>6</v>
      </c>
      <c r="X925" s="117">
        <v>170000</v>
      </c>
      <c r="Y925" s="117">
        <v>0.04</v>
      </c>
      <c r="Z925" s="21" t="b">
        <v>0</v>
      </c>
      <c r="AA925" s="162">
        <f>+$AD$5-Tabla2[[#This Row],[FECHA DE FACTURACIÓN]]</f>
        <v>193</v>
      </c>
      <c r="AB925" s="163" t="str">
        <f>+IF(Tabla2[[#This Row],[dias de credito]]&gt;=Tabla2[[#This Row],[PLAZO Días]],"venc", "No venc")</f>
        <v>venc</v>
      </c>
      <c r="AC925" s="163" t="str">
        <f>+IF(Tabla2[[#This Row],[FECHA DE PAGO]]&gt;0,"pagada","por pagar")</f>
        <v>pagada</v>
      </c>
      <c r="AD925" s="164" t="str">
        <f>+IF(AND(Tabla2[[#This Row],[venc]]="venc",Tabla2[[#This Row],[estado pago]]="por pagar"),"vencida","no")</f>
        <v>no</v>
      </c>
    </row>
    <row r="926" spans="1:30" ht="19.5" hidden="1" customHeight="1" x14ac:dyDescent="0.25">
      <c r="A926" s="8" t="s">
        <v>1852</v>
      </c>
      <c r="B926" s="8" t="b">
        <v>0</v>
      </c>
      <c r="C926" s="8">
        <v>30</v>
      </c>
      <c r="D926" s="151">
        <v>0</v>
      </c>
      <c r="E926" s="151"/>
      <c r="F926" s="24" t="s">
        <v>84</v>
      </c>
      <c r="G926" s="30">
        <v>45250</v>
      </c>
      <c r="H926" s="81" t="s">
        <v>525</v>
      </c>
      <c r="I926" s="30">
        <v>45250</v>
      </c>
      <c r="J926" s="16" t="s">
        <v>1280</v>
      </c>
      <c r="K926" s="9" t="s">
        <v>1530</v>
      </c>
      <c r="L926" s="9"/>
      <c r="M926" s="152">
        <v>190000</v>
      </c>
      <c r="N926" s="153">
        <v>0</v>
      </c>
      <c r="O926" s="152">
        <v>0</v>
      </c>
      <c r="P926" s="154">
        <v>0</v>
      </c>
      <c r="Q926" s="152">
        <v>0</v>
      </c>
      <c r="R926" s="9">
        <v>190000</v>
      </c>
      <c r="S926" s="21" t="s">
        <v>1846</v>
      </c>
      <c r="T926" s="117">
        <v>0</v>
      </c>
      <c r="U926" s="117">
        <v>0</v>
      </c>
      <c r="V926" s="117">
        <v>2023</v>
      </c>
      <c r="W926" s="117">
        <v>6</v>
      </c>
      <c r="X926" s="117">
        <v>0</v>
      </c>
      <c r="Y926" s="117">
        <v>0</v>
      </c>
      <c r="Z926" s="21" t="b">
        <v>0</v>
      </c>
      <c r="AA926" s="162">
        <f>+$AD$5-Tabla2[[#This Row],[FECHA DE FACTURACIÓN]]</f>
        <v>193</v>
      </c>
      <c r="AB926" s="163" t="str">
        <f>+IF(Tabla2[[#This Row],[dias de credito]]&gt;=Tabla2[[#This Row],[PLAZO Días]],"venc", "No venc")</f>
        <v>venc</v>
      </c>
      <c r="AC926" s="163" t="str">
        <f>+IF(Tabla2[[#This Row],[FECHA DE PAGO]]&gt;0,"pagada","por pagar")</f>
        <v>pagada</v>
      </c>
      <c r="AD926" s="164" t="str">
        <f>+IF(AND(Tabla2[[#This Row],[venc]]="venc",Tabla2[[#This Row],[estado pago]]="por pagar"),"vencida","no")</f>
        <v>no</v>
      </c>
    </row>
    <row r="927" spans="1:30" ht="19.5" hidden="1" customHeight="1" x14ac:dyDescent="0.25">
      <c r="A927" s="8" t="s">
        <v>1852</v>
      </c>
      <c r="B927" s="8" t="b">
        <v>0</v>
      </c>
      <c r="C927" s="8">
        <v>30</v>
      </c>
      <c r="D927" s="151">
        <v>0</v>
      </c>
      <c r="E927" s="151"/>
      <c r="F927" s="24" t="s">
        <v>206</v>
      </c>
      <c r="G927" s="30">
        <v>45250</v>
      </c>
      <c r="H927" s="81" t="s">
        <v>380</v>
      </c>
      <c r="I927" s="30">
        <v>45250</v>
      </c>
      <c r="J927" s="16" t="s">
        <v>1232</v>
      </c>
      <c r="K927" s="9" t="s">
        <v>1530</v>
      </c>
      <c r="L927" s="9"/>
      <c r="M927" s="152">
        <v>3456200</v>
      </c>
      <c r="N927" s="153">
        <v>0</v>
      </c>
      <c r="O927" s="152">
        <v>0</v>
      </c>
      <c r="P927" s="154">
        <v>3.5000000000000003E-2</v>
      </c>
      <c r="Q927" s="152">
        <v>120967.00000000001</v>
      </c>
      <c r="R927" s="9">
        <v>3335233</v>
      </c>
      <c r="S927" s="21" t="s">
        <v>1846</v>
      </c>
      <c r="T927" s="117">
        <v>0</v>
      </c>
      <c r="U927" s="117" t="s">
        <v>348</v>
      </c>
      <c r="V927" s="117">
        <v>2023</v>
      </c>
      <c r="W927" s="117">
        <v>6</v>
      </c>
      <c r="X927" s="117">
        <v>0</v>
      </c>
      <c r="Y927" s="117">
        <v>3.5000000000000003E-2</v>
      </c>
      <c r="Z927" s="21" t="b">
        <v>1</v>
      </c>
      <c r="AA927" s="162">
        <f>+$AD$5-Tabla2[[#This Row],[FECHA DE FACTURACIÓN]]</f>
        <v>193</v>
      </c>
      <c r="AB927" s="163" t="str">
        <f>+IF(Tabla2[[#This Row],[dias de credito]]&gt;=Tabla2[[#This Row],[PLAZO Días]],"venc", "No venc")</f>
        <v>venc</v>
      </c>
      <c r="AC927" s="163" t="str">
        <f>+IF(Tabla2[[#This Row],[FECHA DE PAGO]]&gt;0,"pagada","por pagar")</f>
        <v>pagada</v>
      </c>
      <c r="AD927" s="164" t="str">
        <f>+IF(AND(Tabla2[[#This Row],[venc]]="venc",Tabla2[[#This Row],[estado pago]]="por pagar"),"vencida","no")</f>
        <v>no</v>
      </c>
    </row>
    <row r="928" spans="1:30" ht="19.5" hidden="1" customHeight="1" x14ac:dyDescent="0.25">
      <c r="A928" s="8" t="s">
        <v>1850</v>
      </c>
      <c r="B928" s="8" t="s">
        <v>1851</v>
      </c>
      <c r="C928" s="8">
        <v>60</v>
      </c>
      <c r="D928" s="151">
        <v>0</v>
      </c>
      <c r="E928" s="151"/>
      <c r="F928" s="24">
        <v>0</v>
      </c>
      <c r="G928" s="30">
        <v>45251</v>
      </c>
      <c r="H928" s="81" t="s">
        <v>445</v>
      </c>
      <c r="I928" s="30">
        <v>45169</v>
      </c>
      <c r="J928" s="16" t="s">
        <v>1020</v>
      </c>
      <c r="K928" s="9" t="s">
        <v>1530</v>
      </c>
      <c r="L928" s="9"/>
      <c r="M928" s="152">
        <v>2318282</v>
      </c>
      <c r="N928" s="153">
        <v>440473.58</v>
      </c>
      <c r="O928" s="152">
        <v>0</v>
      </c>
      <c r="P928" s="154">
        <v>0</v>
      </c>
      <c r="Q928" s="152">
        <v>0</v>
      </c>
      <c r="R928" s="9">
        <v>2758755.58</v>
      </c>
      <c r="S928" s="21" t="s">
        <v>1846</v>
      </c>
      <c r="T928" s="117">
        <v>0</v>
      </c>
      <c r="U928" s="117">
        <v>0</v>
      </c>
      <c r="V928" s="117">
        <v>2023</v>
      </c>
      <c r="W928" s="117">
        <v>6</v>
      </c>
      <c r="X928" s="117">
        <v>0</v>
      </c>
      <c r="Y928" s="117">
        <v>0</v>
      </c>
      <c r="Z928" s="21" t="b">
        <v>1</v>
      </c>
      <c r="AA928" s="162">
        <f>+$AD$5-Tabla2[[#This Row],[FECHA DE FACTURACIÓN]]</f>
        <v>274</v>
      </c>
      <c r="AB928" s="163" t="str">
        <f>+IF(Tabla2[[#This Row],[dias de credito]]&gt;=Tabla2[[#This Row],[PLAZO Días]],"venc", "No venc")</f>
        <v>venc</v>
      </c>
      <c r="AC928" s="163" t="str">
        <f>+IF(Tabla2[[#This Row],[FECHA DE PAGO]]&gt;0,"pagada","por pagar")</f>
        <v>pagada</v>
      </c>
      <c r="AD928" s="164" t="str">
        <f>+IF(AND(Tabla2[[#This Row],[venc]]="venc",Tabla2[[#This Row],[estado pago]]="por pagar"),"vencida","no")</f>
        <v>no</v>
      </c>
    </row>
    <row r="929" spans="1:30" ht="19.5" hidden="1" customHeight="1" x14ac:dyDescent="0.25">
      <c r="A929" s="8" t="s">
        <v>1850</v>
      </c>
      <c r="B929" s="8" t="s">
        <v>1851</v>
      </c>
      <c r="C929" s="8">
        <v>30</v>
      </c>
      <c r="D929" s="151">
        <v>0</v>
      </c>
      <c r="E929" s="151"/>
      <c r="F929" s="24" t="s">
        <v>1497</v>
      </c>
      <c r="G929" s="30">
        <v>45251</v>
      </c>
      <c r="H929" s="81" t="s">
        <v>1865</v>
      </c>
      <c r="I929" s="30">
        <v>45190</v>
      </c>
      <c r="J929" s="16">
        <v>677</v>
      </c>
      <c r="K929" s="9" t="s">
        <v>1530</v>
      </c>
      <c r="L929" s="9"/>
      <c r="M929" s="152">
        <v>329080</v>
      </c>
      <c r="N929" s="153">
        <v>0</v>
      </c>
      <c r="O929" s="152">
        <v>0</v>
      </c>
      <c r="P929" s="154">
        <v>0</v>
      </c>
      <c r="Q929" s="152">
        <v>0</v>
      </c>
      <c r="R929" s="9">
        <v>329080</v>
      </c>
      <c r="S929" s="21" t="s">
        <v>1846</v>
      </c>
      <c r="T929" s="117">
        <v>0</v>
      </c>
      <c r="U929" s="117">
        <v>0</v>
      </c>
      <c r="V929" s="117">
        <v>2023</v>
      </c>
      <c r="W929" s="117">
        <v>6</v>
      </c>
      <c r="X929" s="117">
        <v>0</v>
      </c>
      <c r="Y929" s="117">
        <v>0</v>
      </c>
      <c r="Z929" s="21" t="b">
        <v>0</v>
      </c>
      <c r="AA929" s="162">
        <f>+$AD$5-Tabla2[[#This Row],[FECHA DE FACTURACIÓN]]</f>
        <v>253</v>
      </c>
      <c r="AB929" s="163" t="str">
        <f>+IF(Tabla2[[#This Row],[dias de credito]]&gt;=Tabla2[[#This Row],[PLAZO Días]],"venc", "No venc")</f>
        <v>venc</v>
      </c>
      <c r="AC929" s="163" t="str">
        <f>+IF(Tabla2[[#This Row],[FECHA DE PAGO]]&gt;0,"pagada","por pagar")</f>
        <v>pagada</v>
      </c>
      <c r="AD929" s="164" t="str">
        <f>+IF(AND(Tabla2[[#This Row],[venc]]="venc",Tabla2[[#This Row],[estado pago]]="por pagar"),"vencida","no")</f>
        <v>no</v>
      </c>
    </row>
    <row r="930" spans="1:30" ht="19.5" hidden="1" customHeight="1" x14ac:dyDescent="0.25">
      <c r="A930" s="8" t="s">
        <v>1850</v>
      </c>
      <c r="B930" s="8" t="s">
        <v>1851</v>
      </c>
      <c r="C930" s="8">
        <v>30</v>
      </c>
      <c r="D930" s="151">
        <v>0</v>
      </c>
      <c r="E930" s="151"/>
      <c r="F930" s="24" t="s">
        <v>1497</v>
      </c>
      <c r="G930" s="30">
        <v>45251</v>
      </c>
      <c r="H930" s="81" t="s">
        <v>1865</v>
      </c>
      <c r="I930" s="30">
        <v>45190</v>
      </c>
      <c r="J930" s="16">
        <v>673</v>
      </c>
      <c r="K930" s="9" t="s">
        <v>1530</v>
      </c>
      <c r="L930" s="9"/>
      <c r="M930" s="152">
        <v>64581</v>
      </c>
      <c r="N930" s="153">
        <v>0</v>
      </c>
      <c r="O930" s="152">
        <v>0</v>
      </c>
      <c r="P930" s="154">
        <v>0</v>
      </c>
      <c r="Q930" s="152">
        <v>0</v>
      </c>
      <c r="R930" s="9">
        <v>64581</v>
      </c>
      <c r="S930" s="21" t="s">
        <v>1846</v>
      </c>
      <c r="T930" s="117">
        <v>0</v>
      </c>
      <c r="U930" s="117">
        <v>0</v>
      </c>
      <c r="V930" s="117">
        <v>2023</v>
      </c>
      <c r="W930" s="117">
        <v>6</v>
      </c>
      <c r="X930" s="117">
        <v>0</v>
      </c>
      <c r="Y930" s="117">
        <v>0</v>
      </c>
      <c r="Z930" s="21" t="b">
        <v>0</v>
      </c>
      <c r="AA930" s="162">
        <f>+$AD$5-Tabla2[[#This Row],[FECHA DE FACTURACIÓN]]</f>
        <v>253</v>
      </c>
      <c r="AB930" s="163" t="str">
        <f>+IF(Tabla2[[#This Row],[dias de credito]]&gt;=Tabla2[[#This Row],[PLAZO Días]],"venc", "No venc")</f>
        <v>venc</v>
      </c>
      <c r="AC930" s="163" t="str">
        <f>+IF(Tabla2[[#This Row],[FECHA DE PAGO]]&gt;0,"pagada","por pagar")</f>
        <v>pagada</v>
      </c>
      <c r="AD930" s="164" t="str">
        <f>+IF(AND(Tabla2[[#This Row],[venc]]="venc",Tabla2[[#This Row],[estado pago]]="por pagar"),"vencida","no")</f>
        <v>no</v>
      </c>
    </row>
    <row r="931" spans="1:30" ht="19.5" hidden="1" customHeight="1" x14ac:dyDescent="0.25">
      <c r="A931" s="8" t="s">
        <v>1850</v>
      </c>
      <c r="B931" s="8" t="s">
        <v>1851</v>
      </c>
      <c r="C931" s="8">
        <v>30</v>
      </c>
      <c r="D931" s="151">
        <v>0</v>
      </c>
      <c r="E931" s="151"/>
      <c r="F931" s="24" t="s">
        <v>1497</v>
      </c>
      <c r="G931" s="30">
        <v>45251</v>
      </c>
      <c r="H931" s="81" t="s">
        <v>1865</v>
      </c>
      <c r="I931" s="30">
        <v>45190</v>
      </c>
      <c r="J931" s="16">
        <v>674</v>
      </c>
      <c r="K931" s="9" t="s">
        <v>1530</v>
      </c>
      <c r="L931" s="9"/>
      <c r="M931" s="152">
        <v>169907</v>
      </c>
      <c r="N931" s="153">
        <v>0</v>
      </c>
      <c r="O931" s="152">
        <v>0</v>
      </c>
      <c r="P931" s="154">
        <v>0</v>
      </c>
      <c r="Q931" s="152">
        <v>0</v>
      </c>
      <c r="R931" s="9">
        <v>169907</v>
      </c>
      <c r="S931" s="21" t="s">
        <v>1846</v>
      </c>
      <c r="T931" s="117">
        <v>0</v>
      </c>
      <c r="U931" s="117">
        <v>0</v>
      </c>
      <c r="V931" s="117">
        <v>2023</v>
      </c>
      <c r="W931" s="117">
        <v>6</v>
      </c>
      <c r="X931" s="117">
        <v>0</v>
      </c>
      <c r="Y931" s="117">
        <v>0</v>
      </c>
      <c r="Z931" s="21" t="b">
        <v>0</v>
      </c>
      <c r="AA931" s="162">
        <f>+$AD$5-Tabla2[[#This Row],[FECHA DE FACTURACIÓN]]</f>
        <v>253</v>
      </c>
      <c r="AB931" s="163" t="str">
        <f>+IF(Tabla2[[#This Row],[dias de credito]]&gt;=Tabla2[[#This Row],[PLAZO Días]],"venc", "No venc")</f>
        <v>venc</v>
      </c>
      <c r="AC931" s="163" t="str">
        <f>+IF(Tabla2[[#This Row],[FECHA DE PAGO]]&gt;0,"pagada","por pagar")</f>
        <v>pagada</v>
      </c>
      <c r="AD931" s="164" t="str">
        <f>+IF(AND(Tabla2[[#This Row],[venc]]="venc",Tabla2[[#This Row],[estado pago]]="por pagar"),"vencida","no")</f>
        <v>no</v>
      </c>
    </row>
    <row r="932" spans="1:30" ht="19.5" hidden="1" customHeight="1" x14ac:dyDescent="0.25">
      <c r="A932" s="8" t="s">
        <v>1850</v>
      </c>
      <c r="B932" s="8" t="s">
        <v>1851</v>
      </c>
      <c r="C932" s="8">
        <v>30</v>
      </c>
      <c r="D932" s="151">
        <v>0</v>
      </c>
      <c r="E932" s="151"/>
      <c r="F932" s="24" t="s">
        <v>214</v>
      </c>
      <c r="G932" s="30">
        <v>45251</v>
      </c>
      <c r="H932" s="81" t="s">
        <v>1802</v>
      </c>
      <c r="I932" s="30">
        <v>45195</v>
      </c>
      <c r="J932" s="16" t="s">
        <v>1105</v>
      </c>
      <c r="K932" s="9" t="s">
        <v>1530</v>
      </c>
      <c r="L932" s="9"/>
      <c r="M932" s="152">
        <v>4316750</v>
      </c>
      <c r="N932" s="153">
        <v>0</v>
      </c>
      <c r="O932" s="152">
        <v>0</v>
      </c>
      <c r="P932" s="154">
        <v>0</v>
      </c>
      <c r="Q932" s="152">
        <v>0</v>
      </c>
      <c r="R932" s="9">
        <v>4316750</v>
      </c>
      <c r="S932" s="21" t="s">
        <v>1846</v>
      </c>
      <c r="T932" s="117">
        <v>0</v>
      </c>
      <c r="U932" s="117">
        <v>0</v>
      </c>
      <c r="V932" s="117">
        <v>2023</v>
      </c>
      <c r="W932" s="117">
        <v>6</v>
      </c>
      <c r="X932" s="117">
        <v>0</v>
      </c>
      <c r="Y932" s="117">
        <v>0</v>
      </c>
      <c r="Z932" s="21" t="b">
        <v>0</v>
      </c>
      <c r="AA932" s="162">
        <f>+$AD$5-Tabla2[[#This Row],[FECHA DE FACTURACIÓN]]</f>
        <v>248</v>
      </c>
      <c r="AB932" s="163" t="str">
        <f>+IF(Tabla2[[#This Row],[dias de credito]]&gt;=Tabla2[[#This Row],[PLAZO Días]],"venc", "No venc")</f>
        <v>venc</v>
      </c>
      <c r="AC932" s="163" t="str">
        <f>+IF(Tabla2[[#This Row],[FECHA DE PAGO]]&gt;0,"pagada","por pagar")</f>
        <v>pagada</v>
      </c>
      <c r="AD932" s="164" t="str">
        <f>+IF(AND(Tabla2[[#This Row],[venc]]="venc",Tabla2[[#This Row],[estado pago]]="por pagar"),"vencida","no")</f>
        <v>no</v>
      </c>
    </row>
    <row r="933" spans="1:30" ht="19.5" hidden="1" customHeight="1" x14ac:dyDescent="0.25">
      <c r="A933" s="8" t="s">
        <v>1850</v>
      </c>
      <c r="B933" s="8" t="s">
        <v>1851</v>
      </c>
      <c r="C933" s="8">
        <v>30</v>
      </c>
      <c r="D933" s="151">
        <v>0</v>
      </c>
      <c r="E933" s="151"/>
      <c r="F933" s="24" t="s">
        <v>168</v>
      </c>
      <c r="G933" s="30">
        <v>45251</v>
      </c>
      <c r="H933" s="81" t="s">
        <v>43</v>
      </c>
      <c r="I933" s="30">
        <v>45196</v>
      </c>
      <c r="J933" s="16" t="s">
        <v>1091</v>
      </c>
      <c r="K933" s="9" t="s">
        <v>1530</v>
      </c>
      <c r="L933" s="9"/>
      <c r="M933" s="152">
        <v>3669700</v>
      </c>
      <c r="N933" s="153">
        <v>697243</v>
      </c>
      <c r="O933" s="152">
        <v>0</v>
      </c>
      <c r="P933" s="154">
        <v>2.5000000000000001E-2</v>
      </c>
      <c r="Q933" s="152">
        <v>91742.5</v>
      </c>
      <c r="R933" s="9">
        <v>4275200.5</v>
      </c>
      <c r="S933" s="21" t="s">
        <v>1846</v>
      </c>
      <c r="T933" s="117">
        <v>0</v>
      </c>
      <c r="U933" s="117" t="s">
        <v>347</v>
      </c>
      <c r="V933" s="117">
        <v>2023</v>
      </c>
      <c r="W933" s="117">
        <v>6</v>
      </c>
      <c r="X933" s="117">
        <v>1145000</v>
      </c>
      <c r="Y933" s="117">
        <v>2.5000000000000001E-2</v>
      </c>
      <c r="Z933" s="21" t="b">
        <v>0</v>
      </c>
      <c r="AA933" s="162">
        <f>+$AD$5-Tabla2[[#This Row],[FECHA DE FACTURACIÓN]]</f>
        <v>247</v>
      </c>
      <c r="AB933" s="163" t="str">
        <f>+IF(Tabla2[[#This Row],[dias de credito]]&gt;=Tabla2[[#This Row],[PLAZO Días]],"venc", "No venc")</f>
        <v>venc</v>
      </c>
      <c r="AC933" s="163" t="str">
        <f>+IF(Tabla2[[#This Row],[FECHA DE PAGO]]&gt;0,"pagada","por pagar")</f>
        <v>pagada</v>
      </c>
      <c r="AD933" s="164" t="str">
        <f>+IF(AND(Tabla2[[#This Row],[venc]]="venc",Tabla2[[#This Row],[estado pago]]="por pagar"),"vencida","no")</f>
        <v>no</v>
      </c>
    </row>
    <row r="934" spans="1:30" ht="19.5" hidden="1" customHeight="1" x14ac:dyDescent="0.25">
      <c r="A934" s="8" t="s">
        <v>1850</v>
      </c>
      <c r="B934" s="8" t="s">
        <v>1851</v>
      </c>
      <c r="C934" s="8">
        <v>30</v>
      </c>
      <c r="D934" s="151">
        <v>0</v>
      </c>
      <c r="E934" s="151"/>
      <c r="F934" s="24" t="s">
        <v>214</v>
      </c>
      <c r="G934" s="30">
        <v>45251</v>
      </c>
      <c r="H934" s="81" t="s">
        <v>193</v>
      </c>
      <c r="I934" s="30">
        <v>45197</v>
      </c>
      <c r="J934" s="16" t="s">
        <v>1090</v>
      </c>
      <c r="K934" s="9" t="s">
        <v>1530</v>
      </c>
      <c r="L934" s="9"/>
      <c r="M934" s="152">
        <v>2637500</v>
      </c>
      <c r="N934" s="153">
        <v>501125</v>
      </c>
      <c r="O934" s="152">
        <v>0</v>
      </c>
      <c r="P934" s="154">
        <v>2.5000000000000001E-2</v>
      </c>
      <c r="Q934" s="152">
        <v>65937.5</v>
      </c>
      <c r="R934" s="9">
        <v>3072687.5</v>
      </c>
      <c r="S934" s="21" t="s">
        <v>1846</v>
      </c>
      <c r="T934" s="117">
        <v>0</v>
      </c>
      <c r="U934" s="117" t="s">
        <v>347</v>
      </c>
      <c r="V934" s="117">
        <v>2023</v>
      </c>
      <c r="W934" s="117">
        <v>6</v>
      </c>
      <c r="X934" s="117">
        <v>1145000</v>
      </c>
      <c r="Y934" s="117">
        <v>2.5000000000000001E-2</v>
      </c>
      <c r="Z934" s="21" t="b">
        <v>0</v>
      </c>
      <c r="AA934" s="162">
        <f>+$AD$5-Tabla2[[#This Row],[FECHA DE FACTURACIÓN]]</f>
        <v>246</v>
      </c>
      <c r="AB934" s="163" t="str">
        <f>+IF(Tabla2[[#This Row],[dias de credito]]&gt;=Tabla2[[#This Row],[PLAZO Días]],"venc", "No venc")</f>
        <v>venc</v>
      </c>
      <c r="AC934" s="163" t="str">
        <f>+IF(Tabla2[[#This Row],[FECHA DE PAGO]]&gt;0,"pagada","por pagar")</f>
        <v>pagada</v>
      </c>
      <c r="AD934" s="164" t="str">
        <f>+IF(AND(Tabla2[[#This Row],[venc]]="venc",Tabla2[[#This Row],[estado pago]]="por pagar"),"vencida","no")</f>
        <v>no</v>
      </c>
    </row>
    <row r="935" spans="1:30" ht="19.5" hidden="1" customHeight="1" x14ac:dyDescent="0.25">
      <c r="A935" s="8" t="s">
        <v>1850</v>
      </c>
      <c r="B935" s="8" t="s">
        <v>1851</v>
      </c>
      <c r="C935" s="8">
        <v>45</v>
      </c>
      <c r="D935" s="151">
        <v>22186260.039999999</v>
      </c>
      <c r="E935" s="151"/>
      <c r="F935" s="24" t="s">
        <v>357</v>
      </c>
      <c r="G935" s="30">
        <v>45251</v>
      </c>
      <c r="H935" s="81" t="s">
        <v>19</v>
      </c>
      <c r="I935" s="30">
        <v>45197</v>
      </c>
      <c r="J935" s="16" t="s">
        <v>1074</v>
      </c>
      <c r="K935" s="9" t="s">
        <v>1530</v>
      </c>
      <c r="L935" s="9"/>
      <c r="M935" s="152">
        <v>12678160</v>
      </c>
      <c r="N935" s="153">
        <v>2408850.4</v>
      </c>
      <c r="O935" s="152">
        <v>0</v>
      </c>
      <c r="P935" s="154">
        <v>0</v>
      </c>
      <c r="Q935" s="152">
        <v>0</v>
      </c>
      <c r="R935" s="9">
        <v>15087010.4</v>
      </c>
      <c r="S935" s="21" t="s">
        <v>1846</v>
      </c>
      <c r="T935" s="117">
        <v>0</v>
      </c>
      <c r="U935" s="117">
        <v>0</v>
      </c>
      <c r="V935" s="117">
        <v>2023</v>
      </c>
      <c r="W935" s="117">
        <v>6</v>
      </c>
      <c r="X935" s="117">
        <v>0</v>
      </c>
      <c r="Y935" s="117">
        <v>0</v>
      </c>
      <c r="Z935" s="21" t="b">
        <v>0</v>
      </c>
      <c r="AA935" s="162">
        <f>+$AD$5-Tabla2[[#This Row],[FECHA DE FACTURACIÓN]]</f>
        <v>246</v>
      </c>
      <c r="AB935" s="163" t="str">
        <f>+IF(Tabla2[[#This Row],[dias de credito]]&gt;=Tabla2[[#This Row],[PLAZO Días]],"venc", "No venc")</f>
        <v>venc</v>
      </c>
      <c r="AC935" s="163" t="str">
        <f>+IF(Tabla2[[#This Row],[FECHA DE PAGO]]&gt;0,"pagada","por pagar")</f>
        <v>pagada</v>
      </c>
      <c r="AD935" s="164" t="str">
        <f>+IF(AND(Tabla2[[#This Row],[venc]]="venc",Tabla2[[#This Row],[estado pago]]="por pagar"),"vencida","no")</f>
        <v>no</v>
      </c>
    </row>
    <row r="936" spans="1:30" ht="19.5" hidden="1" customHeight="1" x14ac:dyDescent="0.25">
      <c r="A936" s="8" t="s">
        <v>1850</v>
      </c>
      <c r="B936" s="8" t="s">
        <v>1851</v>
      </c>
      <c r="C936" s="8">
        <v>30</v>
      </c>
      <c r="D936" s="151">
        <v>0</v>
      </c>
      <c r="E936" s="151"/>
      <c r="F936" s="24" t="s">
        <v>1497</v>
      </c>
      <c r="G936" s="30">
        <v>45251</v>
      </c>
      <c r="H936" s="81" t="s">
        <v>1865</v>
      </c>
      <c r="I936" s="30">
        <v>45198</v>
      </c>
      <c r="J936" s="16" t="s">
        <v>1078</v>
      </c>
      <c r="K936" s="9" t="s">
        <v>1530</v>
      </c>
      <c r="L936" s="9"/>
      <c r="M936" s="152">
        <v>287350</v>
      </c>
      <c r="N936" s="153">
        <v>0</v>
      </c>
      <c r="O936" s="152">
        <v>0</v>
      </c>
      <c r="P936" s="154">
        <v>0</v>
      </c>
      <c r="Q936" s="152">
        <v>0</v>
      </c>
      <c r="R936" s="9">
        <v>287350</v>
      </c>
      <c r="S936" s="21" t="s">
        <v>1846</v>
      </c>
      <c r="T936" s="117">
        <v>0</v>
      </c>
      <c r="U936" s="117">
        <v>0</v>
      </c>
      <c r="V936" s="117">
        <v>2023</v>
      </c>
      <c r="W936" s="117">
        <v>6</v>
      </c>
      <c r="X936" s="117">
        <v>0</v>
      </c>
      <c r="Y936" s="117">
        <v>0</v>
      </c>
      <c r="Z936" s="21" t="b">
        <v>0</v>
      </c>
      <c r="AA936" s="162">
        <f>+$AD$5-Tabla2[[#This Row],[FECHA DE FACTURACIÓN]]</f>
        <v>245</v>
      </c>
      <c r="AB936" s="163" t="str">
        <f>+IF(Tabla2[[#This Row],[dias de credito]]&gt;=Tabla2[[#This Row],[PLAZO Días]],"venc", "No venc")</f>
        <v>venc</v>
      </c>
      <c r="AC936" s="163" t="str">
        <f>+IF(Tabla2[[#This Row],[FECHA DE PAGO]]&gt;0,"pagada","por pagar")</f>
        <v>pagada</v>
      </c>
      <c r="AD936" s="164" t="str">
        <f>+IF(AND(Tabla2[[#This Row],[venc]]="venc",Tabla2[[#This Row],[estado pago]]="por pagar"),"vencida","no")</f>
        <v>no</v>
      </c>
    </row>
    <row r="937" spans="1:30" ht="19.5" hidden="1" customHeight="1" x14ac:dyDescent="0.25">
      <c r="A937" s="8" t="s">
        <v>1850</v>
      </c>
      <c r="B937" s="8" t="s">
        <v>1851</v>
      </c>
      <c r="C937" s="8">
        <v>30</v>
      </c>
      <c r="D937" s="151">
        <v>0</v>
      </c>
      <c r="E937" s="151"/>
      <c r="F937" s="24" t="s">
        <v>1497</v>
      </c>
      <c r="G937" s="30">
        <v>45251</v>
      </c>
      <c r="H937" s="81" t="s">
        <v>1865</v>
      </c>
      <c r="I937" s="30">
        <v>45198</v>
      </c>
      <c r="J937" s="16" t="s">
        <v>1080</v>
      </c>
      <c r="K937" s="9" t="s">
        <v>1530</v>
      </c>
      <c r="L937" s="9"/>
      <c r="M937" s="152">
        <v>7823</v>
      </c>
      <c r="N937" s="153">
        <v>0</v>
      </c>
      <c r="O937" s="152">
        <v>0</v>
      </c>
      <c r="P937" s="154">
        <v>0</v>
      </c>
      <c r="Q937" s="152">
        <v>0</v>
      </c>
      <c r="R937" s="9">
        <v>7823</v>
      </c>
      <c r="S937" s="21" t="s">
        <v>1846</v>
      </c>
      <c r="T937" s="117">
        <v>0</v>
      </c>
      <c r="U937" s="117">
        <v>0</v>
      </c>
      <c r="V937" s="117">
        <v>2023</v>
      </c>
      <c r="W937" s="117">
        <v>6</v>
      </c>
      <c r="X937" s="117">
        <v>0</v>
      </c>
      <c r="Y937" s="117">
        <v>0</v>
      </c>
      <c r="Z937" s="21" t="b">
        <v>0</v>
      </c>
      <c r="AA937" s="162">
        <f>+$AD$5-Tabla2[[#This Row],[FECHA DE FACTURACIÓN]]</f>
        <v>245</v>
      </c>
      <c r="AB937" s="163" t="str">
        <f>+IF(Tabla2[[#This Row],[dias de credito]]&gt;=Tabla2[[#This Row],[PLAZO Días]],"venc", "No venc")</f>
        <v>venc</v>
      </c>
      <c r="AC937" s="163" t="str">
        <f>+IF(Tabla2[[#This Row],[FECHA DE PAGO]]&gt;0,"pagada","por pagar")</f>
        <v>pagada</v>
      </c>
      <c r="AD937" s="164" t="str">
        <f>+IF(AND(Tabla2[[#This Row],[venc]]="venc",Tabla2[[#This Row],[estado pago]]="por pagar"),"vencida","no")</f>
        <v>no</v>
      </c>
    </row>
    <row r="938" spans="1:30" ht="19.5" hidden="1" customHeight="1" x14ac:dyDescent="0.25">
      <c r="A938" s="8" t="s">
        <v>1850</v>
      </c>
      <c r="B938" s="8" t="s">
        <v>1851</v>
      </c>
      <c r="C938" s="8">
        <v>45</v>
      </c>
      <c r="D938" s="151">
        <v>22186260.039999999</v>
      </c>
      <c r="E938" s="151"/>
      <c r="F938" s="24" t="s">
        <v>357</v>
      </c>
      <c r="G938" s="30">
        <v>45251</v>
      </c>
      <c r="H938" s="81" t="s">
        <v>19</v>
      </c>
      <c r="I938" s="30">
        <v>45198</v>
      </c>
      <c r="J938" s="16" t="s">
        <v>1072</v>
      </c>
      <c r="K938" s="9" t="s">
        <v>1530</v>
      </c>
      <c r="L938" s="9"/>
      <c r="M938" s="152">
        <v>814720</v>
      </c>
      <c r="N938" s="153">
        <v>154796.79999999999</v>
      </c>
      <c r="O938" s="152">
        <v>0</v>
      </c>
      <c r="P938" s="154">
        <v>0</v>
      </c>
      <c r="Q938" s="152">
        <v>0</v>
      </c>
      <c r="R938" s="9">
        <v>969516.8</v>
      </c>
      <c r="S938" s="21" t="s">
        <v>1846</v>
      </c>
      <c r="T938" s="117">
        <v>0</v>
      </c>
      <c r="U938" s="117">
        <v>0</v>
      </c>
      <c r="V938" s="117">
        <v>2023</v>
      </c>
      <c r="W938" s="117">
        <v>6</v>
      </c>
      <c r="X938" s="117">
        <v>0</v>
      </c>
      <c r="Y938" s="117">
        <v>0</v>
      </c>
      <c r="Z938" s="21" t="b">
        <v>0</v>
      </c>
      <c r="AA938" s="162">
        <f>+$AD$5-Tabla2[[#This Row],[FECHA DE FACTURACIÓN]]</f>
        <v>245</v>
      </c>
      <c r="AB938" s="163" t="str">
        <f>+IF(Tabla2[[#This Row],[dias de credito]]&gt;=Tabla2[[#This Row],[PLAZO Días]],"venc", "No venc")</f>
        <v>venc</v>
      </c>
      <c r="AC938" s="163" t="str">
        <f>+IF(Tabla2[[#This Row],[FECHA DE PAGO]]&gt;0,"pagada","por pagar")</f>
        <v>pagada</v>
      </c>
      <c r="AD938" s="164" t="str">
        <f>+IF(AND(Tabla2[[#This Row],[venc]]="venc",Tabla2[[#This Row],[estado pago]]="por pagar"),"vencida","no")</f>
        <v>no</v>
      </c>
    </row>
    <row r="939" spans="1:30" ht="19.5" hidden="1" customHeight="1" x14ac:dyDescent="0.25">
      <c r="A939" s="8" t="s">
        <v>1850</v>
      </c>
      <c r="B939" s="8" t="s">
        <v>1851</v>
      </c>
      <c r="C939" s="8">
        <v>30</v>
      </c>
      <c r="D939" s="151">
        <v>0</v>
      </c>
      <c r="E939" s="151"/>
      <c r="F939" s="24" t="s">
        <v>168</v>
      </c>
      <c r="G939" s="30">
        <v>45251</v>
      </c>
      <c r="H939" s="81" t="s">
        <v>43</v>
      </c>
      <c r="I939" s="30">
        <v>45201</v>
      </c>
      <c r="J939" s="16" t="s">
        <v>1092</v>
      </c>
      <c r="K939" s="9" t="s">
        <v>1530</v>
      </c>
      <c r="L939" s="9"/>
      <c r="M939" s="152">
        <v>1664650</v>
      </c>
      <c r="N939" s="153">
        <v>316283.5</v>
      </c>
      <c r="O939" s="152">
        <v>0</v>
      </c>
      <c r="P939" s="154">
        <v>2.5000000000000001E-2</v>
      </c>
      <c r="Q939" s="152">
        <v>41616.25</v>
      </c>
      <c r="R939" s="9">
        <v>1939317.25</v>
      </c>
      <c r="S939" s="21" t="s">
        <v>1846</v>
      </c>
      <c r="T939" s="117">
        <v>0</v>
      </c>
      <c r="U939" s="117" t="s">
        <v>347</v>
      </c>
      <c r="V939" s="117">
        <v>2023</v>
      </c>
      <c r="W939" s="117">
        <v>6</v>
      </c>
      <c r="X939" s="117">
        <v>1145000</v>
      </c>
      <c r="Y939" s="117">
        <v>2.5000000000000001E-2</v>
      </c>
      <c r="Z939" s="21" t="b">
        <v>0</v>
      </c>
      <c r="AA939" s="162">
        <f>+$AD$5-Tabla2[[#This Row],[FECHA DE FACTURACIÓN]]</f>
        <v>242</v>
      </c>
      <c r="AB939" s="163" t="str">
        <f>+IF(Tabla2[[#This Row],[dias de credito]]&gt;=Tabla2[[#This Row],[PLAZO Días]],"venc", "No venc")</f>
        <v>venc</v>
      </c>
      <c r="AC939" s="163" t="str">
        <f>+IF(Tabla2[[#This Row],[FECHA DE PAGO]]&gt;0,"pagada","por pagar")</f>
        <v>pagada</v>
      </c>
      <c r="AD939" s="164" t="str">
        <f>+IF(AND(Tabla2[[#This Row],[venc]]="venc",Tabla2[[#This Row],[estado pago]]="por pagar"),"vencida","no")</f>
        <v>no</v>
      </c>
    </row>
    <row r="940" spans="1:30" ht="19.5" hidden="1" customHeight="1" x14ac:dyDescent="0.25">
      <c r="A940" s="8" t="s">
        <v>1850</v>
      </c>
      <c r="B940" s="8" t="b">
        <v>0</v>
      </c>
      <c r="C940" s="8">
        <v>60</v>
      </c>
      <c r="D940" s="151">
        <v>1730482</v>
      </c>
      <c r="E940" s="151"/>
      <c r="F940" s="24" t="s">
        <v>603</v>
      </c>
      <c r="G940" s="30">
        <v>45251</v>
      </c>
      <c r="H940" s="81" t="s">
        <v>222</v>
      </c>
      <c r="I940" s="30">
        <v>45215</v>
      </c>
      <c r="J940" s="16">
        <v>1805</v>
      </c>
      <c r="K940" s="9" t="s">
        <v>1530</v>
      </c>
      <c r="L940" s="9"/>
      <c r="M940" s="152">
        <v>619200</v>
      </c>
      <c r="N940" s="153">
        <v>0</v>
      </c>
      <c r="O940" s="152">
        <v>0</v>
      </c>
      <c r="P940" s="154">
        <v>0</v>
      </c>
      <c r="Q940" s="152">
        <v>0</v>
      </c>
      <c r="R940" s="9">
        <v>619200</v>
      </c>
      <c r="S940" s="21" t="s">
        <v>1846</v>
      </c>
      <c r="T940" s="117">
        <v>0</v>
      </c>
      <c r="U940" s="117">
        <v>0</v>
      </c>
      <c r="V940" s="117">
        <v>2023</v>
      </c>
      <c r="W940" s="117">
        <v>6</v>
      </c>
      <c r="X940" s="117">
        <v>0</v>
      </c>
      <c r="Y940" s="117">
        <v>0</v>
      </c>
      <c r="Z940" s="21" t="b">
        <v>0</v>
      </c>
      <c r="AA940" s="162">
        <f>+$AD$5-Tabla2[[#This Row],[FECHA DE FACTURACIÓN]]</f>
        <v>228</v>
      </c>
      <c r="AB940" s="163" t="str">
        <f>+IF(Tabla2[[#This Row],[dias de credito]]&gt;=Tabla2[[#This Row],[PLAZO Días]],"venc", "No venc")</f>
        <v>venc</v>
      </c>
      <c r="AC940" s="163" t="str">
        <f>+IF(Tabla2[[#This Row],[FECHA DE PAGO]]&gt;0,"pagada","por pagar")</f>
        <v>pagada</v>
      </c>
      <c r="AD940" s="164" t="str">
        <f>+IF(AND(Tabla2[[#This Row],[venc]]="venc",Tabla2[[#This Row],[estado pago]]="por pagar"),"vencida","no")</f>
        <v>no</v>
      </c>
    </row>
    <row r="941" spans="1:30" ht="19.5" hidden="1" customHeight="1" x14ac:dyDescent="0.25">
      <c r="A941" s="8" t="s">
        <v>1850</v>
      </c>
      <c r="B941" s="8" t="s">
        <v>1851</v>
      </c>
      <c r="C941" s="8">
        <v>30</v>
      </c>
      <c r="D941" s="151">
        <v>0</v>
      </c>
      <c r="E941" s="151"/>
      <c r="F941" s="24" t="s">
        <v>159</v>
      </c>
      <c r="G941" s="30">
        <v>45251</v>
      </c>
      <c r="H941" s="81" t="s">
        <v>452</v>
      </c>
      <c r="I941" s="30">
        <v>45216</v>
      </c>
      <c r="J941" s="16" t="s">
        <v>1181</v>
      </c>
      <c r="K941" s="9" t="s">
        <v>1530</v>
      </c>
      <c r="L941" s="9"/>
      <c r="M941" s="152">
        <v>884121</v>
      </c>
      <c r="N941" s="153">
        <v>167982.99</v>
      </c>
      <c r="O941" s="152">
        <v>0</v>
      </c>
      <c r="P941" s="154">
        <v>0</v>
      </c>
      <c r="Q941" s="152">
        <v>0</v>
      </c>
      <c r="R941" s="9">
        <v>1052103.99</v>
      </c>
      <c r="S941" s="21" t="s">
        <v>1846</v>
      </c>
      <c r="T941" s="117">
        <v>0</v>
      </c>
      <c r="U941" s="117" t="s">
        <v>347</v>
      </c>
      <c r="V941" s="117">
        <v>2023</v>
      </c>
      <c r="W941" s="117">
        <v>6</v>
      </c>
      <c r="X941" s="117">
        <v>1145000</v>
      </c>
      <c r="Y941" s="117">
        <v>2.5000000000000001E-2</v>
      </c>
      <c r="Z941" s="21" t="b">
        <v>0</v>
      </c>
      <c r="AA941" s="162">
        <f>+$AD$5-Tabla2[[#This Row],[FECHA DE FACTURACIÓN]]</f>
        <v>227</v>
      </c>
      <c r="AB941" s="163" t="str">
        <f>+IF(Tabla2[[#This Row],[dias de credito]]&gt;=Tabla2[[#This Row],[PLAZO Días]],"venc", "No venc")</f>
        <v>venc</v>
      </c>
      <c r="AC941" s="163" t="str">
        <f>+IF(Tabla2[[#This Row],[FECHA DE PAGO]]&gt;0,"pagada","por pagar")</f>
        <v>pagada</v>
      </c>
      <c r="AD941" s="164" t="str">
        <f>+IF(AND(Tabla2[[#This Row],[venc]]="venc",Tabla2[[#This Row],[estado pago]]="por pagar"),"vencida","no")</f>
        <v>no</v>
      </c>
    </row>
    <row r="942" spans="1:30" ht="19.5" hidden="1" customHeight="1" x14ac:dyDescent="0.25">
      <c r="A942" s="8" t="s">
        <v>1850</v>
      </c>
      <c r="B942" s="8" t="b">
        <v>0</v>
      </c>
      <c r="C942" s="8">
        <v>60</v>
      </c>
      <c r="D942" s="151">
        <v>1730482</v>
      </c>
      <c r="E942" s="151"/>
      <c r="F942" s="24" t="s">
        <v>603</v>
      </c>
      <c r="G942" s="30">
        <v>45251</v>
      </c>
      <c r="H942" s="81" t="s">
        <v>222</v>
      </c>
      <c r="I942" s="30">
        <v>45217</v>
      </c>
      <c r="J942" s="16">
        <v>1812</v>
      </c>
      <c r="K942" s="9" t="s">
        <v>1530</v>
      </c>
      <c r="L942" s="9"/>
      <c r="M942" s="152">
        <v>533200</v>
      </c>
      <c r="N942" s="153">
        <v>0</v>
      </c>
      <c r="O942" s="152">
        <v>0</v>
      </c>
      <c r="P942" s="154">
        <v>0</v>
      </c>
      <c r="Q942" s="152">
        <v>0</v>
      </c>
      <c r="R942" s="9">
        <v>533200</v>
      </c>
      <c r="S942" s="21" t="s">
        <v>1846</v>
      </c>
      <c r="T942" s="117">
        <v>0</v>
      </c>
      <c r="U942" s="117">
        <v>0</v>
      </c>
      <c r="V942" s="117">
        <v>2023</v>
      </c>
      <c r="W942" s="117">
        <v>6</v>
      </c>
      <c r="X942" s="117">
        <v>0</v>
      </c>
      <c r="Y942" s="117">
        <v>0</v>
      </c>
      <c r="Z942" s="21" t="b">
        <v>0</v>
      </c>
      <c r="AA942" s="162">
        <f>+$AD$5-Tabla2[[#This Row],[FECHA DE FACTURACIÓN]]</f>
        <v>226</v>
      </c>
      <c r="AB942" s="163" t="str">
        <f>+IF(Tabla2[[#This Row],[dias de credito]]&gt;=Tabla2[[#This Row],[PLAZO Días]],"venc", "No venc")</f>
        <v>venc</v>
      </c>
      <c r="AC942" s="163" t="str">
        <f>+IF(Tabla2[[#This Row],[FECHA DE PAGO]]&gt;0,"pagada","por pagar")</f>
        <v>pagada</v>
      </c>
      <c r="AD942" s="164" t="str">
        <f>+IF(AND(Tabla2[[#This Row],[venc]]="venc",Tabla2[[#This Row],[estado pago]]="por pagar"),"vencida","no")</f>
        <v>no</v>
      </c>
    </row>
    <row r="943" spans="1:30" ht="19.5" hidden="1" customHeight="1" x14ac:dyDescent="0.25">
      <c r="A943" s="8" t="s">
        <v>1850</v>
      </c>
      <c r="B943" s="8" t="b">
        <v>0</v>
      </c>
      <c r="C943" s="8">
        <v>60</v>
      </c>
      <c r="D943" s="151">
        <v>1730482</v>
      </c>
      <c r="E943" s="151"/>
      <c r="F943" s="24" t="s">
        <v>603</v>
      </c>
      <c r="G943" s="30">
        <v>45251</v>
      </c>
      <c r="H943" s="81" t="s">
        <v>222</v>
      </c>
      <c r="I943" s="30">
        <v>45226</v>
      </c>
      <c r="J943" s="16">
        <v>1814</v>
      </c>
      <c r="K943" s="9" t="s">
        <v>1530</v>
      </c>
      <c r="L943" s="9"/>
      <c r="M943" s="152">
        <v>430000</v>
      </c>
      <c r="N943" s="153">
        <v>0</v>
      </c>
      <c r="O943" s="152">
        <v>0</v>
      </c>
      <c r="P943" s="154">
        <v>0</v>
      </c>
      <c r="Q943" s="152">
        <v>0</v>
      </c>
      <c r="R943" s="9">
        <v>430000</v>
      </c>
      <c r="S943" s="21" t="s">
        <v>1846</v>
      </c>
      <c r="T943" s="117">
        <v>0</v>
      </c>
      <c r="U943" s="117">
        <v>0</v>
      </c>
      <c r="V943" s="117">
        <v>2023</v>
      </c>
      <c r="W943" s="117">
        <v>6</v>
      </c>
      <c r="X943" s="117">
        <v>0</v>
      </c>
      <c r="Y943" s="117">
        <v>0</v>
      </c>
      <c r="Z943" s="21" t="b">
        <v>0</v>
      </c>
      <c r="AA943" s="162">
        <f>+$AD$5-Tabla2[[#This Row],[FECHA DE FACTURACIÓN]]</f>
        <v>217</v>
      </c>
      <c r="AB943" s="163" t="str">
        <f>+IF(Tabla2[[#This Row],[dias de credito]]&gt;=Tabla2[[#This Row],[PLAZO Días]],"venc", "No venc")</f>
        <v>venc</v>
      </c>
      <c r="AC943" s="163" t="str">
        <f>+IF(Tabla2[[#This Row],[FECHA DE PAGO]]&gt;0,"pagada","por pagar")</f>
        <v>pagada</v>
      </c>
      <c r="AD943" s="164" t="str">
        <f>+IF(AND(Tabla2[[#This Row],[venc]]="venc",Tabla2[[#This Row],[estado pago]]="por pagar"),"vencida","no")</f>
        <v>no</v>
      </c>
    </row>
    <row r="944" spans="1:30" ht="19.5" hidden="1" customHeight="1" x14ac:dyDescent="0.25">
      <c r="A944" s="8" t="s">
        <v>1850</v>
      </c>
      <c r="B944" s="8" t="b">
        <v>0</v>
      </c>
      <c r="C944" s="8">
        <v>45</v>
      </c>
      <c r="D944" s="151">
        <v>0</v>
      </c>
      <c r="E944" s="151"/>
      <c r="F944" s="24" t="s">
        <v>603</v>
      </c>
      <c r="G944" s="30">
        <v>45251</v>
      </c>
      <c r="H944" s="81" t="s">
        <v>224</v>
      </c>
      <c r="I944" s="30">
        <v>45230</v>
      </c>
      <c r="J944" s="16">
        <v>1819</v>
      </c>
      <c r="K944" s="9" t="s">
        <v>1530</v>
      </c>
      <c r="L944" s="9"/>
      <c r="M944" s="152">
        <v>3074500</v>
      </c>
      <c r="N944" s="153">
        <v>0</v>
      </c>
      <c r="O944" s="152">
        <v>0</v>
      </c>
      <c r="P944" s="154">
        <v>0</v>
      </c>
      <c r="Q944" s="152">
        <v>0</v>
      </c>
      <c r="R944" s="9">
        <v>3074500</v>
      </c>
      <c r="S944" s="21" t="s">
        <v>1846</v>
      </c>
      <c r="T944" s="117">
        <v>0</v>
      </c>
      <c r="U944" s="117">
        <v>0</v>
      </c>
      <c r="V944" s="117">
        <v>2023</v>
      </c>
      <c r="W944" s="117">
        <v>6</v>
      </c>
      <c r="X944" s="117">
        <v>0</v>
      </c>
      <c r="Y944" s="117">
        <v>0</v>
      </c>
      <c r="Z944" s="21" t="b">
        <v>0</v>
      </c>
      <c r="AA944" s="162">
        <f>+$AD$5-Tabla2[[#This Row],[FECHA DE FACTURACIÓN]]</f>
        <v>213</v>
      </c>
      <c r="AB944" s="163" t="str">
        <f>+IF(Tabla2[[#This Row],[dias de credito]]&gt;=Tabla2[[#This Row],[PLAZO Días]],"venc", "No venc")</f>
        <v>venc</v>
      </c>
      <c r="AC944" s="163" t="str">
        <f>+IF(Tabla2[[#This Row],[FECHA DE PAGO]]&gt;0,"pagada","por pagar")</f>
        <v>pagada</v>
      </c>
      <c r="AD944" s="164" t="str">
        <f>+IF(AND(Tabla2[[#This Row],[venc]]="venc",Tabla2[[#This Row],[estado pago]]="por pagar"),"vencida","no")</f>
        <v>no</v>
      </c>
    </row>
    <row r="945" spans="1:30" ht="19.5" hidden="1" customHeight="1" x14ac:dyDescent="0.25">
      <c r="A945" s="8" t="s">
        <v>1850</v>
      </c>
      <c r="B945" s="8" t="b">
        <v>0</v>
      </c>
      <c r="C945" s="8">
        <v>60</v>
      </c>
      <c r="D945" s="151">
        <v>1730482</v>
      </c>
      <c r="E945" s="151"/>
      <c r="F945" s="24" t="s">
        <v>603</v>
      </c>
      <c r="G945" s="30">
        <v>45251</v>
      </c>
      <c r="H945" s="81" t="s">
        <v>222</v>
      </c>
      <c r="I945" s="30">
        <v>45233</v>
      </c>
      <c r="J945" s="16">
        <v>1822</v>
      </c>
      <c r="K945" s="9" t="s">
        <v>1530</v>
      </c>
      <c r="L945" s="9"/>
      <c r="M945" s="152">
        <v>344000</v>
      </c>
      <c r="N945" s="153">
        <v>0</v>
      </c>
      <c r="O945" s="152">
        <v>0</v>
      </c>
      <c r="P945" s="154">
        <v>0</v>
      </c>
      <c r="Q945" s="152">
        <v>0</v>
      </c>
      <c r="R945" s="9">
        <v>344000</v>
      </c>
      <c r="S945" s="21" t="s">
        <v>1846</v>
      </c>
      <c r="T945" s="117">
        <v>0</v>
      </c>
      <c r="U945" s="117">
        <v>0</v>
      </c>
      <c r="V945" s="117">
        <v>2023</v>
      </c>
      <c r="W945" s="117">
        <v>6</v>
      </c>
      <c r="X945" s="117">
        <v>0</v>
      </c>
      <c r="Y945" s="117">
        <v>0</v>
      </c>
      <c r="Z945" s="21" t="b">
        <v>0</v>
      </c>
      <c r="AA945" s="162">
        <f>+$AD$5-Tabla2[[#This Row],[FECHA DE FACTURACIÓN]]</f>
        <v>210</v>
      </c>
      <c r="AB945" s="163" t="str">
        <f>+IF(Tabla2[[#This Row],[dias de credito]]&gt;=Tabla2[[#This Row],[PLAZO Días]],"venc", "No venc")</f>
        <v>venc</v>
      </c>
      <c r="AC945" s="163" t="str">
        <f>+IF(Tabla2[[#This Row],[FECHA DE PAGO]]&gt;0,"pagada","por pagar")</f>
        <v>pagada</v>
      </c>
      <c r="AD945" s="164" t="str">
        <f>+IF(AND(Tabla2[[#This Row],[venc]]="venc",Tabla2[[#This Row],[estado pago]]="por pagar"),"vencida","no")</f>
        <v>no</v>
      </c>
    </row>
    <row r="946" spans="1:30" ht="19.5" hidden="1" customHeight="1" x14ac:dyDescent="0.25">
      <c r="A946" s="8" t="s">
        <v>1850</v>
      </c>
      <c r="B946" s="8" t="b">
        <v>0</v>
      </c>
      <c r="C946" s="8">
        <v>60</v>
      </c>
      <c r="D946" s="151">
        <v>1730482</v>
      </c>
      <c r="E946" s="151"/>
      <c r="F946" s="24" t="s">
        <v>603</v>
      </c>
      <c r="G946" s="30">
        <v>45251</v>
      </c>
      <c r="H946" s="81" t="s">
        <v>222</v>
      </c>
      <c r="I946" s="30">
        <v>45233</v>
      </c>
      <c r="J946" s="16">
        <v>1826</v>
      </c>
      <c r="K946" s="9" t="s">
        <v>1530</v>
      </c>
      <c r="L946" s="9"/>
      <c r="M946" s="152">
        <v>395600</v>
      </c>
      <c r="N946" s="153">
        <v>0</v>
      </c>
      <c r="O946" s="152">
        <v>0</v>
      </c>
      <c r="P946" s="154">
        <v>0</v>
      </c>
      <c r="Q946" s="152">
        <v>0</v>
      </c>
      <c r="R946" s="9">
        <v>395600</v>
      </c>
      <c r="S946" s="21" t="s">
        <v>1846</v>
      </c>
      <c r="T946" s="117">
        <v>0</v>
      </c>
      <c r="U946" s="117">
        <v>0</v>
      </c>
      <c r="V946" s="117">
        <v>2023</v>
      </c>
      <c r="W946" s="117">
        <v>6</v>
      </c>
      <c r="X946" s="117">
        <v>0</v>
      </c>
      <c r="Y946" s="117">
        <v>0</v>
      </c>
      <c r="Z946" s="21" t="b">
        <v>0</v>
      </c>
      <c r="AA946" s="162">
        <f>+$AD$5-Tabla2[[#This Row],[FECHA DE FACTURACIÓN]]</f>
        <v>210</v>
      </c>
      <c r="AB946" s="163" t="str">
        <f>+IF(Tabla2[[#This Row],[dias de credito]]&gt;=Tabla2[[#This Row],[PLAZO Días]],"venc", "No venc")</f>
        <v>venc</v>
      </c>
      <c r="AC946" s="163" t="str">
        <f>+IF(Tabla2[[#This Row],[FECHA DE PAGO]]&gt;0,"pagada","por pagar")</f>
        <v>pagada</v>
      </c>
      <c r="AD946" s="164" t="str">
        <f>+IF(AND(Tabla2[[#This Row],[venc]]="venc",Tabla2[[#This Row],[estado pago]]="por pagar"),"vencida","no")</f>
        <v>no</v>
      </c>
    </row>
    <row r="947" spans="1:30" ht="19.5" hidden="1" customHeight="1" x14ac:dyDescent="0.25">
      <c r="A947" s="8" t="s">
        <v>1850</v>
      </c>
      <c r="B947" s="8" t="b">
        <v>0</v>
      </c>
      <c r="C947" s="8">
        <v>45</v>
      </c>
      <c r="D947" s="151">
        <v>0</v>
      </c>
      <c r="E947" s="151"/>
      <c r="F947" s="24" t="s">
        <v>603</v>
      </c>
      <c r="G947" s="30">
        <v>45251</v>
      </c>
      <c r="H947" s="81" t="s">
        <v>224</v>
      </c>
      <c r="I947" s="30">
        <v>45237</v>
      </c>
      <c r="J947" s="16">
        <v>1827</v>
      </c>
      <c r="K947" s="9" t="s">
        <v>1530</v>
      </c>
      <c r="L947" s="9"/>
      <c r="M947" s="152">
        <v>1885550</v>
      </c>
      <c r="N947" s="153">
        <v>0</v>
      </c>
      <c r="O947" s="152">
        <v>0</v>
      </c>
      <c r="P947" s="154">
        <v>0</v>
      </c>
      <c r="Q947" s="152">
        <v>0</v>
      </c>
      <c r="R947" s="9">
        <v>1885550</v>
      </c>
      <c r="S947" s="21" t="s">
        <v>1846</v>
      </c>
      <c r="T947" s="117">
        <v>0</v>
      </c>
      <c r="U947" s="117">
        <v>0</v>
      </c>
      <c r="V947" s="117">
        <v>2023</v>
      </c>
      <c r="W947" s="117">
        <v>6</v>
      </c>
      <c r="X947" s="117">
        <v>0</v>
      </c>
      <c r="Y947" s="117">
        <v>0</v>
      </c>
      <c r="Z947" s="21" t="b">
        <v>0</v>
      </c>
      <c r="AA947" s="162">
        <f>+$AD$5-Tabla2[[#This Row],[FECHA DE FACTURACIÓN]]</f>
        <v>206</v>
      </c>
      <c r="AB947" s="163" t="str">
        <f>+IF(Tabla2[[#This Row],[dias de credito]]&gt;=Tabla2[[#This Row],[PLAZO Días]],"venc", "No venc")</f>
        <v>venc</v>
      </c>
      <c r="AC947" s="163" t="str">
        <f>+IF(Tabla2[[#This Row],[FECHA DE PAGO]]&gt;0,"pagada","por pagar")</f>
        <v>pagada</v>
      </c>
      <c r="AD947" s="164" t="str">
        <f>+IF(AND(Tabla2[[#This Row],[venc]]="venc",Tabla2[[#This Row],[estado pago]]="por pagar"),"vencida","no")</f>
        <v>no</v>
      </c>
    </row>
    <row r="948" spans="1:30" ht="19.5" hidden="1" customHeight="1" x14ac:dyDescent="0.25">
      <c r="A948" s="8" t="s">
        <v>1850</v>
      </c>
      <c r="B948" s="8" t="b">
        <v>0</v>
      </c>
      <c r="C948" s="8">
        <v>30</v>
      </c>
      <c r="D948" s="151">
        <v>0</v>
      </c>
      <c r="E948" s="151"/>
      <c r="F948" s="24" t="s">
        <v>1497</v>
      </c>
      <c r="G948" s="30">
        <v>45251</v>
      </c>
      <c r="H948" s="81" t="s">
        <v>1865</v>
      </c>
      <c r="I948" s="30">
        <v>45238</v>
      </c>
      <c r="J948" s="16" t="s">
        <v>1192</v>
      </c>
      <c r="K948" s="9" t="s">
        <v>1530</v>
      </c>
      <c r="L948" s="9"/>
      <c r="M948" s="152">
        <v>129550</v>
      </c>
      <c r="N948" s="153">
        <v>0</v>
      </c>
      <c r="O948" s="152">
        <v>0</v>
      </c>
      <c r="P948" s="154">
        <v>0</v>
      </c>
      <c r="Q948" s="152">
        <v>0</v>
      </c>
      <c r="R948" s="9">
        <v>129550</v>
      </c>
      <c r="S948" s="21" t="s">
        <v>1846</v>
      </c>
      <c r="T948" s="117">
        <v>0</v>
      </c>
      <c r="U948" s="117">
        <v>0</v>
      </c>
      <c r="V948" s="117">
        <v>2023</v>
      </c>
      <c r="W948" s="117">
        <v>6</v>
      </c>
      <c r="X948" s="117">
        <v>0</v>
      </c>
      <c r="Y948" s="117">
        <v>0</v>
      </c>
      <c r="Z948" s="21" t="b">
        <v>0</v>
      </c>
      <c r="AA948" s="162">
        <f>+$AD$5-Tabla2[[#This Row],[FECHA DE FACTURACIÓN]]</f>
        <v>205</v>
      </c>
      <c r="AB948" s="163" t="str">
        <f>+IF(Tabla2[[#This Row],[dias de credito]]&gt;=Tabla2[[#This Row],[PLAZO Días]],"venc", "No venc")</f>
        <v>venc</v>
      </c>
      <c r="AC948" s="163" t="str">
        <f>+IF(Tabla2[[#This Row],[FECHA DE PAGO]]&gt;0,"pagada","por pagar")</f>
        <v>pagada</v>
      </c>
      <c r="AD948" s="164" t="str">
        <f>+IF(AND(Tabla2[[#This Row],[venc]]="venc",Tabla2[[#This Row],[estado pago]]="por pagar"),"vencida","no")</f>
        <v>no</v>
      </c>
    </row>
    <row r="949" spans="1:30" ht="19.5" hidden="1" customHeight="1" x14ac:dyDescent="0.25">
      <c r="A949" s="8" t="s">
        <v>1850</v>
      </c>
      <c r="B949" s="8" t="b">
        <v>0</v>
      </c>
      <c r="C949" s="8">
        <v>30</v>
      </c>
      <c r="D949" s="151">
        <v>0</v>
      </c>
      <c r="E949" s="151"/>
      <c r="F949" s="24" t="s">
        <v>1497</v>
      </c>
      <c r="G949" s="30">
        <v>45251</v>
      </c>
      <c r="H949" s="81" t="s">
        <v>1865</v>
      </c>
      <c r="I949" s="30">
        <v>45247</v>
      </c>
      <c r="J949" s="16" t="s">
        <v>1226</v>
      </c>
      <c r="K949" s="9" t="s">
        <v>1530</v>
      </c>
      <c r="L949" s="9"/>
      <c r="M949" s="152">
        <v>7880</v>
      </c>
      <c r="N949" s="153">
        <v>0</v>
      </c>
      <c r="O949" s="152">
        <v>0</v>
      </c>
      <c r="P949" s="154">
        <v>0</v>
      </c>
      <c r="Q949" s="152">
        <v>0</v>
      </c>
      <c r="R949" s="9">
        <v>7880</v>
      </c>
      <c r="S949" s="21" t="s">
        <v>1846</v>
      </c>
      <c r="T949" s="117">
        <v>0</v>
      </c>
      <c r="U949" s="117">
        <v>0</v>
      </c>
      <c r="V949" s="117">
        <v>2023</v>
      </c>
      <c r="W949" s="117">
        <v>6</v>
      </c>
      <c r="X949" s="117">
        <v>0</v>
      </c>
      <c r="Y949" s="117">
        <v>0</v>
      </c>
      <c r="Z949" s="21" t="b">
        <v>0</v>
      </c>
      <c r="AA949" s="162">
        <f>+$AD$5-Tabla2[[#This Row],[FECHA DE FACTURACIÓN]]</f>
        <v>196</v>
      </c>
      <c r="AB949" s="163" t="str">
        <f>+IF(Tabla2[[#This Row],[dias de credito]]&gt;=Tabla2[[#This Row],[PLAZO Días]],"venc", "No venc")</f>
        <v>venc</v>
      </c>
      <c r="AC949" s="163" t="str">
        <f>+IF(Tabla2[[#This Row],[FECHA DE PAGO]]&gt;0,"pagada","por pagar")</f>
        <v>pagada</v>
      </c>
      <c r="AD949" s="164" t="str">
        <f>+IF(AND(Tabla2[[#This Row],[venc]]="venc",Tabla2[[#This Row],[estado pago]]="por pagar"),"vencida","no")</f>
        <v>no</v>
      </c>
    </row>
    <row r="950" spans="1:30" ht="19.5" hidden="1" customHeight="1" x14ac:dyDescent="0.25">
      <c r="A950" s="8" t="s">
        <v>1850</v>
      </c>
      <c r="B950" s="8" t="s">
        <v>1851</v>
      </c>
      <c r="C950" s="8">
        <v>0</v>
      </c>
      <c r="D950" s="151">
        <v>0</v>
      </c>
      <c r="E950" s="151"/>
      <c r="F950" s="24" t="s">
        <v>112</v>
      </c>
      <c r="G950" s="30">
        <v>45251</v>
      </c>
      <c r="H950" s="81" t="s">
        <v>560</v>
      </c>
      <c r="I950" s="30">
        <v>45250</v>
      </c>
      <c r="J950" s="16">
        <v>2077</v>
      </c>
      <c r="K950" s="9" t="s">
        <v>1530</v>
      </c>
      <c r="L950" s="9"/>
      <c r="M950" s="152">
        <v>600000</v>
      </c>
      <c r="N950" s="153">
        <v>0</v>
      </c>
      <c r="O950" s="152">
        <v>0</v>
      </c>
      <c r="P950" s="154">
        <v>0</v>
      </c>
      <c r="Q950" s="152">
        <v>0</v>
      </c>
      <c r="R950" s="9">
        <v>600000</v>
      </c>
      <c r="S950" s="21" t="s">
        <v>1846</v>
      </c>
      <c r="T950" s="117">
        <v>0</v>
      </c>
      <c r="U950" s="117">
        <v>0</v>
      </c>
      <c r="V950" s="117">
        <v>2023</v>
      </c>
      <c r="W950" s="117">
        <v>6</v>
      </c>
      <c r="X950" s="117">
        <v>0</v>
      </c>
      <c r="Y950" s="117">
        <v>0</v>
      </c>
      <c r="Z950" s="21" t="b">
        <v>1</v>
      </c>
      <c r="AA950" s="162">
        <f>+$AD$5-Tabla2[[#This Row],[FECHA DE FACTURACIÓN]]</f>
        <v>193</v>
      </c>
      <c r="AB950" s="163" t="str">
        <f>+IF(Tabla2[[#This Row],[dias de credito]]&gt;=Tabla2[[#This Row],[PLAZO Días]],"venc", "No venc")</f>
        <v>venc</v>
      </c>
      <c r="AC950" s="163" t="str">
        <f>+IF(Tabla2[[#This Row],[FECHA DE PAGO]]&gt;0,"pagada","por pagar")</f>
        <v>pagada</v>
      </c>
      <c r="AD950" s="164" t="str">
        <f>+IF(AND(Tabla2[[#This Row],[venc]]="venc",Tabla2[[#This Row],[estado pago]]="por pagar"),"vencida","no")</f>
        <v>no</v>
      </c>
    </row>
    <row r="951" spans="1:30" ht="19.5" hidden="1" customHeight="1" x14ac:dyDescent="0.25">
      <c r="A951" s="8" t="s">
        <v>1852</v>
      </c>
      <c r="B951" s="8" t="b">
        <v>0</v>
      </c>
      <c r="C951" s="8">
        <v>60</v>
      </c>
      <c r="D951" s="151">
        <v>0</v>
      </c>
      <c r="E951" s="151"/>
      <c r="F951" s="24" t="s">
        <v>399</v>
      </c>
      <c r="G951" s="30">
        <v>45251</v>
      </c>
      <c r="H951" s="81" t="s">
        <v>65</v>
      </c>
      <c r="I951" s="30">
        <v>45251</v>
      </c>
      <c r="J951" s="16" t="s">
        <v>1527</v>
      </c>
      <c r="K951" s="9" t="s">
        <v>1530</v>
      </c>
      <c r="L951" s="9"/>
      <c r="M951" s="152">
        <v>-3100000</v>
      </c>
      <c r="N951" s="153">
        <v>-589000</v>
      </c>
      <c r="O951" s="152">
        <v>0</v>
      </c>
      <c r="P951" s="154">
        <v>0</v>
      </c>
      <c r="Q951" s="152">
        <v>0</v>
      </c>
      <c r="R951" s="9">
        <v>0</v>
      </c>
      <c r="S951" s="21" t="s">
        <v>1846</v>
      </c>
      <c r="T951" s="117">
        <v>0</v>
      </c>
      <c r="U951" s="117" t="s">
        <v>347</v>
      </c>
      <c r="V951" s="117">
        <v>2023</v>
      </c>
      <c r="W951" s="117">
        <v>6</v>
      </c>
      <c r="X951" s="117">
        <v>1145000</v>
      </c>
      <c r="Y951" s="117">
        <v>2.5000000000000001E-2</v>
      </c>
      <c r="Z951" s="21" t="b">
        <v>0</v>
      </c>
      <c r="AA951" s="162">
        <f>+$AD$5-Tabla2[[#This Row],[FECHA DE FACTURACIÓN]]</f>
        <v>192</v>
      </c>
      <c r="AB951" s="163" t="str">
        <f>+IF(Tabla2[[#This Row],[dias de credito]]&gt;=Tabla2[[#This Row],[PLAZO Días]],"venc", "No venc")</f>
        <v>venc</v>
      </c>
      <c r="AC951" s="163" t="str">
        <f>+IF(Tabla2[[#This Row],[FECHA DE PAGO]]&gt;0,"pagada","por pagar")</f>
        <v>pagada</v>
      </c>
      <c r="AD951" s="164" t="str">
        <f>+IF(AND(Tabla2[[#This Row],[venc]]="venc",Tabla2[[#This Row],[estado pago]]="por pagar"),"vencida","no")</f>
        <v>no</v>
      </c>
    </row>
    <row r="952" spans="1:30" ht="19.5" hidden="1" customHeight="1" x14ac:dyDescent="0.25">
      <c r="A952" s="8" t="s">
        <v>1852</v>
      </c>
      <c r="B952" s="8" t="b">
        <v>0</v>
      </c>
      <c r="C952" s="8">
        <v>60</v>
      </c>
      <c r="D952" s="151">
        <v>0</v>
      </c>
      <c r="E952" s="151"/>
      <c r="F952" s="24" t="s">
        <v>399</v>
      </c>
      <c r="G952" s="30">
        <v>45252</v>
      </c>
      <c r="H952" s="81" t="s">
        <v>65</v>
      </c>
      <c r="I952" s="30">
        <v>45252</v>
      </c>
      <c r="J952" s="16" t="s">
        <v>1455</v>
      </c>
      <c r="K952" s="9" t="s">
        <v>1530</v>
      </c>
      <c r="L952" s="9"/>
      <c r="M952" s="152">
        <v>-2100840</v>
      </c>
      <c r="N952" s="153">
        <v>-399159.6</v>
      </c>
      <c r="O952" s="152">
        <v>0</v>
      </c>
      <c r="P952" s="154">
        <v>0</v>
      </c>
      <c r="Q952" s="152">
        <v>0</v>
      </c>
      <c r="R952" s="9">
        <v>-2499999.6</v>
      </c>
      <c r="S952" s="21" t="s">
        <v>1846</v>
      </c>
      <c r="T952" s="117">
        <v>0</v>
      </c>
      <c r="U952" s="117" t="s">
        <v>347</v>
      </c>
      <c r="V952" s="117">
        <v>2023</v>
      </c>
      <c r="W952" s="117">
        <v>6</v>
      </c>
      <c r="X952" s="117">
        <v>1145000</v>
      </c>
      <c r="Y952" s="117">
        <v>2.5000000000000001E-2</v>
      </c>
      <c r="Z952" s="21" t="b">
        <v>0</v>
      </c>
      <c r="AA952" s="162">
        <f>+$AD$5-Tabla2[[#This Row],[FECHA DE FACTURACIÓN]]</f>
        <v>191</v>
      </c>
      <c r="AB952" s="163" t="str">
        <f>+IF(Tabla2[[#This Row],[dias de credito]]&gt;=Tabla2[[#This Row],[PLAZO Días]],"venc", "No venc")</f>
        <v>venc</v>
      </c>
      <c r="AC952" s="163" t="str">
        <f>+IF(Tabla2[[#This Row],[FECHA DE PAGO]]&gt;0,"pagada","por pagar")</f>
        <v>pagada</v>
      </c>
      <c r="AD952" s="164" t="str">
        <f>+IF(AND(Tabla2[[#This Row],[venc]]="venc",Tabla2[[#This Row],[estado pago]]="por pagar"),"vencida","no")</f>
        <v>no</v>
      </c>
    </row>
    <row r="953" spans="1:30" ht="19.5" hidden="1" customHeight="1" x14ac:dyDescent="0.25">
      <c r="A953" s="8" t="s">
        <v>1850</v>
      </c>
      <c r="B953" s="8" t="s">
        <v>1851</v>
      </c>
      <c r="C953" s="8">
        <v>30</v>
      </c>
      <c r="D953" s="151">
        <v>1695707.16</v>
      </c>
      <c r="E953" s="151"/>
      <c r="F953" s="24" t="s">
        <v>217</v>
      </c>
      <c r="G953" s="30">
        <v>45253</v>
      </c>
      <c r="H953" s="81" t="s">
        <v>194</v>
      </c>
      <c r="I953" s="30">
        <v>45213</v>
      </c>
      <c r="J953" s="16" t="s">
        <v>1177</v>
      </c>
      <c r="K953" s="9" t="s">
        <v>1530</v>
      </c>
      <c r="L953" s="9"/>
      <c r="M953" s="152">
        <v>3001258</v>
      </c>
      <c r="N953" s="153">
        <v>570239.02</v>
      </c>
      <c r="O953" s="152">
        <v>0</v>
      </c>
      <c r="P953" s="154">
        <v>0</v>
      </c>
      <c r="Q953" s="152">
        <v>0</v>
      </c>
      <c r="R953" s="9">
        <v>3571497.02</v>
      </c>
      <c r="S953" s="21" t="s">
        <v>1846</v>
      </c>
      <c r="T953" s="117">
        <v>0</v>
      </c>
      <c r="U953" s="117">
        <v>0</v>
      </c>
      <c r="V953" s="117">
        <v>2023</v>
      </c>
      <c r="W953" s="117">
        <v>6</v>
      </c>
      <c r="X953" s="117">
        <v>0</v>
      </c>
      <c r="Y953" s="117">
        <v>0</v>
      </c>
      <c r="Z953" s="21" t="b">
        <v>0</v>
      </c>
      <c r="AA953" s="162">
        <f>+$AD$5-Tabla2[[#This Row],[FECHA DE FACTURACIÓN]]</f>
        <v>230</v>
      </c>
      <c r="AB953" s="163" t="str">
        <f>+IF(Tabla2[[#This Row],[dias de credito]]&gt;=Tabla2[[#This Row],[PLAZO Días]],"venc", "No venc")</f>
        <v>venc</v>
      </c>
      <c r="AC953" s="163" t="str">
        <f>+IF(Tabla2[[#This Row],[FECHA DE PAGO]]&gt;0,"pagada","por pagar")</f>
        <v>pagada</v>
      </c>
      <c r="AD953" s="164" t="str">
        <f>+IF(AND(Tabla2[[#This Row],[venc]]="venc",Tabla2[[#This Row],[estado pago]]="por pagar"),"vencida","no")</f>
        <v>no</v>
      </c>
    </row>
    <row r="954" spans="1:30" ht="19.5" hidden="1" customHeight="1" x14ac:dyDescent="0.25">
      <c r="A954" s="8" t="s">
        <v>1850</v>
      </c>
      <c r="B954" s="8" t="b">
        <v>0</v>
      </c>
      <c r="C954" s="8">
        <v>30</v>
      </c>
      <c r="D954" s="151">
        <v>0</v>
      </c>
      <c r="E954" s="151"/>
      <c r="F954" s="24" t="s">
        <v>1129</v>
      </c>
      <c r="G954" s="30">
        <v>45253</v>
      </c>
      <c r="H954" s="81" t="s">
        <v>1130</v>
      </c>
      <c r="I954" s="30">
        <v>45252</v>
      </c>
      <c r="J954" s="16" t="s">
        <v>1239</v>
      </c>
      <c r="K954" s="9" t="s">
        <v>1530</v>
      </c>
      <c r="L954" s="9"/>
      <c r="M954" s="152">
        <v>41008</v>
      </c>
      <c r="N954" s="153">
        <v>7791.52</v>
      </c>
      <c r="O954" s="152">
        <v>0</v>
      </c>
      <c r="P954" s="154">
        <v>0</v>
      </c>
      <c r="Q954" s="152">
        <v>0</v>
      </c>
      <c r="R954" s="9">
        <v>48799.520000000004</v>
      </c>
      <c r="S954" s="21" t="s">
        <v>1846</v>
      </c>
      <c r="T954" s="117">
        <v>0</v>
      </c>
      <c r="U954" s="117" t="s">
        <v>347</v>
      </c>
      <c r="V954" s="117">
        <v>2023</v>
      </c>
      <c r="W954" s="117">
        <v>6</v>
      </c>
      <c r="X954" s="117">
        <v>1145000</v>
      </c>
      <c r="Y954" s="117">
        <v>2.5000000000000001E-2</v>
      </c>
      <c r="Z954" s="21" t="b">
        <v>0</v>
      </c>
      <c r="AA954" s="162">
        <f>+$AD$5-Tabla2[[#This Row],[FECHA DE FACTURACIÓN]]</f>
        <v>191</v>
      </c>
      <c r="AB954" s="163" t="str">
        <f>+IF(Tabla2[[#This Row],[dias de credito]]&gt;=Tabla2[[#This Row],[PLAZO Días]],"venc", "No venc")</f>
        <v>venc</v>
      </c>
      <c r="AC954" s="163" t="str">
        <f>+IF(Tabla2[[#This Row],[FECHA DE PAGO]]&gt;0,"pagada","por pagar")</f>
        <v>pagada</v>
      </c>
      <c r="AD954" s="164" t="str">
        <f>+IF(AND(Tabla2[[#This Row],[venc]]="venc",Tabla2[[#This Row],[estado pago]]="por pagar"),"vencida","no")</f>
        <v>no</v>
      </c>
    </row>
    <row r="955" spans="1:30" ht="19.5" hidden="1" customHeight="1" x14ac:dyDescent="0.25">
      <c r="A955" s="8" t="s">
        <v>1850</v>
      </c>
      <c r="B955" s="8" t="b">
        <v>0</v>
      </c>
      <c r="C955" s="8">
        <v>30</v>
      </c>
      <c r="D955" s="151">
        <v>0</v>
      </c>
      <c r="E955" s="151"/>
      <c r="F955" s="24" t="s">
        <v>1129</v>
      </c>
      <c r="G955" s="30">
        <v>45253</v>
      </c>
      <c r="H955" s="81" t="s">
        <v>1130</v>
      </c>
      <c r="I955" s="30">
        <v>45252</v>
      </c>
      <c r="J955" s="16" t="s">
        <v>1238</v>
      </c>
      <c r="K955" s="9" t="s">
        <v>1530</v>
      </c>
      <c r="L955" s="9"/>
      <c r="M955" s="152">
        <v>897647</v>
      </c>
      <c r="N955" s="153">
        <v>170552.93</v>
      </c>
      <c r="O955" s="152">
        <v>0</v>
      </c>
      <c r="P955" s="154">
        <v>0</v>
      </c>
      <c r="Q955" s="152">
        <v>0</v>
      </c>
      <c r="R955" s="9">
        <v>1068199.93</v>
      </c>
      <c r="S955" s="21" t="s">
        <v>1846</v>
      </c>
      <c r="T955" s="117">
        <v>0</v>
      </c>
      <c r="U955" s="117" t="s">
        <v>347</v>
      </c>
      <c r="V955" s="117">
        <v>2023</v>
      </c>
      <c r="W955" s="117">
        <v>6</v>
      </c>
      <c r="X955" s="117">
        <v>1145000</v>
      </c>
      <c r="Y955" s="117">
        <v>2.5000000000000001E-2</v>
      </c>
      <c r="Z955" s="21" t="b">
        <v>0</v>
      </c>
      <c r="AA955" s="162">
        <f>+$AD$5-Tabla2[[#This Row],[FECHA DE FACTURACIÓN]]</f>
        <v>191</v>
      </c>
      <c r="AB955" s="163" t="str">
        <f>+IF(Tabla2[[#This Row],[dias de credito]]&gt;=Tabla2[[#This Row],[PLAZO Días]],"venc", "No venc")</f>
        <v>venc</v>
      </c>
      <c r="AC955" s="163" t="str">
        <f>+IF(Tabla2[[#This Row],[FECHA DE PAGO]]&gt;0,"pagada","por pagar")</f>
        <v>pagada</v>
      </c>
      <c r="AD955" s="164" t="str">
        <f>+IF(AND(Tabla2[[#This Row],[venc]]="venc",Tabla2[[#This Row],[estado pago]]="por pagar"),"vencida","no")</f>
        <v>no</v>
      </c>
    </row>
    <row r="956" spans="1:30" ht="19.5" hidden="1" customHeight="1" x14ac:dyDescent="0.25">
      <c r="A956" s="8" t="s">
        <v>1852</v>
      </c>
      <c r="B956" s="8" t="b">
        <v>0</v>
      </c>
      <c r="C956" s="8">
        <v>30</v>
      </c>
      <c r="D956" s="151">
        <v>0</v>
      </c>
      <c r="E956" s="151"/>
      <c r="F956" s="24" t="s">
        <v>84</v>
      </c>
      <c r="G956" s="30">
        <v>45253</v>
      </c>
      <c r="H956" s="81" t="s">
        <v>481</v>
      </c>
      <c r="I956" s="30">
        <v>45253</v>
      </c>
      <c r="J956" s="16" t="s">
        <v>1286</v>
      </c>
      <c r="K956" s="9" t="s">
        <v>1530</v>
      </c>
      <c r="L956" s="9"/>
      <c r="M956" s="152">
        <v>730000</v>
      </c>
      <c r="N956" s="153">
        <v>0</v>
      </c>
      <c r="O956" s="152">
        <v>0</v>
      </c>
      <c r="P956" s="154">
        <v>0</v>
      </c>
      <c r="Q956" s="152">
        <v>0</v>
      </c>
      <c r="R956" s="9">
        <v>730000</v>
      </c>
      <c r="S956" s="21" t="s">
        <v>1846</v>
      </c>
      <c r="T956" s="117">
        <v>0</v>
      </c>
      <c r="U956" s="117">
        <v>0</v>
      </c>
      <c r="V956" s="117">
        <v>2023</v>
      </c>
      <c r="W956" s="117">
        <v>6</v>
      </c>
      <c r="X956" s="117">
        <v>0</v>
      </c>
      <c r="Y956" s="117">
        <v>0</v>
      </c>
      <c r="Z956" s="21" t="b">
        <v>0</v>
      </c>
      <c r="AA956" s="162">
        <f>+$AD$5-Tabla2[[#This Row],[FECHA DE FACTURACIÓN]]</f>
        <v>190</v>
      </c>
      <c r="AB956" s="163" t="str">
        <f>+IF(Tabla2[[#This Row],[dias de credito]]&gt;=Tabla2[[#This Row],[PLAZO Días]],"venc", "No venc")</f>
        <v>venc</v>
      </c>
      <c r="AC956" s="163" t="str">
        <f>+IF(Tabla2[[#This Row],[FECHA DE PAGO]]&gt;0,"pagada","por pagar")</f>
        <v>pagada</v>
      </c>
      <c r="AD956" s="164" t="str">
        <f>+IF(AND(Tabla2[[#This Row],[venc]]="venc",Tabla2[[#This Row],[estado pago]]="por pagar"),"vencida","no")</f>
        <v>no</v>
      </c>
    </row>
    <row r="957" spans="1:30" ht="19.5" hidden="1" customHeight="1" x14ac:dyDescent="0.25">
      <c r="A957" s="8" t="s">
        <v>1850</v>
      </c>
      <c r="B957" s="8" t="s">
        <v>1851</v>
      </c>
      <c r="C957" s="8">
        <v>30</v>
      </c>
      <c r="D957" s="151">
        <v>12628497</v>
      </c>
      <c r="E957" s="151"/>
      <c r="F957" s="24" t="s">
        <v>149</v>
      </c>
      <c r="G957" s="30">
        <v>45257</v>
      </c>
      <c r="H957" s="81" t="s">
        <v>451</v>
      </c>
      <c r="I957" s="30">
        <v>45200</v>
      </c>
      <c r="J957" s="16" t="s">
        <v>491</v>
      </c>
      <c r="K957" s="9" t="s">
        <v>1530</v>
      </c>
      <c r="L957" s="9"/>
      <c r="M957" s="152">
        <v>-310017</v>
      </c>
      <c r="N957" s="153">
        <v>-58903.23</v>
      </c>
      <c r="O957" s="152">
        <v>0</v>
      </c>
      <c r="P957" s="154">
        <v>0</v>
      </c>
      <c r="Q957" s="152">
        <v>0</v>
      </c>
      <c r="R957" s="9">
        <v>-368920.23</v>
      </c>
      <c r="S957" s="21" t="s">
        <v>1846</v>
      </c>
      <c r="T957" s="117">
        <v>0</v>
      </c>
      <c r="U957" s="117" t="s">
        <v>347</v>
      </c>
      <c r="V957" s="117">
        <v>2023</v>
      </c>
      <c r="W957" s="117">
        <v>6</v>
      </c>
      <c r="X957" s="117">
        <v>1145000</v>
      </c>
      <c r="Y957" s="117">
        <v>2.5000000000000001E-2</v>
      </c>
      <c r="Z957" s="21" t="b">
        <v>0</v>
      </c>
      <c r="AA957" s="162">
        <f>+$AD$5-Tabla2[[#This Row],[FECHA DE FACTURACIÓN]]</f>
        <v>243</v>
      </c>
      <c r="AB957" s="163" t="str">
        <f>+IF(Tabla2[[#This Row],[dias de credito]]&gt;=Tabla2[[#This Row],[PLAZO Días]],"venc", "No venc")</f>
        <v>venc</v>
      </c>
      <c r="AC957" s="163" t="str">
        <f>+IF(Tabla2[[#This Row],[FECHA DE PAGO]]&gt;0,"pagada","por pagar")</f>
        <v>pagada</v>
      </c>
      <c r="AD957" s="164" t="str">
        <f>+IF(AND(Tabla2[[#This Row],[venc]]="venc",Tabla2[[#This Row],[estado pago]]="por pagar"),"vencida","no")</f>
        <v>no</v>
      </c>
    </row>
    <row r="958" spans="1:30" ht="19.5" hidden="1" customHeight="1" x14ac:dyDescent="0.25">
      <c r="A958" s="8" t="s">
        <v>1850</v>
      </c>
      <c r="B958" s="8" t="s">
        <v>1851</v>
      </c>
      <c r="C958" s="8">
        <v>30</v>
      </c>
      <c r="D958" s="151">
        <v>12628497</v>
      </c>
      <c r="E958" s="151"/>
      <c r="F958" s="24" t="s">
        <v>149</v>
      </c>
      <c r="G958" s="30">
        <v>45257</v>
      </c>
      <c r="H958" s="81" t="s">
        <v>451</v>
      </c>
      <c r="I958" s="30">
        <v>45203</v>
      </c>
      <c r="J958" s="16" t="s">
        <v>1089</v>
      </c>
      <c r="K958" s="9" t="s">
        <v>1530</v>
      </c>
      <c r="L958" s="9"/>
      <c r="M958" s="152">
        <v>4116710</v>
      </c>
      <c r="N958" s="153">
        <v>782174.9</v>
      </c>
      <c r="O958" s="152">
        <v>0</v>
      </c>
      <c r="P958" s="154">
        <v>2.5000000000000001E-2</v>
      </c>
      <c r="Q958" s="152">
        <v>102917.75</v>
      </c>
      <c r="R958" s="9">
        <v>4795967.1500000004</v>
      </c>
      <c r="S958" s="21" t="s">
        <v>1846</v>
      </c>
      <c r="T958" s="117">
        <v>0</v>
      </c>
      <c r="U958" s="117" t="s">
        <v>347</v>
      </c>
      <c r="V958" s="117">
        <v>2023</v>
      </c>
      <c r="W958" s="117">
        <v>6</v>
      </c>
      <c r="X958" s="117">
        <v>1145000</v>
      </c>
      <c r="Y958" s="117">
        <v>2.5000000000000001E-2</v>
      </c>
      <c r="Z958" s="21" t="b">
        <v>0</v>
      </c>
      <c r="AA958" s="162">
        <f>+$AD$5-Tabla2[[#This Row],[FECHA DE FACTURACIÓN]]</f>
        <v>240</v>
      </c>
      <c r="AB958" s="163" t="str">
        <f>+IF(Tabla2[[#This Row],[dias de credito]]&gt;=Tabla2[[#This Row],[PLAZO Días]],"venc", "No venc")</f>
        <v>venc</v>
      </c>
      <c r="AC958" s="163" t="str">
        <f>+IF(Tabla2[[#This Row],[FECHA DE PAGO]]&gt;0,"pagada","por pagar")</f>
        <v>pagada</v>
      </c>
      <c r="AD958" s="164" t="str">
        <f>+IF(AND(Tabla2[[#This Row],[venc]]="venc",Tabla2[[#This Row],[estado pago]]="por pagar"),"vencida","no")</f>
        <v>no</v>
      </c>
    </row>
    <row r="959" spans="1:30" ht="19.5" hidden="1" customHeight="1" x14ac:dyDescent="0.25">
      <c r="A959" s="8" t="s">
        <v>1850</v>
      </c>
      <c r="B959" s="8" t="s">
        <v>1851</v>
      </c>
      <c r="C959" s="8">
        <v>30</v>
      </c>
      <c r="D959" s="151">
        <v>818443.92</v>
      </c>
      <c r="E959" s="151"/>
      <c r="F959" s="24" t="s">
        <v>111</v>
      </c>
      <c r="G959" s="30">
        <v>45257</v>
      </c>
      <c r="H959" s="81" t="s">
        <v>20</v>
      </c>
      <c r="I959" s="30">
        <v>45208</v>
      </c>
      <c r="J959" s="16" t="s">
        <v>1171</v>
      </c>
      <c r="K959" s="9" t="s">
        <v>1530</v>
      </c>
      <c r="L959" s="9"/>
      <c r="M959" s="152">
        <v>647990</v>
      </c>
      <c r="N959" s="153">
        <v>123118.1</v>
      </c>
      <c r="O959" s="152">
        <v>0</v>
      </c>
      <c r="P959" s="154">
        <v>0</v>
      </c>
      <c r="Q959" s="152">
        <v>0</v>
      </c>
      <c r="R959" s="9">
        <v>771108.1</v>
      </c>
      <c r="S959" s="21" t="s">
        <v>1846</v>
      </c>
      <c r="T959" s="117">
        <v>0</v>
      </c>
      <c r="U959" s="117" t="s">
        <v>347</v>
      </c>
      <c r="V959" s="117">
        <v>2023</v>
      </c>
      <c r="W959" s="117">
        <v>6</v>
      </c>
      <c r="X959" s="117">
        <v>1145000</v>
      </c>
      <c r="Y959" s="117">
        <v>2.5000000000000001E-2</v>
      </c>
      <c r="Z959" s="21" t="b">
        <v>0</v>
      </c>
      <c r="AA959" s="162">
        <f>+$AD$5-Tabla2[[#This Row],[FECHA DE FACTURACIÓN]]</f>
        <v>235</v>
      </c>
      <c r="AB959" s="163" t="str">
        <f>+IF(Tabla2[[#This Row],[dias de credito]]&gt;=Tabla2[[#This Row],[PLAZO Días]],"venc", "No venc")</f>
        <v>venc</v>
      </c>
      <c r="AC959" s="163" t="str">
        <f>+IF(Tabla2[[#This Row],[FECHA DE PAGO]]&gt;0,"pagada","por pagar")</f>
        <v>pagada</v>
      </c>
      <c r="AD959" s="164" t="str">
        <f>+IF(AND(Tabla2[[#This Row],[venc]]="venc",Tabla2[[#This Row],[estado pago]]="por pagar"),"vencida","no")</f>
        <v>no</v>
      </c>
    </row>
    <row r="960" spans="1:30" ht="19.5" hidden="1" customHeight="1" x14ac:dyDescent="0.25">
      <c r="A960" s="8" t="s">
        <v>1850</v>
      </c>
      <c r="B960" s="8" t="s">
        <v>1851</v>
      </c>
      <c r="C960" s="8">
        <v>30</v>
      </c>
      <c r="D960" s="151">
        <v>818443.92</v>
      </c>
      <c r="E960" s="151"/>
      <c r="F960" s="24" t="s">
        <v>111</v>
      </c>
      <c r="G960" s="30">
        <v>45257</v>
      </c>
      <c r="H960" s="81" t="s">
        <v>20</v>
      </c>
      <c r="I960" s="30">
        <v>45208</v>
      </c>
      <c r="J960" s="16" t="s">
        <v>1172</v>
      </c>
      <c r="K960" s="9" t="s">
        <v>1530</v>
      </c>
      <c r="L960" s="9"/>
      <c r="M960" s="152">
        <v>944000</v>
      </c>
      <c r="N960" s="153">
        <v>179360</v>
      </c>
      <c r="O960" s="152">
        <v>0</v>
      </c>
      <c r="P960" s="154">
        <v>0</v>
      </c>
      <c r="Q960" s="152">
        <v>0</v>
      </c>
      <c r="R960" s="9">
        <v>1123360</v>
      </c>
      <c r="S960" s="21" t="s">
        <v>1846</v>
      </c>
      <c r="T960" s="117">
        <v>0</v>
      </c>
      <c r="U960" s="117" t="s">
        <v>347</v>
      </c>
      <c r="V960" s="117">
        <v>2023</v>
      </c>
      <c r="W960" s="117">
        <v>6</v>
      </c>
      <c r="X960" s="117">
        <v>1145000</v>
      </c>
      <c r="Y960" s="117">
        <v>2.5000000000000001E-2</v>
      </c>
      <c r="Z960" s="21" t="b">
        <v>0</v>
      </c>
      <c r="AA960" s="162">
        <f>+$AD$5-Tabla2[[#This Row],[FECHA DE FACTURACIÓN]]</f>
        <v>235</v>
      </c>
      <c r="AB960" s="163" t="str">
        <f>+IF(Tabla2[[#This Row],[dias de credito]]&gt;=Tabla2[[#This Row],[PLAZO Días]],"venc", "No venc")</f>
        <v>venc</v>
      </c>
      <c r="AC960" s="163" t="str">
        <f>+IF(Tabla2[[#This Row],[FECHA DE PAGO]]&gt;0,"pagada","por pagar")</f>
        <v>pagada</v>
      </c>
      <c r="AD960" s="164" t="str">
        <f>+IF(AND(Tabla2[[#This Row],[venc]]="venc",Tabla2[[#This Row],[estado pago]]="por pagar"),"vencida","no")</f>
        <v>no</v>
      </c>
    </row>
    <row r="961" spans="1:30" ht="19.5" hidden="1" customHeight="1" x14ac:dyDescent="0.25">
      <c r="A961" s="8" t="s">
        <v>1850</v>
      </c>
      <c r="B961" s="8" t="s">
        <v>1851</v>
      </c>
      <c r="C961" s="8">
        <v>30</v>
      </c>
      <c r="D961" s="151">
        <v>0</v>
      </c>
      <c r="E961" s="151"/>
      <c r="F961" s="24">
        <v>0</v>
      </c>
      <c r="G961" s="30">
        <v>45257</v>
      </c>
      <c r="H961" s="81" t="s">
        <v>1170</v>
      </c>
      <c r="I961" s="30">
        <v>45209</v>
      </c>
      <c r="J961" s="16" t="s">
        <v>1154</v>
      </c>
      <c r="K961" s="9" t="s">
        <v>1530</v>
      </c>
      <c r="L961" s="9"/>
      <c r="M961" s="152">
        <v>2224000</v>
      </c>
      <c r="N961" s="153">
        <v>0</v>
      </c>
      <c r="O961" s="152">
        <v>0</v>
      </c>
      <c r="P961" s="154">
        <v>0</v>
      </c>
      <c r="Q961" s="152">
        <v>0</v>
      </c>
      <c r="R961" s="9">
        <v>2224000</v>
      </c>
      <c r="S961" s="21" t="s">
        <v>1846</v>
      </c>
      <c r="T961" s="117">
        <v>0</v>
      </c>
      <c r="U961" s="117">
        <v>0</v>
      </c>
      <c r="V961" s="117">
        <v>2023</v>
      </c>
      <c r="W961" s="117">
        <v>6</v>
      </c>
      <c r="X961" s="117">
        <v>0</v>
      </c>
      <c r="Y961" s="117">
        <v>0</v>
      </c>
      <c r="Z961" s="21" t="b">
        <v>0</v>
      </c>
      <c r="AA961" s="162">
        <f>+$AD$5-Tabla2[[#This Row],[FECHA DE FACTURACIÓN]]</f>
        <v>234</v>
      </c>
      <c r="AB961" s="163" t="str">
        <f>+IF(Tabla2[[#This Row],[dias de credito]]&gt;=Tabla2[[#This Row],[PLAZO Días]],"venc", "No venc")</f>
        <v>venc</v>
      </c>
      <c r="AC961" s="163" t="str">
        <f>+IF(Tabla2[[#This Row],[FECHA DE PAGO]]&gt;0,"pagada","por pagar")</f>
        <v>pagada</v>
      </c>
      <c r="AD961" s="164" t="str">
        <f>+IF(AND(Tabla2[[#This Row],[venc]]="venc",Tabla2[[#This Row],[estado pago]]="por pagar"),"vencida","no")</f>
        <v>no</v>
      </c>
    </row>
    <row r="962" spans="1:30" ht="19.5" hidden="1" customHeight="1" x14ac:dyDescent="0.25">
      <c r="A962" s="8" t="s">
        <v>1850</v>
      </c>
      <c r="B962" s="8" t="s">
        <v>1851</v>
      </c>
      <c r="C962" s="8">
        <v>30</v>
      </c>
      <c r="D962" s="151">
        <v>0</v>
      </c>
      <c r="E962" s="151"/>
      <c r="F962" s="24" t="s">
        <v>84</v>
      </c>
      <c r="G962" s="30">
        <v>45257</v>
      </c>
      <c r="H962" s="81" t="s">
        <v>525</v>
      </c>
      <c r="I962" s="30">
        <v>45210</v>
      </c>
      <c r="J962" s="16" t="s">
        <v>1151</v>
      </c>
      <c r="K962" s="9" t="s">
        <v>1530</v>
      </c>
      <c r="L962" s="9"/>
      <c r="M962" s="152">
        <v>3841000</v>
      </c>
      <c r="N962" s="153">
        <v>0</v>
      </c>
      <c r="O962" s="152">
        <v>0</v>
      </c>
      <c r="P962" s="154">
        <v>0</v>
      </c>
      <c r="Q962" s="152">
        <v>0</v>
      </c>
      <c r="R962" s="9">
        <v>3841000</v>
      </c>
      <c r="S962" s="21" t="s">
        <v>1846</v>
      </c>
      <c r="T962" s="117">
        <v>0</v>
      </c>
      <c r="U962" s="117">
        <v>0</v>
      </c>
      <c r="V962" s="117">
        <v>2023</v>
      </c>
      <c r="W962" s="117">
        <v>6</v>
      </c>
      <c r="X962" s="117">
        <v>0</v>
      </c>
      <c r="Y962" s="117">
        <v>0</v>
      </c>
      <c r="Z962" s="21" t="b">
        <v>0</v>
      </c>
      <c r="AA962" s="162">
        <f>+$AD$5-Tabla2[[#This Row],[FECHA DE FACTURACIÓN]]</f>
        <v>233</v>
      </c>
      <c r="AB962" s="163" t="str">
        <f>+IF(Tabla2[[#This Row],[dias de credito]]&gt;=Tabla2[[#This Row],[PLAZO Días]],"venc", "No venc")</f>
        <v>venc</v>
      </c>
      <c r="AC962" s="163" t="str">
        <f>+IF(Tabla2[[#This Row],[FECHA DE PAGO]]&gt;0,"pagada","por pagar")</f>
        <v>pagada</v>
      </c>
      <c r="AD962" s="164" t="str">
        <f>+IF(AND(Tabla2[[#This Row],[venc]]="venc",Tabla2[[#This Row],[estado pago]]="por pagar"),"vencida","no")</f>
        <v>no</v>
      </c>
    </row>
    <row r="963" spans="1:30" ht="19.5" hidden="1" customHeight="1" x14ac:dyDescent="0.25">
      <c r="A963" s="8" t="s">
        <v>1850</v>
      </c>
      <c r="B963" s="8" t="s">
        <v>1851</v>
      </c>
      <c r="C963" s="8">
        <v>30</v>
      </c>
      <c r="D963" s="151">
        <v>0</v>
      </c>
      <c r="E963" s="151"/>
      <c r="F963" s="24" t="s">
        <v>84</v>
      </c>
      <c r="G963" s="30">
        <v>45257</v>
      </c>
      <c r="H963" s="81" t="s">
        <v>1811</v>
      </c>
      <c r="I963" s="30">
        <v>45218</v>
      </c>
      <c r="J963" s="16" t="s">
        <v>1147</v>
      </c>
      <c r="K963" s="9" t="s">
        <v>1530</v>
      </c>
      <c r="L963" s="9"/>
      <c r="M963" s="152">
        <v>425000</v>
      </c>
      <c r="N963" s="153">
        <v>0</v>
      </c>
      <c r="O963" s="152">
        <v>0</v>
      </c>
      <c r="P963" s="154">
        <v>0</v>
      </c>
      <c r="Q963" s="152">
        <v>0</v>
      </c>
      <c r="R963" s="9">
        <v>425000</v>
      </c>
      <c r="S963" s="21" t="s">
        <v>1846</v>
      </c>
      <c r="T963" s="117">
        <v>0</v>
      </c>
      <c r="U963" s="117">
        <v>0</v>
      </c>
      <c r="V963" s="117">
        <v>2023</v>
      </c>
      <c r="W963" s="117">
        <v>6</v>
      </c>
      <c r="X963" s="117">
        <v>0</v>
      </c>
      <c r="Y963" s="117">
        <v>0</v>
      </c>
      <c r="Z963" s="21" t="b">
        <v>0</v>
      </c>
      <c r="AA963" s="162">
        <f>+$AD$5-Tabla2[[#This Row],[FECHA DE FACTURACIÓN]]</f>
        <v>225</v>
      </c>
      <c r="AB963" s="163" t="str">
        <f>+IF(Tabla2[[#This Row],[dias de credito]]&gt;=Tabla2[[#This Row],[PLAZO Días]],"venc", "No venc")</f>
        <v>venc</v>
      </c>
      <c r="AC963" s="163" t="str">
        <f>+IF(Tabla2[[#This Row],[FECHA DE PAGO]]&gt;0,"pagada","por pagar")</f>
        <v>pagada</v>
      </c>
      <c r="AD963" s="164" t="str">
        <f>+IF(AND(Tabla2[[#This Row],[venc]]="venc",Tabla2[[#This Row],[estado pago]]="por pagar"),"vencida","no")</f>
        <v>no</v>
      </c>
    </row>
    <row r="964" spans="1:30" ht="19.5" hidden="1" customHeight="1" x14ac:dyDescent="0.25">
      <c r="A964" s="8" t="s">
        <v>1850</v>
      </c>
      <c r="B964" s="8" t="s">
        <v>1851</v>
      </c>
      <c r="C964" s="8">
        <v>30</v>
      </c>
      <c r="D964" s="151">
        <v>818443.92</v>
      </c>
      <c r="E964" s="151"/>
      <c r="F964" s="24" t="s">
        <v>111</v>
      </c>
      <c r="G964" s="30">
        <v>45257</v>
      </c>
      <c r="H964" s="81" t="s">
        <v>20</v>
      </c>
      <c r="I964" s="30">
        <v>45219</v>
      </c>
      <c r="J964" s="16" t="s">
        <v>1173</v>
      </c>
      <c r="K964" s="9" t="s">
        <v>1530</v>
      </c>
      <c r="L964" s="9"/>
      <c r="M964" s="152">
        <v>1442750</v>
      </c>
      <c r="N964" s="153">
        <v>274122.5</v>
      </c>
      <c r="O964" s="152">
        <v>0</v>
      </c>
      <c r="P964" s="154">
        <v>2.5000000000000001E-2</v>
      </c>
      <c r="Q964" s="152">
        <v>36068.75</v>
      </c>
      <c r="R964" s="9">
        <v>1680803.75</v>
      </c>
      <c r="S964" s="21" t="s">
        <v>1846</v>
      </c>
      <c r="T964" s="117">
        <v>0</v>
      </c>
      <c r="U964" s="117" t="s">
        <v>347</v>
      </c>
      <c r="V964" s="117">
        <v>2023</v>
      </c>
      <c r="W964" s="117">
        <v>6</v>
      </c>
      <c r="X964" s="117">
        <v>1145000</v>
      </c>
      <c r="Y964" s="117">
        <v>2.5000000000000001E-2</v>
      </c>
      <c r="Z964" s="21" t="b">
        <v>0</v>
      </c>
      <c r="AA964" s="162">
        <f>+$AD$5-Tabla2[[#This Row],[FECHA DE FACTURACIÓN]]</f>
        <v>224</v>
      </c>
      <c r="AB964" s="163" t="str">
        <f>+IF(Tabla2[[#This Row],[dias de credito]]&gt;=Tabla2[[#This Row],[PLAZO Días]],"venc", "No venc")</f>
        <v>venc</v>
      </c>
      <c r="AC964" s="163" t="str">
        <f>+IF(Tabla2[[#This Row],[FECHA DE PAGO]]&gt;0,"pagada","por pagar")</f>
        <v>pagada</v>
      </c>
      <c r="AD964" s="164" t="str">
        <f>+IF(AND(Tabla2[[#This Row],[venc]]="venc",Tabla2[[#This Row],[estado pago]]="por pagar"),"vencida","no")</f>
        <v>no</v>
      </c>
    </row>
    <row r="965" spans="1:30" ht="19.5" hidden="1" customHeight="1" x14ac:dyDescent="0.25">
      <c r="A965" s="8" t="s">
        <v>1850</v>
      </c>
      <c r="B965" s="8" t="b">
        <v>0</v>
      </c>
      <c r="C965" s="8">
        <v>30</v>
      </c>
      <c r="D965" s="151">
        <v>0</v>
      </c>
      <c r="E965" s="151"/>
      <c r="F965" s="24" t="s">
        <v>84</v>
      </c>
      <c r="G965" s="30">
        <v>45257</v>
      </c>
      <c r="H965" s="81" t="s">
        <v>1815</v>
      </c>
      <c r="I965" s="30">
        <v>45231</v>
      </c>
      <c r="J965" s="16" t="s">
        <v>1210</v>
      </c>
      <c r="K965" s="9" t="s">
        <v>1530</v>
      </c>
      <c r="L965" s="9"/>
      <c r="M965" s="152">
        <v>440000</v>
      </c>
      <c r="N965" s="153">
        <v>0</v>
      </c>
      <c r="O965" s="152">
        <v>0</v>
      </c>
      <c r="P965" s="154">
        <v>0</v>
      </c>
      <c r="Q965" s="152">
        <v>0</v>
      </c>
      <c r="R965" s="9">
        <v>440000</v>
      </c>
      <c r="S965" s="21" t="s">
        <v>1846</v>
      </c>
      <c r="T965" s="117">
        <v>0</v>
      </c>
      <c r="U965" s="117">
        <v>0</v>
      </c>
      <c r="V965" s="117">
        <v>2023</v>
      </c>
      <c r="W965" s="117">
        <v>6</v>
      </c>
      <c r="X965" s="117">
        <v>0</v>
      </c>
      <c r="Y965" s="117">
        <v>0</v>
      </c>
      <c r="Z965" s="21" t="b">
        <v>0</v>
      </c>
      <c r="AA965" s="162">
        <f>+$AD$5-Tabla2[[#This Row],[FECHA DE FACTURACIÓN]]</f>
        <v>212</v>
      </c>
      <c r="AB965" s="163" t="str">
        <f>+IF(Tabla2[[#This Row],[dias de credito]]&gt;=Tabla2[[#This Row],[PLAZO Días]],"venc", "No venc")</f>
        <v>venc</v>
      </c>
      <c r="AC965" s="163" t="str">
        <f>+IF(Tabla2[[#This Row],[FECHA DE PAGO]]&gt;0,"pagada","por pagar")</f>
        <v>pagada</v>
      </c>
      <c r="AD965" s="164" t="str">
        <f>+IF(AND(Tabla2[[#This Row],[venc]]="venc",Tabla2[[#This Row],[estado pago]]="por pagar"),"vencida","no")</f>
        <v>no</v>
      </c>
    </row>
    <row r="966" spans="1:30" ht="19.5" hidden="1" customHeight="1" x14ac:dyDescent="0.25">
      <c r="A966" s="8" t="s">
        <v>1852</v>
      </c>
      <c r="B966" s="8" t="b">
        <v>0</v>
      </c>
      <c r="C966" s="8">
        <v>30</v>
      </c>
      <c r="D966" s="151">
        <v>0</v>
      </c>
      <c r="E966" s="151"/>
      <c r="F966" s="24" t="s">
        <v>84</v>
      </c>
      <c r="G966" s="30">
        <v>45259</v>
      </c>
      <c r="H966" s="81" t="s">
        <v>1872</v>
      </c>
      <c r="I966" s="30">
        <v>45259</v>
      </c>
      <c r="J966" s="16" t="s">
        <v>1288</v>
      </c>
      <c r="K966" s="9" t="s">
        <v>1530</v>
      </c>
      <c r="L966" s="9"/>
      <c r="M966" s="152">
        <v>247000</v>
      </c>
      <c r="N966" s="153">
        <v>0</v>
      </c>
      <c r="O966" s="152">
        <v>0</v>
      </c>
      <c r="P966" s="154">
        <v>0</v>
      </c>
      <c r="Q966" s="152">
        <v>0</v>
      </c>
      <c r="R966" s="9">
        <v>247000</v>
      </c>
      <c r="S966" s="21" t="s">
        <v>1846</v>
      </c>
      <c r="T966" s="117">
        <v>0</v>
      </c>
      <c r="U966" s="117">
        <v>0</v>
      </c>
      <c r="V966" s="117">
        <v>2023</v>
      </c>
      <c r="W966" s="117">
        <v>6</v>
      </c>
      <c r="X966" s="117">
        <v>0</v>
      </c>
      <c r="Y966" s="117">
        <v>0</v>
      </c>
      <c r="Z966" s="21" t="b">
        <v>0</v>
      </c>
      <c r="AA966" s="162">
        <f>+$AD$5-Tabla2[[#This Row],[FECHA DE FACTURACIÓN]]</f>
        <v>184</v>
      </c>
      <c r="AB966" s="163" t="str">
        <f>+IF(Tabla2[[#This Row],[dias de credito]]&gt;=Tabla2[[#This Row],[PLAZO Días]],"venc", "No venc")</f>
        <v>venc</v>
      </c>
      <c r="AC966" s="163" t="str">
        <f>+IF(Tabla2[[#This Row],[FECHA DE PAGO]]&gt;0,"pagada","por pagar")</f>
        <v>pagada</v>
      </c>
      <c r="AD966" s="164" t="str">
        <f>+IF(AND(Tabla2[[#This Row],[venc]]="venc",Tabla2[[#This Row],[estado pago]]="por pagar"),"vencida","no")</f>
        <v>no</v>
      </c>
    </row>
    <row r="967" spans="1:30" ht="19.5" hidden="1" customHeight="1" x14ac:dyDescent="0.25">
      <c r="A967" s="8" t="s">
        <v>1852</v>
      </c>
      <c r="B967" s="8" t="b">
        <v>0</v>
      </c>
      <c r="C967" s="8">
        <v>30</v>
      </c>
      <c r="D967" s="151">
        <v>0</v>
      </c>
      <c r="E967" s="151"/>
      <c r="F967" s="24" t="s">
        <v>84</v>
      </c>
      <c r="G967" s="30">
        <v>45259</v>
      </c>
      <c r="H967" s="81" t="s">
        <v>1872</v>
      </c>
      <c r="I967" s="30">
        <v>45259</v>
      </c>
      <c r="J967" s="16" t="s">
        <v>1288</v>
      </c>
      <c r="K967" s="9" t="s">
        <v>1530</v>
      </c>
      <c r="L967" s="9"/>
      <c r="M967" s="152">
        <v>25180000</v>
      </c>
      <c r="N967" s="153">
        <v>0</v>
      </c>
      <c r="O967" s="152">
        <v>0</v>
      </c>
      <c r="P967" s="154">
        <v>0</v>
      </c>
      <c r="Q967" s="152">
        <v>0</v>
      </c>
      <c r="R967" s="9">
        <v>25180000</v>
      </c>
      <c r="S967" s="21" t="s">
        <v>1846</v>
      </c>
      <c r="T967" s="117">
        <v>0</v>
      </c>
      <c r="U967" s="117">
        <v>0</v>
      </c>
      <c r="V967" s="117">
        <v>2023</v>
      </c>
      <c r="W967" s="117">
        <v>6</v>
      </c>
      <c r="X967" s="117">
        <v>0</v>
      </c>
      <c r="Y967" s="117">
        <v>0</v>
      </c>
      <c r="Z967" s="21" t="b">
        <v>0</v>
      </c>
      <c r="AA967" s="162">
        <f>+$AD$5-Tabla2[[#This Row],[FECHA DE FACTURACIÓN]]</f>
        <v>184</v>
      </c>
      <c r="AB967" s="163" t="str">
        <f>+IF(Tabla2[[#This Row],[dias de credito]]&gt;=Tabla2[[#This Row],[PLAZO Días]],"venc", "No venc")</f>
        <v>venc</v>
      </c>
      <c r="AC967" s="163" t="str">
        <f>+IF(Tabla2[[#This Row],[FECHA DE PAGO]]&gt;0,"pagada","por pagar")</f>
        <v>pagada</v>
      </c>
      <c r="AD967" s="164" t="str">
        <f>+IF(AND(Tabla2[[#This Row],[venc]]="venc",Tabla2[[#This Row],[estado pago]]="por pagar"),"vencida","no")</f>
        <v>no</v>
      </c>
    </row>
    <row r="968" spans="1:30" ht="19.5" hidden="1" customHeight="1" x14ac:dyDescent="0.25">
      <c r="A968" s="8" t="s">
        <v>1852</v>
      </c>
      <c r="B968" s="8" t="b">
        <v>0</v>
      </c>
      <c r="C968" s="8">
        <v>30</v>
      </c>
      <c r="D968" s="151">
        <v>0</v>
      </c>
      <c r="E968" s="151"/>
      <c r="F968" s="24" t="s">
        <v>84</v>
      </c>
      <c r="G968" s="30">
        <v>45259</v>
      </c>
      <c r="H968" s="81" t="s">
        <v>1872</v>
      </c>
      <c r="I968" s="30">
        <v>45259</v>
      </c>
      <c r="J968" s="16" t="s">
        <v>1288</v>
      </c>
      <c r="K968" s="9" t="s">
        <v>1530</v>
      </c>
      <c r="L968" s="9"/>
      <c r="M968" s="152">
        <v>437000</v>
      </c>
      <c r="N968" s="153">
        <v>0</v>
      </c>
      <c r="O968" s="152">
        <v>0</v>
      </c>
      <c r="P968" s="154">
        <v>0</v>
      </c>
      <c r="Q968" s="152">
        <v>0</v>
      </c>
      <c r="R968" s="9">
        <v>437000</v>
      </c>
      <c r="S968" s="21" t="s">
        <v>1846</v>
      </c>
      <c r="T968" s="117">
        <v>0</v>
      </c>
      <c r="U968" s="117">
        <v>0</v>
      </c>
      <c r="V968" s="117">
        <v>2023</v>
      </c>
      <c r="W968" s="117">
        <v>6</v>
      </c>
      <c r="X968" s="117">
        <v>0</v>
      </c>
      <c r="Y968" s="117">
        <v>0</v>
      </c>
      <c r="Z968" s="21" t="b">
        <v>0</v>
      </c>
      <c r="AA968" s="162">
        <f>+$AD$5-Tabla2[[#This Row],[FECHA DE FACTURACIÓN]]</f>
        <v>184</v>
      </c>
      <c r="AB968" s="163" t="str">
        <f>+IF(Tabla2[[#This Row],[dias de credito]]&gt;=Tabla2[[#This Row],[PLAZO Días]],"venc", "No venc")</f>
        <v>venc</v>
      </c>
      <c r="AC968" s="163" t="str">
        <f>+IF(Tabla2[[#This Row],[FECHA DE PAGO]]&gt;0,"pagada","por pagar")</f>
        <v>pagada</v>
      </c>
      <c r="AD968" s="164" t="str">
        <f>+IF(AND(Tabla2[[#This Row],[venc]]="venc",Tabla2[[#This Row],[estado pago]]="por pagar"),"vencida","no")</f>
        <v>no</v>
      </c>
    </row>
    <row r="969" spans="1:30" ht="19.5" hidden="1" customHeight="1" x14ac:dyDescent="0.25">
      <c r="A969" s="8" t="s">
        <v>1852</v>
      </c>
      <c r="B969" s="8" t="b">
        <v>0</v>
      </c>
      <c r="C969" s="8">
        <v>30</v>
      </c>
      <c r="D969" s="151">
        <v>0</v>
      </c>
      <c r="E969" s="151"/>
      <c r="F969" s="24" t="s">
        <v>84</v>
      </c>
      <c r="G969" s="30">
        <v>45259</v>
      </c>
      <c r="H969" s="81" t="s">
        <v>1872</v>
      </c>
      <c r="I969" s="30">
        <v>45259</v>
      </c>
      <c r="J969" s="16" t="s">
        <v>1288</v>
      </c>
      <c r="K969" s="9" t="s">
        <v>1530</v>
      </c>
      <c r="L969" s="9"/>
      <c r="M969" s="152">
        <v>2974000</v>
      </c>
      <c r="N969" s="153">
        <v>0</v>
      </c>
      <c r="O969" s="152">
        <v>0</v>
      </c>
      <c r="P969" s="154">
        <v>0</v>
      </c>
      <c r="Q969" s="152">
        <v>0</v>
      </c>
      <c r="R969" s="9">
        <v>2974000</v>
      </c>
      <c r="S969" s="21" t="s">
        <v>1846</v>
      </c>
      <c r="T969" s="117">
        <v>0</v>
      </c>
      <c r="U969" s="117">
        <v>0</v>
      </c>
      <c r="V969" s="117">
        <v>2023</v>
      </c>
      <c r="W969" s="117">
        <v>6</v>
      </c>
      <c r="X969" s="117">
        <v>0</v>
      </c>
      <c r="Y969" s="117">
        <v>0</v>
      </c>
      <c r="Z969" s="21" t="b">
        <v>0</v>
      </c>
      <c r="AA969" s="162">
        <f>+$AD$5-Tabla2[[#This Row],[FECHA DE FACTURACIÓN]]</f>
        <v>184</v>
      </c>
      <c r="AB969" s="163" t="str">
        <f>+IF(Tabla2[[#This Row],[dias de credito]]&gt;=Tabla2[[#This Row],[PLAZO Días]],"venc", "No venc")</f>
        <v>venc</v>
      </c>
      <c r="AC969" s="163" t="str">
        <f>+IF(Tabla2[[#This Row],[FECHA DE PAGO]]&gt;0,"pagada","por pagar")</f>
        <v>pagada</v>
      </c>
      <c r="AD969" s="164" t="str">
        <f>+IF(AND(Tabla2[[#This Row],[venc]]="venc",Tabla2[[#This Row],[estado pago]]="por pagar"),"vencida","no")</f>
        <v>no</v>
      </c>
    </row>
    <row r="970" spans="1:30" ht="19.5" hidden="1" customHeight="1" x14ac:dyDescent="0.25">
      <c r="A970" s="8" t="s">
        <v>1852</v>
      </c>
      <c r="B970" s="8" t="b">
        <v>0</v>
      </c>
      <c r="C970" s="8">
        <v>30</v>
      </c>
      <c r="D970" s="151">
        <v>0</v>
      </c>
      <c r="E970" s="151"/>
      <c r="F970" s="24" t="s">
        <v>1614</v>
      </c>
      <c r="G970" s="30">
        <v>45259</v>
      </c>
      <c r="H970" s="81" t="s">
        <v>1863</v>
      </c>
      <c r="I970" s="30">
        <v>45259</v>
      </c>
      <c r="J970" s="16" t="s">
        <v>1287</v>
      </c>
      <c r="K970" s="9" t="s">
        <v>1530</v>
      </c>
      <c r="L970" s="9"/>
      <c r="M970" s="152">
        <v>2992242</v>
      </c>
      <c r="N970" s="153">
        <v>0</v>
      </c>
      <c r="O970" s="152">
        <v>0</v>
      </c>
      <c r="P970" s="154">
        <v>0</v>
      </c>
      <c r="Q970" s="152">
        <v>0</v>
      </c>
      <c r="R970" s="9">
        <v>2992242</v>
      </c>
      <c r="S970" s="21" t="s">
        <v>1846</v>
      </c>
      <c r="T970" s="117">
        <v>0</v>
      </c>
      <c r="U970" s="117">
        <v>0</v>
      </c>
      <c r="V970" s="117">
        <v>2023</v>
      </c>
      <c r="W970" s="117">
        <v>6</v>
      </c>
      <c r="X970" s="117">
        <v>0</v>
      </c>
      <c r="Y970" s="117">
        <v>0</v>
      </c>
      <c r="Z970" s="21" t="b">
        <v>0</v>
      </c>
      <c r="AA970" s="162">
        <f>+$AD$5-Tabla2[[#This Row],[FECHA DE FACTURACIÓN]]</f>
        <v>184</v>
      </c>
      <c r="AB970" s="163" t="str">
        <f>+IF(Tabla2[[#This Row],[dias de credito]]&gt;=Tabla2[[#This Row],[PLAZO Días]],"venc", "No venc")</f>
        <v>venc</v>
      </c>
      <c r="AC970" s="163" t="str">
        <f>+IF(Tabla2[[#This Row],[FECHA DE PAGO]]&gt;0,"pagada","por pagar")</f>
        <v>pagada</v>
      </c>
      <c r="AD970" s="164" t="str">
        <f>+IF(AND(Tabla2[[#This Row],[venc]]="venc",Tabla2[[#This Row],[estado pago]]="por pagar"),"vencida","no")</f>
        <v>no</v>
      </c>
    </row>
    <row r="971" spans="1:30" ht="19.5" hidden="1" customHeight="1" x14ac:dyDescent="0.25">
      <c r="A971" s="8" t="s">
        <v>1852</v>
      </c>
      <c r="B971" s="8" t="b">
        <v>0</v>
      </c>
      <c r="C971" s="8">
        <v>30</v>
      </c>
      <c r="D971" s="151">
        <v>0</v>
      </c>
      <c r="E971" s="151"/>
      <c r="F971" s="24" t="s">
        <v>84</v>
      </c>
      <c r="G971" s="30">
        <v>45260</v>
      </c>
      <c r="H971" s="81" t="s">
        <v>525</v>
      </c>
      <c r="I971" s="30">
        <v>45260</v>
      </c>
      <c r="J971" s="16" t="s">
        <v>1531</v>
      </c>
      <c r="K971" s="9" t="s">
        <v>1530</v>
      </c>
      <c r="L971" s="9"/>
      <c r="M971" s="152">
        <v>32000</v>
      </c>
      <c r="N971" s="153">
        <v>0</v>
      </c>
      <c r="O971" s="152">
        <v>0</v>
      </c>
      <c r="P971" s="154">
        <v>0</v>
      </c>
      <c r="Q971" s="152">
        <v>0</v>
      </c>
      <c r="R971" s="9">
        <v>32000</v>
      </c>
      <c r="S971" s="21" t="s">
        <v>1846</v>
      </c>
      <c r="T971" s="117">
        <v>0</v>
      </c>
      <c r="U971" s="117">
        <v>0</v>
      </c>
      <c r="V971" s="117">
        <v>2023</v>
      </c>
      <c r="W971" s="117">
        <v>6</v>
      </c>
      <c r="X971" s="117">
        <v>0</v>
      </c>
      <c r="Y971" s="117">
        <v>0</v>
      </c>
      <c r="Z971" s="21" t="b">
        <v>0</v>
      </c>
      <c r="AA971" s="162">
        <f>+$AD$5-Tabla2[[#This Row],[FECHA DE FACTURACIÓN]]</f>
        <v>183</v>
      </c>
      <c r="AB971" s="163" t="str">
        <f>+IF(Tabla2[[#This Row],[dias de credito]]&gt;=Tabla2[[#This Row],[PLAZO Días]],"venc", "No venc")</f>
        <v>venc</v>
      </c>
      <c r="AC971" s="163" t="str">
        <f>+IF(Tabla2[[#This Row],[FECHA DE PAGO]]&gt;0,"pagada","por pagar")</f>
        <v>pagada</v>
      </c>
      <c r="AD971" s="164" t="str">
        <f>+IF(AND(Tabla2[[#This Row],[venc]]="venc",Tabla2[[#This Row],[estado pago]]="por pagar"),"vencida","no")</f>
        <v>no</v>
      </c>
    </row>
    <row r="972" spans="1:30" ht="19.5" hidden="1" customHeight="1" x14ac:dyDescent="0.25">
      <c r="A972" s="8" t="s">
        <v>1852</v>
      </c>
      <c r="B972" s="8" t="b">
        <v>0</v>
      </c>
      <c r="C972" s="8">
        <v>30</v>
      </c>
      <c r="D972" s="151">
        <v>0</v>
      </c>
      <c r="E972" s="151"/>
      <c r="F972" s="24" t="s">
        <v>84</v>
      </c>
      <c r="G972" s="30">
        <v>45260</v>
      </c>
      <c r="H972" s="81" t="s">
        <v>525</v>
      </c>
      <c r="I972" s="30">
        <v>45260</v>
      </c>
      <c r="J972" s="16" t="s">
        <v>480</v>
      </c>
      <c r="K972" s="9" t="s">
        <v>1530</v>
      </c>
      <c r="L972" s="9"/>
      <c r="M972" s="152">
        <v>269600</v>
      </c>
      <c r="N972" s="153">
        <v>0</v>
      </c>
      <c r="O972" s="152">
        <v>0</v>
      </c>
      <c r="P972" s="154">
        <v>0</v>
      </c>
      <c r="Q972" s="152">
        <v>0</v>
      </c>
      <c r="R972" s="9">
        <v>269600</v>
      </c>
      <c r="S972" s="21" t="s">
        <v>1846</v>
      </c>
      <c r="T972" s="117">
        <v>0</v>
      </c>
      <c r="U972" s="117">
        <v>0</v>
      </c>
      <c r="V972" s="117">
        <v>2023</v>
      </c>
      <c r="W972" s="117">
        <v>6</v>
      </c>
      <c r="X972" s="117">
        <v>0</v>
      </c>
      <c r="Y972" s="117">
        <v>0</v>
      </c>
      <c r="Z972" s="21" t="b">
        <v>0</v>
      </c>
      <c r="AA972" s="162">
        <f>+$AD$5-Tabla2[[#This Row],[FECHA DE FACTURACIÓN]]</f>
        <v>183</v>
      </c>
      <c r="AB972" s="163" t="str">
        <f>+IF(Tabla2[[#This Row],[dias de credito]]&gt;=Tabla2[[#This Row],[PLAZO Días]],"venc", "No venc")</f>
        <v>venc</v>
      </c>
      <c r="AC972" s="163" t="str">
        <f>+IF(Tabla2[[#This Row],[FECHA DE PAGO]]&gt;0,"pagada","por pagar")</f>
        <v>pagada</v>
      </c>
      <c r="AD972" s="164" t="str">
        <f>+IF(AND(Tabla2[[#This Row],[venc]]="venc",Tabla2[[#This Row],[estado pago]]="por pagar"),"vencida","no")</f>
        <v>no</v>
      </c>
    </row>
    <row r="973" spans="1:30" ht="19.5" hidden="1" customHeight="1" x14ac:dyDescent="0.25">
      <c r="A973" s="8" t="s">
        <v>1852</v>
      </c>
      <c r="B973" s="8" t="b">
        <v>0</v>
      </c>
      <c r="C973" s="8">
        <v>30</v>
      </c>
      <c r="D973" s="151">
        <v>0</v>
      </c>
      <c r="E973" s="151"/>
      <c r="F973" s="24" t="s">
        <v>84</v>
      </c>
      <c r="G973" s="30">
        <v>45260</v>
      </c>
      <c r="H973" s="81" t="s">
        <v>525</v>
      </c>
      <c r="I973" s="30">
        <v>45260</v>
      </c>
      <c r="J973" s="16" t="s">
        <v>479</v>
      </c>
      <c r="K973" s="9" t="s">
        <v>1530</v>
      </c>
      <c r="L973" s="9"/>
      <c r="M973" s="152">
        <v>313000</v>
      </c>
      <c r="N973" s="153">
        <v>0</v>
      </c>
      <c r="O973" s="152">
        <v>0</v>
      </c>
      <c r="P973" s="154">
        <v>0</v>
      </c>
      <c r="Q973" s="152">
        <v>0</v>
      </c>
      <c r="R973" s="9">
        <v>313000</v>
      </c>
      <c r="S973" s="21" t="s">
        <v>1846</v>
      </c>
      <c r="T973" s="117">
        <v>0</v>
      </c>
      <c r="U973" s="117">
        <v>0</v>
      </c>
      <c r="V973" s="117">
        <v>2023</v>
      </c>
      <c r="W973" s="117">
        <v>6</v>
      </c>
      <c r="X973" s="117">
        <v>0</v>
      </c>
      <c r="Y973" s="117">
        <v>0</v>
      </c>
      <c r="Z973" s="21" t="b">
        <v>0</v>
      </c>
      <c r="AA973" s="162">
        <f>+$AD$5-Tabla2[[#This Row],[FECHA DE FACTURACIÓN]]</f>
        <v>183</v>
      </c>
      <c r="AB973" s="163" t="str">
        <f>+IF(Tabla2[[#This Row],[dias de credito]]&gt;=Tabla2[[#This Row],[PLAZO Días]],"venc", "No venc")</f>
        <v>venc</v>
      </c>
      <c r="AC973" s="163" t="str">
        <f>+IF(Tabla2[[#This Row],[FECHA DE PAGO]]&gt;0,"pagada","por pagar")</f>
        <v>pagada</v>
      </c>
      <c r="AD973" s="164" t="str">
        <f>+IF(AND(Tabla2[[#This Row],[venc]]="venc",Tabla2[[#This Row],[estado pago]]="por pagar"),"vencida","no")</f>
        <v>no</v>
      </c>
    </row>
    <row r="974" spans="1:30" ht="19.5" hidden="1" customHeight="1" x14ac:dyDescent="0.25">
      <c r="A974" s="8" t="s">
        <v>1852</v>
      </c>
      <c r="B974" s="8" t="b">
        <v>0</v>
      </c>
      <c r="C974" s="8">
        <v>30</v>
      </c>
      <c r="D974" s="151">
        <v>0</v>
      </c>
      <c r="E974" s="151"/>
      <c r="F974" s="24" t="s">
        <v>84</v>
      </c>
      <c r="G974" s="30">
        <v>45260</v>
      </c>
      <c r="H974" s="81" t="s">
        <v>525</v>
      </c>
      <c r="I974" s="30">
        <v>45260</v>
      </c>
      <c r="J974" s="16" t="s">
        <v>478</v>
      </c>
      <c r="K974" s="9" t="s">
        <v>1530</v>
      </c>
      <c r="L974" s="9"/>
      <c r="M974" s="152">
        <v>452200</v>
      </c>
      <c r="N974" s="153">
        <v>0</v>
      </c>
      <c r="O974" s="152">
        <v>0</v>
      </c>
      <c r="P974" s="154">
        <v>0</v>
      </c>
      <c r="Q974" s="152">
        <v>0</v>
      </c>
      <c r="R974" s="9">
        <v>452200</v>
      </c>
      <c r="S974" s="21" t="s">
        <v>1846</v>
      </c>
      <c r="T974" s="117">
        <v>0</v>
      </c>
      <c r="U974" s="117">
        <v>0</v>
      </c>
      <c r="V974" s="117">
        <v>2023</v>
      </c>
      <c r="W974" s="117">
        <v>6</v>
      </c>
      <c r="X974" s="117">
        <v>0</v>
      </c>
      <c r="Y974" s="117">
        <v>0</v>
      </c>
      <c r="Z974" s="21" t="b">
        <v>0</v>
      </c>
      <c r="AA974" s="162">
        <f>+$AD$5-Tabla2[[#This Row],[FECHA DE FACTURACIÓN]]</f>
        <v>183</v>
      </c>
      <c r="AB974" s="163" t="str">
        <f>+IF(Tabla2[[#This Row],[dias de credito]]&gt;=Tabla2[[#This Row],[PLAZO Días]],"venc", "No venc")</f>
        <v>venc</v>
      </c>
      <c r="AC974" s="163" t="str">
        <f>+IF(Tabla2[[#This Row],[FECHA DE PAGO]]&gt;0,"pagada","por pagar")</f>
        <v>pagada</v>
      </c>
      <c r="AD974" s="164" t="str">
        <f>+IF(AND(Tabla2[[#This Row],[venc]]="venc",Tabla2[[#This Row],[estado pago]]="por pagar"),"vencida","no")</f>
        <v>no</v>
      </c>
    </row>
    <row r="975" spans="1:30" ht="19.5" hidden="1" customHeight="1" x14ac:dyDescent="0.25">
      <c r="A975" s="8" t="s">
        <v>1852</v>
      </c>
      <c r="B975" s="8" t="b">
        <v>0</v>
      </c>
      <c r="C975" s="8">
        <v>30</v>
      </c>
      <c r="D975" s="151">
        <v>0</v>
      </c>
      <c r="E975" s="151"/>
      <c r="F975" s="24" t="s">
        <v>84</v>
      </c>
      <c r="G975" s="30">
        <v>45260</v>
      </c>
      <c r="H975" s="81" t="s">
        <v>525</v>
      </c>
      <c r="I975" s="30">
        <v>45260</v>
      </c>
      <c r="J975" s="16" t="s">
        <v>476</v>
      </c>
      <c r="K975" s="9" t="s">
        <v>1530</v>
      </c>
      <c r="L975" s="9"/>
      <c r="M975" s="152">
        <v>556000</v>
      </c>
      <c r="N975" s="153">
        <v>0</v>
      </c>
      <c r="O975" s="152">
        <v>0</v>
      </c>
      <c r="P975" s="154">
        <v>0</v>
      </c>
      <c r="Q975" s="152">
        <v>0</v>
      </c>
      <c r="R975" s="9">
        <v>556000</v>
      </c>
      <c r="S975" s="21" t="s">
        <v>1846</v>
      </c>
      <c r="T975" s="117">
        <v>0</v>
      </c>
      <c r="U975" s="117">
        <v>0</v>
      </c>
      <c r="V975" s="117">
        <v>2023</v>
      </c>
      <c r="W975" s="117">
        <v>6</v>
      </c>
      <c r="X975" s="117">
        <v>0</v>
      </c>
      <c r="Y975" s="117">
        <v>0</v>
      </c>
      <c r="Z975" s="21" t="b">
        <v>0</v>
      </c>
      <c r="AA975" s="162">
        <f>+$AD$5-Tabla2[[#This Row],[FECHA DE FACTURACIÓN]]</f>
        <v>183</v>
      </c>
      <c r="AB975" s="163" t="str">
        <f>+IF(Tabla2[[#This Row],[dias de credito]]&gt;=Tabla2[[#This Row],[PLAZO Días]],"venc", "No venc")</f>
        <v>venc</v>
      </c>
      <c r="AC975" s="163" t="str">
        <f>+IF(Tabla2[[#This Row],[FECHA DE PAGO]]&gt;0,"pagada","por pagar")</f>
        <v>pagada</v>
      </c>
      <c r="AD975" s="164" t="str">
        <f>+IF(AND(Tabla2[[#This Row],[venc]]="venc",Tabla2[[#This Row],[estado pago]]="por pagar"),"vencida","no")</f>
        <v>no</v>
      </c>
    </row>
    <row r="976" spans="1:30" ht="19.5" hidden="1" customHeight="1" x14ac:dyDescent="0.25">
      <c r="A976" s="8" t="s">
        <v>1852</v>
      </c>
      <c r="B976" s="8" t="b">
        <v>0</v>
      </c>
      <c r="C976" s="8">
        <v>30</v>
      </c>
      <c r="D976" s="151">
        <v>0</v>
      </c>
      <c r="E976" s="151"/>
      <c r="F976" s="24" t="s">
        <v>84</v>
      </c>
      <c r="G976" s="30">
        <v>45260</v>
      </c>
      <c r="H976" s="81" t="s">
        <v>525</v>
      </c>
      <c r="I976" s="30">
        <v>45260</v>
      </c>
      <c r="J976" s="16" t="s">
        <v>477</v>
      </c>
      <c r="K976" s="9" t="s">
        <v>1530</v>
      </c>
      <c r="L976" s="9"/>
      <c r="M976" s="152">
        <v>1599800</v>
      </c>
      <c r="N976" s="153">
        <v>0</v>
      </c>
      <c r="O976" s="152">
        <v>0</v>
      </c>
      <c r="P976" s="154">
        <v>0</v>
      </c>
      <c r="Q976" s="152">
        <v>0</v>
      </c>
      <c r="R976" s="9">
        <v>1599800</v>
      </c>
      <c r="S976" s="21" t="s">
        <v>1846</v>
      </c>
      <c r="T976" s="117">
        <v>0</v>
      </c>
      <c r="U976" s="117">
        <v>0</v>
      </c>
      <c r="V976" s="117">
        <v>2023</v>
      </c>
      <c r="W976" s="117">
        <v>6</v>
      </c>
      <c r="X976" s="117">
        <v>0</v>
      </c>
      <c r="Y976" s="117">
        <v>0</v>
      </c>
      <c r="Z976" s="21" t="b">
        <v>0</v>
      </c>
      <c r="AA976" s="162">
        <f>+$AD$5-Tabla2[[#This Row],[FECHA DE FACTURACIÓN]]</f>
        <v>183</v>
      </c>
      <c r="AB976" s="163" t="str">
        <f>+IF(Tabla2[[#This Row],[dias de credito]]&gt;=Tabla2[[#This Row],[PLAZO Días]],"venc", "No venc")</f>
        <v>venc</v>
      </c>
      <c r="AC976" s="163" t="str">
        <f>+IF(Tabla2[[#This Row],[FECHA DE PAGO]]&gt;0,"pagada","por pagar")</f>
        <v>pagada</v>
      </c>
      <c r="AD976" s="164" t="str">
        <f>+IF(AND(Tabla2[[#This Row],[venc]]="venc",Tabla2[[#This Row],[estado pago]]="por pagar"),"vencida","no")</f>
        <v>no</v>
      </c>
    </row>
    <row r="977" spans="1:30" ht="19.5" hidden="1" customHeight="1" x14ac:dyDescent="0.25">
      <c r="A977" s="8" t="s">
        <v>1850</v>
      </c>
      <c r="B977" s="8" t="b">
        <v>0</v>
      </c>
      <c r="C977" s="8">
        <v>30</v>
      </c>
      <c r="D977" s="151">
        <v>0</v>
      </c>
      <c r="E977" s="151"/>
      <c r="F977" s="24" t="s">
        <v>84</v>
      </c>
      <c r="G977" s="30">
        <v>45261</v>
      </c>
      <c r="H977" s="81" t="s">
        <v>1803</v>
      </c>
      <c r="I977" s="30">
        <v>45257</v>
      </c>
      <c r="J977" s="16" t="s">
        <v>1322</v>
      </c>
      <c r="K977" s="9" t="s">
        <v>1530</v>
      </c>
      <c r="L977" s="9"/>
      <c r="M977" s="152">
        <v>1865344</v>
      </c>
      <c r="N977" s="153">
        <v>0</v>
      </c>
      <c r="O977" s="152">
        <v>0</v>
      </c>
      <c r="P977" s="154">
        <v>0</v>
      </c>
      <c r="Q977" s="152">
        <v>0</v>
      </c>
      <c r="R977" s="9">
        <v>1865344</v>
      </c>
      <c r="S977" s="21" t="s">
        <v>1846</v>
      </c>
      <c r="T977" s="117">
        <v>0</v>
      </c>
      <c r="U977" s="117">
        <v>0</v>
      </c>
      <c r="V977" s="117">
        <v>2023</v>
      </c>
      <c r="W977" s="117">
        <v>6</v>
      </c>
      <c r="X977" s="117">
        <v>0</v>
      </c>
      <c r="Y977" s="117">
        <v>0</v>
      </c>
      <c r="Z977" s="21" t="b">
        <v>0</v>
      </c>
      <c r="AA977" s="162">
        <f>+$AD$5-Tabla2[[#This Row],[FECHA DE FACTURACIÓN]]</f>
        <v>186</v>
      </c>
      <c r="AB977" s="163" t="str">
        <f>+IF(Tabla2[[#This Row],[dias de credito]]&gt;=Tabla2[[#This Row],[PLAZO Días]],"venc", "No venc")</f>
        <v>venc</v>
      </c>
      <c r="AC977" s="163" t="str">
        <f>+IF(Tabla2[[#This Row],[FECHA DE PAGO]]&gt;0,"pagada","por pagar")</f>
        <v>pagada</v>
      </c>
      <c r="AD977" s="164" t="str">
        <f>+IF(AND(Tabla2[[#This Row],[venc]]="venc",Tabla2[[#This Row],[estado pago]]="por pagar"),"vencida","no")</f>
        <v>no</v>
      </c>
    </row>
    <row r="978" spans="1:30" ht="19.5" hidden="1" customHeight="1" x14ac:dyDescent="0.25">
      <c r="A978" s="8" t="s">
        <v>1852</v>
      </c>
      <c r="B978" s="8" t="b">
        <v>0</v>
      </c>
      <c r="C978" s="8">
        <v>30</v>
      </c>
      <c r="D978" s="151">
        <v>0</v>
      </c>
      <c r="E978" s="151"/>
      <c r="F978" s="24" t="s">
        <v>84</v>
      </c>
      <c r="G978" s="30">
        <v>45261</v>
      </c>
      <c r="H978" s="81" t="s">
        <v>525</v>
      </c>
      <c r="I978" s="30">
        <v>45261</v>
      </c>
      <c r="J978" s="16" t="s">
        <v>1234</v>
      </c>
      <c r="K978" s="9" t="s">
        <v>1530</v>
      </c>
      <c r="L978" s="9"/>
      <c r="M978" s="152">
        <v>200000</v>
      </c>
      <c r="N978" s="153">
        <v>0</v>
      </c>
      <c r="O978" s="152">
        <v>0</v>
      </c>
      <c r="P978" s="154">
        <v>0</v>
      </c>
      <c r="Q978" s="152">
        <v>0</v>
      </c>
      <c r="R978" s="9">
        <v>200000</v>
      </c>
      <c r="S978" s="21" t="s">
        <v>1846</v>
      </c>
      <c r="T978" s="117">
        <v>0</v>
      </c>
      <c r="U978" s="117">
        <v>0</v>
      </c>
      <c r="V978" s="117">
        <v>2023</v>
      </c>
      <c r="W978" s="117">
        <v>6</v>
      </c>
      <c r="X978" s="117">
        <v>0</v>
      </c>
      <c r="Y978" s="117">
        <v>0</v>
      </c>
      <c r="Z978" s="21" t="b">
        <v>0</v>
      </c>
      <c r="AA978" s="162">
        <f>+$AD$5-Tabla2[[#This Row],[FECHA DE FACTURACIÓN]]</f>
        <v>182</v>
      </c>
      <c r="AB978" s="163" t="str">
        <f>+IF(Tabla2[[#This Row],[dias de credito]]&gt;=Tabla2[[#This Row],[PLAZO Días]],"venc", "No venc")</f>
        <v>venc</v>
      </c>
      <c r="AC978" s="163" t="str">
        <f>+IF(Tabla2[[#This Row],[FECHA DE PAGO]]&gt;0,"pagada","por pagar")</f>
        <v>pagada</v>
      </c>
      <c r="AD978" s="164" t="str">
        <f>+IF(AND(Tabla2[[#This Row],[venc]]="venc",Tabla2[[#This Row],[estado pago]]="por pagar"),"vencida","no")</f>
        <v>no</v>
      </c>
    </row>
    <row r="979" spans="1:30" ht="19.5" hidden="1" customHeight="1" x14ac:dyDescent="0.25">
      <c r="A979" s="8" t="s">
        <v>1852</v>
      </c>
      <c r="B979" s="8" t="b">
        <v>0</v>
      </c>
      <c r="C979" s="8">
        <v>30</v>
      </c>
      <c r="D979" s="151">
        <v>0</v>
      </c>
      <c r="E979" s="151"/>
      <c r="F979" s="24" t="s">
        <v>84</v>
      </c>
      <c r="G979" s="30">
        <v>45261</v>
      </c>
      <c r="H979" s="81" t="s">
        <v>1824</v>
      </c>
      <c r="I979" s="30">
        <v>45261</v>
      </c>
      <c r="J979" s="16"/>
      <c r="K979" s="9" t="s">
        <v>1530</v>
      </c>
      <c r="L979" s="9"/>
      <c r="M979" s="152">
        <v>1000000</v>
      </c>
      <c r="N979" s="153">
        <v>0</v>
      </c>
      <c r="O979" s="152">
        <v>0</v>
      </c>
      <c r="P979" s="154">
        <v>0</v>
      </c>
      <c r="Q979" s="152">
        <v>0</v>
      </c>
      <c r="R979" s="9">
        <v>1000000</v>
      </c>
      <c r="S979" s="21" t="s">
        <v>1846</v>
      </c>
      <c r="T979" s="117">
        <v>0</v>
      </c>
      <c r="U979" s="117">
        <v>0</v>
      </c>
      <c r="V979" s="117">
        <v>2023</v>
      </c>
      <c r="W979" s="117">
        <v>6</v>
      </c>
      <c r="X979" s="117">
        <v>0</v>
      </c>
      <c r="Y979" s="117">
        <v>0</v>
      </c>
      <c r="Z979" s="21" t="b">
        <v>0</v>
      </c>
      <c r="AA979" s="162">
        <f>+$AD$5-Tabla2[[#This Row],[FECHA DE FACTURACIÓN]]</f>
        <v>182</v>
      </c>
      <c r="AB979" s="163" t="str">
        <f>+IF(Tabla2[[#This Row],[dias de credito]]&gt;=Tabla2[[#This Row],[PLAZO Días]],"venc", "No venc")</f>
        <v>venc</v>
      </c>
      <c r="AC979" s="163" t="str">
        <f>+IF(Tabla2[[#This Row],[FECHA DE PAGO]]&gt;0,"pagada","por pagar")</f>
        <v>pagada</v>
      </c>
      <c r="AD979" s="164" t="str">
        <f>+IF(AND(Tabla2[[#This Row],[venc]]="venc",Tabla2[[#This Row],[estado pago]]="por pagar"),"vencida","no")</f>
        <v>no</v>
      </c>
    </row>
    <row r="980" spans="1:30" ht="19.5" hidden="1" customHeight="1" x14ac:dyDescent="0.25">
      <c r="A980" s="8" t="s">
        <v>1852</v>
      </c>
      <c r="B980" s="8" t="b">
        <v>0</v>
      </c>
      <c r="C980" s="8">
        <v>0</v>
      </c>
      <c r="D980" s="151">
        <v>0</v>
      </c>
      <c r="E980" s="151"/>
      <c r="F980" s="24">
        <v>0</v>
      </c>
      <c r="G980" s="30">
        <v>45261</v>
      </c>
      <c r="H980" s="81" t="s">
        <v>456</v>
      </c>
      <c r="I980" s="30">
        <v>45261</v>
      </c>
      <c r="J980" s="16" t="s">
        <v>1293</v>
      </c>
      <c r="K980" s="9" t="s">
        <v>1530</v>
      </c>
      <c r="L980" s="9"/>
      <c r="M980" s="152">
        <v>300000</v>
      </c>
      <c r="N980" s="153">
        <v>0</v>
      </c>
      <c r="O980" s="152">
        <v>0</v>
      </c>
      <c r="P980" s="154">
        <v>0</v>
      </c>
      <c r="Q980" s="152">
        <v>0</v>
      </c>
      <c r="R980" s="9">
        <v>300000</v>
      </c>
      <c r="S980" s="21" t="s">
        <v>1846</v>
      </c>
      <c r="T980" s="117">
        <v>0</v>
      </c>
      <c r="U980" s="117">
        <v>0</v>
      </c>
      <c r="V980" s="117">
        <v>2023</v>
      </c>
      <c r="W980" s="117">
        <v>6</v>
      </c>
      <c r="X980" s="117">
        <v>0</v>
      </c>
      <c r="Y980" s="117">
        <v>0</v>
      </c>
      <c r="Z980" s="21" t="b">
        <v>1</v>
      </c>
      <c r="AA980" s="162">
        <f>+$AD$5-Tabla2[[#This Row],[FECHA DE FACTURACIÓN]]</f>
        <v>182</v>
      </c>
      <c r="AB980" s="163" t="str">
        <f>+IF(Tabla2[[#This Row],[dias de credito]]&gt;=Tabla2[[#This Row],[PLAZO Días]],"venc", "No venc")</f>
        <v>venc</v>
      </c>
      <c r="AC980" s="163" t="str">
        <f>+IF(Tabla2[[#This Row],[FECHA DE PAGO]]&gt;0,"pagada","por pagar")</f>
        <v>pagada</v>
      </c>
      <c r="AD980" s="164" t="str">
        <f>+IF(AND(Tabla2[[#This Row],[venc]]="venc",Tabla2[[#This Row],[estado pago]]="por pagar"),"vencida","no")</f>
        <v>no</v>
      </c>
    </row>
    <row r="981" spans="1:30" ht="19.5" hidden="1" customHeight="1" x14ac:dyDescent="0.25">
      <c r="A981" s="8" t="s">
        <v>1850</v>
      </c>
      <c r="B981" s="8" t="b">
        <v>0</v>
      </c>
      <c r="C981" s="8">
        <v>30</v>
      </c>
      <c r="D981" s="151">
        <v>0</v>
      </c>
      <c r="E981" s="151"/>
      <c r="F981" s="24">
        <v>0</v>
      </c>
      <c r="G981" s="30">
        <v>45262</v>
      </c>
      <c r="H981" s="81" t="s">
        <v>387</v>
      </c>
      <c r="I981" s="30">
        <v>45261</v>
      </c>
      <c r="J981" s="16" t="s">
        <v>173</v>
      </c>
      <c r="K981" s="9" t="s">
        <v>1530</v>
      </c>
      <c r="L981" s="9"/>
      <c r="M981" s="152">
        <v>411454</v>
      </c>
      <c r="N981" s="153">
        <v>0</v>
      </c>
      <c r="O981" s="152">
        <v>0</v>
      </c>
      <c r="P981" s="154">
        <v>0</v>
      </c>
      <c r="Q981" s="152">
        <v>0</v>
      </c>
      <c r="R981" s="9">
        <v>411454</v>
      </c>
      <c r="S981" s="21" t="s">
        <v>1846</v>
      </c>
      <c r="T981" s="117">
        <v>0</v>
      </c>
      <c r="U981" s="117">
        <v>0</v>
      </c>
      <c r="V981" s="117">
        <v>2023</v>
      </c>
      <c r="W981" s="117">
        <v>6</v>
      </c>
      <c r="X981" s="117">
        <v>0</v>
      </c>
      <c r="Y981" s="117">
        <v>0</v>
      </c>
      <c r="Z981" s="21" t="b">
        <v>1</v>
      </c>
      <c r="AA981" s="162">
        <f>+$AD$5-Tabla2[[#This Row],[FECHA DE FACTURACIÓN]]</f>
        <v>182</v>
      </c>
      <c r="AB981" s="163" t="str">
        <f>+IF(Tabla2[[#This Row],[dias de credito]]&gt;=Tabla2[[#This Row],[PLAZO Días]],"venc", "No venc")</f>
        <v>venc</v>
      </c>
      <c r="AC981" s="163" t="str">
        <f>+IF(Tabla2[[#This Row],[FECHA DE PAGO]]&gt;0,"pagada","por pagar")</f>
        <v>pagada</v>
      </c>
      <c r="AD981" s="164" t="str">
        <f>+IF(AND(Tabla2[[#This Row],[venc]]="venc",Tabla2[[#This Row],[estado pago]]="por pagar"),"vencida","no")</f>
        <v>no</v>
      </c>
    </row>
    <row r="982" spans="1:30" ht="19.5" hidden="1" customHeight="1" x14ac:dyDescent="0.25">
      <c r="A982" s="8" t="s">
        <v>1850</v>
      </c>
      <c r="B982" s="8" t="b">
        <v>0</v>
      </c>
      <c r="C982" s="8">
        <v>30</v>
      </c>
      <c r="D982" s="151">
        <v>0</v>
      </c>
      <c r="E982" s="151"/>
      <c r="F982" s="24" t="s">
        <v>86</v>
      </c>
      <c r="G982" s="30">
        <v>45262</v>
      </c>
      <c r="H982" s="81" t="s">
        <v>390</v>
      </c>
      <c r="I982" s="30">
        <v>45261</v>
      </c>
      <c r="J982" s="16"/>
      <c r="K982" s="9" t="s">
        <v>1530</v>
      </c>
      <c r="L982" s="9"/>
      <c r="M982" s="152">
        <v>707697</v>
      </c>
      <c r="N982" s="153">
        <v>0</v>
      </c>
      <c r="O982" s="152">
        <v>0</v>
      </c>
      <c r="P982" s="154">
        <v>0</v>
      </c>
      <c r="Q982" s="152">
        <v>0</v>
      </c>
      <c r="R982" s="9">
        <v>707697</v>
      </c>
      <c r="S982" s="21" t="s">
        <v>1846</v>
      </c>
      <c r="T982" s="117">
        <v>0</v>
      </c>
      <c r="U982" s="117">
        <v>0</v>
      </c>
      <c r="V982" s="117">
        <v>2023</v>
      </c>
      <c r="W982" s="117">
        <v>6</v>
      </c>
      <c r="X982" s="117">
        <v>0</v>
      </c>
      <c r="Y982" s="117">
        <v>0</v>
      </c>
      <c r="Z982" s="21" t="b">
        <v>1</v>
      </c>
      <c r="AA982" s="162">
        <f>+$AD$5-Tabla2[[#This Row],[FECHA DE FACTURACIÓN]]</f>
        <v>182</v>
      </c>
      <c r="AB982" s="163" t="str">
        <f>+IF(Tabla2[[#This Row],[dias de credito]]&gt;=Tabla2[[#This Row],[PLAZO Días]],"venc", "No venc")</f>
        <v>venc</v>
      </c>
      <c r="AC982" s="163" t="str">
        <f>+IF(Tabla2[[#This Row],[FECHA DE PAGO]]&gt;0,"pagada","por pagar")</f>
        <v>pagada</v>
      </c>
      <c r="AD982" s="164" t="str">
        <f>+IF(AND(Tabla2[[#This Row],[venc]]="venc",Tabla2[[#This Row],[estado pago]]="por pagar"),"vencida","no")</f>
        <v>no</v>
      </c>
    </row>
    <row r="983" spans="1:30" ht="19.5" hidden="1" customHeight="1" x14ac:dyDescent="0.25">
      <c r="A983" s="8" t="s">
        <v>1852</v>
      </c>
      <c r="B983" s="8" t="b">
        <v>0</v>
      </c>
      <c r="C983" s="8">
        <v>30</v>
      </c>
      <c r="D983" s="151">
        <v>0</v>
      </c>
      <c r="E983" s="151"/>
      <c r="F983" s="24" t="s">
        <v>84</v>
      </c>
      <c r="G983" s="30">
        <v>45262</v>
      </c>
      <c r="H983" s="81" t="s">
        <v>525</v>
      </c>
      <c r="I983" s="30">
        <v>45262</v>
      </c>
      <c r="J983" s="16" t="s">
        <v>1120</v>
      </c>
      <c r="K983" s="9" t="s">
        <v>1530</v>
      </c>
      <c r="L983" s="9"/>
      <c r="M983" s="152">
        <v>200000</v>
      </c>
      <c r="N983" s="153">
        <v>0</v>
      </c>
      <c r="O983" s="152">
        <v>0</v>
      </c>
      <c r="P983" s="154">
        <v>0</v>
      </c>
      <c r="Q983" s="152">
        <v>0</v>
      </c>
      <c r="R983" s="9">
        <v>200000</v>
      </c>
      <c r="S983" s="21" t="s">
        <v>1846</v>
      </c>
      <c r="T983" s="117">
        <v>0</v>
      </c>
      <c r="U983" s="117">
        <v>0</v>
      </c>
      <c r="V983" s="117">
        <v>2023</v>
      </c>
      <c r="W983" s="117">
        <v>6</v>
      </c>
      <c r="X983" s="117">
        <v>0</v>
      </c>
      <c r="Y983" s="117">
        <v>0</v>
      </c>
      <c r="Z983" s="21" t="b">
        <v>0</v>
      </c>
      <c r="AA983" s="162">
        <f>+$AD$5-Tabla2[[#This Row],[FECHA DE FACTURACIÓN]]</f>
        <v>181</v>
      </c>
      <c r="AB983" s="163" t="str">
        <f>+IF(Tabla2[[#This Row],[dias de credito]]&gt;=Tabla2[[#This Row],[PLAZO Días]],"venc", "No venc")</f>
        <v>venc</v>
      </c>
      <c r="AC983" s="163" t="str">
        <f>+IF(Tabla2[[#This Row],[FECHA DE PAGO]]&gt;0,"pagada","por pagar")</f>
        <v>pagada</v>
      </c>
      <c r="AD983" s="164" t="str">
        <f>+IF(AND(Tabla2[[#This Row],[venc]]="venc",Tabla2[[#This Row],[estado pago]]="por pagar"),"vencida","no")</f>
        <v>no</v>
      </c>
    </row>
    <row r="984" spans="1:30" ht="19.5" hidden="1" customHeight="1" x14ac:dyDescent="0.25">
      <c r="A984" s="8" t="s">
        <v>1850</v>
      </c>
      <c r="B984" s="8" t="b">
        <v>0</v>
      </c>
      <c r="C984" s="8">
        <v>60</v>
      </c>
      <c r="D984" s="151">
        <v>0</v>
      </c>
      <c r="E984" s="151"/>
      <c r="F984" s="24" t="s">
        <v>258</v>
      </c>
      <c r="G984" s="30">
        <v>45262</v>
      </c>
      <c r="H984" s="81" t="s">
        <v>1827</v>
      </c>
      <c r="I984" s="30">
        <v>45288</v>
      </c>
      <c r="J984" s="16" t="s">
        <v>28</v>
      </c>
      <c r="K984" s="9" t="s">
        <v>1530</v>
      </c>
      <c r="L984" s="9"/>
      <c r="M984" s="152">
        <v>500000</v>
      </c>
      <c r="N984" s="153">
        <v>0</v>
      </c>
      <c r="O984" s="152">
        <v>0</v>
      </c>
      <c r="P984" s="154">
        <v>0</v>
      </c>
      <c r="Q984" s="152">
        <v>0</v>
      </c>
      <c r="R984" s="9">
        <v>500000</v>
      </c>
      <c r="S984" s="21" t="s">
        <v>1846</v>
      </c>
      <c r="T984" s="117">
        <v>0</v>
      </c>
      <c r="U984" s="117">
        <v>0</v>
      </c>
      <c r="V984" s="117">
        <v>2023</v>
      </c>
      <c r="W984" s="117">
        <v>6</v>
      </c>
      <c r="X984" s="117">
        <v>0</v>
      </c>
      <c r="Y984" s="117">
        <v>0</v>
      </c>
      <c r="Z984" s="21" t="b">
        <v>0</v>
      </c>
      <c r="AA984" s="162">
        <f>+$AD$5-Tabla2[[#This Row],[FECHA DE FACTURACIÓN]]</f>
        <v>155</v>
      </c>
      <c r="AB984" s="163" t="str">
        <f>+IF(Tabla2[[#This Row],[dias de credito]]&gt;=Tabla2[[#This Row],[PLAZO Días]],"venc", "No venc")</f>
        <v>venc</v>
      </c>
      <c r="AC984" s="163" t="str">
        <f>+IF(Tabla2[[#This Row],[FECHA DE PAGO]]&gt;0,"pagada","por pagar")</f>
        <v>pagada</v>
      </c>
      <c r="AD984" s="164" t="str">
        <f>+IF(AND(Tabla2[[#This Row],[venc]]="venc",Tabla2[[#This Row],[estado pago]]="por pagar"),"vencida","no")</f>
        <v>no</v>
      </c>
    </row>
    <row r="985" spans="1:30" ht="19.5" hidden="1" customHeight="1" x14ac:dyDescent="0.25">
      <c r="A985" s="8" t="s">
        <v>1850</v>
      </c>
      <c r="B985" s="8" t="b">
        <v>0</v>
      </c>
      <c r="C985" s="8">
        <v>60</v>
      </c>
      <c r="D985" s="151">
        <v>0</v>
      </c>
      <c r="E985" s="151"/>
      <c r="F985" s="24" t="s">
        <v>147</v>
      </c>
      <c r="G985" s="30">
        <v>45264</v>
      </c>
      <c r="H985" s="81" t="s">
        <v>221</v>
      </c>
      <c r="I985" s="30">
        <v>45209</v>
      </c>
      <c r="J985" s="16" t="s">
        <v>1162</v>
      </c>
      <c r="K985" s="9" t="s">
        <v>1530</v>
      </c>
      <c r="L985" s="9"/>
      <c r="M985" s="152">
        <v>1115966</v>
      </c>
      <c r="N985" s="153">
        <v>212033.54</v>
      </c>
      <c r="O985" s="152">
        <v>0</v>
      </c>
      <c r="P985" s="154">
        <v>0</v>
      </c>
      <c r="Q985" s="152">
        <v>0</v>
      </c>
      <c r="R985" s="9">
        <v>1327999.54</v>
      </c>
      <c r="S985" s="21" t="s">
        <v>1846</v>
      </c>
      <c r="T985" s="117">
        <v>0</v>
      </c>
      <c r="U985" s="117" t="s">
        <v>347</v>
      </c>
      <c r="V985" s="117">
        <v>2023</v>
      </c>
      <c r="W985" s="117">
        <v>6</v>
      </c>
      <c r="X985" s="117">
        <v>1145000</v>
      </c>
      <c r="Y985" s="117">
        <v>2.5000000000000001E-2</v>
      </c>
      <c r="Z985" s="21" t="b">
        <v>0</v>
      </c>
      <c r="AA985" s="162">
        <f>+$AD$5-Tabla2[[#This Row],[FECHA DE FACTURACIÓN]]</f>
        <v>234</v>
      </c>
      <c r="AB985" s="163" t="str">
        <f>+IF(Tabla2[[#This Row],[dias de credito]]&gt;=Tabla2[[#This Row],[PLAZO Días]],"venc", "No venc")</f>
        <v>venc</v>
      </c>
      <c r="AC985" s="163" t="str">
        <f>+IF(Tabla2[[#This Row],[FECHA DE PAGO]]&gt;0,"pagada","por pagar")</f>
        <v>pagada</v>
      </c>
      <c r="AD985" s="164" t="str">
        <f>+IF(AND(Tabla2[[#This Row],[venc]]="venc",Tabla2[[#This Row],[estado pago]]="por pagar"),"vencida","no")</f>
        <v>no</v>
      </c>
    </row>
    <row r="986" spans="1:30" ht="19.5" hidden="1" customHeight="1" x14ac:dyDescent="0.25">
      <c r="A986" s="8" t="s">
        <v>1850</v>
      </c>
      <c r="B986" s="8" t="s">
        <v>1851</v>
      </c>
      <c r="C986" s="8">
        <v>30</v>
      </c>
      <c r="D986" s="151">
        <v>4466504.835</v>
      </c>
      <c r="E986" s="151"/>
      <c r="F986" s="24" t="s">
        <v>1553</v>
      </c>
      <c r="G986" s="30">
        <v>45264</v>
      </c>
      <c r="H986" s="81" t="s">
        <v>18</v>
      </c>
      <c r="I986" s="30">
        <v>45209</v>
      </c>
      <c r="J986" s="16" t="s">
        <v>1168</v>
      </c>
      <c r="K986" s="9" t="s">
        <v>1530</v>
      </c>
      <c r="L986" s="9"/>
      <c r="M986" s="152">
        <v>631763</v>
      </c>
      <c r="N986" s="153">
        <v>120034.97</v>
      </c>
      <c r="O986" s="152">
        <v>0</v>
      </c>
      <c r="P986" s="154">
        <v>0</v>
      </c>
      <c r="Q986" s="152">
        <v>0</v>
      </c>
      <c r="R986" s="9">
        <v>751797.97</v>
      </c>
      <c r="S986" s="21" t="s">
        <v>1846</v>
      </c>
      <c r="T986" s="117">
        <v>0</v>
      </c>
      <c r="U986" s="117" t="s">
        <v>347</v>
      </c>
      <c r="V986" s="117">
        <v>2023</v>
      </c>
      <c r="W986" s="117">
        <v>6</v>
      </c>
      <c r="X986" s="117">
        <v>1145000</v>
      </c>
      <c r="Y986" s="117">
        <v>2.5000000000000001E-2</v>
      </c>
      <c r="Z986" s="21" t="b">
        <v>0</v>
      </c>
      <c r="AA986" s="162">
        <f>+$AD$5-Tabla2[[#This Row],[FECHA DE FACTURACIÓN]]</f>
        <v>234</v>
      </c>
      <c r="AB986" s="163" t="str">
        <f>+IF(Tabla2[[#This Row],[dias de credito]]&gt;=Tabla2[[#This Row],[PLAZO Días]],"venc", "No venc")</f>
        <v>venc</v>
      </c>
      <c r="AC986" s="163" t="str">
        <f>+IF(Tabla2[[#This Row],[FECHA DE PAGO]]&gt;0,"pagada","por pagar")</f>
        <v>pagada</v>
      </c>
      <c r="AD986" s="164" t="str">
        <f>+IF(AND(Tabla2[[#This Row],[venc]]="venc",Tabla2[[#This Row],[estado pago]]="por pagar"),"vencida","no")</f>
        <v>no</v>
      </c>
    </row>
    <row r="987" spans="1:30" ht="19.5" hidden="1" customHeight="1" x14ac:dyDescent="0.25">
      <c r="A987" s="8" t="s">
        <v>1850</v>
      </c>
      <c r="B987" s="8" t="s">
        <v>1851</v>
      </c>
      <c r="C987" s="8">
        <v>30</v>
      </c>
      <c r="D987" s="151">
        <v>0</v>
      </c>
      <c r="E987" s="151"/>
      <c r="F987" s="24" t="s">
        <v>84</v>
      </c>
      <c r="G987" s="30">
        <v>45264</v>
      </c>
      <c r="H987" s="81" t="s">
        <v>1149</v>
      </c>
      <c r="I987" s="30">
        <v>45209</v>
      </c>
      <c r="J987" s="16" t="s">
        <v>1150</v>
      </c>
      <c r="K987" s="9" t="s">
        <v>1530</v>
      </c>
      <c r="L987" s="9"/>
      <c r="M987" s="152">
        <v>4438500</v>
      </c>
      <c r="N987" s="153">
        <v>0</v>
      </c>
      <c r="O987" s="152">
        <v>0</v>
      </c>
      <c r="P987" s="154">
        <v>0</v>
      </c>
      <c r="Q987" s="152">
        <v>0</v>
      </c>
      <c r="R987" s="9">
        <v>4438500</v>
      </c>
      <c r="S987" s="21" t="s">
        <v>1846</v>
      </c>
      <c r="T987" s="117">
        <v>0</v>
      </c>
      <c r="U987" s="117">
        <v>0</v>
      </c>
      <c r="V987" s="117">
        <v>2023</v>
      </c>
      <c r="W987" s="117">
        <v>6</v>
      </c>
      <c r="X987" s="117">
        <v>0</v>
      </c>
      <c r="Y987" s="117">
        <v>0</v>
      </c>
      <c r="Z987" s="21" t="b">
        <v>0</v>
      </c>
      <c r="AA987" s="162">
        <f>+$AD$5-Tabla2[[#This Row],[FECHA DE FACTURACIÓN]]</f>
        <v>234</v>
      </c>
      <c r="AB987" s="163" t="str">
        <f>+IF(Tabla2[[#This Row],[dias de credito]]&gt;=Tabla2[[#This Row],[PLAZO Días]],"venc", "No venc")</f>
        <v>venc</v>
      </c>
      <c r="AC987" s="163" t="str">
        <f>+IF(Tabla2[[#This Row],[FECHA DE PAGO]]&gt;0,"pagada","por pagar")</f>
        <v>pagada</v>
      </c>
      <c r="AD987" s="164" t="str">
        <f>+IF(AND(Tabla2[[#This Row],[venc]]="venc",Tabla2[[#This Row],[estado pago]]="por pagar"),"vencida","no")</f>
        <v>no</v>
      </c>
    </row>
    <row r="988" spans="1:30" ht="19.5" hidden="1" customHeight="1" x14ac:dyDescent="0.25">
      <c r="A988" s="8" t="s">
        <v>1850</v>
      </c>
      <c r="B988" s="8" t="s">
        <v>1851</v>
      </c>
      <c r="C988" s="8">
        <v>30</v>
      </c>
      <c r="D988" s="151">
        <v>9349257.8100000005</v>
      </c>
      <c r="E988" s="151"/>
      <c r="F988" s="24" t="s">
        <v>277</v>
      </c>
      <c r="G988" s="30">
        <v>45264</v>
      </c>
      <c r="H988" s="81" t="s">
        <v>226</v>
      </c>
      <c r="I988" s="30">
        <v>45210</v>
      </c>
      <c r="J988" s="16" t="s">
        <v>1178</v>
      </c>
      <c r="K988" s="9" t="s">
        <v>1530</v>
      </c>
      <c r="L988" s="9"/>
      <c r="M988" s="152">
        <v>7197270</v>
      </c>
      <c r="N988" s="153">
        <v>1367481.3</v>
      </c>
      <c r="O988" s="152">
        <v>0</v>
      </c>
      <c r="P988" s="154">
        <v>2.5000000000000001E-2</v>
      </c>
      <c r="Q988" s="152">
        <v>179931.75</v>
      </c>
      <c r="R988" s="9">
        <v>8384819.5500000007</v>
      </c>
      <c r="S988" s="21" t="s">
        <v>1846</v>
      </c>
      <c r="T988" s="117">
        <v>0</v>
      </c>
      <c r="U988" s="117" t="s">
        <v>347</v>
      </c>
      <c r="V988" s="117">
        <v>2023</v>
      </c>
      <c r="W988" s="117">
        <v>6</v>
      </c>
      <c r="X988" s="117">
        <v>1145000</v>
      </c>
      <c r="Y988" s="117">
        <v>2.5000000000000001E-2</v>
      </c>
      <c r="Z988" s="21" t="b">
        <v>0</v>
      </c>
      <c r="AA988" s="162">
        <f>+$AD$5-Tabla2[[#This Row],[FECHA DE FACTURACIÓN]]</f>
        <v>233</v>
      </c>
      <c r="AB988" s="163" t="str">
        <f>+IF(Tabla2[[#This Row],[dias de credito]]&gt;=Tabla2[[#This Row],[PLAZO Días]],"venc", "No venc")</f>
        <v>venc</v>
      </c>
      <c r="AC988" s="163" t="str">
        <f>+IF(Tabla2[[#This Row],[FECHA DE PAGO]]&gt;0,"pagada","por pagar")</f>
        <v>pagada</v>
      </c>
      <c r="AD988" s="164" t="str">
        <f>+IF(AND(Tabla2[[#This Row],[venc]]="venc",Tabla2[[#This Row],[estado pago]]="por pagar"),"vencida","no")</f>
        <v>no</v>
      </c>
    </row>
    <row r="989" spans="1:30" ht="19.5" hidden="1" customHeight="1" x14ac:dyDescent="0.25">
      <c r="A989" s="8" t="s">
        <v>1850</v>
      </c>
      <c r="B989" s="8" t="s">
        <v>1851</v>
      </c>
      <c r="C989" s="8">
        <v>45</v>
      </c>
      <c r="D989" s="151">
        <v>2446500</v>
      </c>
      <c r="E989" s="151"/>
      <c r="F989" s="24" t="s">
        <v>158</v>
      </c>
      <c r="G989" s="30">
        <v>45264</v>
      </c>
      <c r="H989" s="81" t="s">
        <v>10</v>
      </c>
      <c r="I989" s="30">
        <v>45210</v>
      </c>
      <c r="J989" s="16" t="s">
        <v>1179</v>
      </c>
      <c r="K989" s="9" t="s">
        <v>1530</v>
      </c>
      <c r="L989" s="9"/>
      <c r="M989" s="152">
        <v>2000000</v>
      </c>
      <c r="N989" s="153">
        <v>380000</v>
      </c>
      <c r="O989" s="152">
        <v>0</v>
      </c>
      <c r="P989" s="154">
        <v>2.5000000000000001E-2</v>
      </c>
      <c r="Q989" s="152">
        <v>50000</v>
      </c>
      <c r="R989" s="9">
        <v>2330000</v>
      </c>
      <c r="S989" s="21" t="s">
        <v>1846</v>
      </c>
      <c r="T989" s="117">
        <v>0</v>
      </c>
      <c r="U989" s="117" t="s">
        <v>347</v>
      </c>
      <c r="V989" s="117">
        <v>2023</v>
      </c>
      <c r="W989" s="117">
        <v>6</v>
      </c>
      <c r="X989" s="117">
        <v>1145000</v>
      </c>
      <c r="Y989" s="117">
        <v>2.5000000000000001E-2</v>
      </c>
      <c r="Z989" s="21" t="b">
        <v>0</v>
      </c>
      <c r="AA989" s="162">
        <f>+$AD$5-Tabla2[[#This Row],[FECHA DE FACTURACIÓN]]</f>
        <v>233</v>
      </c>
      <c r="AB989" s="163" t="str">
        <f>+IF(Tabla2[[#This Row],[dias de credito]]&gt;=Tabla2[[#This Row],[PLAZO Días]],"venc", "No venc")</f>
        <v>venc</v>
      </c>
      <c r="AC989" s="163" t="str">
        <f>+IF(Tabla2[[#This Row],[FECHA DE PAGO]]&gt;0,"pagada","por pagar")</f>
        <v>pagada</v>
      </c>
      <c r="AD989" s="164" t="str">
        <f>+IF(AND(Tabla2[[#This Row],[venc]]="venc",Tabla2[[#This Row],[estado pago]]="por pagar"),"vencida","no")</f>
        <v>no</v>
      </c>
    </row>
    <row r="990" spans="1:30" ht="19.5" hidden="1" customHeight="1" x14ac:dyDescent="0.25">
      <c r="A990" s="8" t="s">
        <v>1850</v>
      </c>
      <c r="B990" s="8" t="s">
        <v>1851</v>
      </c>
      <c r="C990" s="8">
        <v>30</v>
      </c>
      <c r="D990" s="151">
        <v>3152439.05</v>
      </c>
      <c r="E990" s="151"/>
      <c r="F990" s="24" t="s">
        <v>227</v>
      </c>
      <c r="G990" s="30">
        <v>45264</v>
      </c>
      <c r="H990" s="81" t="s">
        <v>220</v>
      </c>
      <c r="I990" s="30">
        <v>45211</v>
      </c>
      <c r="J990" s="16" t="s">
        <v>1159</v>
      </c>
      <c r="K990" s="9" t="s">
        <v>1530</v>
      </c>
      <c r="L990" s="9"/>
      <c r="M990" s="152">
        <v>4607250</v>
      </c>
      <c r="N990" s="153">
        <v>875377.5</v>
      </c>
      <c r="O990" s="152">
        <v>0</v>
      </c>
      <c r="P990" s="154">
        <v>0</v>
      </c>
      <c r="Q990" s="152">
        <v>0</v>
      </c>
      <c r="R990" s="9">
        <v>5482627.5</v>
      </c>
      <c r="S990" s="21" t="s">
        <v>1846</v>
      </c>
      <c r="T990" s="117">
        <v>0</v>
      </c>
      <c r="U990" s="117">
        <v>0</v>
      </c>
      <c r="V990" s="117">
        <v>2023</v>
      </c>
      <c r="W990" s="117">
        <v>6</v>
      </c>
      <c r="X990" s="117">
        <v>0</v>
      </c>
      <c r="Y990" s="117">
        <v>0</v>
      </c>
      <c r="Z990" s="21" t="b">
        <v>0</v>
      </c>
      <c r="AA990" s="162">
        <f>+$AD$5-Tabla2[[#This Row],[FECHA DE FACTURACIÓN]]</f>
        <v>232</v>
      </c>
      <c r="AB990" s="163" t="str">
        <f>+IF(Tabla2[[#This Row],[dias de credito]]&gt;=Tabla2[[#This Row],[PLAZO Días]],"venc", "No venc")</f>
        <v>venc</v>
      </c>
      <c r="AC990" s="163" t="str">
        <f>+IF(Tabla2[[#This Row],[FECHA DE PAGO]]&gt;0,"pagada","por pagar")</f>
        <v>pagada</v>
      </c>
      <c r="AD990" s="164" t="str">
        <f>+IF(AND(Tabla2[[#This Row],[venc]]="venc",Tabla2[[#This Row],[estado pago]]="por pagar"),"vencida","no")</f>
        <v>no</v>
      </c>
    </row>
    <row r="991" spans="1:30" ht="19.5" hidden="1" customHeight="1" x14ac:dyDescent="0.25">
      <c r="A991" s="8" t="s">
        <v>1850</v>
      </c>
      <c r="B991" s="8" t="s">
        <v>1851</v>
      </c>
      <c r="C991" s="8">
        <v>30</v>
      </c>
      <c r="D991" s="151">
        <v>3152439.05</v>
      </c>
      <c r="E991" s="151"/>
      <c r="F991" s="24" t="s">
        <v>227</v>
      </c>
      <c r="G991" s="30">
        <v>45264</v>
      </c>
      <c r="H991" s="81" t="s">
        <v>220</v>
      </c>
      <c r="I991" s="30">
        <v>45217</v>
      </c>
      <c r="J991" s="16" t="s">
        <v>1160</v>
      </c>
      <c r="K991" s="9" t="s">
        <v>1530</v>
      </c>
      <c r="L991" s="9"/>
      <c r="M991" s="152">
        <v>1976704</v>
      </c>
      <c r="N991" s="153">
        <v>375573.76000000001</v>
      </c>
      <c r="O991" s="152">
        <v>0</v>
      </c>
      <c r="P991" s="154">
        <v>0</v>
      </c>
      <c r="Q991" s="152">
        <v>0</v>
      </c>
      <c r="R991" s="9">
        <v>2352277.7599999998</v>
      </c>
      <c r="S991" s="21" t="s">
        <v>1846</v>
      </c>
      <c r="T991" s="117">
        <v>0</v>
      </c>
      <c r="U991" s="117">
        <v>0</v>
      </c>
      <c r="V991" s="117">
        <v>2023</v>
      </c>
      <c r="W991" s="117">
        <v>6</v>
      </c>
      <c r="X991" s="117">
        <v>0</v>
      </c>
      <c r="Y991" s="117">
        <v>0</v>
      </c>
      <c r="Z991" s="21" t="b">
        <v>0</v>
      </c>
      <c r="AA991" s="162">
        <f>+$AD$5-Tabla2[[#This Row],[FECHA DE FACTURACIÓN]]</f>
        <v>226</v>
      </c>
      <c r="AB991" s="163" t="str">
        <f>+IF(Tabla2[[#This Row],[dias de credito]]&gt;=Tabla2[[#This Row],[PLAZO Días]],"venc", "No venc")</f>
        <v>venc</v>
      </c>
      <c r="AC991" s="163" t="str">
        <f>+IF(Tabla2[[#This Row],[FECHA DE PAGO]]&gt;0,"pagada","por pagar")</f>
        <v>pagada</v>
      </c>
      <c r="AD991" s="164" t="str">
        <f>+IF(AND(Tabla2[[#This Row],[venc]]="venc",Tabla2[[#This Row],[estado pago]]="por pagar"),"vencida","no")</f>
        <v>no</v>
      </c>
    </row>
    <row r="992" spans="1:30" ht="19.5" hidden="1" customHeight="1" x14ac:dyDescent="0.25">
      <c r="A992" s="8" t="s">
        <v>1850</v>
      </c>
      <c r="B992" s="8" t="s">
        <v>1851</v>
      </c>
      <c r="C992" s="8">
        <v>45</v>
      </c>
      <c r="D992" s="151">
        <v>22186260.039999999</v>
      </c>
      <c r="E992" s="151"/>
      <c r="F992" s="24" t="s">
        <v>357</v>
      </c>
      <c r="G992" s="30">
        <v>45264</v>
      </c>
      <c r="H992" s="81" t="s">
        <v>19</v>
      </c>
      <c r="I992" s="30">
        <v>45218</v>
      </c>
      <c r="J992" s="16" t="s">
        <v>1176</v>
      </c>
      <c r="K992" s="9" t="s">
        <v>1530</v>
      </c>
      <c r="L992" s="9"/>
      <c r="M992" s="152">
        <v>1657794</v>
      </c>
      <c r="N992" s="153">
        <v>314980.86</v>
      </c>
      <c r="O992" s="152">
        <v>0</v>
      </c>
      <c r="P992" s="154">
        <v>0</v>
      </c>
      <c r="Q992" s="152">
        <v>0</v>
      </c>
      <c r="R992" s="9">
        <v>1972774.8599999999</v>
      </c>
      <c r="S992" s="21" t="s">
        <v>1846</v>
      </c>
      <c r="T992" s="117">
        <v>0</v>
      </c>
      <c r="U992" s="117">
        <v>0</v>
      </c>
      <c r="V992" s="117">
        <v>2023</v>
      </c>
      <c r="W992" s="117">
        <v>6</v>
      </c>
      <c r="X992" s="117">
        <v>0</v>
      </c>
      <c r="Y992" s="117">
        <v>0</v>
      </c>
      <c r="Z992" s="21" t="b">
        <v>0</v>
      </c>
      <c r="AA992" s="162">
        <f>+$AD$5-Tabla2[[#This Row],[FECHA DE FACTURACIÓN]]</f>
        <v>225</v>
      </c>
      <c r="AB992" s="163" t="str">
        <f>+IF(Tabla2[[#This Row],[dias de credito]]&gt;=Tabla2[[#This Row],[PLAZO Días]],"venc", "No venc")</f>
        <v>venc</v>
      </c>
      <c r="AC992" s="163" t="str">
        <f>+IF(Tabla2[[#This Row],[FECHA DE PAGO]]&gt;0,"pagada","por pagar")</f>
        <v>pagada</v>
      </c>
      <c r="AD992" s="164" t="str">
        <f>+IF(AND(Tabla2[[#This Row],[venc]]="venc",Tabla2[[#This Row],[estado pago]]="por pagar"),"vencida","no")</f>
        <v>no</v>
      </c>
    </row>
    <row r="993" spans="1:30" ht="19.5" hidden="1" customHeight="1" x14ac:dyDescent="0.25">
      <c r="A993" s="8" t="s">
        <v>1850</v>
      </c>
      <c r="B993" s="8" t="s">
        <v>1851</v>
      </c>
      <c r="C993" s="8">
        <v>30</v>
      </c>
      <c r="D993" s="151">
        <v>3152439.05</v>
      </c>
      <c r="E993" s="151"/>
      <c r="F993" s="24" t="s">
        <v>227</v>
      </c>
      <c r="G993" s="30">
        <v>45264</v>
      </c>
      <c r="H993" s="81" t="s">
        <v>220</v>
      </c>
      <c r="I993" s="30">
        <v>45219</v>
      </c>
      <c r="J993" s="16" t="s">
        <v>1161</v>
      </c>
      <c r="K993" s="9" t="s">
        <v>1530</v>
      </c>
      <c r="L993" s="9"/>
      <c r="M993" s="152">
        <v>464214</v>
      </c>
      <c r="N993" s="153">
        <v>88200.66</v>
      </c>
      <c r="O993" s="152">
        <v>0</v>
      </c>
      <c r="P993" s="154">
        <v>0</v>
      </c>
      <c r="Q993" s="152">
        <v>0</v>
      </c>
      <c r="R993" s="9">
        <v>552414.66</v>
      </c>
      <c r="S993" s="21" t="s">
        <v>1846</v>
      </c>
      <c r="T993" s="117">
        <v>0</v>
      </c>
      <c r="U993" s="117">
        <v>0</v>
      </c>
      <c r="V993" s="117">
        <v>2023</v>
      </c>
      <c r="W993" s="117">
        <v>6</v>
      </c>
      <c r="X993" s="117">
        <v>0</v>
      </c>
      <c r="Y993" s="117">
        <v>0</v>
      </c>
      <c r="Z993" s="21" t="b">
        <v>0</v>
      </c>
      <c r="AA993" s="162">
        <f>+$AD$5-Tabla2[[#This Row],[FECHA DE FACTURACIÓN]]</f>
        <v>224</v>
      </c>
      <c r="AB993" s="163" t="str">
        <f>+IF(Tabla2[[#This Row],[dias de credito]]&gt;=Tabla2[[#This Row],[PLAZO Días]],"venc", "No venc")</f>
        <v>venc</v>
      </c>
      <c r="AC993" s="163" t="str">
        <f>+IF(Tabla2[[#This Row],[FECHA DE PAGO]]&gt;0,"pagada","por pagar")</f>
        <v>pagada</v>
      </c>
      <c r="AD993" s="164" t="str">
        <f>+IF(AND(Tabla2[[#This Row],[venc]]="venc",Tabla2[[#This Row],[estado pago]]="por pagar"),"vencida","no")</f>
        <v>no</v>
      </c>
    </row>
    <row r="994" spans="1:30" ht="19.5" hidden="1" customHeight="1" x14ac:dyDescent="0.25">
      <c r="A994" s="8" t="s">
        <v>1850</v>
      </c>
      <c r="B994" s="8" t="s">
        <v>1851</v>
      </c>
      <c r="C994" s="8">
        <v>30</v>
      </c>
      <c r="D994" s="151">
        <v>4466504.835</v>
      </c>
      <c r="E994" s="151"/>
      <c r="F994" s="24" t="s">
        <v>1553</v>
      </c>
      <c r="G994" s="30">
        <v>45264</v>
      </c>
      <c r="H994" s="81" t="s">
        <v>18</v>
      </c>
      <c r="I994" s="30">
        <v>45219</v>
      </c>
      <c r="J994" s="16" t="s">
        <v>1169</v>
      </c>
      <c r="K994" s="9" t="s">
        <v>1530</v>
      </c>
      <c r="L994" s="9"/>
      <c r="M994" s="152">
        <v>1633588</v>
      </c>
      <c r="N994" s="153">
        <v>310381.72000000003</v>
      </c>
      <c r="O994" s="152">
        <v>0</v>
      </c>
      <c r="P994" s="154">
        <v>2.5000000000000001E-2</v>
      </c>
      <c r="Q994" s="152">
        <v>40839.700000000004</v>
      </c>
      <c r="R994" s="9">
        <v>1903130.02</v>
      </c>
      <c r="S994" s="21" t="s">
        <v>1846</v>
      </c>
      <c r="T994" s="117">
        <v>0</v>
      </c>
      <c r="U994" s="117" t="s">
        <v>347</v>
      </c>
      <c r="V994" s="117">
        <v>2023</v>
      </c>
      <c r="W994" s="117">
        <v>6</v>
      </c>
      <c r="X994" s="117">
        <v>1145000</v>
      </c>
      <c r="Y994" s="117">
        <v>2.5000000000000001E-2</v>
      </c>
      <c r="Z994" s="21" t="b">
        <v>0</v>
      </c>
      <c r="AA994" s="162">
        <f>+$AD$5-Tabla2[[#This Row],[FECHA DE FACTURACIÓN]]</f>
        <v>224</v>
      </c>
      <c r="AB994" s="163" t="str">
        <f>+IF(Tabla2[[#This Row],[dias de credito]]&gt;=Tabla2[[#This Row],[PLAZO Días]],"venc", "No venc")</f>
        <v>venc</v>
      </c>
      <c r="AC994" s="163" t="str">
        <f>+IF(Tabla2[[#This Row],[FECHA DE PAGO]]&gt;0,"pagada","por pagar")</f>
        <v>pagada</v>
      </c>
      <c r="AD994" s="164" t="str">
        <f>+IF(AND(Tabla2[[#This Row],[venc]]="venc",Tabla2[[#This Row],[estado pago]]="por pagar"),"vencida","no")</f>
        <v>no</v>
      </c>
    </row>
    <row r="995" spans="1:30" ht="19.5" hidden="1" customHeight="1" x14ac:dyDescent="0.25">
      <c r="A995" s="8" t="s">
        <v>1850</v>
      </c>
      <c r="B995" s="8" t="s">
        <v>1851</v>
      </c>
      <c r="C995" s="8">
        <v>30</v>
      </c>
      <c r="D995" s="151">
        <v>9950488.6799999997</v>
      </c>
      <c r="E995" s="151"/>
      <c r="F995" s="24" t="s">
        <v>410</v>
      </c>
      <c r="G995" s="30">
        <v>45264</v>
      </c>
      <c r="H995" s="81" t="s">
        <v>11</v>
      </c>
      <c r="I995" s="30">
        <v>45222</v>
      </c>
      <c r="J995" s="16" t="s">
        <v>1182</v>
      </c>
      <c r="K995" s="9" t="s">
        <v>1530</v>
      </c>
      <c r="L995" s="9"/>
      <c r="M995" s="152">
        <v>3105888</v>
      </c>
      <c r="N995" s="153">
        <v>590118.72</v>
      </c>
      <c r="O995" s="152">
        <v>0</v>
      </c>
      <c r="P995" s="154">
        <v>2.5000000000000001E-2</v>
      </c>
      <c r="Q995" s="152">
        <v>77647.199999999997</v>
      </c>
      <c r="R995" s="9">
        <v>3618359.5199999996</v>
      </c>
      <c r="S995" s="21" t="s">
        <v>1846</v>
      </c>
      <c r="T995" s="117">
        <v>0</v>
      </c>
      <c r="U995" s="117" t="s">
        <v>347</v>
      </c>
      <c r="V995" s="117">
        <v>2023</v>
      </c>
      <c r="W995" s="117">
        <v>6</v>
      </c>
      <c r="X995" s="117">
        <v>1145000</v>
      </c>
      <c r="Y995" s="117">
        <v>2.5000000000000001E-2</v>
      </c>
      <c r="Z995" s="21" t="b">
        <v>0</v>
      </c>
      <c r="AA995" s="162">
        <f>+$AD$5-Tabla2[[#This Row],[FECHA DE FACTURACIÓN]]</f>
        <v>221</v>
      </c>
      <c r="AB995" s="163" t="str">
        <f>+IF(Tabla2[[#This Row],[dias de credito]]&gt;=Tabla2[[#This Row],[PLAZO Días]],"venc", "No venc")</f>
        <v>venc</v>
      </c>
      <c r="AC995" s="163" t="str">
        <f>+IF(Tabla2[[#This Row],[FECHA DE PAGO]]&gt;0,"pagada","por pagar")</f>
        <v>pagada</v>
      </c>
      <c r="AD995" s="164" t="str">
        <f>+IF(AND(Tabla2[[#This Row],[venc]]="venc",Tabla2[[#This Row],[estado pago]]="por pagar"),"vencida","no")</f>
        <v>no</v>
      </c>
    </row>
    <row r="996" spans="1:30" ht="19.5" hidden="1" customHeight="1" x14ac:dyDescent="0.25">
      <c r="A996" s="8" t="s">
        <v>1850</v>
      </c>
      <c r="B996" s="8" t="b">
        <v>0</v>
      </c>
      <c r="C996" s="8">
        <v>60</v>
      </c>
      <c r="D996" s="151">
        <v>0</v>
      </c>
      <c r="E996" s="151"/>
      <c r="F996" s="24" t="s">
        <v>583</v>
      </c>
      <c r="G996" s="30">
        <v>45264</v>
      </c>
      <c r="H996" s="81" t="s">
        <v>582</v>
      </c>
      <c r="I996" s="30">
        <v>45225</v>
      </c>
      <c r="J996" s="16" t="s">
        <v>1189</v>
      </c>
      <c r="K996" s="9" t="s">
        <v>1530</v>
      </c>
      <c r="L996" s="9"/>
      <c r="M996" s="152">
        <v>3110000</v>
      </c>
      <c r="N996" s="153">
        <v>590900</v>
      </c>
      <c r="O996" s="152">
        <v>0</v>
      </c>
      <c r="P996" s="154">
        <v>2.5000000000000001E-2</v>
      </c>
      <c r="Q996" s="152">
        <v>77750</v>
      </c>
      <c r="R996" s="9">
        <v>3623150</v>
      </c>
      <c r="S996" s="21" t="s">
        <v>1846</v>
      </c>
      <c r="T996" s="117">
        <v>0</v>
      </c>
      <c r="U996" s="117" t="s">
        <v>347</v>
      </c>
      <c r="V996" s="117">
        <v>2023</v>
      </c>
      <c r="W996" s="117">
        <v>6</v>
      </c>
      <c r="X996" s="117">
        <v>1145000</v>
      </c>
      <c r="Y996" s="117">
        <v>2.5000000000000001E-2</v>
      </c>
      <c r="Z996" s="21" t="b">
        <v>0</v>
      </c>
      <c r="AA996" s="162">
        <f>+$AD$5-Tabla2[[#This Row],[FECHA DE FACTURACIÓN]]</f>
        <v>218</v>
      </c>
      <c r="AB996" s="163" t="str">
        <f>+IF(Tabla2[[#This Row],[dias de credito]]&gt;=Tabla2[[#This Row],[PLAZO Días]],"venc", "No venc")</f>
        <v>venc</v>
      </c>
      <c r="AC996" s="163" t="str">
        <f>+IF(Tabla2[[#This Row],[FECHA DE PAGO]]&gt;0,"pagada","por pagar")</f>
        <v>pagada</v>
      </c>
      <c r="AD996" s="164" t="str">
        <f>+IF(AND(Tabla2[[#This Row],[venc]]="venc",Tabla2[[#This Row],[estado pago]]="por pagar"),"vencida","no")</f>
        <v>no</v>
      </c>
    </row>
    <row r="997" spans="1:30" ht="19.5" hidden="1" customHeight="1" x14ac:dyDescent="0.25">
      <c r="A997" s="8" t="s">
        <v>1850</v>
      </c>
      <c r="B997" s="8" t="s">
        <v>1851</v>
      </c>
      <c r="C997" s="8">
        <v>30</v>
      </c>
      <c r="D997" s="151">
        <v>5581100</v>
      </c>
      <c r="E997" s="151"/>
      <c r="F997" s="24" t="s">
        <v>150</v>
      </c>
      <c r="G997" s="30">
        <v>45264</v>
      </c>
      <c r="H997" s="81" t="s">
        <v>446</v>
      </c>
      <c r="I997" s="30">
        <v>45225</v>
      </c>
      <c r="J997" s="16" t="s">
        <v>1188</v>
      </c>
      <c r="K997" s="9" t="s">
        <v>1530</v>
      </c>
      <c r="L997" s="9"/>
      <c r="M997" s="152">
        <v>2263000</v>
      </c>
      <c r="N997" s="153">
        <v>429970</v>
      </c>
      <c r="O997" s="152">
        <v>0</v>
      </c>
      <c r="P997" s="154">
        <v>0</v>
      </c>
      <c r="Q997" s="152">
        <v>0</v>
      </c>
      <c r="R997" s="9">
        <v>2692970</v>
      </c>
      <c r="S997" s="21" t="s">
        <v>1846</v>
      </c>
      <c r="T997" s="117">
        <v>0</v>
      </c>
      <c r="U997" s="117">
        <v>0</v>
      </c>
      <c r="V997" s="117">
        <v>2023</v>
      </c>
      <c r="W997" s="117">
        <v>6</v>
      </c>
      <c r="X997" s="117">
        <v>0</v>
      </c>
      <c r="Y997" s="117">
        <v>0</v>
      </c>
      <c r="Z997" s="21" t="b">
        <v>0</v>
      </c>
      <c r="AA997" s="162">
        <f>+$AD$5-Tabla2[[#This Row],[FECHA DE FACTURACIÓN]]</f>
        <v>218</v>
      </c>
      <c r="AB997" s="163" t="str">
        <f>+IF(Tabla2[[#This Row],[dias de credito]]&gt;=Tabla2[[#This Row],[PLAZO Días]],"venc", "No venc")</f>
        <v>venc</v>
      </c>
      <c r="AC997" s="163" t="str">
        <f>+IF(Tabla2[[#This Row],[FECHA DE PAGO]]&gt;0,"pagada","por pagar")</f>
        <v>pagada</v>
      </c>
      <c r="AD997" s="164" t="str">
        <f>+IF(AND(Tabla2[[#This Row],[venc]]="venc",Tabla2[[#This Row],[estado pago]]="por pagar"),"vencida","no")</f>
        <v>no</v>
      </c>
    </row>
    <row r="998" spans="1:30" ht="19.5" hidden="1" customHeight="1" x14ac:dyDescent="0.25">
      <c r="A998" s="8" t="s">
        <v>1850</v>
      </c>
      <c r="B998" s="8" t="s">
        <v>1851</v>
      </c>
      <c r="C998" s="8">
        <v>30</v>
      </c>
      <c r="D998" s="151">
        <v>2080356.81</v>
      </c>
      <c r="E998" s="151"/>
      <c r="F998" s="24" t="s">
        <v>409</v>
      </c>
      <c r="G998" s="30">
        <v>45264</v>
      </c>
      <c r="H998" s="81" t="s">
        <v>31</v>
      </c>
      <c r="I998" s="30">
        <v>45225</v>
      </c>
      <c r="J998" s="16" t="s">
        <v>1174</v>
      </c>
      <c r="K998" s="9" t="s">
        <v>1530</v>
      </c>
      <c r="L998" s="9"/>
      <c r="M998" s="152">
        <v>2261344</v>
      </c>
      <c r="N998" s="153">
        <v>429655.36</v>
      </c>
      <c r="O998" s="152">
        <v>0</v>
      </c>
      <c r="P998" s="154">
        <v>2.5000000000000001E-2</v>
      </c>
      <c r="Q998" s="152">
        <v>56533.600000000006</v>
      </c>
      <c r="R998" s="9">
        <v>2634465.7599999998</v>
      </c>
      <c r="S998" s="21" t="s">
        <v>1846</v>
      </c>
      <c r="T998" s="117">
        <v>0</v>
      </c>
      <c r="U998" s="117" t="s">
        <v>347</v>
      </c>
      <c r="V998" s="117">
        <v>2023</v>
      </c>
      <c r="W998" s="117">
        <v>6</v>
      </c>
      <c r="X998" s="117">
        <v>1145000</v>
      </c>
      <c r="Y998" s="117">
        <v>2.5000000000000001E-2</v>
      </c>
      <c r="Z998" s="21" t="b">
        <v>0</v>
      </c>
      <c r="AA998" s="162">
        <f>+$AD$5-Tabla2[[#This Row],[FECHA DE FACTURACIÓN]]</f>
        <v>218</v>
      </c>
      <c r="AB998" s="163" t="str">
        <f>+IF(Tabla2[[#This Row],[dias de credito]]&gt;=Tabla2[[#This Row],[PLAZO Días]],"venc", "No venc")</f>
        <v>venc</v>
      </c>
      <c r="AC998" s="163" t="str">
        <f>+IF(Tabla2[[#This Row],[FECHA DE PAGO]]&gt;0,"pagada","por pagar")</f>
        <v>pagada</v>
      </c>
      <c r="AD998" s="164" t="str">
        <f>+IF(AND(Tabla2[[#This Row],[venc]]="venc",Tabla2[[#This Row],[estado pago]]="por pagar"),"vencida","no")</f>
        <v>no</v>
      </c>
    </row>
    <row r="999" spans="1:30" ht="19.5" hidden="1" customHeight="1" x14ac:dyDescent="0.25">
      <c r="A999" s="8" t="s">
        <v>1850</v>
      </c>
      <c r="B999" s="8" t="s">
        <v>1851</v>
      </c>
      <c r="C999" s="8">
        <v>30</v>
      </c>
      <c r="D999" s="151">
        <v>4466504.835</v>
      </c>
      <c r="E999" s="151"/>
      <c r="F999" s="24" t="s">
        <v>1553</v>
      </c>
      <c r="G999" s="30">
        <v>45264</v>
      </c>
      <c r="H999" s="81" t="s">
        <v>18</v>
      </c>
      <c r="I999" s="30">
        <v>45232</v>
      </c>
      <c r="J999" s="16" t="s">
        <v>1224</v>
      </c>
      <c r="K999" s="9" t="s">
        <v>1530</v>
      </c>
      <c r="L999" s="9"/>
      <c r="M999" s="152">
        <v>2284053</v>
      </c>
      <c r="N999" s="153">
        <v>433970.07</v>
      </c>
      <c r="O999" s="152">
        <v>0</v>
      </c>
      <c r="P999" s="154">
        <v>2.5000000000000001E-2</v>
      </c>
      <c r="Q999" s="152">
        <v>57101.325000000004</v>
      </c>
      <c r="R999" s="9">
        <v>2660921.7449999996</v>
      </c>
      <c r="S999" s="21" t="s">
        <v>1846</v>
      </c>
      <c r="T999" s="117">
        <v>0</v>
      </c>
      <c r="U999" s="117" t="s">
        <v>347</v>
      </c>
      <c r="V999" s="117">
        <v>2023</v>
      </c>
      <c r="W999" s="117">
        <v>6</v>
      </c>
      <c r="X999" s="117">
        <v>1145000</v>
      </c>
      <c r="Y999" s="117">
        <v>2.5000000000000001E-2</v>
      </c>
      <c r="Z999" s="21" t="b">
        <v>0</v>
      </c>
      <c r="AA999" s="162">
        <f>+$AD$5-Tabla2[[#This Row],[FECHA DE FACTURACIÓN]]</f>
        <v>211</v>
      </c>
      <c r="AB999" s="163" t="str">
        <f>+IF(Tabla2[[#This Row],[dias de credito]]&gt;=Tabla2[[#This Row],[PLAZO Días]],"venc", "No venc")</f>
        <v>venc</v>
      </c>
      <c r="AC999" s="163" t="str">
        <f>+IF(Tabla2[[#This Row],[FECHA DE PAGO]]&gt;0,"pagada","por pagar")</f>
        <v>pagada</v>
      </c>
      <c r="AD999" s="164" t="str">
        <f>+IF(AND(Tabla2[[#This Row],[venc]]="venc",Tabla2[[#This Row],[estado pago]]="por pagar"),"vencida","no")</f>
        <v>no</v>
      </c>
    </row>
    <row r="1000" spans="1:30" ht="19.5" hidden="1" customHeight="1" x14ac:dyDescent="0.25">
      <c r="A1000" s="8" t="s">
        <v>1850</v>
      </c>
      <c r="B1000" s="8" t="s">
        <v>1851</v>
      </c>
      <c r="C1000" s="8">
        <v>30</v>
      </c>
      <c r="D1000" s="151">
        <v>1776037.21</v>
      </c>
      <c r="E1000" s="151"/>
      <c r="F1000" s="24" t="s">
        <v>148</v>
      </c>
      <c r="G1000" s="30">
        <v>45264</v>
      </c>
      <c r="H1000" s="81" t="s">
        <v>17</v>
      </c>
      <c r="I1000" s="30">
        <v>45233</v>
      </c>
      <c r="J1000" s="16" t="s">
        <v>1228</v>
      </c>
      <c r="K1000" s="9" t="s">
        <v>1530</v>
      </c>
      <c r="L1000" s="9"/>
      <c r="M1000" s="152">
        <v>707408</v>
      </c>
      <c r="N1000" s="153">
        <v>134407.51999999999</v>
      </c>
      <c r="O1000" s="152">
        <v>0</v>
      </c>
      <c r="P1000" s="154">
        <v>0</v>
      </c>
      <c r="Q1000" s="152">
        <v>0</v>
      </c>
      <c r="R1000" s="9">
        <v>841815.52</v>
      </c>
      <c r="S1000" s="21" t="s">
        <v>1846</v>
      </c>
      <c r="T1000" s="117">
        <v>0</v>
      </c>
      <c r="U1000" s="117">
        <v>0</v>
      </c>
      <c r="V1000" s="117">
        <v>2023</v>
      </c>
      <c r="W1000" s="117">
        <v>6</v>
      </c>
      <c r="X1000" s="117">
        <v>0</v>
      </c>
      <c r="Y1000" s="117">
        <v>0</v>
      </c>
      <c r="Z1000" s="21" t="b">
        <v>0</v>
      </c>
      <c r="AA1000" s="162">
        <f>+$AD$5-Tabla2[[#This Row],[FECHA DE FACTURACIÓN]]</f>
        <v>210</v>
      </c>
      <c r="AB1000" s="163" t="str">
        <f>+IF(Tabla2[[#This Row],[dias de credito]]&gt;=Tabla2[[#This Row],[PLAZO Días]],"venc", "No venc")</f>
        <v>venc</v>
      </c>
      <c r="AC1000" s="163" t="str">
        <f>+IF(Tabla2[[#This Row],[FECHA DE PAGO]]&gt;0,"pagada","por pagar")</f>
        <v>pagada</v>
      </c>
      <c r="AD1000" s="164" t="str">
        <f>+IF(AND(Tabla2[[#This Row],[venc]]="venc",Tabla2[[#This Row],[estado pago]]="por pagar"),"vencida","no")</f>
        <v>no</v>
      </c>
    </row>
    <row r="1001" spans="1:30" ht="19.5" hidden="1" customHeight="1" x14ac:dyDescent="0.25">
      <c r="A1001" s="8" t="s">
        <v>1850</v>
      </c>
      <c r="B1001" s="8" t="b">
        <v>0</v>
      </c>
      <c r="C1001" s="8">
        <v>30</v>
      </c>
      <c r="D1001" s="151">
        <v>0</v>
      </c>
      <c r="E1001" s="151"/>
      <c r="F1001" s="24">
        <v>0</v>
      </c>
      <c r="G1001" s="30">
        <v>45264</v>
      </c>
      <c r="H1001" s="81" t="s">
        <v>836</v>
      </c>
      <c r="I1001" s="30">
        <v>45261</v>
      </c>
      <c r="J1001" s="16" t="s">
        <v>1294</v>
      </c>
      <c r="K1001" s="9" t="s">
        <v>1530</v>
      </c>
      <c r="L1001" s="9"/>
      <c r="M1001" s="152">
        <v>534000</v>
      </c>
      <c r="N1001" s="153">
        <v>0</v>
      </c>
      <c r="O1001" s="152">
        <v>0</v>
      </c>
      <c r="P1001" s="154">
        <v>0</v>
      </c>
      <c r="Q1001" s="152">
        <v>0</v>
      </c>
      <c r="R1001" s="9">
        <v>534000</v>
      </c>
      <c r="S1001" s="21" t="s">
        <v>1846</v>
      </c>
      <c r="T1001" s="117">
        <v>0</v>
      </c>
      <c r="U1001" s="117">
        <v>0</v>
      </c>
      <c r="V1001" s="117">
        <v>2023</v>
      </c>
      <c r="W1001" s="117">
        <v>6</v>
      </c>
      <c r="X1001" s="117">
        <v>0</v>
      </c>
      <c r="Y1001" s="117">
        <v>0</v>
      </c>
      <c r="Z1001" s="21" t="b">
        <v>0</v>
      </c>
      <c r="AA1001" s="162">
        <f>+$AD$5-Tabla2[[#This Row],[FECHA DE FACTURACIÓN]]</f>
        <v>182</v>
      </c>
      <c r="AB1001" s="163" t="str">
        <f>+IF(Tabla2[[#This Row],[dias de credito]]&gt;=Tabla2[[#This Row],[PLAZO Días]],"venc", "No venc")</f>
        <v>venc</v>
      </c>
      <c r="AC1001" s="163" t="str">
        <f>+IF(Tabla2[[#This Row],[FECHA DE PAGO]]&gt;0,"pagada","por pagar")</f>
        <v>pagada</v>
      </c>
      <c r="AD1001" s="164" t="str">
        <f>+IF(AND(Tabla2[[#This Row],[venc]]="venc",Tabla2[[#This Row],[estado pago]]="por pagar"),"vencida","no")</f>
        <v>no</v>
      </c>
    </row>
    <row r="1002" spans="1:30" ht="19.5" hidden="1" customHeight="1" x14ac:dyDescent="0.25">
      <c r="A1002" s="8" t="s">
        <v>1852</v>
      </c>
      <c r="B1002" s="8" t="b">
        <v>0</v>
      </c>
      <c r="C1002" s="8">
        <v>30</v>
      </c>
      <c r="D1002" s="151">
        <v>0</v>
      </c>
      <c r="E1002" s="151"/>
      <c r="F1002" s="24" t="s">
        <v>84</v>
      </c>
      <c r="G1002" s="30">
        <v>45266</v>
      </c>
      <c r="H1002" s="81" t="s">
        <v>525</v>
      </c>
      <c r="I1002" s="30">
        <v>45266</v>
      </c>
      <c r="J1002" s="16" t="s">
        <v>1321</v>
      </c>
      <c r="K1002" s="9" t="s">
        <v>1530</v>
      </c>
      <c r="L1002" s="9"/>
      <c r="M1002" s="152">
        <v>412900</v>
      </c>
      <c r="N1002" s="153">
        <v>0</v>
      </c>
      <c r="O1002" s="152">
        <v>0</v>
      </c>
      <c r="P1002" s="154">
        <v>0</v>
      </c>
      <c r="Q1002" s="152">
        <v>0</v>
      </c>
      <c r="R1002" s="9">
        <v>412900</v>
      </c>
      <c r="S1002" s="21" t="s">
        <v>1846</v>
      </c>
      <c r="T1002" s="117">
        <v>0</v>
      </c>
      <c r="U1002" s="117">
        <v>0</v>
      </c>
      <c r="V1002" s="117">
        <v>2023</v>
      </c>
      <c r="W1002" s="117">
        <v>6</v>
      </c>
      <c r="X1002" s="117">
        <v>0</v>
      </c>
      <c r="Y1002" s="117">
        <v>0</v>
      </c>
      <c r="Z1002" s="21" t="b">
        <v>0</v>
      </c>
      <c r="AA1002" s="162">
        <f>+$AD$5-Tabla2[[#This Row],[FECHA DE FACTURACIÓN]]</f>
        <v>177</v>
      </c>
      <c r="AB1002" s="163" t="str">
        <f>+IF(Tabla2[[#This Row],[dias de credito]]&gt;=Tabla2[[#This Row],[PLAZO Días]],"venc", "No venc")</f>
        <v>venc</v>
      </c>
      <c r="AC1002" s="163" t="str">
        <f>+IF(Tabla2[[#This Row],[FECHA DE PAGO]]&gt;0,"pagada","por pagar")</f>
        <v>pagada</v>
      </c>
      <c r="AD1002" s="164" t="str">
        <f>+IF(AND(Tabla2[[#This Row],[venc]]="venc",Tabla2[[#This Row],[estado pago]]="por pagar"),"vencida","no")</f>
        <v>no</v>
      </c>
    </row>
    <row r="1003" spans="1:30" ht="19.5" hidden="1" customHeight="1" x14ac:dyDescent="0.25">
      <c r="A1003" s="8" t="s">
        <v>1852</v>
      </c>
      <c r="B1003" s="8" t="b">
        <v>0</v>
      </c>
      <c r="C1003" s="8">
        <v>30</v>
      </c>
      <c r="D1003" s="151">
        <v>1350000</v>
      </c>
      <c r="E1003" s="151"/>
      <c r="F1003" s="24" t="s">
        <v>84</v>
      </c>
      <c r="G1003" s="30">
        <v>45266</v>
      </c>
      <c r="H1003" s="81" t="s">
        <v>1807</v>
      </c>
      <c r="I1003" s="30">
        <v>45266</v>
      </c>
      <c r="J1003" s="16" t="s">
        <v>1377</v>
      </c>
      <c r="K1003" s="9" t="s">
        <v>1530</v>
      </c>
      <c r="L1003" s="9"/>
      <c r="M1003" s="152">
        <v>1200000</v>
      </c>
      <c r="N1003" s="153">
        <v>0</v>
      </c>
      <c r="O1003" s="152">
        <v>0</v>
      </c>
      <c r="P1003" s="154">
        <v>0</v>
      </c>
      <c r="Q1003" s="152">
        <v>0</v>
      </c>
      <c r="R1003" s="9">
        <v>1200000</v>
      </c>
      <c r="S1003" s="21" t="s">
        <v>1846</v>
      </c>
      <c r="T1003" s="117">
        <v>0</v>
      </c>
      <c r="U1003" s="117">
        <v>0</v>
      </c>
      <c r="V1003" s="117">
        <v>2023</v>
      </c>
      <c r="W1003" s="117">
        <v>6</v>
      </c>
      <c r="X1003" s="117">
        <v>0</v>
      </c>
      <c r="Y1003" s="117">
        <v>0</v>
      </c>
      <c r="Z1003" s="21" t="b">
        <v>0</v>
      </c>
      <c r="AA1003" s="162">
        <f>+$AD$5-Tabla2[[#This Row],[FECHA DE FACTURACIÓN]]</f>
        <v>177</v>
      </c>
      <c r="AB1003" s="163" t="str">
        <f>+IF(Tabla2[[#This Row],[dias de credito]]&gt;=Tabla2[[#This Row],[PLAZO Días]],"venc", "No venc")</f>
        <v>venc</v>
      </c>
      <c r="AC1003" s="163" t="str">
        <f>+IF(Tabla2[[#This Row],[FECHA DE PAGO]]&gt;0,"pagada","por pagar")</f>
        <v>pagada</v>
      </c>
      <c r="AD1003" s="164" t="str">
        <f>+IF(AND(Tabla2[[#This Row],[venc]]="venc",Tabla2[[#This Row],[estado pago]]="por pagar"),"vencida","no")</f>
        <v>no</v>
      </c>
    </row>
    <row r="1004" spans="1:30" ht="19.5" hidden="1" customHeight="1" x14ac:dyDescent="0.25">
      <c r="A1004" s="8" t="s">
        <v>1852</v>
      </c>
      <c r="B1004" s="8" t="b">
        <v>0</v>
      </c>
      <c r="C1004" s="8">
        <v>30</v>
      </c>
      <c r="D1004" s="151">
        <v>1350000</v>
      </c>
      <c r="E1004" s="151"/>
      <c r="F1004" s="24" t="s">
        <v>84</v>
      </c>
      <c r="G1004" s="30">
        <v>45266</v>
      </c>
      <c r="H1004" s="81" t="s">
        <v>1807</v>
      </c>
      <c r="I1004" s="30">
        <v>45266</v>
      </c>
      <c r="J1004" s="16" t="s">
        <v>1449</v>
      </c>
      <c r="K1004" s="9" t="s">
        <v>1530</v>
      </c>
      <c r="L1004" s="9"/>
      <c r="M1004" s="152">
        <v>1810000</v>
      </c>
      <c r="N1004" s="153">
        <v>0</v>
      </c>
      <c r="O1004" s="152">
        <v>0</v>
      </c>
      <c r="P1004" s="154">
        <v>0</v>
      </c>
      <c r="Q1004" s="152">
        <v>0</v>
      </c>
      <c r="R1004" s="9">
        <v>1810000</v>
      </c>
      <c r="S1004" s="21" t="s">
        <v>1846</v>
      </c>
      <c r="T1004" s="117">
        <v>0</v>
      </c>
      <c r="U1004" s="117">
        <v>0</v>
      </c>
      <c r="V1004" s="117">
        <v>2023</v>
      </c>
      <c r="W1004" s="117">
        <v>6</v>
      </c>
      <c r="X1004" s="117">
        <v>0</v>
      </c>
      <c r="Y1004" s="117">
        <v>0</v>
      </c>
      <c r="Z1004" s="21" t="b">
        <v>0</v>
      </c>
      <c r="AA1004" s="162">
        <f>+$AD$5-Tabla2[[#This Row],[FECHA DE FACTURACIÓN]]</f>
        <v>177</v>
      </c>
      <c r="AB1004" s="163" t="str">
        <f>+IF(Tabla2[[#This Row],[dias de credito]]&gt;=Tabla2[[#This Row],[PLAZO Días]],"venc", "No venc")</f>
        <v>venc</v>
      </c>
      <c r="AC1004" s="163" t="str">
        <f>+IF(Tabla2[[#This Row],[FECHA DE PAGO]]&gt;0,"pagada","por pagar")</f>
        <v>pagada</v>
      </c>
      <c r="AD1004" s="164" t="str">
        <f>+IF(AND(Tabla2[[#This Row],[venc]]="venc",Tabla2[[#This Row],[estado pago]]="por pagar"),"vencida","no")</f>
        <v>no</v>
      </c>
    </row>
    <row r="1005" spans="1:30" ht="19.5" hidden="1" customHeight="1" x14ac:dyDescent="0.25">
      <c r="A1005" s="8" t="s">
        <v>1850</v>
      </c>
      <c r="B1005" s="8" t="s">
        <v>1851</v>
      </c>
      <c r="C1005" s="8">
        <v>30</v>
      </c>
      <c r="D1005" s="151">
        <v>2095000</v>
      </c>
      <c r="E1005" s="151"/>
      <c r="F1005" s="24" t="s">
        <v>204</v>
      </c>
      <c r="G1005" s="30">
        <v>45267</v>
      </c>
      <c r="H1005" s="81" t="s">
        <v>1804</v>
      </c>
      <c r="I1005" s="30">
        <v>45231</v>
      </c>
      <c r="J1005" s="16" t="s">
        <v>1213</v>
      </c>
      <c r="K1005" s="9" t="s">
        <v>1530</v>
      </c>
      <c r="L1005" s="9"/>
      <c r="M1005" s="152">
        <v>2990000</v>
      </c>
      <c r="N1005" s="153">
        <v>0</v>
      </c>
      <c r="O1005" s="152">
        <v>0</v>
      </c>
      <c r="P1005" s="154">
        <v>0</v>
      </c>
      <c r="Q1005" s="152">
        <v>0</v>
      </c>
      <c r="R1005" s="9">
        <v>2990000</v>
      </c>
      <c r="S1005" s="21" t="s">
        <v>1846</v>
      </c>
      <c r="T1005" s="117">
        <v>0</v>
      </c>
      <c r="U1005" s="117">
        <v>0</v>
      </c>
      <c r="V1005" s="117">
        <v>2023</v>
      </c>
      <c r="W1005" s="117">
        <v>6</v>
      </c>
      <c r="X1005" s="117">
        <v>0</v>
      </c>
      <c r="Y1005" s="117">
        <v>0</v>
      </c>
      <c r="Z1005" s="21" t="b">
        <v>0</v>
      </c>
      <c r="AA1005" s="162">
        <f>+$AD$5-Tabla2[[#This Row],[FECHA DE FACTURACIÓN]]</f>
        <v>212</v>
      </c>
      <c r="AB1005" s="163" t="str">
        <f>+IF(Tabla2[[#This Row],[dias de credito]]&gt;=Tabla2[[#This Row],[PLAZO Días]],"venc", "No venc")</f>
        <v>venc</v>
      </c>
      <c r="AC1005" s="163" t="str">
        <f>+IF(Tabla2[[#This Row],[FECHA DE PAGO]]&gt;0,"pagada","por pagar")</f>
        <v>pagada</v>
      </c>
      <c r="AD1005" s="164" t="str">
        <f>+IF(AND(Tabla2[[#This Row],[venc]]="venc",Tabla2[[#This Row],[estado pago]]="por pagar"),"vencida","no")</f>
        <v>no</v>
      </c>
    </row>
    <row r="1006" spans="1:30" ht="19.5" hidden="1" customHeight="1" x14ac:dyDescent="0.25">
      <c r="A1006" s="8" t="s">
        <v>1850</v>
      </c>
      <c r="B1006" s="8" t="s">
        <v>1851</v>
      </c>
      <c r="C1006" s="8">
        <v>30</v>
      </c>
      <c r="D1006" s="151">
        <v>0</v>
      </c>
      <c r="E1006" s="151"/>
      <c r="F1006" s="24" t="s">
        <v>1218</v>
      </c>
      <c r="G1006" s="30">
        <v>45267</v>
      </c>
      <c r="H1006" s="81" t="s">
        <v>1217</v>
      </c>
      <c r="I1006" s="30">
        <v>45232</v>
      </c>
      <c r="J1006" s="16" t="s">
        <v>1221</v>
      </c>
      <c r="K1006" s="9" t="s">
        <v>1530</v>
      </c>
      <c r="L1006" s="9"/>
      <c r="M1006" s="152">
        <v>1089076</v>
      </c>
      <c r="N1006" s="153">
        <v>206924.44</v>
      </c>
      <c r="O1006" s="152">
        <v>0</v>
      </c>
      <c r="P1006" s="154">
        <v>0</v>
      </c>
      <c r="Q1006" s="152">
        <v>0</v>
      </c>
      <c r="R1006" s="9">
        <v>1296000.44</v>
      </c>
      <c r="S1006" s="21" t="s">
        <v>1846</v>
      </c>
      <c r="T1006" s="117">
        <v>0</v>
      </c>
      <c r="U1006" s="117" t="s">
        <v>347</v>
      </c>
      <c r="V1006" s="117">
        <v>2023</v>
      </c>
      <c r="W1006" s="117">
        <v>6</v>
      </c>
      <c r="X1006" s="117">
        <v>1145000</v>
      </c>
      <c r="Y1006" s="117">
        <v>2.5000000000000001E-2</v>
      </c>
      <c r="Z1006" s="21" t="b">
        <v>0</v>
      </c>
      <c r="AA1006" s="162">
        <f>+$AD$5-Tabla2[[#This Row],[FECHA DE FACTURACIÓN]]</f>
        <v>211</v>
      </c>
      <c r="AB1006" s="163" t="str">
        <f>+IF(Tabla2[[#This Row],[dias de credito]]&gt;=Tabla2[[#This Row],[PLAZO Días]],"venc", "No venc")</f>
        <v>venc</v>
      </c>
      <c r="AC1006" s="163" t="str">
        <f>+IF(Tabla2[[#This Row],[FECHA DE PAGO]]&gt;0,"pagada","por pagar")</f>
        <v>pagada</v>
      </c>
      <c r="AD1006" s="164" t="str">
        <f>+IF(AND(Tabla2[[#This Row],[venc]]="venc",Tabla2[[#This Row],[estado pago]]="por pagar"),"vencida","no")</f>
        <v>no</v>
      </c>
    </row>
    <row r="1007" spans="1:30" ht="19.5" hidden="1" customHeight="1" x14ac:dyDescent="0.25">
      <c r="A1007" s="8" t="s">
        <v>1850</v>
      </c>
      <c r="B1007" s="8" t="s">
        <v>1851</v>
      </c>
      <c r="C1007" s="8">
        <v>30</v>
      </c>
      <c r="D1007" s="151">
        <v>4316000</v>
      </c>
      <c r="E1007" s="151"/>
      <c r="F1007" s="24" t="s">
        <v>84</v>
      </c>
      <c r="G1007" s="30">
        <v>45267</v>
      </c>
      <c r="H1007" s="81" t="s">
        <v>1812</v>
      </c>
      <c r="I1007" s="30">
        <v>45232</v>
      </c>
      <c r="J1007" s="16" t="s">
        <v>1209</v>
      </c>
      <c r="K1007" s="9" t="s">
        <v>1530</v>
      </c>
      <c r="L1007" s="9"/>
      <c r="M1007" s="152">
        <v>1256500</v>
      </c>
      <c r="N1007" s="153">
        <v>0</v>
      </c>
      <c r="O1007" s="152">
        <v>0</v>
      </c>
      <c r="P1007" s="154">
        <v>0</v>
      </c>
      <c r="Q1007" s="152">
        <v>0</v>
      </c>
      <c r="R1007" s="9">
        <v>1256500</v>
      </c>
      <c r="S1007" s="21" t="s">
        <v>1846</v>
      </c>
      <c r="T1007" s="117">
        <v>0</v>
      </c>
      <c r="U1007" s="117">
        <v>0</v>
      </c>
      <c r="V1007" s="117">
        <v>2023</v>
      </c>
      <c r="W1007" s="117">
        <v>6</v>
      </c>
      <c r="X1007" s="117">
        <v>0</v>
      </c>
      <c r="Y1007" s="117">
        <v>0</v>
      </c>
      <c r="Z1007" s="21" t="b">
        <v>0</v>
      </c>
      <c r="AA1007" s="162">
        <f>+$AD$5-Tabla2[[#This Row],[FECHA DE FACTURACIÓN]]</f>
        <v>211</v>
      </c>
      <c r="AB1007" s="163" t="str">
        <f>+IF(Tabla2[[#This Row],[dias de credito]]&gt;=Tabla2[[#This Row],[PLAZO Días]],"venc", "No venc")</f>
        <v>venc</v>
      </c>
      <c r="AC1007" s="163" t="str">
        <f>+IF(Tabla2[[#This Row],[FECHA DE PAGO]]&gt;0,"pagada","por pagar")</f>
        <v>pagada</v>
      </c>
      <c r="AD1007" s="164" t="str">
        <f>+IF(AND(Tabla2[[#This Row],[venc]]="venc",Tabla2[[#This Row],[estado pago]]="por pagar"),"vencida","no")</f>
        <v>no</v>
      </c>
    </row>
    <row r="1008" spans="1:30" ht="19.5" hidden="1" customHeight="1" x14ac:dyDescent="0.25">
      <c r="A1008" s="8" t="s">
        <v>1852</v>
      </c>
      <c r="B1008" s="8" t="b">
        <v>0</v>
      </c>
      <c r="C1008" s="8">
        <v>30</v>
      </c>
      <c r="D1008" s="151">
        <v>0</v>
      </c>
      <c r="E1008" s="151"/>
      <c r="F1008" s="24" t="s">
        <v>84</v>
      </c>
      <c r="G1008" s="30">
        <v>45267</v>
      </c>
      <c r="H1008" s="81" t="s">
        <v>1824</v>
      </c>
      <c r="I1008" s="30">
        <v>45267</v>
      </c>
      <c r="J1008" s="16"/>
      <c r="K1008" s="9" t="s">
        <v>1530</v>
      </c>
      <c r="L1008" s="9"/>
      <c r="M1008" s="152">
        <v>1315000</v>
      </c>
      <c r="N1008" s="153">
        <v>0</v>
      </c>
      <c r="O1008" s="152">
        <v>0</v>
      </c>
      <c r="P1008" s="154">
        <v>0</v>
      </c>
      <c r="Q1008" s="152">
        <v>0</v>
      </c>
      <c r="R1008" s="9">
        <v>1315000</v>
      </c>
      <c r="S1008" s="21" t="s">
        <v>1846</v>
      </c>
      <c r="T1008" s="117">
        <v>0</v>
      </c>
      <c r="U1008" s="117">
        <v>0</v>
      </c>
      <c r="V1008" s="117">
        <v>2023</v>
      </c>
      <c r="W1008" s="117">
        <v>6</v>
      </c>
      <c r="X1008" s="117">
        <v>0</v>
      </c>
      <c r="Y1008" s="117">
        <v>0</v>
      </c>
      <c r="Z1008" s="21" t="b">
        <v>0</v>
      </c>
      <c r="AA1008" s="162">
        <f>+$AD$5-Tabla2[[#This Row],[FECHA DE FACTURACIÓN]]</f>
        <v>176</v>
      </c>
      <c r="AB1008" s="163" t="str">
        <f>+IF(Tabla2[[#This Row],[dias de credito]]&gt;=Tabla2[[#This Row],[PLAZO Días]],"venc", "No venc")</f>
        <v>venc</v>
      </c>
      <c r="AC1008" s="163" t="str">
        <f>+IF(Tabla2[[#This Row],[FECHA DE PAGO]]&gt;0,"pagada","por pagar")</f>
        <v>pagada</v>
      </c>
      <c r="AD1008" s="164" t="str">
        <f>+IF(AND(Tabla2[[#This Row],[venc]]="venc",Tabla2[[#This Row],[estado pago]]="por pagar"),"vencida","no")</f>
        <v>no</v>
      </c>
    </row>
    <row r="1009" spans="1:30" ht="19.5" hidden="1" customHeight="1" x14ac:dyDescent="0.25">
      <c r="A1009" s="8" t="s">
        <v>1852</v>
      </c>
      <c r="B1009" s="8" t="b">
        <v>0</v>
      </c>
      <c r="C1009" s="8">
        <v>30</v>
      </c>
      <c r="D1009" s="151">
        <v>0</v>
      </c>
      <c r="E1009" s="151"/>
      <c r="F1009" s="24">
        <v>0</v>
      </c>
      <c r="G1009" s="30">
        <v>45269</v>
      </c>
      <c r="H1009" s="81" t="s">
        <v>387</v>
      </c>
      <c r="I1009" s="30">
        <v>45269</v>
      </c>
      <c r="J1009" s="16" t="s">
        <v>441</v>
      </c>
      <c r="K1009" s="9" t="s">
        <v>1530</v>
      </c>
      <c r="L1009" s="9"/>
      <c r="M1009" s="152">
        <v>129083</v>
      </c>
      <c r="N1009" s="153">
        <v>0</v>
      </c>
      <c r="O1009" s="152">
        <v>0</v>
      </c>
      <c r="P1009" s="154">
        <v>0</v>
      </c>
      <c r="Q1009" s="152">
        <v>0</v>
      </c>
      <c r="R1009" s="9">
        <v>129083</v>
      </c>
      <c r="S1009" s="21" t="s">
        <v>1846</v>
      </c>
      <c r="T1009" s="117">
        <v>0</v>
      </c>
      <c r="U1009" s="117">
        <v>0</v>
      </c>
      <c r="V1009" s="117">
        <v>2023</v>
      </c>
      <c r="W1009" s="117">
        <v>6</v>
      </c>
      <c r="X1009" s="117">
        <v>0</v>
      </c>
      <c r="Y1009" s="117">
        <v>0</v>
      </c>
      <c r="Z1009" s="21" t="b">
        <v>1</v>
      </c>
      <c r="AA1009" s="162">
        <f>+$AD$5-Tabla2[[#This Row],[FECHA DE FACTURACIÓN]]</f>
        <v>174</v>
      </c>
      <c r="AB1009" s="163" t="str">
        <f>+IF(Tabla2[[#This Row],[dias de credito]]&gt;=Tabla2[[#This Row],[PLAZO Días]],"venc", "No venc")</f>
        <v>venc</v>
      </c>
      <c r="AC1009" s="163" t="str">
        <f>+IF(Tabla2[[#This Row],[FECHA DE PAGO]]&gt;0,"pagada","por pagar")</f>
        <v>pagada</v>
      </c>
      <c r="AD1009" s="164" t="str">
        <f>+IF(AND(Tabla2[[#This Row],[venc]]="venc",Tabla2[[#This Row],[estado pago]]="por pagar"),"vencida","no")</f>
        <v>no</v>
      </c>
    </row>
    <row r="1010" spans="1:30" ht="19.5" hidden="1" customHeight="1" x14ac:dyDescent="0.25">
      <c r="A1010" s="8" t="s">
        <v>1850</v>
      </c>
      <c r="B1010" s="8" t="b">
        <v>0</v>
      </c>
      <c r="C1010" s="8">
        <v>60</v>
      </c>
      <c r="D1010" s="151">
        <v>0</v>
      </c>
      <c r="E1010" s="151"/>
      <c r="F1010" s="24" t="s">
        <v>399</v>
      </c>
      <c r="G1010" s="30">
        <v>45271</v>
      </c>
      <c r="H1010" s="81" t="s">
        <v>65</v>
      </c>
      <c r="I1010" s="30">
        <v>45224</v>
      </c>
      <c r="J1010" s="16" t="s">
        <v>1263</v>
      </c>
      <c r="K1010" s="9" t="s">
        <v>1530</v>
      </c>
      <c r="L1010" s="9"/>
      <c r="M1010" s="152">
        <v>24519811</v>
      </c>
      <c r="N1010" s="153">
        <v>4658764.09</v>
      </c>
      <c r="O1010" s="152">
        <v>0</v>
      </c>
      <c r="P1010" s="154">
        <v>2.5000000000000001E-2</v>
      </c>
      <c r="Q1010" s="152">
        <v>612995.27500000002</v>
      </c>
      <c r="R1010" s="9">
        <v>28565579.815000001</v>
      </c>
      <c r="S1010" s="21" t="s">
        <v>1846</v>
      </c>
      <c r="T1010" s="117">
        <v>0</v>
      </c>
      <c r="U1010" s="117" t="s">
        <v>347</v>
      </c>
      <c r="V1010" s="117">
        <v>2023</v>
      </c>
      <c r="W1010" s="117">
        <v>6</v>
      </c>
      <c r="X1010" s="117">
        <v>1145000</v>
      </c>
      <c r="Y1010" s="117">
        <v>2.5000000000000001E-2</v>
      </c>
      <c r="Z1010" s="21" t="b">
        <v>0</v>
      </c>
      <c r="AA1010" s="162">
        <f>+$AD$5-Tabla2[[#This Row],[FECHA DE FACTURACIÓN]]</f>
        <v>219</v>
      </c>
      <c r="AB1010" s="163" t="str">
        <f>+IF(Tabla2[[#This Row],[dias de credito]]&gt;=Tabla2[[#This Row],[PLAZO Días]],"venc", "No venc")</f>
        <v>venc</v>
      </c>
      <c r="AC1010" s="163" t="str">
        <f>+IF(Tabla2[[#This Row],[FECHA DE PAGO]]&gt;0,"pagada","por pagar")</f>
        <v>pagada</v>
      </c>
      <c r="AD1010" s="164" t="str">
        <f>+IF(AND(Tabla2[[#This Row],[venc]]="venc",Tabla2[[#This Row],[estado pago]]="por pagar"),"vencida","no")</f>
        <v>no</v>
      </c>
    </row>
    <row r="1011" spans="1:30" ht="19.5" hidden="1" customHeight="1" x14ac:dyDescent="0.25">
      <c r="A1011" s="8" t="s">
        <v>1850</v>
      </c>
      <c r="B1011" s="8" t="b">
        <v>0</v>
      </c>
      <c r="C1011" s="8">
        <v>60</v>
      </c>
      <c r="D1011" s="151">
        <v>0</v>
      </c>
      <c r="E1011" s="151"/>
      <c r="F1011" s="24" t="s">
        <v>399</v>
      </c>
      <c r="G1011" s="30">
        <v>45271</v>
      </c>
      <c r="H1011" s="81" t="s">
        <v>65</v>
      </c>
      <c r="I1011" s="30">
        <v>45233</v>
      </c>
      <c r="J1011" s="16" t="s">
        <v>1198</v>
      </c>
      <c r="K1011" s="9" t="s">
        <v>1530</v>
      </c>
      <c r="L1011" s="9"/>
      <c r="M1011" s="152">
        <v>-773410</v>
      </c>
      <c r="N1011" s="153">
        <v>-146947.9</v>
      </c>
      <c r="O1011" s="152">
        <v>0</v>
      </c>
      <c r="P1011" s="154">
        <v>0</v>
      </c>
      <c r="Q1011" s="152">
        <v>0</v>
      </c>
      <c r="R1011" s="9">
        <v>-920357.9</v>
      </c>
      <c r="S1011" s="21" t="s">
        <v>1846</v>
      </c>
      <c r="T1011" s="117">
        <v>0</v>
      </c>
      <c r="U1011" s="117" t="s">
        <v>347</v>
      </c>
      <c r="V1011" s="117">
        <v>2023</v>
      </c>
      <c r="W1011" s="117">
        <v>6</v>
      </c>
      <c r="X1011" s="117">
        <v>1145000</v>
      </c>
      <c r="Y1011" s="117">
        <v>2.5000000000000001E-2</v>
      </c>
      <c r="Z1011" s="21" t="b">
        <v>0</v>
      </c>
      <c r="AA1011" s="162">
        <f>+$AD$5-Tabla2[[#This Row],[FECHA DE FACTURACIÓN]]</f>
        <v>210</v>
      </c>
      <c r="AB1011" s="163" t="str">
        <f>+IF(Tabla2[[#This Row],[dias de credito]]&gt;=Tabla2[[#This Row],[PLAZO Días]],"venc", "No venc")</f>
        <v>venc</v>
      </c>
      <c r="AC1011" s="163" t="str">
        <f>+IF(Tabla2[[#This Row],[FECHA DE PAGO]]&gt;0,"pagada","por pagar")</f>
        <v>pagada</v>
      </c>
      <c r="AD1011" s="164" t="str">
        <f>+IF(AND(Tabla2[[#This Row],[venc]]="venc",Tabla2[[#This Row],[estado pago]]="por pagar"),"vencida","no")</f>
        <v>no</v>
      </c>
    </row>
    <row r="1012" spans="1:30" ht="19.5" hidden="1" customHeight="1" x14ac:dyDescent="0.25">
      <c r="A1012" s="8" t="s">
        <v>1850</v>
      </c>
      <c r="B1012" s="8" t="b">
        <v>0</v>
      </c>
      <c r="C1012" s="8">
        <v>60</v>
      </c>
      <c r="D1012" s="151">
        <v>0</v>
      </c>
      <c r="E1012" s="151"/>
      <c r="F1012" s="24" t="s">
        <v>399</v>
      </c>
      <c r="G1012" s="30">
        <v>45271</v>
      </c>
      <c r="H1012" s="81" t="s">
        <v>65</v>
      </c>
      <c r="I1012" s="30">
        <v>45233</v>
      </c>
      <c r="J1012" s="16" t="s">
        <v>1199</v>
      </c>
      <c r="K1012" s="9" t="s">
        <v>1530</v>
      </c>
      <c r="L1012" s="9"/>
      <c r="M1012" s="152">
        <v>320106</v>
      </c>
      <c r="N1012" s="153">
        <v>60820.14</v>
      </c>
      <c r="O1012" s="152">
        <v>0</v>
      </c>
      <c r="P1012" s="154">
        <v>0</v>
      </c>
      <c r="Q1012" s="152">
        <v>0</v>
      </c>
      <c r="R1012" s="9">
        <v>380926.14</v>
      </c>
      <c r="S1012" s="21" t="s">
        <v>1846</v>
      </c>
      <c r="T1012" s="117">
        <v>0</v>
      </c>
      <c r="U1012" s="117" t="s">
        <v>347</v>
      </c>
      <c r="V1012" s="117">
        <v>2023</v>
      </c>
      <c r="W1012" s="117">
        <v>6</v>
      </c>
      <c r="X1012" s="117">
        <v>1145000</v>
      </c>
      <c r="Y1012" s="117">
        <v>2.5000000000000001E-2</v>
      </c>
      <c r="Z1012" s="21" t="b">
        <v>0</v>
      </c>
      <c r="AA1012" s="162">
        <f>+$AD$5-Tabla2[[#This Row],[FECHA DE FACTURACIÓN]]</f>
        <v>210</v>
      </c>
      <c r="AB1012" s="163" t="str">
        <f>+IF(Tabla2[[#This Row],[dias de credito]]&gt;=Tabla2[[#This Row],[PLAZO Días]],"venc", "No venc")</f>
        <v>venc</v>
      </c>
      <c r="AC1012" s="163" t="str">
        <f>+IF(Tabla2[[#This Row],[FECHA DE PAGO]]&gt;0,"pagada","por pagar")</f>
        <v>pagada</v>
      </c>
      <c r="AD1012" s="164" t="str">
        <f>+IF(AND(Tabla2[[#This Row],[venc]]="venc",Tabla2[[#This Row],[estado pago]]="por pagar"),"vencida","no")</f>
        <v>no</v>
      </c>
    </row>
    <row r="1013" spans="1:30" ht="19.5" hidden="1" customHeight="1" x14ac:dyDescent="0.25">
      <c r="A1013" s="8" t="s">
        <v>1850</v>
      </c>
      <c r="B1013" s="8" t="s">
        <v>1851</v>
      </c>
      <c r="C1013" s="8">
        <v>30</v>
      </c>
      <c r="D1013" s="151">
        <v>0</v>
      </c>
      <c r="E1013" s="151"/>
      <c r="F1013" s="24" t="s">
        <v>206</v>
      </c>
      <c r="G1013" s="30">
        <v>45271</v>
      </c>
      <c r="H1013" s="81" t="s">
        <v>380</v>
      </c>
      <c r="I1013" s="30">
        <v>45236</v>
      </c>
      <c r="J1013" s="16" t="s">
        <v>1316</v>
      </c>
      <c r="K1013" s="9" t="s">
        <v>1530</v>
      </c>
      <c r="L1013" s="9"/>
      <c r="M1013" s="152">
        <v>3456200</v>
      </c>
      <c r="N1013" s="153">
        <v>0</v>
      </c>
      <c r="O1013" s="152">
        <v>0</v>
      </c>
      <c r="P1013" s="154">
        <v>3.5000000000000003E-2</v>
      </c>
      <c r="Q1013" s="152">
        <v>120967.00000000001</v>
      </c>
      <c r="R1013" s="9">
        <v>3335233</v>
      </c>
      <c r="S1013" s="21" t="s">
        <v>1846</v>
      </c>
      <c r="T1013" s="117">
        <v>0</v>
      </c>
      <c r="U1013" s="117" t="s">
        <v>348</v>
      </c>
      <c r="V1013" s="117">
        <v>2023</v>
      </c>
      <c r="W1013" s="117">
        <v>6</v>
      </c>
      <c r="X1013" s="117">
        <v>0</v>
      </c>
      <c r="Y1013" s="117">
        <v>3.5000000000000003E-2</v>
      </c>
      <c r="Z1013" s="21" t="b">
        <v>1</v>
      </c>
      <c r="AA1013" s="162">
        <f>+$AD$5-Tabla2[[#This Row],[FECHA DE FACTURACIÓN]]</f>
        <v>207</v>
      </c>
      <c r="AB1013" s="163" t="str">
        <f>+IF(Tabla2[[#This Row],[dias de credito]]&gt;=Tabla2[[#This Row],[PLAZO Días]],"venc", "No venc")</f>
        <v>venc</v>
      </c>
      <c r="AC1013" s="163" t="str">
        <f>+IF(Tabla2[[#This Row],[FECHA DE PAGO]]&gt;0,"pagada","por pagar")</f>
        <v>pagada</v>
      </c>
      <c r="AD1013" s="164" t="str">
        <f>+IF(AND(Tabla2[[#This Row],[venc]]="venc",Tabla2[[#This Row],[estado pago]]="por pagar"),"vencida","no")</f>
        <v>no</v>
      </c>
    </row>
    <row r="1014" spans="1:30" ht="19.5" hidden="1" customHeight="1" x14ac:dyDescent="0.25">
      <c r="A1014" s="8" t="s">
        <v>1850</v>
      </c>
      <c r="B1014" s="8" t="b">
        <v>0</v>
      </c>
      <c r="C1014" s="8">
        <v>30</v>
      </c>
      <c r="D1014" s="151">
        <v>0</v>
      </c>
      <c r="E1014" s="151"/>
      <c r="F1014" s="24" t="s">
        <v>84</v>
      </c>
      <c r="G1014" s="30">
        <v>45271</v>
      </c>
      <c r="H1014" s="81" t="s">
        <v>525</v>
      </c>
      <c r="I1014" s="30">
        <v>45255</v>
      </c>
      <c r="J1014" s="16" t="s">
        <v>1301</v>
      </c>
      <c r="K1014" s="9" t="s">
        <v>1530</v>
      </c>
      <c r="L1014" s="9"/>
      <c r="M1014" s="152">
        <v>71000</v>
      </c>
      <c r="N1014" s="153">
        <v>0</v>
      </c>
      <c r="O1014" s="152">
        <v>0</v>
      </c>
      <c r="P1014" s="154">
        <v>0</v>
      </c>
      <c r="Q1014" s="152">
        <v>0</v>
      </c>
      <c r="R1014" s="9">
        <v>71000</v>
      </c>
      <c r="S1014" s="21" t="s">
        <v>1846</v>
      </c>
      <c r="T1014" s="117">
        <v>0</v>
      </c>
      <c r="U1014" s="117">
        <v>0</v>
      </c>
      <c r="V1014" s="117">
        <v>2023</v>
      </c>
      <c r="W1014" s="117">
        <v>6</v>
      </c>
      <c r="X1014" s="117">
        <v>0</v>
      </c>
      <c r="Y1014" s="117">
        <v>0</v>
      </c>
      <c r="Z1014" s="21" t="b">
        <v>0</v>
      </c>
      <c r="AA1014" s="162">
        <f>+$AD$5-Tabla2[[#This Row],[FECHA DE FACTURACIÓN]]</f>
        <v>188</v>
      </c>
      <c r="AB1014" s="163" t="str">
        <f>+IF(Tabla2[[#This Row],[dias de credito]]&gt;=Tabla2[[#This Row],[PLAZO Días]],"venc", "No venc")</f>
        <v>venc</v>
      </c>
      <c r="AC1014" s="163" t="str">
        <f>+IF(Tabla2[[#This Row],[FECHA DE PAGO]]&gt;0,"pagada","por pagar")</f>
        <v>pagada</v>
      </c>
      <c r="AD1014" s="164" t="str">
        <f>+IF(AND(Tabla2[[#This Row],[venc]]="venc",Tabla2[[#This Row],[estado pago]]="por pagar"),"vencida","no")</f>
        <v>no</v>
      </c>
    </row>
    <row r="1015" spans="1:30" ht="19.5" hidden="1" customHeight="1" x14ac:dyDescent="0.25">
      <c r="A1015" s="8" t="s">
        <v>1850</v>
      </c>
      <c r="B1015" s="8" t="b">
        <v>0</v>
      </c>
      <c r="C1015" s="8">
        <v>30</v>
      </c>
      <c r="D1015" s="151">
        <v>0</v>
      </c>
      <c r="E1015" s="151"/>
      <c r="F1015" s="24" t="s">
        <v>84</v>
      </c>
      <c r="G1015" s="30">
        <v>45271</v>
      </c>
      <c r="H1015" s="81" t="s">
        <v>525</v>
      </c>
      <c r="I1015" s="30">
        <v>45259</v>
      </c>
      <c r="J1015" s="16" t="s">
        <v>1302</v>
      </c>
      <c r="K1015" s="9" t="s">
        <v>1530</v>
      </c>
      <c r="L1015" s="9"/>
      <c r="M1015" s="152">
        <v>697800</v>
      </c>
      <c r="N1015" s="153">
        <v>0</v>
      </c>
      <c r="O1015" s="152">
        <v>0</v>
      </c>
      <c r="P1015" s="154">
        <v>0</v>
      </c>
      <c r="Q1015" s="152">
        <v>0</v>
      </c>
      <c r="R1015" s="9">
        <v>697800</v>
      </c>
      <c r="S1015" s="21" t="s">
        <v>1846</v>
      </c>
      <c r="T1015" s="117">
        <v>0</v>
      </c>
      <c r="U1015" s="117">
        <v>0</v>
      </c>
      <c r="V1015" s="117">
        <v>2023</v>
      </c>
      <c r="W1015" s="117">
        <v>6</v>
      </c>
      <c r="X1015" s="117">
        <v>0</v>
      </c>
      <c r="Y1015" s="117">
        <v>0</v>
      </c>
      <c r="Z1015" s="21" t="b">
        <v>0</v>
      </c>
      <c r="AA1015" s="162">
        <f>+$AD$5-Tabla2[[#This Row],[FECHA DE FACTURACIÓN]]</f>
        <v>184</v>
      </c>
      <c r="AB1015" s="163" t="str">
        <f>+IF(Tabla2[[#This Row],[dias de credito]]&gt;=Tabla2[[#This Row],[PLAZO Días]],"venc", "No venc")</f>
        <v>venc</v>
      </c>
      <c r="AC1015" s="163" t="str">
        <f>+IF(Tabla2[[#This Row],[FECHA DE PAGO]]&gt;0,"pagada","por pagar")</f>
        <v>pagada</v>
      </c>
      <c r="AD1015" s="164" t="str">
        <f>+IF(AND(Tabla2[[#This Row],[venc]]="venc",Tabla2[[#This Row],[estado pago]]="por pagar"),"vencida","no")</f>
        <v>no</v>
      </c>
    </row>
    <row r="1016" spans="1:30" ht="19.5" hidden="1" customHeight="1" x14ac:dyDescent="0.25">
      <c r="A1016" s="8" t="s">
        <v>1850</v>
      </c>
      <c r="B1016" s="8" t="b">
        <v>0</v>
      </c>
      <c r="C1016" s="8">
        <v>30</v>
      </c>
      <c r="D1016" s="151">
        <v>0</v>
      </c>
      <c r="E1016" s="151"/>
      <c r="F1016" s="24" t="s">
        <v>253</v>
      </c>
      <c r="G1016" s="30">
        <v>45271</v>
      </c>
      <c r="H1016" s="81" t="s">
        <v>368</v>
      </c>
      <c r="I1016" s="30">
        <v>45261</v>
      </c>
      <c r="J1016" s="16" t="s">
        <v>1309</v>
      </c>
      <c r="K1016" s="9" t="s">
        <v>1530</v>
      </c>
      <c r="L1016" s="9"/>
      <c r="M1016" s="152">
        <v>908172</v>
      </c>
      <c r="N1016" s="153">
        <v>172552.68</v>
      </c>
      <c r="O1016" s="152">
        <v>0</v>
      </c>
      <c r="P1016" s="154">
        <v>0</v>
      </c>
      <c r="Q1016" s="152">
        <v>0</v>
      </c>
      <c r="R1016" s="9">
        <v>1080724.68</v>
      </c>
      <c r="S1016" s="21" t="s">
        <v>1846</v>
      </c>
      <c r="T1016" s="117">
        <v>0</v>
      </c>
      <c r="U1016" s="117">
        <v>0</v>
      </c>
      <c r="V1016" s="117">
        <v>2023</v>
      </c>
      <c r="W1016" s="117">
        <v>6</v>
      </c>
      <c r="X1016" s="117">
        <v>0</v>
      </c>
      <c r="Y1016" s="117">
        <v>0</v>
      </c>
      <c r="Z1016" s="21" t="b">
        <v>1</v>
      </c>
      <c r="AA1016" s="162">
        <f>+$AD$5-Tabla2[[#This Row],[FECHA DE FACTURACIÓN]]</f>
        <v>182</v>
      </c>
      <c r="AB1016" s="163" t="str">
        <f>+IF(Tabla2[[#This Row],[dias de credito]]&gt;=Tabla2[[#This Row],[PLAZO Días]],"venc", "No venc")</f>
        <v>venc</v>
      </c>
      <c r="AC1016" s="163" t="str">
        <f>+IF(Tabla2[[#This Row],[FECHA DE PAGO]]&gt;0,"pagada","por pagar")</f>
        <v>pagada</v>
      </c>
      <c r="AD1016" s="164" t="str">
        <f>+IF(AND(Tabla2[[#This Row],[venc]]="venc",Tabla2[[#This Row],[estado pago]]="por pagar"),"vencida","no")</f>
        <v>no</v>
      </c>
    </row>
    <row r="1017" spans="1:30" ht="19.5" hidden="1" customHeight="1" x14ac:dyDescent="0.25">
      <c r="A1017" s="8" t="s">
        <v>1850</v>
      </c>
      <c r="B1017" s="8" t="b">
        <v>0</v>
      </c>
      <c r="C1017" s="8">
        <v>30</v>
      </c>
      <c r="D1017" s="151">
        <v>0</v>
      </c>
      <c r="E1017" s="151"/>
      <c r="F1017" s="24" t="s">
        <v>253</v>
      </c>
      <c r="G1017" s="30">
        <v>45271</v>
      </c>
      <c r="H1017" s="81" t="s">
        <v>368</v>
      </c>
      <c r="I1017" s="30">
        <v>45261</v>
      </c>
      <c r="J1017" s="16" t="s">
        <v>1310</v>
      </c>
      <c r="K1017" s="9" t="s">
        <v>1530</v>
      </c>
      <c r="L1017" s="9"/>
      <c r="M1017" s="152">
        <v>3792544</v>
      </c>
      <c r="N1017" s="153">
        <v>720583.36</v>
      </c>
      <c r="O1017" s="152">
        <v>0</v>
      </c>
      <c r="P1017" s="154">
        <v>0</v>
      </c>
      <c r="Q1017" s="152">
        <v>0</v>
      </c>
      <c r="R1017" s="9">
        <v>4513127.3600000003</v>
      </c>
      <c r="S1017" s="21" t="s">
        <v>1846</v>
      </c>
      <c r="T1017" s="117">
        <v>0</v>
      </c>
      <c r="U1017" s="117">
        <v>0</v>
      </c>
      <c r="V1017" s="117">
        <v>2023</v>
      </c>
      <c r="W1017" s="117">
        <v>6</v>
      </c>
      <c r="X1017" s="117">
        <v>0</v>
      </c>
      <c r="Y1017" s="117">
        <v>0</v>
      </c>
      <c r="Z1017" s="21" t="b">
        <v>1</v>
      </c>
      <c r="AA1017" s="162">
        <f>+$AD$5-Tabla2[[#This Row],[FECHA DE FACTURACIÓN]]</f>
        <v>182</v>
      </c>
      <c r="AB1017" s="163" t="str">
        <f>+IF(Tabla2[[#This Row],[dias de credito]]&gt;=Tabla2[[#This Row],[PLAZO Días]],"venc", "No venc")</f>
        <v>venc</v>
      </c>
      <c r="AC1017" s="163" t="str">
        <f>+IF(Tabla2[[#This Row],[FECHA DE PAGO]]&gt;0,"pagada","por pagar")</f>
        <v>pagada</v>
      </c>
      <c r="AD1017" s="164" t="str">
        <f>+IF(AND(Tabla2[[#This Row],[venc]]="venc",Tabla2[[#This Row],[estado pago]]="por pagar"),"vencida","no")</f>
        <v>no</v>
      </c>
    </row>
    <row r="1018" spans="1:30" ht="19.5" hidden="1" customHeight="1" x14ac:dyDescent="0.25">
      <c r="A1018" s="8" t="s">
        <v>1850</v>
      </c>
      <c r="B1018" s="8" t="b">
        <v>0</v>
      </c>
      <c r="C1018" s="8">
        <v>30</v>
      </c>
      <c r="D1018" s="151">
        <v>0</v>
      </c>
      <c r="E1018" s="151"/>
      <c r="F1018" s="24" t="s">
        <v>1447</v>
      </c>
      <c r="G1018" s="30">
        <v>45271</v>
      </c>
      <c r="H1018" s="81" t="s">
        <v>373</v>
      </c>
      <c r="I1018" s="30">
        <v>45261</v>
      </c>
      <c r="J1018" s="16" t="s">
        <v>1312</v>
      </c>
      <c r="K1018" s="9" t="s">
        <v>1530</v>
      </c>
      <c r="L1018" s="9"/>
      <c r="M1018" s="152">
        <v>1840056</v>
      </c>
      <c r="N1018" s="153">
        <v>0</v>
      </c>
      <c r="O1018" s="152">
        <v>0</v>
      </c>
      <c r="P1018" s="154">
        <v>0</v>
      </c>
      <c r="Q1018" s="152">
        <v>0</v>
      </c>
      <c r="R1018" s="9">
        <v>1840056</v>
      </c>
      <c r="S1018" s="21" t="s">
        <v>1846</v>
      </c>
      <c r="T1018" s="117">
        <v>0</v>
      </c>
      <c r="U1018" s="117">
        <v>0</v>
      </c>
      <c r="V1018" s="117">
        <v>2023</v>
      </c>
      <c r="W1018" s="117">
        <v>6</v>
      </c>
      <c r="X1018" s="117">
        <v>0</v>
      </c>
      <c r="Y1018" s="117">
        <v>0</v>
      </c>
      <c r="Z1018" s="21" t="b">
        <v>1</v>
      </c>
      <c r="AA1018" s="162">
        <f>+$AD$5-Tabla2[[#This Row],[FECHA DE FACTURACIÓN]]</f>
        <v>182</v>
      </c>
      <c r="AB1018" s="163" t="str">
        <f>+IF(Tabla2[[#This Row],[dias de credito]]&gt;=Tabla2[[#This Row],[PLAZO Días]],"venc", "No venc")</f>
        <v>venc</v>
      </c>
      <c r="AC1018" s="163" t="str">
        <f>+IF(Tabla2[[#This Row],[FECHA DE PAGO]]&gt;0,"pagada","por pagar")</f>
        <v>pagada</v>
      </c>
      <c r="AD1018" s="164" t="str">
        <f>+IF(AND(Tabla2[[#This Row],[venc]]="venc",Tabla2[[#This Row],[estado pago]]="por pagar"),"vencida","no")</f>
        <v>no</v>
      </c>
    </row>
    <row r="1019" spans="1:30" ht="19.5" hidden="1" customHeight="1" x14ac:dyDescent="0.25">
      <c r="A1019" s="8" t="s">
        <v>1850</v>
      </c>
      <c r="B1019" s="8" t="b">
        <v>0</v>
      </c>
      <c r="C1019" s="8">
        <v>30</v>
      </c>
      <c r="D1019" s="151">
        <v>0</v>
      </c>
      <c r="E1019" s="151"/>
      <c r="F1019" s="24" t="s">
        <v>268</v>
      </c>
      <c r="G1019" s="30">
        <v>45271</v>
      </c>
      <c r="H1019" s="81" t="s">
        <v>376</v>
      </c>
      <c r="I1019" s="30">
        <v>45261</v>
      </c>
      <c r="J1019" s="16" t="s">
        <v>1317</v>
      </c>
      <c r="K1019" s="9" t="s">
        <v>1530</v>
      </c>
      <c r="L1019" s="9"/>
      <c r="M1019" s="152">
        <v>318603</v>
      </c>
      <c r="N1019" s="153">
        <v>0</v>
      </c>
      <c r="O1019" s="152">
        <v>0</v>
      </c>
      <c r="P1019" s="154">
        <v>0</v>
      </c>
      <c r="Q1019" s="152">
        <v>0</v>
      </c>
      <c r="R1019" s="9">
        <v>318603</v>
      </c>
      <c r="S1019" s="21" t="s">
        <v>1846</v>
      </c>
      <c r="T1019" s="117">
        <v>0</v>
      </c>
      <c r="U1019" s="117">
        <v>0</v>
      </c>
      <c r="V1019" s="117">
        <v>2023</v>
      </c>
      <c r="W1019" s="117">
        <v>6</v>
      </c>
      <c r="X1019" s="117">
        <v>0</v>
      </c>
      <c r="Y1019" s="117">
        <v>0</v>
      </c>
      <c r="Z1019" s="21" t="b">
        <v>1</v>
      </c>
      <c r="AA1019" s="162">
        <f>+$AD$5-Tabla2[[#This Row],[FECHA DE FACTURACIÓN]]</f>
        <v>182</v>
      </c>
      <c r="AB1019" s="163" t="str">
        <f>+IF(Tabla2[[#This Row],[dias de credito]]&gt;=Tabla2[[#This Row],[PLAZO Días]],"venc", "No venc")</f>
        <v>venc</v>
      </c>
      <c r="AC1019" s="163" t="str">
        <f>+IF(Tabla2[[#This Row],[FECHA DE PAGO]]&gt;0,"pagada","por pagar")</f>
        <v>pagada</v>
      </c>
      <c r="AD1019" s="164" t="str">
        <f>+IF(AND(Tabla2[[#This Row],[venc]]="venc",Tabla2[[#This Row],[estado pago]]="por pagar"),"vencida","no")</f>
        <v>no</v>
      </c>
    </row>
    <row r="1020" spans="1:30" ht="19.5" hidden="1" customHeight="1" x14ac:dyDescent="0.25">
      <c r="A1020" s="8" t="s">
        <v>1850</v>
      </c>
      <c r="B1020" s="8" t="b">
        <v>0</v>
      </c>
      <c r="C1020" s="8">
        <v>30</v>
      </c>
      <c r="D1020" s="151">
        <v>0</v>
      </c>
      <c r="E1020" s="151"/>
      <c r="F1020" s="24" t="s">
        <v>414</v>
      </c>
      <c r="G1020" s="30">
        <v>45271</v>
      </c>
      <c r="H1020" s="81" t="s">
        <v>382</v>
      </c>
      <c r="I1020" s="30">
        <v>45261</v>
      </c>
      <c r="J1020" s="16" t="s">
        <v>1314</v>
      </c>
      <c r="K1020" s="9" t="s">
        <v>1530</v>
      </c>
      <c r="L1020" s="9"/>
      <c r="M1020" s="152">
        <v>914023</v>
      </c>
      <c r="N1020" s="153">
        <v>0</v>
      </c>
      <c r="O1020" s="152">
        <v>0</v>
      </c>
      <c r="P1020" s="154">
        <v>0</v>
      </c>
      <c r="Q1020" s="152">
        <v>0</v>
      </c>
      <c r="R1020" s="9">
        <v>914023</v>
      </c>
      <c r="S1020" s="21" t="s">
        <v>1846</v>
      </c>
      <c r="T1020" s="117">
        <v>0</v>
      </c>
      <c r="U1020" s="117">
        <v>0</v>
      </c>
      <c r="V1020" s="117">
        <v>2023</v>
      </c>
      <c r="W1020" s="117">
        <v>6</v>
      </c>
      <c r="X1020" s="117">
        <v>0</v>
      </c>
      <c r="Y1020" s="117">
        <v>0</v>
      </c>
      <c r="Z1020" s="21" t="b">
        <v>1</v>
      </c>
      <c r="AA1020" s="162">
        <f>+$AD$5-Tabla2[[#This Row],[FECHA DE FACTURACIÓN]]</f>
        <v>182</v>
      </c>
      <c r="AB1020" s="163" t="str">
        <f>+IF(Tabla2[[#This Row],[dias de credito]]&gt;=Tabla2[[#This Row],[PLAZO Días]],"venc", "No venc")</f>
        <v>venc</v>
      </c>
      <c r="AC1020" s="163" t="str">
        <f>+IF(Tabla2[[#This Row],[FECHA DE PAGO]]&gt;0,"pagada","por pagar")</f>
        <v>pagada</v>
      </c>
      <c r="AD1020" s="164" t="str">
        <f>+IF(AND(Tabla2[[#This Row],[venc]]="venc",Tabla2[[#This Row],[estado pago]]="por pagar"),"vencida","no")</f>
        <v>no</v>
      </c>
    </row>
    <row r="1021" spans="1:30" ht="19.5" hidden="1" customHeight="1" x14ac:dyDescent="0.25">
      <c r="A1021" s="8" t="s">
        <v>1850</v>
      </c>
      <c r="B1021" s="8" t="b">
        <v>0</v>
      </c>
      <c r="C1021" s="8">
        <v>30</v>
      </c>
      <c r="D1021" s="151">
        <v>0</v>
      </c>
      <c r="E1021" s="151"/>
      <c r="F1021" s="24" t="s">
        <v>414</v>
      </c>
      <c r="G1021" s="30">
        <v>45271</v>
      </c>
      <c r="H1021" s="81" t="s">
        <v>382</v>
      </c>
      <c r="I1021" s="30">
        <v>45261</v>
      </c>
      <c r="J1021" s="16" t="s">
        <v>1315</v>
      </c>
      <c r="K1021" s="9" t="s">
        <v>1530</v>
      </c>
      <c r="L1021" s="9"/>
      <c r="M1021" s="152">
        <v>934363</v>
      </c>
      <c r="N1021" s="153">
        <v>0</v>
      </c>
      <c r="O1021" s="152">
        <v>0</v>
      </c>
      <c r="P1021" s="154">
        <v>0</v>
      </c>
      <c r="Q1021" s="152">
        <v>0</v>
      </c>
      <c r="R1021" s="9">
        <v>934363</v>
      </c>
      <c r="S1021" s="21" t="s">
        <v>1846</v>
      </c>
      <c r="T1021" s="117">
        <v>0</v>
      </c>
      <c r="U1021" s="117">
        <v>0</v>
      </c>
      <c r="V1021" s="117">
        <v>2023</v>
      </c>
      <c r="W1021" s="117">
        <v>6</v>
      </c>
      <c r="X1021" s="117">
        <v>0</v>
      </c>
      <c r="Y1021" s="117">
        <v>0</v>
      </c>
      <c r="Z1021" s="21" t="b">
        <v>1</v>
      </c>
      <c r="AA1021" s="162">
        <f>+$AD$5-Tabla2[[#This Row],[FECHA DE FACTURACIÓN]]</f>
        <v>182</v>
      </c>
      <c r="AB1021" s="163" t="str">
        <f>+IF(Tabla2[[#This Row],[dias de credito]]&gt;=Tabla2[[#This Row],[PLAZO Días]],"venc", "No venc")</f>
        <v>venc</v>
      </c>
      <c r="AC1021" s="163" t="str">
        <f>+IF(Tabla2[[#This Row],[FECHA DE PAGO]]&gt;0,"pagada","por pagar")</f>
        <v>pagada</v>
      </c>
      <c r="AD1021" s="164" t="str">
        <f>+IF(AND(Tabla2[[#This Row],[venc]]="venc",Tabla2[[#This Row],[estado pago]]="por pagar"),"vencida","no")</f>
        <v>no</v>
      </c>
    </row>
    <row r="1022" spans="1:30" ht="19.5" hidden="1" customHeight="1" x14ac:dyDescent="0.25">
      <c r="A1022" s="8" t="s">
        <v>1850</v>
      </c>
      <c r="B1022" s="8" t="b">
        <v>0</v>
      </c>
      <c r="C1022" s="8">
        <v>30</v>
      </c>
      <c r="D1022" s="151">
        <v>0</v>
      </c>
      <c r="E1022" s="151"/>
      <c r="F1022" s="24" t="s">
        <v>1540</v>
      </c>
      <c r="G1022" s="30">
        <v>45271</v>
      </c>
      <c r="H1022" s="81" t="s">
        <v>383</v>
      </c>
      <c r="I1022" s="30">
        <v>45261</v>
      </c>
      <c r="J1022" s="16" t="s">
        <v>1311</v>
      </c>
      <c r="K1022" s="9" t="s">
        <v>1530</v>
      </c>
      <c r="L1022" s="9"/>
      <c r="M1022" s="152">
        <v>4394976</v>
      </c>
      <c r="N1022" s="153">
        <v>835045.44000000006</v>
      </c>
      <c r="O1022" s="152">
        <v>0</v>
      </c>
      <c r="P1022" s="154">
        <v>3.5000000000000003E-2</v>
      </c>
      <c r="Q1022" s="152">
        <v>153824.16</v>
      </c>
      <c r="R1022" s="9">
        <v>5076197.28</v>
      </c>
      <c r="S1022" s="21" t="s">
        <v>1846</v>
      </c>
      <c r="T1022" s="117">
        <v>0</v>
      </c>
      <c r="U1022" s="117" t="s">
        <v>348</v>
      </c>
      <c r="V1022" s="117">
        <v>2023</v>
      </c>
      <c r="W1022" s="117">
        <v>6</v>
      </c>
      <c r="X1022" s="117">
        <v>0</v>
      </c>
      <c r="Y1022" s="117">
        <v>3.5000000000000003E-2</v>
      </c>
      <c r="Z1022" s="21" t="b">
        <v>1</v>
      </c>
      <c r="AA1022" s="162">
        <f>+$AD$5-Tabla2[[#This Row],[FECHA DE FACTURACIÓN]]</f>
        <v>182</v>
      </c>
      <c r="AB1022" s="163" t="str">
        <f>+IF(Tabla2[[#This Row],[dias de credito]]&gt;=Tabla2[[#This Row],[PLAZO Días]],"venc", "No venc")</f>
        <v>venc</v>
      </c>
      <c r="AC1022" s="163" t="str">
        <f>+IF(Tabla2[[#This Row],[FECHA DE PAGO]]&gt;0,"pagada","por pagar")</f>
        <v>pagada</v>
      </c>
      <c r="AD1022" s="164" t="str">
        <f>+IF(AND(Tabla2[[#This Row],[venc]]="venc",Tabla2[[#This Row],[estado pago]]="por pagar"),"vencida","no")</f>
        <v>no</v>
      </c>
    </row>
    <row r="1023" spans="1:30" ht="19.5" hidden="1" customHeight="1" x14ac:dyDescent="0.25">
      <c r="A1023" s="8" t="s">
        <v>1850</v>
      </c>
      <c r="B1023" s="8" t="b">
        <v>0</v>
      </c>
      <c r="C1023" s="8">
        <v>30</v>
      </c>
      <c r="D1023" s="151">
        <v>0</v>
      </c>
      <c r="E1023" s="151"/>
      <c r="F1023" s="24" t="s">
        <v>153</v>
      </c>
      <c r="G1023" s="30">
        <v>45271</v>
      </c>
      <c r="H1023" s="81" t="s">
        <v>394</v>
      </c>
      <c r="I1023" s="30">
        <v>45261</v>
      </c>
      <c r="J1023" s="16" t="s">
        <v>1313</v>
      </c>
      <c r="K1023" s="9" t="s">
        <v>1530</v>
      </c>
      <c r="L1023" s="9"/>
      <c r="M1023" s="152">
        <v>243611</v>
      </c>
      <c r="N1023" s="153">
        <v>46286.090000000004</v>
      </c>
      <c r="O1023" s="152">
        <v>0</v>
      </c>
      <c r="P1023" s="154">
        <v>3.5000000000000003E-2</v>
      </c>
      <c r="Q1023" s="152">
        <v>8526.3850000000002</v>
      </c>
      <c r="R1023" s="9">
        <v>281370.70500000002</v>
      </c>
      <c r="S1023" s="21" t="s">
        <v>1846</v>
      </c>
      <c r="T1023" s="117">
        <v>0</v>
      </c>
      <c r="U1023" s="117" t="s">
        <v>348</v>
      </c>
      <c r="V1023" s="117">
        <v>2023</v>
      </c>
      <c r="W1023" s="117">
        <v>6</v>
      </c>
      <c r="X1023" s="117">
        <v>0</v>
      </c>
      <c r="Y1023" s="117">
        <v>3.5000000000000003E-2</v>
      </c>
      <c r="Z1023" s="21" t="b">
        <v>1</v>
      </c>
      <c r="AA1023" s="162">
        <f>+$AD$5-Tabla2[[#This Row],[FECHA DE FACTURACIÓN]]</f>
        <v>182</v>
      </c>
      <c r="AB1023" s="163" t="str">
        <f>+IF(Tabla2[[#This Row],[dias de credito]]&gt;=Tabla2[[#This Row],[PLAZO Días]],"venc", "No venc")</f>
        <v>venc</v>
      </c>
      <c r="AC1023" s="163" t="str">
        <f>+IF(Tabla2[[#This Row],[FECHA DE PAGO]]&gt;0,"pagada","por pagar")</f>
        <v>pagada</v>
      </c>
      <c r="AD1023" s="164" t="str">
        <f>+IF(AND(Tabla2[[#This Row],[venc]]="venc",Tabla2[[#This Row],[estado pago]]="por pagar"),"vencida","no")</f>
        <v>no</v>
      </c>
    </row>
    <row r="1024" spans="1:30" ht="19.5" hidden="1" customHeight="1" x14ac:dyDescent="0.25">
      <c r="A1024" s="8" t="s">
        <v>1850</v>
      </c>
      <c r="B1024" s="8" t="b">
        <v>0</v>
      </c>
      <c r="C1024" s="8">
        <v>10</v>
      </c>
      <c r="D1024" s="151">
        <v>0</v>
      </c>
      <c r="E1024" s="151"/>
      <c r="F1024" s="24" t="s">
        <v>483</v>
      </c>
      <c r="G1024" s="30">
        <v>45271</v>
      </c>
      <c r="H1024" s="81" t="s">
        <v>482</v>
      </c>
      <c r="I1024" s="30">
        <v>45261</v>
      </c>
      <c r="J1024" s="16" t="s">
        <v>1308</v>
      </c>
      <c r="K1024" s="9" t="s">
        <v>1530</v>
      </c>
      <c r="L1024" s="9"/>
      <c r="M1024" s="152">
        <v>5350576</v>
      </c>
      <c r="N1024" s="153">
        <v>1016609.4400000001</v>
      </c>
      <c r="O1024" s="152">
        <v>0</v>
      </c>
      <c r="P1024" s="154">
        <v>0</v>
      </c>
      <c r="Q1024" s="152">
        <v>0</v>
      </c>
      <c r="R1024" s="9">
        <v>6367185.4400000004</v>
      </c>
      <c r="S1024" s="21" t="s">
        <v>1846</v>
      </c>
      <c r="T1024" s="117">
        <v>0</v>
      </c>
      <c r="U1024" s="117">
        <v>0</v>
      </c>
      <c r="V1024" s="117">
        <v>2023</v>
      </c>
      <c r="W1024" s="117">
        <v>6</v>
      </c>
      <c r="X1024" s="117">
        <v>0</v>
      </c>
      <c r="Y1024" s="117">
        <v>0</v>
      </c>
      <c r="Z1024" s="21" t="b">
        <v>1</v>
      </c>
      <c r="AA1024" s="162">
        <f>+$AD$5-Tabla2[[#This Row],[FECHA DE FACTURACIÓN]]</f>
        <v>182</v>
      </c>
      <c r="AB1024" s="163" t="str">
        <f>+IF(Tabla2[[#This Row],[dias de credito]]&gt;=Tabla2[[#This Row],[PLAZO Días]],"venc", "No venc")</f>
        <v>venc</v>
      </c>
      <c r="AC1024" s="163" t="str">
        <f>+IF(Tabla2[[#This Row],[FECHA DE PAGO]]&gt;0,"pagada","por pagar")</f>
        <v>pagada</v>
      </c>
      <c r="AD1024" s="164" t="str">
        <f>+IF(AND(Tabla2[[#This Row],[venc]]="venc",Tabla2[[#This Row],[estado pago]]="por pagar"),"vencida","no")</f>
        <v>no</v>
      </c>
    </row>
    <row r="1025" spans="1:30" ht="19.5" hidden="1" customHeight="1" x14ac:dyDescent="0.25">
      <c r="A1025" s="8" t="s">
        <v>1852</v>
      </c>
      <c r="B1025" s="8" t="b">
        <v>0</v>
      </c>
      <c r="C1025" s="8">
        <v>30</v>
      </c>
      <c r="D1025" s="151">
        <v>0</v>
      </c>
      <c r="E1025" s="151"/>
      <c r="F1025" s="24" t="s">
        <v>84</v>
      </c>
      <c r="G1025" s="30">
        <v>45271</v>
      </c>
      <c r="H1025" s="81" t="s">
        <v>525</v>
      </c>
      <c r="I1025" s="30">
        <v>45271</v>
      </c>
      <c r="J1025" s="16" t="s">
        <v>1307</v>
      </c>
      <c r="K1025" s="9" t="s">
        <v>1530</v>
      </c>
      <c r="L1025" s="9"/>
      <c r="M1025" s="152">
        <v>1500000</v>
      </c>
      <c r="N1025" s="153">
        <v>0</v>
      </c>
      <c r="O1025" s="152">
        <v>0</v>
      </c>
      <c r="P1025" s="154">
        <v>0</v>
      </c>
      <c r="Q1025" s="152">
        <v>0</v>
      </c>
      <c r="R1025" s="9">
        <v>1500000</v>
      </c>
      <c r="S1025" s="21" t="s">
        <v>1846</v>
      </c>
      <c r="T1025" s="117">
        <v>0</v>
      </c>
      <c r="U1025" s="117">
        <v>0</v>
      </c>
      <c r="V1025" s="117">
        <v>2023</v>
      </c>
      <c r="W1025" s="117">
        <v>6</v>
      </c>
      <c r="X1025" s="117">
        <v>0</v>
      </c>
      <c r="Y1025" s="117">
        <v>0</v>
      </c>
      <c r="Z1025" s="21" t="b">
        <v>0</v>
      </c>
      <c r="AA1025" s="162">
        <f>+$AD$5-Tabla2[[#This Row],[FECHA DE FACTURACIÓN]]</f>
        <v>172</v>
      </c>
      <c r="AB1025" s="163" t="str">
        <f>+IF(Tabla2[[#This Row],[dias de credito]]&gt;=Tabla2[[#This Row],[PLAZO Días]],"venc", "No venc")</f>
        <v>venc</v>
      </c>
      <c r="AC1025" s="163" t="str">
        <f>+IF(Tabla2[[#This Row],[FECHA DE PAGO]]&gt;0,"pagada","por pagar")</f>
        <v>pagada</v>
      </c>
      <c r="AD1025" s="164" t="str">
        <f>+IF(AND(Tabla2[[#This Row],[venc]]="venc",Tabla2[[#This Row],[estado pago]]="por pagar"),"vencida","no")</f>
        <v>no</v>
      </c>
    </row>
    <row r="1026" spans="1:30" ht="19.5" hidden="1" customHeight="1" x14ac:dyDescent="0.25">
      <c r="A1026" s="8" t="s">
        <v>1850</v>
      </c>
      <c r="B1026" s="8" t="e">
        <v>#N/A</v>
      </c>
      <c r="C1026" s="8" t="e">
        <v>#N/A</v>
      </c>
      <c r="D1026" s="151">
        <v>0</v>
      </c>
      <c r="E1026" s="151"/>
      <c r="F1026" s="24" t="e">
        <v>#N/A</v>
      </c>
      <c r="G1026" s="30">
        <v>45272</v>
      </c>
      <c r="H1026" s="81" t="s">
        <v>188</v>
      </c>
      <c r="I1026" s="30">
        <v>45202</v>
      </c>
      <c r="J1026" s="16" t="s">
        <v>1096</v>
      </c>
      <c r="K1026" s="9" t="s">
        <v>1530</v>
      </c>
      <c r="L1026" s="9"/>
      <c r="M1026" s="152">
        <v>6385210</v>
      </c>
      <c r="N1026" s="153">
        <v>1213189.8999999999</v>
      </c>
      <c r="O1026" s="152">
        <v>0</v>
      </c>
      <c r="P1026" s="154">
        <v>2.5000000000000001E-2</v>
      </c>
      <c r="Q1026" s="152">
        <v>159630.25</v>
      </c>
      <c r="R1026" s="9">
        <v>7438769.6500000004</v>
      </c>
      <c r="S1026" s="21" t="s">
        <v>1846</v>
      </c>
      <c r="T1026" s="117">
        <v>0</v>
      </c>
      <c r="U1026" s="117" t="e">
        <v>#N/A</v>
      </c>
      <c r="V1026" s="117">
        <v>2023</v>
      </c>
      <c r="W1026" s="117">
        <v>6</v>
      </c>
      <c r="X1026" s="117" t="e">
        <v>#N/A</v>
      </c>
      <c r="Y1026" s="117" t="e">
        <v>#N/A</v>
      </c>
      <c r="Z1026" s="21" t="b">
        <v>0</v>
      </c>
      <c r="AA1026" s="162">
        <f>+$AD$5-Tabla2[[#This Row],[FECHA DE FACTURACIÓN]]</f>
        <v>241</v>
      </c>
      <c r="AB1026" s="163" t="e">
        <f>+IF(Tabla2[[#This Row],[dias de credito]]&gt;=Tabla2[[#This Row],[PLAZO Días]],"venc", "No venc")</f>
        <v>#N/A</v>
      </c>
      <c r="AC1026" s="163" t="str">
        <f>+IF(Tabla2[[#This Row],[FECHA DE PAGO]]&gt;0,"pagada","por pagar")</f>
        <v>pagada</v>
      </c>
      <c r="AD1026" s="164" t="e">
        <f>+IF(AND(Tabla2[[#This Row],[venc]]="venc",Tabla2[[#This Row],[estado pago]]="por pagar"),"vencida","no")</f>
        <v>#N/A</v>
      </c>
    </row>
    <row r="1027" spans="1:30" ht="19.5" hidden="1" customHeight="1" x14ac:dyDescent="0.25">
      <c r="A1027" s="8" t="s">
        <v>1850</v>
      </c>
      <c r="B1027" s="8" t="s">
        <v>1851</v>
      </c>
      <c r="C1027" s="8">
        <v>45</v>
      </c>
      <c r="D1027" s="151">
        <v>2446500</v>
      </c>
      <c r="E1027" s="151"/>
      <c r="F1027" s="24" t="s">
        <v>158</v>
      </c>
      <c r="G1027" s="30">
        <v>45272</v>
      </c>
      <c r="H1027" s="81" t="s">
        <v>10</v>
      </c>
      <c r="I1027" s="30">
        <v>45223</v>
      </c>
      <c r="J1027" s="16" t="s">
        <v>1180</v>
      </c>
      <c r="K1027" s="9" t="s">
        <v>1530</v>
      </c>
      <c r="L1027" s="9"/>
      <c r="M1027" s="152">
        <v>4200000</v>
      </c>
      <c r="N1027" s="153">
        <v>798000</v>
      </c>
      <c r="O1027" s="152">
        <v>0</v>
      </c>
      <c r="P1027" s="154">
        <v>2.5000000000000001E-2</v>
      </c>
      <c r="Q1027" s="152">
        <v>105000</v>
      </c>
      <c r="R1027" s="9">
        <v>4893000</v>
      </c>
      <c r="S1027" s="21" t="s">
        <v>1846</v>
      </c>
      <c r="T1027" s="117">
        <v>0</v>
      </c>
      <c r="U1027" s="117" t="s">
        <v>347</v>
      </c>
      <c r="V1027" s="117">
        <v>2023</v>
      </c>
      <c r="W1027" s="117">
        <v>6</v>
      </c>
      <c r="X1027" s="117">
        <v>1145000</v>
      </c>
      <c r="Y1027" s="117">
        <v>2.5000000000000001E-2</v>
      </c>
      <c r="Z1027" s="21" t="b">
        <v>0</v>
      </c>
      <c r="AA1027" s="162">
        <f>+$AD$5-Tabla2[[#This Row],[FECHA DE FACTURACIÓN]]</f>
        <v>220</v>
      </c>
      <c r="AB1027" s="163" t="str">
        <f>+IF(Tabla2[[#This Row],[dias de credito]]&gt;=Tabla2[[#This Row],[PLAZO Días]],"venc", "No venc")</f>
        <v>venc</v>
      </c>
      <c r="AC1027" s="163" t="str">
        <f>+IF(Tabla2[[#This Row],[FECHA DE PAGO]]&gt;0,"pagada","por pagar")</f>
        <v>pagada</v>
      </c>
      <c r="AD1027" s="164" t="str">
        <f>+IF(AND(Tabla2[[#This Row],[venc]]="venc",Tabla2[[#This Row],[estado pago]]="por pagar"),"vencida","no")</f>
        <v>no</v>
      </c>
    </row>
    <row r="1028" spans="1:30" ht="19.5" hidden="1" customHeight="1" x14ac:dyDescent="0.25">
      <c r="A1028" s="8" t="s">
        <v>1850</v>
      </c>
      <c r="B1028" s="8" t="s">
        <v>1851</v>
      </c>
      <c r="C1028" s="8">
        <v>30</v>
      </c>
      <c r="D1028" s="151">
        <v>5581100</v>
      </c>
      <c r="E1028" s="151"/>
      <c r="F1028" s="24" t="s">
        <v>150</v>
      </c>
      <c r="G1028" s="30">
        <v>45272</v>
      </c>
      <c r="H1028" s="81" t="s">
        <v>446</v>
      </c>
      <c r="I1028" s="30">
        <v>45234</v>
      </c>
      <c r="J1028" s="16" t="s">
        <v>1220</v>
      </c>
      <c r="K1028" s="9" t="s">
        <v>1530</v>
      </c>
      <c r="L1028" s="9"/>
      <c r="M1028" s="152">
        <v>4908000</v>
      </c>
      <c r="N1028" s="153">
        <v>932520</v>
      </c>
      <c r="O1028" s="152">
        <v>0</v>
      </c>
      <c r="P1028" s="154">
        <v>0</v>
      </c>
      <c r="Q1028" s="152">
        <v>0</v>
      </c>
      <c r="R1028" s="9">
        <v>5840520</v>
      </c>
      <c r="S1028" s="21" t="s">
        <v>1846</v>
      </c>
      <c r="T1028" s="117">
        <v>0</v>
      </c>
      <c r="U1028" s="117">
        <v>0</v>
      </c>
      <c r="V1028" s="117">
        <v>2023</v>
      </c>
      <c r="W1028" s="117">
        <v>6</v>
      </c>
      <c r="X1028" s="117">
        <v>0</v>
      </c>
      <c r="Y1028" s="117">
        <v>0</v>
      </c>
      <c r="Z1028" s="21" t="b">
        <v>0</v>
      </c>
      <c r="AA1028" s="162">
        <f>+$AD$5-Tabla2[[#This Row],[FECHA DE FACTURACIÓN]]</f>
        <v>209</v>
      </c>
      <c r="AB1028" s="163" t="str">
        <f>+IF(Tabla2[[#This Row],[dias de credito]]&gt;=Tabla2[[#This Row],[PLAZO Días]],"venc", "No venc")</f>
        <v>venc</v>
      </c>
      <c r="AC1028" s="163" t="str">
        <f>+IF(Tabla2[[#This Row],[FECHA DE PAGO]]&gt;0,"pagada","por pagar")</f>
        <v>pagada</v>
      </c>
      <c r="AD1028" s="164" t="str">
        <f>+IF(AND(Tabla2[[#This Row],[venc]]="venc",Tabla2[[#This Row],[estado pago]]="por pagar"),"vencida","no")</f>
        <v>no</v>
      </c>
    </row>
    <row r="1029" spans="1:30" ht="19.5" hidden="1" customHeight="1" x14ac:dyDescent="0.25">
      <c r="A1029" s="8" t="s">
        <v>1850</v>
      </c>
      <c r="B1029" s="8" t="s">
        <v>1851</v>
      </c>
      <c r="C1029" s="8">
        <v>30</v>
      </c>
      <c r="D1029" s="151">
        <v>9950488.6799999997</v>
      </c>
      <c r="E1029" s="151"/>
      <c r="F1029" s="24" t="s">
        <v>410</v>
      </c>
      <c r="G1029" s="30">
        <v>45272</v>
      </c>
      <c r="H1029" s="81" t="s">
        <v>11</v>
      </c>
      <c r="I1029" s="30">
        <v>45238</v>
      </c>
      <c r="J1029" s="16" t="s">
        <v>1231</v>
      </c>
      <c r="K1029" s="9" t="s">
        <v>1530</v>
      </c>
      <c r="L1029" s="9"/>
      <c r="M1029" s="152">
        <v>3105888</v>
      </c>
      <c r="N1029" s="153">
        <v>590118.72</v>
      </c>
      <c r="O1029" s="152">
        <v>0</v>
      </c>
      <c r="P1029" s="154">
        <v>2.5000000000000001E-2</v>
      </c>
      <c r="Q1029" s="152">
        <v>77647.199999999997</v>
      </c>
      <c r="R1029" s="9">
        <v>3618359.5199999996</v>
      </c>
      <c r="S1029" s="21" t="s">
        <v>1846</v>
      </c>
      <c r="T1029" s="117">
        <v>0</v>
      </c>
      <c r="U1029" s="117" t="s">
        <v>347</v>
      </c>
      <c r="V1029" s="117">
        <v>2023</v>
      </c>
      <c r="W1029" s="117">
        <v>6</v>
      </c>
      <c r="X1029" s="117">
        <v>1145000</v>
      </c>
      <c r="Y1029" s="117">
        <v>2.5000000000000001E-2</v>
      </c>
      <c r="Z1029" s="21" t="b">
        <v>0</v>
      </c>
      <c r="AA1029" s="162">
        <f>+$AD$5-Tabla2[[#This Row],[FECHA DE FACTURACIÓN]]</f>
        <v>205</v>
      </c>
      <c r="AB1029" s="163" t="str">
        <f>+IF(Tabla2[[#This Row],[dias de credito]]&gt;=Tabla2[[#This Row],[PLAZO Días]],"venc", "No venc")</f>
        <v>venc</v>
      </c>
      <c r="AC1029" s="163" t="str">
        <f>+IF(Tabla2[[#This Row],[FECHA DE PAGO]]&gt;0,"pagada","por pagar")</f>
        <v>pagada</v>
      </c>
      <c r="AD1029" s="164" t="str">
        <f>+IF(AND(Tabla2[[#This Row],[venc]]="venc",Tabla2[[#This Row],[estado pago]]="por pagar"),"vencida","no")</f>
        <v>no</v>
      </c>
    </row>
    <row r="1030" spans="1:30" ht="19.5" hidden="1" customHeight="1" x14ac:dyDescent="0.25">
      <c r="A1030" s="8" t="s">
        <v>1850</v>
      </c>
      <c r="B1030" s="8" t="s">
        <v>1851</v>
      </c>
      <c r="C1030" s="8">
        <v>30</v>
      </c>
      <c r="D1030" s="151">
        <v>1776037.21</v>
      </c>
      <c r="E1030" s="151"/>
      <c r="F1030" s="24" t="s">
        <v>148</v>
      </c>
      <c r="G1030" s="30">
        <v>45272</v>
      </c>
      <c r="H1030" s="81" t="s">
        <v>17</v>
      </c>
      <c r="I1030" s="30">
        <v>45239</v>
      </c>
      <c r="J1030" s="16" t="s">
        <v>1229</v>
      </c>
      <c r="K1030" s="9" t="s">
        <v>1530</v>
      </c>
      <c r="L1030" s="9"/>
      <c r="M1030" s="152">
        <v>1597368</v>
      </c>
      <c r="N1030" s="153">
        <v>303499.92</v>
      </c>
      <c r="O1030" s="152">
        <v>0</v>
      </c>
      <c r="P1030" s="154">
        <v>0</v>
      </c>
      <c r="Q1030" s="152">
        <v>0</v>
      </c>
      <c r="R1030" s="9">
        <v>1900867.92</v>
      </c>
      <c r="S1030" s="21" t="s">
        <v>1846</v>
      </c>
      <c r="T1030" s="117">
        <v>0</v>
      </c>
      <c r="U1030" s="117">
        <v>0</v>
      </c>
      <c r="V1030" s="117">
        <v>2023</v>
      </c>
      <c r="W1030" s="117">
        <v>6</v>
      </c>
      <c r="X1030" s="117">
        <v>0</v>
      </c>
      <c r="Y1030" s="117">
        <v>0</v>
      </c>
      <c r="Z1030" s="21" t="b">
        <v>0</v>
      </c>
      <c r="AA1030" s="162">
        <f>+$AD$5-Tabla2[[#This Row],[FECHA DE FACTURACIÓN]]</f>
        <v>204</v>
      </c>
      <c r="AB1030" s="163" t="str">
        <f>+IF(Tabla2[[#This Row],[dias de credito]]&gt;=Tabla2[[#This Row],[PLAZO Días]],"venc", "No venc")</f>
        <v>venc</v>
      </c>
      <c r="AC1030" s="163" t="str">
        <f>+IF(Tabla2[[#This Row],[FECHA DE PAGO]]&gt;0,"pagada","por pagar")</f>
        <v>pagada</v>
      </c>
      <c r="AD1030" s="164" t="str">
        <f>+IF(AND(Tabla2[[#This Row],[venc]]="venc",Tabla2[[#This Row],[estado pago]]="por pagar"),"vencida","no")</f>
        <v>no</v>
      </c>
    </row>
    <row r="1031" spans="1:30" ht="19.5" hidden="1" customHeight="1" x14ac:dyDescent="0.25">
      <c r="A1031" s="8" t="s">
        <v>1852</v>
      </c>
      <c r="B1031" s="8" t="b">
        <v>0</v>
      </c>
      <c r="C1031" s="8">
        <v>60</v>
      </c>
      <c r="D1031" s="151">
        <v>0</v>
      </c>
      <c r="E1031" s="151"/>
      <c r="F1031" s="24" t="s">
        <v>399</v>
      </c>
      <c r="G1031" s="30">
        <v>45272</v>
      </c>
      <c r="H1031" s="81" t="s">
        <v>65</v>
      </c>
      <c r="I1031" s="30">
        <v>45272</v>
      </c>
      <c r="J1031" s="16" t="s">
        <v>1456</v>
      </c>
      <c r="K1031" s="9" t="s">
        <v>1530</v>
      </c>
      <c r="L1031" s="9"/>
      <c r="M1031" s="152">
        <v>-10084034</v>
      </c>
      <c r="N1031" s="153">
        <v>-1915966.46</v>
      </c>
      <c r="O1031" s="152">
        <v>0</v>
      </c>
      <c r="P1031" s="154">
        <v>0</v>
      </c>
      <c r="Q1031" s="152">
        <v>0</v>
      </c>
      <c r="R1031" s="9">
        <v>-12000000.460000001</v>
      </c>
      <c r="S1031" s="21" t="s">
        <v>1846</v>
      </c>
      <c r="T1031" s="117">
        <v>0</v>
      </c>
      <c r="U1031" s="117" t="s">
        <v>347</v>
      </c>
      <c r="V1031" s="117">
        <v>2023</v>
      </c>
      <c r="W1031" s="117">
        <v>6</v>
      </c>
      <c r="X1031" s="117">
        <v>1145000</v>
      </c>
      <c r="Y1031" s="117">
        <v>2.5000000000000001E-2</v>
      </c>
      <c r="Z1031" s="21" t="b">
        <v>0</v>
      </c>
      <c r="AA1031" s="162">
        <f>+$AD$5-Tabla2[[#This Row],[FECHA DE FACTURACIÓN]]</f>
        <v>171</v>
      </c>
      <c r="AB1031" s="163" t="str">
        <f>+IF(Tabla2[[#This Row],[dias de credito]]&gt;=Tabla2[[#This Row],[PLAZO Días]],"venc", "No venc")</f>
        <v>venc</v>
      </c>
      <c r="AC1031" s="163" t="str">
        <f>+IF(Tabla2[[#This Row],[FECHA DE PAGO]]&gt;0,"pagada","por pagar")</f>
        <v>pagada</v>
      </c>
      <c r="AD1031" s="164" t="str">
        <f>+IF(AND(Tabla2[[#This Row],[venc]]="venc",Tabla2[[#This Row],[estado pago]]="por pagar"),"vencida","no")</f>
        <v>no</v>
      </c>
    </row>
    <row r="1032" spans="1:30" ht="19.5" hidden="1" customHeight="1" x14ac:dyDescent="0.25">
      <c r="A1032" s="8" t="s">
        <v>1852</v>
      </c>
      <c r="B1032" s="8" t="b">
        <v>0</v>
      </c>
      <c r="C1032" s="8">
        <v>30</v>
      </c>
      <c r="D1032" s="151">
        <v>352000</v>
      </c>
      <c r="E1032" s="151"/>
      <c r="F1032" s="24" t="s">
        <v>84</v>
      </c>
      <c r="G1032" s="30">
        <v>45272</v>
      </c>
      <c r="H1032" s="81" t="s">
        <v>527</v>
      </c>
      <c r="I1032" s="30">
        <v>45272</v>
      </c>
      <c r="J1032" s="16" t="s">
        <v>1376</v>
      </c>
      <c r="K1032" s="9" t="s">
        <v>1530</v>
      </c>
      <c r="L1032" s="9"/>
      <c r="M1032" s="152">
        <v>195000</v>
      </c>
      <c r="N1032" s="153">
        <v>0</v>
      </c>
      <c r="O1032" s="152">
        <v>0</v>
      </c>
      <c r="P1032" s="154">
        <v>0</v>
      </c>
      <c r="Q1032" s="152">
        <v>0</v>
      </c>
      <c r="R1032" s="9">
        <v>195000</v>
      </c>
      <c r="S1032" s="21" t="s">
        <v>1846</v>
      </c>
      <c r="T1032" s="117">
        <v>0</v>
      </c>
      <c r="U1032" s="117">
        <v>0</v>
      </c>
      <c r="V1032" s="117">
        <v>2023</v>
      </c>
      <c r="W1032" s="117">
        <v>6</v>
      </c>
      <c r="X1032" s="117">
        <v>0</v>
      </c>
      <c r="Y1032" s="117">
        <v>0</v>
      </c>
      <c r="Z1032" s="21" t="b">
        <v>0</v>
      </c>
      <c r="AA1032" s="162">
        <f>+$AD$5-Tabla2[[#This Row],[FECHA DE FACTURACIÓN]]</f>
        <v>171</v>
      </c>
      <c r="AB1032" s="163" t="str">
        <f>+IF(Tabla2[[#This Row],[dias de credito]]&gt;=Tabla2[[#This Row],[PLAZO Días]],"venc", "No venc")</f>
        <v>venc</v>
      </c>
      <c r="AC1032" s="163" t="str">
        <f>+IF(Tabla2[[#This Row],[FECHA DE PAGO]]&gt;0,"pagada","por pagar")</f>
        <v>pagada</v>
      </c>
      <c r="AD1032" s="164" t="str">
        <f>+IF(AND(Tabla2[[#This Row],[venc]]="venc",Tabla2[[#This Row],[estado pago]]="por pagar"),"vencida","no")</f>
        <v>no</v>
      </c>
    </row>
    <row r="1033" spans="1:30" ht="19.5" hidden="1" customHeight="1" x14ac:dyDescent="0.25">
      <c r="A1033" s="8" t="s">
        <v>1852</v>
      </c>
      <c r="B1033" s="8" t="b">
        <v>0</v>
      </c>
      <c r="C1033" s="8">
        <v>30</v>
      </c>
      <c r="D1033" s="151">
        <v>0</v>
      </c>
      <c r="E1033" s="151"/>
      <c r="F1033" s="24">
        <v>0</v>
      </c>
      <c r="G1033" s="30">
        <v>45272</v>
      </c>
      <c r="H1033" s="81" t="s">
        <v>547</v>
      </c>
      <c r="I1033" s="30">
        <v>45272</v>
      </c>
      <c r="J1033" s="16" t="s">
        <v>1344</v>
      </c>
      <c r="K1033" s="9" t="s">
        <v>1530</v>
      </c>
      <c r="L1033" s="9"/>
      <c r="M1033" s="152">
        <v>275000</v>
      </c>
      <c r="N1033" s="153">
        <v>52250</v>
      </c>
      <c r="O1033" s="152">
        <v>0</v>
      </c>
      <c r="P1033" s="154">
        <v>0</v>
      </c>
      <c r="Q1033" s="152">
        <v>0</v>
      </c>
      <c r="R1033" s="9">
        <v>327250</v>
      </c>
      <c r="S1033" s="21" t="s">
        <v>1846</v>
      </c>
      <c r="T1033" s="117">
        <v>0</v>
      </c>
      <c r="U1033" s="117" t="s">
        <v>347</v>
      </c>
      <c r="V1033" s="117">
        <v>2023</v>
      </c>
      <c r="W1033" s="117">
        <v>6</v>
      </c>
      <c r="X1033" s="117">
        <v>1145000</v>
      </c>
      <c r="Y1033" s="117">
        <v>2.5000000000000001E-2</v>
      </c>
      <c r="Z1033" s="21" t="b">
        <v>0</v>
      </c>
      <c r="AA1033" s="162">
        <f>+$AD$5-Tabla2[[#This Row],[FECHA DE FACTURACIÓN]]</f>
        <v>171</v>
      </c>
      <c r="AB1033" s="163" t="str">
        <f>+IF(Tabla2[[#This Row],[dias de credito]]&gt;=Tabla2[[#This Row],[PLAZO Días]],"venc", "No venc")</f>
        <v>venc</v>
      </c>
      <c r="AC1033" s="163" t="str">
        <f>+IF(Tabla2[[#This Row],[FECHA DE PAGO]]&gt;0,"pagada","por pagar")</f>
        <v>pagada</v>
      </c>
      <c r="AD1033" s="164" t="str">
        <f>+IF(AND(Tabla2[[#This Row],[venc]]="venc",Tabla2[[#This Row],[estado pago]]="por pagar"),"vencida","no")</f>
        <v>no</v>
      </c>
    </row>
    <row r="1034" spans="1:30" ht="19.5" hidden="1" customHeight="1" x14ac:dyDescent="0.25">
      <c r="A1034" s="8" t="s">
        <v>1850</v>
      </c>
      <c r="B1034" s="8" t="s">
        <v>1851</v>
      </c>
      <c r="C1034" s="8">
        <v>30</v>
      </c>
      <c r="D1034" s="151">
        <v>352000</v>
      </c>
      <c r="E1034" s="151"/>
      <c r="F1034" s="24" t="s">
        <v>84</v>
      </c>
      <c r="G1034" s="30">
        <v>45273</v>
      </c>
      <c r="H1034" s="81" t="s">
        <v>527</v>
      </c>
      <c r="I1034" s="30">
        <v>45194</v>
      </c>
      <c r="J1034" s="16">
        <v>70</v>
      </c>
      <c r="K1034" s="9" t="s">
        <v>1530</v>
      </c>
      <c r="L1034" s="9"/>
      <c r="M1034" s="152">
        <v>65000</v>
      </c>
      <c r="N1034" s="153">
        <v>0</v>
      </c>
      <c r="O1034" s="152">
        <v>0</v>
      </c>
      <c r="P1034" s="154">
        <v>0</v>
      </c>
      <c r="Q1034" s="152">
        <v>0</v>
      </c>
      <c r="R1034" s="9">
        <v>65000</v>
      </c>
      <c r="S1034" s="21" t="s">
        <v>1846</v>
      </c>
      <c r="T1034" s="117">
        <v>0</v>
      </c>
      <c r="U1034" s="117">
        <v>0</v>
      </c>
      <c r="V1034" s="117">
        <v>2023</v>
      </c>
      <c r="W1034" s="117">
        <v>6</v>
      </c>
      <c r="X1034" s="117">
        <v>0</v>
      </c>
      <c r="Y1034" s="117">
        <v>0</v>
      </c>
      <c r="Z1034" s="21" t="b">
        <v>0</v>
      </c>
      <c r="AA1034" s="162">
        <f>+$AD$5-Tabla2[[#This Row],[FECHA DE FACTURACIÓN]]</f>
        <v>249</v>
      </c>
      <c r="AB1034" s="163" t="str">
        <f>+IF(Tabla2[[#This Row],[dias de credito]]&gt;=Tabla2[[#This Row],[PLAZO Días]],"venc", "No venc")</f>
        <v>venc</v>
      </c>
      <c r="AC1034" s="163" t="str">
        <f>+IF(Tabla2[[#This Row],[FECHA DE PAGO]]&gt;0,"pagada","por pagar")</f>
        <v>pagada</v>
      </c>
      <c r="AD1034" s="164" t="str">
        <f>+IF(AND(Tabla2[[#This Row],[venc]]="venc",Tabla2[[#This Row],[estado pago]]="por pagar"),"vencida","no")</f>
        <v>no</v>
      </c>
    </row>
    <row r="1035" spans="1:30" ht="19.5" hidden="1" customHeight="1" x14ac:dyDescent="0.25">
      <c r="A1035" s="8" t="s">
        <v>1850</v>
      </c>
      <c r="B1035" s="8" t="s">
        <v>1851</v>
      </c>
      <c r="C1035" s="8">
        <v>30</v>
      </c>
      <c r="D1035" s="151">
        <v>352000</v>
      </c>
      <c r="E1035" s="151"/>
      <c r="F1035" s="24" t="s">
        <v>84</v>
      </c>
      <c r="G1035" s="30">
        <v>45273</v>
      </c>
      <c r="H1035" s="81" t="s">
        <v>527</v>
      </c>
      <c r="I1035" s="30">
        <v>45231</v>
      </c>
      <c r="J1035" s="16">
        <v>69</v>
      </c>
      <c r="K1035" s="9" t="s">
        <v>1530</v>
      </c>
      <c r="L1035" s="9"/>
      <c r="M1035" s="152">
        <v>78000</v>
      </c>
      <c r="N1035" s="153">
        <v>0</v>
      </c>
      <c r="O1035" s="152">
        <v>0</v>
      </c>
      <c r="P1035" s="154">
        <v>0</v>
      </c>
      <c r="Q1035" s="152">
        <v>0</v>
      </c>
      <c r="R1035" s="9">
        <v>78000</v>
      </c>
      <c r="S1035" s="21" t="s">
        <v>1846</v>
      </c>
      <c r="T1035" s="117">
        <v>0</v>
      </c>
      <c r="U1035" s="117">
        <v>0</v>
      </c>
      <c r="V1035" s="117">
        <v>2023</v>
      </c>
      <c r="W1035" s="117">
        <v>6</v>
      </c>
      <c r="X1035" s="117">
        <v>0</v>
      </c>
      <c r="Y1035" s="117">
        <v>0</v>
      </c>
      <c r="Z1035" s="21" t="b">
        <v>0</v>
      </c>
      <c r="AA1035" s="162">
        <f>+$AD$5-Tabla2[[#This Row],[FECHA DE FACTURACIÓN]]</f>
        <v>212</v>
      </c>
      <c r="AB1035" s="163" t="str">
        <f>+IF(Tabla2[[#This Row],[dias de credito]]&gt;=Tabla2[[#This Row],[PLAZO Días]],"venc", "No venc")</f>
        <v>venc</v>
      </c>
      <c r="AC1035" s="163" t="str">
        <f>+IF(Tabla2[[#This Row],[FECHA DE PAGO]]&gt;0,"pagada","por pagar")</f>
        <v>pagada</v>
      </c>
      <c r="AD1035" s="164" t="str">
        <f>+IF(AND(Tabla2[[#This Row],[venc]]="venc",Tabla2[[#This Row],[estado pago]]="por pagar"),"vencida","no")</f>
        <v>no</v>
      </c>
    </row>
    <row r="1036" spans="1:30" ht="19.5" hidden="1" customHeight="1" x14ac:dyDescent="0.25">
      <c r="A1036" s="8" t="s">
        <v>1850</v>
      </c>
      <c r="B1036" s="8" t="s">
        <v>1851</v>
      </c>
      <c r="C1036" s="8">
        <v>30</v>
      </c>
      <c r="D1036" s="151">
        <v>3130000</v>
      </c>
      <c r="E1036" s="151"/>
      <c r="F1036" s="24">
        <v>0</v>
      </c>
      <c r="G1036" s="30">
        <v>45273</v>
      </c>
      <c r="H1036" s="81" t="s">
        <v>472</v>
      </c>
      <c r="I1036" s="30">
        <v>45240</v>
      </c>
      <c r="J1036" s="16" t="s">
        <v>1211</v>
      </c>
      <c r="K1036" s="9" t="s">
        <v>1530</v>
      </c>
      <c r="L1036" s="9"/>
      <c r="M1036" s="152">
        <v>1991500</v>
      </c>
      <c r="N1036" s="153">
        <v>0</v>
      </c>
      <c r="O1036" s="152">
        <v>0</v>
      </c>
      <c r="P1036" s="154">
        <v>0</v>
      </c>
      <c r="Q1036" s="152">
        <v>0</v>
      </c>
      <c r="R1036" s="9">
        <v>1991500</v>
      </c>
      <c r="S1036" s="21" t="s">
        <v>1846</v>
      </c>
      <c r="T1036" s="117">
        <v>0</v>
      </c>
      <c r="U1036" s="117">
        <v>0</v>
      </c>
      <c r="V1036" s="117">
        <v>2023</v>
      </c>
      <c r="W1036" s="117">
        <v>6</v>
      </c>
      <c r="X1036" s="117">
        <v>0</v>
      </c>
      <c r="Y1036" s="117">
        <v>0</v>
      </c>
      <c r="Z1036" s="21" t="b">
        <v>0</v>
      </c>
      <c r="AA1036" s="162">
        <f>+$AD$5-Tabla2[[#This Row],[FECHA DE FACTURACIÓN]]</f>
        <v>203</v>
      </c>
      <c r="AB1036" s="163" t="str">
        <f>+IF(Tabla2[[#This Row],[dias de credito]]&gt;=Tabla2[[#This Row],[PLAZO Días]],"venc", "No venc")</f>
        <v>venc</v>
      </c>
      <c r="AC1036" s="163" t="str">
        <f>+IF(Tabla2[[#This Row],[FECHA DE PAGO]]&gt;0,"pagada","por pagar")</f>
        <v>pagada</v>
      </c>
      <c r="AD1036" s="164" t="str">
        <f>+IF(AND(Tabla2[[#This Row],[venc]]="venc",Tabla2[[#This Row],[estado pago]]="por pagar"),"vencida","no")</f>
        <v>no</v>
      </c>
    </row>
    <row r="1037" spans="1:30" ht="19.5" hidden="1" customHeight="1" x14ac:dyDescent="0.25">
      <c r="A1037" s="8" t="s">
        <v>1850</v>
      </c>
      <c r="B1037" s="8" t="b">
        <v>0</v>
      </c>
      <c r="C1037" s="8">
        <v>30</v>
      </c>
      <c r="D1037" s="151">
        <v>3130000</v>
      </c>
      <c r="E1037" s="151"/>
      <c r="F1037" s="24">
        <v>0</v>
      </c>
      <c r="G1037" s="30">
        <v>45273</v>
      </c>
      <c r="H1037" s="81" t="s">
        <v>472</v>
      </c>
      <c r="I1037" s="30">
        <v>45252</v>
      </c>
      <c r="J1037" s="16" t="s">
        <v>1272</v>
      </c>
      <c r="K1037" s="9" t="s">
        <v>1530</v>
      </c>
      <c r="L1037" s="9"/>
      <c r="M1037" s="152">
        <v>2250000</v>
      </c>
      <c r="N1037" s="153">
        <v>0</v>
      </c>
      <c r="O1037" s="152">
        <v>0</v>
      </c>
      <c r="P1037" s="154">
        <v>0</v>
      </c>
      <c r="Q1037" s="152">
        <v>0</v>
      </c>
      <c r="R1037" s="9">
        <v>2250000</v>
      </c>
      <c r="S1037" s="21" t="s">
        <v>1846</v>
      </c>
      <c r="T1037" s="117">
        <v>0</v>
      </c>
      <c r="U1037" s="117">
        <v>0</v>
      </c>
      <c r="V1037" s="117">
        <v>2023</v>
      </c>
      <c r="W1037" s="117">
        <v>6</v>
      </c>
      <c r="X1037" s="117">
        <v>0</v>
      </c>
      <c r="Y1037" s="117">
        <v>0</v>
      </c>
      <c r="Z1037" s="21" t="b">
        <v>0</v>
      </c>
      <c r="AA1037" s="162">
        <f>+$AD$5-Tabla2[[#This Row],[FECHA DE FACTURACIÓN]]</f>
        <v>191</v>
      </c>
      <c r="AB1037" s="163" t="str">
        <f>+IF(Tabla2[[#This Row],[dias de credito]]&gt;=Tabla2[[#This Row],[PLAZO Días]],"venc", "No venc")</f>
        <v>venc</v>
      </c>
      <c r="AC1037" s="163" t="str">
        <f>+IF(Tabla2[[#This Row],[FECHA DE PAGO]]&gt;0,"pagada","por pagar")</f>
        <v>pagada</v>
      </c>
      <c r="AD1037" s="164" t="str">
        <f>+IF(AND(Tabla2[[#This Row],[venc]]="venc",Tabla2[[#This Row],[estado pago]]="por pagar"),"vencida","no")</f>
        <v>no</v>
      </c>
    </row>
    <row r="1038" spans="1:30" ht="19.5" hidden="1" customHeight="1" x14ac:dyDescent="0.25">
      <c r="A1038" s="8" t="s">
        <v>1850</v>
      </c>
      <c r="B1038" s="8" t="b">
        <v>0</v>
      </c>
      <c r="C1038" s="8">
        <v>30</v>
      </c>
      <c r="D1038" s="151">
        <v>0</v>
      </c>
      <c r="E1038" s="151"/>
      <c r="F1038" s="24" t="s">
        <v>84</v>
      </c>
      <c r="G1038" s="30">
        <v>45273</v>
      </c>
      <c r="H1038" s="81" t="s">
        <v>525</v>
      </c>
      <c r="I1038" s="30">
        <v>45258</v>
      </c>
      <c r="J1038" s="16" t="s">
        <v>1243</v>
      </c>
      <c r="K1038" s="9" t="s">
        <v>1530</v>
      </c>
      <c r="L1038" s="9"/>
      <c r="M1038" s="152">
        <v>821850</v>
      </c>
      <c r="N1038" s="153">
        <v>0</v>
      </c>
      <c r="O1038" s="152">
        <v>0</v>
      </c>
      <c r="P1038" s="154">
        <v>0</v>
      </c>
      <c r="Q1038" s="152">
        <v>0</v>
      </c>
      <c r="R1038" s="9">
        <v>821850</v>
      </c>
      <c r="S1038" s="21" t="s">
        <v>1846</v>
      </c>
      <c r="T1038" s="117">
        <v>0</v>
      </c>
      <c r="U1038" s="117">
        <v>0</v>
      </c>
      <c r="V1038" s="117">
        <v>2023</v>
      </c>
      <c r="W1038" s="117">
        <v>6</v>
      </c>
      <c r="X1038" s="117">
        <v>0</v>
      </c>
      <c r="Y1038" s="117">
        <v>0</v>
      </c>
      <c r="Z1038" s="21" t="b">
        <v>0</v>
      </c>
      <c r="AA1038" s="162">
        <f>+$AD$5-Tabla2[[#This Row],[FECHA DE FACTURACIÓN]]</f>
        <v>185</v>
      </c>
      <c r="AB1038" s="163" t="str">
        <f>+IF(Tabla2[[#This Row],[dias de credito]]&gt;=Tabla2[[#This Row],[PLAZO Días]],"venc", "No venc")</f>
        <v>venc</v>
      </c>
      <c r="AC1038" s="163" t="str">
        <f>+IF(Tabla2[[#This Row],[FECHA DE PAGO]]&gt;0,"pagada","por pagar")</f>
        <v>pagada</v>
      </c>
      <c r="AD1038" s="164" t="str">
        <f>+IF(AND(Tabla2[[#This Row],[venc]]="venc",Tabla2[[#This Row],[estado pago]]="por pagar"),"vencida","no")</f>
        <v>no</v>
      </c>
    </row>
    <row r="1039" spans="1:30" ht="19.5" hidden="1" customHeight="1" x14ac:dyDescent="0.25">
      <c r="A1039" s="8" t="s">
        <v>1850</v>
      </c>
      <c r="B1039" s="8" t="b">
        <v>0</v>
      </c>
      <c r="C1039" s="8">
        <v>30</v>
      </c>
      <c r="D1039" s="151">
        <v>0</v>
      </c>
      <c r="E1039" s="151"/>
      <c r="F1039" s="24" t="s">
        <v>1579</v>
      </c>
      <c r="G1039" s="30">
        <v>45273</v>
      </c>
      <c r="H1039" s="81" t="s">
        <v>207</v>
      </c>
      <c r="I1039" s="30">
        <v>45272</v>
      </c>
      <c r="J1039" s="16" t="s">
        <v>1320</v>
      </c>
      <c r="K1039" s="9" t="s">
        <v>504</v>
      </c>
      <c r="L1039" s="9"/>
      <c r="M1039" s="152">
        <v>1900000</v>
      </c>
      <c r="N1039" s="153">
        <v>361000</v>
      </c>
      <c r="O1039" s="152">
        <v>0</v>
      </c>
      <c r="P1039" s="154">
        <v>2.5000000000000001E-2</v>
      </c>
      <c r="Q1039" s="152">
        <v>47500</v>
      </c>
      <c r="R1039" s="9">
        <v>2213500</v>
      </c>
      <c r="S1039" s="21" t="s">
        <v>1846</v>
      </c>
      <c r="T1039" s="117">
        <v>0</v>
      </c>
      <c r="U1039" s="117" t="s">
        <v>347</v>
      </c>
      <c r="V1039" s="117">
        <v>2023</v>
      </c>
      <c r="W1039" s="117">
        <v>6</v>
      </c>
      <c r="X1039" s="117">
        <v>1145000</v>
      </c>
      <c r="Y1039" s="117">
        <v>2.5000000000000001E-2</v>
      </c>
      <c r="Z1039" s="21" t="b">
        <v>0</v>
      </c>
      <c r="AA1039" s="162">
        <f>+$AD$5-Tabla2[[#This Row],[FECHA DE FACTURACIÓN]]</f>
        <v>171</v>
      </c>
      <c r="AB1039" s="163" t="str">
        <f>+IF(Tabla2[[#This Row],[dias de credito]]&gt;=Tabla2[[#This Row],[PLAZO Días]],"venc", "No venc")</f>
        <v>venc</v>
      </c>
      <c r="AC1039" s="163" t="str">
        <f>+IF(Tabla2[[#This Row],[FECHA DE PAGO]]&gt;0,"pagada","por pagar")</f>
        <v>pagada</v>
      </c>
      <c r="AD1039" s="164" t="str">
        <f>+IF(AND(Tabla2[[#This Row],[venc]]="venc",Tabla2[[#This Row],[estado pago]]="por pagar"),"vencida","no")</f>
        <v>no</v>
      </c>
    </row>
    <row r="1040" spans="1:30" ht="19.5" hidden="1" customHeight="1" x14ac:dyDescent="0.25">
      <c r="A1040" s="8" t="s">
        <v>1852</v>
      </c>
      <c r="B1040" s="8" t="b">
        <v>0</v>
      </c>
      <c r="C1040" s="8">
        <v>0</v>
      </c>
      <c r="D1040" s="151">
        <v>0</v>
      </c>
      <c r="E1040" s="151"/>
      <c r="F1040" s="24" t="s">
        <v>461</v>
      </c>
      <c r="G1040" s="30">
        <v>45273</v>
      </c>
      <c r="H1040" s="81" t="s">
        <v>459</v>
      </c>
      <c r="I1040" s="30">
        <v>45273</v>
      </c>
      <c r="J1040" s="16" t="s">
        <v>462</v>
      </c>
      <c r="K1040" s="9" t="s">
        <v>1530</v>
      </c>
      <c r="L1040" s="9"/>
      <c r="M1040" s="152">
        <v>1500000</v>
      </c>
      <c r="N1040" s="153">
        <v>0</v>
      </c>
      <c r="O1040" s="152">
        <v>0</v>
      </c>
      <c r="P1040" s="154">
        <v>0</v>
      </c>
      <c r="Q1040" s="152">
        <v>0</v>
      </c>
      <c r="R1040" s="9">
        <v>1500000</v>
      </c>
      <c r="S1040" s="21" t="s">
        <v>1846</v>
      </c>
      <c r="T1040" s="117">
        <v>0</v>
      </c>
      <c r="U1040" s="117">
        <v>0</v>
      </c>
      <c r="V1040" s="117">
        <v>2023</v>
      </c>
      <c r="W1040" s="117">
        <v>6</v>
      </c>
      <c r="X1040" s="117">
        <v>0</v>
      </c>
      <c r="Y1040" s="117">
        <v>0</v>
      </c>
      <c r="Z1040" s="21" t="b">
        <v>1</v>
      </c>
      <c r="AA1040" s="162">
        <f>+$AD$5-Tabla2[[#This Row],[FECHA DE FACTURACIÓN]]</f>
        <v>170</v>
      </c>
      <c r="AB1040" s="163" t="str">
        <f>+IF(Tabla2[[#This Row],[dias de credito]]&gt;=Tabla2[[#This Row],[PLAZO Días]],"venc", "No venc")</f>
        <v>venc</v>
      </c>
      <c r="AC1040" s="163" t="str">
        <f>+IF(Tabla2[[#This Row],[FECHA DE PAGO]]&gt;0,"pagada","por pagar")</f>
        <v>pagada</v>
      </c>
      <c r="AD1040" s="164" t="str">
        <f>+IF(AND(Tabla2[[#This Row],[venc]]="venc",Tabla2[[#This Row],[estado pago]]="por pagar"),"vencida","no")</f>
        <v>no</v>
      </c>
    </row>
    <row r="1041" spans="1:30" ht="19.5" hidden="1" customHeight="1" x14ac:dyDescent="0.25">
      <c r="A1041" s="8" t="s">
        <v>1852</v>
      </c>
      <c r="B1041" s="8" t="b">
        <v>0</v>
      </c>
      <c r="C1041" s="8">
        <v>30</v>
      </c>
      <c r="D1041" s="151">
        <v>1149500</v>
      </c>
      <c r="E1041" s="151"/>
      <c r="F1041" s="24" t="s">
        <v>84</v>
      </c>
      <c r="G1041" s="30">
        <v>45273</v>
      </c>
      <c r="H1041" s="81" t="s">
        <v>1822</v>
      </c>
      <c r="I1041" s="30">
        <v>45273</v>
      </c>
      <c r="J1041" s="16">
        <v>1312</v>
      </c>
      <c r="K1041" s="9" t="s">
        <v>1530</v>
      </c>
      <c r="L1041" s="9"/>
      <c r="M1041" s="152">
        <v>1172300</v>
      </c>
      <c r="N1041" s="153">
        <v>0</v>
      </c>
      <c r="O1041" s="152">
        <v>0</v>
      </c>
      <c r="P1041" s="154">
        <v>0</v>
      </c>
      <c r="Q1041" s="152">
        <v>0</v>
      </c>
      <c r="R1041" s="9">
        <v>1172300</v>
      </c>
      <c r="S1041" s="21" t="s">
        <v>1846</v>
      </c>
      <c r="T1041" s="117">
        <v>0</v>
      </c>
      <c r="U1041" s="117">
        <v>0</v>
      </c>
      <c r="V1041" s="117">
        <v>2023</v>
      </c>
      <c r="W1041" s="117">
        <v>6</v>
      </c>
      <c r="X1041" s="117">
        <v>0</v>
      </c>
      <c r="Y1041" s="117">
        <v>0</v>
      </c>
      <c r="Z1041" s="21" t="b">
        <v>0</v>
      </c>
      <c r="AA1041" s="162">
        <f>+$AD$5-Tabla2[[#This Row],[FECHA DE FACTURACIÓN]]</f>
        <v>170</v>
      </c>
      <c r="AB1041" s="163" t="str">
        <f>+IF(Tabla2[[#This Row],[dias de credito]]&gt;=Tabla2[[#This Row],[PLAZO Días]],"venc", "No venc")</f>
        <v>venc</v>
      </c>
      <c r="AC1041" s="163" t="str">
        <f>+IF(Tabla2[[#This Row],[FECHA DE PAGO]]&gt;0,"pagada","por pagar")</f>
        <v>pagada</v>
      </c>
      <c r="AD1041" s="164" t="str">
        <f>+IF(AND(Tabla2[[#This Row],[venc]]="venc",Tabla2[[#This Row],[estado pago]]="por pagar"),"vencida","no")</f>
        <v>no</v>
      </c>
    </row>
    <row r="1042" spans="1:30" ht="19.5" hidden="1" customHeight="1" x14ac:dyDescent="0.25">
      <c r="A1042" s="8" t="s">
        <v>1850</v>
      </c>
      <c r="B1042" s="8" t="b">
        <v>0</v>
      </c>
      <c r="C1042" s="8">
        <v>30</v>
      </c>
      <c r="D1042" s="151">
        <v>0</v>
      </c>
      <c r="E1042" s="151"/>
      <c r="F1042" s="24" t="s">
        <v>84</v>
      </c>
      <c r="G1042" s="30">
        <v>45274</v>
      </c>
      <c r="H1042" s="81" t="s">
        <v>525</v>
      </c>
      <c r="I1042" s="30">
        <v>45253</v>
      </c>
      <c r="J1042" s="16" t="s">
        <v>1242</v>
      </c>
      <c r="K1042" s="9" t="s">
        <v>1530</v>
      </c>
      <c r="L1042" s="9"/>
      <c r="M1042" s="152">
        <v>22500</v>
      </c>
      <c r="N1042" s="153">
        <v>0</v>
      </c>
      <c r="O1042" s="152">
        <v>0</v>
      </c>
      <c r="P1042" s="154">
        <v>0</v>
      </c>
      <c r="Q1042" s="152">
        <v>0</v>
      </c>
      <c r="R1042" s="9">
        <v>22500</v>
      </c>
      <c r="S1042" s="21" t="s">
        <v>1846</v>
      </c>
      <c r="T1042" s="117">
        <v>0</v>
      </c>
      <c r="U1042" s="117">
        <v>0</v>
      </c>
      <c r="V1042" s="117">
        <v>2023</v>
      </c>
      <c r="W1042" s="117">
        <v>6</v>
      </c>
      <c r="X1042" s="117">
        <v>0</v>
      </c>
      <c r="Y1042" s="117">
        <v>0</v>
      </c>
      <c r="Z1042" s="21" t="b">
        <v>0</v>
      </c>
      <c r="AA1042" s="162">
        <f>+$AD$5-Tabla2[[#This Row],[FECHA DE FACTURACIÓN]]</f>
        <v>190</v>
      </c>
      <c r="AB1042" s="163" t="str">
        <f>+IF(Tabla2[[#This Row],[dias de credito]]&gt;=Tabla2[[#This Row],[PLAZO Días]],"venc", "No venc")</f>
        <v>venc</v>
      </c>
      <c r="AC1042" s="163" t="str">
        <f>+IF(Tabla2[[#This Row],[FECHA DE PAGO]]&gt;0,"pagada","por pagar")</f>
        <v>pagada</v>
      </c>
      <c r="AD1042" s="164" t="str">
        <f>+IF(AND(Tabla2[[#This Row],[venc]]="venc",Tabla2[[#This Row],[estado pago]]="por pagar"),"vencida","no")</f>
        <v>no</v>
      </c>
    </row>
    <row r="1043" spans="1:30" ht="19.5" hidden="1" customHeight="1" x14ac:dyDescent="0.25">
      <c r="A1043" s="8" t="s">
        <v>1852</v>
      </c>
      <c r="B1043" s="8" t="b">
        <v>0</v>
      </c>
      <c r="C1043" s="8">
        <v>60</v>
      </c>
      <c r="D1043" s="151">
        <v>0</v>
      </c>
      <c r="E1043" s="151"/>
      <c r="F1043" s="24" t="s">
        <v>399</v>
      </c>
      <c r="G1043" s="30">
        <v>45274</v>
      </c>
      <c r="H1043" s="81" t="s">
        <v>65</v>
      </c>
      <c r="I1043" s="30">
        <v>45274</v>
      </c>
      <c r="J1043" s="16" t="s">
        <v>1526</v>
      </c>
      <c r="K1043" s="9" t="s">
        <v>1530</v>
      </c>
      <c r="L1043" s="9"/>
      <c r="M1043" s="152">
        <v>-12000000</v>
      </c>
      <c r="N1043" s="153">
        <v>-2280000</v>
      </c>
      <c r="O1043" s="152">
        <v>0</v>
      </c>
      <c r="P1043" s="154">
        <v>0</v>
      </c>
      <c r="Q1043" s="152">
        <v>0</v>
      </c>
      <c r="R1043" s="9">
        <v>0</v>
      </c>
      <c r="S1043" s="21" t="s">
        <v>1846</v>
      </c>
      <c r="T1043" s="117">
        <v>0</v>
      </c>
      <c r="U1043" s="117" t="s">
        <v>347</v>
      </c>
      <c r="V1043" s="117">
        <v>2023</v>
      </c>
      <c r="W1043" s="117">
        <v>6</v>
      </c>
      <c r="X1043" s="117">
        <v>1145000</v>
      </c>
      <c r="Y1043" s="117">
        <v>2.5000000000000001E-2</v>
      </c>
      <c r="Z1043" s="21" t="b">
        <v>0</v>
      </c>
      <c r="AA1043" s="162">
        <f>+$AD$5-Tabla2[[#This Row],[FECHA DE FACTURACIÓN]]</f>
        <v>169</v>
      </c>
      <c r="AB1043" s="163" t="str">
        <f>+IF(Tabla2[[#This Row],[dias de credito]]&gt;=Tabla2[[#This Row],[PLAZO Días]],"venc", "No venc")</f>
        <v>venc</v>
      </c>
      <c r="AC1043" s="163" t="str">
        <f>+IF(Tabla2[[#This Row],[FECHA DE PAGO]]&gt;0,"pagada","por pagar")</f>
        <v>pagada</v>
      </c>
      <c r="AD1043" s="164" t="str">
        <f>+IF(AND(Tabla2[[#This Row],[venc]]="venc",Tabla2[[#This Row],[estado pago]]="por pagar"),"vencida","no")</f>
        <v>no</v>
      </c>
    </row>
    <row r="1044" spans="1:30" ht="19.5" hidden="1" customHeight="1" x14ac:dyDescent="0.25">
      <c r="A1044" s="8" t="s">
        <v>1852</v>
      </c>
      <c r="B1044" s="8" t="b">
        <v>0</v>
      </c>
      <c r="C1044" s="8">
        <v>30</v>
      </c>
      <c r="D1044" s="151">
        <v>0</v>
      </c>
      <c r="E1044" s="151"/>
      <c r="F1044" s="24" t="s">
        <v>84</v>
      </c>
      <c r="G1044" s="30">
        <v>45274</v>
      </c>
      <c r="H1044" s="81" t="s">
        <v>1824</v>
      </c>
      <c r="I1044" s="30">
        <v>45274</v>
      </c>
      <c r="J1044" s="16"/>
      <c r="K1044" s="9" t="s">
        <v>1530</v>
      </c>
      <c r="L1044" s="9"/>
      <c r="M1044" s="152">
        <v>1300850</v>
      </c>
      <c r="N1044" s="153">
        <v>0</v>
      </c>
      <c r="O1044" s="152">
        <v>0</v>
      </c>
      <c r="P1044" s="154">
        <v>0</v>
      </c>
      <c r="Q1044" s="152">
        <v>0</v>
      </c>
      <c r="R1044" s="9">
        <v>1300850</v>
      </c>
      <c r="S1044" s="21" t="s">
        <v>1846</v>
      </c>
      <c r="T1044" s="117">
        <v>0</v>
      </c>
      <c r="U1044" s="117">
        <v>0</v>
      </c>
      <c r="V1044" s="117">
        <v>2023</v>
      </c>
      <c r="W1044" s="117">
        <v>6</v>
      </c>
      <c r="X1044" s="117">
        <v>0</v>
      </c>
      <c r="Y1044" s="117">
        <v>0</v>
      </c>
      <c r="Z1044" s="21" t="b">
        <v>0</v>
      </c>
      <c r="AA1044" s="162">
        <f>+$AD$5-Tabla2[[#This Row],[FECHA DE FACTURACIÓN]]</f>
        <v>169</v>
      </c>
      <c r="AB1044" s="163" t="str">
        <f>+IF(Tabla2[[#This Row],[dias de credito]]&gt;=Tabla2[[#This Row],[PLAZO Días]],"venc", "No venc")</f>
        <v>venc</v>
      </c>
      <c r="AC1044" s="163" t="str">
        <f>+IF(Tabla2[[#This Row],[FECHA DE PAGO]]&gt;0,"pagada","por pagar")</f>
        <v>pagada</v>
      </c>
      <c r="AD1044" s="164" t="str">
        <f>+IF(AND(Tabla2[[#This Row],[venc]]="venc",Tabla2[[#This Row],[estado pago]]="por pagar"),"vencida","no")</f>
        <v>no</v>
      </c>
    </row>
    <row r="1045" spans="1:30" ht="19.5" hidden="1" customHeight="1" x14ac:dyDescent="0.25">
      <c r="A1045" s="8" t="s">
        <v>1850</v>
      </c>
      <c r="B1045" s="8" t="s">
        <v>1851</v>
      </c>
      <c r="C1045" s="8">
        <v>13</v>
      </c>
      <c r="D1045" s="151">
        <v>0</v>
      </c>
      <c r="E1045" s="151"/>
      <c r="F1045" s="24">
        <v>0</v>
      </c>
      <c r="G1045" s="30">
        <v>45275</v>
      </c>
      <c r="H1045" s="81" t="s">
        <v>389</v>
      </c>
      <c r="I1045" s="30">
        <v>45261</v>
      </c>
      <c r="J1045" s="16"/>
      <c r="K1045" s="9" t="s">
        <v>1530</v>
      </c>
      <c r="L1045" s="9"/>
      <c r="M1045" s="152">
        <v>777310</v>
      </c>
      <c r="N1045" s="153">
        <v>0</v>
      </c>
      <c r="O1045" s="152">
        <v>0</v>
      </c>
      <c r="P1045" s="154">
        <v>0</v>
      </c>
      <c r="Q1045" s="152">
        <v>0</v>
      </c>
      <c r="R1045" s="9">
        <v>777310</v>
      </c>
      <c r="S1045" s="21" t="s">
        <v>1846</v>
      </c>
      <c r="T1045" s="117">
        <v>0</v>
      </c>
      <c r="U1045" s="117">
        <v>0</v>
      </c>
      <c r="V1045" s="117">
        <v>2023</v>
      </c>
      <c r="W1045" s="117">
        <v>6</v>
      </c>
      <c r="X1045" s="117">
        <v>0</v>
      </c>
      <c r="Y1045" s="117">
        <v>0</v>
      </c>
      <c r="Z1045" s="21" t="b">
        <v>1</v>
      </c>
      <c r="AA1045" s="162">
        <f>+$AD$5-Tabla2[[#This Row],[FECHA DE FACTURACIÓN]]</f>
        <v>182</v>
      </c>
      <c r="AB1045" s="163" t="str">
        <f>+IF(Tabla2[[#This Row],[dias de credito]]&gt;=Tabla2[[#This Row],[PLAZO Días]],"venc", "No venc")</f>
        <v>venc</v>
      </c>
      <c r="AC1045" s="163" t="str">
        <f>+IF(Tabla2[[#This Row],[FECHA DE PAGO]]&gt;0,"pagada","por pagar")</f>
        <v>pagada</v>
      </c>
      <c r="AD1045" s="164" t="str">
        <f>+IF(AND(Tabla2[[#This Row],[venc]]="venc",Tabla2[[#This Row],[estado pago]]="por pagar"),"vencida","no")</f>
        <v>no</v>
      </c>
    </row>
    <row r="1046" spans="1:30" ht="19.5" hidden="1" customHeight="1" x14ac:dyDescent="0.25">
      <c r="A1046" s="8" t="s">
        <v>1852</v>
      </c>
      <c r="B1046" s="8" t="b">
        <v>0</v>
      </c>
      <c r="C1046" s="8">
        <v>30</v>
      </c>
      <c r="D1046" s="151">
        <v>0</v>
      </c>
      <c r="E1046" s="151"/>
      <c r="F1046" s="24" t="s">
        <v>84</v>
      </c>
      <c r="G1046" s="30">
        <v>45275</v>
      </c>
      <c r="H1046" s="81" t="s">
        <v>525</v>
      </c>
      <c r="I1046" s="30">
        <v>45275</v>
      </c>
      <c r="J1046" s="16" t="s">
        <v>1336</v>
      </c>
      <c r="K1046" s="9" t="s">
        <v>1530</v>
      </c>
      <c r="L1046" s="9"/>
      <c r="M1046" s="152">
        <v>180000</v>
      </c>
      <c r="N1046" s="153">
        <v>0</v>
      </c>
      <c r="O1046" s="152">
        <v>0</v>
      </c>
      <c r="P1046" s="154">
        <v>0</v>
      </c>
      <c r="Q1046" s="152">
        <v>0</v>
      </c>
      <c r="R1046" s="9">
        <v>180000</v>
      </c>
      <c r="S1046" s="21" t="s">
        <v>1846</v>
      </c>
      <c r="T1046" s="117">
        <v>0</v>
      </c>
      <c r="U1046" s="117">
        <v>0</v>
      </c>
      <c r="V1046" s="117">
        <v>2023</v>
      </c>
      <c r="W1046" s="117">
        <v>6</v>
      </c>
      <c r="X1046" s="117">
        <v>0</v>
      </c>
      <c r="Y1046" s="117">
        <v>0</v>
      </c>
      <c r="Z1046" s="21" t="b">
        <v>0</v>
      </c>
      <c r="AA1046" s="162">
        <f>+$AD$5-Tabla2[[#This Row],[FECHA DE FACTURACIÓN]]</f>
        <v>168</v>
      </c>
      <c r="AB1046" s="163" t="str">
        <f>+IF(Tabla2[[#This Row],[dias de credito]]&gt;=Tabla2[[#This Row],[PLAZO Días]],"venc", "No venc")</f>
        <v>venc</v>
      </c>
      <c r="AC1046" s="163" t="str">
        <f>+IF(Tabla2[[#This Row],[FECHA DE PAGO]]&gt;0,"pagada","por pagar")</f>
        <v>pagada</v>
      </c>
      <c r="AD1046" s="164" t="str">
        <f>+IF(AND(Tabla2[[#This Row],[venc]]="venc",Tabla2[[#This Row],[estado pago]]="por pagar"),"vencida","no")</f>
        <v>no</v>
      </c>
    </row>
    <row r="1047" spans="1:30" ht="19.5" hidden="1" customHeight="1" x14ac:dyDescent="0.25">
      <c r="A1047" s="8" t="s">
        <v>1852</v>
      </c>
      <c r="B1047" s="8" t="b">
        <v>0</v>
      </c>
      <c r="C1047" s="8">
        <v>30</v>
      </c>
      <c r="D1047" s="151">
        <v>0</v>
      </c>
      <c r="E1047" s="151"/>
      <c r="F1047" s="24">
        <v>0</v>
      </c>
      <c r="G1047" s="30">
        <v>45276</v>
      </c>
      <c r="H1047" s="81" t="s">
        <v>497</v>
      </c>
      <c r="I1047" s="30">
        <v>45276</v>
      </c>
      <c r="J1047" s="16" t="s">
        <v>1350</v>
      </c>
      <c r="K1047" s="9" t="s">
        <v>1530</v>
      </c>
      <c r="L1047" s="9"/>
      <c r="M1047" s="152">
        <v>516000</v>
      </c>
      <c r="N1047" s="153">
        <v>98040</v>
      </c>
      <c r="O1047" s="152">
        <v>0</v>
      </c>
      <c r="P1047" s="154">
        <v>0</v>
      </c>
      <c r="Q1047" s="152">
        <v>0</v>
      </c>
      <c r="R1047" s="9">
        <v>614040</v>
      </c>
      <c r="S1047" s="21" t="s">
        <v>1846</v>
      </c>
      <c r="T1047" s="117">
        <v>0</v>
      </c>
      <c r="U1047" s="117" t="s">
        <v>347</v>
      </c>
      <c r="V1047" s="117">
        <v>2023</v>
      </c>
      <c r="W1047" s="117">
        <v>6</v>
      </c>
      <c r="X1047" s="117">
        <v>1145000</v>
      </c>
      <c r="Y1047" s="117">
        <v>2.5000000000000001E-2</v>
      </c>
      <c r="Z1047" s="21" t="b">
        <v>0</v>
      </c>
      <c r="AA1047" s="162">
        <f>+$AD$5-Tabla2[[#This Row],[FECHA DE FACTURACIÓN]]</f>
        <v>167</v>
      </c>
      <c r="AB1047" s="163" t="str">
        <f>+IF(Tabla2[[#This Row],[dias de credito]]&gt;=Tabla2[[#This Row],[PLAZO Días]],"venc", "No venc")</f>
        <v>venc</v>
      </c>
      <c r="AC1047" s="163" t="str">
        <f>+IF(Tabla2[[#This Row],[FECHA DE PAGO]]&gt;0,"pagada","por pagar")</f>
        <v>pagada</v>
      </c>
      <c r="AD1047" s="164" t="str">
        <f>+IF(AND(Tabla2[[#This Row],[venc]]="venc",Tabla2[[#This Row],[estado pago]]="por pagar"),"vencida","no")</f>
        <v>no</v>
      </c>
    </row>
    <row r="1048" spans="1:30" ht="19.5" hidden="1" customHeight="1" x14ac:dyDescent="0.25">
      <c r="A1048" s="8" t="s">
        <v>1852</v>
      </c>
      <c r="B1048" s="8" t="b">
        <v>0</v>
      </c>
      <c r="C1048" s="8">
        <v>30</v>
      </c>
      <c r="D1048" s="151">
        <v>0</v>
      </c>
      <c r="E1048" s="151"/>
      <c r="F1048" s="24" t="s">
        <v>84</v>
      </c>
      <c r="G1048" s="30">
        <v>45277</v>
      </c>
      <c r="H1048" s="81" t="s">
        <v>525</v>
      </c>
      <c r="I1048" s="30">
        <v>45277</v>
      </c>
      <c r="J1048" s="16" t="s">
        <v>1120</v>
      </c>
      <c r="K1048" s="9" t="s">
        <v>1530</v>
      </c>
      <c r="L1048" s="9"/>
      <c r="M1048" s="152">
        <v>400000</v>
      </c>
      <c r="N1048" s="153">
        <v>0</v>
      </c>
      <c r="O1048" s="152">
        <v>0</v>
      </c>
      <c r="P1048" s="154">
        <v>0</v>
      </c>
      <c r="Q1048" s="152">
        <v>0</v>
      </c>
      <c r="R1048" s="9">
        <v>400000</v>
      </c>
      <c r="S1048" s="21" t="s">
        <v>1846</v>
      </c>
      <c r="T1048" s="117">
        <v>0</v>
      </c>
      <c r="U1048" s="117">
        <v>0</v>
      </c>
      <c r="V1048" s="117">
        <v>2023</v>
      </c>
      <c r="W1048" s="117">
        <v>6</v>
      </c>
      <c r="X1048" s="117">
        <v>0</v>
      </c>
      <c r="Y1048" s="117">
        <v>0</v>
      </c>
      <c r="Z1048" s="21" t="b">
        <v>0</v>
      </c>
      <c r="AA1048" s="162">
        <f>+$AD$5-Tabla2[[#This Row],[FECHA DE FACTURACIÓN]]</f>
        <v>166</v>
      </c>
      <c r="AB1048" s="163" t="str">
        <f>+IF(Tabla2[[#This Row],[dias de credito]]&gt;=Tabla2[[#This Row],[PLAZO Días]],"venc", "No venc")</f>
        <v>venc</v>
      </c>
      <c r="AC1048" s="163" t="str">
        <f>+IF(Tabla2[[#This Row],[FECHA DE PAGO]]&gt;0,"pagada","por pagar")</f>
        <v>pagada</v>
      </c>
      <c r="AD1048" s="164" t="str">
        <f>+IF(AND(Tabla2[[#This Row],[venc]]="venc",Tabla2[[#This Row],[estado pago]]="por pagar"),"vencida","no")</f>
        <v>no</v>
      </c>
    </row>
    <row r="1049" spans="1:30" ht="19.5" hidden="1" customHeight="1" x14ac:dyDescent="0.25">
      <c r="A1049" s="8" t="s">
        <v>1850</v>
      </c>
      <c r="B1049" s="8" t="s">
        <v>1851</v>
      </c>
      <c r="C1049" s="8">
        <v>30</v>
      </c>
      <c r="D1049" s="151">
        <v>4466504.835</v>
      </c>
      <c r="E1049" s="151"/>
      <c r="F1049" s="24" t="s">
        <v>1553</v>
      </c>
      <c r="G1049" s="30">
        <v>45278</v>
      </c>
      <c r="H1049" s="81" t="s">
        <v>18</v>
      </c>
      <c r="I1049" s="30">
        <v>45237</v>
      </c>
      <c r="J1049" s="16" t="s">
        <v>1223</v>
      </c>
      <c r="K1049" s="9" t="s">
        <v>1530</v>
      </c>
      <c r="L1049" s="9"/>
      <c r="M1049" s="152">
        <v>2007744</v>
      </c>
      <c r="N1049" s="153">
        <v>381471.36</v>
      </c>
      <c r="O1049" s="152">
        <v>0</v>
      </c>
      <c r="P1049" s="154">
        <v>2.5000000000000001E-2</v>
      </c>
      <c r="Q1049" s="152">
        <v>50193.600000000006</v>
      </c>
      <c r="R1049" s="9">
        <v>2339021.7599999998</v>
      </c>
      <c r="S1049" s="21" t="s">
        <v>1846</v>
      </c>
      <c r="T1049" s="117">
        <v>0</v>
      </c>
      <c r="U1049" s="117" t="s">
        <v>347</v>
      </c>
      <c r="V1049" s="117">
        <v>2023</v>
      </c>
      <c r="W1049" s="117">
        <v>6</v>
      </c>
      <c r="X1049" s="117">
        <v>1145000</v>
      </c>
      <c r="Y1049" s="117">
        <v>2.5000000000000001E-2</v>
      </c>
      <c r="Z1049" s="21" t="b">
        <v>0</v>
      </c>
      <c r="AA1049" s="162">
        <f>+$AD$5-Tabla2[[#This Row],[FECHA DE FACTURACIÓN]]</f>
        <v>206</v>
      </c>
      <c r="AB1049" s="163" t="str">
        <f>+IF(Tabla2[[#This Row],[dias de credito]]&gt;=Tabla2[[#This Row],[PLAZO Días]],"venc", "No venc")</f>
        <v>venc</v>
      </c>
      <c r="AC1049" s="163" t="str">
        <f>+IF(Tabla2[[#This Row],[FECHA DE PAGO]]&gt;0,"pagada","por pagar")</f>
        <v>pagada</v>
      </c>
      <c r="AD1049" s="164" t="str">
        <f>+IF(AND(Tabla2[[#This Row],[venc]]="venc",Tabla2[[#This Row],[estado pago]]="por pagar"),"vencida","no")</f>
        <v>no</v>
      </c>
    </row>
    <row r="1050" spans="1:30" ht="19.5" hidden="1" customHeight="1" x14ac:dyDescent="0.25">
      <c r="A1050" s="8" t="s">
        <v>1850</v>
      </c>
      <c r="B1050" s="8" t="s">
        <v>1851</v>
      </c>
      <c r="C1050" s="8">
        <v>30</v>
      </c>
      <c r="D1050" s="151">
        <v>4466504.835</v>
      </c>
      <c r="E1050" s="151"/>
      <c r="F1050" s="24" t="s">
        <v>1553</v>
      </c>
      <c r="G1050" s="30">
        <v>45278</v>
      </c>
      <c r="H1050" s="81" t="s">
        <v>18</v>
      </c>
      <c r="I1050" s="30">
        <v>45239</v>
      </c>
      <c r="J1050" s="16" t="s">
        <v>1225</v>
      </c>
      <c r="K1050" s="9" t="s">
        <v>1530</v>
      </c>
      <c r="L1050" s="9"/>
      <c r="M1050" s="152">
        <v>10721534</v>
      </c>
      <c r="N1050" s="153">
        <v>2037091.46</v>
      </c>
      <c r="O1050" s="152">
        <v>0</v>
      </c>
      <c r="P1050" s="154">
        <v>2.5000000000000001E-2</v>
      </c>
      <c r="Q1050" s="152">
        <v>268038.35000000003</v>
      </c>
      <c r="R1050" s="9">
        <v>12490587.110000001</v>
      </c>
      <c r="S1050" s="21" t="s">
        <v>1846</v>
      </c>
      <c r="T1050" s="117">
        <v>0</v>
      </c>
      <c r="U1050" s="117" t="s">
        <v>347</v>
      </c>
      <c r="V1050" s="117">
        <v>2023</v>
      </c>
      <c r="W1050" s="117">
        <v>6</v>
      </c>
      <c r="X1050" s="117">
        <v>1145000</v>
      </c>
      <c r="Y1050" s="117">
        <v>2.5000000000000001E-2</v>
      </c>
      <c r="Z1050" s="21" t="b">
        <v>0</v>
      </c>
      <c r="AA1050" s="162">
        <f>+$AD$5-Tabla2[[#This Row],[FECHA DE FACTURACIÓN]]</f>
        <v>204</v>
      </c>
      <c r="AB1050" s="163" t="str">
        <f>+IF(Tabla2[[#This Row],[dias de credito]]&gt;=Tabla2[[#This Row],[PLAZO Días]],"venc", "No venc")</f>
        <v>venc</v>
      </c>
      <c r="AC1050" s="163" t="str">
        <f>+IF(Tabla2[[#This Row],[FECHA DE PAGO]]&gt;0,"pagada","por pagar")</f>
        <v>pagada</v>
      </c>
      <c r="AD1050" s="164" t="str">
        <f>+IF(AND(Tabla2[[#This Row],[venc]]="venc",Tabla2[[#This Row],[estado pago]]="por pagar"),"vencida","no")</f>
        <v>no</v>
      </c>
    </row>
    <row r="1051" spans="1:30" ht="19.5" hidden="1" customHeight="1" x14ac:dyDescent="0.25">
      <c r="A1051" s="8" t="s">
        <v>1850</v>
      </c>
      <c r="B1051" s="8" t="s">
        <v>1851</v>
      </c>
      <c r="C1051" s="8">
        <v>30</v>
      </c>
      <c r="D1051" s="151">
        <v>0</v>
      </c>
      <c r="E1051" s="151"/>
      <c r="F1051" s="24" t="s">
        <v>139</v>
      </c>
      <c r="G1051" s="30">
        <v>45278</v>
      </c>
      <c r="H1051" s="81" t="s">
        <v>948</v>
      </c>
      <c r="I1051" s="30">
        <v>45239</v>
      </c>
      <c r="J1051" s="16" t="s">
        <v>1222</v>
      </c>
      <c r="K1051" s="9" t="s">
        <v>1530</v>
      </c>
      <c r="L1051" s="9"/>
      <c r="M1051" s="152">
        <v>1593276</v>
      </c>
      <c r="N1051" s="153">
        <v>302722.44</v>
      </c>
      <c r="O1051" s="152">
        <v>0</v>
      </c>
      <c r="P1051" s="154">
        <v>2.5000000000000001E-2</v>
      </c>
      <c r="Q1051" s="152">
        <v>39831.9</v>
      </c>
      <c r="R1051" s="9">
        <v>1856166.54</v>
      </c>
      <c r="S1051" s="21" t="s">
        <v>1846</v>
      </c>
      <c r="T1051" s="117">
        <v>0</v>
      </c>
      <c r="U1051" s="117" t="s">
        <v>347</v>
      </c>
      <c r="V1051" s="117">
        <v>2023</v>
      </c>
      <c r="W1051" s="117">
        <v>6</v>
      </c>
      <c r="X1051" s="117">
        <v>1145000</v>
      </c>
      <c r="Y1051" s="117">
        <v>2.5000000000000001E-2</v>
      </c>
      <c r="Z1051" s="21" t="b">
        <v>0</v>
      </c>
      <c r="AA1051" s="162">
        <f>+$AD$5-Tabla2[[#This Row],[FECHA DE FACTURACIÓN]]</f>
        <v>204</v>
      </c>
      <c r="AB1051" s="163" t="str">
        <f>+IF(Tabla2[[#This Row],[dias de credito]]&gt;=Tabla2[[#This Row],[PLAZO Días]],"venc", "No venc")</f>
        <v>venc</v>
      </c>
      <c r="AC1051" s="163" t="str">
        <f>+IF(Tabla2[[#This Row],[FECHA DE PAGO]]&gt;0,"pagada","por pagar")</f>
        <v>pagada</v>
      </c>
      <c r="AD1051" s="164" t="str">
        <f>+IF(AND(Tabla2[[#This Row],[venc]]="venc",Tabla2[[#This Row],[estado pago]]="por pagar"),"vencida","no")</f>
        <v>no</v>
      </c>
    </row>
    <row r="1052" spans="1:30" ht="19.5" hidden="1" customHeight="1" x14ac:dyDescent="0.25">
      <c r="A1052" s="8" t="s">
        <v>1850</v>
      </c>
      <c r="B1052" s="8" t="s">
        <v>1851</v>
      </c>
      <c r="C1052" s="8">
        <v>30</v>
      </c>
      <c r="D1052" s="151">
        <v>134000</v>
      </c>
      <c r="E1052" s="151"/>
      <c r="F1052" s="24" t="s">
        <v>192</v>
      </c>
      <c r="G1052" s="30">
        <v>45278</v>
      </c>
      <c r="H1052" s="81" t="s">
        <v>1808</v>
      </c>
      <c r="I1052" s="30">
        <v>45239</v>
      </c>
      <c r="J1052" s="16" t="s">
        <v>1270</v>
      </c>
      <c r="K1052" s="9" t="s">
        <v>1530</v>
      </c>
      <c r="L1052" s="9"/>
      <c r="M1052" s="152">
        <v>606900</v>
      </c>
      <c r="N1052" s="153">
        <v>0</v>
      </c>
      <c r="O1052" s="152">
        <v>0</v>
      </c>
      <c r="P1052" s="154">
        <v>0</v>
      </c>
      <c r="Q1052" s="152">
        <v>0</v>
      </c>
      <c r="R1052" s="9">
        <v>606900</v>
      </c>
      <c r="S1052" s="21" t="s">
        <v>1846</v>
      </c>
      <c r="T1052" s="117">
        <v>0</v>
      </c>
      <c r="U1052" s="117">
        <v>0</v>
      </c>
      <c r="V1052" s="117">
        <v>2023</v>
      </c>
      <c r="W1052" s="117">
        <v>6</v>
      </c>
      <c r="X1052" s="117">
        <v>0</v>
      </c>
      <c r="Y1052" s="117">
        <v>0</v>
      </c>
      <c r="Z1052" s="21" t="b">
        <v>0</v>
      </c>
      <c r="AA1052" s="162">
        <f>+$AD$5-Tabla2[[#This Row],[FECHA DE FACTURACIÓN]]</f>
        <v>204</v>
      </c>
      <c r="AB1052" s="163" t="str">
        <f>+IF(Tabla2[[#This Row],[dias de credito]]&gt;=Tabla2[[#This Row],[PLAZO Días]],"venc", "No venc")</f>
        <v>venc</v>
      </c>
      <c r="AC1052" s="163" t="str">
        <f>+IF(Tabla2[[#This Row],[FECHA DE PAGO]]&gt;0,"pagada","por pagar")</f>
        <v>pagada</v>
      </c>
      <c r="AD1052" s="164" t="str">
        <f>+IF(AND(Tabla2[[#This Row],[venc]]="venc",Tabla2[[#This Row],[estado pago]]="por pagar"),"vencida","no")</f>
        <v>no</v>
      </c>
    </row>
    <row r="1053" spans="1:30" ht="19.5" hidden="1" customHeight="1" x14ac:dyDescent="0.25">
      <c r="A1053" s="8" t="s">
        <v>1850</v>
      </c>
      <c r="B1053" s="8" t="s">
        <v>1851</v>
      </c>
      <c r="C1053" s="8">
        <v>30</v>
      </c>
      <c r="D1053" s="151">
        <v>8456975.129999999</v>
      </c>
      <c r="E1053" s="151"/>
      <c r="F1053" s="24" t="s">
        <v>1476</v>
      </c>
      <c r="G1053" s="30">
        <v>45278</v>
      </c>
      <c r="H1053" s="81" t="s">
        <v>1464</v>
      </c>
      <c r="I1053" s="30">
        <v>45240</v>
      </c>
      <c r="J1053" s="16" t="s">
        <v>1266</v>
      </c>
      <c r="K1053" s="9" t="s">
        <v>1530</v>
      </c>
      <c r="L1053" s="9"/>
      <c r="M1053" s="152">
        <v>105189</v>
      </c>
      <c r="N1053" s="153">
        <v>19985.91</v>
      </c>
      <c r="O1053" s="152">
        <v>0</v>
      </c>
      <c r="P1053" s="154">
        <v>0</v>
      </c>
      <c r="Q1053" s="152">
        <v>0</v>
      </c>
      <c r="R1053" s="9">
        <v>125174.91</v>
      </c>
      <c r="S1053" s="21" t="s">
        <v>1846</v>
      </c>
      <c r="T1053" s="117">
        <v>0</v>
      </c>
      <c r="U1053" s="117" t="s">
        <v>347</v>
      </c>
      <c r="V1053" s="117">
        <v>2023</v>
      </c>
      <c r="W1053" s="117">
        <v>6</v>
      </c>
      <c r="X1053" s="117">
        <v>1145000</v>
      </c>
      <c r="Y1053" s="117">
        <v>2.5000000000000001E-2</v>
      </c>
      <c r="Z1053" s="21" t="b">
        <v>0</v>
      </c>
      <c r="AA1053" s="162">
        <f>+$AD$5-Tabla2[[#This Row],[FECHA DE FACTURACIÓN]]</f>
        <v>203</v>
      </c>
      <c r="AB1053" s="163" t="str">
        <f>+IF(Tabla2[[#This Row],[dias de credito]]&gt;=Tabla2[[#This Row],[PLAZO Días]],"venc", "No venc")</f>
        <v>venc</v>
      </c>
      <c r="AC1053" s="163" t="str">
        <f>+IF(Tabla2[[#This Row],[FECHA DE PAGO]]&gt;0,"pagada","por pagar")</f>
        <v>pagada</v>
      </c>
      <c r="AD1053" s="164" t="str">
        <f>+IF(AND(Tabla2[[#This Row],[venc]]="venc",Tabla2[[#This Row],[estado pago]]="por pagar"),"vencida","no")</f>
        <v>no</v>
      </c>
    </row>
    <row r="1054" spans="1:30" ht="19.5" hidden="1" customHeight="1" x14ac:dyDescent="0.25">
      <c r="A1054" s="8" t="s">
        <v>1850</v>
      </c>
      <c r="B1054" s="8" t="s">
        <v>1851</v>
      </c>
      <c r="C1054" s="8">
        <v>30</v>
      </c>
      <c r="D1054" s="151">
        <v>8456975.129999999</v>
      </c>
      <c r="E1054" s="151"/>
      <c r="F1054" s="24" t="s">
        <v>1476</v>
      </c>
      <c r="G1054" s="30">
        <v>45278</v>
      </c>
      <c r="H1054" s="81" t="s">
        <v>1464</v>
      </c>
      <c r="I1054" s="30">
        <v>45245</v>
      </c>
      <c r="J1054" s="16" t="s">
        <v>1267</v>
      </c>
      <c r="K1054" s="9" t="s">
        <v>1530</v>
      </c>
      <c r="L1054" s="9"/>
      <c r="M1054" s="152">
        <v>3617549</v>
      </c>
      <c r="N1054" s="153">
        <v>687334.31</v>
      </c>
      <c r="O1054" s="152">
        <v>0</v>
      </c>
      <c r="P1054" s="154">
        <v>2.5000000000000001E-2</v>
      </c>
      <c r="Q1054" s="152">
        <v>90438.725000000006</v>
      </c>
      <c r="R1054" s="9">
        <v>4214444.5850000009</v>
      </c>
      <c r="S1054" s="21" t="s">
        <v>1846</v>
      </c>
      <c r="T1054" s="117">
        <v>0</v>
      </c>
      <c r="U1054" s="117" t="s">
        <v>347</v>
      </c>
      <c r="V1054" s="117">
        <v>2023</v>
      </c>
      <c r="W1054" s="117">
        <v>6</v>
      </c>
      <c r="X1054" s="117">
        <v>1145000</v>
      </c>
      <c r="Y1054" s="117">
        <v>2.5000000000000001E-2</v>
      </c>
      <c r="Z1054" s="21" t="b">
        <v>0</v>
      </c>
      <c r="AA1054" s="162">
        <f>+$AD$5-Tabla2[[#This Row],[FECHA DE FACTURACIÓN]]</f>
        <v>198</v>
      </c>
      <c r="AB1054" s="163" t="str">
        <f>+IF(Tabla2[[#This Row],[dias de credito]]&gt;=Tabla2[[#This Row],[PLAZO Días]],"venc", "No venc")</f>
        <v>venc</v>
      </c>
      <c r="AC1054" s="163" t="str">
        <f>+IF(Tabla2[[#This Row],[FECHA DE PAGO]]&gt;0,"pagada","por pagar")</f>
        <v>pagada</v>
      </c>
      <c r="AD1054" s="164" t="str">
        <f>+IF(AND(Tabla2[[#This Row],[venc]]="venc",Tabla2[[#This Row],[estado pago]]="por pagar"),"vencida","no")</f>
        <v>no</v>
      </c>
    </row>
    <row r="1055" spans="1:30" ht="19.5" hidden="1" customHeight="1" x14ac:dyDescent="0.25">
      <c r="A1055" s="8" t="s">
        <v>1850</v>
      </c>
      <c r="B1055" s="8" t="s">
        <v>1851</v>
      </c>
      <c r="C1055" s="8">
        <v>30</v>
      </c>
      <c r="D1055" s="151">
        <v>4466504.835</v>
      </c>
      <c r="E1055" s="151"/>
      <c r="F1055" s="24" t="s">
        <v>1553</v>
      </c>
      <c r="G1055" s="30">
        <v>45278</v>
      </c>
      <c r="H1055" s="81" t="s">
        <v>18</v>
      </c>
      <c r="I1055" s="30">
        <v>45245</v>
      </c>
      <c r="J1055" s="16" t="s">
        <v>1256</v>
      </c>
      <c r="K1055" s="9" t="s">
        <v>1530</v>
      </c>
      <c r="L1055" s="9"/>
      <c r="M1055" s="152">
        <v>1809303</v>
      </c>
      <c r="N1055" s="153">
        <v>343767.57</v>
      </c>
      <c r="O1055" s="152">
        <v>0</v>
      </c>
      <c r="P1055" s="154">
        <v>2.5000000000000001E-2</v>
      </c>
      <c r="Q1055" s="152">
        <v>45232.575000000004</v>
      </c>
      <c r="R1055" s="9">
        <v>2107837.9949999996</v>
      </c>
      <c r="S1055" s="21" t="s">
        <v>1846</v>
      </c>
      <c r="T1055" s="117">
        <v>0</v>
      </c>
      <c r="U1055" s="117" t="s">
        <v>347</v>
      </c>
      <c r="V1055" s="117">
        <v>2023</v>
      </c>
      <c r="W1055" s="117">
        <v>6</v>
      </c>
      <c r="X1055" s="117">
        <v>1145000</v>
      </c>
      <c r="Y1055" s="117">
        <v>2.5000000000000001E-2</v>
      </c>
      <c r="Z1055" s="21" t="b">
        <v>0</v>
      </c>
      <c r="AA1055" s="162">
        <f>+$AD$5-Tabla2[[#This Row],[FECHA DE FACTURACIÓN]]</f>
        <v>198</v>
      </c>
      <c r="AB1055" s="163" t="str">
        <f>+IF(Tabla2[[#This Row],[dias de credito]]&gt;=Tabla2[[#This Row],[PLAZO Días]],"venc", "No venc")</f>
        <v>venc</v>
      </c>
      <c r="AC1055" s="163" t="str">
        <f>+IF(Tabla2[[#This Row],[FECHA DE PAGO]]&gt;0,"pagada","por pagar")</f>
        <v>pagada</v>
      </c>
      <c r="AD1055" s="164" t="str">
        <f>+IF(AND(Tabla2[[#This Row],[venc]]="venc",Tabla2[[#This Row],[estado pago]]="por pagar"),"vencida","no")</f>
        <v>no</v>
      </c>
    </row>
    <row r="1056" spans="1:30" ht="19.5" hidden="1" customHeight="1" x14ac:dyDescent="0.25">
      <c r="A1056" s="8" t="s">
        <v>1850</v>
      </c>
      <c r="B1056" s="8" t="s">
        <v>1851</v>
      </c>
      <c r="C1056" s="8">
        <v>30</v>
      </c>
      <c r="D1056" s="151">
        <v>1776037.21</v>
      </c>
      <c r="E1056" s="151"/>
      <c r="F1056" s="24" t="s">
        <v>148</v>
      </c>
      <c r="G1056" s="30">
        <v>45278</v>
      </c>
      <c r="H1056" s="81" t="s">
        <v>17</v>
      </c>
      <c r="I1056" s="30">
        <v>45247</v>
      </c>
      <c r="J1056" s="16" t="s">
        <v>1230</v>
      </c>
      <c r="K1056" s="9" t="s">
        <v>1530</v>
      </c>
      <c r="L1056" s="9"/>
      <c r="M1056" s="152">
        <v>1350000</v>
      </c>
      <c r="N1056" s="153">
        <v>256500</v>
      </c>
      <c r="O1056" s="152">
        <v>0</v>
      </c>
      <c r="P1056" s="154">
        <v>0</v>
      </c>
      <c r="Q1056" s="152">
        <v>0</v>
      </c>
      <c r="R1056" s="9">
        <v>1606500</v>
      </c>
      <c r="S1056" s="21" t="s">
        <v>1846</v>
      </c>
      <c r="T1056" s="117">
        <v>0</v>
      </c>
      <c r="U1056" s="117">
        <v>0</v>
      </c>
      <c r="V1056" s="117">
        <v>2023</v>
      </c>
      <c r="W1056" s="117">
        <v>6</v>
      </c>
      <c r="X1056" s="117">
        <v>0</v>
      </c>
      <c r="Y1056" s="117">
        <v>0</v>
      </c>
      <c r="Z1056" s="21" t="b">
        <v>0</v>
      </c>
      <c r="AA1056" s="162">
        <f>+$AD$5-Tabla2[[#This Row],[FECHA DE FACTURACIÓN]]</f>
        <v>196</v>
      </c>
      <c r="AB1056" s="163" t="str">
        <f>+IF(Tabla2[[#This Row],[dias de credito]]&gt;=Tabla2[[#This Row],[PLAZO Días]],"venc", "No venc")</f>
        <v>venc</v>
      </c>
      <c r="AC1056" s="163" t="str">
        <f>+IF(Tabla2[[#This Row],[FECHA DE PAGO]]&gt;0,"pagada","por pagar")</f>
        <v>pagada</v>
      </c>
      <c r="AD1056" s="164" t="str">
        <f>+IF(AND(Tabla2[[#This Row],[venc]]="venc",Tabla2[[#This Row],[estado pago]]="por pagar"),"vencida","no")</f>
        <v>no</v>
      </c>
    </row>
    <row r="1057" spans="1:30" ht="19.5" hidden="1" customHeight="1" x14ac:dyDescent="0.25">
      <c r="A1057" s="8" t="s">
        <v>1850</v>
      </c>
      <c r="B1057" s="8" t="b">
        <v>0</v>
      </c>
      <c r="C1057" s="8">
        <v>60</v>
      </c>
      <c r="D1057" s="151">
        <v>1730482</v>
      </c>
      <c r="E1057" s="151"/>
      <c r="F1057" s="24" t="s">
        <v>603</v>
      </c>
      <c r="G1057" s="30">
        <v>45278</v>
      </c>
      <c r="H1057" s="81" t="s">
        <v>222</v>
      </c>
      <c r="I1057" s="30">
        <v>45251</v>
      </c>
      <c r="J1057" s="16">
        <v>1831</v>
      </c>
      <c r="K1057" s="9" t="s">
        <v>1530</v>
      </c>
      <c r="L1057" s="9"/>
      <c r="M1057" s="152">
        <v>602000</v>
      </c>
      <c r="N1057" s="153">
        <v>0</v>
      </c>
      <c r="O1057" s="152">
        <v>0</v>
      </c>
      <c r="P1057" s="154">
        <v>0</v>
      </c>
      <c r="Q1057" s="152">
        <v>0</v>
      </c>
      <c r="R1057" s="9">
        <v>602000</v>
      </c>
      <c r="S1057" s="21" t="s">
        <v>1846</v>
      </c>
      <c r="T1057" s="117">
        <v>0</v>
      </c>
      <c r="U1057" s="117">
        <v>0</v>
      </c>
      <c r="V1057" s="117">
        <v>2023</v>
      </c>
      <c r="W1057" s="117">
        <v>6</v>
      </c>
      <c r="X1057" s="117">
        <v>0</v>
      </c>
      <c r="Y1057" s="117">
        <v>0</v>
      </c>
      <c r="Z1057" s="21" t="b">
        <v>0</v>
      </c>
      <c r="AA1057" s="162">
        <f>+$AD$5-Tabla2[[#This Row],[FECHA DE FACTURACIÓN]]</f>
        <v>192</v>
      </c>
      <c r="AB1057" s="163" t="str">
        <f>+IF(Tabla2[[#This Row],[dias de credito]]&gt;=Tabla2[[#This Row],[PLAZO Días]],"venc", "No venc")</f>
        <v>venc</v>
      </c>
      <c r="AC1057" s="163" t="str">
        <f>+IF(Tabla2[[#This Row],[FECHA DE PAGO]]&gt;0,"pagada","por pagar")</f>
        <v>pagada</v>
      </c>
      <c r="AD1057" s="164" t="str">
        <f>+IF(AND(Tabla2[[#This Row],[venc]]="venc",Tabla2[[#This Row],[estado pago]]="por pagar"),"vencida","no")</f>
        <v>no</v>
      </c>
    </row>
    <row r="1058" spans="1:30" ht="19.5" hidden="1" customHeight="1" x14ac:dyDescent="0.25">
      <c r="A1058" s="8" t="s">
        <v>1850</v>
      </c>
      <c r="B1058" s="8" t="b">
        <v>0</v>
      </c>
      <c r="C1058" s="8">
        <v>60</v>
      </c>
      <c r="D1058" s="151">
        <v>1730482</v>
      </c>
      <c r="E1058" s="151"/>
      <c r="F1058" s="24" t="s">
        <v>603</v>
      </c>
      <c r="G1058" s="30">
        <v>45278</v>
      </c>
      <c r="H1058" s="81" t="s">
        <v>222</v>
      </c>
      <c r="I1058" s="30">
        <v>45252</v>
      </c>
      <c r="J1058" s="16">
        <v>1832</v>
      </c>
      <c r="K1058" s="9" t="s">
        <v>1530</v>
      </c>
      <c r="L1058" s="9"/>
      <c r="M1058" s="152">
        <v>584800</v>
      </c>
      <c r="N1058" s="153">
        <v>0</v>
      </c>
      <c r="O1058" s="152">
        <v>0</v>
      </c>
      <c r="P1058" s="154">
        <v>0</v>
      </c>
      <c r="Q1058" s="152">
        <v>0</v>
      </c>
      <c r="R1058" s="9">
        <v>584800</v>
      </c>
      <c r="S1058" s="21" t="s">
        <v>1846</v>
      </c>
      <c r="T1058" s="117">
        <v>0</v>
      </c>
      <c r="U1058" s="117">
        <v>0</v>
      </c>
      <c r="V1058" s="117">
        <v>2023</v>
      </c>
      <c r="W1058" s="117">
        <v>6</v>
      </c>
      <c r="X1058" s="117">
        <v>0</v>
      </c>
      <c r="Y1058" s="117">
        <v>0</v>
      </c>
      <c r="Z1058" s="21" t="b">
        <v>0</v>
      </c>
      <c r="AA1058" s="162">
        <f>+$AD$5-Tabla2[[#This Row],[FECHA DE FACTURACIÓN]]</f>
        <v>191</v>
      </c>
      <c r="AB1058" s="163" t="str">
        <f>+IF(Tabla2[[#This Row],[dias de credito]]&gt;=Tabla2[[#This Row],[PLAZO Días]],"venc", "No venc")</f>
        <v>venc</v>
      </c>
      <c r="AC1058" s="163" t="str">
        <f>+IF(Tabla2[[#This Row],[FECHA DE PAGO]]&gt;0,"pagada","por pagar")</f>
        <v>pagada</v>
      </c>
      <c r="AD1058" s="164" t="str">
        <f>+IF(AND(Tabla2[[#This Row],[venc]]="venc",Tabla2[[#This Row],[estado pago]]="por pagar"),"vencida","no")</f>
        <v>no</v>
      </c>
    </row>
    <row r="1059" spans="1:30" ht="19.5" hidden="1" customHeight="1" x14ac:dyDescent="0.25">
      <c r="A1059" s="8" t="s">
        <v>1850</v>
      </c>
      <c r="B1059" s="8" t="b">
        <v>0</v>
      </c>
      <c r="C1059" s="8">
        <v>30</v>
      </c>
      <c r="D1059" s="151">
        <v>1776037.21</v>
      </c>
      <c r="E1059" s="151"/>
      <c r="F1059" s="24" t="s">
        <v>148</v>
      </c>
      <c r="G1059" s="30">
        <v>45278</v>
      </c>
      <c r="H1059" s="81" t="s">
        <v>17</v>
      </c>
      <c r="I1059" s="30">
        <v>45257</v>
      </c>
      <c r="J1059" s="16" t="s">
        <v>1268</v>
      </c>
      <c r="K1059" s="9" t="s">
        <v>1530</v>
      </c>
      <c r="L1059" s="9"/>
      <c r="M1059" s="152">
        <v>137997.5</v>
      </c>
      <c r="N1059" s="153">
        <v>26219.525000000001</v>
      </c>
      <c r="O1059" s="152">
        <v>0</v>
      </c>
      <c r="P1059" s="154">
        <v>0</v>
      </c>
      <c r="Q1059" s="152">
        <v>0</v>
      </c>
      <c r="R1059" s="9">
        <v>164217.02499999999</v>
      </c>
      <c r="S1059" s="21" t="s">
        <v>1846</v>
      </c>
      <c r="T1059" s="117">
        <v>0</v>
      </c>
      <c r="U1059" s="117">
        <v>0</v>
      </c>
      <c r="V1059" s="117">
        <v>2023</v>
      </c>
      <c r="W1059" s="117">
        <v>6</v>
      </c>
      <c r="X1059" s="117">
        <v>0</v>
      </c>
      <c r="Y1059" s="117">
        <v>0</v>
      </c>
      <c r="Z1059" s="21" t="b">
        <v>0</v>
      </c>
      <c r="AA1059" s="162">
        <f>+$AD$5-Tabla2[[#This Row],[FECHA DE FACTURACIÓN]]</f>
        <v>186</v>
      </c>
      <c r="AB1059" s="163" t="str">
        <f>+IF(Tabla2[[#This Row],[dias de credito]]&gt;=Tabla2[[#This Row],[PLAZO Días]],"venc", "No venc")</f>
        <v>venc</v>
      </c>
      <c r="AC1059" s="163" t="str">
        <f>+IF(Tabla2[[#This Row],[FECHA DE PAGO]]&gt;0,"pagada","por pagar")</f>
        <v>pagada</v>
      </c>
      <c r="AD1059" s="164" t="str">
        <f>+IF(AND(Tabla2[[#This Row],[venc]]="venc",Tabla2[[#This Row],[estado pago]]="por pagar"),"vencida","no")</f>
        <v>no</v>
      </c>
    </row>
    <row r="1060" spans="1:30" ht="19.5" hidden="1" customHeight="1" x14ac:dyDescent="0.25">
      <c r="A1060" s="8" t="s">
        <v>1850</v>
      </c>
      <c r="B1060" s="8" t="b">
        <v>0</v>
      </c>
      <c r="C1060" s="8">
        <v>60</v>
      </c>
      <c r="D1060" s="151">
        <v>1730482</v>
      </c>
      <c r="E1060" s="151"/>
      <c r="F1060" s="24" t="s">
        <v>603</v>
      </c>
      <c r="G1060" s="30">
        <v>45278</v>
      </c>
      <c r="H1060" s="81" t="s">
        <v>222</v>
      </c>
      <c r="I1060" s="30">
        <v>45260</v>
      </c>
      <c r="J1060" s="16">
        <v>1835</v>
      </c>
      <c r="K1060" s="9" t="s">
        <v>1530</v>
      </c>
      <c r="L1060" s="9"/>
      <c r="M1060" s="152">
        <v>172000</v>
      </c>
      <c r="N1060" s="153">
        <v>0</v>
      </c>
      <c r="O1060" s="152">
        <v>0</v>
      </c>
      <c r="P1060" s="154">
        <v>0</v>
      </c>
      <c r="Q1060" s="152">
        <v>0</v>
      </c>
      <c r="R1060" s="9">
        <v>172000</v>
      </c>
      <c r="S1060" s="21" t="s">
        <v>1846</v>
      </c>
      <c r="T1060" s="117">
        <v>0</v>
      </c>
      <c r="U1060" s="117">
        <v>0</v>
      </c>
      <c r="V1060" s="117">
        <v>2023</v>
      </c>
      <c r="W1060" s="117">
        <v>6</v>
      </c>
      <c r="X1060" s="117">
        <v>0</v>
      </c>
      <c r="Y1060" s="117">
        <v>0</v>
      </c>
      <c r="Z1060" s="21" t="b">
        <v>0</v>
      </c>
      <c r="AA1060" s="162">
        <f>+$AD$5-Tabla2[[#This Row],[FECHA DE FACTURACIÓN]]</f>
        <v>183</v>
      </c>
      <c r="AB1060" s="163" t="str">
        <f>+IF(Tabla2[[#This Row],[dias de credito]]&gt;=Tabla2[[#This Row],[PLAZO Días]],"venc", "No venc")</f>
        <v>venc</v>
      </c>
      <c r="AC1060" s="163" t="str">
        <f>+IF(Tabla2[[#This Row],[FECHA DE PAGO]]&gt;0,"pagada","por pagar")</f>
        <v>pagada</v>
      </c>
      <c r="AD1060" s="164" t="str">
        <f>+IF(AND(Tabla2[[#This Row],[venc]]="venc",Tabla2[[#This Row],[estado pago]]="por pagar"),"vencida","no")</f>
        <v>no</v>
      </c>
    </row>
    <row r="1061" spans="1:30" ht="19.5" hidden="1" customHeight="1" x14ac:dyDescent="0.25">
      <c r="A1061" s="8" t="s">
        <v>1850</v>
      </c>
      <c r="B1061" s="8" t="b">
        <v>0</v>
      </c>
      <c r="C1061" s="8">
        <v>60</v>
      </c>
      <c r="D1061" s="151">
        <v>1730482</v>
      </c>
      <c r="E1061" s="151"/>
      <c r="F1061" s="24" t="s">
        <v>603</v>
      </c>
      <c r="G1061" s="30">
        <v>45278</v>
      </c>
      <c r="H1061" s="81" t="s">
        <v>222</v>
      </c>
      <c r="I1061" s="30">
        <v>45260</v>
      </c>
      <c r="J1061" s="16">
        <v>1836</v>
      </c>
      <c r="K1061" s="9" t="s">
        <v>1530</v>
      </c>
      <c r="L1061" s="9"/>
      <c r="M1061" s="152">
        <v>447200</v>
      </c>
      <c r="N1061" s="153">
        <v>0</v>
      </c>
      <c r="O1061" s="152">
        <v>0</v>
      </c>
      <c r="P1061" s="154">
        <v>0</v>
      </c>
      <c r="Q1061" s="152">
        <v>0</v>
      </c>
      <c r="R1061" s="9">
        <v>447200</v>
      </c>
      <c r="S1061" s="21" t="s">
        <v>1846</v>
      </c>
      <c r="T1061" s="117">
        <v>0</v>
      </c>
      <c r="U1061" s="117">
        <v>0</v>
      </c>
      <c r="V1061" s="117">
        <v>2023</v>
      </c>
      <c r="W1061" s="117">
        <v>6</v>
      </c>
      <c r="X1061" s="117">
        <v>0</v>
      </c>
      <c r="Y1061" s="117">
        <v>0</v>
      </c>
      <c r="Z1061" s="21" t="b">
        <v>0</v>
      </c>
      <c r="AA1061" s="162">
        <f>+$AD$5-Tabla2[[#This Row],[FECHA DE FACTURACIÓN]]</f>
        <v>183</v>
      </c>
      <c r="AB1061" s="163" t="str">
        <f>+IF(Tabla2[[#This Row],[dias de credito]]&gt;=Tabla2[[#This Row],[PLAZO Días]],"venc", "No venc")</f>
        <v>venc</v>
      </c>
      <c r="AC1061" s="163" t="str">
        <f>+IF(Tabla2[[#This Row],[FECHA DE PAGO]]&gt;0,"pagada","por pagar")</f>
        <v>pagada</v>
      </c>
      <c r="AD1061" s="164" t="str">
        <f>+IF(AND(Tabla2[[#This Row],[venc]]="venc",Tabla2[[#This Row],[estado pago]]="por pagar"),"vencida","no")</f>
        <v>no</v>
      </c>
    </row>
    <row r="1062" spans="1:30" ht="19.5" hidden="1" customHeight="1" x14ac:dyDescent="0.25">
      <c r="A1062" s="8" t="s">
        <v>1850</v>
      </c>
      <c r="B1062" s="8" t="b">
        <v>0</v>
      </c>
      <c r="C1062" s="8">
        <v>60</v>
      </c>
      <c r="D1062" s="151">
        <v>1730482</v>
      </c>
      <c r="E1062" s="151"/>
      <c r="F1062" s="24" t="s">
        <v>603</v>
      </c>
      <c r="G1062" s="30">
        <v>45278</v>
      </c>
      <c r="H1062" s="81" t="s">
        <v>222</v>
      </c>
      <c r="I1062" s="30">
        <v>45260</v>
      </c>
      <c r="J1062" s="16">
        <v>1837</v>
      </c>
      <c r="K1062" s="9" t="s">
        <v>1530</v>
      </c>
      <c r="L1062" s="9"/>
      <c r="M1062" s="152">
        <v>516000</v>
      </c>
      <c r="N1062" s="153">
        <v>0</v>
      </c>
      <c r="O1062" s="152">
        <v>0</v>
      </c>
      <c r="P1062" s="154">
        <v>0</v>
      </c>
      <c r="Q1062" s="152">
        <v>0</v>
      </c>
      <c r="R1062" s="9">
        <v>516000</v>
      </c>
      <c r="S1062" s="21" t="s">
        <v>1846</v>
      </c>
      <c r="T1062" s="117">
        <v>0</v>
      </c>
      <c r="U1062" s="117">
        <v>0</v>
      </c>
      <c r="V1062" s="117">
        <v>2023</v>
      </c>
      <c r="W1062" s="117">
        <v>6</v>
      </c>
      <c r="X1062" s="117">
        <v>0</v>
      </c>
      <c r="Y1062" s="117">
        <v>0</v>
      </c>
      <c r="Z1062" s="21" t="b">
        <v>0</v>
      </c>
      <c r="AA1062" s="162">
        <f>+$AD$5-Tabla2[[#This Row],[FECHA DE FACTURACIÓN]]</f>
        <v>183</v>
      </c>
      <c r="AB1062" s="163" t="str">
        <f>+IF(Tabla2[[#This Row],[dias de credito]]&gt;=Tabla2[[#This Row],[PLAZO Días]],"venc", "No venc")</f>
        <v>venc</v>
      </c>
      <c r="AC1062" s="163" t="str">
        <f>+IF(Tabla2[[#This Row],[FECHA DE PAGO]]&gt;0,"pagada","por pagar")</f>
        <v>pagada</v>
      </c>
      <c r="AD1062" s="164" t="str">
        <f>+IF(AND(Tabla2[[#This Row],[venc]]="venc",Tabla2[[#This Row],[estado pago]]="por pagar"),"vencida","no")</f>
        <v>no</v>
      </c>
    </row>
    <row r="1063" spans="1:30" ht="19.5" hidden="1" customHeight="1" x14ac:dyDescent="0.25">
      <c r="A1063" s="8" t="s">
        <v>1850</v>
      </c>
      <c r="B1063" s="8" t="b">
        <v>0</v>
      </c>
      <c r="C1063" s="8">
        <v>60</v>
      </c>
      <c r="D1063" s="151">
        <v>1730482</v>
      </c>
      <c r="E1063" s="151"/>
      <c r="F1063" s="24" t="s">
        <v>603</v>
      </c>
      <c r="G1063" s="30">
        <v>45278</v>
      </c>
      <c r="H1063" s="81" t="s">
        <v>222</v>
      </c>
      <c r="I1063" s="30">
        <v>45260</v>
      </c>
      <c r="J1063" s="16">
        <v>1841</v>
      </c>
      <c r="K1063" s="9" t="s">
        <v>1530</v>
      </c>
      <c r="L1063" s="9"/>
      <c r="M1063" s="152">
        <v>1097790</v>
      </c>
      <c r="N1063" s="153">
        <v>0</v>
      </c>
      <c r="O1063" s="152">
        <v>0</v>
      </c>
      <c r="P1063" s="154">
        <v>0</v>
      </c>
      <c r="Q1063" s="152">
        <v>0</v>
      </c>
      <c r="R1063" s="9">
        <v>1097790</v>
      </c>
      <c r="S1063" s="21" t="s">
        <v>1846</v>
      </c>
      <c r="T1063" s="117">
        <v>0</v>
      </c>
      <c r="U1063" s="117">
        <v>0</v>
      </c>
      <c r="V1063" s="117">
        <v>2023</v>
      </c>
      <c r="W1063" s="117">
        <v>6</v>
      </c>
      <c r="X1063" s="117">
        <v>0</v>
      </c>
      <c r="Y1063" s="117">
        <v>0</v>
      </c>
      <c r="Z1063" s="21" t="b">
        <v>0</v>
      </c>
      <c r="AA1063" s="162">
        <f>+$AD$5-Tabla2[[#This Row],[FECHA DE FACTURACIÓN]]</f>
        <v>183</v>
      </c>
      <c r="AB1063" s="163" t="str">
        <f>+IF(Tabla2[[#This Row],[dias de credito]]&gt;=Tabla2[[#This Row],[PLAZO Días]],"venc", "No venc")</f>
        <v>venc</v>
      </c>
      <c r="AC1063" s="163" t="str">
        <f>+IF(Tabla2[[#This Row],[FECHA DE PAGO]]&gt;0,"pagada","por pagar")</f>
        <v>pagada</v>
      </c>
      <c r="AD1063" s="164" t="str">
        <f>+IF(AND(Tabla2[[#This Row],[venc]]="venc",Tabla2[[#This Row],[estado pago]]="por pagar"),"vencida","no")</f>
        <v>no</v>
      </c>
    </row>
    <row r="1064" spans="1:30" ht="19.5" hidden="1" customHeight="1" x14ac:dyDescent="0.25">
      <c r="A1064" s="8" t="s">
        <v>1850</v>
      </c>
      <c r="B1064" s="8" t="b">
        <v>0</v>
      </c>
      <c r="C1064" s="8">
        <v>60</v>
      </c>
      <c r="D1064" s="151">
        <v>1730482</v>
      </c>
      <c r="E1064" s="151"/>
      <c r="F1064" s="24" t="s">
        <v>603</v>
      </c>
      <c r="G1064" s="30">
        <v>45278</v>
      </c>
      <c r="H1064" s="81" t="s">
        <v>222</v>
      </c>
      <c r="I1064" s="30">
        <v>45260</v>
      </c>
      <c r="J1064" s="16">
        <v>1851</v>
      </c>
      <c r="K1064" s="9" t="s">
        <v>1530</v>
      </c>
      <c r="L1064" s="9"/>
      <c r="M1064" s="152">
        <v>756800</v>
      </c>
      <c r="N1064" s="153">
        <v>0</v>
      </c>
      <c r="O1064" s="152">
        <v>0</v>
      </c>
      <c r="P1064" s="154">
        <v>0</v>
      </c>
      <c r="Q1064" s="152">
        <v>0</v>
      </c>
      <c r="R1064" s="9">
        <v>756800</v>
      </c>
      <c r="S1064" s="21" t="s">
        <v>1846</v>
      </c>
      <c r="T1064" s="117">
        <v>0</v>
      </c>
      <c r="U1064" s="117">
        <v>0</v>
      </c>
      <c r="V1064" s="117">
        <v>2023</v>
      </c>
      <c r="W1064" s="117">
        <v>6</v>
      </c>
      <c r="X1064" s="117">
        <v>0</v>
      </c>
      <c r="Y1064" s="117">
        <v>0</v>
      </c>
      <c r="Z1064" s="21" t="b">
        <v>0</v>
      </c>
      <c r="AA1064" s="162">
        <f>+$AD$5-Tabla2[[#This Row],[FECHA DE FACTURACIÓN]]</f>
        <v>183</v>
      </c>
      <c r="AB1064" s="163" t="str">
        <f>+IF(Tabla2[[#This Row],[dias de credito]]&gt;=Tabla2[[#This Row],[PLAZO Días]],"venc", "No venc")</f>
        <v>venc</v>
      </c>
      <c r="AC1064" s="163" t="str">
        <f>+IF(Tabla2[[#This Row],[FECHA DE PAGO]]&gt;0,"pagada","por pagar")</f>
        <v>pagada</v>
      </c>
      <c r="AD1064" s="164" t="str">
        <f>+IF(AND(Tabla2[[#This Row],[venc]]="venc",Tabla2[[#This Row],[estado pago]]="por pagar"),"vencida","no")</f>
        <v>no</v>
      </c>
    </row>
    <row r="1065" spans="1:30" ht="19.5" hidden="1" customHeight="1" x14ac:dyDescent="0.25">
      <c r="A1065" s="8" t="s">
        <v>1850</v>
      </c>
      <c r="B1065" s="8" t="b">
        <v>0</v>
      </c>
      <c r="C1065" s="8">
        <v>60</v>
      </c>
      <c r="D1065" s="151">
        <v>1730482</v>
      </c>
      <c r="E1065" s="151"/>
      <c r="F1065" s="24" t="s">
        <v>603</v>
      </c>
      <c r="G1065" s="30">
        <v>45278</v>
      </c>
      <c r="H1065" s="81" t="s">
        <v>222</v>
      </c>
      <c r="I1065" s="30">
        <v>45260</v>
      </c>
      <c r="J1065" s="16">
        <v>1850</v>
      </c>
      <c r="K1065" s="9" t="s">
        <v>1530</v>
      </c>
      <c r="L1065" s="9"/>
      <c r="M1065" s="152">
        <v>1177770</v>
      </c>
      <c r="N1065" s="153">
        <v>0</v>
      </c>
      <c r="O1065" s="152">
        <v>0</v>
      </c>
      <c r="P1065" s="154">
        <v>0</v>
      </c>
      <c r="Q1065" s="152">
        <v>0</v>
      </c>
      <c r="R1065" s="9">
        <v>1177770</v>
      </c>
      <c r="S1065" s="21" t="s">
        <v>1846</v>
      </c>
      <c r="T1065" s="117">
        <v>0</v>
      </c>
      <c r="U1065" s="117">
        <v>0</v>
      </c>
      <c r="V1065" s="117">
        <v>2023</v>
      </c>
      <c r="W1065" s="117">
        <v>6</v>
      </c>
      <c r="X1065" s="117">
        <v>0</v>
      </c>
      <c r="Y1065" s="117">
        <v>0</v>
      </c>
      <c r="Z1065" s="21" t="b">
        <v>0</v>
      </c>
      <c r="AA1065" s="162">
        <f>+$AD$5-Tabla2[[#This Row],[FECHA DE FACTURACIÓN]]</f>
        <v>183</v>
      </c>
      <c r="AB1065" s="163" t="str">
        <f>+IF(Tabla2[[#This Row],[dias de credito]]&gt;=Tabla2[[#This Row],[PLAZO Días]],"venc", "No venc")</f>
        <v>venc</v>
      </c>
      <c r="AC1065" s="163" t="str">
        <f>+IF(Tabla2[[#This Row],[FECHA DE PAGO]]&gt;0,"pagada","por pagar")</f>
        <v>pagada</v>
      </c>
      <c r="AD1065" s="164" t="str">
        <f>+IF(AND(Tabla2[[#This Row],[venc]]="venc",Tabla2[[#This Row],[estado pago]]="por pagar"),"vencida","no")</f>
        <v>no</v>
      </c>
    </row>
    <row r="1066" spans="1:30" ht="19.5" hidden="1" customHeight="1" x14ac:dyDescent="0.25">
      <c r="A1066" s="8" t="s">
        <v>1850</v>
      </c>
      <c r="B1066" s="8" t="b">
        <v>0</v>
      </c>
      <c r="C1066" s="8">
        <v>60</v>
      </c>
      <c r="D1066" s="151">
        <v>1730482</v>
      </c>
      <c r="E1066" s="151"/>
      <c r="F1066" s="24" t="s">
        <v>603</v>
      </c>
      <c r="G1066" s="30">
        <v>45278</v>
      </c>
      <c r="H1066" s="81" t="s">
        <v>222</v>
      </c>
      <c r="I1066" s="30">
        <v>45264</v>
      </c>
      <c r="J1066" s="16">
        <v>1853</v>
      </c>
      <c r="K1066" s="9" t="s">
        <v>504</v>
      </c>
      <c r="L1066" s="9"/>
      <c r="M1066" s="152">
        <v>619200</v>
      </c>
      <c r="N1066" s="153">
        <v>0</v>
      </c>
      <c r="O1066" s="152">
        <v>0</v>
      </c>
      <c r="P1066" s="154">
        <v>0</v>
      </c>
      <c r="Q1066" s="152">
        <v>0</v>
      </c>
      <c r="R1066" s="9">
        <v>619200</v>
      </c>
      <c r="S1066" s="21" t="s">
        <v>1846</v>
      </c>
      <c r="T1066" s="117">
        <v>0</v>
      </c>
      <c r="U1066" s="117">
        <v>0</v>
      </c>
      <c r="V1066" s="117">
        <v>2023</v>
      </c>
      <c r="W1066" s="117">
        <v>6</v>
      </c>
      <c r="X1066" s="117">
        <v>0</v>
      </c>
      <c r="Y1066" s="117">
        <v>0</v>
      </c>
      <c r="Z1066" s="21" t="b">
        <v>0</v>
      </c>
      <c r="AA1066" s="162">
        <f>+$AD$5-Tabla2[[#This Row],[FECHA DE FACTURACIÓN]]</f>
        <v>179</v>
      </c>
      <c r="AB1066" s="163" t="str">
        <f>+IF(Tabla2[[#This Row],[dias de credito]]&gt;=Tabla2[[#This Row],[PLAZO Días]],"venc", "No venc")</f>
        <v>venc</v>
      </c>
      <c r="AC1066" s="163" t="str">
        <f>+IF(Tabla2[[#This Row],[FECHA DE PAGO]]&gt;0,"pagada","por pagar")</f>
        <v>pagada</v>
      </c>
      <c r="AD1066" s="164" t="str">
        <f>+IF(AND(Tabla2[[#This Row],[venc]]="venc",Tabla2[[#This Row],[estado pago]]="por pagar"),"vencida","no")</f>
        <v>no</v>
      </c>
    </row>
    <row r="1067" spans="1:30" ht="19.5" hidden="1" customHeight="1" x14ac:dyDescent="0.25">
      <c r="A1067" s="8" t="s">
        <v>1850</v>
      </c>
      <c r="B1067" s="8" t="b">
        <v>0</v>
      </c>
      <c r="C1067" s="8">
        <v>60</v>
      </c>
      <c r="D1067" s="151">
        <v>1730482</v>
      </c>
      <c r="E1067" s="151"/>
      <c r="F1067" s="24" t="s">
        <v>603</v>
      </c>
      <c r="G1067" s="30">
        <v>45278</v>
      </c>
      <c r="H1067" s="81" t="s">
        <v>222</v>
      </c>
      <c r="I1067" s="30">
        <v>45267</v>
      </c>
      <c r="J1067" s="16">
        <v>1854</v>
      </c>
      <c r="K1067" s="9" t="s">
        <v>1530</v>
      </c>
      <c r="L1067" s="9"/>
      <c r="M1067" s="152">
        <v>344000</v>
      </c>
      <c r="N1067" s="153">
        <v>0</v>
      </c>
      <c r="O1067" s="152">
        <v>0</v>
      </c>
      <c r="P1067" s="154">
        <v>0</v>
      </c>
      <c r="Q1067" s="152">
        <v>0</v>
      </c>
      <c r="R1067" s="9">
        <v>344000</v>
      </c>
      <c r="S1067" s="21" t="s">
        <v>1846</v>
      </c>
      <c r="T1067" s="117">
        <v>0</v>
      </c>
      <c r="U1067" s="117">
        <v>0</v>
      </c>
      <c r="V1067" s="117">
        <v>2023</v>
      </c>
      <c r="W1067" s="117">
        <v>6</v>
      </c>
      <c r="X1067" s="117">
        <v>0</v>
      </c>
      <c r="Y1067" s="117">
        <v>0</v>
      </c>
      <c r="Z1067" s="21" t="b">
        <v>0</v>
      </c>
      <c r="AA1067" s="162">
        <f>+$AD$5-Tabla2[[#This Row],[FECHA DE FACTURACIÓN]]</f>
        <v>176</v>
      </c>
      <c r="AB1067" s="163" t="str">
        <f>+IF(Tabla2[[#This Row],[dias de credito]]&gt;=Tabla2[[#This Row],[PLAZO Días]],"venc", "No venc")</f>
        <v>venc</v>
      </c>
      <c r="AC1067" s="163" t="str">
        <f>+IF(Tabla2[[#This Row],[FECHA DE PAGO]]&gt;0,"pagada","por pagar")</f>
        <v>pagada</v>
      </c>
      <c r="AD1067" s="164" t="str">
        <f>+IF(AND(Tabla2[[#This Row],[venc]]="venc",Tabla2[[#This Row],[estado pago]]="por pagar"),"vencida","no")</f>
        <v>no</v>
      </c>
    </row>
    <row r="1068" spans="1:30" ht="19.5" hidden="1" customHeight="1" x14ac:dyDescent="0.25">
      <c r="A1068" s="8" t="s">
        <v>1850</v>
      </c>
      <c r="B1068" s="8" t="b">
        <v>0</v>
      </c>
      <c r="C1068" s="8">
        <v>60</v>
      </c>
      <c r="D1068" s="151">
        <v>1730482</v>
      </c>
      <c r="E1068" s="151"/>
      <c r="F1068" s="24" t="s">
        <v>603</v>
      </c>
      <c r="G1068" s="30">
        <v>45278</v>
      </c>
      <c r="H1068" s="81" t="s">
        <v>222</v>
      </c>
      <c r="I1068" s="30">
        <v>45267</v>
      </c>
      <c r="J1068" s="16">
        <v>1863</v>
      </c>
      <c r="K1068" s="9" t="s">
        <v>1530</v>
      </c>
      <c r="L1068" s="9"/>
      <c r="M1068" s="152">
        <v>430000</v>
      </c>
      <c r="N1068" s="153">
        <v>0</v>
      </c>
      <c r="O1068" s="152">
        <v>0</v>
      </c>
      <c r="P1068" s="154">
        <v>0</v>
      </c>
      <c r="Q1068" s="152">
        <v>0</v>
      </c>
      <c r="R1068" s="9">
        <v>430000</v>
      </c>
      <c r="S1068" s="21" t="s">
        <v>1846</v>
      </c>
      <c r="T1068" s="117">
        <v>0</v>
      </c>
      <c r="U1068" s="117">
        <v>0</v>
      </c>
      <c r="V1068" s="117">
        <v>2023</v>
      </c>
      <c r="W1068" s="117">
        <v>6</v>
      </c>
      <c r="X1068" s="117">
        <v>0</v>
      </c>
      <c r="Y1068" s="117">
        <v>0</v>
      </c>
      <c r="Z1068" s="21" t="b">
        <v>0</v>
      </c>
      <c r="AA1068" s="162">
        <f>+$AD$5-Tabla2[[#This Row],[FECHA DE FACTURACIÓN]]</f>
        <v>176</v>
      </c>
      <c r="AB1068" s="163" t="str">
        <f>+IF(Tabla2[[#This Row],[dias de credito]]&gt;=Tabla2[[#This Row],[PLAZO Días]],"venc", "No venc")</f>
        <v>venc</v>
      </c>
      <c r="AC1068" s="163" t="str">
        <f>+IF(Tabla2[[#This Row],[FECHA DE PAGO]]&gt;0,"pagada","por pagar")</f>
        <v>pagada</v>
      </c>
      <c r="AD1068" s="164" t="str">
        <f>+IF(AND(Tabla2[[#This Row],[venc]]="venc",Tabla2[[#This Row],[estado pago]]="por pagar"),"vencida","no")</f>
        <v>no</v>
      </c>
    </row>
    <row r="1069" spans="1:30" ht="19.5" hidden="1" customHeight="1" x14ac:dyDescent="0.25">
      <c r="A1069" s="8" t="s">
        <v>1852</v>
      </c>
      <c r="B1069" s="8" t="b">
        <v>0</v>
      </c>
      <c r="C1069" s="8">
        <v>30</v>
      </c>
      <c r="D1069" s="151">
        <v>0</v>
      </c>
      <c r="E1069" s="151"/>
      <c r="F1069" s="24">
        <v>0</v>
      </c>
      <c r="G1069" s="30">
        <v>45278</v>
      </c>
      <c r="H1069" s="81" t="s">
        <v>497</v>
      </c>
      <c r="I1069" s="30">
        <v>45278</v>
      </c>
      <c r="J1069" s="16" t="s">
        <v>1349</v>
      </c>
      <c r="K1069" s="9" t="s">
        <v>1530</v>
      </c>
      <c r="L1069" s="9"/>
      <c r="M1069" s="152">
        <v>1000000</v>
      </c>
      <c r="N1069" s="153">
        <v>190000</v>
      </c>
      <c r="O1069" s="152">
        <v>0</v>
      </c>
      <c r="P1069" s="154">
        <v>0</v>
      </c>
      <c r="Q1069" s="152">
        <v>0</v>
      </c>
      <c r="R1069" s="9">
        <v>1190000</v>
      </c>
      <c r="S1069" s="21" t="s">
        <v>1846</v>
      </c>
      <c r="T1069" s="117">
        <v>0</v>
      </c>
      <c r="U1069" s="117" t="s">
        <v>347</v>
      </c>
      <c r="V1069" s="117">
        <v>2023</v>
      </c>
      <c r="W1069" s="117">
        <v>6</v>
      </c>
      <c r="X1069" s="117">
        <v>1145000</v>
      </c>
      <c r="Y1069" s="117">
        <v>2.5000000000000001E-2</v>
      </c>
      <c r="Z1069" s="21" t="b">
        <v>0</v>
      </c>
      <c r="AA1069" s="162">
        <f>+$AD$5-Tabla2[[#This Row],[FECHA DE FACTURACIÓN]]</f>
        <v>165</v>
      </c>
      <c r="AB1069" s="163" t="str">
        <f>+IF(Tabla2[[#This Row],[dias de credito]]&gt;=Tabla2[[#This Row],[PLAZO Días]],"venc", "No venc")</f>
        <v>venc</v>
      </c>
      <c r="AC1069" s="163" t="str">
        <f>+IF(Tabla2[[#This Row],[FECHA DE PAGO]]&gt;0,"pagada","por pagar")</f>
        <v>pagada</v>
      </c>
      <c r="AD1069" s="164" t="str">
        <f>+IF(AND(Tabla2[[#This Row],[venc]]="venc",Tabla2[[#This Row],[estado pago]]="por pagar"),"vencida","no")</f>
        <v>no</v>
      </c>
    </row>
    <row r="1070" spans="1:30" ht="19.5" hidden="1" customHeight="1" x14ac:dyDescent="0.25">
      <c r="A1070" s="8" t="s">
        <v>1852</v>
      </c>
      <c r="B1070" s="8" t="b">
        <v>0</v>
      </c>
      <c r="C1070" s="8">
        <v>30</v>
      </c>
      <c r="D1070" s="151">
        <v>0</v>
      </c>
      <c r="E1070" s="151"/>
      <c r="F1070" s="24" t="s">
        <v>1346</v>
      </c>
      <c r="G1070" s="30">
        <v>45278</v>
      </c>
      <c r="H1070" s="81" t="s">
        <v>1345</v>
      </c>
      <c r="I1070" s="30">
        <v>45278</v>
      </c>
      <c r="J1070" s="16" t="s">
        <v>1348</v>
      </c>
      <c r="K1070" s="9" t="s">
        <v>1530</v>
      </c>
      <c r="L1070" s="9"/>
      <c r="M1070" s="152">
        <v>630252</v>
      </c>
      <c r="N1070" s="153">
        <v>119747.88</v>
      </c>
      <c r="O1070" s="152">
        <v>0</v>
      </c>
      <c r="P1070" s="154">
        <v>0</v>
      </c>
      <c r="Q1070" s="152">
        <v>0</v>
      </c>
      <c r="R1070" s="9">
        <v>749999.88</v>
      </c>
      <c r="S1070" s="21" t="s">
        <v>1846</v>
      </c>
      <c r="T1070" s="117">
        <v>0</v>
      </c>
      <c r="U1070" s="117" t="s">
        <v>347</v>
      </c>
      <c r="V1070" s="117">
        <v>2023</v>
      </c>
      <c r="W1070" s="117">
        <v>6</v>
      </c>
      <c r="X1070" s="117">
        <v>1145000</v>
      </c>
      <c r="Y1070" s="117">
        <v>2.5000000000000001E-2</v>
      </c>
      <c r="Z1070" s="21" t="b">
        <v>0</v>
      </c>
      <c r="AA1070" s="162">
        <f>+$AD$5-Tabla2[[#This Row],[FECHA DE FACTURACIÓN]]</f>
        <v>165</v>
      </c>
      <c r="AB1070" s="163" t="str">
        <f>+IF(Tabla2[[#This Row],[dias de credito]]&gt;=Tabla2[[#This Row],[PLAZO Días]],"venc", "No venc")</f>
        <v>venc</v>
      </c>
      <c r="AC1070" s="163" t="str">
        <f>+IF(Tabla2[[#This Row],[FECHA DE PAGO]]&gt;0,"pagada","por pagar")</f>
        <v>pagada</v>
      </c>
      <c r="AD1070" s="164" t="str">
        <f>+IF(AND(Tabla2[[#This Row],[venc]]="venc",Tabla2[[#This Row],[estado pago]]="por pagar"),"vencida","no")</f>
        <v>no</v>
      </c>
    </row>
    <row r="1071" spans="1:30" ht="19.5" hidden="1" customHeight="1" x14ac:dyDescent="0.25">
      <c r="A1071" s="8" t="s">
        <v>1852</v>
      </c>
      <c r="B1071" s="8" t="b">
        <v>0</v>
      </c>
      <c r="C1071" s="8">
        <v>30</v>
      </c>
      <c r="D1071" s="151">
        <v>352000</v>
      </c>
      <c r="E1071" s="151"/>
      <c r="F1071" s="24" t="s">
        <v>84</v>
      </c>
      <c r="G1071" s="30">
        <v>45278</v>
      </c>
      <c r="H1071" s="81" t="s">
        <v>527</v>
      </c>
      <c r="I1071" s="30">
        <v>45278</v>
      </c>
      <c r="J1071" s="16" t="s">
        <v>1441</v>
      </c>
      <c r="K1071" s="9" t="s">
        <v>1530</v>
      </c>
      <c r="L1071" s="9"/>
      <c r="M1071" s="152">
        <v>34500</v>
      </c>
      <c r="N1071" s="153">
        <v>0</v>
      </c>
      <c r="O1071" s="152">
        <v>0</v>
      </c>
      <c r="P1071" s="154">
        <v>0</v>
      </c>
      <c r="Q1071" s="152">
        <v>0</v>
      </c>
      <c r="R1071" s="9">
        <v>34500</v>
      </c>
      <c r="S1071" s="21" t="s">
        <v>1846</v>
      </c>
      <c r="T1071" s="117">
        <v>0</v>
      </c>
      <c r="U1071" s="117">
        <v>0</v>
      </c>
      <c r="V1071" s="117">
        <v>2023</v>
      </c>
      <c r="W1071" s="117">
        <v>6</v>
      </c>
      <c r="X1071" s="117">
        <v>0</v>
      </c>
      <c r="Y1071" s="117">
        <v>0</v>
      </c>
      <c r="Z1071" s="21" t="b">
        <v>0</v>
      </c>
      <c r="AA1071" s="162">
        <f>+$AD$5-Tabla2[[#This Row],[FECHA DE FACTURACIÓN]]</f>
        <v>165</v>
      </c>
      <c r="AB1071" s="163" t="str">
        <f>+IF(Tabla2[[#This Row],[dias de credito]]&gt;=Tabla2[[#This Row],[PLAZO Días]],"venc", "No venc")</f>
        <v>venc</v>
      </c>
      <c r="AC1071" s="163" t="str">
        <f>+IF(Tabla2[[#This Row],[FECHA DE PAGO]]&gt;0,"pagada","por pagar")</f>
        <v>pagada</v>
      </c>
      <c r="AD1071" s="164" t="str">
        <f>+IF(AND(Tabla2[[#This Row],[venc]]="venc",Tabla2[[#This Row],[estado pago]]="por pagar"),"vencida","no")</f>
        <v>no</v>
      </c>
    </row>
    <row r="1072" spans="1:30" ht="19.5" hidden="1" customHeight="1" x14ac:dyDescent="0.25">
      <c r="A1072" s="8" t="s">
        <v>1852</v>
      </c>
      <c r="B1072" s="8" t="b">
        <v>0</v>
      </c>
      <c r="C1072" s="8">
        <v>30</v>
      </c>
      <c r="D1072" s="151">
        <v>352000</v>
      </c>
      <c r="E1072" s="151"/>
      <c r="F1072" s="24" t="s">
        <v>84</v>
      </c>
      <c r="G1072" s="30">
        <v>45278</v>
      </c>
      <c r="H1072" s="81" t="s">
        <v>527</v>
      </c>
      <c r="I1072" s="30">
        <v>45278</v>
      </c>
      <c r="J1072" s="16" t="s">
        <v>1499</v>
      </c>
      <c r="K1072" s="9" t="s">
        <v>1530</v>
      </c>
      <c r="L1072" s="9"/>
      <c r="M1072" s="152">
        <v>418000</v>
      </c>
      <c r="N1072" s="153">
        <v>0</v>
      </c>
      <c r="O1072" s="152">
        <v>0</v>
      </c>
      <c r="P1072" s="154">
        <v>0</v>
      </c>
      <c r="Q1072" s="152">
        <v>0</v>
      </c>
      <c r="R1072" s="9">
        <v>418000</v>
      </c>
      <c r="S1072" s="21" t="s">
        <v>1846</v>
      </c>
      <c r="T1072" s="117">
        <v>0</v>
      </c>
      <c r="U1072" s="117">
        <v>0</v>
      </c>
      <c r="V1072" s="117">
        <v>2023</v>
      </c>
      <c r="W1072" s="117">
        <v>6</v>
      </c>
      <c r="X1072" s="117">
        <v>0</v>
      </c>
      <c r="Y1072" s="117">
        <v>0</v>
      </c>
      <c r="Z1072" s="21" t="b">
        <v>0</v>
      </c>
      <c r="AA1072" s="162">
        <f>+$AD$5-Tabla2[[#This Row],[FECHA DE FACTURACIÓN]]</f>
        <v>165</v>
      </c>
      <c r="AB1072" s="163" t="str">
        <f>+IF(Tabla2[[#This Row],[dias de credito]]&gt;=Tabla2[[#This Row],[PLAZO Días]],"venc", "No venc")</f>
        <v>venc</v>
      </c>
      <c r="AC1072" s="163" t="str">
        <f>+IF(Tabla2[[#This Row],[FECHA DE PAGO]]&gt;0,"pagada","por pagar")</f>
        <v>pagada</v>
      </c>
      <c r="AD1072" s="164" t="str">
        <f>+IF(AND(Tabla2[[#This Row],[venc]]="venc",Tabla2[[#This Row],[estado pago]]="por pagar"),"vencida","no")</f>
        <v>no</v>
      </c>
    </row>
    <row r="1073" spans="1:30" ht="19.5" hidden="1" customHeight="1" x14ac:dyDescent="0.25">
      <c r="A1073" s="8" t="s">
        <v>1850</v>
      </c>
      <c r="B1073" s="8" t="s">
        <v>1851</v>
      </c>
      <c r="C1073" s="8">
        <v>30</v>
      </c>
      <c r="D1073" s="151">
        <v>9349257.8100000005</v>
      </c>
      <c r="E1073" s="151"/>
      <c r="F1073" s="24" t="s">
        <v>277</v>
      </c>
      <c r="G1073" s="30">
        <v>45280</v>
      </c>
      <c r="H1073" s="81" t="s">
        <v>226</v>
      </c>
      <c r="I1073" s="30">
        <v>45246</v>
      </c>
      <c r="J1073" s="16" t="s">
        <v>1249</v>
      </c>
      <c r="K1073" s="9" t="s">
        <v>1530</v>
      </c>
      <c r="L1073" s="9"/>
      <c r="M1073" s="152">
        <v>2491740</v>
      </c>
      <c r="N1073" s="153">
        <v>473430.6</v>
      </c>
      <c r="O1073" s="152">
        <v>0</v>
      </c>
      <c r="P1073" s="154">
        <v>2.5000000000000001E-2</v>
      </c>
      <c r="Q1073" s="152">
        <v>62293.5</v>
      </c>
      <c r="R1073" s="9">
        <v>2902877.1</v>
      </c>
      <c r="S1073" s="21" t="s">
        <v>1846</v>
      </c>
      <c r="T1073" s="117">
        <v>0</v>
      </c>
      <c r="U1073" s="117" t="s">
        <v>347</v>
      </c>
      <c r="V1073" s="117">
        <v>2023</v>
      </c>
      <c r="W1073" s="117">
        <v>6</v>
      </c>
      <c r="X1073" s="117">
        <v>1145000</v>
      </c>
      <c r="Y1073" s="117">
        <v>2.5000000000000001E-2</v>
      </c>
      <c r="Z1073" s="21" t="b">
        <v>0</v>
      </c>
      <c r="AA1073" s="162">
        <f>+$AD$5-Tabla2[[#This Row],[FECHA DE FACTURACIÓN]]</f>
        <v>197</v>
      </c>
      <c r="AB1073" s="163" t="str">
        <f>+IF(Tabla2[[#This Row],[dias de credito]]&gt;=Tabla2[[#This Row],[PLAZO Días]],"venc", "No venc")</f>
        <v>venc</v>
      </c>
      <c r="AC1073" s="163" t="str">
        <f>+IF(Tabla2[[#This Row],[FECHA DE PAGO]]&gt;0,"pagada","por pagar")</f>
        <v>pagada</v>
      </c>
      <c r="AD1073" s="164" t="str">
        <f>+IF(AND(Tabla2[[#This Row],[venc]]="venc",Tabla2[[#This Row],[estado pago]]="por pagar"),"vencida","no")</f>
        <v>no</v>
      </c>
    </row>
    <row r="1074" spans="1:30" ht="19.5" hidden="1" customHeight="1" x14ac:dyDescent="0.25">
      <c r="A1074" s="8" t="s">
        <v>1850</v>
      </c>
      <c r="B1074" s="8" t="s">
        <v>1851</v>
      </c>
      <c r="C1074" s="8">
        <v>30</v>
      </c>
      <c r="D1074" s="151">
        <v>12628497</v>
      </c>
      <c r="E1074" s="151"/>
      <c r="F1074" s="24" t="s">
        <v>149</v>
      </c>
      <c r="G1074" s="30">
        <v>45280</v>
      </c>
      <c r="H1074" s="81" t="s">
        <v>451</v>
      </c>
      <c r="I1074" s="30">
        <v>45247</v>
      </c>
      <c r="J1074" s="16" t="s">
        <v>1252</v>
      </c>
      <c r="K1074" s="9" t="s">
        <v>1530</v>
      </c>
      <c r="L1074" s="9"/>
      <c r="M1074" s="152">
        <v>763000</v>
      </c>
      <c r="N1074" s="153">
        <v>144970</v>
      </c>
      <c r="O1074" s="152">
        <v>0</v>
      </c>
      <c r="P1074" s="154">
        <v>0</v>
      </c>
      <c r="Q1074" s="152">
        <v>0</v>
      </c>
      <c r="R1074" s="9">
        <v>907970</v>
      </c>
      <c r="S1074" s="21" t="s">
        <v>1846</v>
      </c>
      <c r="T1074" s="117">
        <v>0</v>
      </c>
      <c r="U1074" s="117" t="s">
        <v>347</v>
      </c>
      <c r="V1074" s="117">
        <v>2023</v>
      </c>
      <c r="W1074" s="117">
        <v>6</v>
      </c>
      <c r="X1074" s="117">
        <v>1145000</v>
      </c>
      <c r="Y1074" s="117">
        <v>2.5000000000000001E-2</v>
      </c>
      <c r="Z1074" s="21" t="b">
        <v>0</v>
      </c>
      <c r="AA1074" s="162">
        <f>+$AD$5-Tabla2[[#This Row],[FECHA DE FACTURACIÓN]]</f>
        <v>196</v>
      </c>
      <c r="AB1074" s="163" t="str">
        <f>+IF(Tabla2[[#This Row],[dias de credito]]&gt;=Tabla2[[#This Row],[PLAZO Días]],"venc", "No venc")</f>
        <v>venc</v>
      </c>
      <c r="AC1074" s="163" t="str">
        <f>+IF(Tabla2[[#This Row],[FECHA DE PAGO]]&gt;0,"pagada","por pagar")</f>
        <v>pagada</v>
      </c>
      <c r="AD1074" s="164" t="str">
        <f>+IF(AND(Tabla2[[#This Row],[venc]]="venc",Tabla2[[#This Row],[estado pago]]="por pagar"),"vencida","no")</f>
        <v>no</v>
      </c>
    </row>
    <row r="1075" spans="1:30" ht="19.5" hidden="1" customHeight="1" x14ac:dyDescent="0.25">
      <c r="A1075" s="8" t="s">
        <v>1850</v>
      </c>
      <c r="B1075" s="8" t="b">
        <v>0</v>
      </c>
      <c r="C1075" s="8">
        <v>30</v>
      </c>
      <c r="D1075" s="151">
        <v>12628497</v>
      </c>
      <c r="E1075" s="151"/>
      <c r="F1075" s="24" t="s">
        <v>149</v>
      </c>
      <c r="G1075" s="30">
        <v>45280</v>
      </c>
      <c r="H1075" s="81" t="s">
        <v>451</v>
      </c>
      <c r="I1075" s="30">
        <v>45251</v>
      </c>
      <c r="J1075" s="16" t="s">
        <v>1253</v>
      </c>
      <c r="K1075" s="9" t="s">
        <v>1530</v>
      </c>
      <c r="L1075" s="9"/>
      <c r="M1075" s="152">
        <v>1008000</v>
      </c>
      <c r="N1075" s="153">
        <v>191520</v>
      </c>
      <c r="O1075" s="152">
        <v>0</v>
      </c>
      <c r="P1075" s="154">
        <v>0</v>
      </c>
      <c r="Q1075" s="152">
        <v>0</v>
      </c>
      <c r="R1075" s="9">
        <v>1199520</v>
      </c>
      <c r="S1075" s="21" t="s">
        <v>1846</v>
      </c>
      <c r="T1075" s="117">
        <v>0</v>
      </c>
      <c r="U1075" s="117" t="s">
        <v>347</v>
      </c>
      <c r="V1075" s="117">
        <v>2023</v>
      </c>
      <c r="W1075" s="117">
        <v>6</v>
      </c>
      <c r="X1075" s="117">
        <v>1145000</v>
      </c>
      <c r="Y1075" s="117">
        <v>2.5000000000000001E-2</v>
      </c>
      <c r="Z1075" s="21" t="b">
        <v>0</v>
      </c>
      <c r="AA1075" s="162">
        <f>+$AD$5-Tabla2[[#This Row],[FECHA DE FACTURACIÓN]]</f>
        <v>192</v>
      </c>
      <c r="AB1075" s="163" t="str">
        <f>+IF(Tabla2[[#This Row],[dias de credito]]&gt;=Tabla2[[#This Row],[PLAZO Días]],"venc", "No venc")</f>
        <v>venc</v>
      </c>
      <c r="AC1075" s="163" t="str">
        <f>+IF(Tabla2[[#This Row],[FECHA DE PAGO]]&gt;0,"pagada","por pagar")</f>
        <v>pagada</v>
      </c>
      <c r="AD1075" s="164" t="str">
        <f>+IF(AND(Tabla2[[#This Row],[venc]]="venc",Tabla2[[#This Row],[estado pago]]="por pagar"),"vencida","no")</f>
        <v>no</v>
      </c>
    </row>
    <row r="1076" spans="1:30" ht="19.5" hidden="1" customHeight="1" x14ac:dyDescent="0.25">
      <c r="A1076" s="8" t="s">
        <v>1850</v>
      </c>
      <c r="B1076" s="8" t="b">
        <v>0</v>
      </c>
      <c r="C1076" s="8">
        <v>180</v>
      </c>
      <c r="D1076" s="151">
        <v>0</v>
      </c>
      <c r="E1076" s="151"/>
      <c r="F1076" s="24" t="s">
        <v>219</v>
      </c>
      <c r="G1076" s="30">
        <v>45280</v>
      </c>
      <c r="H1076" s="81" t="s">
        <v>370</v>
      </c>
      <c r="I1076" s="30">
        <v>45253</v>
      </c>
      <c r="J1076" s="16" t="s">
        <v>1264</v>
      </c>
      <c r="K1076" s="9" t="s">
        <v>1530</v>
      </c>
      <c r="L1076" s="9"/>
      <c r="M1076" s="152">
        <v>545547</v>
      </c>
      <c r="N1076" s="153">
        <v>27277.350000000002</v>
      </c>
      <c r="O1076" s="152">
        <v>0</v>
      </c>
      <c r="P1076" s="154">
        <v>0</v>
      </c>
      <c r="Q1076" s="152">
        <v>0</v>
      </c>
      <c r="R1076" s="9">
        <v>572824.35</v>
      </c>
      <c r="S1076" s="21" t="s">
        <v>1846</v>
      </c>
      <c r="T1076" s="117">
        <v>0</v>
      </c>
      <c r="U1076" s="117" t="s">
        <v>347</v>
      </c>
      <c r="V1076" s="117">
        <v>2023</v>
      </c>
      <c r="W1076" s="117">
        <v>6</v>
      </c>
      <c r="X1076" s="117">
        <v>1145000</v>
      </c>
      <c r="Y1076" s="117">
        <v>2.5000000000000001E-2</v>
      </c>
      <c r="Z1076" s="21" t="b">
        <v>1</v>
      </c>
      <c r="AA1076" s="162">
        <f>+$AD$5-Tabla2[[#This Row],[FECHA DE FACTURACIÓN]]</f>
        <v>190</v>
      </c>
      <c r="AB1076" s="163" t="str">
        <f>+IF(Tabla2[[#This Row],[dias de credito]]&gt;=Tabla2[[#This Row],[PLAZO Días]],"venc", "No venc")</f>
        <v>venc</v>
      </c>
      <c r="AC1076" s="163" t="str">
        <f>+IF(Tabla2[[#This Row],[FECHA DE PAGO]]&gt;0,"pagada","por pagar")</f>
        <v>pagada</v>
      </c>
      <c r="AD1076" s="164" t="str">
        <f>+IF(AND(Tabla2[[#This Row],[venc]]="venc",Tabla2[[#This Row],[estado pago]]="por pagar"),"vencida","no")</f>
        <v>no</v>
      </c>
    </row>
    <row r="1077" spans="1:30" ht="19.5" hidden="1" customHeight="1" x14ac:dyDescent="0.25">
      <c r="A1077" s="8" t="s">
        <v>1850</v>
      </c>
      <c r="B1077" s="8" t="b">
        <v>0</v>
      </c>
      <c r="C1077" s="8">
        <v>30</v>
      </c>
      <c r="D1077" s="151">
        <v>0</v>
      </c>
      <c r="E1077" s="151"/>
      <c r="F1077" s="24">
        <v>0</v>
      </c>
      <c r="G1077" s="30">
        <v>45280</v>
      </c>
      <c r="H1077" s="81" t="s">
        <v>836</v>
      </c>
      <c r="I1077" s="30">
        <v>45278</v>
      </c>
      <c r="J1077" s="16" t="s">
        <v>1341</v>
      </c>
      <c r="K1077" s="9" t="s">
        <v>504</v>
      </c>
      <c r="L1077" s="9"/>
      <c r="M1077" s="152">
        <v>500000</v>
      </c>
      <c r="N1077" s="153">
        <v>0</v>
      </c>
      <c r="O1077" s="152">
        <v>0</v>
      </c>
      <c r="P1077" s="154">
        <v>0</v>
      </c>
      <c r="Q1077" s="152">
        <v>0</v>
      </c>
      <c r="R1077" s="9">
        <v>500000</v>
      </c>
      <c r="S1077" s="21" t="s">
        <v>1846</v>
      </c>
      <c r="T1077" s="117">
        <v>0</v>
      </c>
      <c r="U1077" s="117">
        <v>0</v>
      </c>
      <c r="V1077" s="117">
        <v>2023</v>
      </c>
      <c r="W1077" s="117">
        <v>6</v>
      </c>
      <c r="X1077" s="117">
        <v>0</v>
      </c>
      <c r="Y1077" s="117">
        <v>0</v>
      </c>
      <c r="Z1077" s="21" t="b">
        <v>0</v>
      </c>
      <c r="AA1077" s="162">
        <f>+$AD$5-Tabla2[[#This Row],[FECHA DE FACTURACIÓN]]</f>
        <v>165</v>
      </c>
      <c r="AB1077" s="163" t="str">
        <f>+IF(Tabla2[[#This Row],[dias de credito]]&gt;=Tabla2[[#This Row],[PLAZO Días]],"venc", "No venc")</f>
        <v>venc</v>
      </c>
      <c r="AC1077" s="163" t="str">
        <f>+IF(Tabla2[[#This Row],[FECHA DE PAGO]]&gt;0,"pagada","por pagar")</f>
        <v>pagada</v>
      </c>
      <c r="AD1077" s="164" t="str">
        <f>+IF(AND(Tabla2[[#This Row],[venc]]="venc",Tabla2[[#This Row],[estado pago]]="por pagar"),"vencida","no")</f>
        <v>no</v>
      </c>
    </row>
    <row r="1078" spans="1:30" ht="19.5" hidden="1" customHeight="1" x14ac:dyDescent="0.25">
      <c r="A1078" s="8" t="s">
        <v>1852</v>
      </c>
      <c r="B1078" s="8" t="b">
        <v>0</v>
      </c>
      <c r="C1078" s="8">
        <v>30</v>
      </c>
      <c r="D1078" s="151">
        <v>0</v>
      </c>
      <c r="E1078" s="151"/>
      <c r="F1078" s="24" t="s">
        <v>84</v>
      </c>
      <c r="G1078" s="30">
        <v>45280</v>
      </c>
      <c r="H1078" s="81" t="s">
        <v>525</v>
      </c>
      <c r="I1078" s="30">
        <v>45280</v>
      </c>
      <c r="J1078" s="16" t="s">
        <v>1340</v>
      </c>
      <c r="K1078" s="9" t="s">
        <v>1530</v>
      </c>
      <c r="L1078" s="9"/>
      <c r="M1078" s="152">
        <v>665000</v>
      </c>
      <c r="N1078" s="153">
        <v>0</v>
      </c>
      <c r="O1078" s="152">
        <v>0</v>
      </c>
      <c r="P1078" s="154">
        <v>0</v>
      </c>
      <c r="Q1078" s="152">
        <v>0</v>
      </c>
      <c r="R1078" s="9">
        <v>665000</v>
      </c>
      <c r="S1078" s="21" t="s">
        <v>1846</v>
      </c>
      <c r="T1078" s="117">
        <v>0</v>
      </c>
      <c r="U1078" s="117">
        <v>0</v>
      </c>
      <c r="V1078" s="117">
        <v>2023</v>
      </c>
      <c r="W1078" s="117">
        <v>6</v>
      </c>
      <c r="X1078" s="117">
        <v>0</v>
      </c>
      <c r="Y1078" s="117">
        <v>0</v>
      </c>
      <c r="Z1078" s="21" t="b">
        <v>0</v>
      </c>
      <c r="AA1078" s="162">
        <f>+$AD$5-Tabla2[[#This Row],[FECHA DE FACTURACIÓN]]</f>
        <v>163</v>
      </c>
      <c r="AB1078" s="163" t="str">
        <f>+IF(Tabla2[[#This Row],[dias de credito]]&gt;=Tabla2[[#This Row],[PLAZO Días]],"venc", "No venc")</f>
        <v>venc</v>
      </c>
      <c r="AC1078" s="163" t="str">
        <f>+IF(Tabla2[[#This Row],[FECHA DE PAGO]]&gt;0,"pagada","por pagar")</f>
        <v>pagada</v>
      </c>
      <c r="AD1078" s="164" t="str">
        <f>+IF(AND(Tabla2[[#This Row],[venc]]="venc",Tabla2[[#This Row],[estado pago]]="por pagar"),"vencida","no")</f>
        <v>no</v>
      </c>
    </row>
    <row r="1079" spans="1:30" ht="19.5" hidden="1" customHeight="1" x14ac:dyDescent="0.25">
      <c r="A1079" s="8" t="s">
        <v>1852</v>
      </c>
      <c r="B1079" s="8" t="b">
        <v>0</v>
      </c>
      <c r="C1079" s="8">
        <v>30</v>
      </c>
      <c r="D1079" s="151">
        <v>0</v>
      </c>
      <c r="E1079" s="151"/>
      <c r="F1079" s="24" t="s">
        <v>84</v>
      </c>
      <c r="G1079" s="30">
        <v>45280</v>
      </c>
      <c r="H1079" s="81" t="s">
        <v>1824</v>
      </c>
      <c r="I1079" s="30">
        <v>45280</v>
      </c>
      <c r="J1079" s="16"/>
      <c r="K1079" s="9" t="s">
        <v>1530</v>
      </c>
      <c r="L1079" s="9"/>
      <c r="M1079" s="152">
        <v>1048450</v>
      </c>
      <c r="N1079" s="153">
        <v>0</v>
      </c>
      <c r="O1079" s="152">
        <v>0</v>
      </c>
      <c r="P1079" s="154">
        <v>0</v>
      </c>
      <c r="Q1079" s="152">
        <v>0</v>
      </c>
      <c r="R1079" s="9">
        <v>1048450</v>
      </c>
      <c r="S1079" s="21" t="s">
        <v>1846</v>
      </c>
      <c r="T1079" s="117">
        <v>0</v>
      </c>
      <c r="U1079" s="117">
        <v>0</v>
      </c>
      <c r="V1079" s="117">
        <v>2023</v>
      </c>
      <c r="W1079" s="117">
        <v>6</v>
      </c>
      <c r="X1079" s="117">
        <v>0</v>
      </c>
      <c r="Y1079" s="117">
        <v>0</v>
      </c>
      <c r="Z1079" s="21" t="b">
        <v>0</v>
      </c>
      <c r="AA1079" s="162">
        <f>+$AD$5-Tabla2[[#This Row],[FECHA DE FACTURACIÓN]]</f>
        <v>163</v>
      </c>
      <c r="AB1079" s="163" t="str">
        <f>+IF(Tabla2[[#This Row],[dias de credito]]&gt;=Tabla2[[#This Row],[PLAZO Días]],"venc", "No venc")</f>
        <v>venc</v>
      </c>
      <c r="AC1079" s="163" t="str">
        <f>+IF(Tabla2[[#This Row],[FECHA DE PAGO]]&gt;0,"pagada","por pagar")</f>
        <v>pagada</v>
      </c>
      <c r="AD1079" s="164" t="str">
        <f>+IF(AND(Tabla2[[#This Row],[venc]]="venc",Tabla2[[#This Row],[estado pago]]="por pagar"),"vencida","no")</f>
        <v>no</v>
      </c>
    </row>
    <row r="1080" spans="1:30" ht="19.5" hidden="1" customHeight="1" x14ac:dyDescent="0.25">
      <c r="A1080" s="8" t="s">
        <v>1850</v>
      </c>
      <c r="B1080" s="8" t="s">
        <v>1851</v>
      </c>
      <c r="C1080" s="8">
        <v>30</v>
      </c>
      <c r="D1080" s="151">
        <v>0</v>
      </c>
      <c r="E1080" s="151"/>
      <c r="F1080" s="24" t="s">
        <v>169</v>
      </c>
      <c r="G1080" s="30">
        <v>45281</v>
      </c>
      <c r="H1080" s="81" t="s">
        <v>1592</v>
      </c>
      <c r="I1080" s="30">
        <v>45246</v>
      </c>
      <c r="J1080" s="16" t="s">
        <v>1244</v>
      </c>
      <c r="K1080" s="9" t="s">
        <v>1530</v>
      </c>
      <c r="L1080" s="9"/>
      <c r="M1080" s="152">
        <v>1996000</v>
      </c>
      <c r="N1080" s="153">
        <v>379240</v>
      </c>
      <c r="O1080" s="152">
        <v>0</v>
      </c>
      <c r="P1080" s="154">
        <v>2.5000000000000001E-2</v>
      </c>
      <c r="Q1080" s="152">
        <v>49900</v>
      </c>
      <c r="R1080" s="9">
        <v>2325340</v>
      </c>
      <c r="S1080" s="21" t="s">
        <v>1846</v>
      </c>
      <c r="T1080" s="117">
        <v>0</v>
      </c>
      <c r="U1080" s="117" t="s">
        <v>347</v>
      </c>
      <c r="V1080" s="117">
        <v>2023</v>
      </c>
      <c r="W1080" s="117">
        <v>6</v>
      </c>
      <c r="X1080" s="117">
        <v>1145000</v>
      </c>
      <c r="Y1080" s="117">
        <v>2.5000000000000001E-2</v>
      </c>
      <c r="Z1080" s="21" t="b">
        <v>0</v>
      </c>
      <c r="AA1080" s="162">
        <f>+$AD$5-Tabla2[[#This Row],[FECHA DE FACTURACIÓN]]</f>
        <v>197</v>
      </c>
      <c r="AB1080" s="163" t="str">
        <f>+IF(Tabla2[[#This Row],[dias de credito]]&gt;=Tabla2[[#This Row],[PLAZO Días]],"venc", "No venc")</f>
        <v>venc</v>
      </c>
      <c r="AC1080" s="163" t="str">
        <f>+IF(Tabla2[[#This Row],[FECHA DE PAGO]]&gt;0,"pagada","por pagar")</f>
        <v>pagada</v>
      </c>
      <c r="AD1080" s="164" t="str">
        <f>+IF(AND(Tabla2[[#This Row],[venc]]="venc",Tabla2[[#This Row],[estado pago]]="por pagar"),"vencida","no")</f>
        <v>no</v>
      </c>
    </row>
    <row r="1081" spans="1:30" ht="19.5" hidden="1" customHeight="1" x14ac:dyDescent="0.25">
      <c r="A1081" s="8" t="s">
        <v>1850</v>
      </c>
      <c r="B1081" s="8" t="s">
        <v>1851</v>
      </c>
      <c r="C1081" s="8">
        <v>30</v>
      </c>
      <c r="D1081" s="151">
        <v>2095000</v>
      </c>
      <c r="E1081" s="151"/>
      <c r="F1081" s="24" t="s">
        <v>204</v>
      </c>
      <c r="G1081" s="30">
        <v>45281</v>
      </c>
      <c r="H1081" s="81" t="s">
        <v>1804</v>
      </c>
      <c r="I1081" s="30">
        <v>45250</v>
      </c>
      <c r="J1081" s="16" t="s">
        <v>1273</v>
      </c>
      <c r="K1081" s="9" t="s">
        <v>1530</v>
      </c>
      <c r="L1081" s="9"/>
      <c r="M1081" s="152">
        <v>2610000</v>
      </c>
      <c r="N1081" s="153">
        <v>0</v>
      </c>
      <c r="O1081" s="152">
        <v>0</v>
      </c>
      <c r="P1081" s="154">
        <v>0</v>
      </c>
      <c r="Q1081" s="152">
        <v>0</v>
      </c>
      <c r="R1081" s="9">
        <v>2610000</v>
      </c>
      <c r="S1081" s="21" t="s">
        <v>1846</v>
      </c>
      <c r="T1081" s="117">
        <v>0</v>
      </c>
      <c r="U1081" s="117">
        <v>0</v>
      </c>
      <c r="V1081" s="117">
        <v>2023</v>
      </c>
      <c r="W1081" s="117">
        <v>6</v>
      </c>
      <c r="X1081" s="117">
        <v>0</v>
      </c>
      <c r="Y1081" s="117">
        <v>0</v>
      </c>
      <c r="Z1081" s="21" t="b">
        <v>0</v>
      </c>
      <c r="AA1081" s="162">
        <f>+$AD$5-Tabla2[[#This Row],[FECHA DE FACTURACIÓN]]</f>
        <v>193</v>
      </c>
      <c r="AB1081" s="163" t="str">
        <f>+IF(Tabla2[[#This Row],[dias de credito]]&gt;=Tabla2[[#This Row],[PLAZO Días]],"venc", "No venc")</f>
        <v>venc</v>
      </c>
      <c r="AC1081" s="163" t="str">
        <f>+IF(Tabla2[[#This Row],[FECHA DE PAGO]]&gt;0,"pagada","por pagar")</f>
        <v>pagada</v>
      </c>
      <c r="AD1081" s="164" t="str">
        <f>+IF(AND(Tabla2[[#This Row],[venc]]="venc",Tabla2[[#This Row],[estado pago]]="por pagar"),"vencida","no")</f>
        <v>no</v>
      </c>
    </row>
    <row r="1082" spans="1:30" ht="19.5" hidden="1" customHeight="1" x14ac:dyDescent="0.25">
      <c r="A1082" s="8" t="s">
        <v>1850</v>
      </c>
      <c r="B1082" s="8" t="b">
        <v>0</v>
      </c>
      <c r="C1082" s="8">
        <v>30</v>
      </c>
      <c r="D1082" s="151">
        <v>4316000</v>
      </c>
      <c r="E1082" s="151"/>
      <c r="F1082" s="24" t="s">
        <v>84</v>
      </c>
      <c r="G1082" s="30">
        <v>45281</v>
      </c>
      <c r="H1082" s="81" t="s">
        <v>1812</v>
      </c>
      <c r="I1082" s="30">
        <v>45251</v>
      </c>
      <c r="J1082" s="16" t="s">
        <v>1271</v>
      </c>
      <c r="K1082" s="9" t="s">
        <v>1530</v>
      </c>
      <c r="L1082" s="9"/>
      <c r="M1082" s="152">
        <v>1479000</v>
      </c>
      <c r="N1082" s="153">
        <v>0</v>
      </c>
      <c r="O1082" s="152">
        <v>0</v>
      </c>
      <c r="P1082" s="154">
        <v>0</v>
      </c>
      <c r="Q1082" s="152">
        <v>0</v>
      </c>
      <c r="R1082" s="9">
        <v>1479000</v>
      </c>
      <c r="S1082" s="21" t="s">
        <v>1846</v>
      </c>
      <c r="T1082" s="117">
        <v>0</v>
      </c>
      <c r="U1082" s="117">
        <v>0</v>
      </c>
      <c r="V1082" s="117">
        <v>2023</v>
      </c>
      <c r="W1082" s="117">
        <v>6</v>
      </c>
      <c r="X1082" s="117">
        <v>0</v>
      </c>
      <c r="Y1082" s="117">
        <v>0</v>
      </c>
      <c r="Z1082" s="21" t="b">
        <v>0</v>
      </c>
      <c r="AA1082" s="162">
        <f>+$AD$5-Tabla2[[#This Row],[FECHA DE FACTURACIÓN]]</f>
        <v>192</v>
      </c>
      <c r="AB1082" s="163" t="str">
        <f>+IF(Tabla2[[#This Row],[dias de credito]]&gt;=Tabla2[[#This Row],[PLAZO Días]],"venc", "No venc")</f>
        <v>venc</v>
      </c>
      <c r="AC1082" s="163" t="str">
        <f>+IF(Tabla2[[#This Row],[FECHA DE PAGO]]&gt;0,"pagada","por pagar")</f>
        <v>pagada</v>
      </c>
      <c r="AD1082" s="164" t="str">
        <f>+IF(AND(Tabla2[[#This Row],[venc]]="venc",Tabla2[[#This Row],[estado pago]]="por pagar"),"vencida","no")</f>
        <v>no</v>
      </c>
    </row>
    <row r="1083" spans="1:30" ht="19.5" hidden="1" customHeight="1" x14ac:dyDescent="0.25">
      <c r="A1083" s="8" t="s">
        <v>1850</v>
      </c>
      <c r="B1083" s="8" t="b">
        <v>0</v>
      </c>
      <c r="C1083" s="8">
        <v>30</v>
      </c>
      <c r="D1083" s="151">
        <v>818443.92</v>
      </c>
      <c r="E1083" s="151"/>
      <c r="F1083" s="24" t="s">
        <v>111</v>
      </c>
      <c r="G1083" s="30">
        <v>45281</v>
      </c>
      <c r="H1083" s="81" t="s">
        <v>20</v>
      </c>
      <c r="I1083" s="30">
        <v>45253</v>
      </c>
      <c r="J1083" s="16" t="s">
        <v>1269</v>
      </c>
      <c r="K1083" s="9" t="s">
        <v>1530</v>
      </c>
      <c r="L1083" s="9"/>
      <c r="M1083" s="152">
        <v>2961970</v>
      </c>
      <c r="N1083" s="153">
        <v>562774.30000000005</v>
      </c>
      <c r="O1083" s="152">
        <v>0</v>
      </c>
      <c r="P1083" s="154">
        <v>2.5000000000000001E-2</v>
      </c>
      <c r="Q1083" s="152">
        <v>74049.25</v>
      </c>
      <c r="R1083" s="9">
        <v>3450695.05</v>
      </c>
      <c r="S1083" s="21" t="s">
        <v>1846</v>
      </c>
      <c r="T1083" s="117">
        <v>0</v>
      </c>
      <c r="U1083" s="117" t="s">
        <v>347</v>
      </c>
      <c r="V1083" s="117">
        <v>2023</v>
      </c>
      <c r="W1083" s="117">
        <v>6</v>
      </c>
      <c r="X1083" s="117">
        <v>1145000</v>
      </c>
      <c r="Y1083" s="117">
        <v>2.5000000000000001E-2</v>
      </c>
      <c r="Z1083" s="21" t="b">
        <v>0</v>
      </c>
      <c r="AA1083" s="162">
        <f>+$AD$5-Tabla2[[#This Row],[FECHA DE FACTURACIÓN]]</f>
        <v>190</v>
      </c>
      <c r="AB1083" s="163" t="str">
        <f>+IF(Tabla2[[#This Row],[dias de credito]]&gt;=Tabla2[[#This Row],[PLAZO Días]],"venc", "No venc")</f>
        <v>venc</v>
      </c>
      <c r="AC1083" s="163" t="str">
        <f>+IF(Tabla2[[#This Row],[FECHA DE PAGO]]&gt;0,"pagada","por pagar")</f>
        <v>pagada</v>
      </c>
      <c r="AD1083" s="164" t="str">
        <f>+IF(AND(Tabla2[[#This Row],[venc]]="venc",Tabla2[[#This Row],[estado pago]]="por pagar"),"vencida","no")</f>
        <v>no</v>
      </c>
    </row>
    <row r="1084" spans="1:30" ht="19.5" hidden="1" customHeight="1" x14ac:dyDescent="0.25">
      <c r="A1084" s="8" t="s">
        <v>1850</v>
      </c>
      <c r="B1084" s="8" t="b">
        <v>0</v>
      </c>
      <c r="C1084" s="8">
        <v>30</v>
      </c>
      <c r="D1084" s="151">
        <v>0</v>
      </c>
      <c r="E1084" s="151"/>
      <c r="F1084" s="24" t="s">
        <v>1129</v>
      </c>
      <c r="G1084" s="30">
        <v>45281</v>
      </c>
      <c r="H1084" s="81" t="s">
        <v>1130</v>
      </c>
      <c r="I1084" s="30">
        <v>45274</v>
      </c>
      <c r="J1084" s="16" t="s">
        <v>1339</v>
      </c>
      <c r="K1084" s="9" t="s">
        <v>1530</v>
      </c>
      <c r="L1084" s="9"/>
      <c r="M1084" s="152">
        <v>-26639</v>
      </c>
      <c r="N1084" s="153">
        <v>-5061.41</v>
      </c>
      <c r="O1084" s="152">
        <v>0</v>
      </c>
      <c r="P1084" s="154">
        <v>0</v>
      </c>
      <c r="Q1084" s="152">
        <v>0</v>
      </c>
      <c r="R1084" s="9">
        <v>-31700.41</v>
      </c>
      <c r="S1084" s="21" t="s">
        <v>1846</v>
      </c>
      <c r="T1084" s="117">
        <v>0</v>
      </c>
      <c r="U1084" s="117" t="s">
        <v>347</v>
      </c>
      <c r="V1084" s="117">
        <v>2023</v>
      </c>
      <c r="W1084" s="117">
        <v>6</v>
      </c>
      <c r="X1084" s="117">
        <v>1145000</v>
      </c>
      <c r="Y1084" s="117">
        <v>2.5000000000000001E-2</v>
      </c>
      <c r="Z1084" s="21" t="b">
        <v>0</v>
      </c>
      <c r="AA1084" s="162">
        <f>+$AD$5-Tabla2[[#This Row],[FECHA DE FACTURACIÓN]]</f>
        <v>169</v>
      </c>
      <c r="AB1084" s="163" t="str">
        <f>+IF(Tabla2[[#This Row],[dias de credito]]&gt;=Tabla2[[#This Row],[PLAZO Días]],"venc", "No venc")</f>
        <v>venc</v>
      </c>
      <c r="AC1084" s="163" t="str">
        <f>+IF(Tabla2[[#This Row],[FECHA DE PAGO]]&gt;0,"pagada","por pagar")</f>
        <v>pagada</v>
      </c>
      <c r="AD1084" s="164" t="str">
        <f>+IF(AND(Tabla2[[#This Row],[venc]]="venc",Tabla2[[#This Row],[estado pago]]="por pagar"),"vencida","no")</f>
        <v>no</v>
      </c>
    </row>
    <row r="1085" spans="1:30" ht="19.5" hidden="1" customHeight="1" x14ac:dyDescent="0.25">
      <c r="A1085" s="8" t="s">
        <v>1850</v>
      </c>
      <c r="B1085" s="8" t="b">
        <v>0</v>
      </c>
      <c r="C1085" s="8">
        <v>30</v>
      </c>
      <c r="D1085" s="151">
        <v>0</v>
      </c>
      <c r="E1085" s="151"/>
      <c r="F1085" s="24" t="s">
        <v>1129</v>
      </c>
      <c r="G1085" s="30">
        <v>45281</v>
      </c>
      <c r="H1085" s="81" t="s">
        <v>1130</v>
      </c>
      <c r="I1085" s="30">
        <v>45274</v>
      </c>
      <c r="J1085" s="16" t="s">
        <v>1338</v>
      </c>
      <c r="K1085" s="9" t="s">
        <v>1530</v>
      </c>
      <c r="L1085" s="9"/>
      <c r="M1085" s="152">
        <v>649719</v>
      </c>
      <c r="N1085" s="153">
        <v>123446.61</v>
      </c>
      <c r="O1085" s="152">
        <v>0</v>
      </c>
      <c r="P1085" s="154">
        <v>0</v>
      </c>
      <c r="Q1085" s="152">
        <v>0</v>
      </c>
      <c r="R1085" s="9">
        <v>773165.61</v>
      </c>
      <c r="S1085" s="21" t="s">
        <v>1846</v>
      </c>
      <c r="T1085" s="117">
        <v>0</v>
      </c>
      <c r="U1085" s="117" t="s">
        <v>347</v>
      </c>
      <c r="V1085" s="117">
        <v>2023</v>
      </c>
      <c r="W1085" s="117">
        <v>6</v>
      </c>
      <c r="X1085" s="117">
        <v>1145000</v>
      </c>
      <c r="Y1085" s="117">
        <v>2.5000000000000001E-2</v>
      </c>
      <c r="Z1085" s="21" t="b">
        <v>0</v>
      </c>
      <c r="AA1085" s="162">
        <f>+$AD$5-Tabla2[[#This Row],[FECHA DE FACTURACIÓN]]</f>
        <v>169</v>
      </c>
      <c r="AB1085" s="163" t="str">
        <f>+IF(Tabla2[[#This Row],[dias de credito]]&gt;=Tabla2[[#This Row],[PLAZO Días]],"venc", "No venc")</f>
        <v>venc</v>
      </c>
      <c r="AC1085" s="163" t="str">
        <f>+IF(Tabla2[[#This Row],[FECHA DE PAGO]]&gt;0,"pagada","por pagar")</f>
        <v>pagada</v>
      </c>
      <c r="AD1085" s="164" t="str">
        <f>+IF(AND(Tabla2[[#This Row],[venc]]="venc",Tabla2[[#This Row],[estado pago]]="por pagar"),"vencida","no")</f>
        <v>no</v>
      </c>
    </row>
    <row r="1086" spans="1:30" ht="19.5" hidden="1" customHeight="1" x14ac:dyDescent="0.25">
      <c r="A1086" s="8" t="s">
        <v>1850</v>
      </c>
      <c r="B1086" s="8" t="b">
        <v>0</v>
      </c>
      <c r="C1086" s="8">
        <v>30</v>
      </c>
      <c r="D1086" s="151">
        <v>0</v>
      </c>
      <c r="E1086" s="151"/>
      <c r="F1086" s="24" t="s">
        <v>414</v>
      </c>
      <c r="G1086" s="30">
        <v>45281</v>
      </c>
      <c r="H1086" s="81" t="s">
        <v>382</v>
      </c>
      <c r="I1086" s="30">
        <v>45280</v>
      </c>
      <c r="J1086" s="16" t="s">
        <v>1384</v>
      </c>
      <c r="K1086" s="9" t="s">
        <v>1530</v>
      </c>
      <c r="L1086" s="9"/>
      <c r="M1086" s="152">
        <v>82000</v>
      </c>
      <c r="N1086" s="153">
        <v>0</v>
      </c>
      <c r="O1086" s="152">
        <v>0</v>
      </c>
      <c r="P1086" s="154">
        <v>0</v>
      </c>
      <c r="Q1086" s="152">
        <v>0</v>
      </c>
      <c r="R1086" s="9">
        <v>82000</v>
      </c>
      <c r="S1086" s="21" t="s">
        <v>1846</v>
      </c>
      <c r="T1086" s="117">
        <v>0</v>
      </c>
      <c r="U1086" s="117">
        <v>0</v>
      </c>
      <c r="V1086" s="117">
        <v>2023</v>
      </c>
      <c r="W1086" s="117">
        <v>6</v>
      </c>
      <c r="X1086" s="117">
        <v>0</v>
      </c>
      <c r="Y1086" s="117">
        <v>0</v>
      </c>
      <c r="Z1086" s="21" t="b">
        <v>1</v>
      </c>
      <c r="AA1086" s="162">
        <f>+$AD$5-Tabla2[[#This Row],[FECHA DE FACTURACIÓN]]</f>
        <v>163</v>
      </c>
      <c r="AB1086" s="163" t="str">
        <f>+IF(Tabla2[[#This Row],[dias de credito]]&gt;=Tabla2[[#This Row],[PLAZO Días]],"venc", "No venc")</f>
        <v>venc</v>
      </c>
      <c r="AC1086" s="163" t="str">
        <f>+IF(Tabla2[[#This Row],[FECHA DE PAGO]]&gt;0,"pagada","por pagar")</f>
        <v>pagada</v>
      </c>
      <c r="AD1086" s="164" t="str">
        <f>+IF(AND(Tabla2[[#This Row],[venc]]="venc",Tabla2[[#This Row],[estado pago]]="por pagar"),"vencida","no")</f>
        <v>no</v>
      </c>
    </row>
    <row r="1087" spans="1:30" ht="19.5" hidden="1" customHeight="1" x14ac:dyDescent="0.25">
      <c r="A1087" s="8" t="s">
        <v>1850</v>
      </c>
      <c r="B1087" s="8" t="s">
        <v>1851</v>
      </c>
      <c r="C1087" s="8">
        <v>30</v>
      </c>
      <c r="D1087" s="151">
        <v>0</v>
      </c>
      <c r="E1087" s="151"/>
      <c r="F1087" s="24" t="s">
        <v>84</v>
      </c>
      <c r="G1087" s="30">
        <v>45282</v>
      </c>
      <c r="H1087" s="81" t="s">
        <v>1811</v>
      </c>
      <c r="I1087" s="30">
        <v>45251</v>
      </c>
      <c r="J1087" s="16" t="s">
        <v>1274</v>
      </c>
      <c r="K1087" s="9" t="s">
        <v>1530</v>
      </c>
      <c r="L1087" s="9"/>
      <c r="M1087" s="152">
        <v>6427500</v>
      </c>
      <c r="N1087" s="153">
        <v>0</v>
      </c>
      <c r="O1087" s="152">
        <v>0</v>
      </c>
      <c r="P1087" s="154">
        <v>0</v>
      </c>
      <c r="Q1087" s="152">
        <v>0</v>
      </c>
      <c r="R1087" s="9">
        <v>6427500</v>
      </c>
      <c r="S1087" s="21" t="s">
        <v>1846</v>
      </c>
      <c r="T1087" s="117">
        <v>0</v>
      </c>
      <c r="U1087" s="117">
        <v>0</v>
      </c>
      <c r="V1087" s="117">
        <v>2023</v>
      </c>
      <c r="W1087" s="117">
        <v>6</v>
      </c>
      <c r="X1087" s="117">
        <v>0</v>
      </c>
      <c r="Y1087" s="117">
        <v>0</v>
      </c>
      <c r="Z1087" s="21" t="b">
        <v>0</v>
      </c>
      <c r="AA1087" s="162">
        <f>+$AD$5-Tabla2[[#This Row],[FECHA DE FACTURACIÓN]]</f>
        <v>192</v>
      </c>
      <c r="AB1087" s="163" t="str">
        <f>+IF(Tabla2[[#This Row],[dias de credito]]&gt;=Tabla2[[#This Row],[PLAZO Días]],"venc", "No venc")</f>
        <v>venc</v>
      </c>
      <c r="AC1087" s="163" t="str">
        <f>+IF(Tabla2[[#This Row],[FECHA DE PAGO]]&gt;0,"pagada","por pagar")</f>
        <v>pagada</v>
      </c>
      <c r="AD1087" s="164" t="str">
        <f>+IF(AND(Tabla2[[#This Row],[venc]]="venc",Tabla2[[#This Row],[estado pago]]="por pagar"),"vencida","no")</f>
        <v>no</v>
      </c>
    </row>
    <row r="1088" spans="1:30" ht="19.5" hidden="1" customHeight="1" x14ac:dyDescent="0.25">
      <c r="A1088" s="8" t="s">
        <v>1850</v>
      </c>
      <c r="B1088" s="8" t="s">
        <v>1851</v>
      </c>
      <c r="C1088" s="8">
        <v>30</v>
      </c>
      <c r="D1088" s="151">
        <v>0</v>
      </c>
      <c r="E1088" s="151"/>
      <c r="F1088" s="24" t="s">
        <v>159</v>
      </c>
      <c r="G1088" s="30">
        <v>45282</v>
      </c>
      <c r="H1088" s="81" t="s">
        <v>452</v>
      </c>
      <c r="I1088" s="30">
        <v>45251</v>
      </c>
      <c r="J1088" s="16" t="s">
        <v>1246</v>
      </c>
      <c r="K1088" s="9" t="s">
        <v>1530</v>
      </c>
      <c r="L1088" s="9"/>
      <c r="M1088" s="152">
        <v>1411768</v>
      </c>
      <c r="N1088" s="153">
        <v>268235.92</v>
      </c>
      <c r="O1088" s="152">
        <v>0</v>
      </c>
      <c r="P1088" s="154">
        <v>2.5000000000000001E-2</v>
      </c>
      <c r="Q1088" s="152">
        <v>35294.200000000004</v>
      </c>
      <c r="R1088" s="9">
        <v>1644709.72</v>
      </c>
      <c r="S1088" s="21" t="s">
        <v>1846</v>
      </c>
      <c r="T1088" s="117">
        <v>0</v>
      </c>
      <c r="U1088" s="117" t="s">
        <v>347</v>
      </c>
      <c r="V1088" s="117">
        <v>2023</v>
      </c>
      <c r="W1088" s="117">
        <v>6</v>
      </c>
      <c r="X1088" s="117">
        <v>1145000</v>
      </c>
      <c r="Y1088" s="117">
        <v>2.5000000000000001E-2</v>
      </c>
      <c r="Z1088" s="21" t="b">
        <v>0</v>
      </c>
      <c r="AA1088" s="162">
        <f>+$AD$5-Tabla2[[#This Row],[FECHA DE FACTURACIÓN]]</f>
        <v>192</v>
      </c>
      <c r="AB1088" s="163" t="str">
        <f>+IF(Tabla2[[#This Row],[dias de credito]]&gt;=Tabla2[[#This Row],[PLAZO Días]],"venc", "No venc")</f>
        <v>venc</v>
      </c>
      <c r="AC1088" s="163" t="str">
        <f>+IF(Tabla2[[#This Row],[FECHA DE PAGO]]&gt;0,"pagada","por pagar")</f>
        <v>pagada</v>
      </c>
      <c r="AD1088" s="164" t="str">
        <f>+IF(AND(Tabla2[[#This Row],[venc]]="venc",Tabla2[[#This Row],[estado pago]]="por pagar"),"vencida","no")</f>
        <v>no</v>
      </c>
    </row>
    <row r="1089" spans="1:30" ht="19.5" hidden="1" customHeight="1" x14ac:dyDescent="0.25">
      <c r="A1089" s="8" t="s">
        <v>1850</v>
      </c>
      <c r="B1089" s="8" t="s">
        <v>1851</v>
      </c>
      <c r="C1089" s="8">
        <v>60</v>
      </c>
      <c r="D1089" s="151">
        <v>50353355.590000004</v>
      </c>
      <c r="E1089" s="151"/>
      <c r="F1089" s="24" t="s">
        <v>157</v>
      </c>
      <c r="G1089" s="30">
        <v>45286</v>
      </c>
      <c r="H1089" s="81" t="s">
        <v>9</v>
      </c>
      <c r="I1089" s="30">
        <v>45203</v>
      </c>
      <c r="J1089" s="16" t="s">
        <v>1343</v>
      </c>
      <c r="K1089" s="9" t="s">
        <v>1530</v>
      </c>
      <c r="L1089" s="9"/>
      <c r="M1089" s="152">
        <v>67227</v>
      </c>
      <c r="N1089" s="153">
        <v>12773.130000000001</v>
      </c>
      <c r="O1089" s="152">
        <v>0</v>
      </c>
      <c r="P1089" s="154">
        <v>0</v>
      </c>
      <c r="Q1089" s="152">
        <v>0</v>
      </c>
      <c r="R1089" s="9">
        <v>80000.13</v>
      </c>
      <c r="S1089" s="21" t="s">
        <v>1846</v>
      </c>
      <c r="T1089" s="117">
        <v>0</v>
      </c>
      <c r="U1089" s="117" t="s">
        <v>347</v>
      </c>
      <c r="V1089" s="117">
        <v>2023</v>
      </c>
      <c r="W1089" s="117">
        <v>6</v>
      </c>
      <c r="X1089" s="117">
        <v>1145000</v>
      </c>
      <c r="Y1089" s="117">
        <v>2.5000000000000001E-2</v>
      </c>
      <c r="Z1089" s="21" t="b">
        <v>0</v>
      </c>
      <c r="AA1089" s="162">
        <f>+$AD$5-Tabla2[[#This Row],[FECHA DE FACTURACIÓN]]</f>
        <v>240</v>
      </c>
      <c r="AB1089" s="163" t="str">
        <f>+IF(Tabla2[[#This Row],[dias de credito]]&gt;=Tabla2[[#This Row],[PLAZO Días]],"venc", "No venc")</f>
        <v>venc</v>
      </c>
      <c r="AC1089" s="163" t="str">
        <f>+IF(Tabla2[[#This Row],[FECHA DE PAGO]]&gt;0,"pagada","por pagar")</f>
        <v>pagada</v>
      </c>
      <c r="AD1089" s="164" t="str">
        <f>+IF(AND(Tabla2[[#This Row],[venc]]="venc",Tabla2[[#This Row],[estado pago]]="por pagar"),"vencida","no")</f>
        <v>no</v>
      </c>
    </row>
    <row r="1090" spans="1:30" ht="19.5" hidden="1" customHeight="1" x14ac:dyDescent="0.25">
      <c r="A1090" s="8" t="s">
        <v>1850</v>
      </c>
      <c r="B1090" s="8" t="s">
        <v>1851</v>
      </c>
      <c r="C1090" s="8">
        <v>30</v>
      </c>
      <c r="D1090" s="151">
        <v>4466504.835</v>
      </c>
      <c r="E1090" s="151"/>
      <c r="F1090" s="24" t="s">
        <v>1553</v>
      </c>
      <c r="G1090" s="30">
        <v>45286</v>
      </c>
      <c r="H1090" s="81" t="s">
        <v>18</v>
      </c>
      <c r="I1090" s="30">
        <v>45252</v>
      </c>
      <c r="J1090" s="16" t="s">
        <v>1255</v>
      </c>
      <c r="K1090" s="9" t="s">
        <v>1530</v>
      </c>
      <c r="L1090" s="9"/>
      <c r="M1090" s="152">
        <v>3851267</v>
      </c>
      <c r="N1090" s="153">
        <v>731740.73</v>
      </c>
      <c r="O1090" s="152">
        <v>0</v>
      </c>
      <c r="P1090" s="154">
        <v>2.5000000000000001E-2</v>
      </c>
      <c r="Q1090" s="152">
        <v>96281.675000000003</v>
      </c>
      <c r="R1090" s="9">
        <v>4486726.0550000006</v>
      </c>
      <c r="S1090" s="21" t="s">
        <v>1846</v>
      </c>
      <c r="T1090" s="117">
        <v>0</v>
      </c>
      <c r="U1090" s="117" t="s">
        <v>347</v>
      </c>
      <c r="V1090" s="117">
        <v>2023</v>
      </c>
      <c r="W1090" s="117">
        <v>6</v>
      </c>
      <c r="X1090" s="117">
        <v>1145000</v>
      </c>
      <c r="Y1090" s="117">
        <v>2.5000000000000001E-2</v>
      </c>
      <c r="Z1090" s="21" t="b">
        <v>0</v>
      </c>
      <c r="AA1090" s="162">
        <f>+$AD$5-Tabla2[[#This Row],[FECHA DE FACTURACIÓN]]</f>
        <v>191</v>
      </c>
      <c r="AB1090" s="163" t="str">
        <f>+IF(Tabla2[[#This Row],[dias de credito]]&gt;=Tabla2[[#This Row],[PLAZO Días]],"venc", "No venc")</f>
        <v>venc</v>
      </c>
      <c r="AC1090" s="163" t="str">
        <f>+IF(Tabla2[[#This Row],[FECHA DE PAGO]]&gt;0,"pagada","por pagar")</f>
        <v>pagada</v>
      </c>
      <c r="AD1090" s="164" t="str">
        <f>+IF(AND(Tabla2[[#This Row],[venc]]="venc",Tabla2[[#This Row],[estado pago]]="por pagar"),"vencida","no")</f>
        <v>no</v>
      </c>
    </row>
    <row r="1091" spans="1:30" ht="19.5" hidden="1" customHeight="1" x14ac:dyDescent="0.25">
      <c r="A1091" s="8" t="s">
        <v>1850</v>
      </c>
      <c r="B1091" s="8" t="b">
        <v>0</v>
      </c>
      <c r="C1091" s="8">
        <v>90</v>
      </c>
      <c r="D1091" s="151">
        <v>17710735.315650001</v>
      </c>
      <c r="E1091" s="151"/>
      <c r="F1091" s="24" t="s">
        <v>141</v>
      </c>
      <c r="G1091" s="30">
        <v>45286</v>
      </c>
      <c r="H1091" s="81" t="s">
        <v>12</v>
      </c>
      <c r="I1091" s="30">
        <v>45254</v>
      </c>
      <c r="J1091" s="16" t="s">
        <v>1261</v>
      </c>
      <c r="K1091" s="9" t="s">
        <v>1530</v>
      </c>
      <c r="L1091" s="9"/>
      <c r="M1091" s="152">
        <v>21214285</v>
      </c>
      <c r="N1091" s="153">
        <v>4030714.15</v>
      </c>
      <c r="O1091" s="152">
        <v>0</v>
      </c>
      <c r="P1091" s="154">
        <v>2.5000000000000001E-2</v>
      </c>
      <c r="Q1091" s="152">
        <v>530357.125</v>
      </c>
      <c r="R1091" s="9">
        <v>24714642.024999999</v>
      </c>
      <c r="S1091" s="21" t="s">
        <v>1846</v>
      </c>
      <c r="T1091" s="117">
        <v>0</v>
      </c>
      <c r="U1091" s="117" t="s">
        <v>347</v>
      </c>
      <c r="V1091" s="117">
        <v>2023</v>
      </c>
      <c r="W1091" s="117">
        <v>6</v>
      </c>
      <c r="X1091" s="117">
        <v>1145000</v>
      </c>
      <c r="Y1091" s="117">
        <v>2.5000000000000001E-2</v>
      </c>
      <c r="Z1091" s="21" t="b">
        <v>0</v>
      </c>
      <c r="AA1091" s="162">
        <f>+$AD$5-Tabla2[[#This Row],[FECHA DE FACTURACIÓN]]</f>
        <v>189</v>
      </c>
      <c r="AB1091" s="163" t="str">
        <f>+IF(Tabla2[[#This Row],[dias de credito]]&gt;=Tabla2[[#This Row],[PLAZO Días]],"venc", "No venc")</f>
        <v>venc</v>
      </c>
      <c r="AC1091" s="163" t="str">
        <f>+IF(Tabla2[[#This Row],[FECHA DE PAGO]]&gt;0,"pagada","por pagar")</f>
        <v>pagada</v>
      </c>
      <c r="AD1091" s="164" t="str">
        <f>+IF(AND(Tabla2[[#This Row],[venc]]="venc",Tabla2[[#This Row],[estado pago]]="por pagar"),"vencida","no")</f>
        <v>no</v>
      </c>
    </row>
    <row r="1092" spans="1:30" ht="19.5" hidden="1" customHeight="1" x14ac:dyDescent="0.25">
      <c r="A1092" s="8" t="s">
        <v>1850</v>
      </c>
      <c r="B1092" s="8" t="b">
        <v>0</v>
      </c>
      <c r="C1092" s="8">
        <v>90</v>
      </c>
      <c r="D1092" s="151">
        <v>17710735.315650001</v>
      </c>
      <c r="E1092" s="151"/>
      <c r="F1092" s="24" t="s">
        <v>141</v>
      </c>
      <c r="G1092" s="30">
        <v>45286</v>
      </c>
      <c r="H1092" s="81" t="s">
        <v>12</v>
      </c>
      <c r="I1092" s="30">
        <v>45254</v>
      </c>
      <c r="J1092" s="16" t="s">
        <v>1260</v>
      </c>
      <c r="K1092" s="9" t="s">
        <v>1530</v>
      </c>
      <c r="L1092" s="9"/>
      <c r="M1092" s="152">
        <v>1260504</v>
      </c>
      <c r="N1092" s="153">
        <v>239495.76</v>
      </c>
      <c r="O1092" s="152">
        <v>0</v>
      </c>
      <c r="P1092" s="154">
        <v>2.5000000000000001E-2</v>
      </c>
      <c r="Q1092" s="152">
        <v>31512.600000000002</v>
      </c>
      <c r="R1092" s="9">
        <v>1468487.16</v>
      </c>
      <c r="S1092" s="21" t="s">
        <v>1846</v>
      </c>
      <c r="T1092" s="117">
        <v>0</v>
      </c>
      <c r="U1092" s="117" t="s">
        <v>347</v>
      </c>
      <c r="V1092" s="117">
        <v>2023</v>
      </c>
      <c r="W1092" s="117">
        <v>6</v>
      </c>
      <c r="X1092" s="117">
        <v>1145000</v>
      </c>
      <c r="Y1092" s="117">
        <v>2.5000000000000001E-2</v>
      </c>
      <c r="Z1092" s="21" t="b">
        <v>0</v>
      </c>
      <c r="AA1092" s="162">
        <f>+$AD$5-Tabla2[[#This Row],[FECHA DE FACTURACIÓN]]</f>
        <v>189</v>
      </c>
      <c r="AB1092" s="163" t="str">
        <f>+IF(Tabla2[[#This Row],[dias de credito]]&gt;=Tabla2[[#This Row],[PLAZO Días]],"venc", "No venc")</f>
        <v>venc</v>
      </c>
      <c r="AC1092" s="163" t="str">
        <f>+IF(Tabla2[[#This Row],[FECHA DE PAGO]]&gt;0,"pagada","por pagar")</f>
        <v>pagada</v>
      </c>
      <c r="AD1092" s="164" t="str">
        <f>+IF(AND(Tabla2[[#This Row],[venc]]="venc",Tabla2[[#This Row],[estado pago]]="por pagar"),"vencida","no")</f>
        <v>no</v>
      </c>
    </row>
    <row r="1093" spans="1:30" ht="19.5" hidden="1" customHeight="1" x14ac:dyDescent="0.25">
      <c r="A1093" s="8" t="s">
        <v>1850</v>
      </c>
      <c r="B1093" s="8" t="b">
        <v>0</v>
      </c>
      <c r="C1093" s="8">
        <v>90</v>
      </c>
      <c r="D1093" s="151">
        <v>17710735.315650001</v>
      </c>
      <c r="E1093" s="151"/>
      <c r="F1093" s="24" t="s">
        <v>141</v>
      </c>
      <c r="G1093" s="30">
        <v>45286</v>
      </c>
      <c r="H1093" s="81" t="s">
        <v>12</v>
      </c>
      <c r="I1093" s="30">
        <v>45254</v>
      </c>
      <c r="J1093" s="16" t="s">
        <v>1262</v>
      </c>
      <c r="K1093" s="9" t="s">
        <v>1530</v>
      </c>
      <c r="L1093" s="9"/>
      <c r="M1093" s="152">
        <v>49989</v>
      </c>
      <c r="N1093" s="153">
        <v>9497.91</v>
      </c>
      <c r="O1093" s="152">
        <v>0</v>
      </c>
      <c r="P1093" s="154">
        <v>0</v>
      </c>
      <c r="Q1093" s="152">
        <v>0</v>
      </c>
      <c r="R1093" s="9">
        <v>59486.91</v>
      </c>
      <c r="S1093" s="21" t="s">
        <v>1846</v>
      </c>
      <c r="T1093" s="117">
        <v>0</v>
      </c>
      <c r="U1093" s="117" t="s">
        <v>347</v>
      </c>
      <c r="V1093" s="117">
        <v>2023</v>
      </c>
      <c r="W1093" s="117">
        <v>6</v>
      </c>
      <c r="X1093" s="117">
        <v>1145000</v>
      </c>
      <c r="Y1093" s="117">
        <v>2.5000000000000001E-2</v>
      </c>
      <c r="Z1093" s="21" t="b">
        <v>0</v>
      </c>
      <c r="AA1093" s="162">
        <f>+$AD$5-Tabla2[[#This Row],[FECHA DE FACTURACIÓN]]</f>
        <v>189</v>
      </c>
      <c r="AB1093" s="163" t="str">
        <f>+IF(Tabla2[[#This Row],[dias de credito]]&gt;=Tabla2[[#This Row],[PLAZO Días]],"venc", "No venc")</f>
        <v>venc</v>
      </c>
      <c r="AC1093" s="163" t="str">
        <f>+IF(Tabla2[[#This Row],[FECHA DE PAGO]]&gt;0,"pagada","por pagar")</f>
        <v>pagada</v>
      </c>
      <c r="AD1093" s="164" t="str">
        <f>+IF(AND(Tabla2[[#This Row],[venc]]="venc",Tabla2[[#This Row],[estado pago]]="por pagar"),"vencida","no")</f>
        <v>no</v>
      </c>
    </row>
    <row r="1094" spans="1:30" ht="19.5" hidden="1" customHeight="1" x14ac:dyDescent="0.25">
      <c r="A1094" s="8" t="s">
        <v>1850</v>
      </c>
      <c r="B1094" s="8" t="s">
        <v>1851</v>
      </c>
      <c r="C1094" s="8">
        <v>30</v>
      </c>
      <c r="D1094" s="151">
        <v>4466504.835</v>
      </c>
      <c r="E1094" s="151"/>
      <c r="F1094" s="24" t="s">
        <v>1553</v>
      </c>
      <c r="G1094" s="30">
        <v>45286</v>
      </c>
      <c r="H1094" s="81" t="s">
        <v>18</v>
      </c>
      <c r="I1094" s="30">
        <v>45254</v>
      </c>
      <c r="J1094" s="16" t="s">
        <v>1257</v>
      </c>
      <c r="K1094" s="9" t="s">
        <v>1530</v>
      </c>
      <c r="L1094" s="9"/>
      <c r="M1094" s="152">
        <v>3212390</v>
      </c>
      <c r="N1094" s="153">
        <v>610354.1</v>
      </c>
      <c r="O1094" s="152">
        <v>0</v>
      </c>
      <c r="P1094" s="154">
        <v>2.5000000000000001E-2</v>
      </c>
      <c r="Q1094" s="152">
        <v>80309.75</v>
      </c>
      <c r="R1094" s="9">
        <v>3742434.35</v>
      </c>
      <c r="S1094" s="21" t="s">
        <v>1846</v>
      </c>
      <c r="T1094" s="117">
        <v>0</v>
      </c>
      <c r="U1094" s="117" t="s">
        <v>347</v>
      </c>
      <c r="V1094" s="117">
        <v>2023</v>
      </c>
      <c r="W1094" s="117">
        <v>6</v>
      </c>
      <c r="X1094" s="117">
        <v>1145000</v>
      </c>
      <c r="Y1094" s="117">
        <v>2.5000000000000001E-2</v>
      </c>
      <c r="Z1094" s="21" t="b">
        <v>0</v>
      </c>
      <c r="AA1094" s="162">
        <f>+$AD$5-Tabla2[[#This Row],[FECHA DE FACTURACIÓN]]</f>
        <v>189</v>
      </c>
      <c r="AB1094" s="163" t="str">
        <f>+IF(Tabla2[[#This Row],[dias de credito]]&gt;=Tabla2[[#This Row],[PLAZO Días]],"venc", "No venc")</f>
        <v>venc</v>
      </c>
      <c r="AC1094" s="163" t="str">
        <f>+IF(Tabla2[[#This Row],[FECHA DE PAGO]]&gt;0,"pagada","por pagar")</f>
        <v>pagada</v>
      </c>
      <c r="AD1094" s="164" t="str">
        <f>+IF(AND(Tabla2[[#This Row],[venc]]="venc",Tabla2[[#This Row],[estado pago]]="por pagar"),"vencida","no")</f>
        <v>no</v>
      </c>
    </row>
    <row r="1095" spans="1:30" ht="19.5" hidden="1" customHeight="1" x14ac:dyDescent="0.25">
      <c r="A1095" s="8" t="s">
        <v>1850</v>
      </c>
      <c r="B1095" s="8" t="b">
        <v>0</v>
      </c>
      <c r="C1095" s="8">
        <v>60</v>
      </c>
      <c r="D1095" s="151">
        <v>50353355.590000004</v>
      </c>
      <c r="E1095" s="151"/>
      <c r="F1095" s="24" t="s">
        <v>157</v>
      </c>
      <c r="G1095" s="30">
        <v>45286</v>
      </c>
      <c r="H1095" s="81" t="s">
        <v>9</v>
      </c>
      <c r="I1095" s="30">
        <v>45281</v>
      </c>
      <c r="J1095" s="16" t="s">
        <v>1342</v>
      </c>
      <c r="K1095" s="9" t="s">
        <v>1530</v>
      </c>
      <c r="L1095" s="9"/>
      <c r="M1095" s="152">
        <v>22815172</v>
      </c>
      <c r="N1095" s="153">
        <v>4334882.68</v>
      </c>
      <c r="O1095" s="152">
        <v>0</v>
      </c>
      <c r="P1095" s="154">
        <v>2.5000000000000001E-2</v>
      </c>
      <c r="Q1095" s="152">
        <v>570379.30000000005</v>
      </c>
      <c r="R1095" s="9">
        <v>26579675.379999999</v>
      </c>
      <c r="S1095" s="21" t="s">
        <v>1846</v>
      </c>
      <c r="T1095" s="117">
        <v>0</v>
      </c>
      <c r="U1095" s="117" t="s">
        <v>347</v>
      </c>
      <c r="V1095" s="117">
        <v>2023</v>
      </c>
      <c r="W1095" s="117">
        <v>6</v>
      </c>
      <c r="X1095" s="117">
        <v>1145000</v>
      </c>
      <c r="Y1095" s="117">
        <v>2.5000000000000001E-2</v>
      </c>
      <c r="Z1095" s="21" t="b">
        <v>0</v>
      </c>
      <c r="AA1095" s="162">
        <f>+$AD$5-Tabla2[[#This Row],[FECHA DE FACTURACIÓN]]</f>
        <v>162</v>
      </c>
      <c r="AB1095" s="163" t="str">
        <f>+IF(Tabla2[[#This Row],[dias de credito]]&gt;=Tabla2[[#This Row],[PLAZO Días]],"venc", "No venc")</f>
        <v>venc</v>
      </c>
      <c r="AC1095" s="163" t="str">
        <f>+IF(Tabla2[[#This Row],[FECHA DE PAGO]]&gt;0,"pagada","por pagar")</f>
        <v>pagada</v>
      </c>
      <c r="AD1095" s="164" t="str">
        <f>+IF(AND(Tabla2[[#This Row],[venc]]="venc",Tabla2[[#This Row],[estado pago]]="por pagar"),"vencida","no")</f>
        <v>no</v>
      </c>
    </row>
    <row r="1096" spans="1:30" ht="19.5" hidden="1" customHeight="1" x14ac:dyDescent="0.25">
      <c r="A1096" s="8" t="s">
        <v>1850</v>
      </c>
      <c r="B1096" s="8" t="s">
        <v>1851</v>
      </c>
      <c r="C1096" s="8">
        <v>30</v>
      </c>
      <c r="D1096" s="151">
        <v>11973060.324999999</v>
      </c>
      <c r="E1096" s="151"/>
      <c r="F1096" s="24" t="s">
        <v>146</v>
      </c>
      <c r="G1096" s="30">
        <v>45287</v>
      </c>
      <c r="H1096" s="81" t="s">
        <v>64</v>
      </c>
      <c r="I1096" s="30">
        <v>45246</v>
      </c>
      <c r="J1096" s="16" t="s">
        <v>1258</v>
      </c>
      <c r="K1096" s="9" t="s">
        <v>1530</v>
      </c>
      <c r="L1096" s="9"/>
      <c r="M1096" s="152">
        <v>16744527</v>
      </c>
      <c r="N1096" s="153">
        <v>3181460.13</v>
      </c>
      <c r="O1096" s="152">
        <v>0</v>
      </c>
      <c r="P1096" s="154">
        <v>2.5000000000000001E-2</v>
      </c>
      <c r="Q1096" s="152">
        <v>418613.17500000005</v>
      </c>
      <c r="R1096" s="9">
        <v>19507373.954999998</v>
      </c>
      <c r="S1096" s="21" t="s">
        <v>1846</v>
      </c>
      <c r="T1096" s="117">
        <v>0</v>
      </c>
      <c r="U1096" s="117" t="s">
        <v>347</v>
      </c>
      <c r="V1096" s="117">
        <v>2023</v>
      </c>
      <c r="W1096" s="117">
        <v>6</v>
      </c>
      <c r="X1096" s="117">
        <v>1145000</v>
      </c>
      <c r="Y1096" s="117">
        <v>2.5000000000000001E-2</v>
      </c>
      <c r="Z1096" s="21" t="b">
        <v>0</v>
      </c>
      <c r="AA1096" s="162">
        <f>+$AD$5-Tabla2[[#This Row],[FECHA DE FACTURACIÓN]]</f>
        <v>197</v>
      </c>
      <c r="AB1096" s="163" t="str">
        <f>+IF(Tabla2[[#This Row],[dias de credito]]&gt;=Tabla2[[#This Row],[PLAZO Días]],"venc", "No venc")</f>
        <v>venc</v>
      </c>
      <c r="AC1096" s="163" t="str">
        <f>+IF(Tabla2[[#This Row],[FECHA DE PAGO]]&gt;0,"pagada","por pagar")</f>
        <v>pagada</v>
      </c>
      <c r="AD1096" s="164" t="str">
        <f>+IF(AND(Tabla2[[#This Row],[venc]]="venc",Tabla2[[#This Row],[estado pago]]="por pagar"),"vencida","no")</f>
        <v>no</v>
      </c>
    </row>
    <row r="1097" spans="1:30" ht="19.5" hidden="1" customHeight="1" x14ac:dyDescent="0.25">
      <c r="A1097" s="8" t="s">
        <v>1850</v>
      </c>
      <c r="B1097" s="8" t="s">
        <v>1851</v>
      </c>
      <c r="C1097" s="8">
        <v>30</v>
      </c>
      <c r="D1097" s="151">
        <v>4198834.75</v>
      </c>
      <c r="E1097" s="151"/>
      <c r="F1097" s="24" t="s">
        <v>434</v>
      </c>
      <c r="G1097" s="30">
        <v>45287</v>
      </c>
      <c r="H1097" s="81" t="s">
        <v>422</v>
      </c>
      <c r="I1097" s="30">
        <v>45252</v>
      </c>
      <c r="J1097" s="16" t="s">
        <v>1265</v>
      </c>
      <c r="K1097" s="9" t="s">
        <v>1530</v>
      </c>
      <c r="L1097" s="9"/>
      <c r="M1097" s="152">
        <v>1071000</v>
      </c>
      <c r="N1097" s="153">
        <v>203490</v>
      </c>
      <c r="O1097" s="152">
        <v>0</v>
      </c>
      <c r="P1097" s="154">
        <v>0</v>
      </c>
      <c r="Q1097" s="152">
        <v>0</v>
      </c>
      <c r="R1097" s="9">
        <v>1274490</v>
      </c>
      <c r="S1097" s="21" t="s">
        <v>1846</v>
      </c>
      <c r="T1097" s="117">
        <v>0</v>
      </c>
      <c r="U1097" s="117" t="s">
        <v>347</v>
      </c>
      <c r="V1097" s="117">
        <v>2023</v>
      </c>
      <c r="W1097" s="117">
        <v>6</v>
      </c>
      <c r="X1097" s="117">
        <v>1145000</v>
      </c>
      <c r="Y1097" s="117">
        <v>2.5000000000000001E-2</v>
      </c>
      <c r="Z1097" s="21" t="b">
        <v>0</v>
      </c>
      <c r="AA1097" s="162">
        <f>+$AD$5-Tabla2[[#This Row],[FECHA DE FACTURACIÓN]]</f>
        <v>191</v>
      </c>
      <c r="AB1097" s="163" t="str">
        <f>+IF(Tabla2[[#This Row],[dias de credito]]&gt;=Tabla2[[#This Row],[PLAZO Días]],"venc", "No venc")</f>
        <v>venc</v>
      </c>
      <c r="AC1097" s="163" t="str">
        <f>+IF(Tabla2[[#This Row],[FECHA DE PAGO]]&gt;0,"pagada","por pagar")</f>
        <v>pagada</v>
      </c>
      <c r="AD1097" s="164" t="str">
        <f>+IF(AND(Tabla2[[#This Row],[venc]]="venc",Tabla2[[#This Row],[estado pago]]="por pagar"),"vencida","no")</f>
        <v>no</v>
      </c>
    </row>
    <row r="1098" spans="1:30" ht="19.5" hidden="1" customHeight="1" x14ac:dyDescent="0.25">
      <c r="A1098" s="8" t="s">
        <v>1850</v>
      </c>
      <c r="B1098" s="8" t="b">
        <v>0</v>
      </c>
      <c r="C1098" s="8">
        <v>60</v>
      </c>
      <c r="D1098" s="151">
        <v>50353355.590000004</v>
      </c>
      <c r="E1098" s="151"/>
      <c r="F1098" s="24" t="s">
        <v>157</v>
      </c>
      <c r="G1098" s="30">
        <v>45287</v>
      </c>
      <c r="H1098" s="81" t="s">
        <v>9</v>
      </c>
      <c r="I1098" s="30">
        <v>45261</v>
      </c>
      <c r="J1098" s="16" t="s">
        <v>1369</v>
      </c>
      <c r="K1098" s="9" t="s">
        <v>1530</v>
      </c>
      <c r="L1098" s="9"/>
      <c r="M1098" s="152">
        <v>159664</v>
      </c>
      <c r="N1098" s="153">
        <v>30336.16</v>
      </c>
      <c r="O1098" s="152">
        <v>0</v>
      </c>
      <c r="P1098" s="154">
        <v>0</v>
      </c>
      <c r="Q1098" s="152">
        <v>0</v>
      </c>
      <c r="R1098" s="9">
        <v>190000.16</v>
      </c>
      <c r="S1098" s="21" t="s">
        <v>1846</v>
      </c>
      <c r="T1098" s="117">
        <v>0</v>
      </c>
      <c r="U1098" s="117" t="s">
        <v>347</v>
      </c>
      <c r="V1098" s="117">
        <v>2023</v>
      </c>
      <c r="W1098" s="117">
        <v>6</v>
      </c>
      <c r="X1098" s="117">
        <v>1145000</v>
      </c>
      <c r="Y1098" s="117">
        <v>2.5000000000000001E-2</v>
      </c>
      <c r="Z1098" s="21" t="b">
        <v>0</v>
      </c>
      <c r="AA1098" s="162">
        <f>+$AD$5-Tabla2[[#This Row],[FECHA DE FACTURACIÓN]]</f>
        <v>182</v>
      </c>
      <c r="AB1098" s="163" t="str">
        <f>+IF(Tabla2[[#This Row],[dias de credito]]&gt;=Tabla2[[#This Row],[PLAZO Días]],"venc", "No venc")</f>
        <v>venc</v>
      </c>
      <c r="AC1098" s="163" t="str">
        <f>+IF(Tabla2[[#This Row],[FECHA DE PAGO]]&gt;0,"pagada","por pagar")</f>
        <v>pagada</v>
      </c>
      <c r="AD1098" s="164" t="str">
        <f>+IF(AND(Tabla2[[#This Row],[venc]]="venc",Tabla2[[#This Row],[estado pago]]="por pagar"),"vencida","no")</f>
        <v>no</v>
      </c>
    </row>
    <row r="1099" spans="1:30" ht="19.5" hidden="1" customHeight="1" x14ac:dyDescent="0.25">
      <c r="A1099" s="8" t="s">
        <v>1850</v>
      </c>
      <c r="B1099" s="8" t="b">
        <v>0</v>
      </c>
      <c r="C1099" s="8">
        <v>30</v>
      </c>
      <c r="D1099" s="151">
        <v>11973060.324999999</v>
      </c>
      <c r="E1099" s="151"/>
      <c r="F1099" s="24" t="s">
        <v>146</v>
      </c>
      <c r="G1099" s="30">
        <v>45287</v>
      </c>
      <c r="H1099" s="81" t="s">
        <v>64</v>
      </c>
      <c r="I1099" s="30">
        <v>45286</v>
      </c>
      <c r="J1099" s="16" t="s">
        <v>1373</v>
      </c>
      <c r="K1099" s="9" t="s">
        <v>1530</v>
      </c>
      <c r="L1099" s="9"/>
      <c r="M1099" s="152">
        <v>-6302521</v>
      </c>
      <c r="N1099" s="153">
        <v>-1197478.99</v>
      </c>
      <c r="O1099" s="152">
        <v>0</v>
      </c>
      <c r="P1099" s="154">
        <v>0</v>
      </c>
      <c r="Q1099" s="152">
        <v>0</v>
      </c>
      <c r="R1099" s="9">
        <v>-7499999.9900000002</v>
      </c>
      <c r="S1099" s="21" t="s">
        <v>1846</v>
      </c>
      <c r="T1099" s="117">
        <v>0</v>
      </c>
      <c r="U1099" s="117" t="s">
        <v>347</v>
      </c>
      <c r="V1099" s="117">
        <v>2023</v>
      </c>
      <c r="W1099" s="117">
        <v>6</v>
      </c>
      <c r="X1099" s="117">
        <v>1145000</v>
      </c>
      <c r="Y1099" s="117">
        <v>2.5000000000000001E-2</v>
      </c>
      <c r="Z1099" s="21" t="b">
        <v>0</v>
      </c>
      <c r="AA1099" s="162">
        <f>+$AD$5-Tabla2[[#This Row],[FECHA DE FACTURACIÓN]]</f>
        <v>157</v>
      </c>
      <c r="AB1099" s="163" t="str">
        <f>+IF(Tabla2[[#This Row],[dias de credito]]&gt;=Tabla2[[#This Row],[PLAZO Días]],"venc", "No venc")</f>
        <v>venc</v>
      </c>
      <c r="AC1099" s="163" t="str">
        <f>+IF(Tabla2[[#This Row],[FECHA DE PAGO]]&gt;0,"pagada","por pagar")</f>
        <v>pagada</v>
      </c>
      <c r="AD1099" s="164" t="str">
        <f>+IF(AND(Tabla2[[#This Row],[venc]]="venc",Tabla2[[#This Row],[estado pago]]="por pagar"),"vencida","no")</f>
        <v>no</v>
      </c>
    </row>
    <row r="1100" spans="1:30" ht="19.5" hidden="1" customHeight="1" x14ac:dyDescent="0.25">
      <c r="A1100" s="8" t="s">
        <v>1852</v>
      </c>
      <c r="B1100" s="8" t="b">
        <v>0</v>
      </c>
      <c r="C1100" s="8">
        <v>60</v>
      </c>
      <c r="D1100" s="151">
        <v>0</v>
      </c>
      <c r="E1100" s="151"/>
      <c r="F1100" s="24" t="s">
        <v>399</v>
      </c>
      <c r="G1100" s="30">
        <v>45287</v>
      </c>
      <c r="H1100" s="81" t="s">
        <v>65</v>
      </c>
      <c r="I1100" s="30">
        <v>45287</v>
      </c>
      <c r="J1100" s="16" t="s">
        <v>1641</v>
      </c>
      <c r="K1100" s="9" t="s">
        <v>1530</v>
      </c>
      <c r="L1100" s="9" t="s">
        <v>1534</v>
      </c>
      <c r="M1100" s="152">
        <v>6400000</v>
      </c>
      <c r="N1100" s="153">
        <v>0</v>
      </c>
      <c r="O1100" s="152">
        <v>0</v>
      </c>
      <c r="P1100" s="154">
        <v>0</v>
      </c>
      <c r="Q1100" s="152">
        <v>0</v>
      </c>
      <c r="R1100" s="9">
        <v>6400000</v>
      </c>
      <c r="S1100" s="21" t="s">
        <v>1846</v>
      </c>
      <c r="T1100" s="117">
        <v>0</v>
      </c>
      <c r="U1100" s="117" t="s">
        <v>347</v>
      </c>
      <c r="V1100" s="117">
        <v>2023</v>
      </c>
      <c r="W1100" s="117">
        <v>6</v>
      </c>
      <c r="X1100" s="117">
        <v>1145000</v>
      </c>
      <c r="Y1100" s="117">
        <v>2.5000000000000001E-2</v>
      </c>
      <c r="Z1100" s="21" t="b">
        <v>0</v>
      </c>
      <c r="AA1100" s="162">
        <f>+$AD$5-Tabla2[[#This Row],[FECHA DE FACTURACIÓN]]</f>
        <v>156</v>
      </c>
      <c r="AB1100" s="163" t="str">
        <f>+IF(Tabla2[[#This Row],[dias de credito]]&gt;=Tabla2[[#This Row],[PLAZO Días]],"venc", "No venc")</f>
        <v>venc</v>
      </c>
      <c r="AC1100" s="163" t="str">
        <f>+IF(Tabla2[[#This Row],[FECHA DE PAGO]]&gt;0,"pagada","por pagar")</f>
        <v>pagada</v>
      </c>
      <c r="AD1100" s="164" t="str">
        <f>+IF(AND(Tabla2[[#This Row],[venc]]="venc",Tabla2[[#This Row],[estado pago]]="por pagar"),"vencida","no")</f>
        <v>no</v>
      </c>
    </row>
    <row r="1101" spans="1:30" ht="19.5" hidden="1" customHeight="1" x14ac:dyDescent="0.25">
      <c r="A1101" s="8" t="s">
        <v>1850</v>
      </c>
      <c r="B1101" s="8" t="b">
        <v>0</v>
      </c>
      <c r="C1101" s="8">
        <v>45</v>
      </c>
      <c r="D1101" s="151">
        <v>2446500</v>
      </c>
      <c r="E1101" s="151"/>
      <c r="F1101" s="24" t="s">
        <v>158</v>
      </c>
      <c r="G1101" s="30">
        <v>45288</v>
      </c>
      <c r="H1101" s="81" t="s">
        <v>10</v>
      </c>
      <c r="I1101" s="30">
        <v>45247</v>
      </c>
      <c r="J1101" s="16" t="s">
        <v>1247</v>
      </c>
      <c r="K1101" s="9" t="s">
        <v>1530</v>
      </c>
      <c r="L1101" s="9"/>
      <c r="M1101" s="152">
        <v>2800000</v>
      </c>
      <c r="N1101" s="153">
        <v>532000</v>
      </c>
      <c r="O1101" s="152">
        <v>0</v>
      </c>
      <c r="P1101" s="154">
        <v>2.5000000000000001E-2</v>
      </c>
      <c r="Q1101" s="152">
        <v>70000</v>
      </c>
      <c r="R1101" s="9">
        <v>3262000</v>
      </c>
      <c r="S1101" s="21" t="s">
        <v>1846</v>
      </c>
      <c r="T1101" s="117">
        <v>0</v>
      </c>
      <c r="U1101" s="117" t="s">
        <v>347</v>
      </c>
      <c r="V1101" s="117">
        <v>2023</v>
      </c>
      <c r="W1101" s="117">
        <v>6</v>
      </c>
      <c r="X1101" s="117">
        <v>1145000</v>
      </c>
      <c r="Y1101" s="117">
        <v>2.5000000000000001E-2</v>
      </c>
      <c r="Z1101" s="21" t="b">
        <v>0</v>
      </c>
      <c r="AA1101" s="162">
        <f>+$AD$5-Tabla2[[#This Row],[FECHA DE FACTURACIÓN]]</f>
        <v>196</v>
      </c>
      <c r="AB1101" s="163" t="str">
        <f>+IF(Tabla2[[#This Row],[dias de credito]]&gt;=Tabla2[[#This Row],[PLAZO Días]],"venc", "No venc")</f>
        <v>venc</v>
      </c>
      <c r="AC1101" s="163" t="str">
        <f>+IF(Tabla2[[#This Row],[FECHA DE PAGO]]&gt;0,"pagada","por pagar")</f>
        <v>pagada</v>
      </c>
      <c r="AD1101" s="164" t="str">
        <f>+IF(AND(Tabla2[[#This Row],[venc]]="venc",Tabla2[[#This Row],[estado pago]]="por pagar"),"vencida","no")</f>
        <v>no</v>
      </c>
    </row>
    <row r="1102" spans="1:30" ht="19.5" hidden="1" customHeight="1" x14ac:dyDescent="0.25">
      <c r="A1102" s="8" t="s">
        <v>1850</v>
      </c>
      <c r="B1102" s="8" t="b">
        <v>0</v>
      </c>
      <c r="C1102" s="8">
        <v>45</v>
      </c>
      <c r="D1102" s="151">
        <v>2446500</v>
      </c>
      <c r="E1102" s="151"/>
      <c r="F1102" s="24" t="s">
        <v>158</v>
      </c>
      <c r="G1102" s="30">
        <v>45288</v>
      </c>
      <c r="H1102" s="81" t="s">
        <v>10</v>
      </c>
      <c r="I1102" s="30">
        <v>45247</v>
      </c>
      <c r="J1102" s="16" t="s">
        <v>1248</v>
      </c>
      <c r="K1102" s="9" t="s">
        <v>1530</v>
      </c>
      <c r="L1102" s="9"/>
      <c r="M1102" s="152">
        <v>380000</v>
      </c>
      <c r="N1102" s="153">
        <v>72200</v>
      </c>
      <c r="O1102" s="152">
        <v>0</v>
      </c>
      <c r="P1102" s="154">
        <v>0</v>
      </c>
      <c r="Q1102" s="152">
        <v>0</v>
      </c>
      <c r="R1102" s="9">
        <v>452200</v>
      </c>
      <c r="S1102" s="21" t="s">
        <v>1846</v>
      </c>
      <c r="T1102" s="117">
        <v>0</v>
      </c>
      <c r="U1102" s="117" t="s">
        <v>347</v>
      </c>
      <c r="V1102" s="117">
        <v>2023</v>
      </c>
      <c r="W1102" s="117">
        <v>6</v>
      </c>
      <c r="X1102" s="117">
        <v>1145000</v>
      </c>
      <c r="Y1102" s="117">
        <v>2.5000000000000001E-2</v>
      </c>
      <c r="Z1102" s="21" t="b">
        <v>0</v>
      </c>
      <c r="AA1102" s="162">
        <f>+$AD$5-Tabla2[[#This Row],[FECHA DE FACTURACIÓN]]</f>
        <v>196</v>
      </c>
      <c r="AB1102" s="163" t="str">
        <f>+IF(Tabla2[[#This Row],[dias de credito]]&gt;=Tabla2[[#This Row],[PLAZO Días]],"venc", "No venc")</f>
        <v>venc</v>
      </c>
      <c r="AC1102" s="163" t="str">
        <f>+IF(Tabla2[[#This Row],[FECHA DE PAGO]]&gt;0,"pagada","por pagar")</f>
        <v>pagada</v>
      </c>
      <c r="AD1102" s="164" t="str">
        <f>+IF(AND(Tabla2[[#This Row],[venc]]="venc",Tabla2[[#This Row],[estado pago]]="por pagar"),"vencida","no")</f>
        <v>no</v>
      </c>
    </row>
    <row r="1103" spans="1:30" ht="19.5" hidden="1" customHeight="1" x14ac:dyDescent="0.25">
      <c r="A1103" s="8" t="s">
        <v>1850</v>
      </c>
      <c r="B1103" s="8" t="s">
        <v>1851</v>
      </c>
      <c r="C1103" s="8">
        <v>30</v>
      </c>
      <c r="D1103" s="151">
        <v>0</v>
      </c>
      <c r="E1103" s="151"/>
      <c r="F1103" s="24" t="s">
        <v>139</v>
      </c>
      <c r="G1103" s="30">
        <v>45288</v>
      </c>
      <c r="H1103" s="81" t="s">
        <v>948</v>
      </c>
      <c r="I1103" s="30">
        <v>45251</v>
      </c>
      <c r="J1103" s="16" t="s">
        <v>1259</v>
      </c>
      <c r="K1103" s="9" t="s">
        <v>1530</v>
      </c>
      <c r="L1103" s="9"/>
      <c r="M1103" s="152">
        <v>756303</v>
      </c>
      <c r="N1103" s="153">
        <v>143697.57</v>
      </c>
      <c r="O1103" s="152">
        <v>0</v>
      </c>
      <c r="P1103" s="154">
        <v>0</v>
      </c>
      <c r="Q1103" s="152">
        <v>0</v>
      </c>
      <c r="R1103" s="9">
        <v>900000.57000000007</v>
      </c>
      <c r="S1103" s="21" t="s">
        <v>1846</v>
      </c>
      <c r="T1103" s="117">
        <v>0</v>
      </c>
      <c r="U1103" s="117" t="s">
        <v>347</v>
      </c>
      <c r="V1103" s="117">
        <v>2023</v>
      </c>
      <c r="W1103" s="117">
        <v>6</v>
      </c>
      <c r="X1103" s="117">
        <v>1145000</v>
      </c>
      <c r="Y1103" s="117">
        <v>2.5000000000000001E-2</v>
      </c>
      <c r="Z1103" s="21" t="b">
        <v>0</v>
      </c>
      <c r="AA1103" s="162">
        <f>+$AD$5-Tabla2[[#This Row],[FECHA DE FACTURACIÓN]]</f>
        <v>192</v>
      </c>
      <c r="AB1103" s="163" t="str">
        <f>+IF(Tabla2[[#This Row],[dias de credito]]&gt;=Tabla2[[#This Row],[PLAZO Días]],"venc", "No venc")</f>
        <v>venc</v>
      </c>
      <c r="AC1103" s="163" t="str">
        <f>+IF(Tabla2[[#This Row],[FECHA DE PAGO]]&gt;0,"pagada","por pagar")</f>
        <v>pagada</v>
      </c>
      <c r="AD1103" s="164" t="str">
        <f>+IF(AND(Tabla2[[#This Row],[venc]]="venc",Tabla2[[#This Row],[estado pago]]="por pagar"),"vencida","no")</f>
        <v>no</v>
      </c>
    </row>
    <row r="1104" spans="1:30" ht="19.5" hidden="1" customHeight="1" x14ac:dyDescent="0.25">
      <c r="A1104" s="8" t="s">
        <v>1850</v>
      </c>
      <c r="B1104" s="8" t="b">
        <v>0</v>
      </c>
      <c r="C1104" s="8">
        <v>45</v>
      </c>
      <c r="D1104" s="151">
        <v>22186260.039999999</v>
      </c>
      <c r="E1104" s="151"/>
      <c r="F1104" s="24" t="s">
        <v>357</v>
      </c>
      <c r="G1104" s="30">
        <v>45288</v>
      </c>
      <c r="H1104" s="81" t="s">
        <v>19</v>
      </c>
      <c r="I1104" s="30">
        <v>45252</v>
      </c>
      <c r="J1104" s="16" t="s">
        <v>1251</v>
      </c>
      <c r="K1104" s="9" t="s">
        <v>1530</v>
      </c>
      <c r="L1104" s="9"/>
      <c r="M1104" s="152">
        <v>2102085</v>
      </c>
      <c r="N1104" s="153">
        <v>399396.15</v>
      </c>
      <c r="O1104" s="152">
        <v>0</v>
      </c>
      <c r="P1104" s="154">
        <v>0</v>
      </c>
      <c r="Q1104" s="152">
        <v>0</v>
      </c>
      <c r="R1104" s="9">
        <v>2501481.15</v>
      </c>
      <c r="S1104" s="21" t="s">
        <v>1846</v>
      </c>
      <c r="T1104" s="117">
        <v>0</v>
      </c>
      <c r="U1104" s="117">
        <v>0</v>
      </c>
      <c r="V1104" s="117">
        <v>2023</v>
      </c>
      <c r="W1104" s="117">
        <v>6</v>
      </c>
      <c r="X1104" s="117">
        <v>0</v>
      </c>
      <c r="Y1104" s="117">
        <v>0</v>
      </c>
      <c r="Z1104" s="21" t="b">
        <v>0</v>
      </c>
      <c r="AA1104" s="162">
        <f>+$AD$5-Tabla2[[#This Row],[FECHA DE FACTURACIÓN]]</f>
        <v>191</v>
      </c>
      <c r="AB1104" s="163" t="str">
        <f>+IF(Tabla2[[#This Row],[dias de credito]]&gt;=Tabla2[[#This Row],[PLAZO Días]],"venc", "No venc")</f>
        <v>venc</v>
      </c>
      <c r="AC1104" s="163" t="str">
        <f>+IF(Tabla2[[#This Row],[FECHA DE PAGO]]&gt;0,"pagada","por pagar")</f>
        <v>pagada</v>
      </c>
      <c r="AD1104" s="164" t="str">
        <f>+IF(AND(Tabla2[[#This Row],[venc]]="venc",Tabla2[[#This Row],[estado pago]]="por pagar"),"vencida","no")</f>
        <v>no</v>
      </c>
    </row>
    <row r="1105" spans="1:30" ht="19.5" hidden="1" customHeight="1" x14ac:dyDescent="0.25">
      <c r="A1105" s="8" t="s">
        <v>1850</v>
      </c>
      <c r="B1105" s="8" t="s">
        <v>1851</v>
      </c>
      <c r="C1105" s="8">
        <v>30</v>
      </c>
      <c r="D1105" s="151">
        <v>3152439.05</v>
      </c>
      <c r="E1105" s="151"/>
      <c r="F1105" s="24" t="s">
        <v>227</v>
      </c>
      <c r="G1105" s="30">
        <v>45288</v>
      </c>
      <c r="H1105" s="81" t="s">
        <v>220</v>
      </c>
      <c r="I1105" s="30">
        <v>45253</v>
      </c>
      <c r="J1105" s="16" t="s">
        <v>1319</v>
      </c>
      <c r="K1105" s="9" t="s">
        <v>1530</v>
      </c>
      <c r="L1105" s="9"/>
      <c r="M1105" s="152">
        <v>4760520</v>
      </c>
      <c r="N1105" s="153">
        <v>904498.8</v>
      </c>
      <c r="O1105" s="152">
        <v>0</v>
      </c>
      <c r="P1105" s="154">
        <v>0</v>
      </c>
      <c r="Q1105" s="152">
        <v>0</v>
      </c>
      <c r="R1105" s="9">
        <v>5665018.7999999998</v>
      </c>
      <c r="S1105" s="21" t="s">
        <v>1846</v>
      </c>
      <c r="T1105" s="117">
        <v>0</v>
      </c>
      <c r="U1105" s="117">
        <v>0</v>
      </c>
      <c r="V1105" s="117">
        <v>2023</v>
      </c>
      <c r="W1105" s="117">
        <v>6</v>
      </c>
      <c r="X1105" s="117">
        <v>0</v>
      </c>
      <c r="Y1105" s="117">
        <v>0</v>
      </c>
      <c r="Z1105" s="21" t="b">
        <v>0</v>
      </c>
      <c r="AA1105" s="162">
        <f>+$AD$5-Tabla2[[#This Row],[FECHA DE FACTURACIÓN]]</f>
        <v>190</v>
      </c>
      <c r="AB1105" s="163" t="str">
        <f>+IF(Tabla2[[#This Row],[dias de credito]]&gt;=Tabla2[[#This Row],[PLAZO Días]],"venc", "No venc")</f>
        <v>venc</v>
      </c>
      <c r="AC1105" s="163" t="str">
        <f>+IF(Tabla2[[#This Row],[FECHA DE PAGO]]&gt;0,"pagada","por pagar")</f>
        <v>pagada</v>
      </c>
      <c r="AD1105" s="164" t="str">
        <f>+IF(AND(Tabla2[[#This Row],[venc]]="venc",Tabla2[[#This Row],[estado pago]]="por pagar"),"vencida","no")</f>
        <v>no</v>
      </c>
    </row>
    <row r="1106" spans="1:30" ht="19.5" hidden="1" customHeight="1" x14ac:dyDescent="0.25">
      <c r="A1106" s="8" t="s">
        <v>1850</v>
      </c>
      <c r="B1106" s="8" t="s">
        <v>1851</v>
      </c>
      <c r="C1106" s="8">
        <v>30</v>
      </c>
      <c r="D1106" s="151">
        <v>5813868.5099999998</v>
      </c>
      <c r="E1106" s="151"/>
      <c r="F1106" s="24" t="s">
        <v>455</v>
      </c>
      <c r="G1106" s="30">
        <v>45288</v>
      </c>
      <c r="H1106" s="81" t="s">
        <v>24</v>
      </c>
      <c r="I1106" s="30">
        <v>45254</v>
      </c>
      <c r="J1106" s="16" t="s">
        <v>1521</v>
      </c>
      <c r="K1106" s="9" t="s">
        <v>504</v>
      </c>
      <c r="L1106" s="9"/>
      <c r="M1106" s="152">
        <v>2695200</v>
      </c>
      <c r="N1106" s="153">
        <v>512088</v>
      </c>
      <c r="O1106" s="152">
        <v>0</v>
      </c>
      <c r="P1106" s="154">
        <v>2.5000000000000001E-2</v>
      </c>
      <c r="Q1106" s="152">
        <v>67380</v>
      </c>
      <c r="R1106" s="9">
        <v>3139908</v>
      </c>
      <c r="S1106" s="21" t="s">
        <v>1846</v>
      </c>
      <c r="T1106" s="117">
        <v>0</v>
      </c>
      <c r="U1106" s="117" t="s">
        <v>347</v>
      </c>
      <c r="V1106" s="117">
        <v>2023</v>
      </c>
      <c r="W1106" s="117">
        <v>6</v>
      </c>
      <c r="X1106" s="117">
        <v>1145000</v>
      </c>
      <c r="Y1106" s="117">
        <v>2.5000000000000001E-2</v>
      </c>
      <c r="Z1106" s="21" t="b">
        <v>0</v>
      </c>
      <c r="AA1106" s="162">
        <f>+$AD$5-Tabla2[[#This Row],[FECHA DE FACTURACIÓN]]</f>
        <v>189</v>
      </c>
      <c r="AB1106" s="163" t="str">
        <f>+IF(Tabla2[[#This Row],[dias de credito]]&gt;=Tabla2[[#This Row],[PLAZO Días]],"venc", "No venc")</f>
        <v>venc</v>
      </c>
      <c r="AC1106" s="163" t="str">
        <f>+IF(Tabla2[[#This Row],[FECHA DE PAGO]]&gt;0,"pagada","por pagar")</f>
        <v>pagada</v>
      </c>
      <c r="AD1106" s="164" t="str">
        <f>+IF(AND(Tabla2[[#This Row],[venc]]="venc",Tabla2[[#This Row],[estado pago]]="por pagar"),"vencida","no")</f>
        <v>no</v>
      </c>
    </row>
    <row r="1107" spans="1:30" ht="19.5" hidden="1" customHeight="1" x14ac:dyDescent="0.25">
      <c r="A1107" s="8" t="s">
        <v>1850</v>
      </c>
      <c r="B1107" s="8" t="b">
        <v>0</v>
      </c>
      <c r="C1107" s="8">
        <v>30</v>
      </c>
      <c r="D1107" s="151">
        <v>5813868.5099999998</v>
      </c>
      <c r="E1107" s="151"/>
      <c r="F1107" s="24" t="s">
        <v>455</v>
      </c>
      <c r="G1107" s="30">
        <v>45288</v>
      </c>
      <c r="H1107" s="81" t="s">
        <v>24</v>
      </c>
      <c r="I1107" s="30">
        <v>45258</v>
      </c>
      <c r="J1107" s="16" t="s">
        <v>1522</v>
      </c>
      <c r="K1107" s="9" t="s">
        <v>504</v>
      </c>
      <c r="L1107" s="9"/>
      <c r="M1107" s="152">
        <v>898400</v>
      </c>
      <c r="N1107" s="153">
        <v>170696</v>
      </c>
      <c r="O1107" s="152">
        <v>0</v>
      </c>
      <c r="P1107" s="154">
        <v>0</v>
      </c>
      <c r="Q1107" s="152">
        <v>0</v>
      </c>
      <c r="R1107" s="9">
        <v>1069096</v>
      </c>
      <c r="S1107" s="21" t="s">
        <v>1846</v>
      </c>
      <c r="T1107" s="117">
        <v>0</v>
      </c>
      <c r="U1107" s="117" t="s">
        <v>347</v>
      </c>
      <c r="V1107" s="117">
        <v>2023</v>
      </c>
      <c r="W1107" s="117">
        <v>6</v>
      </c>
      <c r="X1107" s="117">
        <v>1145000</v>
      </c>
      <c r="Y1107" s="117">
        <v>2.5000000000000001E-2</v>
      </c>
      <c r="Z1107" s="21" t="b">
        <v>0</v>
      </c>
      <c r="AA1107" s="162">
        <f>+$AD$5-Tabla2[[#This Row],[FECHA DE FACTURACIÓN]]</f>
        <v>185</v>
      </c>
      <c r="AB1107" s="163" t="str">
        <f>+IF(Tabla2[[#This Row],[dias de credito]]&gt;=Tabla2[[#This Row],[PLAZO Días]],"venc", "No venc")</f>
        <v>venc</v>
      </c>
      <c r="AC1107" s="163" t="str">
        <f>+IF(Tabla2[[#This Row],[FECHA DE PAGO]]&gt;0,"pagada","por pagar")</f>
        <v>pagada</v>
      </c>
      <c r="AD1107" s="164" t="str">
        <f>+IF(AND(Tabla2[[#This Row],[venc]]="venc",Tabla2[[#This Row],[estado pago]]="por pagar"),"vencida","no")</f>
        <v>no</v>
      </c>
    </row>
    <row r="1108" spans="1:30" ht="19.5" hidden="1" customHeight="1" x14ac:dyDescent="0.25">
      <c r="A1108" s="8" t="s">
        <v>1850</v>
      </c>
      <c r="B1108" s="8" t="b">
        <v>0</v>
      </c>
      <c r="C1108" s="8">
        <v>30</v>
      </c>
      <c r="D1108" s="151">
        <v>1695707.16</v>
      </c>
      <c r="E1108" s="151"/>
      <c r="F1108" s="24" t="s">
        <v>217</v>
      </c>
      <c r="G1108" s="30">
        <v>45288</v>
      </c>
      <c r="H1108" s="81" t="s">
        <v>194</v>
      </c>
      <c r="I1108" s="30">
        <v>45261</v>
      </c>
      <c r="J1108" s="16" t="s">
        <v>1331</v>
      </c>
      <c r="K1108" s="9" t="s">
        <v>1530</v>
      </c>
      <c r="L1108" s="9"/>
      <c r="M1108" s="152">
        <v>1979981</v>
      </c>
      <c r="N1108" s="153">
        <v>376196.39</v>
      </c>
      <c r="O1108" s="152">
        <v>0</v>
      </c>
      <c r="P1108" s="154">
        <v>0</v>
      </c>
      <c r="Q1108" s="152">
        <v>0</v>
      </c>
      <c r="R1108" s="9">
        <v>2356177.39</v>
      </c>
      <c r="S1108" s="21" t="s">
        <v>1846</v>
      </c>
      <c r="T1108" s="117">
        <v>0</v>
      </c>
      <c r="U1108" s="117">
        <v>0</v>
      </c>
      <c r="V1108" s="117">
        <v>2023</v>
      </c>
      <c r="W1108" s="117">
        <v>6</v>
      </c>
      <c r="X1108" s="117">
        <v>0</v>
      </c>
      <c r="Y1108" s="117">
        <v>0</v>
      </c>
      <c r="Z1108" s="21" t="b">
        <v>0</v>
      </c>
      <c r="AA1108" s="162">
        <f>+$AD$5-Tabla2[[#This Row],[FECHA DE FACTURACIÓN]]</f>
        <v>182</v>
      </c>
      <c r="AB1108" s="163" t="str">
        <f>+IF(Tabla2[[#This Row],[dias de credito]]&gt;=Tabla2[[#This Row],[PLAZO Días]],"venc", "No venc")</f>
        <v>venc</v>
      </c>
      <c r="AC1108" s="163" t="str">
        <f>+IF(Tabla2[[#This Row],[FECHA DE PAGO]]&gt;0,"pagada","por pagar")</f>
        <v>pagada</v>
      </c>
      <c r="AD1108" s="164" t="str">
        <f>+IF(AND(Tabla2[[#This Row],[venc]]="venc",Tabla2[[#This Row],[estado pago]]="por pagar"),"vencida","no")</f>
        <v>no</v>
      </c>
    </row>
    <row r="1109" spans="1:30" ht="19.5" hidden="1" customHeight="1" x14ac:dyDescent="0.25">
      <c r="A1109" s="8" t="s">
        <v>1850</v>
      </c>
      <c r="B1109" s="8" t="b">
        <v>0</v>
      </c>
      <c r="C1109" s="8">
        <v>30</v>
      </c>
      <c r="D1109" s="151">
        <v>1695707.16</v>
      </c>
      <c r="E1109" s="151"/>
      <c r="F1109" s="24" t="s">
        <v>217</v>
      </c>
      <c r="G1109" s="30">
        <v>45288</v>
      </c>
      <c r="H1109" s="81" t="s">
        <v>194</v>
      </c>
      <c r="I1109" s="30">
        <v>45264</v>
      </c>
      <c r="J1109" s="16" t="s">
        <v>1332</v>
      </c>
      <c r="K1109" s="9" t="s">
        <v>504</v>
      </c>
      <c r="L1109" s="9"/>
      <c r="M1109" s="152">
        <v>1632998</v>
      </c>
      <c r="N1109" s="153">
        <v>310269.62</v>
      </c>
      <c r="O1109" s="152">
        <v>0</v>
      </c>
      <c r="P1109" s="154">
        <v>0</v>
      </c>
      <c r="Q1109" s="152">
        <v>0</v>
      </c>
      <c r="R1109" s="9">
        <v>1943267.62</v>
      </c>
      <c r="S1109" s="21" t="s">
        <v>1846</v>
      </c>
      <c r="T1109" s="117">
        <v>0</v>
      </c>
      <c r="U1109" s="117">
        <v>0</v>
      </c>
      <c r="V1109" s="117">
        <v>2023</v>
      </c>
      <c r="W1109" s="117">
        <v>6</v>
      </c>
      <c r="X1109" s="117">
        <v>0</v>
      </c>
      <c r="Y1109" s="117">
        <v>0</v>
      </c>
      <c r="Z1109" s="21" t="b">
        <v>0</v>
      </c>
      <c r="AA1109" s="162">
        <f>+$AD$5-Tabla2[[#This Row],[FECHA DE FACTURACIÓN]]</f>
        <v>179</v>
      </c>
      <c r="AB1109" s="163" t="str">
        <f>+IF(Tabla2[[#This Row],[dias de credito]]&gt;=Tabla2[[#This Row],[PLAZO Días]],"venc", "No venc")</f>
        <v>venc</v>
      </c>
      <c r="AC1109" s="163" t="str">
        <f>+IF(Tabla2[[#This Row],[FECHA DE PAGO]]&gt;0,"pagada","por pagar")</f>
        <v>pagada</v>
      </c>
      <c r="AD1109" s="164" t="str">
        <f>+IF(AND(Tabla2[[#This Row],[venc]]="venc",Tabla2[[#This Row],[estado pago]]="por pagar"),"vencida","no")</f>
        <v>no</v>
      </c>
    </row>
    <row r="1110" spans="1:30" ht="19.5" hidden="1" customHeight="1" x14ac:dyDescent="0.25">
      <c r="A1110" s="8" t="s">
        <v>1850</v>
      </c>
      <c r="B1110" s="8" t="b">
        <v>0</v>
      </c>
      <c r="C1110" s="8">
        <v>30</v>
      </c>
      <c r="D1110" s="151">
        <v>1391998.93</v>
      </c>
      <c r="E1110" s="151"/>
      <c r="F1110" s="24" t="s">
        <v>1185</v>
      </c>
      <c r="G1110" s="30">
        <v>45288</v>
      </c>
      <c r="H1110" s="81" t="s">
        <v>1186</v>
      </c>
      <c r="I1110" s="30">
        <v>45287</v>
      </c>
      <c r="J1110" s="16" t="s">
        <v>1374</v>
      </c>
      <c r="K1110" s="9" t="s">
        <v>1530</v>
      </c>
      <c r="L1110" s="9"/>
      <c r="M1110" s="152">
        <v>2280672</v>
      </c>
      <c r="N1110" s="153">
        <v>433327.68</v>
      </c>
      <c r="O1110" s="152">
        <v>0</v>
      </c>
      <c r="P1110" s="154">
        <v>2.5000000000000001E-2</v>
      </c>
      <c r="Q1110" s="152">
        <v>57016.800000000003</v>
      </c>
      <c r="R1110" s="9">
        <v>2656982.8800000004</v>
      </c>
      <c r="S1110" s="21" t="s">
        <v>1846</v>
      </c>
      <c r="T1110" s="117">
        <v>0</v>
      </c>
      <c r="U1110" s="117" t="s">
        <v>347</v>
      </c>
      <c r="V1110" s="117">
        <v>2023</v>
      </c>
      <c r="W1110" s="117">
        <v>6</v>
      </c>
      <c r="X1110" s="117">
        <v>1145000</v>
      </c>
      <c r="Y1110" s="117">
        <v>2.5000000000000001E-2</v>
      </c>
      <c r="Z1110" s="21" t="b">
        <v>0</v>
      </c>
      <c r="AA1110" s="162">
        <f>+$AD$5-Tabla2[[#This Row],[FECHA DE FACTURACIÓN]]</f>
        <v>156</v>
      </c>
      <c r="AB1110" s="163" t="str">
        <f>+IF(Tabla2[[#This Row],[dias de credito]]&gt;=Tabla2[[#This Row],[PLAZO Días]],"venc", "No venc")</f>
        <v>venc</v>
      </c>
      <c r="AC1110" s="163" t="str">
        <f>+IF(Tabla2[[#This Row],[FECHA DE PAGO]]&gt;0,"pagada","por pagar")</f>
        <v>pagada</v>
      </c>
      <c r="AD1110" s="164" t="str">
        <f>+IF(AND(Tabla2[[#This Row],[venc]]="venc",Tabla2[[#This Row],[estado pago]]="por pagar"),"vencida","no")</f>
        <v>no</v>
      </c>
    </row>
    <row r="1111" spans="1:30" ht="19.5" hidden="1" customHeight="1" x14ac:dyDescent="0.25">
      <c r="A1111" s="8" t="s">
        <v>1852</v>
      </c>
      <c r="B1111" s="8" t="b">
        <v>0</v>
      </c>
      <c r="C1111" s="8">
        <v>30</v>
      </c>
      <c r="D1111" s="151">
        <v>0</v>
      </c>
      <c r="E1111" s="151"/>
      <c r="F1111" s="24" t="s">
        <v>84</v>
      </c>
      <c r="G1111" s="30">
        <v>45288</v>
      </c>
      <c r="H1111" s="81" t="s">
        <v>1824</v>
      </c>
      <c r="I1111" s="30">
        <v>45288</v>
      </c>
      <c r="J1111" s="16"/>
      <c r="K1111" s="9" t="s">
        <v>1530</v>
      </c>
      <c r="L1111" s="9"/>
      <c r="M1111" s="152">
        <v>1303050</v>
      </c>
      <c r="N1111" s="153">
        <v>0</v>
      </c>
      <c r="O1111" s="152">
        <v>0</v>
      </c>
      <c r="P1111" s="154">
        <v>0</v>
      </c>
      <c r="Q1111" s="152">
        <v>0</v>
      </c>
      <c r="R1111" s="9">
        <v>1303050</v>
      </c>
      <c r="S1111" s="21" t="s">
        <v>1846</v>
      </c>
      <c r="T1111" s="117">
        <v>0</v>
      </c>
      <c r="U1111" s="117">
        <v>0</v>
      </c>
      <c r="V1111" s="117">
        <v>2023</v>
      </c>
      <c r="W1111" s="117">
        <v>6</v>
      </c>
      <c r="X1111" s="117">
        <v>0</v>
      </c>
      <c r="Y1111" s="117">
        <v>0</v>
      </c>
      <c r="Z1111" s="21" t="b">
        <v>0</v>
      </c>
      <c r="AA1111" s="162">
        <f>+$AD$5-Tabla2[[#This Row],[FECHA DE FACTURACIÓN]]</f>
        <v>155</v>
      </c>
      <c r="AB1111" s="163" t="str">
        <f>+IF(Tabla2[[#This Row],[dias de credito]]&gt;=Tabla2[[#This Row],[PLAZO Días]],"venc", "No venc")</f>
        <v>venc</v>
      </c>
      <c r="AC1111" s="163" t="str">
        <f>+IF(Tabla2[[#This Row],[FECHA DE PAGO]]&gt;0,"pagada","por pagar")</f>
        <v>pagada</v>
      </c>
      <c r="AD1111" s="164" t="str">
        <f>+IF(AND(Tabla2[[#This Row],[venc]]="venc",Tabla2[[#This Row],[estado pago]]="por pagar"),"vencida","no")</f>
        <v>no</v>
      </c>
    </row>
    <row r="1112" spans="1:30" ht="19.5" hidden="1" customHeight="1" x14ac:dyDescent="0.25">
      <c r="A1112" s="8" t="s">
        <v>1852</v>
      </c>
      <c r="B1112" s="8" t="b">
        <v>0</v>
      </c>
      <c r="C1112" s="8">
        <v>30</v>
      </c>
      <c r="D1112" s="151">
        <v>0</v>
      </c>
      <c r="E1112" s="151"/>
      <c r="F1112" s="24">
        <v>0</v>
      </c>
      <c r="G1112" s="30">
        <v>45288</v>
      </c>
      <c r="H1112" s="81" t="s">
        <v>836</v>
      </c>
      <c r="I1112" s="30">
        <v>45288</v>
      </c>
      <c r="J1112" s="16" t="s">
        <v>1385</v>
      </c>
      <c r="K1112" s="9" t="s">
        <v>504</v>
      </c>
      <c r="L1112" s="9"/>
      <c r="M1112" s="152">
        <v>248000</v>
      </c>
      <c r="N1112" s="153">
        <v>0</v>
      </c>
      <c r="O1112" s="152">
        <v>0</v>
      </c>
      <c r="P1112" s="154">
        <v>0</v>
      </c>
      <c r="Q1112" s="152">
        <v>0</v>
      </c>
      <c r="R1112" s="9">
        <v>248000</v>
      </c>
      <c r="S1112" s="21" t="s">
        <v>1846</v>
      </c>
      <c r="T1112" s="117">
        <v>0</v>
      </c>
      <c r="U1112" s="117">
        <v>0</v>
      </c>
      <c r="V1112" s="117">
        <v>2023</v>
      </c>
      <c r="W1112" s="117">
        <v>6</v>
      </c>
      <c r="X1112" s="117">
        <v>0</v>
      </c>
      <c r="Y1112" s="117">
        <v>0</v>
      </c>
      <c r="Z1112" s="21" t="b">
        <v>0</v>
      </c>
      <c r="AA1112" s="162">
        <f>+$AD$5-Tabla2[[#This Row],[FECHA DE FACTURACIÓN]]</f>
        <v>155</v>
      </c>
      <c r="AB1112" s="163" t="str">
        <f>+IF(Tabla2[[#This Row],[dias de credito]]&gt;=Tabla2[[#This Row],[PLAZO Días]],"venc", "No venc")</f>
        <v>venc</v>
      </c>
      <c r="AC1112" s="163" t="str">
        <f>+IF(Tabla2[[#This Row],[FECHA DE PAGO]]&gt;0,"pagada","por pagar")</f>
        <v>pagada</v>
      </c>
      <c r="AD1112" s="164" t="str">
        <f>+IF(AND(Tabla2[[#This Row],[venc]]="venc",Tabla2[[#This Row],[estado pago]]="por pagar"),"vencida","no")</f>
        <v>no</v>
      </c>
    </row>
    <row r="1113" spans="1:30" ht="19.5" hidden="1" customHeight="1" x14ac:dyDescent="0.25">
      <c r="A1113" s="8" t="s">
        <v>1852</v>
      </c>
      <c r="B1113" s="8" t="b">
        <v>0</v>
      </c>
      <c r="C1113" s="8">
        <v>30</v>
      </c>
      <c r="D1113" s="151">
        <v>0</v>
      </c>
      <c r="E1113" s="151"/>
      <c r="F1113" s="24">
        <v>0</v>
      </c>
      <c r="G1113" s="30">
        <v>45289</v>
      </c>
      <c r="H1113" s="81" t="s">
        <v>1392</v>
      </c>
      <c r="I1113" s="30">
        <v>45289</v>
      </c>
      <c r="J1113" s="16" t="s">
        <v>1393</v>
      </c>
      <c r="K1113" s="9" t="s">
        <v>1530</v>
      </c>
      <c r="L1113" s="9"/>
      <c r="M1113" s="152">
        <v>1981000</v>
      </c>
      <c r="N1113" s="153">
        <v>376390</v>
      </c>
      <c r="O1113" s="152">
        <v>0</v>
      </c>
      <c r="P1113" s="154">
        <v>2.5000000000000001E-2</v>
      </c>
      <c r="Q1113" s="152">
        <v>49525</v>
      </c>
      <c r="R1113" s="9">
        <v>2307865</v>
      </c>
      <c r="S1113" s="21" t="s">
        <v>1846</v>
      </c>
      <c r="T1113" s="117">
        <v>0</v>
      </c>
      <c r="U1113" s="117" t="s">
        <v>347</v>
      </c>
      <c r="V1113" s="117">
        <v>2023</v>
      </c>
      <c r="W1113" s="117">
        <v>6</v>
      </c>
      <c r="X1113" s="117">
        <v>1145000</v>
      </c>
      <c r="Y1113" s="117">
        <v>2.5000000000000001E-2</v>
      </c>
      <c r="Z1113" s="21" t="b">
        <v>0</v>
      </c>
      <c r="AA1113" s="162">
        <f>+$AD$5-Tabla2[[#This Row],[FECHA DE FACTURACIÓN]]</f>
        <v>154</v>
      </c>
      <c r="AB1113" s="163" t="str">
        <f>+IF(Tabla2[[#This Row],[dias de credito]]&gt;=Tabla2[[#This Row],[PLAZO Días]],"venc", "No venc")</f>
        <v>venc</v>
      </c>
      <c r="AC1113" s="163" t="str">
        <f>+IF(Tabla2[[#This Row],[FECHA DE PAGO]]&gt;0,"pagada","por pagar")</f>
        <v>pagada</v>
      </c>
      <c r="AD1113" s="164" t="str">
        <f>+IF(AND(Tabla2[[#This Row],[venc]]="venc",Tabla2[[#This Row],[estado pago]]="por pagar"),"vencida","no")</f>
        <v>no</v>
      </c>
    </row>
    <row r="1114" spans="1:30" ht="19.5" hidden="1" customHeight="1" x14ac:dyDescent="0.25">
      <c r="A1114" s="8" t="s">
        <v>1852</v>
      </c>
      <c r="B1114" s="8" t="b">
        <v>0</v>
      </c>
      <c r="C1114" s="8">
        <v>0</v>
      </c>
      <c r="D1114" s="151">
        <v>0</v>
      </c>
      <c r="E1114" s="151"/>
      <c r="F1114" s="24">
        <v>0</v>
      </c>
      <c r="G1114" s="30">
        <v>45289</v>
      </c>
      <c r="H1114" s="81" t="s">
        <v>456</v>
      </c>
      <c r="I1114" s="30">
        <v>45289</v>
      </c>
      <c r="J1114" s="16" t="s">
        <v>1293</v>
      </c>
      <c r="K1114" s="9" t="s">
        <v>1530</v>
      </c>
      <c r="L1114" s="9"/>
      <c r="M1114" s="152">
        <v>245000</v>
      </c>
      <c r="N1114" s="153">
        <v>0</v>
      </c>
      <c r="O1114" s="152">
        <v>0</v>
      </c>
      <c r="P1114" s="154">
        <v>0</v>
      </c>
      <c r="Q1114" s="152">
        <v>0</v>
      </c>
      <c r="R1114" s="9">
        <v>245000</v>
      </c>
      <c r="S1114" s="21" t="s">
        <v>1846</v>
      </c>
      <c r="T1114" s="117">
        <v>0</v>
      </c>
      <c r="U1114" s="117">
        <v>0</v>
      </c>
      <c r="V1114" s="117">
        <v>2023</v>
      </c>
      <c r="W1114" s="117">
        <v>6</v>
      </c>
      <c r="X1114" s="117">
        <v>0</v>
      </c>
      <c r="Y1114" s="117">
        <v>0</v>
      </c>
      <c r="Z1114" s="21" t="b">
        <v>1</v>
      </c>
      <c r="AA1114" s="162">
        <f>+$AD$5-Tabla2[[#This Row],[FECHA DE FACTURACIÓN]]</f>
        <v>154</v>
      </c>
      <c r="AB1114" s="163" t="str">
        <f>+IF(Tabla2[[#This Row],[dias de credito]]&gt;=Tabla2[[#This Row],[PLAZO Días]],"venc", "No venc")</f>
        <v>venc</v>
      </c>
      <c r="AC1114" s="163" t="str">
        <f>+IF(Tabla2[[#This Row],[FECHA DE PAGO]]&gt;0,"pagada","por pagar")</f>
        <v>pagada</v>
      </c>
      <c r="AD1114" s="164" t="str">
        <f>+IF(AND(Tabla2[[#This Row],[venc]]="venc",Tabla2[[#This Row],[estado pago]]="por pagar"),"vencida","no")</f>
        <v>no</v>
      </c>
    </row>
    <row r="1115" spans="1:30" ht="19.5" hidden="1" customHeight="1" x14ac:dyDescent="0.25">
      <c r="A1115" s="8" t="s">
        <v>1850</v>
      </c>
      <c r="B1115" s="8" t="b">
        <v>0</v>
      </c>
      <c r="C1115" s="8">
        <v>30</v>
      </c>
      <c r="D1115" s="151">
        <v>0</v>
      </c>
      <c r="E1115" s="151"/>
      <c r="F1115" s="24" t="s">
        <v>84</v>
      </c>
      <c r="G1115" s="30">
        <v>45290</v>
      </c>
      <c r="H1115" s="81" t="s">
        <v>481</v>
      </c>
      <c r="I1115" s="30">
        <v>45289</v>
      </c>
      <c r="J1115" s="16" t="s">
        <v>1390</v>
      </c>
      <c r="K1115" s="9" t="s">
        <v>1530</v>
      </c>
      <c r="L1115" s="9"/>
      <c r="M1115" s="152">
        <v>1345000</v>
      </c>
      <c r="N1115" s="153">
        <v>0</v>
      </c>
      <c r="O1115" s="152">
        <v>0</v>
      </c>
      <c r="P1115" s="154">
        <v>0</v>
      </c>
      <c r="Q1115" s="152">
        <v>0</v>
      </c>
      <c r="R1115" s="9">
        <v>1345000</v>
      </c>
      <c r="S1115" s="21" t="s">
        <v>1846</v>
      </c>
      <c r="T1115" s="117">
        <v>0</v>
      </c>
      <c r="U1115" s="117">
        <v>0</v>
      </c>
      <c r="V1115" s="117">
        <v>2023</v>
      </c>
      <c r="W1115" s="117">
        <v>6</v>
      </c>
      <c r="X1115" s="117">
        <v>0</v>
      </c>
      <c r="Y1115" s="117">
        <v>0</v>
      </c>
      <c r="Z1115" s="21" t="b">
        <v>0</v>
      </c>
      <c r="AA1115" s="162">
        <f>+$AD$5-Tabla2[[#This Row],[FECHA DE FACTURACIÓN]]</f>
        <v>154</v>
      </c>
      <c r="AB1115" s="163" t="str">
        <f>+IF(Tabla2[[#This Row],[dias de credito]]&gt;=Tabla2[[#This Row],[PLAZO Días]],"venc", "No venc")</f>
        <v>venc</v>
      </c>
      <c r="AC1115" s="163" t="str">
        <f>+IF(Tabla2[[#This Row],[FECHA DE PAGO]]&gt;0,"pagada","por pagar")</f>
        <v>pagada</v>
      </c>
      <c r="AD1115" s="164" t="str">
        <f>+IF(AND(Tabla2[[#This Row],[venc]]="venc",Tabla2[[#This Row],[estado pago]]="por pagar"),"vencida","no")</f>
        <v>no</v>
      </c>
    </row>
    <row r="1116" spans="1:30" ht="19.5" hidden="1" customHeight="1" x14ac:dyDescent="0.25">
      <c r="A1116" s="8" t="s">
        <v>1850</v>
      </c>
      <c r="B1116" s="8" t="b">
        <v>0</v>
      </c>
      <c r="C1116" s="8">
        <v>30</v>
      </c>
      <c r="D1116" s="151">
        <v>0</v>
      </c>
      <c r="E1116" s="151"/>
      <c r="F1116" s="24" t="s">
        <v>84</v>
      </c>
      <c r="G1116" s="30">
        <v>45291</v>
      </c>
      <c r="H1116" s="81" t="s">
        <v>481</v>
      </c>
      <c r="I1116" s="30">
        <v>45290</v>
      </c>
      <c r="J1116" s="16" t="s">
        <v>1391</v>
      </c>
      <c r="K1116" s="9" t="s">
        <v>1530</v>
      </c>
      <c r="L1116" s="9"/>
      <c r="M1116" s="152">
        <v>690000</v>
      </c>
      <c r="N1116" s="153">
        <v>0</v>
      </c>
      <c r="O1116" s="152">
        <v>0</v>
      </c>
      <c r="P1116" s="154">
        <v>0</v>
      </c>
      <c r="Q1116" s="152">
        <v>0</v>
      </c>
      <c r="R1116" s="9">
        <v>690000</v>
      </c>
      <c r="S1116" s="21" t="s">
        <v>1846</v>
      </c>
      <c r="T1116" s="117">
        <v>0</v>
      </c>
      <c r="U1116" s="117">
        <v>0</v>
      </c>
      <c r="V1116" s="117">
        <v>2023</v>
      </c>
      <c r="W1116" s="117">
        <v>6</v>
      </c>
      <c r="X1116" s="117">
        <v>0</v>
      </c>
      <c r="Y1116" s="117">
        <v>0</v>
      </c>
      <c r="Z1116" s="21" t="b">
        <v>0</v>
      </c>
      <c r="AA1116" s="162">
        <f>+$AD$5-Tabla2[[#This Row],[FECHA DE FACTURACIÓN]]</f>
        <v>153</v>
      </c>
      <c r="AB1116" s="163" t="str">
        <f>+IF(Tabla2[[#This Row],[dias de credito]]&gt;=Tabla2[[#This Row],[PLAZO Días]],"venc", "No venc")</f>
        <v>venc</v>
      </c>
      <c r="AC1116" s="163" t="str">
        <f>+IF(Tabla2[[#This Row],[FECHA DE PAGO]]&gt;0,"pagada","por pagar")</f>
        <v>pagada</v>
      </c>
      <c r="AD1116" s="164" t="str">
        <f>+IF(AND(Tabla2[[#This Row],[venc]]="venc",Tabla2[[#This Row],[estado pago]]="por pagar"),"vencida","no")</f>
        <v>no</v>
      </c>
    </row>
    <row r="1117" spans="1:30" ht="19.5" hidden="1" customHeight="1" x14ac:dyDescent="0.25">
      <c r="A1117" s="8" t="s">
        <v>1850</v>
      </c>
      <c r="B1117" s="8" t="s">
        <v>1851</v>
      </c>
      <c r="C1117" s="8">
        <v>30</v>
      </c>
      <c r="D1117" s="151">
        <v>1776037.21</v>
      </c>
      <c r="E1117" s="151"/>
      <c r="F1117" s="24" t="s">
        <v>148</v>
      </c>
      <c r="G1117" s="30">
        <v>45293</v>
      </c>
      <c r="H1117" s="81" t="s">
        <v>17</v>
      </c>
      <c r="I1117" s="30">
        <v>45261</v>
      </c>
      <c r="J1117" s="16" t="s">
        <v>1292</v>
      </c>
      <c r="K1117" s="9" t="s">
        <v>1530</v>
      </c>
      <c r="L1117" s="9"/>
      <c r="M1117" s="152">
        <v>537354</v>
      </c>
      <c r="N1117" s="153">
        <v>102097.26</v>
      </c>
      <c r="O1117" s="152">
        <v>0</v>
      </c>
      <c r="P1117" s="154">
        <v>0</v>
      </c>
      <c r="Q1117" s="152">
        <v>0</v>
      </c>
      <c r="R1117" s="9">
        <v>639451.26</v>
      </c>
      <c r="S1117" s="21" t="s">
        <v>1846</v>
      </c>
      <c r="T1117" s="117">
        <v>0</v>
      </c>
      <c r="U1117" s="117">
        <v>0</v>
      </c>
      <c r="V1117" s="117">
        <v>2023</v>
      </c>
      <c r="W1117" s="117">
        <v>6</v>
      </c>
      <c r="X1117" s="117">
        <v>0</v>
      </c>
      <c r="Y1117" s="117">
        <v>0</v>
      </c>
      <c r="Z1117" s="21" t="b">
        <v>0</v>
      </c>
      <c r="AA1117" s="162">
        <f>+$AD$5-Tabla2[[#This Row],[FECHA DE FACTURACIÓN]]</f>
        <v>182</v>
      </c>
      <c r="AB1117" s="163" t="str">
        <f>+IF(Tabla2[[#This Row],[dias de credito]]&gt;=Tabla2[[#This Row],[PLAZO Días]],"venc", "No venc")</f>
        <v>venc</v>
      </c>
      <c r="AC1117" s="163" t="str">
        <f>+IF(Tabla2[[#This Row],[FECHA DE PAGO]]&gt;0,"pagada","por pagar")</f>
        <v>pagada</v>
      </c>
      <c r="AD1117" s="164" t="str">
        <f>+IF(AND(Tabla2[[#This Row],[venc]]="venc",Tabla2[[#This Row],[estado pago]]="por pagar"),"vencida","no")</f>
        <v>no</v>
      </c>
    </row>
    <row r="1118" spans="1:30" ht="19.5" hidden="1" customHeight="1" x14ac:dyDescent="0.25">
      <c r="A1118" s="8" t="s">
        <v>1850</v>
      </c>
      <c r="B1118" s="8" t="b">
        <v>0</v>
      </c>
      <c r="C1118" s="8">
        <v>30</v>
      </c>
      <c r="D1118" s="151">
        <v>1776037.21</v>
      </c>
      <c r="E1118" s="151"/>
      <c r="F1118" s="24" t="s">
        <v>148</v>
      </c>
      <c r="G1118" s="30">
        <v>45293</v>
      </c>
      <c r="H1118" s="81" t="s">
        <v>17</v>
      </c>
      <c r="I1118" s="30">
        <v>45274</v>
      </c>
      <c r="J1118" s="16" t="s">
        <v>1329</v>
      </c>
      <c r="K1118" s="9" t="s">
        <v>1530</v>
      </c>
      <c r="L1118" s="9"/>
      <c r="M1118" s="152">
        <v>120904</v>
      </c>
      <c r="N1118" s="153">
        <v>22971.760000000002</v>
      </c>
      <c r="O1118" s="152">
        <v>0</v>
      </c>
      <c r="P1118" s="154">
        <v>0</v>
      </c>
      <c r="Q1118" s="152">
        <v>0</v>
      </c>
      <c r="R1118" s="9">
        <v>143875.76</v>
      </c>
      <c r="S1118" s="21" t="s">
        <v>1846</v>
      </c>
      <c r="T1118" s="117">
        <v>0</v>
      </c>
      <c r="U1118" s="117">
        <v>0</v>
      </c>
      <c r="V1118" s="117">
        <v>2023</v>
      </c>
      <c r="W1118" s="117">
        <v>6</v>
      </c>
      <c r="X1118" s="117">
        <v>0</v>
      </c>
      <c r="Y1118" s="117">
        <v>0</v>
      </c>
      <c r="Z1118" s="21" t="b">
        <v>0</v>
      </c>
      <c r="AA1118" s="162">
        <f>+$AD$5-Tabla2[[#This Row],[FECHA DE FACTURACIÓN]]</f>
        <v>169</v>
      </c>
      <c r="AB1118" s="163" t="str">
        <f>+IF(Tabla2[[#This Row],[dias de credito]]&gt;=Tabla2[[#This Row],[PLAZO Días]],"venc", "No venc")</f>
        <v>venc</v>
      </c>
      <c r="AC1118" s="163" t="str">
        <f>+IF(Tabla2[[#This Row],[FECHA DE PAGO]]&gt;0,"pagada","por pagar")</f>
        <v>pagada</v>
      </c>
      <c r="AD1118" s="164" t="str">
        <f>+IF(AND(Tabla2[[#This Row],[venc]]="venc",Tabla2[[#This Row],[estado pago]]="por pagar"),"vencida","no")</f>
        <v>no</v>
      </c>
    </row>
    <row r="1119" spans="1:30" ht="19.5" customHeight="1" x14ac:dyDescent="0.25">
      <c r="A1119" s="8" t="s">
        <v>1850</v>
      </c>
      <c r="B1119" s="8" t="b">
        <v>0</v>
      </c>
      <c r="C1119" s="8">
        <v>30</v>
      </c>
      <c r="D1119" s="151">
        <v>0</v>
      </c>
      <c r="E1119" s="151"/>
      <c r="F1119" s="24" t="s">
        <v>86</v>
      </c>
      <c r="G1119" s="30">
        <v>45293</v>
      </c>
      <c r="H1119" s="81" t="s">
        <v>390</v>
      </c>
      <c r="I1119" s="30">
        <v>45292</v>
      </c>
      <c r="J1119" s="16"/>
      <c r="K1119" s="9" t="s">
        <v>1530</v>
      </c>
      <c r="L1119" s="9"/>
      <c r="M1119" s="152">
        <v>611127</v>
      </c>
      <c r="N1119" s="153">
        <v>0</v>
      </c>
      <c r="O1119" s="152">
        <v>0</v>
      </c>
      <c r="P1119" s="154">
        <v>0</v>
      </c>
      <c r="Q1119" s="152">
        <v>0</v>
      </c>
      <c r="R1119" s="9">
        <v>611127</v>
      </c>
      <c r="S1119" s="21" t="s">
        <v>1846</v>
      </c>
      <c r="T1119" s="117">
        <v>0</v>
      </c>
      <c r="U1119" s="117">
        <v>0</v>
      </c>
      <c r="V1119" s="117">
        <v>2024</v>
      </c>
      <c r="W1119" s="117">
        <v>7</v>
      </c>
      <c r="X1119" s="117">
        <v>0</v>
      </c>
      <c r="Y1119" s="117">
        <v>0</v>
      </c>
      <c r="Z1119" s="21" t="b">
        <v>1</v>
      </c>
      <c r="AA1119" s="162">
        <f>+$AD$5-Tabla2[[#This Row],[FECHA DE FACTURACIÓN]]</f>
        <v>151</v>
      </c>
      <c r="AB1119" s="163" t="str">
        <f>+IF(Tabla2[[#This Row],[dias de credito]]&gt;=Tabla2[[#This Row],[PLAZO Días]],"venc", "No venc")</f>
        <v>venc</v>
      </c>
      <c r="AC1119" s="163" t="str">
        <f>+IF(Tabla2[[#This Row],[FECHA DE PAGO]]&gt;0,"pagada","por pagar")</f>
        <v>pagada</v>
      </c>
      <c r="AD1119" s="164" t="str">
        <f>+IF(AND(Tabla2[[#This Row],[venc]]="venc",Tabla2[[#This Row],[estado pago]]="por pagar"),"vencida","no")</f>
        <v>no</v>
      </c>
    </row>
    <row r="1120" spans="1:30" ht="19.5" customHeight="1" x14ac:dyDescent="0.25">
      <c r="A1120" s="8" t="s">
        <v>1852</v>
      </c>
      <c r="B1120" s="8" t="b">
        <v>0</v>
      </c>
      <c r="C1120" s="8">
        <v>30</v>
      </c>
      <c r="D1120" s="151">
        <v>0</v>
      </c>
      <c r="E1120" s="151"/>
      <c r="F1120" s="24" t="s">
        <v>84</v>
      </c>
      <c r="G1120" s="30">
        <v>45293</v>
      </c>
      <c r="H1120" s="81" t="s">
        <v>525</v>
      </c>
      <c r="I1120" s="30">
        <v>45293</v>
      </c>
      <c r="J1120" s="16" t="s">
        <v>1120</v>
      </c>
      <c r="K1120" s="9" t="s">
        <v>1530</v>
      </c>
      <c r="L1120" s="9"/>
      <c r="M1120" s="152">
        <v>200000</v>
      </c>
      <c r="N1120" s="153">
        <v>0</v>
      </c>
      <c r="O1120" s="152">
        <v>0</v>
      </c>
      <c r="P1120" s="154">
        <v>0</v>
      </c>
      <c r="Q1120" s="152">
        <v>0</v>
      </c>
      <c r="R1120" s="9">
        <v>200000</v>
      </c>
      <c r="S1120" s="21" t="s">
        <v>1846</v>
      </c>
      <c r="T1120" s="117">
        <v>0</v>
      </c>
      <c r="U1120" s="117">
        <v>0</v>
      </c>
      <c r="V1120" s="117">
        <v>2024</v>
      </c>
      <c r="W1120" s="117">
        <v>7</v>
      </c>
      <c r="X1120" s="117">
        <v>0</v>
      </c>
      <c r="Y1120" s="117">
        <v>0</v>
      </c>
      <c r="Z1120" s="21" t="b">
        <v>0</v>
      </c>
      <c r="AA1120" s="162">
        <f>+$AD$5-Tabla2[[#This Row],[FECHA DE FACTURACIÓN]]</f>
        <v>150</v>
      </c>
      <c r="AB1120" s="163" t="str">
        <f>+IF(Tabla2[[#This Row],[dias de credito]]&gt;=Tabla2[[#This Row],[PLAZO Días]],"venc", "No venc")</f>
        <v>venc</v>
      </c>
      <c r="AC1120" s="163" t="str">
        <f>+IF(Tabla2[[#This Row],[FECHA DE PAGO]]&gt;0,"pagada","por pagar")</f>
        <v>pagada</v>
      </c>
      <c r="AD1120" s="164" t="str">
        <f>+IF(AND(Tabla2[[#This Row],[venc]]="venc",Tabla2[[#This Row],[estado pago]]="por pagar"),"vencida","no")</f>
        <v>no</v>
      </c>
    </row>
    <row r="1121" spans="1:30" ht="19.5" customHeight="1" x14ac:dyDescent="0.25">
      <c r="A1121" s="8" t="s">
        <v>1852</v>
      </c>
      <c r="B1121" s="8" t="e">
        <v>#N/A</v>
      </c>
      <c r="C1121" s="8" t="e">
        <v>#N/A</v>
      </c>
      <c r="D1121" s="151">
        <v>0</v>
      </c>
      <c r="E1121" s="151"/>
      <c r="F1121" s="24" t="e">
        <v>#N/A</v>
      </c>
      <c r="G1121" s="30">
        <v>45293</v>
      </c>
      <c r="H1121" s="81" t="s">
        <v>1873</v>
      </c>
      <c r="I1121" s="30">
        <v>45293</v>
      </c>
      <c r="J1121" s="16">
        <v>315688</v>
      </c>
      <c r="K1121" s="9" t="s">
        <v>504</v>
      </c>
      <c r="L1121" s="9"/>
      <c r="M1121" s="152">
        <v>3555000</v>
      </c>
      <c r="N1121" s="153">
        <v>0</v>
      </c>
      <c r="O1121" s="152">
        <v>0</v>
      </c>
      <c r="P1121" s="154">
        <v>0</v>
      </c>
      <c r="Q1121" s="152">
        <v>0</v>
      </c>
      <c r="R1121" s="9">
        <v>3555000</v>
      </c>
      <c r="S1121" s="21" t="s">
        <v>1846</v>
      </c>
      <c r="T1121" s="117">
        <v>0</v>
      </c>
      <c r="U1121" s="117" t="e">
        <v>#N/A</v>
      </c>
      <c r="V1121" s="117">
        <v>2024</v>
      </c>
      <c r="W1121" s="117">
        <v>7</v>
      </c>
      <c r="X1121" s="117" t="e">
        <v>#N/A</v>
      </c>
      <c r="Y1121" s="117" t="e">
        <v>#N/A</v>
      </c>
      <c r="Z1121" s="21" t="b">
        <v>0</v>
      </c>
      <c r="AA1121" s="162">
        <f>+$AD$5-Tabla2[[#This Row],[FECHA DE FACTURACIÓN]]</f>
        <v>150</v>
      </c>
      <c r="AB1121" s="163" t="e">
        <f>+IF(Tabla2[[#This Row],[dias de credito]]&gt;=Tabla2[[#This Row],[PLAZO Días]],"venc", "No venc")</f>
        <v>#N/A</v>
      </c>
      <c r="AC1121" s="163" t="str">
        <f>+IF(Tabla2[[#This Row],[FECHA DE PAGO]]&gt;0,"pagada","por pagar")</f>
        <v>pagada</v>
      </c>
      <c r="AD1121" s="164" t="e">
        <f>+IF(AND(Tabla2[[#This Row],[venc]]="venc",Tabla2[[#This Row],[estado pago]]="por pagar"),"vencida","no")</f>
        <v>#N/A</v>
      </c>
    </row>
    <row r="1122" spans="1:30" ht="19.5" customHeight="1" x14ac:dyDescent="0.25">
      <c r="A1122" s="8" t="s">
        <v>1852</v>
      </c>
      <c r="B1122" s="8" t="b">
        <v>0</v>
      </c>
      <c r="C1122" s="8">
        <v>30</v>
      </c>
      <c r="D1122" s="151">
        <v>0</v>
      </c>
      <c r="E1122" s="151"/>
      <c r="F1122" s="24" t="s">
        <v>1497</v>
      </c>
      <c r="G1122" s="30">
        <v>45293</v>
      </c>
      <c r="H1122" s="81" t="s">
        <v>1865</v>
      </c>
      <c r="I1122" s="30">
        <v>45293</v>
      </c>
      <c r="J1122" s="16" t="s">
        <v>1397</v>
      </c>
      <c r="K1122" s="9" t="s">
        <v>504</v>
      </c>
      <c r="L1122" s="9"/>
      <c r="M1122" s="152">
        <v>1690000</v>
      </c>
      <c r="N1122" s="153">
        <v>0</v>
      </c>
      <c r="O1122" s="152">
        <v>0</v>
      </c>
      <c r="P1122" s="154">
        <v>0</v>
      </c>
      <c r="Q1122" s="152">
        <v>0</v>
      </c>
      <c r="R1122" s="9">
        <v>1690000</v>
      </c>
      <c r="S1122" s="21" t="s">
        <v>1846</v>
      </c>
      <c r="T1122" s="117">
        <v>0</v>
      </c>
      <c r="U1122" s="117">
        <v>0</v>
      </c>
      <c r="V1122" s="117">
        <v>2024</v>
      </c>
      <c r="W1122" s="117">
        <v>7</v>
      </c>
      <c r="X1122" s="117">
        <v>0</v>
      </c>
      <c r="Y1122" s="117">
        <v>0</v>
      </c>
      <c r="Z1122" s="21" t="b">
        <v>0</v>
      </c>
      <c r="AA1122" s="162">
        <f>+$AD$5-Tabla2[[#This Row],[FECHA DE FACTURACIÓN]]</f>
        <v>150</v>
      </c>
      <c r="AB1122" s="163" t="str">
        <f>+IF(Tabla2[[#This Row],[dias de credito]]&gt;=Tabla2[[#This Row],[PLAZO Días]],"venc", "No venc")</f>
        <v>venc</v>
      </c>
      <c r="AC1122" s="163" t="str">
        <f>+IF(Tabla2[[#This Row],[FECHA DE PAGO]]&gt;0,"pagada","por pagar")</f>
        <v>pagada</v>
      </c>
      <c r="AD1122" s="164" t="str">
        <f>+IF(AND(Tabla2[[#This Row],[venc]]="venc",Tabla2[[#This Row],[estado pago]]="por pagar"),"vencida","no")</f>
        <v>no</v>
      </c>
    </row>
    <row r="1123" spans="1:30" ht="19.5" hidden="1" customHeight="1" x14ac:dyDescent="0.25">
      <c r="A1123" s="8" t="s">
        <v>1850</v>
      </c>
      <c r="B1123" s="8" t="s">
        <v>1851</v>
      </c>
      <c r="C1123" s="8">
        <v>30</v>
      </c>
      <c r="D1123" s="151">
        <v>0</v>
      </c>
      <c r="E1123" s="151"/>
      <c r="F1123" s="24">
        <v>0</v>
      </c>
      <c r="G1123" s="30">
        <v>45294</v>
      </c>
      <c r="H1123" s="81" t="s">
        <v>1805</v>
      </c>
      <c r="I1123" s="30">
        <v>45261</v>
      </c>
      <c r="J1123" s="16" t="s">
        <v>1379</v>
      </c>
      <c r="K1123" s="9" t="s">
        <v>1530</v>
      </c>
      <c r="L1123" s="9"/>
      <c r="M1123" s="152">
        <v>1386600</v>
      </c>
      <c r="N1123" s="153">
        <v>0</v>
      </c>
      <c r="O1123" s="152">
        <v>0</v>
      </c>
      <c r="P1123" s="154">
        <v>0</v>
      </c>
      <c r="Q1123" s="152">
        <v>0</v>
      </c>
      <c r="R1123" s="9">
        <v>1386600</v>
      </c>
      <c r="S1123" s="21" t="s">
        <v>1846</v>
      </c>
      <c r="T1123" s="117">
        <v>0</v>
      </c>
      <c r="U1123" s="117">
        <v>0</v>
      </c>
      <c r="V1123" s="117">
        <v>2023</v>
      </c>
      <c r="W1123" s="117">
        <v>6</v>
      </c>
      <c r="X1123" s="117">
        <v>0</v>
      </c>
      <c r="Y1123" s="117">
        <v>0</v>
      </c>
      <c r="Z1123" s="21" t="b">
        <v>0</v>
      </c>
      <c r="AA1123" s="162">
        <f>+$AD$5-Tabla2[[#This Row],[FECHA DE FACTURACIÓN]]</f>
        <v>182</v>
      </c>
      <c r="AB1123" s="163" t="str">
        <f>+IF(Tabla2[[#This Row],[dias de credito]]&gt;=Tabla2[[#This Row],[PLAZO Días]],"venc", "No venc")</f>
        <v>venc</v>
      </c>
      <c r="AC1123" s="163" t="str">
        <f>+IF(Tabla2[[#This Row],[FECHA DE PAGO]]&gt;0,"pagada","por pagar")</f>
        <v>pagada</v>
      </c>
      <c r="AD1123" s="164" t="str">
        <f>+IF(AND(Tabla2[[#This Row],[venc]]="venc",Tabla2[[#This Row],[estado pago]]="por pagar"),"vencida","no")</f>
        <v>no</v>
      </c>
    </row>
    <row r="1124" spans="1:30" ht="19.5" customHeight="1" x14ac:dyDescent="0.25">
      <c r="A1124" s="8" t="s">
        <v>1852</v>
      </c>
      <c r="B1124" s="8" t="b">
        <v>0</v>
      </c>
      <c r="C1124" s="8">
        <v>30</v>
      </c>
      <c r="D1124" s="151">
        <v>0</v>
      </c>
      <c r="E1124" s="151"/>
      <c r="F1124" s="24" t="s">
        <v>84</v>
      </c>
      <c r="G1124" s="30">
        <v>45294</v>
      </c>
      <c r="H1124" s="81" t="s">
        <v>525</v>
      </c>
      <c r="I1124" s="30">
        <v>45294</v>
      </c>
      <c r="J1124" s="16" t="s">
        <v>1395</v>
      </c>
      <c r="K1124" s="9" t="s">
        <v>1530</v>
      </c>
      <c r="L1124" s="9"/>
      <c r="M1124" s="152">
        <v>5000000</v>
      </c>
      <c r="N1124" s="153">
        <v>0</v>
      </c>
      <c r="O1124" s="152">
        <v>0</v>
      </c>
      <c r="P1124" s="154">
        <v>0</v>
      </c>
      <c r="Q1124" s="152">
        <v>0</v>
      </c>
      <c r="R1124" s="9">
        <v>5000000</v>
      </c>
      <c r="S1124" s="21" t="s">
        <v>1846</v>
      </c>
      <c r="T1124" s="117">
        <v>0</v>
      </c>
      <c r="U1124" s="117">
        <v>0</v>
      </c>
      <c r="V1124" s="117">
        <v>2024</v>
      </c>
      <c r="W1124" s="117">
        <v>7</v>
      </c>
      <c r="X1124" s="117">
        <v>0</v>
      </c>
      <c r="Y1124" s="117">
        <v>0</v>
      </c>
      <c r="Z1124" s="21" t="b">
        <v>0</v>
      </c>
      <c r="AA1124" s="162">
        <f>+$AD$5-Tabla2[[#This Row],[FECHA DE FACTURACIÓN]]</f>
        <v>149</v>
      </c>
      <c r="AB1124" s="163" t="str">
        <f>+IF(Tabla2[[#This Row],[dias de credito]]&gt;=Tabla2[[#This Row],[PLAZO Días]],"venc", "No venc")</f>
        <v>venc</v>
      </c>
      <c r="AC1124" s="163" t="str">
        <f>+IF(Tabla2[[#This Row],[FECHA DE PAGO]]&gt;0,"pagada","por pagar")</f>
        <v>pagada</v>
      </c>
      <c r="AD1124" s="164" t="str">
        <f>+IF(AND(Tabla2[[#This Row],[venc]]="venc",Tabla2[[#This Row],[estado pago]]="por pagar"),"vencida","no")</f>
        <v>no</v>
      </c>
    </row>
    <row r="1125" spans="1:30" ht="19.5" customHeight="1" x14ac:dyDescent="0.25">
      <c r="A1125" s="8" t="s">
        <v>1852</v>
      </c>
      <c r="B1125" s="8" t="b">
        <v>0</v>
      </c>
      <c r="C1125" s="8">
        <v>30</v>
      </c>
      <c r="D1125" s="151">
        <v>134000</v>
      </c>
      <c r="E1125" s="151"/>
      <c r="F1125" s="24" t="s">
        <v>192</v>
      </c>
      <c r="G1125" s="30">
        <v>45294</v>
      </c>
      <c r="H1125" s="81" t="s">
        <v>1808</v>
      </c>
      <c r="I1125" s="30">
        <v>45294</v>
      </c>
      <c r="J1125" s="16" t="s">
        <v>1436</v>
      </c>
      <c r="K1125" s="9" t="s">
        <v>1530</v>
      </c>
      <c r="L1125" s="9"/>
      <c r="M1125" s="152">
        <v>45000</v>
      </c>
      <c r="N1125" s="153">
        <v>0</v>
      </c>
      <c r="O1125" s="152">
        <v>0</v>
      </c>
      <c r="P1125" s="154">
        <v>0</v>
      </c>
      <c r="Q1125" s="152">
        <v>0</v>
      </c>
      <c r="R1125" s="9">
        <v>45000</v>
      </c>
      <c r="S1125" s="21" t="s">
        <v>1846</v>
      </c>
      <c r="T1125" s="117">
        <v>0</v>
      </c>
      <c r="U1125" s="117">
        <v>0</v>
      </c>
      <c r="V1125" s="117">
        <v>2024</v>
      </c>
      <c r="W1125" s="117">
        <v>7</v>
      </c>
      <c r="X1125" s="117">
        <v>0</v>
      </c>
      <c r="Y1125" s="117">
        <v>0</v>
      </c>
      <c r="Z1125" s="21" t="b">
        <v>0</v>
      </c>
      <c r="AA1125" s="162">
        <f>+$AD$5-Tabla2[[#This Row],[FECHA DE FACTURACIÓN]]</f>
        <v>149</v>
      </c>
      <c r="AB1125" s="163" t="str">
        <f>+IF(Tabla2[[#This Row],[dias de credito]]&gt;=Tabla2[[#This Row],[PLAZO Días]],"venc", "No venc")</f>
        <v>venc</v>
      </c>
      <c r="AC1125" s="163" t="str">
        <f>+IF(Tabla2[[#This Row],[FECHA DE PAGO]]&gt;0,"pagada","por pagar")</f>
        <v>pagada</v>
      </c>
      <c r="AD1125" s="164" t="str">
        <f>+IF(AND(Tabla2[[#This Row],[venc]]="venc",Tabla2[[#This Row],[estado pago]]="por pagar"),"vencida","no")</f>
        <v>no</v>
      </c>
    </row>
    <row r="1126" spans="1:30" ht="19.5" customHeight="1" x14ac:dyDescent="0.25">
      <c r="A1126" s="8" t="s">
        <v>1852</v>
      </c>
      <c r="B1126" s="8" t="b">
        <v>0</v>
      </c>
      <c r="C1126" s="8">
        <v>30</v>
      </c>
      <c r="D1126" s="151">
        <v>0</v>
      </c>
      <c r="E1126" s="151"/>
      <c r="F1126" s="24" t="s">
        <v>84</v>
      </c>
      <c r="G1126" s="30">
        <v>45296</v>
      </c>
      <c r="H1126" s="81" t="s">
        <v>525</v>
      </c>
      <c r="I1126" s="30">
        <v>45296</v>
      </c>
      <c r="J1126" s="16" t="s">
        <v>1398</v>
      </c>
      <c r="K1126" s="9" t="s">
        <v>1530</v>
      </c>
      <c r="L1126" s="9"/>
      <c r="M1126" s="152">
        <v>942000</v>
      </c>
      <c r="N1126" s="153">
        <v>0</v>
      </c>
      <c r="O1126" s="152">
        <v>0</v>
      </c>
      <c r="P1126" s="154">
        <v>0</v>
      </c>
      <c r="Q1126" s="152">
        <v>0</v>
      </c>
      <c r="R1126" s="9">
        <v>942000</v>
      </c>
      <c r="S1126" s="21" t="s">
        <v>1846</v>
      </c>
      <c r="T1126" s="117">
        <v>0</v>
      </c>
      <c r="U1126" s="117">
        <v>0</v>
      </c>
      <c r="V1126" s="117">
        <v>2024</v>
      </c>
      <c r="W1126" s="117">
        <v>7</v>
      </c>
      <c r="X1126" s="117">
        <v>0</v>
      </c>
      <c r="Y1126" s="117">
        <v>0</v>
      </c>
      <c r="Z1126" s="21" t="b">
        <v>0</v>
      </c>
      <c r="AA1126" s="162">
        <f>+$AD$5-Tabla2[[#This Row],[FECHA DE FACTURACIÓN]]</f>
        <v>147</v>
      </c>
      <c r="AB1126" s="163" t="str">
        <f>+IF(Tabla2[[#This Row],[dias de credito]]&gt;=Tabla2[[#This Row],[PLAZO Días]],"venc", "No venc")</f>
        <v>venc</v>
      </c>
      <c r="AC1126" s="163" t="str">
        <f>+IF(Tabla2[[#This Row],[FECHA DE PAGO]]&gt;0,"pagada","por pagar")</f>
        <v>pagada</v>
      </c>
      <c r="AD1126" s="164" t="str">
        <f>+IF(AND(Tabla2[[#This Row],[venc]]="venc",Tabla2[[#This Row],[estado pago]]="por pagar"),"vencida","no")</f>
        <v>no</v>
      </c>
    </row>
    <row r="1127" spans="1:30" ht="19.5" customHeight="1" x14ac:dyDescent="0.25">
      <c r="A1127" s="8" t="s">
        <v>1852</v>
      </c>
      <c r="B1127" s="8" t="b">
        <v>0</v>
      </c>
      <c r="C1127" s="8">
        <v>30</v>
      </c>
      <c r="D1127" s="151">
        <v>0</v>
      </c>
      <c r="E1127" s="151"/>
      <c r="F1127" s="24" t="s">
        <v>84</v>
      </c>
      <c r="G1127" s="30">
        <v>45296</v>
      </c>
      <c r="H1127" s="81" t="s">
        <v>1824</v>
      </c>
      <c r="I1127" s="30">
        <v>45296</v>
      </c>
      <c r="J1127" s="16"/>
      <c r="K1127" s="9" t="s">
        <v>1530</v>
      </c>
      <c r="L1127" s="9"/>
      <c r="M1127" s="152">
        <v>1000000</v>
      </c>
      <c r="N1127" s="153">
        <v>0</v>
      </c>
      <c r="O1127" s="152">
        <v>0</v>
      </c>
      <c r="P1127" s="154">
        <v>0</v>
      </c>
      <c r="Q1127" s="152">
        <v>0</v>
      </c>
      <c r="R1127" s="9">
        <v>1000000</v>
      </c>
      <c r="S1127" s="21" t="s">
        <v>1846</v>
      </c>
      <c r="T1127" s="117">
        <v>0</v>
      </c>
      <c r="U1127" s="117">
        <v>0</v>
      </c>
      <c r="V1127" s="117">
        <v>2024</v>
      </c>
      <c r="W1127" s="117">
        <v>7</v>
      </c>
      <c r="X1127" s="117">
        <v>0</v>
      </c>
      <c r="Y1127" s="117">
        <v>0</v>
      </c>
      <c r="Z1127" s="21" t="b">
        <v>0</v>
      </c>
      <c r="AA1127" s="162">
        <f>+$AD$5-Tabla2[[#This Row],[FECHA DE FACTURACIÓN]]</f>
        <v>147</v>
      </c>
      <c r="AB1127" s="163" t="str">
        <f>+IF(Tabla2[[#This Row],[dias de credito]]&gt;=Tabla2[[#This Row],[PLAZO Días]],"venc", "No venc")</f>
        <v>venc</v>
      </c>
      <c r="AC1127" s="163" t="str">
        <f>+IF(Tabla2[[#This Row],[FECHA DE PAGO]]&gt;0,"pagada","por pagar")</f>
        <v>pagada</v>
      </c>
      <c r="AD1127" s="164" t="str">
        <f>+IF(AND(Tabla2[[#This Row],[venc]]="venc",Tabla2[[#This Row],[estado pago]]="por pagar"),"vencida","no")</f>
        <v>no</v>
      </c>
    </row>
    <row r="1128" spans="1:30" ht="19.5" customHeight="1" x14ac:dyDescent="0.25">
      <c r="A1128" s="8" t="s">
        <v>1852</v>
      </c>
      <c r="B1128" s="8" t="b">
        <v>0</v>
      </c>
      <c r="C1128" s="8">
        <v>30</v>
      </c>
      <c r="D1128" s="151">
        <v>0</v>
      </c>
      <c r="E1128" s="151"/>
      <c r="F1128" s="24">
        <v>0</v>
      </c>
      <c r="G1128" s="30">
        <v>45297</v>
      </c>
      <c r="H1128" s="81" t="s">
        <v>387</v>
      </c>
      <c r="I1128" s="30">
        <v>45297</v>
      </c>
      <c r="J1128" s="16" t="s">
        <v>1193</v>
      </c>
      <c r="K1128" s="9" t="s">
        <v>1530</v>
      </c>
      <c r="L1128" s="9"/>
      <c r="M1128" s="152">
        <v>7068207</v>
      </c>
      <c r="N1128" s="153">
        <v>0</v>
      </c>
      <c r="O1128" s="152">
        <v>0</v>
      </c>
      <c r="P1128" s="154">
        <v>0</v>
      </c>
      <c r="Q1128" s="152">
        <v>0</v>
      </c>
      <c r="R1128" s="9">
        <v>7068207</v>
      </c>
      <c r="S1128" s="21" t="s">
        <v>1846</v>
      </c>
      <c r="T1128" s="117">
        <v>0</v>
      </c>
      <c r="U1128" s="117">
        <v>0</v>
      </c>
      <c r="V1128" s="117">
        <v>2024</v>
      </c>
      <c r="W1128" s="117">
        <v>7</v>
      </c>
      <c r="X1128" s="117">
        <v>0</v>
      </c>
      <c r="Y1128" s="117">
        <v>0</v>
      </c>
      <c r="Z1128" s="21" t="b">
        <v>1</v>
      </c>
      <c r="AA1128" s="162">
        <f>+$AD$5-Tabla2[[#This Row],[FECHA DE FACTURACIÓN]]</f>
        <v>146</v>
      </c>
      <c r="AB1128" s="163" t="str">
        <f>+IF(Tabla2[[#This Row],[dias de credito]]&gt;=Tabla2[[#This Row],[PLAZO Días]],"venc", "No venc")</f>
        <v>venc</v>
      </c>
      <c r="AC1128" s="163" t="str">
        <f>+IF(Tabla2[[#This Row],[FECHA DE PAGO]]&gt;0,"pagada","por pagar")</f>
        <v>pagada</v>
      </c>
      <c r="AD1128" s="164" t="str">
        <f>+IF(AND(Tabla2[[#This Row],[venc]]="venc",Tabla2[[#This Row],[estado pago]]="por pagar"),"vencida","no")</f>
        <v>no</v>
      </c>
    </row>
    <row r="1129" spans="1:30" ht="19.5" hidden="1" customHeight="1" x14ac:dyDescent="0.25">
      <c r="A1129" s="8" t="s">
        <v>1850</v>
      </c>
      <c r="B1129" s="8" t="s">
        <v>1851</v>
      </c>
      <c r="C1129" s="8">
        <v>30</v>
      </c>
      <c r="D1129" s="151">
        <v>4316000</v>
      </c>
      <c r="E1129" s="151"/>
      <c r="F1129" s="24" t="s">
        <v>84</v>
      </c>
      <c r="G1129" s="30">
        <v>45300</v>
      </c>
      <c r="H1129" s="81" t="s">
        <v>1812</v>
      </c>
      <c r="I1129" s="30">
        <v>45261</v>
      </c>
      <c r="J1129" s="16" t="s">
        <v>1389</v>
      </c>
      <c r="K1129" s="9" t="s">
        <v>1530</v>
      </c>
      <c r="L1129" s="9"/>
      <c r="M1129" s="152">
        <v>866000</v>
      </c>
      <c r="N1129" s="153">
        <v>0</v>
      </c>
      <c r="O1129" s="152">
        <v>0</v>
      </c>
      <c r="P1129" s="154">
        <v>0</v>
      </c>
      <c r="Q1129" s="152">
        <v>0</v>
      </c>
      <c r="R1129" s="9">
        <v>866000</v>
      </c>
      <c r="S1129" s="21" t="s">
        <v>1846</v>
      </c>
      <c r="T1129" s="117">
        <v>0</v>
      </c>
      <c r="U1129" s="117">
        <v>0</v>
      </c>
      <c r="V1129" s="117">
        <v>2023</v>
      </c>
      <c r="W1129" s="117">
        <v>6</v>
      </c>
      <c r="X1129" s="117">
        <v>0</v>
      </c>
      <c r="Y1129" s="117">
        <v>0</v>
      </c>
      <c r="Z1129" s="21" t="b">
        <v>0</v>
      </c>
      <c r="AA1129" s="162">
        <f>+$AD$5-Tabla2[[#This Row],[FECHA DE FACTURACIÓN]]</f>
        <v>182</v>
      </c>
      <c r="AB1129" s="163" t="str">
        <f>+IF(Tabla2[[#This Row],[dias de credito]]&gt;=Tabla2[[#This Row],[PLAZO Días]],"venc", "No venc")</f>
        <v>venc</v>
      </c>
      <c r="AC1129" s="163" t="str">
        <f>+IF(Tabla2[[#This Row],[FECHA DE PAGO]]&gt;0,"pagada","por pagar")</f>
        <v>pagada</v>
      </c>
      <c r="AD1129" s="164" t="str">
        <f>+IF(AND(Tabla2[[#This Row],[venc]]="venc",Tabla2[[#This Row],[estado pago]]="por pagar"),"vencida","no")</f>
        <v>no</v>
      </c>
    </row>
    <row r="1130" spans="1:30" ht="19.5" customHeight="1" x14ac:dyDescent="0.25">
      <c r="A1130" s="8" t="s">
        <v>1850</v>
      </c>
      <c r="B1130" s="8" t="b">
        <v>0</v>
      </c>
      <c r="C1130" s="8">
        <v>30</v>
      </c>
      <c r="D1130" s="151">
        <v>0</v>
      </c>
      <c r="E1130" s="151"/>
      <c r="F1130" s="24" t="s">
        <v>253</v>
      </c>
      <c r="G1130" s="30">
        <v>45300</v>
      </c>
      <c r="H1130" s="81" t="s">
        <v>368</v>
      </c>
      <c r="I1130" s="30">
        <v>45292</v>
      </c>
      <c r="J1130" s="16" t="s">
        <v>1424</v>
      </c>
      <c r="K1130" s="9" t="s">
        <v>1530</v>
      </c>
      <c r="L1130" s="9"/>
      <c r="M1130" s="152">
        <v>3792544</v>
      </c>
      <c r="N1130" s="153">
        <v>720583.36</v>
      </c>
      <c r="O1130" s="152">
        <v>0</v>
      </c>
      <c r="P1130" s="154">
        <v>0</v>
      </c>
      <c r="Q1130" s="152">
        <v>0</v>
      </c>
      <c r="R1130" s="9">
        <v>4513127.3600000003</v>
      </c>
      <c r="S1130" s="21" t="s">
        <v>1846</v>
      </c>
      <c r="T1130" s="117">
        <v>0</v>
      </c>
      <c r="U1130" s="117">
        <v>0</v>
      </c>
      <c r="V1130" s="117">
        <v>2024</v>
      </c>
      <c r="W1130" s="117">
        <v>7</v>
      </c>
      <c r="X1130" s="117">
        <v>0</v>
      </c>
      <c r="Y1130" s="117">
        <v>0</v>
      </c>
      <c r="Z1130" s="21" t="b">
        <v>1</v>
      </c>
      <c r="AA1130" s="162">
        <f>+$AD$5-Tabla2[[#This Row],[FECHA DE FACTURACIÓN]]</f>
        <v>151</v>
      </c>
      <c r="AB1130" s="163" t="str">
        <f>+IF(Tabla2[[#This Row],[dias de credito]]&gt;=Tabla2[[#This Row],[PLAZO Días]],"venc", "No venc")</f>
        <v>venc</v>
      </c>
      <c r="AC1130" s="163" t="str">
        <f>+IF(Tabla2[[#This Row],[FECHA DE PAGO]]&gt;0,"pagada","por pagar")</f>
        <v>pagada</v>
      </c>
      <c r="AD1130" s="164" t="str">
        <f>+IF(AND(Tabla2[[#This Row],[venc]]="venc",Tabla2[[#This Row],[estado pago]]="por pagar"),"vencida","no")</f>
        <v>no</v>
      </c>
    </row>
    <row r="1131" spans="1:30" ht="19.5" customHeight="1" x14ac:dyDescent="0.25">
      <c r="A1131" s="8" t="s">
        <v>1850</v>
      </c>
      <c r="B1131" s="8" t="b">
        <v>0</v>
      </c>
      <c r="C1131" s="8">
        <v>10</v>
      </c>
      <c r="D1131" s="151">
        <v>-3510</v>
      </c>
      <c r="E1131" s="151"/>
      <c r="F1131" s="24" t="s">
        <v>1540</v>
      </c>
      <c r="G1131" s="30">
        <v>45300</v>
      </c>
      <c r="H1131" s="81" t="s">
        <v>1452</v>
      </c>
      <c r="I1131" s="30">
        <v>45292</v>
      </c>
      <c r="J1131" s="16" t="s">
        <v>1400</v>
      </c>
      <c r="K1131" s="9" t="s">
        <v>1530</v>
      </c>
      <c r="L1131" s="9"/>
      <c r="M1131" s="152">
        <v>4394976</v>
      </c>
      <c r="N1131" s="153">
        <v>835045.44000000006</v>
      </c>
      <c r="O1131" s="152">
        <v>0</v>
      </c>
      <c r="P1131" s="154">
        <v>3.5000000000000003E-2</v>
      </c>
      <c r="Q1131" s="152">
        <v>153824.16</v>
      </c>
      <c r="R1131" s="9">
        <v>5076197.28</v>
      </c>
      <c r="S1131" s="21" t="s">
        <v>1846</v>
      </c>
      <c r="T1131" s="117">
        <v>0</v>
      </c>
      <c r="U1131" s="117" t="s">
        <v>348</v>
      </c>
      <c r="V1131" s="117">
        <v>2024</v>
      </c>
      <c r="W1131" s="117">
        <v>7</v>
      </c>
      <c r="X1131" s="117">
        <v>0</v>
      </c>
      <c r="Y1131" s="117">
        <v>3.5000000000000003E-2</v>
      </c>
      <c r="Z1131" s="21" t="b">
        <v>1</v>
      </c>
      <c r="AA1131" s="162">
        <f>+$AD$5-Tabla2[[#This Row],[FECHA DE FACTURACIÓN]]</f>
        <v>151</v>
      </c>
      <c r="AB1131" s="163" t="str">
        <f>+IF(Tabla2[[#This Row],[dias de credito]]&gt;=Tabla2[[#This Row],[PLAZO Días]],"venc", "No venc")</f>
        <v>venc</v>
      </c>
      <c r="AC1131" s="163" t="str">
        <f>+IF(Tabla2[[#This Row],[FECHA DE PAGO]]&gt;0,"pagada","por pagar")</f>
        <v>pagada</v>
      </c>
      <c r="AD1131" s="164" t="str">
        <f>+IF(AND(Tabla2[[#This Row],[venc]]="venc",Tabla2[[#This Row],[estado pago]]="por pagar"),"vencida","no")</f>
        <v>no</v>
      </c>
    </row>
    <row r="1132" spans="1:30" ht="19.5" customHeight="1" x14ac:dyDescent="0.25">
      <c r="A1132" s="8" t="s">
        <v>1850</v>
      </c>
      <c r="B1132" s="8" t="b">
        <v>0</v>
      </c>
      <c r="C1132" s="8">
        <v>10</v>
      </c>
      <c r="D1132" s="151">
        <v>0</v>
      </c>
      <c r="E1132" s="151"/>
      <c r="F1132" s="24" t="s">
        <v>483</v>
      </c>
      <c r="G1132" s="30">
        <v>45300</v>
      </c>
      <c r="H1132" s="81" t="s">
        <v>482</v>
      </c>
      <c r="I1132" s="30">
        <v>45292</v>
      </c>
      <c r="J1132" s="16" t="s">
        <v>1401</v>
      </c>
      <c r="K1132" s="9" t="s">
        <v>1530</v>
      </c>
      <c r="L1132" s="9"/>
      <c r="M1132" s="152">
        <v>5350576</v>
      </c>
      <c r="N1132" s="153">
        <v>1016609.4400000001</v>
      </c>
      <c r="O1132" s="152">
        <v>0</v>
      </c>
      <c r="P1132" s="154">
        <v>0</v>
      </c>
      <c r="Q1132" s="152">
        <v>0</v>
      </c>
      <c r="R1132" s="9">
        <v>6367185.4400000004</v>
      </c>
      <c r="S1132" s="21" t="s">
        <v>1846</v>
      </c>
      <c r="T1132" s="117">
        <v>0</v>
      </c>
      <c r="U1132" s="117">
        <v>0</v>
      </c>
      <c r="V1132" s="117">
        <v>2024</v>
      </c>
      <c r="W1132" s="117">
        <v>7</v>
      </c>
      <c r="X1132" s="117">
        <v>0</v>
      </c>
      <c r="Y1132" s="117">
        <v>0</v>
      </c>
      <c r="Z1132" s="21" t="b">
        <v>1</v>
      </c>
      <c r="AA1132" s="162">
        <f>+$AD$5-Tabla2[[#This Row],[FECHA DE FACTURACIÓN]]</f>
        <v>151</v>
      </c>
      <c r="AB1132" s="163" t="str">
        <f>+IF(Tabla2[[#This Row],[dias de credito]]&gt;=Tabla2[[#This Row],[PLAZO Días]],"venc", "No venc")</f>
        <v>venc</v>
      </c>
      <c r="AC1132" s="163" t="str">
        <f>+IF(Tabla2[[#This Row],[FECHA DE PAGO]]&gt;0,"pagada","por pagar")</f>
        <v>pagada</v>
      </c>
      <c r="AD1132" s="164" t="str">
        <f>+IF(AND(Tabla2[[#This Row],[venc]]="venc",Tabla2[[#This Row],[estado pago]]="por pagar"),"vencida","no")</f>
        <v>no</v>
      </c>
    </row>
    <row r="1133" spans="1:30" ht="19.5" customHeight="1" x14ac:dyDescent="0.25">
      <c r="A1133" s="8" t="s">
        <v>1852</v>
      </c>
      <c r="B1133" s="8" t="b">
        <v>0</v>
      </c>
      <c r="C1133" s="8">
        <v>30</v>
      </c>
      <c r="D1133" s="151">
        <v>134000</v>
      </c>
      <c r="E1133" s="151"/>
      <c r="F1133" s="24" t="s">
        <v>192</v>
      </c>
      <c r="G1133" s="30">
        <v>45300</v>
      </c>
      <c r="H1133" s="81" t="s">
        <v>1808</v>
      </c>
      <c r="I1133" s="30">
        <v>45300</v>
      </c>
      <c r="J1133" s="16" t="s">
        <v>1438</v>
      </c>
      <c r="K1133" s="9" t="s">
        <v>1530</v>
      </c>
      <c r="L1133" s="9"/>
      <c r="M1133" s="152">
        <v>68000</v>
      </c>
      <c r="N1133" s="153">
        <v>0</v>
      </c>
      <c r="O1133" s="152">
        <v>0</v>
      </c>
      <c r="P1133" s="154">
        <v>0</v>
      </c>
      <c r="Q1133" s="152">
        <v>0</v>
      </c>
      <c r="R1133" s="9">
        <v>68000</v>
      </c>
      <c r="S1133" s="21" t="s">
        <v>1846</v>
      </c>
      <c r="T1133" s="117">
        <v>0</v>
      </c>
      <c r="U1133" s="117">
        <v>0</v>
      </c>
      <c r="V1133" s="117">
        <v>2024</v>
      </c>
      <c r="W1133" s="117">
        <v>7</v>
      </c>
      <c r="X1133" s="117">
        <v>0</v>
      </c>
      <c r="Y1133" s="117">
        <v>0</v>
      </c>
      <c r="Z1133" s="21" t="b">
        <v>0</v>
      </c>
      <c r="AA1133" s="162">
        <f>+$AD$5-Tabla2[[#This Row],[FECHA DE FACTURACIÓN]]</f>
        <v>143</v>
      </c>
      <c r="AB1133" s="163" t="str">
        <f>+IF(Tabla2[[#This Row],[dias de credito]]&gt;=Tabla2[[#This Row],[PLAZO Días]],"venc", "No venc")</f>
        <v>venc</v>
      </c>
      <c r="AC1133" s="163" t="str">
        <f>+IF(Tabla2[[#This Row],[FECHA DE PAGO]]&gt;0,"pagada","por pagar")</f>
        <v>pagada</v>
      </c>
      <c r="AD1133" s="164" t="str">
        <f>+IF(AND(Tabla2[[#This Row],[venc]]="venc",Tabla2[[#This Row],[estado pago]]="por pagar"),"vencida","no")</f>
        <v>no</v>
      </c>
    </row>
    <row r="1134" spans="1:30" ht="19.5" customHeight="1" x14ac:dyDescent="0.25">
      <c r="A1134" s="8" t="s">
        <v>1852</v>
      </c>
      <c r="B1134" s="8" t="b">
        <v>0</v>
      </c>
      <c r="C1134" s="8">
        <v>30</v>
      </c>
      <c r="D1134" s="151">
        <v>0</v>
      </c>
      <c r="E1134" s="151"/>
      <c r="F1134" s="24">
        <v>0</v>
      </c>
      <c r="G1134" s="30">
        <v>45300</v>
      </c>
      <c r="H1134" s="81" t="s">
        <v>387</v>
      </c>
      <c r="I1134" s="30">
        <v>45300</v>
      </c>
      <c r="J1134" s="16" t="s">
        <v>173</v>
      </c>
      <c r="K1134" s="9" t="s">
        <v>1530</v>
      </c>
      <c r="L1134" s="9"/>
      <c r="M1134" s="152">
        <v>411454</v>
      </c>
      <c r="N1134" s="153">
        <v>0</v>
      </c>
      <c r="O1134" s="152">
        <v>0</v>
      </c>
      <c r="P1134" s="154">
        <v>0</v>
      </c>
      <c r="Q1134" s="152">
        <v>0</v>
      </c>
      <c r="R1134" s="9">
        <v>411454</v>
      </c>
      <c r="S1134" s="21" t="s">
        <v>1846</v>
      </c>
      <c r="T1134" s="117">
        <v>0</v>
      </c>
      <c r="U1134" s="117">
        <v>0</v>
      </c>
      <c r="V1134" s="117">
        <v>2024</v>
      </c>
      <c r="W1134" s="117">
        <v>7</v>
      </c>
      <c r="X1134" s="117">
        <v>0</v>
      </c>
      <c r="Y1134" s="117">
        <v>0</v>
      </c>
      <c r="Z1134" s="21" t="b">
        <v>1</v>
      </c>
      <c r="AA1134" s="162">
        <f>+$AD$5-Tabla2[[#This Row],[FECHA DE FACTURACIÓN]]</f>
        <v>143</v>
      </c>
      <c r="AB1134" s="163" t="str">
        <f>+IF(Tabla2[[#This Row],[dias de credito]]&gt;=Tabla2[[#This Row],[PLAZO Días]],"venc", "No venc")</f>
        <v>venc</v>
      </c>
      <c r="AC1134" s="163" t="str">
        <f>+IF(Tabla2[[#This Row],[FECHA DE PAGO]]&gt;0,"pagada","por pagar")</f>
        <v>pagada</v>
      </c>
      <c r="AD1134" s="164" t="str">
        <f>+IF(AND(Tabla2[[#This Row],[venc]]="venc",Tabla2[[#This Row],[estado pago]]="por pagar"),"vencida","no")</f>
        <v>no</v>
      </c>
    </row>
    <row r="1135" spans="1:30" ht="19.5" hidden="1" customHeight="1" x14ac:dyDescent="0.25">
      <c r="A1135" s="8" t="s">
        <v>1850</v>
      </c>
      <c r="B1135" s="8" t="s">
        <v>1851</v>
      </c>
      <c r="C1135" s="8">
        <v>30</v>
      </c>
      <c r="D1135" s="151">
        <v>9950488.6799999997</v>
      </c>
      <c r="E1135" s="151"/>
      <c r="F1135" s="24" t="s">
        <v>410</v>
      </c>
      <c r="G1135" s="30">
        <v>45301</v>
      </c>
      <c r="H1135" s="81" t="s">
        <v>11</v>
      </c>
      <c r="I1135" s="30">
        <v>45253</v>
      </c>
      <c r="J1135" s="16" t="s">
        <v>1245</v>
      </c>
      <c r="K1135" s="9" t="s">
        <v>1530</v>
      </c>
      <c r="L1135" s="9"/>
      <c r="M1135" s="152">
        <v>8067241</v>
      </c>
      <c r="N1135" s="153">
        <v>1532775.79</v>
      </c>
      <c r="O1135" s="152">
        <v>0</v>
      </c>
      <c r="P1135" s="154">
        <v>2.5000000000000001E-2</v>
      </c>
      <c r="Q1135" s="152">
        <v>201681.02500000002</v>
      </c>
      <c r="R1135" s="9">
        <v>9398335.7649999987</v>
      </c>
      <c r="S1135" s="21" t="s">
        <v>1846</v>
      </c>
      <c r="T1135" s="117">
        <v>0</v>
      </c>
      <c r="U1135" s="117" t="s">
        <v>347</v>
      </c>
      <c r="V1135" s="117">
        <v>2023</v>
      </c>
      <c r="W1135" s="117">
        <v>6</v>
      </c>
      <c r="X1135" s="117">
        <v>1145000</v>
      </c>
      <c r="Y1135" s="117">
        <v>2.5000000000000001E-2</v>
      </c>
      <c r="Z1135" s="21" t="b">
        <v>0</v>
      </c>
      <c r="AA1135" s="162">
        <f>+$AD$5-Tabla2[[#This Row],[FECHA DE FACTURACIÓN]]</f>
        <v>190</v>
      </c>
      <c r="AB1135" s="163" t="str">
        <f>+IF(Tabla2[[#This Row],[dias de credito]]&gt;=Tabla2[[#This Row],[PLAZO Días]],"venc", "No venc")</f>
        <v>venc</v>
      </c>
      <c r="AC1135" s="163" t="str">
        <f>+IF(Tabla2[[#This Row],[FECHA DE PAGO]]&gt;0,"pagada","por pagar")</f>
        <v>pagada</v>
      </c>
      <c r="AD1135" s="164" t="str">
        <f>+IF(AND(Tabla2[[#This Row],[venc]]="venc",Tabla2[[#This Row],[estado pago]]="por pagar"),"vencida","no")</f>
        <v>no</v>
      </c>
    </row>
    <row r="1136" spans="1:30" ht="19.5" hidden="1" customHeight="1" x14ac:dyDescent="0.25">
      <c r="A1136" s="8" t="s">
        <v>1850</v>
      </c>
      <c r="B1136" s="8" t="s">
        <v>1851</v>
      </c>
      <c r="C1136" s="8">
        <v>30</v>
      </c>
      <c r="D1136" s="151">
        <v>0</v>
      </c>
      <c r="E1136" s="151"/>
      <c r="F1136" s="24" t="s">
        <v>84</v>
      </c>
      <c r="G1136" s="30">
        <v>45302</v>
      </c>
      <c r="H1136" s="81" t="s">
        <v>1811</v>
      </c>
      <c r="I1136" s="30">
        <v>45251</v>
      </c>
      <c r="J1136" s="16" t="s">
        <v>1274</v>
      </c>
      <c r="K1136" s="9" t="s">
        <v>1530</v>
      </c>
      <c r="L1136" s="9"/>
      <c r="M1136" s="152">
        <v>600000</v>
      </c>
      <c r="N1136" s="153">
        <v>0</v>
      </c>
      <c r="O1136" s="152">
        <v>0</v>
      </c>
      <c r="P1136" s="154">
        <v>0</v>
      </c>
      <c r="Q1136" s="152">
        <v>0</v>
      </c>
      <c r="R1136" s="9">
        <v>600000</v>
      </c>
      <c r="S1136" s="21" t="s">
        <v>1846</v>
      </c>
      <c r="T1136" s="117">
        <v>0</v>
      </c>
      <c r="U1136" s="117">
        <v>0</v>
      </c>
      <c r="V1136" s="117">
        <v>2023</v>
      </c>
      <c r="W1136" s="117">
        <v>6</v>
      </c>
      <c r="X1136" s="117">
        <v>0</v>
      </c>
      <c r="Y1136" s="117">
        <v>0</v>
      </c>
      <c r="Z1136" s="21" t="b">
        <v>0</v>
      </c>
      <c r="AA1136" s="162">
        <f>+$AD$5-Tabla2[[#This Row],[FECHA DE FACTURACIÓN]]</f>
        <v>192</v>
      </c>
      <c r="AB1136" s="163" t="str">
        <f>+IF(Tabla2[[#This Row],[dias de credito]]&gt;=Tabla2[[#This Row],[PLAZO Días]],"venc", "No venc")</f>
        <v>venc</v>
      </c>
      <c r="AC1136" s="163" t="str">
        <f>+IF(Tabla2[[#This Row],[FECHA DE PAGO]]&gt;0,"pagada","por pagar")</f>
        <v>pagada</v>
      </c>
      <c r="AD1136" s="164" t="str">
        <f>+IF(AND(Tabla2[[#This Row],[venc]]="venc",Tabla2[[#This Row],[estado pago]]="por pagar"),"vencida","no")</f>
        <v>no</v>
      </c>
    </row>
    <row r="1137" spans="1:30" ht="19.5" hidden="1" customHeight="1" x14ac:dyDescent="0.25">
      <c r="A1137" s="8" t="s">
        <v>1850</v>
      </c>
      <c r="B1137" s="8" t="s">
        <v>1851</v>
      </c>
      <c r="C1137" s="8">
        <v>30</v>
      </c>
      <c r="D1137" s="151">
        <v>0</v>
      </c>
      <c r="E1137" s="151"/>
      <c r="F1137" s="24" t="s">
        <v>84</v>
      </c>
      <c r="G1137" s="30">
        <v>45302</v>
      </c>
      <c r="H1137" s="81" t="s">
        <v>294</v>
      </c>
      <c r="I1137" s="30">
        <v>45267</v>
      </c>
      <c r="J1137" s="16" t="s">
        <v>1368</v>
      </c>
      <c r="K1137" s="9" t="s">
        <v>1530</v>
      </c>
      <c r="L1137" s="9"/>
      <c r="M1137" s="152">
        <v>342000</v>
      </c>
      <c r="N1137" s="153">
        <v>0</v>
      </c>
      <c r="O1137" s="152">
        <v>0</v>
      </c>
      <c r="P1137" s="154">
        <v>0</v>
      </c>
      <c r="Q1137" s="152">
        <v>0</v>
      </c>
      <c r="R1137" s="9">
        <v>342000</v>
      </c>
      <c r="S1137" s="21" t="s">
        <v>1846</v>
      </c>
      <c r="T1137" s="117">
        <v>0</v>
      </c>
      <c r="U1137" s="117">
        <v>0</v>
      </c>
      <c r="V1137" s="117">
        <v>2023</v>
      </c>
      <c r="W1137" s="117">
        <v>6</v>
      </c>
      <c r="X1137" s="117">
        <v>0</v>
      </c>
      <c r="Y1137" s="117">
        <v>0</v>
      </c>
      <c r="Z1137" s="21" t="b">
        <v>0</v>
      </c>
      <c r="AA1137" s="162">
        <f>+$AD$5-Tabla2[[#This Row],[FECHA DE FACTURACIÓN]]</f>
        <v>176</v>
      </c>
      <c r="AB1137" s="163" t="str">
        <f>+IF(Tabla2[[#This Row],[dias de credito]]&gt;=Tabla2[[#This Row],[PLAZO Días]],"venc", "No venc")</f>
        <v>venc</v>
      </c>
      <c r="AC1137" s="163" t="str">
        <f>+IF(Tabla2[[#This Row],[FECHA DE PAGO]]&gt;0,"pagada","por pagar")</f>
        <v>pagada</v>
      </c>
      <c r="AD1137" s="164" t="str">
        <f>+IF(AND(Tabla2[[#This Row],[venc]]="venc",Tabla2[[#This Row],[estado pago]]="por pagar"),"vencida","no")</f>
        <v>no</v>
      </c>
    </row>
    <row r="1138" spans="1:30" ht="19.5" hidden="1" customHeight="1" x14ac:dyDescent="0.25">
      <c r="A1138" s="8" t="s">
        <v>1850</v>
      </c>
      <c r="B1138" s="8" t="s">
        <v>1851</v>
      </c>
      <c r="C1138" s="8">
        <v>30</v>
      </c>
      <c r="D1138" s="151">
        <v>0</v>
      </c>
      <c r="E1138" s="151"/>
      <c r="F1138" s="24" t="s">
        <v>156</v>
      </c>
      <c r="G1138" s="30">
        <v>45303</v>
      </c>
      <c r="H1138" s="81" t="s">
        <v>1580</v>
      </c>
      <c r="I1138" s="30">
        <v>45272</v>
      </c>
      <c r="J1138" s="16" t="s">
        <v>1334</v>
      </c>
      <c r="K1138" s="9" t="s">
        <v>1530</v>
      </c>
      <c r="L1138" s="9"/>
      <c r="M1138" s="152">
        <v>361000</v>
      </c>
      <c r="N1138" s="153">
        <v>68590</v>
      </c>
      <c r="O1138" s="152">
        <v>0</v>
      </c>
      <c r="P1138" s="154">
        <v>0</v>
      </c>
      <c r="Q1138" s="152">
        <v>0</v>
      </c>
      <c r="R1138" s="9">
        <v>429590</v>
      </c>
      <c r="S1138" s="21" t="s">
        <v>1846</v>
      </c>
      <c r="T1138" s="117">
        <v>0</v>
      </c>
      <c r="U1138" s="117" t="s">
        <v>347</v>
      </c>
      <c r="V1138" s="117">
        <v>2023</v>
      </c>
      <c r="W1138" s="117">
        <v>6</v>
      </c>
      <c r="X1138" s="117">
        <v>1145000</v>
      </c>
      <c r="Y1138" s="117">
        <v>2.5000000000000001E-2</v>
      </c>
      <c r="Z1138" s="21" t="b">
        <v>0</v>
      </c>
      <c r="AA1138" s="162">
        <f>+$AD$5-Tabla2[[#This Row],[FECHA DE FACTURACIÓN]]</f>
        <v>171</v>
      </c>
      <c r="AB1138" s="163" t="str">
        <f>+IF(Tabla2[[#This Row],[dias de credito]]&gt;=Tabla2[[#This Row],[PLAZO Días]],"venc", "No venc")</f>
        <v>venc</v>
      </c>
      <c r="AC1138" s="163" t="str">
        <f>+IF(Tabla2[[#This Row],[FECHA DE PAGO]]&gt;0,"pagada","por pagar")</f>
        <v>pagada</v>
      </c>
      <c r="AD1138" s="164" t="str">
        <f>+IF(AND(Tabla2[[#This Row],[venc]]="venc",Tabla2[[#This Row],[estado pago]]="por pagar"),"vencida","no")</f>
        <v>no</v>
      </c>
    </row>
    <row r="1139" spans="1:30" ht="19.5" customHeight="1" x14ac:dyDescent="0.25">
      <c r="A1139" s="8" t="s">
        <v>1850</v>
      </c>
      <c r="B1139" s="8" t="b">
        <v>0</v>
      </c>
      <c r="C1139" s="8">
        <v>30</v>
      </c>
      <c r="D1139" s="151">
        <v>0</v>
      </c>
      <c r="E1139" s="151"/>
      <c r="F1139" s="24" t="s">
        <v>1540</v>
      </c>
      <c r="G1139" s="30">
        <v>45303</v>
      </c>
      <c r="H1139" s="81" t="s">
        <v>383</v>
      </c>
      <c r="I1139" s="30">
        <v>45292</v>
      </c>
      <c r="J1139" s="16" t="s">
        <v>1451</v>
      </c>
      <c r="K1139" s="9" t="s">
        <v>1530</v>
      </c>
      <c r="L1139" s="9"/>
      <c r="M1139" s="152">
        <v>27605</v>
      </c>
      <c r="N1139" s="153">
        <v>5244.95</v>
      </c>
      <c r="O1139" s="152">
        <v>0</v>
      </c>
      <c r="P1139" s="154">
        <v>3.5000000000000003E-2</v>
      </c>
      <c r="Q1139" s="152">
        <v>966.17500000000007</v>
      </c>
      <c r="R1139" s="9">
        <v>31883.774999999998</v>
      </c>
      <c r="S1139" s="21" t="s">
        <v>1846</v>
      </c>
      <c r="T1139" s="117">
        <v>0</v>
      </c>
      <c r="U1139" s="117" t="s">
        <v>348</v>
      </c>
      <c r="V1139" s="117">
        <v>2024</v>
      </c>
      <c r="W1139" s="117">
        <v>7</v>
      </c>
      <c r="X1139" s="117">
        <v>0</v>
      </c>
      <c r="Y1139" s="117">
        <v>3.5000000000000003E-2</v>
      </c>
      <c r="Z1139" s="21" t="b">
        <v>1</v>
      </c>
      <c r="AA1139" s="162">
        <f>+$AD$5-Tabla2[[#This Row],[FECHA DE FACTURACIÓN]]</f>
        <v>151</v>
      </c>
      <c r="AB1139" s="163" t="str">
        <f>+IF(Tabla2[[#This Row],[dias de credito]]&gt;=Tabla2[[#This Row],[PLAZO Días]],"venc", "No venc")</f>
        <v>venc</v>
      </c>
      <c r="AC1139" s="163" t="str">
        <f>+IF(Tabla2[[#This Row],[FECHA DE PAGO]]&gt;0,"pagada","por pagar")</f>
        <v>pagada</v>
      </c>
      <c r="AD1139" s="164" t="str">
        <f>+IF(AND(Tabla2[[#This Row],[venc]]="venc",Tabla2[[#This Row],[estado pago]]="por pagar"),"vencida","no")</f>
        <v>no</v>
      </c>
    </row>
    <row r="1140" spans="1:30" ht="19.5" customHeight="1" x14ac:dyDescent="0.25">
      <c r="A1140" s="8" t="s">
        <v>1850</v>
      </c>
      <c r="B1140" s="8" t="b">
        <v>0</v>
      </c>
      <c r="C1140" s="8">
        <v>30</v>
      </c>
      <c r="D1140" s="151">
        <v>0</v>
      </c>
      <c r="E1140" s="151"/>
      <c r="F1140" s="24" t="s">
        <v>86</v>
      </c>
      <c r="G1140" s="30">
        <v>45303</v>
      </c>
      <c r="H1140" s="81" t="s">
        <v>388</v>
      </c>
      <c r="I1140" s="30">
        <v>45292</v>
      </c>
      <c r="J1140" s="16" t="s">
        <v>1422</v>
      </c>
      <c r="K1140" s="9" t="s">
        <v>1530</v>
      </c>
      <c r="L1140" s="9"/>
      <c r="M1140" s="152">
        <v>458700</v>
      </c>
      <c r="N1140" s="153">
        <v>87153</v>
      </c>
      <c r="O1140" s="152">
        <v>0</v>
      </c>
      <c r="P1140" s="154">
        <v>0</v>
      </c>
      <c r="Q1140" s="152">
        <v>0</v>
      </c>
      <c r="R1140" s="9">
        <v>545853</v>
      </c>
      <c r="S1140" s="21" t="s">
        <v>1846</v>
      </c>
      <c r="T1140" s="117">
        <v>0</v>
      </c>
      <c r="U1140" s="117">
        <v>0</v>
      </c>
      <c r="V1140" s="117">
        <v>2024</v>
      </c>
      <c r="W1140" s="117">
        <v>7</v>
      </c>
      <c r="X1140" s="117">
        <v>0</v>
      </c>
      <c r="Y1140" s="117">
        <v>0</v>
      </c>
      <c r="Z1140" s="21" t="b">
        <v>1</v>
      </c>
      <c r="AA1140" s="162">
        <f>+$AD$5-Tabla2[[#This Row],[FECHA DE FACTURACIÓN]]</f>
        <v>151</v>
      </c>
      <c r="AB1140" s="163" t="str">
        <f>+IF(Tabla2[[#This Row],[dias de credito]]&gt;=Tabla2[[#This Row],[PLAZO Días]],"venc", "No venc")</f>
        <v>venc</v>
      </c>
      <c r="AC1140" s="163" t="str">
        <f>+IF(Tabla2[[#This Row],[FECHA DE PAGO]]&gt;0,"pagada","por pagar")</f>
        <v>pagada</v>
      </c>
      <c r="AD1140" s="164" t="str">
        <f>+IF(AND(Tabla2[[#This Row],[venc]]="venc",Tabla2[[#This Row],[estado pago]]="por pagar"),"vencida","no")</f>
        <v>no</v>
      </c>
    </row>
    <row r="1141" spans="1:30" ht="19.5" customHeight="1" x14ac:dyDescent="0.25">
      <c r="A1141" s="8" t="s">
        <v>1850</v>
      </c>
      <c r="B1141" s="8" t="b">
        <v>0</v>
      </c>
      <c r="C1141" s="8">
        <v>30</v>
      </c>
      <c r="D1141" s="151">
        <v>1391998.93</v>
      </c>
      <c r="E1141" s="151"/>
      <c r="F1141" s="24" t="s">
        <v>1185</v>
      </c>
      <c r="G1141" s="30">
        <v>45303</v>
      </c>
      <c r="H1141" s="81" t="s">
        <v>1186</v>
      </c>
      <c r="I1141" s="30">
        <v>45302</v>
      </c>
      <c r="J1141" s="16" t="s">
        <v>1421</v>
      </c>
      <c r="K1141" s="9" t="s">
        <v>1530</v>
      </c>
      <c r="L1141" s="9"/>
      <c r="M1141" s="152">
        <v>1297479.67</v>
      </c>
      <c r="N1141" s="153">
        <v>246521.1373</v>
      </c>
      <c r="O1141" s="152">
        <v>0</v>
      </c>
      <c r="P1141" s="154">
        <v>2.5000000000000001E-2</v>
      </c>
      <c r="Q1141" s="152">
        <v>32436.991750000001</v>
      </c>
      <c r="R1141" s="9">
        <v>1511563.8155499999</v>
      </c>
      <c r="S1141" s="21" t="s">
        <v>1846</v>
      </c>
      <c r="T1141" s="117">
        <v>0</v>
      </c>
      <c r="U1141" s="117" t="s">
        <v>347</v>
      </c>
      <c r="V1141" s="117">
        <v>2024</v>
      </c>
      <c r="W1141" s="117">
        <v>7</v>
      </c>
      <c r="X1141" s="117">
        <v>1271000</v>
      </c>
      <c r="Y1141" s="117">
        <v>2.5000000000000001E-2</v>
      </c>
      <c r="Z1141" s="21" t="b">
        <v>0</v>
      </c>
      <c r="AA1141" s="162">
        <f>+$AD$5-Tabla2[[#This Row],[FECHA DE FACTURACIÓN]]</f>
        <v>141</v>
      </c>
      <c r="AB1141" s="163" t="str">
        <f>+IF(Tabla2[[#This Row],[dias de credito]]&gt;=Tabla2[[#This Row],[PLAZO Días]],"venc", "No venc")</f>
        <v>venc</v>
      </c>
      <c r="AC1141" s="163" t="str">
        <f>+IF(Tabla2[[#This Row],[FECHA DE PAGO]]&gt;0,"pagada","por pagar")</f>
        <v>pagada</v>
      </c>
      <c r="AD1141" s="164" t="str">
        <f>+IF(AND(Tabla2[[#This Row],[venc]]="venc",Tabla2[[#This Row],[estado pago]]="por pagar"),"vencida","no")</f>
        <v>no</v>
      </c>
    </row>
    <row r="1142" spans="1:30" ht="19.5" customHeight="1" x14ac:dyDescent="0.25">
      <c r="A1142" s="8" t="s">
        <v>1852</v>
      </c>
      <c r="B1142" s="8" t="b">
        <v>0</v>
      </c>
      <c r="C1142" s="8">
        <v>30</v>
      </c>
      <c r="D1142" s="151">
        <v>0</v>
      </c>
      <c r="E1142" s="151"/>
      <c r="F1142" s="24">
        <v>0</v>
      </c>
      <c r="G1142" s="30">
        <v>45303</v>
      </c>
      <c r="H1142" s="81" t="s">
        <v>387</v>
      </c>
      <c r="I1142" s="30">
        <v>45303</v>
      </c>
      <c r="J1142" s="16" t="s">
        <v>441</v>
      </c>
      <c r="K1142" s="9" t="s">
        <v>1530</v>
      </c>
      <c r="L1142" s="9"/>
      <c r="M1142" s="152">
        <v>129083</v>
      </c>
      <c r="N1142" s="153">
        <v>0</v>
      </c>
      <c r="O1142" s="152">
        <v>0</v>
      </c>
      <c r="P1142" s="154">
        <v>0</v>
      </c>
      <c r="Q1142" s="152">
        <v>0</v>
      </c>
      <c r="R1142" s="9">
        <v>129083</v>
      </c>
      <c r="S1142" s="21" t="s">
        <v>1846</v>
      </c>
      <c r="T1142" s="117">
        <v>0</v>
      </c>
      <c r="U1142" s="117">
        <v>0</v>
      </c>
      <c r="V1142" s="117">
        <v>2024</v>
      </c>
      <c r="W1142" s="117">
        <v>7</v>
      </c>
      <c r="X1142" s="117">
        <v>0</v>
      </c>
      <c r="Y1142" s="117">
        <v>0</v>
      </c>
      <c r="Z1142" s="21" t="b">
        <v>1</v>
      </c>
      <c r="AA1142" s="162">
        <f>+$AD$5-Tabla2[[#This Row],[FECHA DE FACTURACIÓN]]</f>
        <v>140</v>
      </c>
      <c r="AB1142" s="163" t="str">
        <f>+IF(Tabla2[[#This Row],[dias de credito]]&gt;=Tabla2[[#This Row],[PLAZO Días]],"venc", "No venc")</f>
        <v>venc</v>
      </c>
      <c r="AC1142" s="163" t="str">
        <f>+IF(Tabla2[[#This Row],[FECHA DE PAGO]]&gt;0,"pagada","por pagar")</f>
        <v>pagada</v>
      </c>
      <c r="AD1142" s="164" t="str">
        <f>+IF(AND(Tabla2[[#This Row],[venc]]="venc",Tabla2[[#This Row],[estado pago]]="por pagar"),"vencida","no")</f>
        <v>no</v>
      </c>
    </row>
    <row r="1143" spans="1:30" ht="19.5" hidden="1" customHeight="1" x14ac:dyDescent="0.25">
      <c r="A1143" s="8" t="s">
        <v>1850</v>
      </c>
      <c r="B1143" s="8" t="b">
        <v>0</v>
      </c>
      <c r="C1143" s="8">
        <v>30</v>
      </c>
      <c r="D1143" s="151">
        <v>0</v>
      </c>
      <c r="E1143" s="151"/>
      <c r="F1143" s="24" t="s">
        <v>84</v>
      </c>
      <c r="G1143" s="30">
        <v>45304</v>
      </c>
      <c r="H1143" s="81" t="s">
        <v>466</v>
      </c>
      <c r="I1143" s="30">
        <v>45289</v>
      </c>
      <c r="J1143" s="16" t="s">
        <v>1386</v>
      </c>
      <c r="K1143" s="9" t="s">
        <v>1530</v>
      </c>
      <c r="L1143" s="9"/>
      <c r="M1143" s="152">
        <v>759000</v>
      </c>
      <c r="N1143" s="153">
        <v>0</v>
      </c>
      <c r="O1143" s="152">
        <v>0</v>
      </c>
      <c r="P1143" s="154">
        <v>0</v>
      </c>
      <c r="Q1143" s="152">
        <v>0</v>
      </c>
      <c r="R1143" s="9">
        <v>759000</v>
      </c>
      <c r="S1143" s="21" t="s">
        <v>1846</v>
      </c>
      <c r="T1143" s="117">
        <v>0</v>
      </c>
      <c r="U1143" s="117">
        <v>0</v>
      </c>
      <c r="V1143" s="117">
        <v>2023</v>
      </c>
      <c r="W1143" s="117">
        <v>6</v>
      </c>
      <c r="X1143" s="117">
        <v>0</v>
      </c>
      <c r="Y1143" s="117">
        <v>0</v>
      </c>
      <c r="Z1143" s="21" t="b">
        <v>0</v>
      </c>
      <c r="AA1143" s="162">
        <f>+$AD$5-Tabla2[[#This Row],[FECHA DE FACTURACIÓN]]</f>
        <v>154</v>
      </c>
      <c r="AB1143" s="163" t="str">
        <f>+IF(Tabla2[[#This Row],[dias de credito]]&gt;=Tabla2[[#This Row],[PLAZO Días]],"venc", "No venc")</f>
        <v>venc</v>
      </c>
      <c r="AC1143" s="163" t="str">
        <f>+IF(Tabla2[[#This Row],[FECHA DE PAGO]]&gt;0,"pagada","por pagar")</f>
        <v>pagada</v>
      </c>
      <c r="AD1143" s="164" t="str">
        <f>+IF(AND(Tabla2[[#This Row],[venc]]="venc",Tabla2[[#This Row],[estado pago]]="por pagar"),"vencida","no")</f>
        <v>no</v>
      </c>
    </row>
    <row r="1144" spans="1:30" ht="19.5" customHeight="1" x14ac:dyDescent="0.25">
      <c r="A1144" s="8" t="s">
        <v>1852</v>
      </c>
      <c r="B1144" s="8" t="b">
        <v>0</v>
      </c>
      <c r="C1144" s="8">
        <v>30</v>
      </c>
      <c r="D1144" s="151">
        <v>1350000</v>
      </c>
      <c r="E1144" s="151"/>
      <c r="F1144" s="24" t="s">
        <v>84</v>
      </c>
      <c r="G1144" s="30">
        <v>45304</v>
      </c>
      <c r="H1144" s="81" t="s">
        <v>1807</v>
      </c>
      <c r="I1144" s="30">
        <v>45304</v>
      </c>
      <c r="J1144" s="16" t="s">
        <v>1443</v>
      </c>
      <c r="K1144" s="9" t="s">
        <v>1530</v>
      </c>
      <c r="L1144" s="9"/>
      <c r="M1144" s="152">
        <v>720000</v>
      </c>
      <c r="N1144" s="153">
        <v>0</v>
      </c>
      <c r="O1144" s="152">
        <v>0</v>
      </c>
      <c r="P1144" s="154">
        <v>0</v>
      </c>
      <c r="Q1144" s="152">
        <v>0</v>
      </c>
      <c r="R1144" s="9">
        <v>720000</v>
      </c>
      <c r="S1144" s="21" t="s">
        <v>1846</v>
      </c>
      <c r="T1144" s="117">
        <v>0</v>
      </c>
      <c r="U1144" s="117">
        <v>0</v>
      </c>
      <c r="V1144" s="117">
        <v>2024</v>
      </c>
      <c r="W1144" s="117">
        <v>7</v>
      </c>
      <c r="X1144" s="117">
        <v>0</v>
      </c>
      <c r="Y1144" s="117">
        <v>0</v>
      </c>
      <c r="Z1144" s="21" t="b">
        <v>0</v>
      </c>
      <c r="AA1144" s="162">
        <f>+$AD$5-Tabla2[[#This Row],[FECHA DE FACTURACIÓN]]</f>
        <v>139</v>
      </c>
      <c r="AB1144" s="163" t="str">
        <f>+IF(Tabla2[[#This Row],[dias de credito]]&gt;=Tabla2[[#This Row],[PLAZO Días]],"venc", "No venc")</f>
        <v>venc</v>
      </c>
      <c r="AC1144" s="163" t="str">
        <f>+IF(Tabla2[[#This Row],[FECHA DE PAGO]]&gt;0,"pagada","por pagar")</f>
        <v>pagada</v>
      </c>
      <c r="AD1144" s="164" t="str">
        <f>+IF(AND(Tabla2[[#This Row],[venc]]="venc",Tabla2[[#This Row],[estado pago]]="por pagar"),"vencida","no")</f>
        <v>no</v>
      </c>
    </row>
    <row r="1145" spans="1:30" ht="19.5" customHeight="1" x14ac:dyDescent="0.25">
      <c r="A1145" s="8" t="s">
        <v>1852</v>
      </c>
      <c r="B1145" s="8" t="b">
        <v>0</v>
      </c>
      <c r="C1145" s="8">
        <v>30</v>
      </c>
      <c r="D1145" s="151">
        <v>0</v>
      </c>
      <c r="E1145" s="151"/>
      <c r="F1145" s="24" t="s">
        <v>84</v>
      </c>
      <c r="G1145" s="30">
        <v>45306</v>
      </c>
      <c r="H1145" s="81" t="s">
        <v>525</v>
      </c>
      <c r="I1145" s="30">
        <v>45306</v>
      </c>
      <c r="J1145" s="16" t="s">
        <v>1445</v>
      </c>
      <c r="K1145" s="9" t="s">
        <v>1530</v>
      </c>
      <c r="L1145" s="9"/>
      <c r="M1145" s="152">
        <v>462000</v>
      </c>
      <c r="N1145" s="153">
        <v>0</v>
      </c>
      <c r="O1145" s="152">
        <v>0</v>
      </c>
      <c r="P1145" s="154">
        <v>0</v>
      </c>
      <c r="Q1145" s="152">
        <v>0</v>
      </c>
      <c r="R1145" s="9">
        <v>462000</v>
      </c>
      <c r="S1145" s="21" t="s">
        <v>1846</v>
      </c>
      <c r="T1145" s="117">
        <v>0</v>
      </c>
      <c r="U1145" s="117">
        <v>0</v>
      </c>
      <c r="V1145" s="117">
        <v>2024</v>
      </c>
      <c r="W1145" s="117">
        <v>7</v>
      </c>
      <c r="X1145" s="117">
        <v>0</v>
      </c>
      <c r="Y1145" s="117">
        <v>0</v>
      </c>
      <c r="Z1145" s="21" t="b">
        <v>0</v>
      </c>
      <c r="AA1145" s="162">
        <f>+$AD$5-Tabla2[[#This Row],[FECHA DE FACTURACIÓN]]</f>
        <v>137</v>
      </c>
      <c r="AB1145" s="163" t="str">
        <f>+IF(Tabla2[[#This Row],[dias de credito]]&gt;=Tabla2[[#This Row],[PLAZO Días]],"venc", "No venc")</f>
        <v>venc</v>
      </c>
      <c r="AC1145" s="163" t="str">
        <f>+IF(Tabla2[[#This Row],[FECHA DE PAGO]]&gt;0,"pagada","por pagar")</f>
        <v>pagada</v>
      </c>
      <c r="AD1145" s="164" t="str">
        <f>+IF(AND(Tabla2[[#This Row],[venc]]="venc",Tabla2[[#This Row],[estado pago]]="por pagar"),"vencida","no")</f>
        <v>no</v>
      </c>
    </row>
    <row r="1146" spans="1:30" ht="19.5" customHeight="1" x14ac:dyDescent="0.25">
      <c r="A1146" s="8" t="s">
        <v>1852</v>
      </c>
      <c r="B1146" s="8" t="b">
        <v>0</v>
      </c>
      <c r="C1146" s="8">
        <v>30</v>
      </c>
      <c r="D1146" s="151">
        <v>0</v>
      </c>
      <c r="E1146" s="151"/>
      <c r="F1146" s="24" t="s">
        <v>84</v>
      </c>
      <c r="G1146" s="30">
        <v>45306</v>
      </c>
      <c r="H1146" s="81" t="s">
        <v>1824</v>
      </c>
      <c r="I1146" s="30">
        <v>45306</v>
      </c>
      <c r="J1146" s="16"/>
      <c r="K1146" s="9" t="s">
        <v>1530</v>
      </c>
      <c r="L1146" s="9"/>
      <c r="M1146" s="152">
        <v>1000000</v>
      </c>
      <c r="N1146" s="153">
        <v>0</v>
      </c>
      <c r="O1146" s="152">
        <v>0</v>
      </c>
      <c r="P1146" s="154">
        <v>0</v>
      </c>
      <c r="Q1146" s="152">
        <v>0</v>
      </c>
      <c r="R1146" s="9">
        <v>1000000</v>
      </c>
      <c r="S1146" s="21" t="s">
        <v>1846</v>
      </c>
      <c r="T1146" s="117">
        <v>0</v>
      </c>
      <c r="U1146" s="117">
        <v>0</v>
      </c>
      <c r="V1146" s="117">
        <v>2024</v>
      </c>
      <c r="W1146" s="117">
        <v>7</v>
      </c>
      <c r="X1146" s="117">
        <v>0</v>
      </c>
      <c r="Y1146" s="117">
        <v>0</v>
      </c>
      <c r="Z1146" s="21" t="b">
        <v>0</v>
      </c>
      <c r="AA1146" s="162">
        <f>+$AD$5-Tabla2[[#This Row],[FECHA DE FACTURACIÓN]]</f>
        <v>137</v>
      </c>
      <c r="AB1146" s="163" t="str">
        <f>+IF(Tabla2[[#This Row],[dias de credito]]&gt;=Tabla2[[#This Row],[PLAZO Días]],"venc", "No venc")</f>
        <v>venc</v>
      </c>
      <c r="AC1146" s="163" t="str">
        <f>+IF(Tabla2[[#This Row],[FECHA DE PAGO]]&gt;0,"pagada","por pagar")</f>
        <v>pagada</v>
      </c>
      <c r="AD1146" s="164" t="str">
        <f>+IF(AND(Tabla2[[#This Row],[venc]]="venc",Tabla2[[#This Row],[estado pago]]="por pagar"),"vencida","no")</f>
        <v>no</v>
      </c>
    </row>
    <row r="1147" spans="1:30" ht="19.5" customHeight="1" x14ac:dyDescent="0.25">
      <c r="A1147" s="8" t="s">
        <v>1850</v>
      </c>
      <c r="B1147" s="8" t="b">
        <v>0</v>
      </c>
      <c r="C1147" s="8">
        <v>30</v>
      </c>
      <c r="D1147" s="151">
        <v>0</v>
      </c>
      <c r="E1147" s="151"/>
      <c r="F1147" s="24" t="s">
        <v>84</v>
      </c>
      <c r="G1147" s="30">
        <v>45306</v>
      </c>
      <c r="H1147" s="81" t="s">
        <v>481</v>
      </c>
      <c r="I1147" s="30">
        <v>45307</v>
      </c>
      <c r="J1147" s="16" t="s">
        <v>1439</v>
      </c>
      <c r="K1147" s="9" t="s">
        <v>1530</v>
      </c>
      <c r="L1147" s="9"/>
      <c r="M1147" s="152">
        <v>2717000</v>
      </c>
      <c r="N1147" s="153">
        <v>0</v>
      </c>
      <c r="O1147" s="152">
        <v>0</v>
      </c>
      <c r="P1147" s="154">
        <v>0</v>
      </c>
      <c r="Q1147" s="152">
        <v>0</v>
      </c>
      <c r="R1147" s="9">
        <v>2717000</v>
      </c>
      <c r="S1147" s="21" t="s">
        <v>1846</v>
      </c>
      <c r="T1147" s="117">
        <v>0</v>
      </c>
      <c r="U1147" s="117">
        <v>0</v>
      </c>
      <c r="V1147" s="117">
        <v>2024</v>
      </c>
      <c r="W1147" s="117">
        <v>7</v>
      </c>
      <c r="X1147" s="117">
        <v>0</v>
      </c>
      <c r="Y1147" s="117">
        <v>0</v>
      </c>
      <c r="Z1147" s="21" t="b">
        <v>0</v>
      </c>
      <c r="AA1147" s="162">
        <f>+$AD$5-Tabla2[[#This Row],[FECHA DE FACTURACIÓN]]</f>
        <v>136</v>
      </c>
      <c r="AB1147" s="163" t="str">
        <f>+IF(Tabla2[[#This Row],[dias de credito]]&gt;=Tabla2[[#This Row],[PLAZO Días]],"venc", "No venc")</f>
        <v>venc</v>
      </c>
      <c r="AC1147" s="163" t="str">
        <f>+IF(Tabla2[[#This Row],[FECHA DE PAGO]]&gt;0,"pagada","por pagar")</f>
        <v>pagada</v>
      </c>
      <c r="AD1147" s="164" t="str">
        <f>+IF(AND(Tabla2[[#This Row],[venc]]="venc",Tabla2[[#This Row],[estado pago]]="por pagar"),"vencida","no")</f>
        <v>no</v>
      </c>
    </row>
    <row r="1148" spans="1:30" ht="19.5" hidden="1" customHeight="1" x14ac:dyDescent="0.25">
      <c r="A1148" s="8" t="s">
        <v>1850</v>
      </c>
      <c r="B1148" s="8" t="s">
        <v>1851</v>
      </c>
      <c r="C1148" s="8">
        <v>30</v>
      </c>
      <c r="D1148" s="151">
        <v>1776037.21</v>
      </c>
      <c r="E1148" s="151"/>
      <c r="F1148" s="24" t="s">
        <v>148</v>
      </c>
      <c r="G1148" s="30">
        <v>45307</v>
      </c>
      <c r="H1148" s="81" t="s">
        <v>17</v>
      </c>
      <c r="I1148" s="30">
        <v>45231</v>
      </c>
      <c r="J1148" s="16" t="s">
        <v>1428</v>
      </c>
      <c r="K1148" s="9" t="s">
        <v>1530</v>
      </c>
      <c r="L1148" s="9"/>
      <c r="M1148" s="152">
        <v>138397.19</v>
      </c>
      <c r="N1148" s="153">
        <v>26295.466100000001</v>
      </c>
      <c r="O1148" s="152">
        <v>0</v>
      </c>
      <c r="P1148" s="154">
        <v>0</v>
      </c>
      <c r="Q1148" s="152">
        <v>0</v>
      </c>
      <c r="R1148" s="9">
        <v>164692.65609999999</v>
      </c>
      <c r="S1148" s="21" t="s">
        <v>1846</v>
      </c>
      <c r="T1148" s="117">
        <v>0</v>
      </c>
      <c r="U1148" s="117">
        <v>0</v>
      </c>
      <c r="V1148" s="117">
        <v>2023</v>
      </c>
      <c r="W1148" s="117">
        <v>6</v>
      </c>
      <c r="X1148" s="117">
        <v>0</v>
      </c>
      <c r="Y1148" s="117">
        <v>0</v>
      </c>
      <c r="Z1148" s="21" t="b">
        <v>0</v>
      </c>
      <c r="AA1148" s="162">
        <f>+$AD$5-Tabla2[[#This Row],[FECHA DE FACTURACIÓN]]</f>
        <v>212</v>
      </c>
      <c r="AB1148" s="163" t="str">
        <f>+IF(Tabla2[[#This Row],[dias de credito]]&gt;=Tabla2[[#This Row],[PLAZO Días]],"venc", "No venc")</f>
        <v>venc</v>
      </c>
      <c r="AC1148" s="163" t="str">
        <f>+IF(Tabla2[[#This Row],[FECHA DE PAGO]]&gt;0,"pagada","por pagar")</f>
        <v>pagada</v>
      </c>
      <c r="AD1148" s="164" t="str">
        <f>+IF(AND(Tabla2[[#This Row],[venc]]="venc",Tabla2[[#This Row],[estado pago]]="por pagar"),"vencida","no")</f>
        <v>no</v>
      </c>
    </row>
    <row r="1149" spans="1:30" ht="19.5" hidden="1" customHeight="1" x14ac:dyDescent="0.25">
      <c r="A1149" s="8" t="s">
        <v>1850</v>
      </c>
      <c r="B1149" s="8" t="b">
        <v>0</v>
      </c>
      <c r="C1149" s="8">
        <v>30</v>
      </c>
      <c r="D1149" s="151">
        <v>1776037.21</v>
      </c>
      <c r="E1149" s="151"/>
      <c r="F1149" s="24" t="s">
        <v>148</v>
      </c>
      <c r="G1149" s="30">
        <v>45307</v>
      </c>
      <c r="H1149" s="81" t="s">
        <v>17</v>
      </c>
      <c r="I1149" s="30">
        <v>45279</v>
      </c>
      <c r="J1149" s="16" t="s">
        <v>1354</v>
      </c>
      <c r="K1149" s="9" t="s">
        <v>1530</v>
      </c>
      <c r="L1149" s="9"/>
      <c r="M1149" s="152">
        <v>1106631</v>
      </c>
      <c r="N1149" s="153">
        <v>210259.89</v>
      </c>
      <c r="O1149" s="152">
        <v>0</v>
      </c>
      <c r="P1149" s="154">
        <v>0</v>
      </c>
      <c r="Q1149" s="152">
        <v>0</v>
      </c>
      <c r="R1149" s="9">
        <v>1316890.8900000001</v>
      </c>
      <c r="S1149" s="21" t="s">
        <v>1846</v>
      </c>
      <c r="T1149" s="117">
        <v>0</v>
      </c>
      <c r="U1149" s="117">
        <v>0</v>
      </c>
      <c r="V1149" s="117">
        <v>2023</v>
      </c>
      <c r="W1149" s="117">
        <v>6</v>
      </c>
      <c r="X1149" s="117">
        <v>0</v>
      </c>
      <c r="Y1149" s="117">
        <v>0</v>
      </c>
      <c r="Z1149" s="21" t="b">
        <v>0</v>
      </c>
      <c r="AA1149" s="162">
        <f>+$AD$5-Tabla2[[#This Row],[FECHA DE FACTURACIÓN]]</f>
        <v>164</v>
      </c>
      <c r="AB1149" s="163" t="str">
        <f>+IF(Tabla2[[#This Row],[dias de credito]]&gt;=Tabla2[[#This Row],[PLAZO Días]],"venc", "No venc")</f>
        <v>venc</v>
      </c>
      <c r="AC1149" s="163" t="str">
        <f>+IF(Tabla2[[#This Row],[FECHA DE PAGO]]&gt;0,"pagada","por pagar")</f>
        <v>pagada</v>
      </c>
      <c r="AD1149" s="164" t="str">
        <f>+IF(AND(Tabla2[[#This Row],[venc]]="venc",Tabla2[[#This Row],[estado pago]]="por pagar"),"vencida","no")</f>
        <v>no</v>
      </c>
    </row>
    <row r="1150" spans="1:30" ht="19.5" customHeight="1" x14ac:dyDescent="0.25">
      <c r="A1150" s="8" t="s">
        <v>1850</v>
      </c>
      <c r="B1150" s="8" t="b">
        <v>0</v>
      </c>
      <c r="C1150" s="8">
        <v>30</v>
      </c>
      <c r="D1150" s="151">
        <v>0</v>
      </c>
      <c r="E1150" s="151"/>
      <c r="F1150" s="24" t="s">
        <v>253</v>
      </c>
      <c r="G1150" s="30">
        <v>45307</v>
      </c>
      <c r="H1150" s="81" t="s">
        <v>368</v>
      </c>
      <c r="I1150" s="30">
        <v>45292</v>
      </c>
      <c r="J1150" s="16" t="s">
        <v>1423</v>
      </c>
      <c r="K1150" s="9" t="s">
        <v>1530</v>
      </c>
      <c r="L1150" s="9"/>
      <c r="M1150" s="152">
        <v>992451</v>
      </c>
      <c r="N1150" s="153">
        <v>188565.69</v>
      </c>
      <c r="O1150" s="152">
        <v>0</v>
      </c>
      <c r="P1150" s="154">
        <v>0.04</v>
      </c>
      <c r="Q1150" s="152">
        <v>39698.04</v>
      </c>
      <c r="R1150" s="9">
        <v>1141318.6499999999</v>
      </c>
      <c r="S1150" s="21" t="s">
        <v>1846</v>
      </c>
      <c r="T1150" s="117">
        <v>0</v>
      </c>
      <c r="U1150" s="117">
        <v>0</v>
      </c>
      <c r="V1150" s="117">
        <v>2024</v>
      </c>
      <c r="W1150" s="117">
        <v>7</v>
      </c>
      <c r="X1150" s="117">
        <v>0</v>
      </c>
      <c r="Y1150" s="117">
        <v>0</v>
      </c>
      <c r="Z1150" s="21" t="b">
        <v>1</v>
      </c>
      <c r="AA1150" s="162">
        <f>+$AD$5-Tabla2[[#This Row],[FECHA DE FACTURACIÓN]]</f>
        <v>151</v>
      </c>
      <c r="AB1150" s="163" t="str">
        <f>+IF(Tabla2[[#This Row],[dias de credito]]&gt;=Tabla2[[#This Row],[PLAZO Días]],"venc", "No venc")</f>
        <v>venc</v>
      </c>
      <c r="AC1150" s="163" t="str">
        <f>+IF(Tabla2[[#This Row],[FECHA DE PAGO]]&gt;0,"pagada","por pagar")</f>
        <v>pagada</v>
      </c>
      <c r="AD1150" s="164" t="str">
        <f>+IF(AND(Tabla2[[#This Row],[venc]]="venc",Tabla2[[#This Row],[estado pago]]="por pagar"),"vencida","no")</f>
        <v>no</v>
      </c>
    </row>
    <row r="1151" spans="1:30" ht="19.5" customHeight="1" x14ac:dyDescent="0.25">
      <c r="A1151" s="8" t="s">
        <v>1850</v>
      </c>
      <c r="B1151" s="8" t="b">
        <v>0</v>
      </c>
      <c r="C1151" s="8">
        <v>30</v>
      </c>
      <c r="D1151" s="151">
        <v>0</v>
      </c>
      <c r="E1151" s="151"/>
      <c r="F1151" s="24" t="s">
        <v>1447</v>
      </c>
      <c r="G1151" s="30">
        <v>45307</v>
      </c>
      <c r="H1151" s="81" t="s">
        <v>373</v>
      </c>
      <c r="I1151" s="30">
        <v>45292</v>
      </c>
      <c r="J1151" s="16" t="s">
        <v>1425</v>
      </c>
      <c r="K1151" s="9" t="s">
        <v>1530</v>
      </c>
      <c r="L1151" s="9"/>
      <c r="M1151" s="152">
        <v>2202761</v>
      </c>
      <c r="N1151" s="153">
        <v>0</v>
      </c>
      <c r="O1151" s="152">
        <v>0</v>
      </c>
      <c r="P1151" s="154">
        <v>0</v>
      </c>
      <c r="Q1151" s="152">
        <v>0</v>
      </c>
      <c r="R1151" s="9">
        <v>2202761</v>
      </c>
      <c r="S1151" s="21" t="s">
        <v>1846</v>
      </c>
      <c r="T1151" s="117">
        <v>0</v>
      </c>
      <c r="U1151" s="117">
        <v>0</v>
      </c>
      <c r="V1151" s="117">
        <v>2024</v>
      </c>
      <c r="W1151" s="117">
        <v>7</v>
      </c>
      <c r="X1151" s="117">
        <v>0</v>
      </c>
      <c r="Y1151" s="117">
        <v>0</v>
      </c>
      <c r="Z1151" s="21" t="b">
        <v>1</v>
      </c>
      <c r="AA1151" s="162">
        <f>+$AD$5-Tabla2[[#This Row],[FECHA DE FACTURACIÓN]]</f>
        <v>151</v>
      </c>
      <c r="AB1151" s="163" t="str">
        <f>+IF(Tabla2[[#This Row],[dias de credito]]&gt;=Tabla2[[#This Row],[PLAZO Días]],"venc", "No venc")</f>
        <v>venc</v>
      </c>
      <c r="AC1151" s="163" t="str">
        <f>+IF(Tabla2[[#This Row],[FECHA DE PAGO]]&gt;0,"pagada","por pagar")</f>
        <v>pagada</v>
      </c>
      <c r="AD1151" s="164" t="str">
        <f>+IF(AND(Tabla2[[#This Row],[venc]]="venc",Tabla2[[#This Row],[estado pago]]="por pagar"),"vencida","no")</f>
        <v>no</v>
      </c>
    </row>
    <row r="1152" spans="1:30" ht="19.5" customHeight="1" x14ac:dyDescent="0.25">
      <c r="A1152" s="8" t="s">
        <v>1850</v>
      </c>
      <c r="B1152" s="8" t="b">
        <v>0</v>
      </c>
      <c r="C1152" s="8">
        <v>30</v>
      </c>
      <c r="D1152" s="151">
        <v>0</v>
      </c>
      <c r="E1152" s="151"/>
      <c r="F1152" s="24" t="s">
        <v>268</v>
      </c>
      <c r="G1152" s="30">
        <v>45307</v>
      </c>
      <c r="H1152" s="81" t="s">
        <v>376</v>
      </c>
      <c r="I1152" s="30">
        <v>45292</v>
      </c>
      <c r="J1152" s="16" t="s">
        <v>1399</v>
      </c>
      <c r="K1152" s="9" t="s">
        <v>1530</v>
      </c>
      <c r="L1152" s="9"/>
      <c r="M1152" s="152">
        <v>363203</v>
      </c>
      <c r="N1152" s="153">
        <v>0</v>
      </c>
      <c r="O1152" s="152">
        <v>0</v>
      </c>
      <c r="P1152" s="154">
        <v>0</v>
      </c>
      <c r="Q1152" s="152">
        <v>0</v>
      </c>
      <c r="R1152" s="9">
        <v>363203</v>
      </c>
      <c r="S1152" s="21" t="s">
        <v>1846</v>
      </c>
      <c r="T1152" s="117">
        <v>0</v>
      </c>
      <c r="U1152" s="117">
        <v>0</v>
      </c>
      <c r="V1152" s="117">
        <v>2024</v>
      </c>
      <c r="W1152" s="117">
        <v>7</v>
      </c>
      <c r="X1152" s="117">
        <v>0</v>
      </c>
      <c r="Y1152" s="117">
        <v>0</v>
      </c>
      <c r="Z1152" s="21" t="b">
        <v>1</v>
      </c>
      <c r="AA1152" s="162">
        <f>+$AD$5-Tabla2[[#This Row],[FECHA DE FACTURACIÓN]]</f>
        <v>151</v>
      </c>
      <c r="AB1152" s="163" t="str">
        <f>+IF(Tabla2[[#This Row],[dias de credito]]&gt;=Tabla2[[#This Row],[PLAZO Días]],"venc", "No venc")</f>
        <v>venc</v>
      </c>
      <c r="AC1152" s="163" t="str">
        <f>+IF(Tabla2[[#This Row],[FECHA DE PAGO]]&gt;0,"pagada","por pagar")</f>
        <v>pagada</v>
      </c>
      <c r="AD1152" s="164" t="str">
        <f>+IF(AND(Tabla2[[#This Row],[venc]]="venc",Tabla2[[#This Row],[estado pago]]="por pagar"),"vencida","no")</f>
        <v>no</v>
      </c>
    </row>
    <row r="1153" spans="1:30" ht="19.5" customHeight="1" x14ac:dyDescent="0.25">
      <c r="A1153" s="8" t="s">
        <v>1850</v>
      </c>
      <c r="B1153" s="8" t="b">
        <v>0</v>
      </c>
      <c r="C1153" s="8">
        <v>30</v>
      </c>
      <c r="D1153" s="151">
        <v>0</v>
      </c>
      <c r="E1153" s="151"/>
      <c r="F1153" s="24" t="s">
        <v>414</v>
      </c>
      <c r="G1153" s="30">
        <v>45307</v>
      </c>
      <c r="H1153" s="81" t="s">
        <v>382</v>
      </c>
      <c r="I1153" s="30">
        <v>45292</v>
      </c>
      <c r="J1153" s="16" t="s">
        <v>1430</v>
      </c>
      <c r="K1153" s="9" t="s">
        <v>1530</v>
      </c>
      <c r="L1153" s="9"/>
      <c r="M1153" s="152">
        <v>1047050</v>
      </c>
      <c r="N1153" s="153">
        <v>0</v>
      </c>
      <c r="O1153" s="152">
        <v>0</v>
      </c>
      <c r="P1153" s="154">
        <v>0</v>
      </c>
      <c r="Q1153" s="152">
        <v>0</v>
      </c>
      <c r="R1153" s="9">
        <v>1047050</v>
      </c>
      <c r="S1153" s="21" t="s">
        <v>1846</v>
      </c>
      <c r="T1153" s="117">
        <v>0</v>
      </c>
      <c r="U1153" s="117">
        <v>0</v>
      </c>
      <c r="V1153" s="117">
        <v>2024</v>
      </c>
      <c r="W1153" s="117">
        <v>7</v>
      </c>
      <c r="X1153" s="117">
        <v>0</v>
      </c>
      <c r="Y1153" s="117">
        <v>0</v>
      </c>
      <c r="Z1153" s="21" t="b">
        <v>1</v>
      </c>
      <c r="AA1153" s="162">
        <f>+$AD$5-Tabla2[[#This Row],[FECHA DE FACTURACIÓN]]</f>
        <v>151</v>
      </c>
      <c r="AB1153" s="163" t="str">
        <f>+IF(Tabla2[[#This Row],[dias de credito]]&gt;=Tabla2[[#This Row],[PLAZO Días]],"venc", "No venc")</f>
        <v>venc</v>
      </c>
      <c r="AC1153" s="163" t="str">
        <f>+IF(Tabla2[[#This Row],[FECHA DE PAGO]]&gt;0,"pagada","por pagar")</f>
        <v>pagada</v>
      </c>
      <c r="AD1153" s="164" t="str">
        <f>+IF(AND(Tabla2[[#This Row],[venc]]="venc",Tabla2[[#This Row],[estado pago]]="por pagar"),"vencida","no")</f>
        <v>no</v>
      </c>
    </row>
    <row r="1154" spans="1:30" ht="19.5" customHeight="1" x14ac:dyDescent="0.25">
      <c r="A1154" s="8" t="s">
        <v>1850</v>
      </c>
      <c r="B1154" s="8" t="b">
        <v>0</v>
      </c>
      <c r="C1154" s="8">
        <v>30</v>
      </c>
      <c r="D1154" s="151">
        <v>0</v>
      </c>
      <c r="E1154" s="151"/>
      <c r="F1154" s="24" t="s">
        <v>414</v>
      </c>
      <c r="G1154" s="30">
        <v>45307</v>
      </c>
      <c r="H1154" s="81" t="s">
        <v>382</v>
      </c>
      <c r="I1154" s="30">
        <v>45292</v>
      </c>
      <c r="J1154" s="16" t="s">
        <v>1429</v>
      </c>
      <c r="K1154" s="9" t="s">
        <v>1530</v>
      </c>
      <c r="L1154" s="9"/>
      <c r="M1154" s="152">
        <v>1024255</v>
      </c>
      <c r="N1154" s="153">
        <v>0</v>
      </c>
      <c r="O1154" s="152">
        <v>0</v>
      </c>
      <c r="P1154" s="154">
        <v>0</v>
      </c>
      <c r="Q1154" s="152">
        <v>0</v>
      </c>
      <c r="R1154" s="9">
        <v>1024255</v>
      </c>
      <c r="S1154" s="21" t="s">
        <v>1846</v>
      </c>
      <c r="T1154" s="117">
        <v>0</v>
      </c>
      <c r="U1154" s="117">
        <v>0</v>
      </c>
      <c r="V1154" s="117">
        <v>2024</v>
      </c>
      <c r="W1154" s="117">
        <v>7</v>
      </c>
      <c r="X1154" s="117">
        <v>0</v>
      </c>
      <c r="Y1154" s="117">
        <v>0</v>
      </c>
      <c r="Z1154" s="21" t="b">
        <v>1</v>
      </c>
      <c r="AA1154" s="162">
        <f>+$AD$5-Tabla2[[#This Row],[FECHA DE FACTURACIÓN]]</f>
        <v>151</v>
      </c>
      <c r="AB1154" s="163" t="str">
        <f>+IF(Tabla2[[#This Row],[dias de credito]]&gt;=Tabla2[[#This Row],[PLAZO Días]],"venc", "No venc")</f>
        <v>venc</v>
      </c>
      <c r="AC1154" s="163" t="str">
        <f>+IF(Tabla2[[#This Row],[FECHA DE PAGO]]&gt;0,"pagada","por pagar")</f>
        <v>pagada</v>
      </c>
      <c r="AD1154" s="164" t="str">
        <f>+IF(AND(Tabla2[[#This Row],[venc]]="venc",Tabla2[[#This Row],[estado pago]]="por pagar"),"vencida","no")</f>
        <v>no</v>
      </c>
    </row>
    <row r="1155" spans="1:30" ht="19.5" customHeight="1" x14ac:dyDescent="0.25">
      <c r="A1155" s="8" t="s">
        <v>1850</v>
      </c>
      <c r="B1155" s="8" t="b">
        <v>0</v>
      </c>
      <c r="C1155" s="8">
        <v>30</v>
      </c>
      <c r="D1155" s="151">
        <v>0</v>
      </c>
      <c r="E1155" s="151"/>
      <c r="F1155" s="24" t="s">
        <v>153</v>
      </c>
      <c r="G1155" s="30">
        <v>45307</v>
      </c>
      <c r="H1155" s="81" t="s">
        <v>394</v>
      </c>
      <c r="I1155" s="30">
        <v>45292</v>
      </c>
      <c r="J1155" s="16" t="s">
        <v>1427</v>
      </c>
      <c r="K1155" s="9" t="s">
        <v>1530</v>
      </c>
      <c r="L1155" s="9"/>
      <c r="M1155" s="152">
        <v>246493</v>
      </c>
      <c r="N1155" s="153">
        <v>46833.67</v>
      </c>
      <c r="O1155" s="152">
        <v>0</v>
      </c>
      <c r="P1155" s="154">
        <v>3.5000000000000003E-2</v>
      </c>
      <c r="Q1155" s="152">
        <v>8627.255000000001</v>
      </c>
      <c r="R1155" s="9">
        <v>284699.41499999998</v>
      </c>
      <c r="S1155" s="21" t="s">
        <v>1846</v>
      </c>
      <c r="T1155" s="117">
        <v>0</v>
      </c>
      <c r="U1155" s="117" t="s">
        <v>348</v>
      </c>
      <c r="V1155" s="117">
        <v>2024</v>
      </c>
      <c r="W1155" s="117">
        <v>7</v>
      </c>
      <c r="X1155" s="117">
        <v>0</v>
      </c>
      <c r="Y1155" s="117">
        <v>3.5000000000000003E-2</v>
      </c>
      <c r="Z1155" s="21" t="b">
        <v>1</v>
      </c>
      <c r="AA1155" s="162">
        <f>+$AD$5-Tabla2[[#This Row],[FECHA DE FACTURACIÓN]]</f>
        <v>151</v>
      </c>
      <c r="AB1155" s="163" t="str">
        <f>+IF(Tabla2[[#This Row],[dias de credito]]&gt;=Tabla2[[#This Row],[PLAZO Días]],"venc", "No venc")</f>
        <v>venc</v>
      </c>
      <c r="AC1155" s="163" t="str">
        <f>+IF(Tabla2[[#This Row],[FECHA DE PAGO]]&gt;0,"pagada","por pagar")</f>
        <v>pagada</v>
      </c>
      <c r="AD1155" s="164" t="str">
        <f>+IF(AND(Tabla2[[#This Row],[venc]]="venc",Tabla2[[#This Row],[estado pago]]="por pagar"),"vencida","no")</f>
        <v>no</v>
      </c>
    </row>
    <row r="1156" spans="1:30" ht="19.5" customHeight="1" x14ac:dyDescent="0.25">
      <c r="A1156" s="8" t="s">
        <v>1850</v>
      </c>
      <c r="B1156" s="8" t="s">
        <v>1851</v>
      </c>
      <c r="C1156" s="8">
        <v>13</v>
      </c>
      <c r="D1156" s="151">
        <v>0</v>
      </c>
      <c r="E1156" s="151"/>
      <c r="F1156" s="24">
        <v>0</v>
      </c>
      <c r="G1156" s="30">
        <v>45307</v>
      </c>
      <c r="H1156" s="81" t="s">
        <v>389</v>
      </c>
      <c r="I1156" s="30">
        <v>45292</v>
      </c>
      <c r="J1156" s="16"/>
      <c r="K1156" s="9" t="s">
        <v>1530</v>
      </c>
      <c r="L1156" s="9"/>
      <c r="M1156" s="152">
        <v>777310</v>
      </c>
      <c r="N1156" s="153">
        <v>0</v>
      </c>
      <c r="O1156" s="152">
        <v>0</v>
      </c>
      <c r="P1156" s="154">
        <v>0</v>
      </c>
      <c r="Q1156" s="152">
        <v>0</v>
      </c>
      <c r="R1156" s="9">
        <v>777310</v>
      </c>
      <c r="S1156" s="21" t="s">
        <v>1846</v>
      </c>
      <c r="T1156" s="117">
        <v>0</v>
      </c>
      <c r="U1156" s="117">
        <v>0</v>
      </c>
      <c r="V1156" s="117">
        <v>2024</v>
      </c>
      <c r="W1156" s="117">
        <v>7</v>
      </c>
      <c r="X1156" s="117">
        <v>0</v>
      </c>
      <c r="Y1156" s="117">
        <v>0</v>
      </c>
      <c r="Z1156" s="21" t="b">
        <v>1</v>
      </c>
      <c r="AA1156" s="162">
        <f>+$AD$5-Tabla2[[#This Row],[FECHA DE FACTURACIÓN]]</f>
        <v>151</v>
      </c>
      <c r="AB1156" s="163" t="str">
        <f>+IF(Tabla2[[#This Row],[dias de credito]]&gt;=Tabla2[[#This Row],[PLAZO Días]],"venc", "No venc")</f>
        <v>venc</v>
      </c>
      <c r="AC1156" s="163" t="str">
        <f>+IF(Tabla2[[#This Row],[FECHA DE PAGO]]&gt;0,"pagada","por pagar")</f>
        <v>pagada</v>
      </c>
      <c r="AD1156" s="164" t="str">
        <f>+IF(AND(Tabla2[[#This Row],[venc]]="venc",Tabla2[[#This Row],[estado pago]]="por pagar"),"vencida","no")</f>
        <v>no</v>
      </c>
    </row>
    <row r="1157" spans="1:30" ht="19.5" customHeight="1" x14ac:dyDescent="0.25">
      <c r="A1157" s="8" t="s">
        <v>1850</v>
      </c>
      <c r="B1157" s="8" t="b">
        <v>0</v>
      </c>
      <c r="C1157" s="8">
        <v>30</v>
      </c>
      <c r="D1157" s="151">
        <v>0</v>
      </c>
      <c r="E1157" s="151"/>
      <c r="F1157" s="24" t="s">
        <v>206</v>
      </c>
      <c r="G1157" s="30">
        <v>45307</v>
      </c>
      <c r="H1157" s="81" t="s">
        <v>380</v>
      </c>
      <c r="I1157" s="30">
        <v>45294</v>
      </c>
      <c r="J1157" s="16" t="s">
        <v>1431</v>
      </c>
      <c r="K1157" s="9" t="s">
        <v>1530</v>
      </c>
      <c r="L1157" s="9"/>
      <c r="M1157" s="152">
        <v>3456200</v>
      </c>
      <c r="N1157" s="153">
        <v>0</v>
      </c>
      <c r="O1157" s="152">
        <v>0</v>
      </c>
      <c r="P1157" s="154">
        <v>3.5000000000000003E-2</v>
      </c>
      <c r="Q1157" s="152">
        <v>120967.00000000001</v>
      </c>
      <c r="R1157" s="9">
        <v>3335233</v>
      </c>
      <c r="S1157" s="21" t="s">
        <v>1846</v>
      </c>
      <c r="T1157" s="117">
        <v>0</v>
      </c>
      <c r="U1157" s="117" t="s">
        <v>348</v>
      </c>
      <c r="V1157" s="117">
        <v>2024</v>
      </c>
      <c r="W1157" s="117">
        <v>7</v>
      </c>
      <c r="X1157" s="117">
        <v>0</v>
      </c>
      <c r="Y1157" s="117">
        <v>3.5000000000000003E-2</v>
      </c>
      <c r="Z1157" s="21" t="b">
        <v>1</v>
      </c>
      <c r="AA1157" s="162">
        <f>+$AD$5-Tabla2[[#This Row],[FECHA DE FACTURACIÓN]]</f>
        <v>149</v>
      </c>
      <c r="AB1157" s="163" t="str">
        <f>+IF(Tabla2[[#This Row],[dias de credito]]&gt;=Tabla2[[#This Row],[PLAZO Días]],"venc", "No venc")</f>
        <v>venc</v>
      </c>
      <c r="AC1157" s="163" t="str">
        <f>+IF(Tabla2[[#This Row],[FECHA DE PAGO]]&gt;0,"pagada","por pagar")</f>
        <v>pagada</v>
      </c>
      <c r="AD1157" s="164" t="str">
        <f>+IF(AND(Tabla2[[#This Row],[venc]]="venc",Tabla2[[#This Row],[estado pago]]="por pagar"),"vencida","no")</f>
        <v>no</v>
      </c>
    </row>
    <row r="1158" spans="1:30" ht="19.5" customHeight="1" x14ac:dyDescent="0.25">
      <c r="A1158" s="8" t="s">
        <v>1852</v>
      </c>
      <c r="B1158" s="8" t="b">
        <v>0</v>
      </c>
      <c r="C1158" s="8">
        <v>30</v>
      </c>
      <c r="D1158" s="151">
        <v>134000</v>
      </c>
      <c r="E1158" s="151"/>
      <c r="F1158" s="24" t="s">
        <v>192</v>
      </c>
      <c r="G1158" s="30">
        <v>45307</v>
      </c>
      <c r="H1158" s="81" t="s">
        <v>1808</v>
      </c>
      <c r="I1158" s="30">
        <v>45307</v>
      </c>
      <c r="J1158" s="16" t="s">
        <v>1437</v>
      </c>
      <c r="K1158" s="9" t="s">
        <v>1530</v>
      </c>
      <c r="L1158" s="9"/>
      <c r="M1158" s="152">
        <v>215000</v>
      </c>
      <c r="N1158" s="153">
        <v>0</v>
      </c>
      <c r="O1158" s="152">
        <v>0</v>
      </c>
      <c r="P1158" s="154">
        <v>0</v>
      </c>
      <c r="Q1158" s="152">
        <v>0</v>
      </c>
      <c r="R1158" s="9">
        <v>215000</v>
      </c>
      <c r="S1158" s="21" t="s">
        <v>1846</v>
      </c>
      <c r="T1158" s="117">
        <v>0</v>
      </c>
      <c r="U1158" s="117">
        <v>0</v>
      </c>
      <c r="V1158" s="117">
        <v>2024</v>
      </c>
      <c r="W1158" s="117">
        <v>7</v>
      </c>
      <c r="X1158" s="117">
        <v>0</v>
      </c>
      <c r="Y1158" s="117">
        <v>0</v>
      </c>
      <c r="Z1158" s="21" t="b">
        <v>0</v>
      </c>
      <c r="AA1158" s="162">
        <f>+$AD$5-Tabla2[[#This Row],[FECHA DE FACTURACIÓN]]</f>
        <v>136</v>
      </c>
      <c r="AB1158" s="163" t="str">
        <f>+IF(Tabla2[[#This Row],[dias de credito]]&gt;=Tabla2[[#This Row],[PLAZO Días]],"venc", "No venc")</f>
        <v>venc</v>
      </c>
      <c r="AC1158" s="163" t="str">
        <f>+IF(Tabla2[[#This Row],[FECHA DE PAGO]]&gt;0,"pagada","por pagar")</f>
        <v>pagada</v>
      </c>
      <c r="AD1158" s="164" t="str">
        <f>+IF(AND(Tabla2[[#This Row],[venc]]="venc",Tabla2[[#This Row],[estado pago]]="por pagar"),"vencida","no")</f>
        <v>no</v>
      </c>
    </row>
    <row r="1159" spans="1:30" ht="19.5" customHeight="1" x14ac:dyDescent="0.25">
      <c r="A1159" s="8" t="s">
        <v>1850</v>
      </c>
      <c r="B1159" s="8" t="s">
        <v>1851</v>
      </c>
      <c r="C1159" s="8">
        <v>0</v>
      </c>
      <c r="D1159" s="151">
        <v>0</v>
      </c>
      <c r="E1159" s="151"/>
      <c r="F1159" s="24" t="s">
        <v>112</v>
      </c>
      <c r="G1159" s="30">
        <v>45308</v>
      </c>
      <c r="H1159" s="81" t="s">
        <v>560</v>
      </c>
      <c r="I1159" s="30">
        <v>45307</v>
      </c>
      <c r="J1159" s="16">
        <v>2158</v>
      </c>
      <c r="K1159" s="9" t="s">
        <v>504</v>
      </c>
      <c r="L1159" s="9"/>
      <c r="M1159" s="152">
        <v>690000</v>
      </c>
      <c r="N1159" s="153">
        <v>0</v>
      </c>
      <c r="O1159" s="152">
        <v>0</v>
      </c>
      <c r="P1159" s="154">
        <v>0</v>
      </c>
      <c r="Q1159" s="152">
        <v>0</v>
      </c>
      <c r="R1159" s="9">
        <v>690000</v>
      </c>
      <c r="S1159" s="21" t="s">
        <v>1846</v>
      </c>
      <c r="T1159" s="117">
        <v>0</v>
      </c>
      <c r="U1159" s="117">
        <v>0</v>
      </c>
      <c r="V1159" s="117">
        <v>2024</v>
      </c>
      <c r="W1159" s="117">
        <v>7</v>
      </c>
      <c r="X1159" s="117">
        <v>0</v>
      </c>
      <c r="Y1159" s="117">
        <v>0</v>
      </c>
      <c r="Z1159" s="21" t="b">
        <v>1</v>
      </c>
      <c r="AA1159" s="162">
        <f>+$AD$5-Tabla2[[#This Row],[FECHA DE FACTURACIÓN]]</f>
        <v>136</v>
      </c>
      <c r="AB1159" s="163" t="str">
        <f>+IF(Tabla2[[#This Row],[dias de credito]]&gt;=Tabla2[[#This Row],[PLAZO Días]],"venc", "No venc")</f>
        <v>venc</v>
      </c>
      <c r="AC1159" s="163" t="str">
        <f>+IF(Tabla2[[#This Row],[FECHA DE PAGO]]&gt;0,"pagada","por pagar")</f>
        <v>pagada</v>
      </c>
      <c r="AD1159" s="164" t="str">
        <f>+IF(AND(Tabla2[[#This Row],[venc]]="venc",Tabla2[[#This Row],[estado pago]]="por pagar"),"vencida","no")</f>
        <v>no</v>
      </c>
    </row>
    <row r="1160" spans="1:30" ht="19.5" customHeight="1" x14ac:dyDescent="0.25">
      <c r="A1160" s="8" t="s">
        <v>1850</v>
      </c>
      <c r="B1160" s="8" t="e">
        <v>#N/A</v>
      </c>
      <c r="C1160" s="8" t="e">
        <v>#N/A</v>
      </c>
      <c r="D1160" s="151">
        <v>0</v>
      </c>
      <c r="E1160" s="151"/>
      <c r="F1160" s="24" t="e">
        <v>#N/A</v>
      </c>
      <c r="G1160" s="30">
        <v>45308</v>
      </c>
      <c r="H1160" s="81" t="s">
        <v>1873</v>
      </c>
      <c r="I1160" s="30">
        <v>45307</v>
      </c>
      <c r="J1160" s="16"/>
      <c r="K1160" s="9" t="s">
        <v>504</v>
      </c>
      <c r="L1160" s="9"/>
      <c r="M1160" s="152">
        <v>1562000</v>
      </c>
      <c r="N1160" s="153">
        <v>0</v>
      </c>
      <c r="O1160" s="152">
        <v>0</v>
      </c>
      <c r="P1160" s="154">
        <v>0</v>
      </c>
      <c r="Q1160" s="152">
        <v>0</v>
      </c>
      <c r="R1160" s="9">
        <v>1562000</v>
      </c>
      <c r="S1160" s="21" t="s">
        <v>1846</v>
      </c>
      <c r="T1160" s="117">
        <v>0</v>
      </c>
      <c r="U1160" s="117" t="e">
        <v>#N/A</v>
      </c>
      <c r="V1160" s="117">
        <v>2024</v>
      </c>
      <c r="W1160" s="117">
        <v>7</v>
      </c>
      <c r="X1160" s="117" t="e">
        <v>#N/A</v>
      </c>
      <c r="Y1160" s="117" t="e">
        <v>#N/A</v>
      </c>
      <c r="Z1160" s="21" t="b">
        <v>0</v>
      </c>
      <c r="AA1160" s="162">
        <f>+$AD$5-Tabla2[[#This Row],[FECHA DE FACTURACIÓN]]</f>
        <v>136</v>
      </c>
      <c r="AB1160" s="163" t="e">
        <f>+IF(Tabla2[[#This Row],[dias de credito]]&gt;=Tabla2[[#This Row],[PLAZO Días]],"venc", "No venc")</f>
        <v>#N/A</v>
      </c>
      <c r="AC1160" s="163" t="str">
        <f>+IF(Tabla2[[#This Row],[FECHA DE PAGO]]&gt;0,"pagada","por pagar")</f>
        <v>pagada</v>
      </c>
      <c r="AD1160" s="164" t="e">
        <f>+IF(AND(Tabla2[[#This Row],[venc]]="venc",Tabla2[[#This Row],[estado pago]]="por pagar"),"vencida","no")</f>
        <v>#N/A</v>
      </c>
    </row>
    <row r="1161" spans="1:30" ht="19.5" customHeight="1" x14ac:dyDescent="0.25">
      <c r="A1161" s="8" t="s">
        <v>1850</v>
      </c>
      <c r="B1161" s="8" t="b">
        <v>0</v>
      </c>
      <c r="C1161" s="8">
        <v>30</v>
      </c>
      <c r="D1161" s="151">
        <v>0</v>
      </c>
      <c r="E1161" s="151"/>
      <c r="F1161" s="24" t="s">
        <v>1497</v>
      </c>
      <c r="G1161" s="30">
        <v>45308</v>
      </c>
      <c r="H1161" s="81" t="s">
        <v>1865</v>
      </c>
      <c r="I1161" s="30">
        <v>45307</v>
      </c>
      <c r="J1161" s="16" t="s">
        <v>1448</v>
      </c>
      <c r="K1161" s="9" t="s">
        <v>504</v>
      </c>
      <c r="L1161" s="9"/>
      <c r="M1161" s="152">
        <v>1974686</v>
      </c>
      <c r="N1161" s="153">
        <v>0</v>
      </c>
      <c r="O1161" s="152">
        <v>0</v>
      </c>
      <c r="P1161" s="154">
        <v>0</v>
      </c>
      <c r="Q1161" s="152">
        <v>0</v>
      </c>
      <c r="R1161" s="9">
        <v>1974686</v>
      </c>
      <c r="S1161" s="21" t="s">
        <v>1846</v>
      </c>
      <c r="T1161" s="117">
        <v>0</v>
      </c>
      <c r="U1161" s="117">
        <v>0</v>
      </c>
      <c r="V1161" s="117">
        <v>2024</v>
      </c>
      <c r="W1161" s="117">
        <v>7</v>
      </c>
      <c r="X1161" s="117">
        <v>0</v>
      </c>
      <c r="Y1161" s="117">
        <v>0</v>
      </c>
      <c r="Z1161" s="21" t="b">
        <v>0</v>
      </c>
      <c r="AA1161" s="162">
        <f>+$AD$5-Tabla2[[#This Row],[FECHA DE FACTURACIÓN]]</f>
        <v>136</v>
      </c>
      <c r="AB1161" s="163" t="str">
        <f>+IF(Tabla2[[#This Row],[dias de credito]]&gt;=Tabla2[[#This Row],[PLAZO Días]],"venc", "No venc")</f>
        <v>venc</v>
      </c>
      <c r="AC1161" s="163" t="str">
        <f>+IF(Tabla2[[#This Row],[FECHA DE PAGO]]&gt;0,"pagada","por pagar")</f>
        <v>pagada</v>
      </c>
      <c r="AD1161" s="164" t="str">
        <f>+IF(AND(Tabla2[[#This Row],[venc]]="venc",Tabla2[[#This Row],[estado pago]]="por pagar"),"vencida","no")</f>
        <v>no</v>
      </c>
    </row>
    <row r="1162" spans="1:30" ht="19.5" hidden="1" customHeight="1" x14ac:dyDescent="0.25">
      <c r="A1162" s="8" t="s">
        <v>1850</v>
      </c>
      <c r="B1162" s="8" t="s">
        <v>1851</v>
      </c>
      <c r="C1162" s="8">
        <v>30</v>
      </c>
      <c r="D1162" s="151">
        <v>4466504.835</v>
      </c>
      <c r="E1162" s="151"/>
      <c r="F1162" s="24" t="s">
        <v>1553</v>
      </c>
      <c r="G1162" s="30">
        <v>45309</v>
      </c>
      <c r="H1162" s="81" t="s">
        <v>18</v>
      </c>
      <c r="I1162" s="30">
        <v>45266</v>
      </c>
      <c r="J1162" s="16" t="s">
        <v>1327</v>
      </c>
      <c r="K1162" s="9" t="s">
        <v>504</v>
      </c>
      <c r="L1162" s="9"/>
      <c r="M1162" s="152">
        <v>2050362</v>
      </c>
      <c r="N1162" s="153">
        <v>389568.78</v>
      </c>
      <c r="O1162" s="152">
        <v>0</v>
      </c>
      <c r="P1162" s="154">
        <v>2.5000000000000001E-2</v>
      </c>
      <c r="Q1162" s="152">
        <v>51259.05</v>
      </c>
      <c r="R1162" s="9">
        <v>2388671.7300000004</v>
      </c>
      <c r="S1162" s="21" t="s">
        <v>1846</v>
      </c>
      <c r="T1162" s="117">
        <v>0</v>
      </c>
      <c r="U1162" s="117" t="s">
        <v>347</v>
      </c>
      <c r="V1162" s="117">
        <v>2023</v>
      </c>
      <c r="W1162" s="117">
        <v>6</v>
      </c>
      <c r="X1162" s="117">
        <v>1145000</v>
      </c>
      <c r="Y1162" s="117">
        <v>2.5000000000000001E-2</v>
      </c>
      <c r="Z1162" s="21" t="b">
        <v>0</v>
      </c>
      <c r="AA1162" s="162">
        <f>+$AD$5-Tabla2[[#This Row],[FECHA DE FACTURACIÓN]]</f>
        <v>177</v>
      </c>
      <c r="AB1162" s="163" t="str">
        <f>+IF(Tabla2[[#This Row],[dias de credito]]&gt;=Tabla2[[#This Row],[PLAZO Días]],"venc", "No venc")</f>
        <v>venc</v>
      </c>
      <c r="AC1162" s="163" t="str">
        <f>+IF(Tabla2[[#This Row],[FECHA DE PAGO]]&gt;0,"pagada","por pagar")</f>
        <v>pagada</v>
      </c>
      <c r="AD1162" s="164" t="str">
        <f>+IF(AND(Tabla2[[#This Row],[venc]]="venc",Tabla2[[#This Row],[estado pago]]="por pagar"),"vencida","no")</f>
        <v>no</v>
      </c>
    </row>
    <row r="1163" spans="1:30" ht="19.5" hidden="1" customHeight="1" x14ac:dyDescent="0.25">
      <c r="A1163" s="8" t="s">
        <v>1850</v>
      </c>
      <c r="B1163" s="8" t="s">
        <v>1851</v>
      </c>
      <c r="C1163" s="8">
        <v>30</v>
      </c>
      <c r="D1163" s="151">
        <v>4466504.835</v>
      </c>
      <c r="E1163" s="151"/>
      <c r="F1163" s="24" t="s">
        <v>1553</v>
      </c>
      <c r="G1163" s="30">
        <v>45309</v>
      </c>
      <c r="H1163" s="81" t="s">
        <v>18</v>
      </c>
      <c r="I1163" s="30">
        <v>45266</v>
      </c>
      <c r="J1163" s="16" t="s">
        <v>1357</v>
      </c>
      <c r="K1163" s="9" t="s">
        <v>504</v>
      </c>
      <c r="L1163" s="9"/>
      <c r="M1163" s="152">
        <v>1005285</v>
      </c>
      <c r="N1163" s="153">
        <v>191004.15</v>
      </c>
      <c r="O1163" s="152">
        <v>0</v>
      </c>
      <c r="P1163" s="154">
        <v>0</v>
      </c>
      <c r="Q1163" s="152">
        <v>0</v>
      </c>
      <c r="R1163" s="9">
        <v>1196289.1499999999</v>
      </c>
      <c r="S1163" s="21" t="s">
        <v>1846</v>
      </c>
      <c r="T1163" s="117">
        <v>0</v>
      </c>
      <c r="U1163" s="117" t="s">
        <v>347</v>
      </c>
      <c r="V1163" s="117">
        <v>2023</v>
      </c>
      <c r="W1163" s="117">
        <v>6</v>
      </c>
      <c r="X1163" s="117">
        <v>1145000</v>
      </c>
      <c r="Y1163" s="117">
        <v>2.5000000000000001E-2</v>
      </c>
      <c r="Z1163" s="21" t="b">
        <v>0</v>
      </c>
      <c r="AA1163" s="162">
        <f>+$AD$5-Tabla2[[#This Row],[FECHA DE FACTURACIÓN]]</f>
        <v>177</v>
      </c>
      <c r="AB1163" s="163" t="str">
        <f>+IF(Tabla2[[#This Row],[dias de credito]]&gt;=Tabla2[[#This Row],[PLAZO Días]],"venc", "No venc")</f>
        <v>venc</v>
      </c>
      <c r="AC1163" s="163" t="str">
        <f>+IF(Tabla2[[#This Row],[FECHA DE PAGO]]&gt;0,"pagada","por pagar")</f>
        <v>pagada</v>
      </c>
      <c r="AD1163" s="164" t="str">
        <f>+IF(AND(Tabla2[[#This Row],[venc]]="venc",Tabla2[[#This Row],[estado pago]]="por pagar"),"vencida","no")</f>
        <v>no</v>
      </c>
    </row>
    <row r="1164" spans="1:30" ht="19.5" customHeight="1" x14ac:dyDescent="0.25">
      <c r="A1164" s="8" t="s">
        <v>1850</v>
      </c>
      <c r="B1164" s="8" t="b">
        <v>0</v>
      </c>
      <c r="C1164" s="8">
        <v>30</v>
      </c>
      <c r="D1164" s="151">
        <v>0</v>
      </c>
      <c r="E1164" s="151"/>
      <c r="F1164" s="24">
        <v>0</v>
      </c>
      <c r="G1164" s="30">
        <v>45309</v>
      </c>
      <c r="H1164" s="81" t="s">
        <v>836</v>
      </c>
      <c r="I1164" s="30">
        <v>45307</v>
      </c>
      <c r="J1164" s="16" t="s">
        <v>1442</v>
      </c>
      <c r="K1164" s="9" t="s">
        <v>504</v>
      </c>
      <c r="L1164" s="9"/>
      <c r="M1164" s="152">
        <v>281000</v>
      </c>
      <c r="N1164" s="153">
        <v>0</v>
      </c>
      <c r="O1164" s="152">
        <v>0</v>
      </c>
      <c r="P1164" s="154">
        <v>0</v>
      </c>
      <c r="Q1164" s="152">
        <v>0</v>
      </c>
      <c r="R1164" s="9">
        <v>281000</v>
      </c>
      <c r="S1164" s="21" t="s">
        <v>1846</v>
      </c>
      <c r="T1164" s="117">
        <v>0</v>
      </c>
      <c r="U1164" s="117">
        <v>0</v>
      </c>
      <c r="V1164" s="117">
        <v>2024</v>
      </c>
      <c r="W1164" s="117">
        <v>7</v>
      </c>
      <c r="X1164" s="117">
        <v>0</v>
      </c>
      <c r="Y1164" s="117">
        <v>0</v>
      </c>
      <c r="Z1164" s="21" t="b">
        <v>0</v>
      </c>
      <c r="AA1164" s="162">
        <f>+$AD$5-Tabla2[[#This Row],[FECHA DE FACTURACIÓN]]</f>
        <v>136</v>
      </c>
      <c r="AB1164" s="163" t="str">
        <f>+IF(Tabla2[[#This Row],[dias de credito]]&gt;=Tabla2[[#This Row],[PLAZO Días]],"venc", "No venc")</f>
        <v>venc</v>
      </c>
      <c r="AC1164" s="163" t="str">
        <f>+IF(Tabla2[[#This Row],[FECHA DE PAGO]]&gt;0,"pagada","por pagar")</f>
        <v>pagada</v>
      </c>
      <c r="AD1164" s="164" t="str">
        <f>+IF(AND(Tabla2[[#This Row],[venc]]="venc",Tabla2[[#This Row],[estado pago]]="por pagar"),"vencida","no")</f>
        <v>no</v>
      </c>
    </row>
    <row r="1165" spans="1:30" ht="19.5" customHeight="1" x14ac:dyDescent="0.25">
      <c r="A1165" s="8" t="s">
        <v>1850</v>
      </c>
      <c r="B1165" s="8" t="b">
        <v>0</v>
      </c>
      <c r="C1165" s="8">
        <v>10</v>
      </c>
      <c r="D1165" s="151">
        <v>0</v>
      </c>
      <c r="E1165" s="151"/>
      <c r="F1165" s="24" t="s">
        <v>432</v>
      </c>
      <c r="G1165" s="30">
        <v>45309</v>
      </c>
      <c r="H1165" s="81" t="s">
        <v>433</v>
      </c>
      <c r="I1165" s="30">
        <v>45307</v>
      </c>
      <c r="J1165" s="16">
        <v>3883</v>
      </c>
      <c r="K1165" s="9" t="s">
        <v>1530</v>
      </c>
      <c r="L1165" s="9"/>
      <c r="M1165" s="152">
        <v>945000</v>
      </c>
      <c r="N1165" s="153">
        <v>179550</v>
      </c>
      <c r="O1165" s="152">
        <v>0</v>
      </c>
      <c r="P1165" s="154">
        <v>0.04</v>
      </c>
      <c r="Q1165" s="152">
        <v>37800</v>
      </c>
      <c r="R1165" s="9">
        <v>1086750</v>
      </c>
      <c r="S1165" s="21" t="s">
        <v>1846</v>
      </c>
      <c r="T1165" s="117">
        <v>0</v>
      </c>
      <c r="U1165" s="117" t="s">
        <v>443</v>
      </c>
      <c r="V1165" s="117">
        <v>2024</v>
      </c>
      <c r="W1165" s="117">
        <v>7</v>
      </c>
      <c r="X1165" s="117">
        <v>188000</v>
      </c>
      <c r="Y1165" s="117">
        <v>0.04</v>
      </c>
      <c r="Z1165" s="21" t="b">
        <v>1</v>
      </c>
      <c r="AA1165" s="162">
        <f>+$AD$5-Tabla2[[#This Row],[FECHA DE FACTURACIÓN]]</f>
        <v>136</v>
      </c>
      <c r="AB1165" s="163" t="str">
        <f>+IF(Tabla2[[#This Row],[dias de credito]]&gt;=Tabla2[[#This Row],[PLAZO Días]],"venc", "No venc")</f>
        <v>venc</v>
      </c>
      <c r="AC1165" s="163" t="str">
        <f>+IF(Tabla2[[#This Row],[FECHA DE PAGO]]&gt;0,"pagada","por pagar")</f>
        <v>pagada</v>
      </c>
      <c r="AD1165" s="164" t="str">
        <f>+IF(AND(Tabla2[[#This Row],[venc]]="venc",Tabla2[[#This Row],[estado pago]]="por pagar"),"vencida","no")</f>
        <v>no</v>
      </c>
    </row>
    <row r="1166" spans="1:30" ht="19.5" customHeight="1" x14ac:dyDescent="0.25">
      <c r="A1166" s="8" t="s">
        <v>1850</v>
      </c>
      <c r="B1166" s="8" t="b">
        <v>0</v>
      </c>
      <c r="C1166" s="8">
        <v>30</v>
      </c>
      <c r="D1166" s="151">
        <v>0</v>
      </c>
      <c r="E1166" s="151"/>
      <c r="F1166" s="24" t="s">
        <v>84</v>
      </c>
      <c r="G1166" s="30">
        <v>45309</v>
      </c>
      <c r="H1166" s="81" t="s">
        <v>481</v>
      </c>
      <c r="I1166" s="30">
        <v>45308</v>
      </c>
      <c r="J1166" s="16" t="s">
        <v>1460</v>
      </c>
      <c r="K1166" s="9" t="s">
        <v>1530</v>
      </c>
      <c r="L1166" s="9"/>
      <c r="M1166" s="152">
        <v>5108000</v>
      </c>
      <c r="N1166" s="153">
        <v>0</v>
      </c>
      <c r="O1166" s="152">
        <v>0</v>
      </c>
      <c r="P1166" s="154">
        <v>0</v>
      </c>
      <c r="Q1166" s="152">
        <v>0</v>
      </c>
      <c r="R1166" s="9">
        <v>5108000</v>
      </c>
      <c r="S1166" s="21" t="s">
        <v>1846</v>
      </c>
      <c r="T1166" s="117">
        <v>0</v>
      </c>
      <c r="U1166" s="117">
        <v>0</v>
      </c>
      <c r="V1166" s="117">
        <v>2024</v>
      </c>
      <c r="W1166" s="117">
        <v>7</v>
      </c>
      <c r="X1166" s="117">
        <v>0</v>
      </c>
      <c r="Y1166" s="117">
        <v>0</v>
      </c>
      <c r="Z1166" s="21" t="b">
        <v>0</v>
      </c>
      <c r="AA1166" s="162">
        <f>+$AD$5-Tabla2[[#This Row],[FECHA DE FACTURACIÓN]]</f>
        <v>135</v>
      </c>
      <c r="AB1166" s="163" t="str">
        <f>+IF(Tabla2[[#This Row],[dias de credito]]&gt;=Tabla2[[#This Row],[PLAZO Días]],"venc", "No venc")</f>
        <v>venc</v>
      </c>
      <c r="AC1166" s="163" t="str">
        <f>+IF(Tabla2[[#This Row],[FECHA DE PAGO]]&gt;0,"pagada","por pagar")</f>
        <v>pagada</v>
      </c>
      <c r="AD1166" s="164" t="str">
        <f>+IF(AND(Tabla2[[#This Row],[venc]]="venc",Tabla2[[#This Row],[estado pago]]="por pagar"),"vencida","no")</f>
        <v>no</v>
      </c>
    </row>
    <row r="1167" spans="1:30" ht="19.5" hidden="1" customHeight="1" x14ac:dyDescent="0.25">
      <c r="A1167" s="8" t="s">
        <v>1850</v>
      </c>
      <c r="B1167" s="8" t="b">
        <v>0</v>
      </c>
      <c r="C1167" s="8">
        <v>60</v>
      </c>
      <c r="D1167" s="151">
        <v>19124998.199999999</v>
      </c>
      <c r="E1167" s="151"/>
      <c r="F1167" s="24" t="s">
        <v>184</v>
      </c>
      <c r="G1167" s="30">
        <v>45310</v>
      </c>
      <c r="H1167" s="81" t="s">
        <v>30</v>
      </c>
      <c r="I1167" s="30">
        <v>45250</v>
      </c>
      <c r="J1167" s="16" t="s">
        <v>1469</v>
      </c>
      <c r="K1167" s="9" t="s">
        <v>1530</v>
      </c>
      <c r="L1167" s="9"/>
      <c r="M1167" s="152">
        <v>98075240</v>
      </c>
      <c r="N1167" s="153">
        <v>0</v>
      </c>
      <c r="O1167" s="152">
        <v>0</v>
      </c>
      <c r="P1167" s="154">
        <v>0</v>
      </c>
      <c r="Q1167" s="152">
        <v>0</v>
      </c>
      <c r="R1167" s="9">
        <v>98075240</v>
      </c>
      <c r="S1167" s="21" t="s">
        <v>1846</v>
      </c>
      <c r="T1167" s="117">
        <v>0</v>
      </c>
      <c r="U1167" s="117">
        <v>0</v>
      </c>
      <c r="V1167" s="117">
        <v>2023</v>
      </c>
      <c r="W1167" s="117">
        <v>6</v>
      </c>
      <c r="X1167" s="117">
        <v>0</v>
      </c>
      <c r="Y1167" s="117">
        <v>0</v>
      </c>
      <c r="Z1167" s="21" t="b">
        <v>0</v>
      </c>
      <c r="AA1167" s="162">
        <f>+$AD$5-Tabla2[[#This Row],[FECHA DE FACTURACIÓN]]</f>
        <v>193</v>
      </c>
      <c r="AB1167" s="163" t="str">
        <f>+IF(Tabla2[[#This Row],[dias de credito]]&gt;=Tabla2[[#This Row],[PLAZO Días]],"venc", "No venc")</f>
        <v>venc</v>
      </c>
      <c r="AC1167" s="163" t="str">
        <f>+IF(Tabla2[[#This Row],[FECHA DE PAGO]]&gt;0,"pagada","por pagar")</f>
        <v>pagada</v>
      </c>
      <c r="AD1167" s="164" t="str">
        <f>+IF(AND(Tabla2[[#This Row],[venc]]="venc",Tabla2[[#This Row],[estado pago]]="por pagar"),"vencida","no")</f>
        <v>no</v>
      </c>
    </row>
    <row r="1168" spans="1:30" ht="19.5" hidden="1" customHeight="1" x14ac:dyDescent="0.25">
      <c r="A1168" s="8" t="s">
        <v>1850</v>
      </c>
      <c r="B1168" s="8" t="s">
        <v>1851</v>
      </c>
      <c r="C1168" s="8">
        <v>30</v>
      </c>
      <c r="D1168" s="151">
        <v>8456975.129999999</v>
      </c>
      <c r="E1168" s="151"/>
      <c r="F1168" s="24" t="s">
        <v>1476</v>
      </c>
      <c r="G1168" s="30">
        <v>45310</v>
      </c>
      <c r="H1168" s="81" t="s">
        <v>1464</v>
      </c>
      <c r="I1168" s="30">
        <v>45272</v>
      </c>
      <c r="J1168" s="16" t="s">
        <v>1362</v>
      </c>
      <c r="K1168" s="9" t="s">
        <v>1530</v>
      </c>
      <c r="L1168" s="9"/>
      <c r="M1168" s="152">
        <v>1577674</v>
      </c>
      <c r="N1168" s="153">
        <v>299758.06</v>
      </c>
      <c r="O1168" s="152">
        <v>0</v>
      </c>
      <c r="P1168" s="154">
        <v>2.5000000000000001E-2</v>
      </c>
      <c r="Q1168" s="152">
        <v>39441.850000000006</v>
      </c>
      <c r="R1168" s="9">
        <v>1837990.21</v>
      </c>
      <c r="S1168" s="21" t="s">
        <v>1846</v>
      </c>
      <c r="T1168" s="117">
        <v>0</v>
      </c>
      <c r="U1168" s="117" t="s">
        <v>347</v>
      </c>
      <c r="V1168" s="117">
        <v>2023</v>
      </c>
      <c r="W1168" s="117">
        <v>6</v>
      </c>
      <c r="X1168" s="117">
        <v>1145000</v>
      </c>
      <c r="Y1168" s="117">
        <v>2.5000000000000001E-2</v>
      </c>
      <c r="Z1168" s="21" t="b">
        <v>0</v>
      </c>
      <c r="AA1168" s="162">
        <f>+$AD$5-Tabla2[[#This Row],[FECHA DE FACTURACIÓN]]</f>
        <v>171</v>
      </c>
      <c r="AB1168" s="163" t="str">
        <f>+IF(Tabla2[[#This Row],[dias de credito]]&gt;=Tabla2[[#This Row],[PLAZO Días]],"venc", "No venc")</f>
        <v>venc</v>
      </c>
      <c r="AC1168" s="163" t="str">
        <f>+IF(Tabla2[[#This Row],[FECHA DE PAGO]]&gt;0,"pagada","por pagar")</f>
        <v>pagada</v>
      </c>
      <c r="AD1168" s="164" t="str">
        <f>+IF(AND(Tabla2[[#This Row],[venc]]="venc",Tabla2[[#This Row],[estado pago]]="por pagar"),"vencida","no")</f>
        <v>no</v>
      </c>
    </row>
    <row r="1169" spans="1:30" ht="19.5" customHeight="1" x14ac:dyDescent="0.25">
      <c r="A1169" s="8" t="s">
        <v>1852</v>
      </c>
      <c r="B1169" s="8" t="b">
        <v>0</v>
      </c>
      <c r="C1169" s="8">
        <v>10</v>
      </c>
      <c r="D1169" s="151">
        <v>0</v>
      </c>
      <c r="E1169" s="151"/>
      <c r="F1169" s="24">
        <v>0</v>
      </c>
      <c r="G1169" s="30">
        <v>45310</v>
      </c>
      <c r="H1169" s="81" t="s">
        <v>1457</v>
      </c>
      <c r="I1169" s="30">
        <v>45310</v>
      </c>
      <c r="J1169" s="16" t="s">
        <v>1458</v>
      </c>
      <c r="K1169" s="9" t="s">
        <v>1530</v>
      </c>
      <c r="L1169" s="9"/>
      <c r="M1169" s="152">
        <v>392000</v>
      </c>
      <c r="N1169" s="153">
        <v>0</v>
      </c>
      <c r="O1169" s="152">
        <v>0</v>
      </c>
      <c r="P1169" s="154">
        <v>0</v>
      </c>
      <c r="Q1169" s="152">
        <v>0</v>
      </c>
      <c r="R1169" s="9">
        <v>392000</v>
      </c>
      <c r="S1169" s="21" t="s">
        <v>1846</v>
      </c>
      <c r="T1169" s="117">
        <v>0</v>
      </c>
      <c r="U1169" s="117">
        <v>0</v>
      </c>
      <c r="V1169" s="117">
        <v>2024</v>
      </c>
      <c r="W1169" s="117">
        <v>7</v>
      </c>
      <c r="X1169" s="117">
        <v>0</v>
      </c>
      <c r="Y1169" s="117">
        <v>0</v>
      </c>
      <c r="Z1169" s="21" t="b">
        <v>0</v>
      </c>
      <c r="AA1169" s="162">
        <f>+$AD$5-Tabla2[[#This Row],[FECHA DE FACTURACIÓN]]</f>
        <v>133</v>
      </c>
      <c r="AB1169" s="163" t="str">
        <f>+IF(Tabla2[[#This Row],[dias de credito]]&gt;=Tabla2[[#This Row],[PLAZO Días]],"venc", "No venc")</f>
        <v>venc</v>
      </c>
      <c r="AC1169" s="163" t="str">
        <f>+IF(Tabla2[[#This Row],[FECHA DE PAGO]]&gt;0,"pagada","por pagar")</f>
        <v>pagada</v>
      </c>
      <c r="AD1169" s="164" t="str">
        <f>+IF(AND(Tabla2[[#This Row],[venc]]="venc",Tabla2[[#This Row],[estado pago]]="por pagar"),"vencida","no")</f>
        <v>no</v>
      </c>
    </row>
    <row r="1170" spans="1:30" ht="19.5" customHeight="1" x14ac:dyDescent="0.25">
      <c r="A1170" s="8" t="s">
        <v>1852</v>
      </c>
      <c r="B1170" s="8" t="b">
        <v>0</v>
      </c>
      <c r="C1170" s="8">
        <v>30</v>
      </c>
      <c r="D1170" s="151">
        <v>1350000</v>
      </c>
      <c r="E1170" s="151"/>
      <c r="F1170" s="24" t="s">
        <v>84</v>
      </c>
      <c r="G1170" s="30">
        <v>45311</v>
      </c>
      <c r="H1170" s="81" t="s">
        <v>1807</v>
      </c>
      <c r="I1170" s="30">
        <v>45311</v>
      </c>
      <c r="J1170" s="16"/>
      <c r="K1170" s="9" t="s">
        <v>1530</v>
      </c>
      <c r="L1170" s="9"/>
      <c r="M1170" s="152">
        <v>280000</v>
      </c>
      <c r="N1170" s="153">
        <v>0</v>
      </c>
      <c r="O1170" s="152">
        <v>0</v>
      </c>
      <c r="P1170" s="154">
        <v>0</v>
      </c>
      <c r="Q1170" s="152">
        <v>0</v>
      </c>
      <c r="R1170" s="9">
        <v>280000</v>
      </c>
      <c r="S1170" s="21" t="s">
        <v>1846</v>
      </c>
      <c r="T1170" s="117">
        <v>0</v>
      </c>
      <c r="U1170" s="117">
        <v>0</v>
      </c>
      <c r="V1170" s="117">
        <v>2024</v>
      </c>
      <c r="W1170" s="117">
        <v>7</v>
      </c>
      <c r="X1170" s="117">
        <v>0</v>
      </c>
      <c r="Y1170" s="117">
        <v>0</v>
      </c>
      <c r="Z1170" s="21" t="b">
        <v>0</v>
      </c>
      <c r="AA1170" s="162">
        <f>+$AD$5-Tabla2[[#This Row],[FECHA DE FACTURACIÓN]]</f>
        <v>132</v>
      </c>
      <c r="AB1170" s="163" t="str">
        <f>+IF(Tabla2[[#This Row],[dias de credito]]&gt;=Tabla2[[#This Row],[PLAZO Días]],"venc", "No venc")</f>
        <v>venc</v>
      </c>
      <c r="AC1170" s="163" t="str">
        <f>+IF(Tabla2[[#This Row],[FECHA DE PAGO]]&gt;0,"pagada","por pagar")</f>
        <v>pagada</v>
      </c>
      <c r="AD1170" s="164" t="str">
        <f>+IF(AND(Tabla2[[#This Row],[venc]]="venc",Tabla2[[#This Row],[estado pago]]="por pagar"),"vencida","no")</f>
        <v>no</v>
      </c>
    </row>
    <row r="1171" spans="1:30" ht="19.5" customHeight="1" x14ac:dyDescent="0.25">
      <c r="A1171" s="8" t="s">
        <v>1852</v>
      </c>
      <c r="B1171" s="8" t="b">
        <v>0</v>
      </c>
      <c r="C1171" s="8">
        <v>30</v>
      </c>
      <c r="D1171" s="151">
        <v>1350000</v>
      </c>
      <c r="E1171" s="151"/>
      <c r="F1171" s="24" t="s">
        <v>84</v>
      </c>
      <c r="G1171" s="30">
        <v>45311</v>
      </c>
      <c r="H1171" s="81" t="s">
        <v>1807</v>
      </c>
      <c r="I1171" s="30">
        <v>45311</v>
      </c>
      <c r="J1171" s="16" t="s">
        <v>1459</v>
      </c>
      <c r="K1171" s="9" t="s">
        <v>1530</v>
      </c>
      <c r="L1171" s="9"/>
      <c r="M1171" s="152">
        <v>880000</v>
      </c>
      <c r="N1171" s="153">
        <v>0</v>
      </c>
      <c r="O1171" s="152">
        <v>0</v>
      </c>
      <c r="P1171" s="154">
        <v>0</v>
      </c>
      <c r="Q1171" s="152">
        <v>0</v>
      </c>
      <c r="R1171" s="9">
        <v>880000</v>
      </c>
      <c r="S1171" s="21" t="s">
        <v>1846</v>
      </c>
      <c r="T1171" s="117">
        <v>0</v>
      </c>
      <c r="U1171" s="117">
        <v>0</v>
      </c>
      <c r="V1171" s="117">
        <v>2024</v>
      </c>
      <c r="W1171" s="117">
        <v>7</v>
      </c>
      <c r="X1171" s="117">
        <v>0</v>
      </c>
      <c r="Y1171" s="117">
        <v>0</v>
      </c>
      <c r="Z1171" s="21" t="b">
        <v>0</v>
      </c>
      <c r="AA1171" s="162">
        <f>+$AD$5-Tabla2[[#This Row],[FECHA DE FACTURACIÓN]]</f>
        <v>132</v>
      </c>
      <c r="AB1171" s="163" t="str">
        <f>+IF(Tabla2[[#This Row],[dias de credito]]&gt;=Tabla2[[#This Row],[PLAZO Días]],"venc", "No venc")</f>
        <v>venc</v>
      </c>
      <c r="AC1171" s="163" t="str">
        <f>+IF(Tabla2[[#This Row],[FECHA DE PAGO]]&gt;0,"pagada","por pagar")</f>
        <v>pagada</v>
      </c>
      <c r="AD1171" s="164" t="str">
        <f>+IF(AND(Tabla2[[#This Row],[venc]]="venc",Tabla2[[#This Row],[estado pago]]="por pagar"),"vencida","no")</f>
        <v>no</v>
      </c>
    </row>
    <row r="1172" spans="1:30" ht="19.5" customHeight="1" x14ac:dyDescent="0.25">
      <c r="A1172" s="8" t="s">
        <v>1850</v>
      </c>
      <c r="B1172" s="8" t="b">
        <v>0</v>
      </c>
      <c r="C1172" s="8">
        <v>30</v>
      </c>
      <c r="D1172" s="151">
        <v>0</v>
      </c>
      <c r="E1172" s="151"/>
      <c r="F1172" s="24" t="s">
        <v>414</v>
      </c>
      <c r="G1172" s="30">
        <v>45313</v>
      </c>
      <c r="H1172" s="81" t="s">
        <v>382</v>
      </c>
      <c r="I1172" s="30">
        <v>45323</v>
      </c>
      <c r="J1172" s="16" t="s">
        <v>1474</v>
      </c>
      <c r="K1172" s="9" t="s">
        <v>1530</v>
      </c>
      <c r="L1172" s="9"/>
      <c r="M1172" s="152">
        <v>25000</v>
      </c>
      <c r="N1172" s="153">
        <v>0</v>
      </c>
      <c r="O1172" s="152">
        <v>0</v>
      </c>
      <c r="P1172" s="154">
        <v>0</v>
      </c>
      <c r="Q1172" s="152">
        <v>0</v>
      </c>
      <c r="R1172" s="9">
        <v>25000</v>
      </c>
      <c r="S1172" s="21" t="s">
        <v>1846</v>
      </c>
      <c r="T1172" s="117">
        <v>0</v>
      </c>
      <c r="U1172" s="117">
        <v>0</v>
      </c>
      <c r="V1172" s="117">
        <v>2024</v>
      </c>
      <c r="W1172" s="117">
        <v>7</v>
      </c>
      <c r="X1172" s="117">
        <v>0</v>
      </c>
      <c r="Y1172" s="117">
        <v>0</v>
      </c>
      <c r="Z1172" s="21" t="b">
        <v>1</v>
      </c>
      <c r="AA1172" s="162">
        <f>+$AD$5-Tabla2[[#This Row],[FECHA DE FACTURACIÓN]]</f>
        <v>120</v>
      </c>
      <c r="AB1172" s="163" t="str">
        <f>+IF(Tabla2[[#This Row],[dias de credito]]&gt;=Tabla2[[#This Row],[PLAZO Días]],"venc", "No venc")</f>
        <v>venc</v>
      </c>
      <c r="AC1172" s="163" t="str">
        <f>+IF(Tabla2[[#This Row],[FECHA DE PAGO]]&gt;0,"pagada","por pagar")</f>
        <v>pagada</v>
      </c>
      <c r="AD1172" s="164" t="str">
        <f>+IF(AND(Tabla2[[#This Row],[venc]]="venc",Tabla2[[#This Row],[estado pago]]="por pagar"),"vencida","no")</f>
        <v>no</v>
      </c>
    </row>
    <row r="1173" spans="1:30" ht="19.5" hidden="1" customHeight="1" x14ac:dyDescent="0.25">
      <c r="A1173" s="8" t="s">
        <v>1850</v>
      </c>
      <c r="B1173" s="8" t="s">
        <v>1851</v>
      </c>
      <c r="C1173" s="8">
        <v>60</v>
      </c>
      <c r="D1173" s="151">
        <v>19124998.199999999</v>
      </c>
      <c r="E1173" s="151"/>
      <c r="F1173" s="24" t="s">
        <v>184</v>
      </c>
      <c r="G1173" s="30">
        <v>45314</v>
      </c>
      <c r="H1173" s="81" t="s">
        <v>30</v>
      </c>
      <c r="I1173" s="30">
        <v>45247</v>
      </c>
      <c r="J1173" s="16" t="s">
        <v>1468</v>
      </c>
      <c r="K1173" s="9" t="s">
        <v>1530</v>
      </c>
      <c r="L1173" s="9"/>
      <c r="M1173" s="152">
        <v>14553283</v>
      </c>
      <c r="N1173" s="153">
        <v>0</v>
      </c>
      <c r="O1173" s="152">
        <v>0</v>
      </c>
      <c r="P1173" s="154">
        <v>0</v>
      </c>
      <c r="Q1173" s="152">
        <v>0</v>
      </c>
      <c r="R1173" s="9">
        <v>14553283</v>
      </c>
      <c r="S1173" s="21" t="s">
        <v>1846</v>
      </c>
      <c r="T1173" s="117">
        <v>0</v>
      </c>
      <c r="U1173" s="117">
        <v>0</v>
      </c>
      <c r="V1173" s="117">
        <v>2023</v>
      </c>
      <c r="W1173" s="117">
        <v>6</v>
      </c>
      <c r="X1173" s="117">
        <v>0</v>
      </c>
      <c r="Y1173" s="117">
        <v>0</v>
      </c>
      <c r="Z1173" s="21" t="b">
        <v>0</v>
      </c>
      <c r="AA1173" s="162">
        <f>+$AD$5-Tabla2[[#This Row],[FECHA DE FACTURACIÓN]]</f>
        <v>196</v>
      </c>
      <c r="AB1173" s="163" t="str">
        <f>+IF(Tabla2[[#This Row],[dias de credito]]&gt;=Tabla2[[#This Row],[PLAZO Días]],"venc", "No venc")</f>
        <v>venc</v>
      </c>
      <c r="AC1173" s="163" t="str">
        <f>+IF(Tabla2[[#This Row],[FECHA DE PAGO]]&gt;0,"pagada","por pagar")</f>
        <v>pagada</v>
      </c>
      <c r="AD1173" s="164" t="str">
        <f>+IF(AND(Tabla2[[#This Row],[venc]]="venc",Tabla2[[#This Row],[estado pago]]="por pagar"),"vencida","no")</f>
        <v>no</v>
      </c>
    </row>
    <row r="1174" spans="1:30" ht="19.5" hidden="1" customHeight="1" x14ac:dyDescent="0.25">
      <c r="A1174" s="8" t="s">
        <v>1850</v>
      </c>
      <c r="B1174" s="8" t="s">
        <v>1851</v>
      </c>
      <c r="C1174" s="8">
        <v>60</v>
      </c>
      <c r="D1174" s="151">
        <v>0</v>
      </c>
      <c r="E1174" s="151"/>
      <c r="F1174" s="24" t="s">
        <v>399</v>
      </c>
      <c r="G1174" s="30">
        <v>45314</v>
      </c>
      <c r="H1174" s="81" t="s">
        <v>65</v>
      </c>
      <c r="I1174" s="30">
        <v>45251</v>
      </c>
      <c r="J1174" s="16" t="s">
        <v>1527</v>
      </c>
      <c r="K1174" s="9" t="s">
        <v>1530</v>
      </c>
      <c r="L1174" s="9"/>
      <c r="M1174" s="152">
        <v>8710860</v>
      </c>
      <c r="N1174" s="153">
        <v>1655063.4</v>
      </c>
      <c r="O1174" s="152">
        <v>0</v>
      </c>
      <c r="P1174" s="154">
        <v>2.5000000000000001E-2</v>
      </c>
      <c r="Q1174" s="152">
        <v>217771.5</v>
      </c>
      <c r="R1174" s="9">
        <v>10148151.9</v>
      </c>
      <c r="S1174" s="21" t="s">
        <v>1846</v>
      </c>
      <c r="T1174" s="117">
        <v>0</v>
      </c>
      <c r="U1174" s="117" t="s">
        <v>347</v>
      </c>
      <c r="V1174" s="117">
        <v>2023</v>
      </c>
      <c r="W1174" s="117">
        <v>6</v>
      </c>
      <c r="X1174" s="117">
        <v>1145000</v>
      </c>
      <c r="Y1174" s="117">
        <v>2.5000000000000001E-2</v>
      </c>
      <c r="Z1174" s="21" t="b">
        <v>0</v>
      </c>
      <c r="AA1174" s="162">
        <f>+$AD$5-Tabla2[[#This Row],[FECHA DE FACTURACIÓN]]</f>
        <v>192</v>
      </c>
      <c r="AB1174" s="163" t="str">
        <f>+IF(Tabla2[[#This Row],[dias de credito]]&gt;=Tabla2[[#This Row],[PLAZO Días]],"venc", "No venc")</f>
        <v>venc</v>
      </c>
      <c r="AC1174" s="163" t="str">
        <f>+IF(Tabla2[[#This Row],[FECHA DE PAGO]]&gt;0,"pagada","por pagar")</f>
        <v>pagada</v>
      </c>
      <c r="AD1174" s="164" t="str">
        <f>+IF(AND(Tabla2[[#This Row],[venc]]="venc",Tabla2[[#This Row],[estado pago]]="por pagar"),"vencida","no")</f>
        <v>no</v>
      </c>
    </row>
    <row r="1175" spans="1:30" ht="19.5" hidden="1" customHeight="1" x14ac:dyDescent="0.25">
      <c r="A1175" s="8" t="s">
        <v>1850</v>
      </c>
      <c r="B1175" s="8" t="b">
        <v>0</v>
      </c>
      <c r="C1175" s="8">
        <v>60</v>
      </c>
      <c r="D1175" s="151">
        <v>0</v>
      </c>
      <c r="E1175" s="151"/>
      <c r="F1175" s="24" t="s">
        <v>399</v>
      </c>
      <c r="G1175" s="30">
        <v>45314</v>
      </c>
      <c r="H1175" s="81" t="s">
        <v>65</v>
      </c>
      <c r="I1175" s="30">
        <v>45271</v>
      </c>
      <c r="J1175" s="16" t="s">
        <v>1359</v>
      </c>
      <c r="K1175" s="9" t="s">
        <v>1530</v>
      </c>
      <c r="L1175" s="9"/>
      <c r="M1175" s="152">
        <v>3963010</v>
      </c>
      <c r="N1175" s="153">
        <v>752971.9</v>
      </c>
      <c r="O1175" s="152">
        <v>0</v>
      </c>
      <c r="P1175" s="154">
        <v>2.5000000000000001E-2</v>
      </c>
      <c r="Q1175" s="152">
        <v>99075.25</v>
      </c>
      <c r="R1175" s="9">
        <v>4616906.6500000004</v>
      </c>
      <c r="S1175" s="21" t="s">
        <v>1846</v>
      </c>
      <c r="T1175" s="117">
        <v>0</v>
      </c>
      <c r="U1175" s="117" t="s">
        <v>347</v>
      </c>
      <c r="V1175" s="117">
        <v>2023</v>
      </c>
      <c r="W1175" s="117">
        <v>6</v>
      </c>
      <c r="X1175" s="117">
        <v>1145000</v>
      </c>
      <c r="Y1175" s="117">
        <v>2.5000000000000001E-2</v>
      </c>
      <c r="Z1175" s="21" t="b">
        <v>0</v>
      </c>
      <c r="AA1175" s="162">
        <f>+$AD$5-Tabla2[[#This Row],[FECHA DE FACTURACIÓN]]</f>
        <v>172</v>
      </c>
      <c r="AB1175" s="163" t="str">
        <f>+IF(Tabla2[[#This Row],[dias de credito]]&gt;=Tabla2[[#This Row],[PLAZO Días]],"venc", "No venc")</f>
        <v>venc</v>
      </c>
      <c r="AC1175" s="163" t="str">
        <f>+IF(Tabla2[[#This Row],[FECHA DE PAGO]]&gt;0,"pagada","por pagar")</f>
        <v>pagada</v>
      </c>
      <c r="AD1175" s="164" t="str">
        <f>+IF(AND(Tabla2[[#This Row],[venc]]="venc",Tabla2[[#This Row],[estado pago]]="por pagar"),"vencida","no")</f>
        <v>no</v>
      </c>
    </row>
    <row r="1176" spans="1:30" ht="19.5" hidden="1" customHeight="1" x14ac:dyDescent="0.25">
      <c r="A1176" s="8" t="s">
        <v>1850</v>
      </c>
      <c r="B1176" s="8" t="b">
        <v>0</v>
      </c>
      <c r="C1176" s="8">
        <v>60</v>
      </c>
      <c r="D1176" s="151">
        <v>0</v>
      </c>
      <c r="E1176" s="151"/>
      <c r="F1176" s="24" t="s">
        <v>399</v>
      </c>
      <c r="G1176" s="30">
        <v>45314</v>
      </c>
      <c r="H1176" s="81" t="s">
        <v>65</v>
      </c>
      <c r="I1176" s="30">
        <v>45274</v>
      </c>
      <c r="J1176" s="16" t="s">
        <v>1526</v>
      </c>
      <c r="K1176" s="9" t="s">
        <v>1530</v>
      </c>
      <c r="L1176" s="9"/>
      <c r="M1176" s="152">
        <v>10849593</v>
      </c>
      <c r="N1176" s="153">
        <v>2061422.67</v>
      </c>
      <c r="O1176" s="152">
        <v>0</v>
      </c>
      <c r="P1176" s="154">
        <v>2.5000000000000001E-2</v>
      </c>
      <c r="Q1176" s="152">
        <v>271239.82500000001</v>
      </c>
      <c r="R1176" s="9">
        <v>12639775.845000001</v>
      </c>
      <c r="S1176" s="21" t="s">
        <v>1846</v>
      </c>
      <c r="T1176" s="117">
        <v>0</v>
      </c>
      <c r="U1176" s="117" t="s">
        <v>347</v>
      </c>
      <c r="V1176" s="117">
        <v>2023</v>
      </c>
      <c r="W1176" s="117">
        <v>6</v>
      </c>
      <c r="X1176" s="117">
        <v>1145000</v>
      </c>
      <c r="Y1176" s="117">
        <v>2.5000000000000001E-2</v>
      </c>
      <c r="Z1176" s="21" t="b">
        <v>0</v>
      </c>
      <c r="AA1176" s="162">
        <f>+$AD$5-Tabla2[[#This Row],[FECHA DE FACTURACIÓN]]</f>
        <v>169</v>
      </c>
      <c r="AB1176" s="163" t="str">
        <f>+IF(Tabla2[[#This Row],[dias de credito]]&gt;=Tabla2[[#This Row],[PLAZO Días]],"venc", "No venc")</f>
        <v>venc</v>
      </c>
      <c r="AC1176" s="163" t="str">
        <f>+IF(Tabla2[[#This Row],[FECHA DE PAGO]]&gt;0,"pagada","por pagar")</f>
        <v>pagada</v>
      </c>
      <c r="AD1176" s="164" t="str">
        <f>+IF(AND(Tabla2[[#This Row],[venc]]="venc",Tabla2[[#This Row],[estado pago]]="por pagar"),"vencida","no")</f>
        <v>no</v>
      </c>
    </row>
    <row r="1177" spans="1:30" ht="19.5" customHeight="1" x14ac:dyDescent="0.25">
      <c r="A1177" s="8" t="s">
        <v>1852</v>
      </c>
      <c r="B1177" s="8" t="e">
        <v>#N/A</v>
      </c>
      <c r="C1177" s="8" t="e">
        <v>#N/A</v>
      </c>
      <c r="D1177" s="151">
        <v>560900</v>
      </c>
      <c r="E1177" s="151"/>
      <c r="F1177" s="24" t="e">
        <v>#N/A</v>
      </c>
      <c r="G1177" s="30">
        <v>45314</v>
      </c>
      <c r="H1177" s="81" t="s">
        <v>1887</v>
      </c>
      <c r="I1177" s="30">
        <v>45314</v>
      </c>
      <c r="J1177" s="16" t="s">
        <v>1483</v>
      </c>
      <c r="K1177" s="9" t="s">
        <v>1530</v>
      </c>
      <c r="L1177" s="9"/>
      <c r="M1177" s="152">
        <v>72000</v>
      </c>
      <c r="N1177" s="153">
        <v>13680</v>
      </c>
      <c r="O1177" s="152">
        <v>0</v>
      </c>
      <c r="P1177" s="154">
        <v>0</v>
      </c>
      <c r="Q1177" s="152">
        <v>0</v>
      </c>
      <c r="R1177" s="9">
        <v>85680</v>
      </c>
      <c r="S1177" s="21" t="s">
        <v>1846</v>
      </c>
      <c r="T1177" s="117">
        <v>0</v>
      </c>
      <c r="U1177" s="117" t="e">
        <v>#N/A</v>
      </c>
      <c r="V1177" s="117">
        <v>2024</v>
      </c>
      <c r="W1177" s="117">
        <v>7</v>
      </c>
      <c r="X1177" s="117" t="e">
        <v>#N/A</v>
      </c>
      <c r="Y1177" s="117" t="e">
        <v>#N/A</v>
      </c>
      <c r="Z1177" s="21" t="b">
        <v>0</v>
      </c>
      <c r="AA1177" s="162">
        <f>+$AD$5-Tabla2[[#This Row],[FECHA DE FACTURACIÓN]]</f>
        <v>129</v>
      </c>
      <c r="AB1177" s="163" t="e">
        <f>+IF(Tabla2[[#This Row],[dias de credito]]&gt;=Tabla2[[#This Row],[PLAZO Días]],"venc", "No venc")</f>
        <v>#N/A</v>
      </c>
      <c r="AC1177" s="163" t="str">
        <f>+IF(Tabla2[[#This Row],[FECHA DE PAGO]]&gt;0,"pagada","por pagar")</f>
        <v>pagada</v>
      </c>
      <c r="AD1177" s="164" t="e">
        <f>+IF(AND(Tabla2[[#This Row],[venc]]="venc",Tabla2[[#This Row],[estado pago]]="por pagar"),"vencida","no")</f>
        <v>#N/A</v>
      </c>
    </row>
    <row r="1178" spans="1:30" ht="19.5" customHeight="1" x14ac:dyDescent="0.25">
      <c r="A1178" s="8" t="s">
        <v>1852</v>
      </c>
      <c r="B1178" s="8" t="b">
        <v>0</v>
      </c>
      <c r="C1178" s="8">
        <v>30</v>
      </c>
      <c r="D1178" s="151">
        <v>0</v>
      </c>
      <c r="E1178" s="151"/>
      <c r="F1178" s="24" t="s">
        <v>84</v>
      </c>
      <c r="G1178" s="30">
        <v>45315</v>
      </c>
      <c r="H1178" s="81" t="s">
        <v>1824</v>
      </c>
      <c r="I1178" s="30">
        <v>45315</v>
      </c>
      <c r="J1178" s="16"/>
      <c r="K1178" s="9" t="s">
        <v>1530</v>
      </c>
      <c r="L1178" s="9"/>
      <c r="M1178" s="152">
        <v>1032800</v>
      </c>
      <c r="N1178" s="153">
        <v>0</v>
      </c>
      <c r="O1178" s="152">
        <v>0</v>
      </c>
      <c r="P1178" s="154">
        <v>0</v>
      </c>
      <c r="Q1178" s="152">
        <v>0</v>
      </c>
      <c r="R1178" s="9">
        <v>1032800</v>
      </c>
      <c r="S1178" s="21" t="s">
        <v>1846</v>
      </c>
      <c r="T1178" s="117">
        <v>0</v>
      </c>
      <c r="U1178" s="117">
        <v>0</v>
      </c>
      <c r="V1178" s="117">
        <v>2024</v>
      </c>
      <c r="W1178" s="117">
        <v>7</v>
      </c>
      <c r="X1178" s="117">
        <v>0</v>
      </c>
      <c r="Y1178" s="117">
        <v>0</v>
      </c>
      <c r="Z1178" s="21" t="b">
        <v>0</v>
      </c>
      <c r="AA1178" s="162">
        <f>+$AD$5-Tabla2[[#This Row],[FECHA DE FACTURACIÓN]]</f>
        <v>128</v>
      </c>
      <c r="AB1178" s="163" t="str">
        <f>+IF(Tabla2[[#This Row],[dias de credito]]&gt;=Tabla2[[#This Row],[PLAZO Días]],"venc", "No venc")</f>
        <v>venc</v>
      </c>
      <c r="AC1178" s="163" t="str">
        <f>+IF(Tabla2[[#This Row],[FECHA DE PAGO]]&gt;0,"pagada","por pagar")</f>
        <v>pagada</v>
      </c>
      <c r="AD1178" s="164" t="str">
        <f>+IF(AND(Tabla2[[#This Row],[venc]]="venc",Tabla2[[#This Row],[estado pago]]="por pagar"),"vencida","no")</f>
        <v>no</v>
      </c>
    </row>
    <row r="1179" spans="1:30" ht="19.5" customHeight="1" x14ac:dyDescent="0.25">
      <c r="A1179" s="8" t="s">
        <v>1850</v>
      </c>
      <c r="B1179" s="8" t="b">
        <v>0</v>
      </c>
      <c r="C1179" s="8">
        <v>20</v>
      </c>
      <c r="D1179" s="151">
        <v>0</v>
      </c>
      <c r="E1179" s="151"/>
      <c r="F1179" s="24">
        <v>0</v>
      </c>
      <c r="G1179" s="30">
        <v>45316</v>
      </c>
      <c r="H1179" s="81" t="s">
        <v>1825</v>
      </c>
      <c r="I1179" s="30">
        <v>45301</v>
      </c>
      <c r="J1179" s="16" t="s">
        <v>1473</v>
      </c>
      <c r="K1179" s="9" t="s">
        <v>504</v>
      </c>
      <c r="L1179" s="9"/>
      <c r="M1179" s="152">
        <v>960300</v>
      </c>
      <c r="N1179" s="153">
        <v>0</v>
      </c>
      <c r="O1179" s="152">
        <v>0</v>
      </c>
      <c r="P1179" s="154">
        <v>0</v>
      </c>
      <c r="Q1179" s="152">
        <v>0</v>
      </c>
      <c r="R1179" s="9">
        <v>960300</v>
      </c>
      <c r="S1179" s="21" t="s">
        <v>1846</v>
      </c>
      <c r="T1179" s="117">
        <v>0</v>
      </c>
      <c r="U1179" s="117">
        <v>0</v>
      </c>
      <c r="V1179" s="117">
        <v>2024</v>
      </c>
      <c r="W1179" s="117">
        <v>7</v>
      </c>
      <c r="X1179" s="117">
        <v>0</v>
      </c>
      <c r="Y1179" s="117">
        <v>0</v>
      </c>
      <c r="Z1179" s="21" t="b">
        <v>0</v>
      </c>
      <c r="AA1179" s="162">
        <f>+$AD$5-Tabla2[[#This Row],[FECHA DE FACTURACIÓN]]</f>
        <v>142</v>
      </c>
      <c r="AB1179" s="163" t="str">
        <f>+IF(Tabla2[[#This Row],[dias de credito]]&gt;=Tabla2[[#This Row],[PLAZO Días]],"venc", "No venc")</f>
        <v>venc</v>
      </c>
      <c r="AC1179" s="163" t="str">
        <f>+IF(Tabla2[[#This Row],[FECHA DE PAGO]]&gt;0,"pagada","por pagar")</f>
        <v>pagada</v>
      </c>
      <c r="AD1179" s="164" t="str">
        <f>+IF(AND(Tabla2[[#This Row],[venc]]="venc",Tabla2[[#This Row],[estado pago]]="por pagar"),"vencida","no")</f>
        <v>no</v>
      </c>
    </row>
    <row r="1180" spans="1:30" ht="19.5" customHeight="1" x14ac:dyDescent="0.25">
      <c r="A1180" s="8" t="s">
        <v>1850</v>
      </c>
      <c r="B1180" s="8" t="b">
        <v>0</v>
      </c>
      <c r="C1180" s="8">
        <v>30</v>
      </c>
      <c r="D1180" s="151">
        <v>0</v>
      </c>
      <c r="E1180" s="151"/>
      <c r="F1180" s="24" t="s">
        <v>84</v>
      </c>
      <c r="G1180" s="30">
        <v>45316</v>
      </c>
      <c r="H1180" s="81" t="s">
        <v>481</v>
      </c>
      <c r="I1180" s="30">
        <v>45315</v>
      </c>
      <c r="J1180" s="16" t="s">
        <v>1485</v>
      </c>
      <c r="K1180" s="9" t="s">
        <v>1530</v>
      </c>
      <c r="L1180" s="9"/>
      <c r="M1180" s="152">
        <v>130000</v>
      </c>
      <c r="N1180" s="153">
        <v>0</v>
      </c>
      <c r="O1180" s="152">
        <v>0</v>
      </c>
      <c r="P1180" s="154">
        <v>0</v>
      </c>
      <c r="Q1180" s="152">
        <v>0</v>
      </c>
      <c r="R1180" s="9">
        <v>130000</v>
      </c>
      <c r="S1180" s="21" t="s">
        <v>1846</v>
      </c>
      <c r="T1180" s="117">
        <v>0</v>
      </c>
      <c r="U1180" s="117">
        <v>0</v>
      </c>
      <c r="V1180" s="117">
        <v>2024</v>
      </c>
      <c r="W1180" s="117">
        <v>7</v>
      </c>
      <c r="X1180" s="117">
        <v>0</v>
      </c>
      <c r="Y1180" s="117">
        <v>0</v>
      </c>
      <c r="Z1180" s="21" t="b">
        <v>0</v>
      </c>
      <c r="AA1180" s="162">
        <f>+$AD$5-Tabla2[[#This Row],[FECHA DE FACTURACIÓN]]</f>
        <v>128</v>
      </c>
      <c r="AB1180" s="163" t="str">
        <f>+IF(Tabla2[[#This Row],[dias de credito]]&gt;=Tabla2[[#This Row],[PLAZO Días]],"venc", "No venc")</f>
        <v>venc</v>
      </c>
      <c r="AC1180" s="163" t="str">
        <f>+IF(Tabla2[[#This Row],[FECHA DE PAGO]]&gt;0,"pagada","por pagar")</f>
        <v>pagada</v>
      </c>
      <c r="AD1180" s="164" t="str">
        <f>+IF(AND(Tabla2[[#This Row],[venc]]="venc",Tabla2[[#This Row],[estado pago]]="por pagar"),"vencida","no")</f>
        <v>no</v>
      </c>
    </row>
    <row r="1181" spans="1:30" ht="19.5" hidden="1" customHeight="1" x14ac:dyDescent="0.25">
      <c r="A1181" s="8" t="s">
        <v>1850</v>
      </c>
      <c r="B1181" s="8" t="s">
        <v>1851</v>
      </c>
      <c r="C1181" s="8">
        <v>30</v>
      </c>
      <c r="D1181" s="151">
        <v>2028306.6264000002</v>
      </c>
      <c r="E1181" s="151"/>
      <c r="F1181" s="24" t="s">
        <v>1475</v>
      </c>
      <c r="G1181" s="30">
        <v>45317</v>
      </c>
      <c r="H1181" s="81" t="s">
        <v>218</v>
      </c>
      <c r="I1181" s="30">
        <v>45271</v>
      </c>
      <c r="J1181" s="16" t="s">
        <v>1326</v>
      </c>
      <c r="K1181" s="9" t="s">
        <v>1530</v>
      </c>
      <c r="L1181" s="9"/>
      <c r="M1181" s="152">
        <v>866151</v>
      </c>
      <c r="N1181" s="153">
        <v>164568.69</v>
      </c>
      <c r="O1181" s="152">
        <v>0</v>
      </c>
      <c r="P1181" s="154">
        <v>0</v>
      </c>
      <c r="Q1181" s="152">
        <v>0</v>
      </c>
      <c r="R1181" s="9">
        <v>1030719.69</v>
      </c>
      <c r="S1181" s="21" t="s">
        <v>1846</v>
      </c>
      <c r="T1181" s="117">
        <v>0</v>
      </c>
      <c r="U1181" s="117" t="s">
        <v>347</v>
      </c>
      <c r="V1181" s="117">
        <v>2023</v>
      </c>
      <c r="W1181" s="117">
        <v>6</v>
      </c>
      <c r="X1181" s="117">
        <v>1145000</v>
      </c>
      <c r="Y1181" s="117">
        <v>2.5000000000000001E-2</v>
      </c>
      <c r="Z1181" s="21" t="b">
        <v>0</v>
      </c>
      <c r="AA1181" s="162">
        <f>+$AD$5-Tabla2[[#This Row],[FECHA DE FACTURACIÓN]]</f>
        <v>172</v>
      </c>
      <c r="AB1181" s="163" t="str">
        <f>+IF(Tabla2[[#This Row],[dias de credito]]&gt;=Tabla2[[#This Row],[PLAZO Días]],"venc", "No venc")</f>
        <v>venc</v>
      </c>
      <c r="AC1181" s="163" t="str">
        <f>+IF(Tabla2[[#This Row],[FECHA DE PAGO]]&gt;0,"pagada","por pagar")</f>
        <v>pagada</v>
      </c>
      <c r="AD1181" s="164" t="str">
        <f>+IF(AND(Tabla2[[#This Row],[venc]]="venc",Tabla2[[#This Row],[estado pago]]="por pagar"),"vencida","no")</f>
        <v>no</v>
      </c>
    </row>
    <row r="1182" spans="1:30" ht="19.5" hidden="1" customHeight="1" x14ac:dyDescent="0.25">
      <c r="A1182" s="8" t="s">
        <v>1850</v>
      </c>
      <c r="B1182" s="8" t="s">
        <v>1851</v>
      </c>
      <c r="C1182" s="8">
        <v>30</v>
      </c>
      <c r="D1182" s="151">
        <v>0</v>
      </c>
      <c r="E1182" s="151"/>
      <c r="F1182" s="24">
        <v>0</v>
      </c>
      <c r="G1182" s="30">
        <v>45317</v>
      </c>
      <c r="H1182" s="81" t="s">
        <v>1170</v>
      </c>
      <c r="I1182" s="30">
        <v>45273</v>
      </c>
      <c r="J1182" s="16" t="s">
        <v>1366</v>
      </c>
      <c r="K1182" s="9" t="s">
        <v>1530</v>
      </c>
      <c r="L1182" s="9"/>
      <c r="M1182" s="152">
        <v>1355000</v>
      </c>
      <c r="N1182" s="153">
        <v>0</v>
      </c>
      <c r="O1182" s="152">
        <v>0</v>
      </c>
      <c r="P1182" s="154">
        <v>0</v>
      </c>
      <c r="Q1182" s="152">
        <v>0</v>
      </c>
      <c r="R1182" s="9">
        <v>1355000</v>
      </c>
      <c r="S1182" s="21" t="s">
        <v>1846</v>
      </c>
      <c r="T1182" s="117">
        <v>0</v>
      </c>
      <c r="U1182" s="117">
        <v>0</v>
      </c>
      <c r="V1182" s="117">
        <v>2023</v>
      </c>
      <c r="W1182" s="117">
        <v>6</v>
      </c>
      <c r="X1182" s="117">
        <v>0</v>
      </c>
      <c r="Y1182" s="117">
        <v>0</v>
      </c>
      <c r="Z1182" s="21" t="b">
        <v>0</v>
      </c>
      <c r="AA1182" s="162">
        <f>+$AD$5-Tabla2[[#This Row],[FECHA DE FACTURACIÓN]]</f>
        <v>170</v>
      </c>
      <c r="AB1182" s="163" t="str">
        <f>+IF(Tabla2[[#This Row],[dias de credito]]&gt;=Tabla2[[#This Row],[PLAZO Días]],"venc", "No venc")</f>
        <v>venc</v>
      </c>
      <c r="AC1182" s="163" t="str">
        <f>+IF(Tabla2[[#This Row],[FECHA DE PAGO]]&gt;0,"pagada","por pagar")</f>
        <v>pagada</v>
      </c>
      <c r="AD1182" s="164" t="str">
        <f>+IF(AND(Tabla2[[#This Row],[venc]]="venc",Tabla2[[#This Row],[estado pago]]="por pagar"),"vencida","no")</f>
        <v>no</v>
      </c>
    </row>
    <row r="1183" spans="1:30" ht="19.5" hidden="1" customHeight="1" x14ac:dyDescent="0.25">
      <c r="A1183" s="8" t="s">
        <v>1850</v>
      </c>
      <c r="B1183" s="8" t="s">
        <v>1851</v>
      </c>
      <c r="C1183" s="8">
        <v>30</v>
      </c>
      <c r="D1183" s="151">
        <v>0</v>
      </c>
      <c r="E1183" s="151"/>
      <c r="F1183" s="24">
        <v>0</v>
      </c>
      <c r="G1183" s="30">
        <v>45317</v>
      </c>
      <c r="H1183" s="81" t="s">
        <v>1170</v>
      </c>
      <c r="I1183" s="30">
        <v>45274</v>
      </c>
      <c r="J1183" s="16" t="s">
        <v>1365</v>
      </c>
      <c r="K1183" s="9" t="s">
        <v>1530</v>
      </c>
      <c r="L1183" s="9"/>
      <c r="M1183" s="152">
        <v>350000</v>
      </c>
      <c r="N1183" s="153">
        <v>0</v>
      </c>
      <c r="O1183" s="152">
        <v>0</v>
      </c>
      <c r="P1183" s="154">
        <v>0</v>
      </c>
      <c r="Q1183" s="152">
        <v>0</v>
      </c>
      <c r="R1183" s="9">
        <v>350000</v>
      </c>
      <c r="S1183" s="21" t="s">
        <v>1846</v>
      </c>
      <c r="T1183" s="117">
        <v>0</v>
      </c>
      <c r="U1183" s="117">
        <v>0</v>
      </c>
      <c r="V1183" s="117">
        <v>2023</v>
      </c>
      <c r="W1183" s="117">
        <v>6</v>
      </c>
      <c r="X1183" s="117">
        <v>0</v>
      </c>
      <c r="Y1183" s="117">
        <v>0</v>
      </c>
      <c r="Z1183" s="21" t="b">
        <v>0</v>
      </c>
      <c r="AA1183" s="162">
        <f>+$AD$5-Tabla2[[#This Row],[FECHA DE FACTURACIÓN]]</f>
        <v>169</v>
      </c>
      <c r="AB1183" s="163" t="str">
        <f>+IF(Tabla2[[#This Row],[dias de credito]]&gt;=Tabla2[[#This Row],[PLAZO Días]],"venc", "No venc")</f>
        <v>venc</v>
      </c>
      <c r="AC1183" s="163" t="str">
        <f>+IF(Tabla2[[#This Row],[FECHA DE PAGO]]&gt;0,"pagada","por pagar")</f>
        <v>pagada</v>
      </c>
      <c r="AD1183" s="164" t="str">
        <f>+IF(AND(Tabla2[[#This Row],[venc]]="venc",Tabla2[[#This Row],[estado pago]]="por pagar"),"vencida","no")</f>
        <v>no</v>
      </c>
    </row>
    <row r="1184" spans="1:30" ht="19.5" hidden="1" customHeight="1" x14ac:dyDescent="0.25">
      <c r="A1184" s="8" t="s">
        <v>1850</v>
      </c>
      <c r="B1184" s="8" t="s">
        <v>1851</v>
      </c>
      <c r="C1184" s="8">
        <v>30</v>
      </c>
      <c r="D1184" s="151">
        <v>2028306.6264000002</v>
      </c>
      <c r="E1184" s="151"/>
      <c r="F1184" s="24" t="s">
        <v>1475</v>
      </c>
      <c r="G1184" s="30">
        <v>45317</v>
      </c>
      <c r="H1184" s="81" t="s">
        <v>218</v>
      </c>
      <c r="I1184" s="30">
        <v>45274</v>
      </c>
      <c r="J1184" s="16" t="s">
        <v>1358</v>
      </c>
      <c r="K1184" s="9" t="s">
        <v>1530</v>
      </c>
      <c r="L1184" s="9"/>
      <c r="M1184" s="152">
        <v>79327</v>
      </c>
      <c r="N1184" s="153">
        <v>15072.130000000001</v>
      </c>
      <c r="O1184" s="152">
        <v>0</v>
      </c>
      <c r="P1184" s="154">
        <v>0</v>
      </c>
      <c r="Q1184" s="152">
        <v>0</v>
      </c>
      <c r="R1184" s="9">
        <v>94399.13</v>
      </c>
      <c r="S1184" s="21" t="s">
        <v>1846</v>
      </c>
      <c r="T1184" s="117">
        <v>0</v>
      </c>
      <c r="U1184" s="117" t="s">
        <v>347</v>
      </c>
      <c r="V1184" s="117">
        <v>2023</v>
      </c>
      <c r="W1184" s="117">
        <v>6</v>
      </c>
      <c r="X1184" s="117">
        <v>1145000</v>
      </c>
      <c r="Y1184" s="117">
        <v>2.5000000000000001E-2</v>
      </c>
      <c r="Z1184" s="21" t="b">
        <v>0</v>
      </c>
      <c r="AA1184" s="162">
        <f>+$AD$5-Tabla2[[#This Row],[FECHA DE FACTURACIÓN]]</f>
        <v>169</v>
      </c>
      <c r="AB1184" s="163" t="str">
        <f>+IF(Tabla2[[#This Row],[dias de credito]]&gt;=Tabla2[[#This Row],[PLAZO Días]],"venc", "No venc")</f>
        <v>venc</v>
      </c>
      <c r="AC1184" s="163" t="str">
        <f>+IF(Tabla2[[#This Row],[FECHA DE PAGO]]&gt;0,"pagada","por pagar")</f>
        <v>pagada</v>
      </c>
      <c r="AD1184" s="164" t="str">
        <f>+IF(AND(Tabla2[[#This Row],[venc]]="venc",Tabla2[[#This Row],[estado pago]]="por pagar"),"vencida","no")</f>
        <v>no</v>
      </c>
    </row>
    <row r="1185" spans="1:30" ht="19.5" hidden="1" customHeight="1" x14ac:dyDescent="0.25">
      <c r="A1185" s="8" t="s">
        <v>1850</v>
      </c>
      <c r="B1185" s="8" t="s">
        <v>1851</v>
      </c>
      <c r="C1185" s="8">
        <v>30</v>
      </c>
      <c r="D1185" s="151">
        <v>4466504.835</v>
      </c>
      <c r="E1185" s="151"/>
      <c r="F1185" s="24" t="s">
        <v>1553</v>
      </c>
      <c r="G1185" s="30">
        <v>45317</v>
      </c>
      <c r="H1185" s="81" t="s">
        <v>18</v>
      </c>
      <c r="I1185" s="30">
        <v>45275</v>
      </c>
      <c r="J1185" s="16" t="s">
        <v>1356</v>
      </c>
      <c r="K1185" s="9" t="s">
        <v>504</v>
      </c>
      <c r="L1185" s="9"/>
      <c r="M1185" s="152">
        <v>5597576</v>
      </c>
      <c r="N1185" s="153">
        <v>1063539.44</v>
      </c>
      <c r="O1185" s="152">
        <v>0</v>
      </c>
      <c r="P1185" s="154">
        <v>2.5000000000000001E-2</v>
      </c>
      <c r="Q1185" s="152">
        <v>139939.4</v>
      </c>
      <c r="R1185" s="9">
        <v>6521176.0399999991</v>
      </c>
      <c r="S1185" s="21" t="s">
        <v>1846</v>
      </c>
      <c r="T1185" s="117">
        <v>0</v>
      </c>
      <c r="U1185" s="117" t="s">
        <v>347</v>
      </c>
      <c r="V1185" s="117">
        <v>2023</v>
      </c>
      <c r="W1185" s="117">
        <v>6</v>
      </c>
      <c r="X1185" s="117">
        <v>1145000</v>
      </c>
      <c r="Y1185" s="117">
        <v>2.5000000000000001E-2</v>
      </c>
      <c r="Z1185" s="21" t="b">
        <v>0</v>
      </c>
      <c r="AA1185" s="162">
        <f>+$AD$5-Tabla2[[#This Row],[FECHA DE FACTURACIÓN]]</f>
        <v>168</v>
      </c>
      <c r="AB1185" s="163" t="str">
        <f>+IF(Tabla2[[#This Row],[dias de credito]]&gt;=Tabla2[[#This Row],[PLAZO Días]],"venc", "No venc")</f>
        <v>venc</v>
      </c>
      <c r="AC1185" s="163" t="str">
        <f>+IF(Tabla2[[#This Row],[FECHA DE PAGO]]&gt;0,"pagada","por pagar")</f>
        <v>pagada</v>
      </c>
      <c r="AD1185" s="164" t="str">
        <f>+IF(AND(Tabla2[[#This Row],[venc]]="venc",Tabla2[[#This Row],[estado pago]]="por pagar"),"vencida","no")</f>
        <v>no</v>
      </c>
    </row>
    <row r="1186" spans="1:30" ht="19.5" hidden="1" customHeight="1" x14ac:dyDescent="0.25">
      <c r="A1186" s="8" t="s">
        <v>1850</v>
      </c>
      <c r="B1186" s="8" t="s">
        <v>1851</v>
      </c>
      <c r="C1186" s="8">
        <v>30</v>
      </c>
      <c r="D1186" s="151">
        <v>8456975.129999999</v>
      </c>
      <c r="E1186" s="151"/>
      <c r="F1186" s="24" t="s">
        <v>1476</v>
      </c>
      <c r="G1186" s="30">
        <v>45317</v>
      </c>
      <c r="H1186" s="81" t="s">
        <v>1464</v>
      </c>
      <c r="I1186" s="30">
        <v>45280</v>
      </c>
      <c r="J1186" s="16" t="s">
        <v>1382</v>
      </c>
      <c r="K1186" s="9" t="s">
        <v>1530</v>
      </c>
      <c r="L1186" s="9"/>
      <c r="M1186" s="152">
        <v>616355</v>
      </c>
      <c r="N1186" s="153">
        <v>117107.45</v>
      </c>
      <c r="O1186" s="152">
        <v>0</v>
      </c>
      <c r="P1186" s="154">
        <v>0</v>
      </c>
      <c r="Q1186" s="152">
        <v>0</v>
      </c>
      <c r="R1186" s="9">
        <v>733462.45</v>
      </c>
      <c r="S1186" s="21" t="s">
        <v>1846</v>
      </c>
      <c r="T1186" s="117">
        <v>0</v>
      </c>
      <c r="U1186" s="117" t="s">
        <v>347</v>
      </c>
      <c r="V1186" s="117">
        <v>2023</v>
      </c>
      <c r="W1186" s="117">
        <v>6</v>
      </c>
      <c r="X1186" s="117">
        <v>1145000</v>
      </c>
      <c r="Y1186" s="117">
        <v>2.5000000000000001E-2</v>
      </c>
      <c r="Z1186" s="21" t="b">
        <v>0</v>
      </c>
      <c r="AA1186" s="162">
        <f>+$AD$5-Tabla2[[#This Row],[FECHA DE FACTURACIÓN]]</f>
        <v>163</v>
      </c>
      <c r="AB1186" s="163" t="str">
        <f>+IF(Tabla2[[#This Row],[dias de credito]]&gt;=Tabla2[[#This Row],[PLAZO Días]],"venc", "No venc")</f>
        <v>venc</v>
      </c>
      <c r="AC1186" s="163" t="str">
        <f>+IF(Tabla2[[#This Row],[FECHA DE PAGO]]&gt;0,"pagada","por pagar")</f>
        <v>pagada</v>
      </c>
      <c r="AD1186" s="164" t="str">
        <f>+IF(AND(Tabla2[[#This Row],[venc]]="venc",Tabla2[[#This Row],[estado pago]]="por pagar"),"vencida","no")</f>
        <v>no</v>
      </c>
    </row>
    <row r="1187" spans="1:30" ht="19.5" hidden="1" customHeight="1" x14ac:dyDescent="0.25">
      <c r="A1187" s="8" t="s">
        <v>1850</v>
      </c>
      <c r="B1187" s="8" t="s">
        <v>1851</v>
      </c>
      <c r="C1187" s="8">
        <v>30</v>
      </c>
      <c r="D1187" s="151">
        <v>9950488.6799999997</v>
      </c>
      <c r="E1187" s="151"/>
      <c r="F1187" s="24" t="s">
        <v>410</v>
      </c>
      <c r="G1187" s="30">
        <v>45317</v>
      </c>
      <c r="H1187" s="81" t="s">
        <v>11</v>
      </c>
      <c r="I1187" s="30">
        <v>45280</v>
      </c>
      <c r="J1187" s="16" t="s">
        <v>1370</v>
      </c>
      <c r="K1187" s="9" t="s">
        <v>1530</v>
      </c>
      <c r="L1187" s="9"/>
      <c r="M1187" s="152">
        <v>3882361</v>
      </c>
      <c r="N1187" s="153">
        <v>737648.59</v>
      </c>
      <c r="O1187" s="152">
        <v>0</v>
      </c>
      <c r="P1187" s="154">
        <v>2.5000000000000001E-2</v>
      </c>
      <c r="Q1187" s="152">
        <v>97059.025000000009</v>
      </c>
      <c r="R1187" s="9">
        <v>4522950.5649999995</v>
      </c>
      <c r="S1187" s="21" t="s">
        <v>1846</v>
      </c>
      <c r="T1187" s="117">
        <v>0</v>
      </c>
      <c r="U1187" s="117" t="s">
        <v>347</v>
      </c>
      <c r="V1187" s="117">
        <v>2023</v>
      </c>
      <c r="W1187" s="117">
        <v>6</v>
      </c>
      <c r="X1187" s="117">
        <v>1145000</v>
      </c>
      <c r="Y1187" s="117">
        <v>2.5000000000000001E-2</v>
      </c>
      <c r="Z1187" s="21" t="b">
        <v>0</v>
      </c>
      <c r="AA1187" s="162">
        <f>+$AD$5-Tabla2[[#This Row],[FECHA DE FACTURACIÓN]]</f>
        <v>163</v>
      </c>
      <c r="AB1187" s="163" t="str">
        <f>+IF(Tabla2[[#This Row],[dias de credito]]&gt;=Tabla2[[#This Row],[PLAZO Días]],"venc", "No venc")</f>
        <v>venc</v>
      </c>
      <c r="AC1187" s="163" t="str">
        <f>+IF(Tabla2[[#This Row],[FECHA DE PAGO]]&gt;0,"pagada","por pagar")</f>
        <v>pagada</v>
      </c>
      <c r="AD1187" s="164" t="str">
        <f>+IF(AND(Tabla2[[#This Row],[venc]]="venc",Tabla2[[#This Row],[estado pago]]="por pagar"),"vencida","no")</f>
        <v>no</v>
      </c>
    </row>
    <row r="1188" spans="1:30" ht="19.5" hidden="1" customHeight="1" x14ac:dyDescent="0.25">
      <c r="A1188" s="8" t="s">
        <v>1850</v>
      </c>
      <c r="B1188" s="8" t="s">
        <v>1851</v>
      </c>
      <c r="C1188" s="8">
        <v>30</v>
      </c>
      <c r="D1188" s="151">
        <v>9950488.6799999997</v>
      </c>
      <c r="E1188" s="151"/>
      <c r="F1188" s="24" t="s">
        <v>410</v>
      </c>
      <c r="G1188" s="30">
        <v>45317</v>
      </c>
      <c r="H1188" s="81" t="s">
        <v>11</v>
      </c>
      <c r="I1188" s="30">
        <v>45280</v>
      </c>
      <c r="J1188" s="16" t="s">
        <v>1371</v>
      </c>
      <c r="K1188" s="9" t="s">
        <v>1530</v>
      </c>
      <c r="L1188" s="9"/>
      <c r="M1188" s="152">
        <v>3882361</v>
      </c>
      <c r="N1188" s="153">
        <v>737648.59</v>
      </c>
      <c r="O1188" s="152">
        <v>0</v>
      </c>
      <c r="P1188" s="154">
        <v>2.5000000000000001E-2</v>
      </c>
      <c r="Q1188" s="152">
        <v>97059.025000000009</v>
      </c>
      <c r="R1188" s="9">
        <v>4522950.5649999995</v>
      </c>
      <c r="S1188" s="21" t="s">
        <v>1846</v>
      </c>
      <c r="T1188" s="117">
        <v>0</v>
      </c>
      <c r="U1188" s="117" t="s">
        <v>347</v>
      </c>
      <c r="V1188" s="117">
        <v>2023</v>
      </c>
      <c r="W1188" s="117">
        <v>6</v>
      </c>
      <c r="X1188" s="117">
        <v>1145000</v>
      </c>
      <c r="Y1188" s="117">
        <v>2.5000000000000001E-2</v>
      </c>
      <c r="Z1188" s="21" t="b">
        <v>0</v>
      </c>
      <c r="AA1188" s="162">
        <f>+$AD$5-Tabla2[[#This Row],[FECHA DE FACTURACIÓN]]</f>
        <v>163</v>
      </c>
      <c r="AB1188" s="163" t="str">
        <f>+IF(Tabla2[[#This Row],[dias de credito]]&gt;=Tabla2[[#This Row],[PLAZO Días]],"venc", "No venc")</f>
        <v>venc</v>
      </c>
      <c r="AC1188" s="163" t="str">
        <f>+IF(Tabla2[[#This Row],[FECHA DE PAGO]]&gt;0,"pagada","por pagar")</f>
        <v>pagada</v>
      </c>
      <c r="AD1188" s="164" t="str">
        <f>+IF(AND(Tabla2[[#This Row],[venc]]="venc",Tabla2[[#This Row],[estado pago]]="por pagar"),"vencida","no")</f>
        <v>no</v>
      </c>
    </row>
    <row r="1189" spans="1:30" ht="19.5" hidden="1" customHeight="1" x14ac:dyDescent="0.25">
      <c r="A1189" s="8" t="s">
        <v>1850</v>
      </c>
      <c r="B1189" s="8" t="s">
        <v>1851</v>
      </c>
      <c r="C1189" s="8">
        <v>30</v>
      </c>
      <c r="D1189" s="151">
        <v>8456975.129999999</v>
      </c>
      <c r="E1189" s="151"/>
      <c r="F1189" s="24" t="s">
        <v>1476</v>
      </c>
      <c r="G1189" s="30">
        <v>45317</v>
      </c>
      <c r="H1189" s="81" t="s">
        <v>1464</v>
      </c>
      <c r="I1189" s="30">
        <v>45282</v>
      </c>
      <c r="J1189" s="16" t="s">
        <v>1383</v>
      </c>
      <c r="K1189" s="9" t="s">
        <v>1530</v>
      </c>
      <c r="L1189" s="9"/>
      <c r="M1189" s="152">
        <v>1308311</v>
      </c>
      <c r="N1189" s="153">
        <v>248579.09</v>
      </c>
      <c r="O1189" s="152">
        <v>0</v>
      </c>
      <c r="P1189" s="154">
        <v>2.5000000000000001E-2</v>
      </c>
      <c r="Q1189" s="152">
        <v>32707.775000000001</v>
      </c>
      <c r="R1189" s="9">
        <v>1524182.3150000002</v>
      </c>
      <c r="S1189" s="21" t="s">
        <v>1846</v>
      </c>
      <c r="T1189" s="117">
        <v>0</v>
      </c>
      <c r="U1189" s="117" t="s">
        <v>347</v>
      </c>
      <c r="V1189" s="117">
        <v>2023</v>
      </c>
      <c r="W1189" s="117">
        <v>6</v>
      </c>
      <c r="X1189" s="117">
        <v>1145000</v>
      </c>
      <c r="Y1189" s="117">
        <v>2.5000000000000001E-2</v>
      </c>
      <c r="Z1189" s="21" t="b">
        <v>0</v>
      </c>
      <c r="AA1189" s="162">
        <f>+$AD$5-Tabla2[[#This Row],[FECHA DE FACTURACIÓN]]</f>
        <v>161</v>
      </c>
      <c r="AB1189" s="163" t="str">
        <f>+IF(Tabla2[[#This Row],[dias de credito]]&gt;=Tabla2[[#This Row],[PLAZO Días]],"venc", "No venc")</f>
        <v>venc</v>
      </c>
      <c r="AC1189" s="163" t="str">
        <f>+IF(Tabla2[[#This Row],[FECHA DE PAGO]]&gt;0,"pagada","por pagar")</f>
        <v>pagada</v>
      </c>
      <c r="AD1189" s="164" t="str">
        <f>+IF(AND(Tabla2[[#This Row],[venc]]="venc",Tabla2[[#This Row],[estado pago]]="por pagar"),"vencida","no")</f>
        <v>no</v>
      </c>
    </row>
    <row r="1190" spans="1:30" ht="19.5" customHeight="1" x14ac:dyDescent="0.25">
      <c r="A1190" s="8" t="s">
        <v>1850</v>
      </c>
      <c r="B1190" s="8" t="b">
        <v>0</v>
      </c>
      <c r="C1190" s="8">
        <v>10</v>
      </c>
      <c r="D1190" s="151">
        <v>-3510</v>
      </c>
      <c r="E1190" s="151"/>
      <c r="F1190" s="24" t="s">
        <v>1540</v>
      </c>
      <c r="G1190" s="30">
        <v>45317</v>
      </c>
      <c r="H1190" s="81" t="s">
        <v>1452</v>
      </c>
      <c r="I1190" s="30">
        <v>45308</v>
      </c>
      <c r="J1190" s="16" t="s">
        <v>1453</v>
      </c>
      <c r="K1190" s="9" t="s">
        <v>1530</v>
      </c>
      <c r="L1190" s="9"/>
      <c r="M1190" s="152">
        <v>40441</v>
      </c>
      <c r="N1190" s="153">
        <v>7683.79</v>
      </c>
      <c r="O1190" s="152">
        <v>0</v>
      </c>
      <c r="P1190" s="154">
        <v>3.5000000000000003E-2</v>
      </c>
      <c r="Q1190" s="152">
        <v>1415.4350000000002</v>
      </c>
      <c r="R1190" s="9">
        <v>46709.355000000003</v>
      </c>
      <c r="S1190" s="21" t="s">
        <v>1846</v>
      </c>
      <c r="T1190" s="117">
        <v>0</v>
      </c>
      <c r="U1190" s="117" t="s">
        <v>348</v>
      </c>
      <c r="V1190" s="117">
        <v>2024</v>
      </c>
      <c r="W1190" s="117">
        <v>7</v>
      </c>
      <c r="X1190" s="117">
        <v>0</v>
      </c>
      <c r="Y1190" s="117">
        <v>3.5000000000000003E-2</v>
      </c>
      <c r="Z1190" s="21" t="b">
        <v>1</v>
      </c>
      <c r="AA1190" s="162">
        <f>+$AD$5-Tabla2[[#This Row],[FECHA DE FACTURACIÓN]]</f>
        <v>135</v>
      </c>
      <c r="AB1190" s="163" t="str">
        <f>+IF(Tabla2[[#This Row],[dias de credito]]&gt;=Tabla2[[#This Row],[PLAZO Días]],"venc", "No venc")</f>
        <v>venc</v>
      </c>
      <c r="AC1190" s="163" t="str">
        <f>+IF(Tabla2[[#This Row],[FECHA DE PAGO]]&gt;0,"pagada","por pagar")</f>
        <v>pagada</v>
      </c>
      <c r="AD1190" s="164" t="str">
        <f>+IF(AND(Tabla2[[#This Row],[venc]]="venc",Tabla2[[#This Row],[estado pago]]="por pagar"),"vencida","no")</f>
        <v>no</v>
      </c>
    </row>
    <row r="1191" spans="1:30" ht="19.5" customHeight="1" x14ac:dyDescent="0.25">
      <c r="A1191" s="8" t="s">
        <v>1850</v>
      </c>
      <c r="B1191" s="8" t="b">
        <v>0</v>
      </c>
      <c r="C1191" s="8">
        <v>30</v>
      </c>
      <c r="D1191" s="151">
        <v>352000</v>
      </c>
      <c r="E1191" s="151"/>
      <c r="F1191" s="24" t="s">
        <v>84</v>
      </c>
      <c r="G1191" s="30">
        <v>45319</v>
      </c>
      <c r="H1191" s="81" t="s">
        <v>527</v>
      </c>
      <c r="I1191" s="30">
        <v>45318</v>
      </c>
      <c r="J1191" s="16" t="s">
        <v>1507</v>
      </c>
      <c r="K1191" s="9" t="s">
        <v>1530</v>
      </c>
      <c r="L1191" s="9"/>
      <c r="M1191" s="152">
        <v>137256</v>
      </c>
      <c r="N1191" s="153">
        <v>0</v>
      </c>
      <c r="O1191" s="152">
        <v>0</v>
      </c>
      <c r="P1191" s="154">
        <v>0</v>
      </c>
      <c r="Q1191" s="152">
        <v>0</v>
      </c>
      <c r="R1191" s="9">
        <v>137256</v>
      </c>
      <c r="S1191" s="21" t="s">
        <v>1846</v>
      </c>
      <c r="T1191" s="117">
        <v>0</v>
      </c>
      <c r="U1191" s="117">
        <v>0</v>
      </c>
      <c r="V1191" s="117">
        <v>2024</v>
      </c>
      <c r="W1191" s="117">
        <v>7</v>
      </c>
      <c r="X1191" s="117">
        <v>0</v>
      </c>
      <c r="Y1191" s="117">
        <v>0</v>
      </c>
      <c r="Z1191" s="21" t="b">
        <v>0</v>
      </c>
      <c r="AA1191" s="162">
        <f>+$AD$5-Tabla2[[#This Row],[FECHA DE FACTURACIÓN]]</f>
        <v>125</v>
      </c>
      <c r="AB1191" s="163" t="str">
        <f>+IF(Tabla2[[#This Row],[dias de credito]]&gt;=Tabla2[[#This Row],[PLAZO Días]],"venc", "No venc")</f>
        <v>venc</v>
      </c>
      <c r="AC1191" s="163" t="str">
        <f>+IF(Tabla2[[#This Row],[FECHA DE PAGO]]&gt;0,"pagada","por pagar")</f>
        <v>pagada</v>
      </c>
      <c r="AD1191" s="164" t="str">
        <f>+IF(AND(Tabla2[[#This Row],[venc]]="venc",Tabla2[[#This Row],[estado pago]]="por pagar"),"vencida","no")</f>
        <v>no</v>
      </c>
    </row>
    <row r="1192" spans="1:30" ht="19.5" customHeight="1" x14ac:dyDescent="0.25">
      <c r="A1192" s="8" t="s">
        <v>1850</v>
      </c>
      <c r="B1192" s="8" t="b">
        <v>0</v>
      </c>
      <c r="C1192" s="8">
        <v>30</v>
      </c>
      <c r="D1192" s="151">
        <v>1391998.93</v>
      </c>
      <c r="E1192" s="151"/>
      <c r="F1192" s="24" t="s">
        <v>1185</v>
      </c>
      <c r="G1192" s="30">
        <v>45319</v>
      </c>
      <c r="H1192" s="81" t="s">
        <v>1186</v>
      </c>
      <c r="I1192" s="30">
        <v>45318</v>
      </c>
      <c r="J1192" s="16" t="s">
        <v>1491</v>
      </c>
      <c r="K1192" s="9" t="s">
        <v>1530</v>
      </c>
      <c r="L1192" s="9"/>
      <c r="M1192" s="152">
        <v>808403.5</v>
      </c>
      <c r="N1192" s="153">
        <v>153596.66500000001</v>
      </c>
      <c r="O1192" s="152">
        <v>0</v>
      </c>
      <c r="P1192" s="154">
        <v>0</v>
      </c>
      <c r="Q1192" s="152">
        <v>0</v>
      </c>
      <c r="R1192" s="9">
        <v>962000.16500000004</v>
      </c>
      <c r="S1192" s="21" t="s">
        <v>1846</v>
      </c>
      <c r="T1192" s="117">
        <v>0</v>
      </c>
      <c r="U1192" s="117" t="s">
        <v>347</v>
      </c>
      <c r="V1192" s="117">
        <v>2024</v>
      </c>
      <c r="W1192" s="117">
        <v>7</v>
      </c>
      <c r="X1192" s="117">
        <v>1271000</v>
      </c>
      <c r="Y1192" s="117">
        <v>2.5000000000000001E-2</v>
      </c>
      <c r="Z1192" s="21" t="b">
        <v>0</v>
      </c>
      <c r="AA1192" s="162">
        <f>+$AD$5-Tabla2[[#This Row],[FECHA DE FACTURACIÓN]]</f>
        <v>125</v>
      </c>
      <c r="AB1192" s="163" t="str">
        <f>+IF(Tabla2[[#This Row],[dias de credito]]&gt;=Tabla2[[#This Row],[PLAZO Días]],"venc", "No venc")</f>
        <v>venc</v>
      </c>
      <c r="AC1192" s="163" t="str">
        <f>+IF(Tabla2[[#This Row],[FECHA DE PAGO]]&gt;0,"pagada","por pagar")</f>
        <v>pagada</v>
      </c>
      <c r="AD1192" s="164" t="str">
        <f>+IF(AND(Tabla2[[#This Row],[venc]]="venc",Tabla2[[#This Row],[estado pago]]="por pagar"),"vencida","no")</f>
        <v>no</v>
      </c>
    </row>
    <row r="1193" spans="1:30" ht="19.5" customHeight="1" x14ac:dyDescent="0.25">
      <c r="A1193" s="8" t="s">
        <v>1852</v>
      </c>
      <c r="B1193" s="8" t="b">
        <v>0</v>
      </c>
      <c r="C1193" s="8">
        <v>30</v>
      </c>
      <c r="D1193" s="151">
        <v>1350000</v>
      </c>
      <c r="E1193" s="151"/>
      <c r="F1193" s="24" t="s">
        <v>84</v>
      </c>
      <c r="G1193" s="30">
        <v>45321</v>
      </c>
      <c r="H1193" s="81" t="s">
        <v>1807</v>
      </c>
      <c r="I1193" s="30">
        <v>45321</v>
      </c>
      <c r="J1193" s="16" t="s">
        <v>1493</v>
      </c>
      <c r="K1193" s="9" t="s">
        <v>1530</v>
      </c>
      <c r="L1193" s="9"/>
      <c r="M1193" s="152">
        <v>480000</v>
      </c>
      <c r="N1193" s="153">
        <v>0</v>
      </c>
      <c r="O1193" s="152">
        <v>0</v>
      </c>
      <c r="P1193" s="154">
        <v>0</v>
      </c>
      <c r="Q1193" s="152">
        <v>0</v>
      </c>
      <c r="R1193" s="9">
        <v>480000</v>
      </c>
      <c r="S1193" s="21" t="s">
        <v>1846</v>
      </c>
      <c r="T1193" s="117">
        <v>0</v>
      </c>
      <c r="U1193" s="117">
        <v>0</v>
      </c>
      <c r="V1193" s="117">
        <v>2024</v>
      </c>
      <c r="W1193" s="117">
        <v>7</v>
      </c>
      <c r="X1193" s="117">
        <v>0</v>
      </c>
      <c r="Y1193" s="117">
        <v>0</v>
      </c>
      <c r="Z1193" s="21" t="b">
        <v>0</v>
      </c>
      <c r="AA1193" s="162">
        <f>+$AD$5-Tabla2[[#This Row],[FECHA DE FACTURACIÓN]]</f>
        <v>122</v>
      </c>
      <c r="AB1193" s="163" t="str">
        <f>+IF(Tabla2[[#This Row],[dias de credito]]&gt;=Tabla2[[#This Row],[PLAZO Días]],"venc", "No venc")</f>
        <v>venc</v>
      </c>
      <c r="AC1193" s="163" t="str">
        <f>+IF(Tabla2[[#This Row],[FECHA DE PAGO]]&gt;0,"pagada","por pagar")</f>
        <v>pagada</v>
      </c>
      <c r="AD1193" s="164" t="str">
        <f>+IF(AND(Tabla2[[#This Row],[venc]]="venc",Tabla2[[#This Row],[estado pago]]="por pagar"),"vencida","no")</f>
        <v>no</v>
      </c>
    </row>
    <row r="1194" spans="1:30" ht="19.5" hidden="1" customHeight="1" x14ac:dyDescent="0.25">
      <c r="A1194" s="8" t="s">
        <v>1850</v>
      </c>
      <c r="B1194" s="8" t="s">
        <v>1851</v>
      </c>
      <c r="C1194" s="8">
        <v>30</v>
      </c>
      <c r="D1194" s="151">
        <v>0</v>
      </c>
      <c r="E1194" s="151"/>
      <c r="F1194" s="24" t="s">
        <v>1614</v>
      </c>
      <c r="G1194" s="30">
        <v>45322</v>
      </c>
      <c r="H1194" s="81" t="s">
        <v>1863</v>
      </c>
      <c r="I1194" s="30">
        <v>45261</v>
      </c>
      <c r="J1194" s="16" t="s">
        <v>1466</v>
      </c>
      <c r="K1194" s="9" t="s">
        <v>1530</v>
      </c>
      <c r="L1194" s="9"/>
      <c r="M1194" s="152">
        <v>229206</v>
      </c>
      <c r="N1194" s="153">
        <v>0</v>
      </c>
      <c r="O1194" s="152">
        <v>0</v>
      </c>
      <c r="P1194" s="154">
        <v>0</v>
      </c>
      <c r="Q1194" s="152">
        <v>0</v>
      </c>
      <c r="R1194" s="9">
        <v>229206</v>
      </c>
      <c r="S1194" s="21" t="s">
        <v>1846</v>
      </c>
      <c r="T1194" s="117">
        <v>0</v>
      </c>
      <c r="U1194" s="117">
        <v>0</v>
      </c>
      <c r="V1194" s="117">
        <v>2023</v>
      </c>
      <c r="W1194" s="117">
        <v>6</v>
      </c>
      <c r="X1194" s="117">
        <v>0</v>
      </c>
      <c r="Y1194" s="117">
        <v>0</v>
      </c>
      <c r="Z1194" s="21" t="b">
        <v>0</v>
      </c>
      <c r="AA1194" s="162">
        <f>+$AD$5-Tabla2[[#This Row],[FECHA DE FACTURACIÓN]]</f>
        <v>182</v>
      </c>
      <c r="AB1194" s="163" t="str">
        <f>+IF(Tabla2[[#This Row],[dias de credito]]&gt;=Tabla2[[#This Row],[PLAZO Días]],"venc", "No venc")</f>
        <v>venc</v>
      </c>
      <c r="AC1194" s="163" t="str">
        <f>+IF(Tabla2[[#This Row],[FECHA DE PAGO]]&gt;0,"pagada","por pagar")</f>
        <v>pagada</v>
      </c>
      <c r="AD1194" s="164" t="str">
        <f>+IF(AND(Tabla2[[#This Row],[venc]]="venc",Tabla2[[#This Row],[estado pago]]="por pagar"),"vencida","no")</f>
        <v>no</v>
      </c>
    </row>
    <row r="1195" spans="1:30" ht="19.5" hidden="1" customHeight="1" x14ac:dyDescent="0.25">
      <c r="A1195" s="8" t="s">
        <v>1850</v>
      </c>
      <c r="B1195" s="8" t="s">
        <v>1851</v>
      </c>
      <c r="C1195" s="8">
        <v>30</v>
      </c>
      <c r="D1195" s="151">
        <v>12628497</v>
      </c>
      <c r="E1195" s="151"/>
      <c r="F1195" s="24" t="s">
        <v>149</v>
      </c>
      <c r="G1195" s="30">
        <v>45322</v>
      </c>
      <c r="H1195" s="81" t="s">
        <v>451</v>
      </c>
      <c r="I1195" s="30">
        <v>45261</v>
      </c>
      <c r="J1195" s="16" t="s">
        <v>1328</v>
      </c>
      <c r="K1195" s="9" t="s">
        <v>1530</v>
      </c>
      <c r="L1195" s="9"/>
      <c r="M1195" s="152">
        <v>4116710</v>
      </c>
      <c r="N1195" s="153">
        <v>782174.9</v>
      </c>
      <c r="O1195" s="152">
        <v>0</v>
      </c>
      <c r="P1195" s="154">
        <v>2.5000000000000001E-2</v>
      </c>
      <c r="Q1195" s="152">
        <v>102917.75</v>
      </c>
      <c r="R1195" s="9">
        <v>4795967.1500000004</v>
      </c>
      <c r="S1195" s="21" t="s">
        <v>1846</v>
      </c>
      <c r="T1195" s="117">
        <v>0</v>
      </c>
      <c r="U1195" s="117" t="s">
        <v>347</v>
      </c>
      <c r="V1195" s="117">
        <v>2023</v>
      </c>
      <c r="W1195" s="117">
        <v>6</v>
      </c>
      <c r="X1195" s="117">
        <v>1145000</v>
      </c>
      <c r="Y1195" s="117">
        <v>2.5000000000000001E-2</v>
      </c>
      <c r="Z1195" s="21" t="b">
        <v>0</v>
      </c>
      <c r="AA1195" s="162">
        <f>+$AD$5-Tabla2[[#This Row],[FECHA DE FACTURACIÓN]]</f>
        <v>182</v>
      </c>
      <c r="AB1195" s="163" t="str">
        <f>+IF(Tabla2[[#This Row],[dias de credito]]&gt;=Tabla2[[#This Row],[PLAZO Días]],"venc", "No venc")</f>
        <v>venc</v>
      </c>
      <c r="AC1195" s="163" t="str">
        <f>+IF(Tabla2[[#This Row],[FECHA DE PAGO]]&gt;0,"pagada","por pagar")</f>
        <v>pagada</v>
      </c>
      <c r="AD1195" s="164" t="str">
        <f>+IF(AND(Tabla2[[#This Row],[venc]]="venc",Tabla2[[#This Row],[estado pago]]="por pagar"),"vencida","no")</f>
        <v>no</v>
      </c>
    </row>
    <row r="1196" spans="1:30" ht="19.5" hidden="1" customHeight="1" x14ac:dyDescent="0.25">
      <c r="A1196" s="8" t="s">
        <v>1850</v>
      </c>
      <c r="B1196" s="8" t="s">
        <v>1851</v>
      </c>
      <c r="C1196" s="8">
        <v>30</v>
      </c>
      <c r="D1196" s="151">
        <v>12628497</v>
      </c>
      <c r="E1196" s="151"/>
      <c r="F1196" s="24" t="s">
        <v>149</v>
      </c>
      <c r="G1196" s="30">
        <v>45322</v>
      </c>
      <c r="H1196" s="81" t="s">
        <v>451</v>
      </c>
      <c r="I1196" s="30">
        <v>45265</v>
      </c>
      <c r="J1196" s="16" t="s">
        <v>1330</v>
      </c>
      <c r="K1196" s="9" t="s">
        <v>1530</v>
      </c>
      <c r="L1196" s="9"/>
      <c r="M1196" s="152">
        <v>1260000</v>
      </c>
      <c r="N1196" s="153">
        <v>239400</v>
      </c>
      <c r="O1196" s="152">
        <v>0</v>
      </c>
      <c r="P1196" s="154">
        <v>2.5000000000000001E-2</v>
      </c>
      <c r="Q1196" s="152">
        <v>31500</v>
      </c>
      <c r="R1196" s="9">
        <v>1467900</v>
      </c>
      <c r="S1196" s="21" t="s">
        <v>1846</v>
      </c>
      <c r="T1196" s="117">
        <v>0</v>
      </c>
      <c r="U1196" s="117" t="s">
        <v>347</v>
      </c>
      <c r="V1196" s="117">
        <v>2023</v>
      </c>
      <c r="W1196" s="117">
        <v>6</v>
      </c>
      <c r="X1196" s="117">
        <v>1145000</v>
      </c>
      <c r="Y1196" s="117">
        <v>2.5000000000000001E-2</v>
      </c>
      <c r="Z1196" s="21" t="b">
        <v>0</v>
      </c>
      <c r="AA1196" s="162">
        <f>+$AD$5-Tabla2[[#This Row],[FECHA DE FACTURACIÓN]]</f>
        <v>178</v>
      </c>
      <c r="AB1196" s="163" t="str">
        <f>+IF(Tabla2[[#This Row],[dias de credito]]&gt;=Tabla2[[#This Row],[PLAZO Días]],"venc", "No venc")</f>
        <v>venc</v>
      </c>
      <c r="AC1196" s="163" t="str">
        <f>+IF(Tabla2[[#This Row],[FECHA DE PAGO]]&gt;0,"pagada","por pagar")</f>
        <v>pagada</v>
      </c>
      <c r="AD1196" s="164" t="str">
        <f>+IF(AND(Tabla2[[#This Row],[venc]]="venc",Tabla2[[#This Row],[estado pago]]="por pagar"),"vencida","no")</f>
        <v>no</v>
      </c>
    </row>
    <row r="1197" spans="1:30" ht="19.5" hidden="1" customHeight="1" x14ac:dyDescent="0.25">
      <c r="A1197" s="8" t="s">
        <v>1850</v>
      </c>
      <c r="B1197" s="8" t="s">
        <v>1851</v>
      </c>
      <c r="C1197" s="8">
        <v>30</v>
      </c>
      <c r="D1197" s="151">
        <v>5813868.5099999998</v>
      </c>
      <c r="E1197" s="151"/>
      <c r="F1197" s="24" t="s">
        <v>455</v>
      </c>
      <c r="G1197" s="30">
        <v>45322</v>
      </c>
      <c r="H1197" s="81" t="s">
        <v>24</v>
      </c>
      <c r="I1197" s="30">
        <v>45274</v>
      </c>
      <c r="J1197" s="16">
        <v>5042201</v>
      </c>
      <c r="K1197" s="9" t="s">
        <v>504</v>
      </c>
      <c r="L1197" s="9"/>
      <c r="M1197" s="152">
        <v>3150000</v>
      </c>
      <c r="N1197" s="153">
        <v>598500</v>
      </c>
      <c r="O1197" s="152">
        <v>0</v>
      </c>
      <c r="P1197" s="154">
        <v>2.5000000000000001E-2</v>
      </c>
      <c r="Q1197" s="152">
        <v>78750</v>
      </c>
      <c r="R1197" s="9">
        <v>3669750</v>
      </c>
      <c r="S1197" s="21" t="s">
        <v>1846</v>
      </c>
      <c r="T1197" s="117">
        <v>0</v>
      </c>
      <c r="U1197" s="117" t="s">
        <v>347</v>
      </c>
      <c r="V1197" s="117">
        <v>2023</v>
      </c>
      <c r="W1197" s="117">
        <v>6</v>
      </c>
      <c r="X1197" s="117">
        <v>1145000</v>
      </c>
      <c r="Y1197" s="117">
        <v>2.5000000000000001E-2</v>
      </c>
      <c r="Z1197" s="21" t="b">
        <v>0</v>
      </c>
      <c r="AA1197" s="162">
        <f>+$AD$5-Tabla2[[#This Row],[FECHA DE FACTURACIÓN]]</f>
        <v>169</v>
      </c>
      <c r="AB1197" s="163" t="str">
        <f>+IF(Tabla2[[#This Row],[dias de credito]]&gt;=Tabla2[[#This Row],[PLAZO Días]],"venc", "No venc")</f>
        <v>venc</v>
      </c>
      <c r="AC1197" s="163" t="str">
        <f>+IF(Tabla2[[#This Row],[FECHA DE PAGO]]&gt;0,"pagada","por pagar")</f>
        <v>pagada</v>
      </c>
      <c r="AD1197" s="164" t="str">
        <f>+IF(AND(Tabla2[[#This Row],[venc]]="venc",Tabla2[[#This Row],[estado pago]]="por pagar"),"vencida","no")</f>
        <v>no</v>
      </c>
    </row>
    <row r="1198" spans="1:30" ht="19.5" hidden="1" customHeight="1" x14ac:dyDescent="0.25">
      <c r="A1198" s="8" t="s">
        <v>1850</v>
      </c>
      <c r="B1198" s="8" t="s">
        <v>1851</v>
      </c>
      <c r="C1198" s="8">
        <v>30</v>
      </c>
      <c r="D1198" s="151">
        <v>12628497</v>
      </c>
      <c r="E1198" s="151"/>
      <c r="F1198" s="24" t="s">
        <v>149</v>
      </c>
      <c r="G1198" s="30">
        <v>45322</v>
      </c>
      <c r="H1198" s="81" t="s">
        <v>451</v>
      </c>
      <c r="I1198" s="30">
        <v>45286</v>
      </c>
      <c r="J1198" s="16" t="s">
        <v>1381</v>
      </c>
      <c r="K1198" s="9" t="s">
        <v>1530</v>
      </c>
      <c r="L1198" s="9"/>
      <c r="M1198" s="152">
        <v>4116710</v>
      </c>
      <c r="N1198" s="153">
        <v>782174.9</v>
      </c>
      <c r="O1198" s="152">
        <v>0</v>
      </c>
      <c r="P1198" s="154">
        <v>2.5000000000000001E-2</v>
      </c>
      <c r="Q1198" s="152">
        <v>102917.75</v>
      </c>
      <c r="R1198" s="9">
        <v>4795967.1500000004</v>
      </c>
      <c r="S1198" s="21" t="s">
        <v>1846</v>
      </c>
      <c r="T1198" s="117">
        <v>0</v>
      </c>
      <c r="U1198" s="117" t="s">
        <v>347</v>
      </c>
      <c r="V1198" s="117">
        <v>2023</v>
      </c>
      <c r="W1198" s="117">
        <v>6</v>
      </c>
      <c r="X1198" s="117">
        <v>1145000</v>
      </c>
      <c r="Y1198" s="117">
        <v>2.5000000000000001E-2</v>
      </c>
      <c r="Z1198" s="21" t="b">
        <v>0</v>
      </c>
      <c r="AA1198" s="162">
        <f>+$AD$5-Tabla2[[#This Row],[FECHA DE FACTURACIÓN]]</f>
        <v>157</v>
      </c>
      <c r="AB1198" s="163" t="str">
        <f>+IF(Tabla2[[#This Row],[dias de credito]]&gt;=Tabla2[[#This Row],[PLAZO Días]],"venc", "No venc")</f>
        <v>venc</v>
      </c>
      <c r="AC1198" s="163" t="str">
        <f>+IF(Tabla2[[#This Row],[FECHA DE PAGO]]&gt;0,"pagada","por pagar")</f>
        <v>pagada</v>
      </c>
      <c r="AD1198" s="164" t="str">
        <f>+IF(AND(Tabla2[[#This Row],[venc]]="venc",Tabla2[[#This Row],[estado pago]]="por pagar"),"vencida","no")</f>
        <v>no</v>
      </c>
    </row>
    <row r="1199" spans="1:30" ht="19.5" customHeight="1" x14ac:dyDescent="0.25">
      <c r="A1199" s="8" t="s">
        <v>1850</v>
      </c>
      <c r="B1199" s="8" t="b">
        <v>0</v>
      </c>
      <c r="C1199" s="8">
        <v>30</v>
      </c>
      <c r="D1199" s="151">
        <v>0</v>
      </c>
      <c r="E1199" s="151"/>
      <c r="F1199" s="24" t="s">
        <v>1496</v>
      </c>
      <c r="G1199" s="30">
        <v>45322</v>
      </c>
      <c r="H1199" s="81" t="s">
        <v>411</v>
      </c>
      <c r="I1199" s="30">
        <v>45300</v>
      </c>
      <c r="J1199" s="16" t="s">
        <v>1444</v>
      </c>
      <c r="K1199" s="9" t="s">
        <v>504</v>
      </c>
      <c r="L1199" s="9"/>
      <c r="M1199" s="152">
        <v>1800000</v>
      </c>
      <c r="N1199" s="153">
        <v>342000</v>
      </c>
      <c r="O1199" s="152">
        <v>0</v>
      </c>
      <c r="P1199" s="154">
        <v>2.5000000000000001E-2</v>
      </c>
      <c r="Q1199" s="152">
        <v>45000</v>
      </c>
      <c r="R1199" s="9">
        <v>2097000</v>
      </c>
      <c r="S1199" s="21" t="s">
        <v>1846</v>
      </c>
      <c r="T1199" s="117">
        <v>0</v>
      </c>
      <c r="U1199" s="117" t="s">
        <v>347</v>
      </c>
      <c r="V1199" s="117">
        <v>2024</v>
      </c>
      <c r="W1199" s="117">
        <v>7</v>
      </c>
      <c r="X1199" s="117">
        <v>1271000</v>
      </c>
      <c r="Y1199" s="117">
        <v>2.5000000000000001E-2</v>
      </c>
      <c r="Z1199" s="21" t="b">
        <v>0</v>
      </c>
      <c r="AA1199" s="162">
        <f>+$AD$5-Tabla2[[#This Row],[FECHA DE FACTURACIÓN]]</f>
        <v>143</v>
      </c>
      <c r="AB1199" s="163" t="str">
        <f>+IF(Tabla2[[#This Row],[dias de credito]]&gt;=Tabla2[[#This Row],[PLAZO Días]],"venc", "No venc")</f>
        <v>venc</v>
      </c>
      <c r="AC1199" s="163" t="str">
        <f>+IF(Tabla2[[#This Row],[FECHA DE PAGO]]&gt;0,"pagada","por pagar")</f>
        <v>pagada</v>
      </c>
      <c r="AD1199" s="164" t="str">
        <f>+IF(AND(Tabla2[[#This Row],[venc]]="venc",Tabla2[[#This Row],[estado pago]]="por pagar"),"vencida","no")</f>
        <v>no</v>
      </c>
    </row>
    <row r="1200" spans="1:30" ht="19.5" customHeight="1" x14ac:dyDescent="0.25">
      <c r="A1200" s="8" t="s">
        <v>1850</v>
      </c>
      <c r="B1200" s="8" t="b">
        <v>0</v>
      </c>
      <c r="C1200" s="8">
        <v>30</v>
      </c>
      <c r="D1200" s="151">
        <v>0</v>
      </c>
      <c r="E1200" s="151"/>
      <c r="F1200" s="24" t="s">
        <v>1497</v>
      </c>
      <c r="G1200" s="30">
        <v>45322</v>
      </c>
      <c r="H1200" s="81" t="s">
        <v>1865</v>
      </c>
      <c r="I1200" s="30">
        <v>45309</v>
      </c>
      <c r="J1200" s="16" t="s">
        <v>1494</v>
      </c>
      <c r="K1200" s="9" t="s">
        <v>504</v>
      </c>
      <c r="L1200" s="9"/>
      <c r="M1200" s="152">
        <v>209750</v>
      </c>
      <c r="N1200" s="153">
        <v>0</v>
      </c>
      <c r="O1200" s="152">
        <v>0</v>
      </c>
      <c r="P1200" s="154">
        <v>0</v>
      </c>
      <c r="Q1200" s="152">
        <v>0</v>
      </c>
      <c r="R1200" s="9">
        <v>209750</v>
      </c>
      <c r="S1200" s="21" t="s">
        <v>1846</v>
      </c>
      <c r="T1200" s="117">
        <v>0</v>
      </c>
      <c r="U1200" s="117">
        <v>0</v>
      </c>
      <c r="V1200" s="117">
        <v>2024</v>
      </c>
      <c r="W1200" s="117">
        <v>7</v>
      </c>
      <c r="X1200" s="117">
        <v>0</v>
      </c>
      <c r="Y1200" s="117">
        <v>0</v>
      </c>
      <c r="Z1200" s="21" t="b">
        <v>0</v>
      </c>
      <c r="AA1200" s="162">
        <f>+$AD$5-Tabla2[[#This Row],[FECHA DE FACTURACIÓN]]</f>
        <v>134</v>
      </c>
      <c r="AB1200" s="163" t="str">
        <f>+IF(Tabla2[[#This Row],[dias de credito]]&gt;=Tabla2[[#This Row],[PLAZO Días]],"venc", "No venc")</f>
        <v>venc</v>
      </c>
      <c r="AC1200" s="163" t="str">
        <f>+IF(Tabla2[[#This Row],[FECHA DE PAGO]]&gt;0,"pagada","por pagar")</f>
        <v>pagada</v>
      </c>
      <c r="AD1200" s="164" t="str">
        <f>+IF(AND(Tabla2[[#This Row],[venc]]="venc",Tabla2[[#This Row],[estado pago]]="por pagar"),"vencida","no")</f>
        <v>no</v>
      </c>
    </row>
    <row r="1201" spans="1:30" ht="19.5" customHeight="1" x14ac:dyDescent="0.25">
      <c r="A1201" s="8" t="s">
        <v>1850</v>
      </c>
      <c r="B1201" s="8" t="b">
        <v>0</v>
      </c>
      <c r="C1201" s="8">
        <v>30</v>
      </c>
      <c r="D1201" s="151">
        <v>0</v>
      </c>
      <c r="E1201" s="151"/>
      <c r="F1201" s="24" t="s">
        <v>1497</v>
      </c>
      <c r="G1201" s="30">
        <v>45322</v>
      </c>
      <c r="H1201" s="81" t="s">
        <v>1865</v>
      </c>
      <c r="I1201" s="30">
        <v>45309</v>
      </c>
      <c r="J1201" s="16" t="s">
        <v>1495</v>
      </c>
      <c r="K1201" s="9" t="s">
        <v>504</v>
      </c>
      <c r="L1201" s="9"/>
      <c r="M1201" s="152">
        <v>380518</v>
      </c>
      <c r="N1201" s="153">
        <v>0</v>
      </c>
      <c r="O1201" s="152">
        <v>0</v>
      </c>
      <c r="P1201" s="154">
        <v>0</v>
      </c>
      <c r="Q1201" s="152">
        <v>0</v>
      </c>
      <c r="R1201" s="9">
        <v>380518</v>
      </c>
      <c r="S1201" s="21" t="s">
        <v>1846</v>
      </c>
      <c r="T1201" s="117">
        <v>0</v>
      </c>
      <c r="U1201" s="117">
        <v>0</v>
      </c>
      <c r="V1201" s="117">
        <v>2024</v>
      </c>
      <c r="W1201" s="117">
        <v>7</v>
      </c>
      <c r="X1201" s="117">
        <v>0</v>
      </c>
      <c r="Y1201" s="117">
        <v>0</v>
      </c>
      <c r="Z1201" s="21" t="b">
        <v>0</v>
      </c>
      <c r="AA1201" s="162">
        <f>+$AD$5-Tabla2[[#This Row],[FECHA DE FACTURACIÓN]]</f>
        <v>134</v>
      </c>
      <c r="AB1201" s="163" t="str">
        <f>+IF(Tabla2[[#This Row],[dias de credito]]&gt;=Tabla2[[#This Row],[PLAZO Días]],"venc", "No venc")</f>
        <v>venc</v>
      </c>
      <c r="AC1201" s="163" t="str">
        <f>+IF(Tabla2[[#This Row],[FECHA DE PAGO]]&gt;0,"pagada","por pagar")</f>
        <v>pagada</v>
      </c>
      <c r="AD1201" s="164" t="str">
        <f>+IF(AND(Tabla2[[#This Row],[venc]]="venc",Tabla2[[#This Row],[estado pago]]="por pagar"),"vencida","no")</f>
        <v>no</v>
      </c>
    </row>
    <row r="1202" spans="1:30" ht="19.5" customHeight="1" x14ac:dyDescent="0.25">
      <c r="A1202" s="8" t="s">
        <v>1852</v>
      </c>
      <c r="B1202" s="8" t="b">
        <v>0</v>
      </c>
      <c r="C1202" s="8">
        <v>30</v>
      </c>
      <c r="D1202" s="151">
        <v>0</v>
      </c>
      <c r="E1202" s="151"/>
      <c r="F1202" s="24" t="s">
        <v>84</v>
      </c>
      <c r="G1202" s="30">
        <v>45322</v>
      </c>
      <c r="H1202" s="81" t="s">
        <v>525</v>
      </c>
      <c r="I1202" s="30">
        <v>45322</v>
      </c>
      <c r="J1202" s="16" t="s">
        <v>479</v>
      </c>
      <c r="K1202" s="9" t="s">
        <v>1530</v>
      </c>
      <c r="L1202" s="9"/>
      <c r="M1202" s="152">
        <v>15000</v>
      </c>
      <c r="N1202" s="153">
        <v>0</v>
      </c>
      <c r="O1202" s="152">
        <v>0</v>
      </c>
      <c r="P1202" s="154">
        <v>0</v>
      </c>
      <c r="Q1202" s="152">
        <v>0</v>
      </c>
      <c r="R1202" s="9">
        <v>15000</v>
      </c>
      <c r="S1202" s="21" t="s">
        <v>1846</v>
      </c>
      <c r="T1202" s="117">
        <v>0</v>
      </c>
      <c r="U1202" s="117">
        <v>0</v>
      </c>
      <c r="V1202" s="117">
        <v>2024</v>
      </c>
      <c r="W1202" s="117">
        <v>7</v>
      </c>
      <c r="X1202" s="117">
        <v>0</v>
      </c>
      <c r="Y1202" s="117">
        <v>0</v>
      </c>
      <c r="Z1202" s="21" t="b">
        <v>0</v>
      </c>
      <c r="AA1202" s="162">
        <f>+$AD$5-Tabla2[[#This Row],[FECHA DE FACTURACIÓN]]</f>
        <v>121</v>
      </c>
      <c r="AB1202" s="163" t="str">
        <f>+IF(Tabla2[[#This Row],[dias de credito]]&gt;=Tabla2[[#This Row],[PLAZO Días]],"venc", "No venc")</f>
        <v>venc</v>
      </c>
      <c r="AC1202" s="163" t="str">
        <f>+IF(Tabla2[[#This Row],[FECHA DE PAGO]]&gt;0,"pagada","por pagar")</f>
        <v>pagada</v>
      </c>
      <c r="AD1202" s="164" t="str">
        <f>+IF(AND(Tabla2[[#This Row],[venc]]="venc",Tabla2[[#This Row],[estado pago]]="por pagar"),"vencida","no")</f>
        <v>no</v>
      </c>
    </row>
    <row r="1203" spans="1:30" ht="19.5" customHeight="1" x14ac:dyDescent="0.25">
      <c r="A1203" s="8" t="s">
        <v>1852</v>
      </c>
      <c r="B1203" s="8" t="b">
        <v>0</v>
      </c>
      <c r="C1203" s="8">
        <v>30</v>
      </c>
      <c r="D1203" s="151">
        <v>0</v>
      </c>
      <c r="E1203" s="151"/>
      <c r="F1203" s="24" t="s">
        <v>84</v>
      </c>
      <c r="G1203" s="30">
        <v>45322</v>
      </c>
      <c r="H1203" s="81" t="s">
        <v>525</v>
      </c>
      <c r="I1203" s="30">
        <v>45322</v>
      </c>
      <c r="J1203" s="16" t="s">
        <v>478</v>
      </c>
      <c r="K1203" s="9" t="s">
        <v>1530</v>
      </c>
      <c r="L1203" s="9"/>
      <c r="M1203" s="152">
        <v>494350</v>
      </c>
      <c r="N1203" s="153">
        <v>0</v>
      </c>
      <c r="O1203" s="152">
        <v>0</v>
      </c>
      <c r="P1203" s="154">
        <v>0</v>
      </c>
      <c r="Q1203" s="152">
        <v>0</v>
      </c>
      <c r="R1203" s="9">
        <v>494350</v>
      </c>
      <c r="S1203" s="21" t="s">
        <v>1846</v>
      </c>
      <c r="T1203" s="117">
        <v>0</v>
      </c>
      <c r="U1203" s="117">
        <v>0</v>
      </c>
      <c r="V1203" s="117">
        <v>2024</v>
      </c>
      <c r="W1203" s="117">
        <v>7</v>
      </c>
      <c r="X1203" s="117">
        <v>0</v>
      </c>
      <c r="Y1203" s="117">
        <v>0</v>
      </c>
      <c r="Z1203" s="21" t="b">
        <v>0</v>
      </c>
      <c r="AA1203" s="162">
        <f>+$AD$5-Tabla2[[#This Row],[FECHA DE FACTURACIÓN]]</f>
        <v>121</v>
      </c>
      <c r="AB1203" s="163" t="str">
        <f>+IF(Tabla2[[#This Row],[dias de credito]]&gt;=Tabla2[[#This Row],[PLAZO Días]],"venc", "No venc")</f>
        <v>venc</v>
      </c>
      <c r="AC1203" s="163" t="str">
        <f>+IF(Tabla2[[#This Row],[FECHA DE PAGO]]&gt;0,"pagada","por pagar")</f>
        <v>pagada</v>
      </c>
      <c r="AD1203" s="164" t="str">
        <f>+IF(AND(Tabla2[[#This Row],[venc]]="venc",Tabla2[[#This Row],[estado pago]]="por pagar"),"vencida","no")</f>
        <v>no</v>
      </c>
    </row>
    <row r="1204" spans="1:30" ht="19.5" customHeight="1" x14ac:dyDescent="0.25">
      <c r="A1204" s="8" t="s">
        <v>1852</v>
      </c>
      <c r="B1204" s="8" t="b">
        <v>0</v>
      </c>
      <c r="C1204" s="8">
        <v>30</v>
      </c>
      <c r="D1204" s="151">
        <v>0</v>
      </c>
      <c r="E1204" s="151"/>
      <c r="F1204" s="24" t="s">
        <v>84</v>
      </c>
      <c r="G1204" s="30">
        <v>45322</v>
      </c>
      <c r="H1204" s="81" t="s">
        <v>525</v>
      </c>
      <c r="I1204" s="30">
        <v>45322</v>
      </c>
      <c r="J1204" s="16" t="s">
        <v>476</v>
      </c>
      <c r="K1204" s="9" t="s">
        <v>1530</v>
      </c>
      <c r="L1204" s="9"/>
      <c r="M1204" s="152">
        <v>1035500</v>
      </c>
      <c r="N1204" s="153">
        <v>0</v>
      </c>
      <c r="O1204" s="152">
        <v>0</v>
      </c>
      <c r="P1204" s="154">
        <v>0</v>
      </c>
      <c r="Q1204" s="152">
        <v>0</v>
      </c>
      <c r="R1204" s="9">
        <v>1035500</v>
      </c>
      <c r="S1204" s="21" t="s">
        <v>1846</v>
      </c>
      <c r="T1204" s="117">
        <v>0</v>
      </c>
      <c r="U1204" s="117">
        <v>0</v>
      </c>
      <c r="V1204" s="117">
        <v>2024</v>
      </c>
      <c r="W1204" s="117">
        <v>7</v>
      </c>
      <c r="X1204" s="117">
        <v>0</v>
      </c>
      <c r="Y1204" s="117">
        <v>0</v>
      </c>
      <c r="Z1204" s="21" t="b">
        <v>0</v>
      </c>
      <c r="AA1204" s="162">
        <f>+$AD$5-Tabla2[[#This Row],[FECHA DE FACTURACIÓN]]</f>
        <v>121</v>
      </c>
      <c r="AB1204" s="163" t="str">
        <f>+IF(Tabla2[[#This Row],[dias de credito]]&gt;=Tabla2[[#This Row],[PLAZO Días]],"venc", "No venc")</f>
        <v>venc</v>
      </c>
      <c r="AC1204" s="163" t="str">
        <f>+IF(Tabla2[[#This Row],[FECHA DE PAGO]]&gt;0,"pagada","por pagar")</f>
        <v>pagada</v>
      </c>
      <c r="AD1204" s="164" t="str">
        <f>+IF(AND(Tabla2[[#This Row],[venc]]="venc",Tabla2[[#This Row],[estado pago]]="por pagar"),"vencida","no")</f>
        <v>no</v>
      </c>
    </row>
    <row r="1205" spans="1:30" ht="19.5" customHeight="1" x14ac:dyDescent="0.25">
      <c r="A1205" s="8" t="s">
        <v>1852</v>
      </c>
      <c r="B1205" s="8" t="b">
        <v>0</v>
      </c>
      <c r="C1205" s="8">
        <v>30</v>
      </c>
      <c r="D1205" s="151">
        <v>0</v>
      </c>
      <c r="E1205" s="151"/>
      <c r="F1205" s="24" t="s">
        <v>84</v>
      </c>
      <c r="G1205" s="30">
        <v>45322</v>
      </c>
      <c r="H1205" s="81" t="s">
        <v>525</v>
      </c>
      <c r="I1205" s="30">
        <v>45322</v>
      </c>
      <c r="J1205" s="16" t="s">
        <v>1517</v>
      </c>
      <c r="K1205" s="9" t="s">
        <v>1530</v>
      </c>
      <c r="L1205" s="9"/>
      <c r="M1205" s="152">
        <v>2667200</v>
      </c>
      <c r="N1205" s="153">
        <v>0</v>
      </c>
      <c r="O1205" s="152">
        <v>0</v>
      </c>
      <c r="P1205" s="154">
        <v>0</v>
      </c>
      <c r="Q1205" s="152">
        <v>0</v>
      </c>
      <c r="R1205" s="9">
        <v>2667200</v>
      </c>
      <c r="S1205" s="21" t="s">
        <v>1846</v>
      </c>
      <c r="T1205" s="117">
        <v>0</v>
      </c>
      <c r="U1205" s="117">
        <v>0</v>
      </c>
      <c r="V1205" s="117">
        <v>2024</v>
      </c>
      <c r="W1205" s="117">
        <v>7</v>
      </c>
      <c r="X1205" s="117">
        <v>0</v>
      </c>
      <c r="Y1205" s="117">
        <v>0</v>
      </c>
      <c r="Z1205" s="21" t="b">
        <v>0</v>
      </c>
      <c r="AA1205" s="162">
        <f>+$AD$5-Tabla2[[#This Row],[FECHA DE FACTURACIÓN]]</f>
        <v>121</v>
      </c>
      <c r="AB1205" s="163" t="str">
        <f>+IF(Tabla2[[#This Row],[dias de credito]]&gt;=Tabla2[[#This Row],[PLAZO Días]],"venc", "No venc")</f>
        <v>venc</v>
      </c>
      <c r="AC1205" s="163" t="str">
        <f>+IF(Tabla2[[#This Row],[FECHA DE PAGO]]&gt;0,"pagada","por pagar")</f>
        <v>pagada</v>
      </c>
      <c r="AD1205" s="164" t="str">
        <f>+IF(AND(Tabla2[[#This Row],[venc]]="venc",Tabla2[[#This Row],[estado pago]]="por pagar"),"vencida","no")</f>
        <v>no</v>
      </c>
    </row>
    <row r="1206" spans="1:30" ht="19.5" customHeight="1" x14ac:dyDescent="0.25">
      <c r="A1206" s="8" t="s">
        <v>1852</v>
      </c>
      <c r="B1206" s="8" t="b">
        <v>0</v>
      </c>
      <c r="C1206" s="8">
        <v>30</v>
      </c>
      <c r="D1206" s="151">
        <v>0</v>
      </c>
      <c r="E1206" s="151"/>
      <c r="F1206" s="24" t="s">
        <v>84</v>
      </c>
      <c r="G1206" s="30">
        <v>45322</v>
      </c>
      <c r="H1206" s="81" t="s">
        <v>525</v>
      </c>
      <c r="I1206" s="30">
        <v>45322</v>
      </c>
      <c r="J1206" s="16" t="s">
        <v>1518</v>
      </c>
      <c r="K1206" s="9" t="s">
        <v>504</v>
      </c>
      <c r="L1206" s="9"/>
      <c r="M1206" s="152">
        <v>474600</v>
      </c>
      <c r="N1206" s="153">
        <v>0</v>
      </c>
      <c r="O1206" s="152">
        <v>0</v>
      </c>
      <c r="P1206" s="154">
        <v>0</v>
      </c>
      <c r="Q1206" s="152">
        <v>0</v>
      </c>
      <c r="R1206" s="9">
        <v>474600</v>
      </c>
      <c r="S1206" s="21" t="s">
        <v>1846</v>
      </c>
      <c r="T1206" s="117">
        <v>0</v>
      </c>
      <c r="U1206" s="117">
        <v>0</v>
      </c>
      <c r="V1206" s="117">
        <v>2024</v>
      </c>
      <c r="W1206" s="117">
        <v>7</v>
      </c>
      <c r="X1206" s="117">
        <v>0</v>
      </c>
      <c r="Y1206" s="117">
        <v>0</v>
      </c>
      <c r="Z1206" s="21" t="b">
        <v>0</v>
      </c>
      <c r="AA1206" s="162">
        <f>+$AD$5-Tabla2[[#This Row],[FECHA DE FACTURACIÓN]]</f>
        <v>121</v>
      </c>
      <c r="AB1206" s="163" t="str">
        <f>+IF(Tabla2[[#This Row],[dias de credito]]&gt;=Tabla2[[#This Row],[PLAZO Días]],"venc", "No venc")</f>
        <v>venc</v>
      </c>
      <c r="AC1206" s="163" t="str">
        <f>+IF(Tabla2[[#This Row],[FECHA DE PAGO]]&gt;0,"pagada","por pagar")</f>
        <v>pagada</v>
      </c>
      <c r="AD1206" s="164" t="str">
        <f>+IF(AND(Tabla2[[#This Row],[venc]]="venc",Tabla2[[#This Row],[estado pago]]="por pagar"),"vencida","no")</f>
        <v>no</v>
      </c>
    </row>
    <row r="1207" spans="1:30" ht="19.5" customHeight="1" x14ac:dyDescent="0.25">
      <c r="A1207" s="8" t="s">
        <v>1852</v>
      </c>
      <c r="B1207" s="8" t="b">
        <v>0</v>
      </c>
      <c r="C1207" s="8">
        <v>30</v>
      </c>
      <c r="D1207" s="151">
        <v>0</v>
      </c>
      <c r="E1207" s="151"/>
      <c r="F1207" s="24" t="s">
        <v>84</v>
      </c>
      <c r="G1207" s="30">
        <v>45322</v>
      </c>
      <c r="H1207" s="81" t="s">
        <v>525</v>
      </c>
      <c r="I1207" s="30">
        <v>45322</v>
      </c>
      <c r="J1207" s="16" t="s">
        <v>480</v>
      </c>
      <c r="K1207" s="9" t="s">
        <v>1530</v>
      </c>
      <c r="L1207" s="9"/>
      <c r="M1207" s="152">
        <v>485750</v>
      </c>
      <c r="N1207" s="153">
        <v>0</v>
      </c>
      <c r="O1207" s="152">
        <v>0</v>
      </c>
      <c r="P1207" s="154">
        <v>0</v>
      </c>
      <c r="Q1207" s="152">
        <v>0</v>
      </c>
      <c r="R1207" s="9">
        <v>485750</v>
      </c>
      <c r="S1207" s="21" t="s">
        <v>1846</v>
      </c>
      <c r="T1207" s="117">
        <v>0</v>
      </c>
      <c r="U1207" s="117">
        <v>0</v>
      </c>
      <c r="V1207" s="117">
        <v>2024</v>
      </c>
      <c r="W1207" s="117">
        <v>7</v>
      </c>
      <c r="X1207" s="117">
        <v>0</v>
      </c>
      <c r="Y1207" s="117">
        <v>0</v>
      </c>
      <c r="Z1207" s="21" t="b">
        <v>0</v>
      </c>
      <c r="AA1207" s="162">
        <f>+$AD$5-Tabla2[[#This Row],[FECHA DE FACTURACIÓN]]</f>
        <v>121</v>
      </c>
      <c r="AB1207" s="163" t="str">
        <f>+IF(Tabla2[[#This Row],[dias de credito]]&gt;=Tabla2[[#This Row],[PLAZO Días]],"venc", "No venc")</f>
        <v>venc</v>
      </c>
      <c r="AC1207" s="163" t="str">
        <f>+IF(Tabla2[[#This Row],[FECHA DE PAGO]]&gt;0,"pagada","por pagar")</f>
        <v>pagada</v>
      </c>
      <c r="AD1207" s="164" t="str">
        <f>+IF(AND(Tabla2[[#This Row],[venc]]="venc",Tabla2[[#This Row],[estado pago]]="por pagar"),"vencida","no")</f>
        <v>no</v>
      </c>
    </row>
    <row r="1208" spans="1:30" ht="19.5" hidden="1" customHeight="1" x14ac:dyDescent="0.25">
      <c r="A1208" s="8" t="s">
        <v>1850</v>
      </c>
      <c r="B1208" s="8" t="s">
        <v>1851</v>
      </c>
      <c r="C1208" s="8">
        <v>30</v>
      </c>
      <c r="D1208" s="151">
        <v>818443.92</v>
      </c>
      <c r="E1208" s="151"/>
      <c r="F1208" s="24" t="s">
        <v>111</v>
      </c>
      <c r="G1208" s="30">
        <v>45323</v>
      </c>
      <c r="H1208" s="81" t="s">
        <v>20</v>
      </c>
      <c r="I1208" s="30">
        <v>45280</v>
      </c>
      <c r="J1208" s="16" t="s">
        <v>1355</v>
      </c>
      <c r="K1208" s="9" t="s">
        <v>1530</v>
      </c>
      <c r="L1208" s="9" t="s">
        <v>1533</v>
      </c>
      <c r="M1208" s="152">
        <v>2381030</v>
      </c>
      <c r="N1208" s="153">
        <v>452395.7</v>
      </c>
      <c r="O1208" s="152">
        <v>0</v>
      </c>
      <c r="P1208" s="154">
        <v>2.5000000000000001E-2</v>
      </c>
      <c r="Q1208" s="152">
        <v>59525.75</v>
      </c>
      <c r="R1208" s="9">
        <v>2773899.95</v>
      </c>
      <c r="S1208" s="21" t="s">
        <v>1846</v>
      </c>
      <c r="T1208" s="117">
        <v>0</v>
      </c>
      <c r="U1208" s="117" t="s">
        <v>347</v>
      </c>
      <c r="V1208" s="117">
        <v>2023</v>
      </c>
      <c r="W1208" s="117">
        <v>6</v>
      </c>
      <c r="X1208" s="117">
        <v>1145000</v>
      </c>
      <c r="Y1208" s="117">
        <v>2.5000000000000001E-2</v>
      </c>
      <c r="Z1208" s="21" t="b">
        <v>0</v>
      </c>
      <c r="AA1208" s="162">
        <f>+$AD$5-Tabla2[[#This Row],[FECHA DE FACTURACIÓN]]</f>
        <v>163</v>
      </c>
      <c r="AB1208" s="163" t="str">
        <f>+IF(Tabla2[[#This Row],[dias de credito]]&gt;=Tabla2[[#This Row],[PLAZO Días]],"venc", "No venc")</f>
        <v>venc</v>
      </c>
      <c r="AC1208" s="163" t="str">
        <f>+IF(Tabla2[[#This Row],[FECHA DE PAGO]]&gt;0,"pagada","por pagar")</f>
        <v>pagada</v>
      </c>
      <c r="AD1208" s="164" t="str">
        <f>+IF(AND(Tabla2[[#This Row],[venc]]="venc",Tabla2[[#This Row],[estado pago]]="por pagar"),"vencida","no")</f>
        <v>no</v>
      </c>
    </row>
    <row r="1209" spans="1:30" ht="19.5" customHeight="1" x14ac:dyDescent="0.25">
      <c r="A1209" s="8" t="s">
        <v>1852</v>
      </c>
      <c r="B1209" s="8" t="b">
        <v>0</v>
      </c>
      <c r="C1209" s="8">
        <v>30</v>
      </c>
      <c r="D1209" s="151">
        <v>0</v>
      </c>
      <c r="E1209" s="151"/>
      <c r="F1209" s="24" t="s">
        <v>84</v>
      </c>
      <c r="G1209" s="30">
        <v>45323</v>
      </c>
      <c r="H1209" s="81" t="s">
        <v>1824</v>
      </c>
      <c r="I1209" s="30">
        <v>45323</v>
      </c>
      <c r="J1209" s="16"/>
      <c r="K1209" s="9" t="s">
        <v>1530</v>
      </c>
      <c r="L1209" s="9" t="s">
        <v>1395</v>
      </c>
      <c r="M1209" s="152">
        <v>1126900</v>
      </c>
      <c r="N1209" s="153">
        <v>0</v>
      </c>
      <c r="O1209" s="152">
        <v>0</v>
      </c>
      <c r="P1209" s="154">
        <v>0</v>
      </c>
      <c r="Q1209" s="152">
        <v>0</v>
      </c>
      <c r="R1209" s="9">
        <v>1126900</v>
      </c>
      <c r="S1209" s="21" t="s">
        <v>1846</v>
      </c>
      <c r="T1209" s="117">
        <v>0</v>
      </c>
      <c r="U1209" s="117">
        <v>0</v>
      </c>
      <c r="V1209" s="117">
        <v>2024</v>
      </c>
      <c r="W1209" s="117">
        <v>7</v>
      </c>
      <c r="X1209" s="117">
        <v>0</v>
      </c>
      <c r="Y1209" s="117">
        <v>0</v>
      </c>
      <c r="Z1209" s="21" t="b">
        <v>0</v>
      </c>
      <c r="AA1209" s="162">
        <f>+$AD$5-Tabla2[[#This Row],[FECHA DE FACTURACIÓN]]</f>
        <v>120</v>
      </c>
      <c r="AB1209" s="163" t="str">
        <f>+IF(Tabla2[[#This Row],[dias de credito]]&gt;=Tabla2[[#This Row],[PLAZO Días]],"venc", "No venc")</f>
        <v>venc</v>
      </c>
      <c r="AC1209" s="163" t="str">
        <f>+IF(Tabla2[[#This Row],[FECHA DE PAGO]]&gt;0,"pagada","por pagar")</f>
        <v>pagada</v>
      </c>
      <c r="AD1209" s="164" t="str">
        <f>+IF(AND(Tabla2[[#This Row],[venc]]="venc",Tabla2[[#This Row],[estado pago]]="por pagar"),"vencida","no")</f>
        <v>no</v>
      </c>
    </row>
    <row r="1210" spans="1:30" ht="19.5" customHeight="1" x14ac:dyDescent="0.25">
      <c r="A1210" s="8" t="s">
        <v>1852</v>
      </c>
      <c r="B1210" s="8" t="b">
        <v>0</v>
      </c>
      <c r="C1210" s="8">
        <v>30</v>
      </c>
      <c r="D1210" s="151">
        <v>0</v>
      </c>
      <c r="E1210" s="151"/>
      <c r="F1210" s="24" t="s">
        <v>86</v>
      </c>
      <c r="G1210" s="30">
        <v>45323</v>
      </c>
      <c r="H1210" s="81" t="s">
        <v>390</v>
      </c>
      <c r="I1210" s="30">
        <v>45323</v>
      </c>
      <c r="J1210" s="16"/>
      <c r="K1210" s="9" t="s">
        <v>1530</v>
      </c>
      <c r="L1210" s="9" t="s">
        <v>1533</v>
      </c>
      <c r="M1210" s="152">
        <v>633500</v>
      </c>
      <c r="N1210" s="153">
        <v>0</v>
      </c>
      <c r="O1210" s="152">
        <v>0</v>
      </c>
      <c r="P1210" s="154">
        <v>0</v>
      </c>
      <c r="Q1210" s="152">
        <v>0</v>
      </c>
      <c r="R1210" s="9">
        <v>633500</v>
      </c>
      <c r="S1210" s="21" t="s">
        <v>1846</v>
      </c>
      <c r="T1210" s="117">
        <v>0</v>
      </c>
      <c r="U1210" s="117">
        <v>0</v>
      </c>
      <c r="V1210" s="117">
        <v>2024</v>
      </c>
      <c r="W1210" s="117">
        <v>7</v>
      </c>
      <c r="X1210" s="117">
        <v>0</v>
      </c>
      <c r="Y1210" s="117">
        <v>0</v>
      </c>
      <c r="Z1210" s="21" t="b">
        <v>1</v>
      </c>
      <c r="AA1210" s="162">
        <f>+$AD$5-Tabla2[[#This Row],[FECHA DE FACTURACIÓN]]</f>
        <v>120</v>
      </c>
      <c r="AB1210" s="163" t="str">
        <f>+IF(Tabla2[[#This Row],[dias de credito]]&gt;=Tabla2[[#This Row],[PLAZO Días]],"venc", "No venc")</f>
        <v>venc</v>
      </c>
      <c r="AC1210" s="163" t="str">
        <f>+IF(Tabla2[[#This Row],[FECHA DE PAGO]]&gt;0,"pagada","por pagar")</f>
        <v>pagada</v>
      </c>
      <c r="AD1210" s="164" t="str">
        <f>+IF(AND(Tabla2[[#This Row],[venc]]="venc",Tabla2[[#This Row],[estado pago]]="por pagar"),"vencida","no")</f>
        <v>no</v>
      </c>
    </row>
    <row r="1211" spans="1:30" ht="19.5" hidden="1" customHeight="1" x14ac:dyDescent="0.25">
      <c r="A1211" s="8" t="s">
        <v>1850</v>
      </c>
      <c r="B1211" s="8" t="s">
        <v>1851</v>
      </c>
      <c r="C1211" s="8">
        <v>30</v>
      </c>
      <c r="D1211" s="151">
        <v>3130000</v>
      </c>
      <c r="E1211" s="151"/>
      <c r="F1211" s="24">
        <v>0</v>
      </c>
      <c r="G1211" s="30">
        <v>45324</v>
      </c>
      <c r="H1211" s="81" t="s">
        <v>472</v>
      </c>
      <c r="I1211" s="30">
        <v>45265</v>
      </c>
      <c r="J1211" s="16" t="s">
        <v>1387</v>
      </c>
      <c r="K1211" s="9" t="s">
        <v>1530</v>
      </c>
      <c r="L1211" s="9" t="s">
        <v>1395</v>
      </c>
      <c r="M1211" s="152">
        <v>250000</v>
      </c>
      <c r="N1211" s="153">
        <v>0</v>
      </c>
      <c r="O1211" s="152">
        <v>0</v>
      </c>
      <c r="P1211" s="154">
        <v>0</v>
      </c>
      <c r="Q1211" s="152">
        <v>0</v>
      </c>
      <c r="R1211" s="9">
        <v>250000</v>
      </c>
      <c r="S1211" s="21" t="s">
        <v>1846</v>
      </c>
      <c r="T1211" s="117">
        <v>0</v>
      </c>
      <c r="U1211" s="117">
        <v>0</v>
      </c>
      <c r="V1211" s="117">
        <v>2023</v>
      </c>
      <c r="W1211" s="117">
        <v>6</v>
      </c>
      <c r="X1211" s="117">
        <v>0</v>
      </c>
      <c r="Y1211" s="117">
        <v>0</v>
      </c>
      <c r="Z1211" s="21" t="b">
        <v>0</v>
      </c>
      <c r="AA1211" s="162">
        <f>+$AD$5-Tabla2[[#This Row],[FECHA DE FACTURACIÓN]]</f>
        <v>178</v>
      </c>
      <c r="AB1211" s="163" t="str">
        <f>+IF(Tabla2[[#This Row],[dias de credito]]&gt;=Tabla2[[#This Row],[PLAZO Días]],"venc", "No venc")</f>
        <v>venc</v>
      </c>
      <c r="AC1211" s="163" t="str">
        <f>+IF(Tabla2[[#This Row],[FECHA DE PAGO]]&gt;0,"pagada","por pagar")</f>
        <v>pagada</v>
      </c>
      <c r="AD1211" s="164" t="str">
        <f>+IF(AND(Tabla2[[#This Row],[venc]]="venc",Tabla2[[#This Row],[estado pago]]="por pagar"),"vencida","no")</f>
        <v>no</v>
      </c>
    </row>
    <row r="1212" spans="1:30" ht="19.5" customHeight="1" x14ac:dyDescent="0.25">
      <c r="A1212" s="8" t="s">
        <v>1850</v>
      </c>
      <c r="B1212" s="8" t="b">
        <v>0</v>
      </c>
      <c r="C1212" s="8">
        <v>30</v>
      </c>
      <c r="D1212" s="151">
        <v>0</v>
      </c>
      <c r="E1212" s="151"/>
      <c r="F1212" s="24">
        <v>0</v>
      </c>
      <c r="G1212" s="30">
        <v>45324</v>
      </c>
      <c r="H1212" s="81" t="s">
        <v>1805</v>
      </c>
      <c r="I1212" s="30">
        <v>45302</v>
      </c>
      <c r="J1212" s="16" t="s">
        <v>1440</v>
      </c>
      <c r="K1212" s="9" t="s">
        <v>1530</v>
      </c>
      <c r="L1212" s="9" t="s">
        <v>1395</v>
      </c>
      <c r="M1212" s="152">
        <v>492000</v>
      </c>
      <c r="N1212" s="153">
        <v>0</v>
      </c>
      <c r="O1212" s="152">
        <v>0</v>
      </c>
      <c r="P1212" s="154">
        <v>0</v>
      </c>
      <c r="Q1212" s="152">
        <v>0</v>
      </c>
      <c r="R1212" s="9">
        <v>492000</v>
      </c>
      <c r="S1212" s="21" t="s">
        <v>1846</v>
      </c>
      <c r="T1212" s="117">
        <v>0</v>
      </c>
      <c r="U1212" s="117">
        <v>0</v>
      </c>
      <c r="V1212" s="117">
        <v>2024</v>
      </c>
      <c r="W1212" s="117">
        <v>7</v>
      </c>
      <c r="X1212" s="117">
        <v>0</v>
      </c>
      <c r="Y1212" s="117">
        <v>0</v>
      </c>
      <c r="Z1212" s="21" t="b">
        <v>0</v>
      </c>
      <c r="AA1212" s="162">
        <f>+$AD$5-Tabla2[[#This Row],[FECHA DE FACTURACIÓN]]</f>
        <v>141</v>
      </c>
      <c r="AB1212" s="163" t="str">
        <f>+IF(Tabla2[[#This Row],[dias de credito]]&gt;=Tabla2[[#This Row],[PLAZO Días]],"venc", "No venc")</f>
        <v>venc</v>
      </c>
      <c r="AC1212" s="163" t="str">
        <f>+IF(Tabla2[[#This Row],[FECHA DE PAGO]]&gt;0,"pagada","por pagar")</f>
        <v>pagada</v>
      </c>
      <c r="AD1212" s="164" t="str">
        <f>+IF(AND(Tabla2[[#This Row],[venc]]="venc",Tabla2[[#This Row],[estado pago]]="por pagar"),"vencida","no")</f>
        <v>no</v>
      </c>
    </row>
    <row r="1213" spans="1:30" ht="19.5" customHeight="1" x14ac:dyDescent="0.25">
      <c r="A1213" s="8" t="s">
        <v>1850</v>
      </c>
      <c r="B1213" s="8" t="b">
        <v>0</v>
      </c>
      <c r="C1213" s="8">
        <v>30</v>
      </c>
      <c r="D1213" s="151">
        <v>0</v>
      </c>
      <c r="E1213" s="151"/>
      <c r="F1213" s="24">
        <v>0</v>
      </c>
      <c r="G1213" s="30">
        <v>45324</v>
      </c>
      <c r="H1213" s="81" t="s">
        <v>836</v>
      </c>
      <c r="I1213" s="30">
        <v>45322</v>
      </c>
      <c r="J1213" s="16" t="s">
        <v>1510</v>
      </c>
      <c r="K1213" s="9" t="s">
        <v>504</v>
      </c>
      <c r="L1213" s="9" t="s">
        <v>1395</v>
      </c>
      <c r="M1213" s="152">
        <v>358000</v>
      </c>
      <c r="N1213" s="153">
        <v>0</v>
      </c>
      <c r="O1213" s="152">
        <v>0</v>
      </c>
      <c r="P1213" s="154">
        <v>0</v>
      </c>
      <c r="Q1213" s="152">
        <v>0</v>
      </c>
      <c r="R1213" s="9">
        <v>358000</v>
      </c>
      <c r="S1213" s="21" t="s">
        <v>1846</v>
      </c>
      <c r="T1213" s="117">
        <v>0</v>
      </c>
      <c r="U1213" s="117">
        <v>0</v>
      </c>
      <c r="V1213" s="117">
        <v>2024</v>
      </c>
      <c r="W1213" s="117">
        <v>7</v>
      </c>
      <c r="X1213" s="117">
        <v>0</v>
      </c>
      <c r="Y1213" s="117">
        <v>0</v>
      </c>
      <c r="Z1213" s="21" t="b">
        <v>0</v>
      </c>
      <c r="AA1213" s="162">
        <f>+$AD$5-Tabla2[[#This Row],[FECHA DE FACTURACIÓN]]</f>
        <v>121</v>
      </c>
      <c r="AB1213" s="163" t="str">
        <f>+IF(Tabla2[[#This Row],[dias de credito]]&gt;=Tabla2[[#This Row],[PLAZO Días]],"venc", "No venc")</f>
        <v>venc</v>
      </c>
      <c r="AC1213" s="163" t="str">
        <f>+IF(Tabla2[[#This Row],[FECHA DE PAGO]]&gt;0,"pagada","por pagar")</f>
        <v>pagada</v>
      </c>
      <c r="AD1213" s="164" t="str">
        <f>+IF(AND(Tabla2[[#This Row],[venc]]="venc",Tabla2[[#This Row],[estado pago]]="por pagar"),"vencida","no")</f>
        <v>no</v>
      </c>
    </row>
    <row r="1214" spans="1:30" ht="19.5" customHeight="1" x14ac:dyDescent="0.25">
      <c r="A1214" s="8" t="s">
        <v>1852</v>
      </c>
      <c r="B1214" s="8" t="b">
        <v>0</v>
      </c>
      <c r="C1214" s="8">
        <v>30</v>
      </c>
      <c r="D1214" s="151">
        <v>0</v>
      </c>
      <c r="E1214" s="151"/>
      <c r="F1214" s="24" t="s">
        <v>84</v>
      </c>
      <c r="G1214" s="30">
        <v>45324</v>
      </c>
      <c r="H1214" s="81" t="s">
        <v>525</v>
      </c>
      <c r="I1214" s="30">
        <v>45324</v>
      </c>
      <c r="J1214" s="16" t="s">
        <v>1120</v>
      </c>
      <c r="K1214" s="9" t="s">
        <v>1530</v>
      </c>
      <c r="L1214" s="9" t="s">
        <v>1395</v>
      </c>
      <c r="M1214" s="152">
        <v>200000</v>
      </c>
      <c r="N1214" s="153">
        <v>0</v>
      </c>
      <c r="O1214" s="152">
        <v>0</v>
      </c>
      <c r="P1214" s="154">
        <v>0</v>
      </c>
      <c r="Q1214" s="152">
        <v>0</v>
      </c>
      <c r="R1214" s="9">
        <v>200000</v>
      </c>
      <c r="S1214" s="21" t="s">
        <v>1846</v>
      </c>
      <c r="T1214" s="117">
        <v>0</v>
      </c>
      <c r="U1214" s="117">
        <v>0</v>
      </c>
      <c r="V1214" s="117">
        <v>2024</v>
      </c>
      <c r="W1214" s="117">
        <v>7</v>
      </c>
      <c r="X1214" s="117">
        <v>0</v>
      </c>
      <c r="Y1214" s="117">
        <v>0</v>
      </c>
      <c r="Z1214" s="21" t="b">
        <v>0</v>
      </c>
      <c r="AA1214" s="162">
        <f>+$AD$5-Tabla2[[#This Row],[FECHA DE FACTURACIÓN]]</f>
        <v>119</v>
      </c>
      <c r="AB1214" s="163" t="str">
        <f>+IF(Tabla2[[#This Row],[dias de credito]]&gt;=Tabla2[[#This Row],[PLAZO Días]],"venc", "No venc")</f>
        <v>venc</v>
      </c>
      <c r="AC1214" s="163" t="str">
        <f>+IF(Tabla2[[#This Row],[FECHA DE PAGO]]&gt;0,"pagada","por pagar")</f>
        <v>pagada</v>
      </c>
      <c r="AD1214" s="164" t="str">
        <f>+IF(AND(Tabla2[[#This Row],[venc]]="venc",Tabla2[[#This Row],[estado pago]]="por pagar"),"vencida","no")</f>
        <v>no</v>
      </c>
    </row>
    <row r="1215" spans="1:30" ht="19.5" customHeight="1" x14ac:dyDescent="0.25">
      <c r="A1215" s="8" t="s">
        <v>1852</v>
      </c>
      <c r="B1215" s="8" t="b">
        <v>0</v>
      </c>
      <c r="C1215" s="8">
        <v>30</v>
      </c>
      <c r="D1215" s="151">
        <v>0</v>
      </c>
      <c r="E1215" s="151"/>
      <c r="F1215" s="24" t="s">
        <v>1579</v>
      </c>
      <c r="G1215" s="30">
        <v>45324</v>
      </c>
      <c r="H1215" s="81" t="s">
        <v>207</v>
      </c>
      <c r="I1215" s="30">
        <v>45324</v>
      </c>
      <c r="J1215" s="16" t="s">
        <v>1509</v>
      </c>
      <c r="K1215" s="9" t="s">
        <v>504</v>
      </c>
      <c r="L1215" s="9" t="s">
        <v>1534</v>
      </c>
      <c r="M1215" s="152">
        <v>1050000</v>
      </c>
      <c r="N1215" s="153">
        <v>199500</v>
      </c>
      <c r="O1215" s="152">
        <v>0</v>
      </c>
      <c r="P1215" s="154">
        <v>0</v>
      </c>
      <c r="Q1215" s="152">
        <v>0</v>
      </c>
      <c r="R1215" s="9">
        <v>1249500</v>
      </c>
      <c r="S1215" s="21" t="s">
        <v>1846</v>
      </c>
      <c r="T1215" s="117">
        <v>0</v>
      </c>
      <c r="U1215" s="117" t="s">
        <v>347</v>
      </c>
      <c r="V1215" s="117">
        <v>2024</v>
      </c>
      <c r="W1215" s="117">
        <v>7</v>
      </c>
      <c r="X1215" s="117">
        <v>1271000</v>
      </c>
      <c r="Y1215" s="117">
        <v>2.5000000000000001E-2</v>
      </c>
      <c r="Z1215" s="21" t="b">
        <v>0</v>
      </c>
      <c r="AA1215" s="162">
        <f>+$AD$5-Tabla2[[#This Row],[FECHA DE FACTURACIÓN]]</f>
        <v>119</v>
      </c>
      <c r="AB1215" s="163" t="str">
        <f>+IF(Tabla2[[#This Row],[dias de credito]]&gt;=Tabla2[[#This Row],[PLAZO Días]],"venc", "No venc")</f>
        <v>venc</v>
      </c>
      <c r="AC1215" s="163" t="str">
        <f>+IF(Tabla2[[#This Row],[FECHA DE PAGO]]&gt;0,"pagada","por pagar")</f>
        <v>pagada</v>
      </c>
      <c r="AD1215" s="164" t="str">
        <f>+IF(AND(Tabla2[[#This Row],[venc]]="venc",Tabla2[[#This Row],[estado pago]]="por pagar"),"vencida","no")</f>
        <v>no</v>
      </c>
    </row>
    <row r="1216" spans="1:30" ht="19.5" customHeight="1" x14ac:dyDescent="0.25">
      <c r="A1216" s="8" t="s">
        <v>1852</v>
      </c>
      <c r="B1216" s="8" t="b">
        <v>0</v>
      </c>
      <c r="C1216" s="8">
        <v>30</v>
      </c>
      <c r="D1216" s="151">
        <v>1391998.93</v>
      </c>
      <c r="E1216" s="151"/>
      <c r="F1216" s="24" t="s">
        <v>1185</v>
      </c>
      <c r="G1216" s="30">
        <v>45325</v>
      </c>
      <c r="H1216" s="81" t="s">
        <v>1186</v>
      </c>
      <c r="I1216" s="30">
        <v>45325</v>
      </c>
      <c r="J1216" s="16" t="s">
        <v>1586</v>
      </c>
      <c r="K1216" s="9" t="s">
        <v>1530</v>
      </c>
      <c r="L1216" s="9" t="s">
        <v>1395</v>
      </c>
      <c r="M1216" s="152">
        <v>92437</v>
      </c>
      <c r="N1216" s="153">
        <v>17563.03</v>
      </c>
      <c r="O1216" s="152">
        <v>0</v>
      </c>
      <c r="P1216" s="154">
        <v>0</v>
      </c>
      <c r="Q1216" s="152">
        <v>0</v>
      </c>
      <c r="R1216" s="9">
        <v>110000.03</v>
      </c>
      <c r="S1216" s="21" t="s">
        <v>1846</v>
      </c>
      <c r="T1216" s="117">
        <v>0</v>
      </c>
      <c r="U1216" s="117" t="s">
        <v>347</v>
      </c>
      <c r="V1216" s="117">
        <v>2024</v>
      </c>
      <c r="W1216" s="117">
        <v>7</v>
      </c>
      <c r="X1216" s="117">
        <v>1271000</v>
      </c>
      <c r="Y1216" s="117">
        <v>2.5000000000000001E-2</v>
      </c>
      <c r="Z1216" s="21" t="b">
        <v>0</v>
      </c>
      <c r="AA1216" s="162">
        <f>+$AD$5-Tabla2[[#This Row],[FECHA DE FACTURACIÓN]]</f>
        <v>118</v>
      </c>
      <c r="AB1216" s="163" t="str">
        <f>+IF(Tabla2[[#This Row],[dias de credito]]&gt;=Tabla2[[#This Row],[PLAZO Días]],"venc", "No venc")</f>
        <v>venc</v>
      </c>
      <c r="AC1216" s="163" t="str">
        <f>+IF(Tabla2[[#This Row],[FECHA DE PAGO]]&gt;0,"pagada","por pagar")</f>
        <v>pagada</v>
      </c>
      <c r="AD1216" s="164" t="str">
        <f>+IF(AND(Tabla2[[#This Row],[venc]]="venc",Tabla2[[#This Row],[estado pago]]="por pagar"),"vencida","no")</f>
        <v>no</v>
      </c>
    </row>
    <row r="1217" spans="1:30" ht="19.5" hidden="1" customHeight="1" x14ac:dyDescent="0.25">
      <c r="A1217" s="8" t="s">
        <v>1850</v>
      </c>
      <c r="B1217" s="8" t="s">
        <v>1851</v>
      </c>
      <c r="C1217" s="8">
        <v>90</v>
      </c>
      <c r="D1217" s="151">
        <v>0</v>
      </c>
      <c r="E1217" s="151"/>
      <c r="F1217" s="24" t="s">
        <v>1515</v>
      </c>
      <c r="G1217" s="30">
        <v>45327</v>
      </c>
      <c r="H1217" s="81" t="s">
        <v>1219</v>
      </c>
      <c r="I1217" s="30">
        <v>45234</v>
      </c>
      <c r="J1217" s="16" t="s">
        <v>1523</v>
      </c>
      <c r="K1217" s="9" t="s">
        <v>1530</v>
      </c>
      <c r="L1217" s="9" t="s">
        <v>1536</v>
      </c>
      <c r="M1217" s="152">
        <v>10470588</v>
      </c>
      <c r="N1217" s="153">
        <v>1989411.72</v>
      </c>
      <c r="O1217" s="152">
        <v>0</v>
      </c>
      <c r="P1217" s="154">
        <v>2.5000000000000001E-2</v>
      </c>
      <c r="Q1217" s="152">
        <v>261764.7</v>
      </c>
      <c r="R1217" s="9">
        <v>12198235.020000001</v>
      </c>
      <c r="S1217" s="21" t="s">
        <v>1846</v>
      </c>
      <c r="T1217" s="117">
        <v>0</v>
      </c>
      <c r="U1217" s="117" t="s">
        <v>347</v>
      </c>
      <c r="V1217" s="117">
        <v>2023</v>
      </c>
      <c r="W1217" s="117">
        <v>6</v>
      </c>
      <c r="X1217" s="117">
        <v>1145000</v>
      </c>
      <c r="Y1217" s="117">
        <v>2.5000000000000001E-2</v>
      </c>
      <c r="Z1217" s="21" t="b">
        <v>0</v>
      </c>
      <c r="AA1217" s="162">
        <f>+$AD$5-Tabla2[[#This Row],[FECHA DE FACTURACIÓN]]</f>
        <v>209</v>
      </c>
      <c r="AB1217" s="163" t="str">
        <f>+IF(Tabla2[[#This Row],[dias de credito]]&gt;=Tabla2[[#This Row],[PLAZO Días]],"venc", "No venc")</f>
        <v>venc</v>
      </c>
      <c r="AC1217" s="163" t="str">
        <f>+IF(Tabla2[[#This Row],[FECHA DE PAGO]]&gt;0,"pagada","por pagar")</f>
        <v>pagada</v>
      </c>
      <c r="AD1217" s="164" t="str">
        <f>+IF(AND(Tabla2[[#This Row],[venc]]="venc",Tabla2[[#This Row],[estado pago]]="por pagar"),"vencida","no")</f>
        <v>no</v>
      </c>
    </row>
    <row r="1218" spans="1:30" ht="19.5" hidden="1" customHeight="1" x14ac:dyDescent="0.25">
      <c r="A1218" s="8" t="s">
        <v>1850</v>
      </c>
      <c r="B1218" s="8" t="s">
        <v>1851</v>
      </c>
      <c r="C1218" s="8">
        <v>30</v>
      </c>
      <c r="D1218" s="151">
        <v>0</v>
      </c>
      <c r="E1218" s="151"/>
      <c r="F1218" s="24" t="s">
        <v>84</v>
      </c>
      <c r="G1218" s="30">
        <v>45327</v>
      </c>
      <c r="H1218" s="81" t="s">
        <v>1149</v>
      </c>
      <c r="I1218" s="30">
        <v>45264</v>
      </c>
      <c r="J1218" s="16" t="s">
        <v>1388</v>
      </c>
      <c r="K1218" s="9" t="s">
        <v>1530</v>
      </c>
      <c r="L1218" s="9" t="s">
        <v>1395</v>
      </c>
      <c r="M1218" s="152">
        <v>5480000</v>
      </c>
      <c r="N1218" s="153">
        <v>0</v>
      </c>
      <c r="O1218" s="152">
        <v>0</v>
      </c>
      <c r="P1218" s="154">
        <v>0</v>
      </c>
      <c r="Q1218" s="152">
        <v>0</v>
      </c>
      <c r="R1218" s="9">
        <v>5480000</v>
      </c>
      <c r="S1218" s="21" t="s">
        <v>1846</v>
      </c>
      <c r="T1218" s="117">
        <v>0</v>
      </c>
      <c r="U1218" s="117">
        <v>0</v>
      </c>
      <c r="V1218" s="117">
        <v>2023</v>
      </c>
      <c r="W1218" s="117">
        <v>6</v>
      </c>
      <c r="X1218" s="117">
        <v>0</v>
      </c>
      <c r="Y1218" s="117">
        <v>0</v>
      </c>
      <c r="Z1218" s="21" t="b">
        <v>0</v>
      </c>
      <c r="AA1218" s="162">
        <f>+$AD$5-Tabla2[[#This Row],[FECHA DE FACTURACIÓN]]</f>
        <v>179</v>
      </c>
      <c r="AB1218" s="163" t="str">
        <f>+IF(Tabla2[[#This Row],[dias de credito]]&gt;=Tabla2[[#This Row],[PLAZO Días]],"venc", "No venc")</f>
        <v>venc</v>
      </c>
      <c r="AC1218" s="163" t="str">
        <f>+IF(Tabla2[[#This Row],[FECHA DE PAGO]]&gt;0,"pagada","por pagar")</f>
        <v>pagada</v>
      </c>
      <c r="AD1218" s="164" t="str">
        <f>+IF(AND(Tabla2[[#This Row],[venc]]="venc",Tabla2[[#This Row],[estado pago]]="por pagar"),"vencida","no")</f>
        <v>no</v>
      </c>
    </row>
    <row r="1219" spans="1:30" ht="19.5" hidden="1" customHeight="1" x14ac:dyDescent="0.25">
      <c r="A1219" s="8" t="s">
        <v>1850</v>
      </c>
      <c r="B1219" s="8" t="s">
        <v>1851</v>
      </c>
      <c r="C1219" s="8">
        <v>45</v>
      </c>
      <c r="D1219" s="151">
        <v>22186260.039999999</v>
      </c>
      <c r="E1219" s="151"/>
      <c r="F1219" s="24" t="s">
        <v>357</v>
      </c>
      <c r="G1219" s="30">
        <v>45327</v>
      </c>
      <c r="H1219" s="81" t="s">
        <v>19</v>
      </c>
      <c r="I1219" s="30">
        <v>45275</v>
      </c>
      <c r="J1219" s="16" t="s">
        <v>1525</v>
      </c>
      <c r="K1219" s="9" t="s">
        <v>504</v>
      </c>
      <c r="L1219" s="9" t="s">
        <v>1536</v>
      </c>
      <c r="M1219" s="152">
        <v>13252600</v>
      </c>
      <c r="N1219" s="153">
        <v>2517994</v>
      </c>
      <c r="O1219" s="152">
        <v>0</v>
      </c>
      <c r="P1219" s="154">
        <v>0</v>
      </c>
      <c r="Q1219" s="152">
        <v>0</v>
      </c>
      <c r="R1219" s="9">
        <v>15770594</v>
      </c>
      <c r="S1219" s="21" t="s">
        <v>1846</v>
      </c>
      <c r="T1219" s="117">
        <v>0</v>
      </c>
      <c r="U1219" s="117">
        <v>0</v>
      </c>
      <c r="V1219" s="117">
        <v>2023</v>
      </c>
      <c r="W1219" s="117">
        <v>6</v>
      </c>
      <c r="X1219" s="117">
        <v>0</v>
      </c>
      <c r="Y1219" s="117">
        <v>0</v>
      </c>
      <c r="Z1219" s="21" t="b">
        <v>0</v>
      </c>
      <c r="AA1219" s="162">
        <f>+$AD$5-Tabla2[[#This Row],[FECHA DE FACTURACIÓN]]</f>
        <v>168</v>
      </c>
      <c r="AB1219" s="163" t="str">
        <f>+IF(Tabla2[[#This Row],[dias de credito]]&gt;=Tabla2[[#This Row],[PLAZO Días]],"venc", "No venc")</f>
        <v>venc</v>
      </c>
      <c r="AC1219" s="163" t="str">
        <f>+IF(Tabla2[[#This Row],[FECHA DE PAGO]]&gt;0,"pagada","por pagar")</f>
        <v>pagada</v>
      </c>
      <c r="AD1219" s="164" t="str">
        <f>+IF(AND(Tabla2[[#This Row],[venc]]="venc",Tabla2[[#This Row],[estado pago]]="por pagar"),"vencida","no")</f>
        <v>no</v>
      </c>
    </row>
    <row r="1220" spans="1:30" ht="19.5" hidden="1" customHeight="1" x14ac:dyDescent="0.25">
      <c r="A1220" s="8" t="s">
        <v>1850</v>
      </c>
      <c r="B1220" s="8" t="s">
        <v>1851</v>
      </c>
      <c r="C1220" s="8">
        <v>30</v>
      </c>
      <c r="D1220" s="151">
        <v>8456975.129999999</v>
      </c>
      <c r="E1220" s="151"/>
      <c r="F1220" s="24" t="s">
        <v>1476</v>
      </c>
      <c r="G1220" s="30">
        <v>45327</v>
      </c>
      <c r="H1220" s="81" t="s">
        <v>1464</v>
      </c>
      <c r="I1220" s="30">
        <v>45287</v>
      </c>
      <c r="J1220" s="16" t="s">
        <v>1524</v>
      </c>
      <c r="K1220" s="9" t="s">
        <v>1530</v>
      </c>
      <c r="L1220" s="9" t="s">
        <v>1533</v>
      </c>
      <c r="M1220" s="152">
        <v>128442</v>
      </c>
      <c r="N1220" s="153">
        <v>24403.98</v>
      </c>
      <c r="O1220" s="152">
        <v>0</v>
      </c>
      <c r="P1220" s="154">
        <v>0</v>
      </c>
      <c r="Q1220" s="152">
        <v>0</v>
      </c>
      <c r="R1220" s="9">
        <v>152845.98000000001</v>
      </c>
      <c r="S1220" s="21" t="s">
        <v>1846</v>
      </c>
      <c r="T1220" s="117">
        <v>0</v>
      </c>
      <c r="U1220" s="117" t="s">
        <v>347</v>
      </c>
      <c r="V1220" s="117">
        <v>2023</v>
      </c>
      <c r="W1220" s="117">
        <v>6</v>
      </c>
      <c r="X1220" s="117">
        <v>1145000</v>
      </c>
      <c r="Y1220" s="117">
        <v>2.5000000000000001E-2</v>
      </c>
      <c r="Z1220" s="21" t="b">
        <v>0</v>
      </c>
      <c r="AA1220" s="162">
        <f>+$AD$5-Tabla2[[#This Row],[FECHA DE FACTURACIÓN]]</f>
        <v>156</v>
      </c>
      <c r="AB1220" s="163" t="str">
        <f>+IF(Tabla2[[#This Row],[dias de credito]]&gt;=Tabla2[[#This Row],[PLAZO Días]],"venc", "No venc")</f>
        <v>venc</v>
      </c>
      <c r="AC1220" s="163" t="str">
        <f>+IF(Tabla2[[#This Row],[FECHA DE PAGO]]&gt;0,"pagada","por pagar")</f>
        <v>pagada</v>
      </c>
      <c r="AD1220" s="164" t="str">
        <f>+IF(AND(Tabla2[[#This Row],[venc]]="venc",Tabla2[[#This Row],[estado pago]]="por pagar"),"vencida","no")</f>
        <v>no</v>
      </c>
    </row>
    <row r="1221" spans="1:30" ht="19.5" hidden="1" customHeight="1" x14ac:dyDescent="0.25">
      <c r="A1221" s="8" t="s">
        <v>1850</v>
      </c>
      <c r="B1221" s="8" t="s">
        <v>1851</v>
      </c>
      <c r="C1221" s="8">
        <v>30</v>
      </c>
      <c r="D1221" s="151">
        <v>4466504.835</v>
      </c>
      <c r="E1221" s="151"/>
      <c r="F1221" s="24" t="s">
        <v>1553</v>
      </c>
      <c r="G1221" s="30">
        <v>45327</v>
      </c>
      <c r="H1221" s="81" t="s">
        <v>18</v>
      </c>
      <c r="I1221" s="30">
        <v>45287</v>
      </c>
      <c r="J1221" s="16">
        <v>1080927</v>
      </c>
      <c r="K1221" s="9" t="s">
        <v>504</v>
      </c>
      <c r="L1221" s="9" t="s">
        <v>1534</v>
      </c>
      <c r="M1221" s="152">
        <v>6665062</v>
      </c>
      <c r="N1221" s="153">
        <v>1266361.78</v>
      </c>
      <c r="O1221" s="152">
        <v>0</v>
      </c>
      <c r="P1221" s="154">
        <v>2.5000000000000001E-2</v>
      </c>
      <c r="Q1221" s="152">
        <v>166626.55000000002</v>
      </c>
      <c r="R1221" s="9">
        <v>7764797.2300000004</v>
      </c>
      <c r="S1221" s="21" t="s">
        <v>1846</v>
      </c>
      <c r="T1221" s="117">
        <v>0</v>
      </c>
      <c r="U1221" s="117" t="s">
        <v>347</v>
      </c>
      <c r="V1221" s="117">
        <v>2023</v>
      </c>
      <c r="W1221" s="117">
        <v>6</v>
      </c>
      <c r="X1221" s="117">
        <v>1145000</v>
      </c>
      <c r="Y1221" s="117">
        <v>2.5000000000000001E-2</v>
      </c>
      <c r="Z1221" s="21" t="b">
        <v>0</v>
      </c>
      <c r="AA1221" s="162">
        <f>+$AD$5-Tabla2[[#This Row],[FECHA DE FACTURACIÓN]]</f>
        <v>156</v>
      </c>
      <c r="AB1221" s="163" t="str">
        <f>+IF(Tabla2[[#This Row],[dias de credito]]&gt;=Tabla2[[#This Row],[PLAZO Días]],"venc", "No venc")</f>
        <v>venc</v>
      </c>
      <c r="AC1221" s="163" t="str">
        <f>+IF(Tabla2[[#This Row],[FECHA DE PAGO]]&gt;0,"pagada","por pagar")</f>
        <v>pagada</v>
      </c>
      <c r="AD1221" s="164" t="str">
        <f>+IF(AND(Tabla2[[#This Row],[venc]]="venc",Tabla2[[#This Row],[estado pago]]="por pagar"),"vencida","no")</f>
        <v>no</v>
      </c>
    </row>
    <row r="1222" spans="1:30" ht="19.5" customHeight="1" x14ac:dyDescent="0.25">
      <c r="A1222" s="8" t="s">
        <v>1850</v>
      </c>
      <c r="B1222" s="8" t="s">
        <v>1851</v>
      </c>
      <c r="C1222" s="8">
        <v>30</v>
      </c>
      <c r="D1222" s="151">
        <v>4466504.835</v>
      </c>
      <c r="E1222" s="151"/>
      <c r="F1222" s="24" t="s">
        <v>1553</v>
      </c>
      <c r="G1222" s="30">
        <v>45327</v>
      </c>
      <c r="H1222" s="81" t="s">
        <v>18</v>
      </c>
      <c r="I1222" s="30">
        <v>45295</v>
      </c>
      <c r="J1222" s="16">
        <v>1081142</v>
      </c>
      <c r="K1222" s="9" t="s">
        <v>504</v>
      </c>
      <c r="L1222" s="9" t="s">
        <v>1534</v>
      </c>
      <c r="M1222" s="152">
        <v>1895289</v>
      </c>
      <c r="N1222" s="153">
        <v>360104.91000000003</v>
      </c>
      <c r="O1222" s="152">
        <v>0</v>
      </c>
      <c r="P1222" s="154">
        <v>2.5000000000000001E-2</v>
      </c>
      <c r="Q1222" s="152">
        <v>47382.225000000006</v>
      </c>
      <c r="R1222" s="9">
        <v>2208011.6850000001</v>
      </c>
      <c r="S1222" s="21" t="s">
        <v>1846</v>
      </c>
      <c r="T1222" s="117">
        <v>0</v>
      </c>
      <c r="U1222" s="117" t="s">
        <v>347</v>
      </c>
      <c r="V1222" s="117">
        <v>2024</v>
      </c>
      <c r="W1222" s="117">
        <v>7</v>
      </c>
      <c r="X1222" s="117">
        <v>1271000</v>
      </c>
      <c r="Y1222" s="117">
        <v>2.5000000000000001E-2</v>
      </c>
      <c r="Z1222" s="21" t="b">
        <v>0</v>
      </c>
      <c r="AA1222" s="162">
        <f>+$AD$5-Tabla2[[#This Row],[FECHA DE FACTURACIÓN]]</f>
        <v>148</v>
      </c>
      <c r="AB1222" s="163" t="str">
        <f>+IF(Tabla2[[#This Row],[dias de credito]]&gt;=Tabla2[[#This Row],[PLAZO Días]],"venc", "No venc")</f>
        <v>venc</v>
      </c>
      <c r="AC1222" s="163" t="str">
        <f>+IF(Tabla2[[#This Row],[FECHA DE PAGO]]&gt;0,"pagada","por pagar")</f>
        <v>pagada</v>
      </c>
      <c r="AD1222" s="164" t="str">
        <f>+IF(AND(Tabla2[[#This Row],[venc]]="venc",Tabla2[[#This Row],[estado pago]]="por pagar"),"vencida","no")</f>
        <v>no</v>
      </c>
    </row>
    <row r="1223" spans="1:30" ht="19.5" customHeight="1" x14ac:dyDescent="0.25">
      <c r="A1223" s="8" t="s">
        <v>1850</v>
      </c>
      <c r="B1223" s="8" t="b">
        <v>0</v>
      </c>
      <c r="C1223" s="8">
        <v>30</v>
      </c>
      <c r="D1223" s="151">
        <v>0</v>
      </c>
      <c r="E1223" s="151"/>
      <c r="F1223" s="24" t="s">
        <v>253</v>
      </c>
      <c r="G1223" s="30">
        <v>45327</v>
      </c>
      <c r="H1223" s="81" t="s">
        <v>368</v>
      </c>
      <c r="I1223" s="30">
        <v>45323</v>
      </c>
      <c r="J1223" s="16" t="s">
        <v>1630</v>
      </c>
      <c r="K1223" s="9" t="s">
        <v>1530</v>
      </c>
      <c r="L1223" s="9" t="s">
        <v>1536</v>
      </c>
      <c r="M1223" s="152">
        <v>3792544</v>
      </c>
      <c r="N1223" s="153">
        <v>720583.36</v>
      </c>
      <c r="O1223" s="152">
        <v>0</v>
      </c>
      <c r="P1223" s="154">
        <v>0</v>
      </c>
      <c r="Q1223" s="152">
        <v>0</v>
      </c>
      <c r="R1223" s="9">
        <v>4513127.3600000003</v>
      </c>
      <c r="S1223" s="21" t="s">
        <v>1846</v>
      </c>
      <c r="T1223" s="117">
        <v>0</v>
      </c>
      <c r="U1223" s="117">
        <v>0</v>
      </c>
      <c r="V1223" s="117">
        <v>2024</v>
      </c>
      <c r="W1223" s="117">
        <v>7</v>
      </c>
      <c r="X1223" s="117">
        <v>0</v>
      </c>
      <c r="Y1223" s="117">
        <v>0</v>
      </c>
      <c r="Z1223" s="21" t="b">
        <v>1</v>
      </c>
      <c r="AA1223" s="162">
        <f>+$AD$5-Tabla2[[#This Row],[FECHA DE FACTURACIÓN]]</f>
        <v>120</v>
      </c>
      <c r="AB1223" s="163" t="str">
        <f>+IF(Tabla2[[#This Row],[dias de credito]]&gt;=Tabla2[[#This Row],[PLAZO Días]],"venc", "No venc")</f>
        <v>venc</v>
      </c>
      <c r="AC1223" s="163" t="str">
        <f>+IF(Tabla2[[#This Row],[FECHA DE PAGO]]&gt;0,"pagada","por pagar")</f>
        <v>pagada</v>
      </c>
      <c r="AD1223" s="164" t="str">
        <f>+IF(AND(Tabla2[[#This Row],[venc]]="venc",Tabla2[[#This Row],[estado pago]]="por pagar"),"vencida","no")</f>
        <v>no</v>
      </c>
    </row>
    <row r="1224" spans="1:30" ht="19.5" customHeight="1" x14ac:dyDescent="0.25">
      <c r="A1224" s="8" t="s">
        <v>1850</v>
      </c>
      <c r="B1224" s="8" t="b">
        <v>0</v>
      </c>
      <c r="C1224" s="8">
        <v>30</v>
      </c>
      <c r="D1224" s="151">
        <v>0</v>
      </c>
      <c r="E1224" s="151"/>
      <c r="F1224" s="24" t="s">
        <v>253</v>
      </c>
      <c r="G1224" s="30">
        <v>45327</v>
      </c>
      <c r="H1224" s="81" t="s">
        <v>368</v>
      </c>
      <c r="I1224" s="30">
        <v>45323</v>
      </c>
      <c r="J1224" s="16" t="s">
        <v>1629</v>
      </c>
      <c r="K1224" s="9" t="s">
        <v>1530</v>
      </c>
      <c r="L1224" s="9" t="s">
        <v>1536</v>
      </c>
      <c r="M1224" s="152">
        <v>992451</v>
      </c>
      <c r="N1224" s="153">
        <v>188565.69</v>
      </c>
      <c r="O1224" s="152">
        <v>0</v>
      </c>
      <c r="P1224" s="154">
        <v>0.04</v>
      </c>
      <c r="Q1224" s="152">
        <v>39698.04</v>
      </c>
      <c r="R1224" s="9">
        <v>1141318.6499999999</v>
      </c>
      <c r="S1224" s="21" t="s">
        <v>1846</v>
      </c>
      <c r="T1224" s="117">
        <v>0</v>
      </c>
      <c r="U1224" s="117">
        <v>0</v>
      </c>
      <c r="V1224" s="117">
        <v>2024</v>
      </c>
      <c r="W1224" s="117">
        <v>7</v>
      </c>
      <c r="X1224" s="117">
        <v>0</v>
      </c>
      <c r="Y1224" s="117">
        <v>0</v>
      </c>
      <c r="Z1224" s="21" t="b">
        <v>1</v>
      </c>
      <c r="AA1224" s="162">
        <f>+$AD$5-Tabla2[[#This Row],[FECHA DE FACTURACIÓN]]</f>
        <v>120</v>
      </c>
      <c r="AB1224" s="163" t="str">
        <f>+IF(Tabla2[[#This Row],[dias de credito]]&gt;=Tabla2[[#This Row],[PLAZO Días]],"venc", "No venc")</f>
        <v>venc</v>
      </c>
      <c r="AC1224" s="163" t="str">
        <f>+IF(Tabla2[[#This Row],[FECHA DE PAGO]]&gt;0,"pagada","por pagar")</f>
        <v>pagada</v>
      </c>
      <c r="AD1224" s="164" t="str">
        <f>+IF(AND(Tabla2[[#This Row],[venc]]="venc",Tabla2[[#This Row],[estado pago]]="por pagar"),"vencida","no")</f>
        <v>no</v>
      </c>
    </row>
    <row r="1225" spans="1:30" ht="19.5" customHeight="1" x14ac:dyDescent="0.25">
      <c r="A1225" s="8" t="s">
        <v>1850</v>
      </c>
      <c r="B1225" s="8" t="b">
        <v>0</v>
      </c>
      <c r="C1225" s="8">
        <v>30</v>
      </c>
      <c r="D1225" s="151">
        <v>0</v>
      </c>
      <c r="E1225" s="151"/>
      <c r="F1225" s="24" t="s">
        <v>414</v>
      </c>
      <c r="G1225" s="30">
        <v>45327</v>
      </c>
      <c r="H1225" s="81" t="s">
        <v>382</v>
      </c>
      <c r="I1225" s="30">
        <v>45323</v>
      </c>
      <c r="J1225" s="16" t="s">
        <v>1512</v>
      </c>
      <c r="K1225" s="9" t="s">
        <v>1530</v>
      </c>
      <c r="L1225" s="9" t="s">
        <v>1536</v>
      </c>
      <c r="M1225" s="152">
        <v>1047050</v>
      </c>
      <c r="N1225" s="153">
        <v>0</v>
      </c>
      <c r="O1225" s="152">
        <v>0</v>
      </c>
      <c r="P1225" s="154">
        <v>0</v>
      </c>
      <c r="Q1225" s="152">
        <v>0</v>
      </c>
      <c r="R1225" s="9">
        <v>1047050</v>
      </c>
      <c r="S1225" s="21" t="s">
        <v>1846</v>
      </c>
      <c r="T1225" s="117">
        <v>0</v>
      </c>
      <c r="U1225" s="117">
        <v>0</v>
      </c>
      <c r="V1225" s="117">
        <v>2024</v>
      </c>
      <c r="W1225" s="117">
        <v>7</v>
      </c>
      <c r="X1225" s="117">
        <v>0</v>
      </c>
      <c r="Y1225" s="117">
        <v>0</v>
      </c>
      <c r="Z1225" s="21" t="b">
        <v>1</v>
      </c>
      <c r="AA1225" s="162">
        <f>+$AD$5-Tabla2[[#This Row],[FECHA DE FACTURACIÓN]]</f>
        <v>120</v>
      </c>
      <c r="AB1225" s="163" t="str">
        <f>+IF(Tabla2[[#This Row],[dias de credito]]&gt;=Tabla2[[#This Row],[PLAZO Días]],"venc", "No venc")</f>
        <v>venc</v>
      </c>
      <c r="AC1225" s="163" t="str">
        <f>+IF(Tabla2[[#This Row],[FECHA DE PAGO]]&gt;0,"pagada","por pagar")</f>
        <v>pagada</v>
      </c>
      <c r="AD1225" s="164" t="str">
        <f>+IF(AND(Tabla2[[#This Row],[venc]]="venc",Tabla2[[#This Row],[estado pago]]="por pagar"),"vencida","no")</f>
        <v>no</v>
      </c>
    </row>
    <row r="1226" spans="1:30" ht="19.5" customHeight="1" x14ac:dyDescent="0.25">
      <c r="A1226" s="8" t="s">
        <v>1850</v>
      </c>
      <c r="B1226" s="8" t="b">
        <v>0</v>
      </c>
      <c r="C1226" s="8">
        <v>30</v>
      </c>
      <c r="D1226" s="151">
        <v>0</v>
      </c>
      <c r="E1226" s="151"/>
      <c r="F1226" s="24" t="s">
        <v>414</v>
      </c>
      <c r="G1226" s="30">
        <v>45327</v>
      </c>
      <c r="H1226" s="81" t="s">
        <v>382</v>
      </c>
      <c r="I1226" s="30">
        <v>45323</v>
      </c>
      <c r="J1226" s="16" t="s">
        <v>1513</v>
      </c>
      <c r="K1226" s="9" t="s">
        <v>1530</v>
      </c>
      <c r="L1226" s="9" t="s">
        <v>1536</v>
      </c>
      <c r="M1226" s="152">
        <v>1024255</v>
      </c>
      <c r="N1226" s="153">
        <v>0</v>
      </c>
      <c r="O1226" s="152">
        <v>0</v>
      </c>
      <c r="P1226" s="154">
        <v>0</v>
      </c>
      <c r="Q1226" s="152">
        <v>0</v>
      </c>
      <c r="R1226" s="9">
        <v>1024255</v>
      </c>
      <c r="S1226" s="21" t="s">
        <v>1846</v>
      </c>
      <c r="T1226" s="117">
        <v>0</v>
      </c>
      <c r="U1226" s="117">
        <v>0</v>
      </c>
      <c r="V1226" s="117">
        <v>2024</v>
      </c>
      <c r="W1226" s="117">
        <v>7</v>
      </c>
      <c r="X1226" s="117">
        <v>0</v>
      </c>
      <c r="Y1226" s="117">
        <v>0</v>
      </c>
      <c r="Z1226" s="21" t="b">
        <v>1</v>
      </c>
      <c r="AA1226" s="162">
        <f>+$AD$5-Tabla2[[#This Row],[FECHA DE FACTURACIÓN]]</f>
        <v>120</v>
      </c>
      <c r="AB1226" s="163" t="str">
        <f>+IF(Tabla2[[#This Row],[dias de credito]]&gt;=Tabla2[[#This Row],[PLAZO Días]],"venc", "No venc")</f>
        <v>venc</v>
      </c>
      <c r="AC1226" s="163" t="str">
        <f>+IF(Tabla2[[#This Row],[FECHA DE PAGO]]&gt;0,"pagada","por pagar")</f>
        <v>pagada</v>
      </c>
      <c r="AD1226" s="164" t="str">
        <f>+IF(AND(Tabla2[[#This Row],[venc]]="venc",Tabla2[[#This Row],[estado pago]]="por pagar"),"vencida","no")</f>
        <v>no</v>
      </c>
    </row>
    <row r="1227" spans="1:30" ht="19.5" customHeight="1" x14ac:dyDescent="0.25">
      <c r="A1227" s="8" t="s">
        <v>1850</v>
      </c>
      <c r="B1227" s="8" t="b">
        <v>0</v>
      </c>
      <c r="C1227" s="8">
        <v>10</v>
      </c>
      <c r="D1227" s="151">
        <v>-3510</v>
      </c>
      <c r="E1227" s="151"/>
      <c r="F1227" s="24" t="s">
        <v>1540</v>
      </c>
      <c r="G1227" s="30">
        <v>45327</v>
      </c>
      <c r="H1227" s="81" t="s">
        <v>1452</v>
      </c>
      <c r="I1227" s="30">
        <v>45323</v>
      </c>
      <c r="J1227" s="16" t="s">
        <v>1516</v>
      </c>
      <c r="K1227" s="9" t="s">
        <v>1530</v>
      </c>
      <c r="L1227" s="9" t="s">
        <v>1536</v>
      </c>
      <c r="M1227" s="152">
        <v>4435417</v>
      </c>
      <c r="N1227" s="153">
        <v>752248</v>
      </c>
      <c r="O1227" s="152">
        <v>0</v>
      </c>
      <c r="P1227" s="154">
        <v>3.5000000000000003E-2</v>
      </c>
      <c r="Q1227" s="152">
        <v>138572</v>
      </c>
      <c r="R1227" s="9">
        <v>5049093</v>
      </c>
      <c r="S1227" s="21" t="s">
        <v>1846</v>
      </c>
      <c r="T1227" s="117">
        <v>0</v>
      </c>
      <c r="U1227" s="117" t="s">
        <v>348</v>
      </c>
      <c r="V1227" s="117">
        <v>2024</v>
      </c>
      <c r="W1227" s="117">
        <v>7</v>
      </c>
      <c r="X1227" s="117">
        <v>0</v>
      </c>
      <c r="Y1227" s="117">
        <v>3.5000000000000003E-2</v>
      </c>
      <c r="Z1227" s="21" t="b">
        <v>1</v>
      </c>
      <c r="AA1227" s="162">
        <f>+$AD$5-Tabla2[[#This Row],[FECHA DE FACTURACIÓN]]</f>
        <v>120</v>
      </c>
      <c r="AB1227" s="163" t="str">
        <f>+IF(Tabla2[[#This Row],[dias de credito]]&gt;=Tabla2[[#This Row],[PLAZO Días]],"venc", "No venc")</f>
        <v>venc</v>
      </c>
      <c r="AC1227" s="163" t="str">
        <f>+IF(Tabla2[[#This Row],[FECHA DE PAGO]]&gt;0,"pagada","por pagar")</f>
        <v>pagada</v>
      </c>
      <c r="AD1227" s="164" t="str">
        <f>+IF(AND(Tabla2[[#This Row],[venc]]="venc",Tabla2[[#This Row],[estado pago]]="por pagar"),"vencida","no")</f>
        <v>no</v>
      </c>
    </row>
    <row r="1228" spans="1:30" ht="19.5" customHeight="1" x14ac:dyDescent="0.25">
      <c r="A1228" s="8" t="s">
        <v>1850</v>
      </c>
      <c r="B1228" s="8" t="b">
        <v>0</v>
      </c>
      <c r="C1228" s="8">
        <v>30</v>
      </c>
      <c r="D1228" s="151">
        <v>0</v>
      </c>
      <c r="E1228" s="151"/>
      <c r="F1228" s="24" t="s">
        <v>153</v>
      </c>
      <c r="G1228" s="30">
        <v>45327</v>
      </c>
      <c r="H1228" s="81" t="s">
        <v>394</v>
      </c>
      <c r="I1228" s="30">
        <v>45323</v>
      </c>
      <c r="J1228" s="16" t="s">
        <v>394</v>
      </c>
      <c r="K1228" s="9" t="s">
        <v>1530</v>
      </c>
      <c r="L1228" s="9" t="s">
        <v>1536</v>
      </c>
      <c r="M1228" s="152">
        <v>246233</v>
      </c>
      <c r="N1228" s="153">
        <v>46784.270000000004</v>
      </c>
      <c r="O1228" s="152">
        <v>0</v>
      </c>
      <c r="P1228" s="154">
        <v>3.5000000000000003E-2</v>
      </c>
      <c r="Q1228" s="152">
        <v>8618.1550000000007</v>
      </c>
      <c r="R1228" s="9">
        <v>284399.11499999999</v>
      </c>
      <c r="S1228" s="21" t="s">
        <v>1846</v>
      </c>
      <c r="T1228" s="117">
        <v>0</v>
      </c>
      <c r="U1228" s="117" t="s">
        <v>348</v>
      </c>
      <c r="V1228" s="117">
        <v>2024</v>
      </c>
      <c r="W1228" s="117">
        <v>7</v>
      </c>
      <c r="X1228" s="117">
        <v>0</v>
      </c>
      <c r="Y1228" s="117">
        <v>3.5000000000000003E-2</v>
      </c>
      <c r="Z1228" s="21" t="b">
        <v>1</v>
      </c>
      <c r="AA1228" s="162">
        <f>+$AD$5-Tabla2[[#This Row],[FECHA DE FACTURACIÓN]]</f>
        <v>120</v>
      </c>
      <c r="AB1228" s="163" t="str">
        <f>+IF(Tabla2[[#This Row],[dias de credito]]&gt;=Tabla2[[#This Row],[PLAZO Días]],"venc", "No venc")</f>
        <v>venc</v>
      </c>
      <c r="AC1228" s="163" t="str">
        <f>+IF(Tabla2[[#This Row],[FECHA DE PAGO]]&gt;0,"pagada","por pagar")</f>
        <v>pagada</v>
      </c>
      <c r="AD1228" s="164" t="str">
        <f>+IF(AND(Tabla2[[#This Row],[venc]]="venc",Tabla2[[#This Row],[estado pago]]="por pagar"),"vencida","no")</f>
        <v>no</v>
      </c>
    </row>
    <row r="1229" spans="1:30" ht="19.5" customHeight="1" x14ac:dyDescent="0.25">
      <c r="A1229" s="8" t="s">
        <v>1850</v>
      </c>
      <c r="B1229" s="8" t="b">
        <v>0</v>
      </c>
      <c r="C1229" s="8">
        <v>10</v>
      </c>
      <c r="D1229" s="151">
        <v>0</v>
      </c>
      <c r="E1229" s="151"/>
      <c r="F1229" s="24" t="s">
        <v>483</v>
      </c>
      <c r="G1229" s="30">
        <v>45327</v>
      </c>
      <c r="H1229" s="81" t="s">
        <v>482</v>
      </c>
      <c r="I1229" s="30">
        <v>45323</v>
      </c>
      <c r="J1229" s="16" t="s">
        <v>1514</v>
      </c>
      <c r="K1229" s="9" t="s">
        <v>1530</v>
      </c>
      <c r="L1229" s="9" t="s">
        <v>1536</v>
      </c>
      <c r="M1229" s="152">
        <v>5350576</v>
      </c>
      <c r="N1229" s="153">
        <v>1016609.4400000001</v>
      </c>
      <c r="O1229" s="152">
        <v>0</v>
      </c>
      <c r="P1229" s="154">
        <v>0</v>
      </c>
      <c r="Q1229" s="152">
        <v>0</v>
      </c>
      <c r="R1229" s="9">
        <v>6367185.4400000004</v>
      </c>
      <c r="S1229" s="21" t="s">
        <v>1846</v>
      </c>
      <c r="T1229" s="117">
        <v>0</v>
      </c>
      <c r="U1229" s="117">
        <v>0</v>
      </c>
      <c r="V1229" s="117">
        <v>2024</v>
      </c>
      <c r="W1229" s="117">
        <v>7</v>
      </c>
      <c r="X1229" s="117">
        <v>0</v>
      </c>
      <c r="Y1229" s="117">
        <v>0</v>
      </c>
      <c r="Z1229" s="21" t="b">
        <v>1</v>
      </c>
      <c r="AA1229" s="162">
        <f>+$AD$5-Tabla2[[#This Row],[FECHA DE FACTURACIÓN]]</f>
        <v>120</v>
      </c>
      <c r="AB1229" s="163" t="str">
        <f>+IF(Tabla2[[#This Row],[dias de credito]]&gt;=Tabla2[[#This Row],[PLAZO Días]],"venc", "No venc")</f>
        <v>venc</v>
      </c>
      <c r="AC1229" s="163" t="str">
        <f>+IF(Tabla2[[#This Row],[FECHA DE PAGO]]&gt;0,"pagada","por pagar")</f>
        <v>pagada</v>
      </c>
      <c r="AD1229" s="164" t="str">
        <f>+IF(AND(Tabla2[[#This Row],[venc]]="venc",Tabla2[[#This Row],[estado pago]]="por pagar"),"vencida","no")</f>
        <v>no</v>
      </c>
    </row>
    <row r="1230" spans="1:30" ht="19.5" customHeight="1" x14ac:dyDescent="0.25">
      <c r="A1230" s="8" t="s">
        <v>1850</v>
      </c>
      <c r="B1230" s="8" t="b">
        <v>0</v>
      </c>
      <c r="C1230" s="8">
        <v>30</v>
      </c>
      <c r="D1230" s="151">
        <v>1391998.93</v>
      </c>
      <c r="E1230" s="151"/>
      <c r="F1230" s="24" t="s">
        <v>1185</v>
      </c>
      <c r="G1230" s="30">
        <v>45327</v>
      </c>
      <c r="H1230" s="81" t="s">
        <v>1186</v>
      </c>
      <c r="I1230" s="30">
        <v>45325</v>
      </c>
      <c r="J1230" s="16" t="s">
        <v>1546</v>
      </c>
      <c r="K1230" s="9" t="s">
        <v>1530</v>
      </c>
      <c r="L1230" s="9" t="s">
        <v>1395</v>
      </c>
      <c r="M1230" s="152">
        <v>546220</v>
      </c>
      <c r="N1230" s="153">
        <v>103781.8</v>
      </c>
      <c r="O1230" s="152">
        <v>0</v>
      </c>
      <c r="P1230" s="154">
        <v>0</v>
      </c>
      <c r="Q1230" s="152">
        <v>0</v>
      </c>
      <c r="R1230" s="9">
        <v>650001.80000000005</v>
      </c>
      <c r="S1230" s="21" t="s">
        <v>1846</v>
      </c>
      <c r="T1230" s="117">
        <v>0</v>
      </c>
      <c r="U1230" s="117" t="s">
        <v>347</v>
      </c>
      <c r="V1230" s="117">
        <v>2024</v>
      </c>
      <c r="W1230" s="117">
        <v>7</v>
      </c>
      <c r="X1230" s="117">
        <v>1271000</v>
      </c>
      <c r="Y1230" s="117">
        <v>2.5000000000000001E-2</v>
      </c>
      <c r="Z1230" s="21" t="b">
        <v>0</v>
      </c>
      <c r="AA1230" s="162">
        <f>+$AD$5-Tabla2[[#This Row],[FECHA DE FACTURACIÓN]]</f>
        <v>118</v>
      </c>
      <c r="AB1230" s="163" t="str">
        <f>+IF(Tabla2[[#This Row],[dias de credito]]&gt;=Tabla2[[#This Row],[PLAZO Días]],"venc", "No venc")</f>
        <v>venc</v>
      </c>
      <c r="AC1230" s="163" t="str">
        <f>+IF(Tabla2[[#This Row],[FECHA DE PAGO]]&gt;0,"pagada","por pagar")</f>
        <v>pagada</v>
      </c>
      <c r="AD1230" s="164" t="str">
        <f>+IF(AND(Tabla2[[#This Row],[venc]]="venc",Tabla2[[#This Row],[estado pago]]="por pagar"),"vencida","no")</f>
        <v>no</v>
      </c>
    </row>
    <row r="1231" spans="1:30" ht="19.5" customHeight="1" x14ac:dyDescent="0.25">
      <c r="A1231" s="8" t="s">
        <v>1852</v>
      </c>
      <c r="B1231" s="8" t="b">
        <v>0</v>
      </c>
      <c r="C1231" s="8">
        <v>30</v>
      </c>
      <c r="D1231" s="151">
        <v>0</v>
      </c>
      <c r="E1231" s="151"/>
      <c r="F1231" s="24" t="s">
        <v>84</v>
      </c>
      <c r="G1231" s="30">
        <v>45327</v>
      </c>
      <c r="H1231" s="81" t="s">
        <v>481</v>
      </c>
      <c r="I1231" s="30">
        <v>45327</v>
      </c>
      <c r="J1231" s="16" t="s">
        <v>1544</v>
      </c>
      <c r="K1231" s="9" t="s">
        <v>1530</v>
      </c>
      <c r="L1231" s="9" t="s">
        <v>1541</v>
      </c>
      <c r="M1231" s="152">
        <v>2430000</v>
      </c>
      <c r="N1231" s="153">
        <v>0</v>
      </c>
      <c r="O1231" s="152">
        <v>0</v>
      </c>
      <c r="P1231" s="154">
        <v>0</v>
      </c>
      <c r="Q1231" s="152">
        <v>0</v>
      </c>
      <c r="R1231" s="9">
        <v>2430000</v>
      </c>
      <c r="S1231" s="21" t="s">
        <v>1846</v>
      </c>
      <c r="T1231" s="117">
        <v>0</v>
      </c>
      <c r="U1231" s="117">
        <v>0</v>
      </c>
      <c r="V1231" s="117">
        <v>2024</v>
      </c>
      <c r="W1231" s="117">
        <v>7</v>
      </c>
      <c r="X1231" s="117">
        <v>0</v>
      </c>
      <c r="Y1231" s="117">
        <v>0</v>
      </c>
      <c r="Z1231" s="21" t="b">
        <v>0</v>
      </c>
      <c r="AA1231" s="162">
        <f>+$AD$5-Tabla2[[#This Row],[FECHA DE FACTURACIÓN]]</f>
        <v>116</v>
      </c>
      <c r="AB1231" s="163" t="str">
        <f>+IF(Tabla2[[#This Row],[dias de credito]]&gt;=Tabla2[[#This Row],[PLAZO Días]],"venc", "No venc")</f>
        <v>venc</v>
      </c>
      <c r="AC1231" s="163" t="str">
        <f>+IF(Tabla2[[#This Row],[FECHA DE PAGO]]&gt;0,"pagada","por pagar")</f>
        <v>pagada</v>
      </c>
      <c r="AD1231" s="164" t="str">
        <f>+IF(AND(Tabla2[[#This Row],[venc]]="venc",Tabla2[[#This Row],[estado pago]]="por pagar"),"vencida","no")</f>
        <v>no</v>
      </c>
    </row>
    <row r="1232" spans="1:30" ht="19.5" customHeight="1" x14ac:dyDescent="0.25">
      <c r="A1232" s="8" t="s">
        <v>1852</v>
      </c>
      <c r="B1232" s="8" t="b">
        <v>0</v>
      </c>
      <c r="C1232" s="8">
        <v>30</v>
      </c>
      <c r="D1232" s="151">
        <v>0</v>
      </c>
      <c r="E1232" s="151"/>
      <c r="F1232" s="24" t="s">
        <v>84</v>
      </c>
      <c r="G1232" s="30">
        <v>45328</v>
      </c>
      <c r="H1232" s="81" t="s">
        <v>36</v>
      </c>
      <c r="I1232" s="30">
        <v>45328</v>
      </c>
      <c r="J1232" s="16" t="s">
        <v>1547</v>
      </c>
      <c r="K1232" s="9" t="s">
        <v>1530</v>
      </c>
      <c r="L1232" s="9" t="s">
        <v>1395</v>
      </c>
      <c r="M1232" s="152">
        <v>37154</v>
      </c>
      <c r="N1232" s="153">
        <v>7059.26</v>
      </c>
      <c r="O1232" s="152">
        <v>0</v>
      </c>
      <c r="P1232" s="154">
        <v>0</v>
      </c>
      <c r="Q1232" s="152">
        <v>0</v>
      </c>
      <c r="R1232" s="9">
        <v>44213.26</v>
      </c>
      <c r="S1232" s="21" t="s">
        <v>1846</v>
      </c>
      <c r="T1232" s="117">
        <v>0</v>
      </c>
      <c r="U1232" s="117" t="s">
        <v>347</v>
      </c>
      <c r="V1232" s="117">
        <v>2024</v>
      </c>
      <c r="W1232" s="117">
        <v>7</v>
      </c>
      <c r="X1232" s="117">
        <v>1271000</v>
      </c>
      <c r="Y1232" s="117">
        <v>2.5000000000000001E-2</v>
      </c>
      <c r="Z1232" s="21" t="b">
        <v>0</v>
      </c>
      <c r="AA1232" s="162">
        <f>+$AD$5-Tabla2[[#This Row],[FECHA DE FACTURACIÓN]]</f>
        <v>115</v>
      </c>
      <c r="AB1232" s="163" t="str">
        <f>+IF(Tabla2[[#This Row],[dias de credito]]&gt;=Tabla2[[#This Row],[PLAZO Días]],"venc", "No venc")</f>
        <v>venc</v>
      </c>
      <c r="AC1232" s="163" t="str">
        <f>+IF(Tabla2[[#This Row],[FECHA DE PAGO]]&gt;0,"pagada","por pagar")</f>
        <v>pagada</v>
      </c>
      <c r="AD1232" s="164" t="str">
        <f>+IF(AND(Tabla2[[#This Row],[venc]]="venc",Tabla2[[#This Row],[estado pago]]="por pagar"),"vencida","no")</f>
        <v>no</v>
      </c>
    </row>
    <row r="1233" spans="1:30" ht="19.5" hidden="1" customHeight="1" x14ac:dyDescent="0.25">
      <c r="A1233" s="8" t="s">
        <v>1850</v>
      </c>
      <c r="B1233" s="8" t="s">
        <v>1851</v>
      </c>
      <c r="C1233" s="8">
        <v>30</v>
      </c>
      <c r="D1233" s="151">
        <v>0</v>
      </c>
      <c r="E1233" s="151"/>
      <c r="F1233" s="24" t="s">
        <v>84</v>
      </c>
      <c r="G1233" s="30">
        <v>45329</v>
      </c>
      <c r="H1233" s="81" t="s">
        <v>1811</v>
      </c>
      <c r="I1233" s="30">
        <v>45282</v>
      </c>
      <c r="J1233" s="16" t="s">
        <v>1367</v>
      </c>
      <c r="K1233" s="9" t="s">
        <v>1530</v>
      </c>
      <c r="L1233" s="9" t="s">
        <v>1395</v>
      </c>
      <c r="M1233" s="152">
        <v>1500000</v>
      </c>
      <c r="N1233" s="153">
        <v>0</v>
      </c>
      <c r="O1233" s="152">
        <v>0</v>
      </c>
      <c r="P1233" s="154">
        <v>0</v>
      </c>
      <c r="Q1233" s="152">
        <v>0</v>
      </c>
      <c r="R1233" s="9">
        <v>1500000</v>
      </c>
      <c r="S1233" s="21" t="s">
        <v>1846</v>
      </c>
      <c r="T1233" s="117">
        <v>0</v>
      </c>
      <c r="U1233" s="117">
        <v>0</v>
      </c>
      <c r="V1233" s="117">
        <v>2023</v>
      </c>
      <c r="W1233" s="117">
        <v>6</v>
      </c>
      <c r="X1233" s="117">
        <v>0</v>
      </c>
      <c r="Y1233" s="117">
        <v>0</v>
      </c>
      <c r="Z1233" s="21" t="b">
        <v>0</v>
      </c>
      <c r="AA1233" s="162">
        <f>+$AD$5-Tabla2[[#This Row],[FECHA DE FACTURACIÓN]]</f>
        <v>161</v>
      </c>
      <c r="AB1233" s="163" t="str">
        <f>+IF(Tabla2[[#This Row],[dias de credito]]&gt;=Tabla2[[#This Row],[PLAZO Días]],"venc", "No venc")</f>
        <v>venc</v>
      </c>
      <c r="AC1233" s="163" t="str">
        <f>+IF(Tabla2[[#This Row],[FECHA DE PAGO]]&gt;0,"pagada","por pagar")</f>
        <v>pagada</v>
      </c>
      <c r="AD1233" s="164" t="str">
        <f>+IF(AND(Tabla2[[#This Row],[venc]]="venc",Tabla2[[#This Row],[estado pago]]="por pagar"),"vencida","no")</f>
        <v>no</v>
      </c>
    </row>
    <row r="1234" spans="1:30" ht="19.5" hidden="1" customHeight="1" x14ac:dyDescent="0.25">
      <c r="A1234" s="8" t="s">
        <v>1850</v>
      </c>
      <c r="B1234" s="8" t="s">
        <v>1851</v>
      </c>
      <c r="C1234" s="8">
        <v>30</v>
      </c>
      <c r="D1234" s="151">
        <v>3130000</v>
      </c>
      <c r="E1234" s="151"/>
      <c r="F1234" s="24">
        <v>0</v>
      </c>
      <c r="G1234" s="30">
        <v>45330</v>
      </c>
      <c r="H1234" s="81" t="s">
        <v>472</v>
      </c>
      <c r="I1234" s="30">
        <v>45274</v>
      </c>
      <c r="J1234" s="16" t="s">
        <v>1323</v>
      </c>
      <c r="K1234" s="9" t="s">
        <v>1530</v>
      </c>
      <c r="L1234" s="9" t="s">
        <v>1395</v>
      </c>
      <c r="M1234" s="152">
        <v>2700000</v>
      </c>
      <c r="N1234" s="153">
        <v>0</v>
      </c>
      <c r="O1234" s="152">
        <v>0</v>
      </c>
      <c r="P1234" s="154">
        <v>0</v>
      </c>
      <c r="Q1234" s="152">
        <v>0</v>
      </c>
      <c r="R1234" s="9">
        <v>2700000</v>
      </c>
      <c r="S1234" s="21" t="s">
        <v>1846</v>
      </c>
      <c r="T1234" s="117">
        <v>0</v>
      </c>
      <c r="U1234" s="117">
        <v>0</v>
      </c>
      <c r="V1234" s="117">
        <v>2023</v>
      </c>
      <c r="W1234" s="117">
        <v>6</v>
      </c>
      <c r="X1234" s="117">
        <v>0</v>
      </c>
      <c r="Y1234" s="117">
        <v>0</v>
      </c>
      <c r="Z1234" s="21" t="b">
        <v>0</v>
      </c>
      <c r="AA1234" s="162">
        <f>+$AD$5-Tabla2[[#This Row],[FECHA DE FACTURACIÓN]]</f>
        <v>169</v>
      </c>
      <c r="AB1234" s="163" t="str">
        <f>+IF(Tabla2[[#This Row],[dias de credito]]&gt;=Tabla2[[#This Row],[PLAZO Días]],"venc", "No venc")</f>
        <v>venc</v>
      </c>
      <c r="AC1234" s="163" t="str">
        <f>+IF(Tabla2[[#This Row],[FECHA DE PAGO]]&gt;0,"pagada","por pagar")</f>
        <v>pagada</v>
      </c>
      <c r="AD1234" s="164" t="str">
        <f>+IF(AND(Tabla2[[#This Row],[venc]]="venc",Tabla2[[#This Row],[estado pago]]="por pagar"),"vencida","no")</f>
        <v>no</v>
      </c>
    </row>
    <row r="1235" spans="1:30" ht="19.5" hidden="1" customHeight="1" x14ac:dyDescent="0.25">
      <c r="A1235" s="8" t="s">
        <v>1850</v>
      </c>
      <c r="B1235" s="8" t="s">
        <v>1851</v>
      </c>
      <c r="C1235" s="8">
        <v>30</v>
      </c>
      <c r="D1235" s="151">
        <v>0</v>
      </c>
      <c r="E1235" s="151"/>
      <c r="F1235" s="24">
        <v>0</v>
      </c>
      <c r="G1235" s="30">
        <v>45330</v>
      </c>
      <c r="H1235" s="81" t="s">
        <v>864</v>
      </c>
      <c r="I1235" s="30">
        <v>45287</v>
      </c>
      <c r="J1235" s="16" t="s">
        <v>1380</v>
      </c>
      <c r="K1235" s="9" t="s">
        <v>1530</v>
      </c>
      <c r="L1235" s="9" t="s">
        <v>1395</v>
      </c>
      <c r="M1235" s="152">
        <v>1110000</v>
      </c>
      <c r="N1235" s="153">
        <v>210900</v>
      </c>
      <c r="O1235" s="152">
        <v>0</v>
      </c>
      <c r="P1235" s="154">
        <v>0</v>
      </c>
      <c r="Q1235" s="152">
        <v>0</v>
      </c>
      <c r="R1235" s="9">
        <v>1320900</v>
      </c>
      <c r="S1235" s="21" t="s">
        <v>1846</v>
      </c>
      <c r="T1235" s="117">
        <v>0</v>
      </c>
      <c r="U1235" s="117" t="s">
        <v>347</v>
      </c>
      <c r="V1235" s="117">
        <v>2023</v>
      </c>
      <c r="W1235" s="117">
        <v>6</v>
      </c>
      <c r="X1235" s="117">
        <v>1145000</v>
      </c>
      <c r="Y1235" s="117">
        <v>2.5000000000000001E-2</v>
      </c>
      <c r="Z1235" s="21" t="b">
        <v>0</v>
      </c>
      <c r="AA1235" s="162">
        <f>+$AD$5-Tabla2[[#This Row],[FECHA DE FACTURACIÓN]]</f>
        <v>156</v>
      </c>
      <c r="AB1235" s="163" t="str">
        <f>+IF(Tabla2[[#This Row],[dias de credito]]&gt;=Tabla2[[#This Row],[PLAZO Días]],"venc", "No venc")</f>
        <v>venc</v>
      </c>
      <c r="AC1235" s="163" t="str">
        <f>+IF(Tabla2[[#This Row],[FECHA DE PAGO]]&gt;0,"pagada","por pagar")</f>
        <v>pagada</v>
      </c>
      <c r="AD1235" s="164" t="str">
        <f>+IF(AND(Tabla2[[#This Row],[venc]]="venc",Tabla2[[#This Row],[estado pago]]="por pagar"),"vencida","no")</f>
        <v>no</v>
      </c>
    </row>
    <row r="1236" spans="1:30" ht="19.5" customHeight="1" x14ac:dyDescent="0.25">
      <c r="A1236" s="8" t="s">
        <v>1852</v>
      </c>
      <c r="B1236" s="8" t="b">
        <v>0</v>
      </c>
      <c r="C1236" s="8">
        <v>30</v>
      </c>
      <c r="D1236" s="151">
        <v>3130000</v>
      </c>
      <c r="E1236" s="151"/>
      <c r="F1236" s="24">
        <v>0</v>
      </c>
      <c r="G1236" s="30">
        <v>45330</v>
      </c>
      <c r="H1236" s="81" t="s">
        <v>472</v>
      </c>
      <c r="I1236" s="30">
        <v>45330</v>
      </c>
      <c r="J1236" s="16" t="s">
        <v>1558</v>
      </c>
      <c r="K1236" s="9" t="s">
        <v>1530</v>
      </c>
      <c r="L1236" s="9" t="s">
        <v>1395</v>
      </c>
      <c r="M1236" s="152">
        <v>800000</v>
      </c>
      <c r="N1236" s="153">
        <v>0</v>
      </c>
      <c r="O1236" s="152">
        <v>0</v>
      </c>
      <c r="P1236" s="154">
        <v>0</v>
      </c>
      <c r="Q1236" s="152">
        <v>0</v>
      </c>
      <c r="R1236" s="9">
        <v>800000</v>
      </c>
      <c r="S1236" s="21" t="s">
        <v>1846</v>
      </c>
      <c r="T1236" s="117">
        <v>0</v>
      </c>
      <c r="U1236" s="117">
        <v>0</v>
      </c>
      <c r="V1236" s="117">
        <v>2024</v>
      </c>
      <c r="W1236" s="117">
        <v>7</v>
      </c>
      <c r="X1236" s="117">
        <v>0</v>
      </c>
      <c r="Y1236" s="117">
        <v>0</v>
      </c>
      <c r="Z1236" s="21" t="b">
        <v>0</v>
      </c>
      <c r="AA1236" s="162">
        <f>+$AD$5-Tabla2[[#This Row],[FECHA DE FACTURACIÓN]]</f>
        <v>113</v>
      </c>
      <c r="AB1236" s="163" t="str">
        <f>+IF(Tabla2[[#This Row],[dias de credito]]&gt;=Tabla2[[#This Row],[PLAZO Días]],"venc", "No venc")</f>
        <v>venc</v>
      </c>
      <c r="AC1236" s="163" t="str">
        <f>+IF(Tabla2[[#This Row],[FECHA DE PAGO]]&gt;0,"pagada","por pagar")</f>
        <v>pagada</v>
      </c>
      <c r="AD1236" s="164" t="str">
        <f>+IF(AND(Tabla2[[#This Row],[venc]]="venc",Tabla2[[#This Row],[estado pago]]="por pagar"),"vencida","no")</f>
        <v>no</v>
      </c>
    </row>
    <row r="1237" spans="1:30" ht="19.5" customHeight="1" x14ac:dyDescent="0.25">
      <c r="A1237" s="8" t="s">
        <v>1852</v>
      </c>
      <c r="B1237" s="8" t="b">
        <v>0</v>
      </c>
      <c r="C1237" s="8">
        <v>30</v>
      </c>
      <c r="D1237" s="151">
        <v>0</v>
      </c>
      <c r="E1237" s="151"/>
      <c r="F1237" s="24" t="s">
        <v>84</v>
      </c>
      <c r="G1237" s="30">
        <v>45331</v>
      </c>
      <c r="H1237" s="81" t="s">
        <v>1824</v>
      </c>
      <c r="I1237" s="30">
        <v>45331</v>
      </c>
      <c r="J1237" s="16"/>
      <c r="K1237" s="9" t="s">
        <v>1530</v>
      </c>
      <c r="L1237" s="9" t="s">
        <v>1395</v>
      </c>
      <c r="M1237" s="152">
        <v>1263000</v>
      </c>
      <c r="N1237" s="153">
        <v>0</v>
      </c>
      <c r="O1237" s="152">
        <v>0</v>
      </c>
      <c r="P1237" s="154">
        <v>0</v>
      </c>
      <c r="Q1237" s="152">
        <v>0</v>
      </c>
      <c r="R1237" s="9">
        <v>1263000</v>
      </c>
      <c r="S1237" s="21" t="s">
        <v>1846</v>
      </c>
      <c r="T1237" s="117">
        <v>0</v>
      </c>
      <c r="U1237" s="117">
        <v>0</v>
      </c>
      <c r="V1237" s="117">
        <v>2024</v>
      </c>
      <c r="W1237" s="117">
        <v>7</v>
      </c>
      <c r="X1237" s="117">
        <v>0</v>
      </c>
      <c r="Y1237" s="117">
        <v>0</v>
      </c>
      <c r="Z1237" s="21" t="b">
        <v>0</v>
      </c>
      <c r="AA1237" s="162">
        <f>+$AD$5-Tabla2[[#This Row],[FECHA DE FACTURACIÓN]]</f>
        <v>112</v>
      </c>
      <c r="AB1237" s="163" t="str">
        <f>+IF(Tabla2[[#This Row],[dias de credito]]&gt;=Tabla2[[#This Row],[PLAZO Días]],"venc", "No venc")</f>
        <v>venc</v>
      </c>
      <c r="AC1237" s="163" t="str">
        <f>+IF(Tabla2[[#This Row],[FECHA DE PAGO]]&gt;0,"pagada","por pagar")</f>
        <v>pagada</v>
      </c>
      <c r="AD1237" s="164" t="str">
        <f>+IF(AND(Tabla2[[#This Row],[venc]]="venc",Tabla2[[#This Row],[estado pago]]="por pagar"),"vencida","no")</f>
        <v>no</v>
      </c>
    </row>
    <row r="1238" spans="1:30" ht="19.5" customHeight="1" x14ac:dyDescent="0.25">
      <c r="A1238" s="8" t="s">
        <v>1852</v>
      </c>
      <c r="B1238" s="8" t="b">
        <v>0</v>
      </c>
      <c r="C1238" s="8">
        <v>30</v>
      </c>
      <c r="D1238" s="151">
        <v>0</v>
      </c>
      <c r="E1238" s="151"/>
      <c r="F1238" s="24">
        <v>0</v>
      </c>
      <c r="G1238" s="30">
        <v>45331</v>
      </c>
      <c r="H1238" s="81" t="s">
        <v>387</v>
      </c>
      <c r="I1238" s="30">
        <v>45331</v>
      </c>
      <c r="J1238" s="16" t="s">
        <v>173</v>
      </c>
      <c r="K1238" s="9" t="s">
        <v>1530</v>
      </c>
      <c r="L1238" s="9" t="s">
        <v>1534</v>
      </c>
      <c r="M1238" s="152">
        <v>411454</v>
      </c>
      <c r="N1238" s="153">
        <v>0</v>
      </c>
      <c r="O1238" s="152">
        <v>0</v>
      </c>
      <c r="P1238" s="154">
        <v>0</v>
      </c>
      <c r="Q1238" s="152">
        <v>0</v>
      </c>
      <c r="R1238" s="9">
        <v>411454</v>
      </c>
      <c r="S1238" s="21" t="s">
        <v>1846</v>
      </c>
      <c r="T1238" s="117">
        <v>0</v>
      </c>
      <c r="U1238" s="117">
        <v>0</v>
      </c>
      <c r="V1238" s="117">
        <v>2024</v>
      </c>
      <c r="W1238" s="117">
        <v>7</v>
      </c>
      <c r="X1238" s="117">
        <v>0</v>
      </c>
      <c r="Y1238" s="117">
        <v>0</v>
      </c>
      <c r="Z1238" s="21" t="b">
        <v>1</v>
      </c>
      <c r="AA1238" s="162">
        <f>+$AD$5-Tabla2[[#This Row],[FECHA DE FACTURACIÓN]]</f>
        <v>112</v>
      </c>
      <c r="AB1238" s="163" t="str">
        <f>+IF(Tabla2[[#This Row],[dias de credito]]&gt;=Tabla2[[#This Row],[PLAZO Días]],"venc", "No venc")</f>
        <v>venc</v>
      </c>
      <c r="AC1238" s="163" t="str">
        <f>+IF(Tabla2[[#This Row],[FECHA DE PAGO]]&gt;0,"pagada","por pagar")</f>
        <v>pagada</v>
      </c>
      <c r="AD1238" s="164" t="str">
        <f>+IF(AND(Tabla2[[#This Row],[venc]]="venc",Tabla2[[#This Row],[estado pago]]="por pagar"),"vencida","no")</f>
        <v>no</v>
      </c>
    </row>
    <row r="1239" spans="1:30" ht="19.5" customHeight="1" x14ac:dyDescent="0.25">
      <c r="A1239" s="8" t="s">
        <v>1852</v>
      </c>
      <c r="B1239" s="8" t="b">
        <v>0</v>
      </c>
      <c r="C1239" s="8">
        <v>30</v>
      </c>
      <c r="D1239" s="151">
        <v>1350000</v>
      </c>
      <c r="E1239" s="151"/>
      <c r="F1239" s="24" t="s">
        <v>84</v>
      </c>
      <c r="G1239" s="30">
        <v>45332</v>
      </c>
      <c r="H1239" s="81" t="s">
        <v>1807</v>
      </c>
      <c r="I1239" s="30">
        <v>45332</v>
      </c>
      <c r="J1239" s="16" t="s">
        <v>1557</v>
      </c>
      <c r="K1239" s="9" t="s">
        <v>1530</v>
      </c>
      <c r="L1239" s="9" t="s">
        <v>1395</v>
      </c>
      <c r="M1239" s="152">
        <v>820000</v>
      </c>
      <c r="N1239" s="153">
        <v>0</v>
      </c>
      <c r="O1239" s="152">
        <v>0</v>
      </c>
      <c r="P1239" s="154">
        <v>0</v>
      </c>
      <c r="Q1239" s="152">
        <v>0</v>
      </c>
      <c r="R1239" s="9">
        <v>820000</v>
      </c>
      <c r="S1239" s="21" t="s">
        <v>1846</v>
      </c>
      <c r="T1239" s="117">
        <v>0</v>
      </c>
      <c r="U1239" s="117">
        <v>0</v>
      </c>
      <c r="V1239" s="117">
        <v>2024</v>
      </c>
      <c r="W1239" s="117">
        <v>7</v>
      </c>
      <c r="X1239" s="117">
        <v>0</v>
      </c>
      <c r="Y1239" s="117">
        <v>0</v>
      </c>
      <c r="Z1239" s="21" t="b">
        <v>0</v>
      </c>
      <c r="AA1239" s="162">
        <f>+$AD$5-Tabla2[[#This Row],[FECHA DE FACTURACIÓN]]</f>
        <v>111</v>
      </c>
      <c r="AB1239" s="163" t="str">
        <f>+IF(Tabla2[[#This Row],[dias de credito]]&gt;=Tabla2[[#This Row],[PLAZO Días]],"venc", "No venc")</f>
        <v>venc</v>
      </c>
      <c r="AC1239" s="163" t="str">
        <f>+IF(Tabla2[[#This Row],[FECHA DE PAGO]]&gt;0,"pagada","por pagar")</f>
        <v>pagada</v>
      </c>
      <c r="AD1239" s="164" t="str">
        <f>+IF(AND(Tabla2[[#This Row],[venc]]="venc",Tabla2[[#This Row],[estado pago]]="por pagar"),"vencida","no")</f>
        <v>no</v>
      </c>
    </row>
    <row r="1240" spans="1:30" ht="19.5" customHeight="1" x14ac:dyDescent="0.25">
      <c r="A1240" s="8" t="s">
        <v>1850</v>
      </c>
      <c r="B1240" s="8" t="s">
        <v>1851</v>
      </c>
      <c r="C1240" s="8">
        <v>30</v>
      </c>
      <c r="D1240" s="151">
        <v>2095000</v>
      </c>
      <c r="E1240" s="151"/>
      <c r="F1240" s="24" t="s">
        <v>204</v>
      </c>
      <c r="G1240" s="30">
        <v>45334</v>
      </c>
      <c r="H1240" s="81" t="s">
        <v>1804</v>
      </c>
      <c r="I1240" s="30">
        <v>45302</v>
      </c>
      <c r="J1240" s="16" t="s">
        <v>1432</v>
      </c>
      <c r="K1240" s="9" t="s">
        <v>1530</v>
      </c>
      <c r="L1240" s="9" t="s">
        <v>1395</v>
      </c>
      <c r="M1240" s="152">
        <v>4202500</v>
      </c>
      <c r="N1240" s="153">
        <v>0</v>
      </c>
      <c r="O1240" s="152">
        <v>0</v>
      </c>
      <c r="P1240" s="154">
        <v>0</v>
      </c>
      <c r="Q1240" s="152">
        <v>0</v>
      </c>
      <c r="R1240" s="9">
        <v>4202500</v>
      </c>
      <c r="S1240" s="21" t="s">
        <v>1846</v>
      </c>
      <c r="T1240" s="117">
        <v>0</v>
      </c>
      <c r="U1240" s="117">
        <v>0</v>
      </c>
      <c r="V1240" s="117">
        <v>2024</v>
      </c>
      <c r="W1240" s="117">
        <v>7</v>
      </c>
      <c r="X1240" s="117">
        <v>0</v>
      </c>
      <c r="Y1240" s="117">
        <v>0</v>
      </c>
      <c r="Z1240" s="21" t="b">
        <v>0</v>
      </c>
      <c r="AA1240" s="162">
        <f>+$AD$5-Tabla2[[#This Row],[FECHA DE FACTURACIÓN]]</f>
        <v>141</v>
      </c>
      <c r="AB1240" s="163" t="str">
        <f>+IF(Tabla2[[#This Row],[dias de credito]]&gt;=Tabla2[[#This Row],[PLAZO Días]],"venc", "No venc")</f>
        <v>venc</v>
      </c>
      <c r="AC1240" s="163" t="str">
        <f>+IF(Tabla2[[#This Row],[FECHA DE PAGO]]&gt;0,"pagada","por pagar")</f>
        <v>pagada</v>
      </c>
      <c r="AD1240" s="164" t="str">
        <f>+IF(AND(Tabla2[[#This Row],[venc]]="venc",Tabla2[[#This Row],[estado pago]]="por pagar"),"vencida","no")</f>
        <v>no</v>
      </c>
    </row>
    <row r="1241" spans="1:30" ht="19.5" customHeight="1" x14ac:dyDescent="0.25">
      <c r="A1241" s="8" t="s">
        <v>1852</v>
      </c>
      <c r="B1241" s="8" t="b">
        <v>0</v>
      </c>
      <c r="C1241" s="8">
        <v>30</v>
      </c>
      <c r="D1241" s="151">
        <v>1350000</v>
      </c>
      <c r="E1241" s="151"/>
      <c r="F1241" s="24" t="s">
        <v>84</v>
      </c>
      <c r="G1241" s="30">
        <v>45334</v>
      </c>
      <c r="H1241" s="81" t="s">
        <v>1807</v>
      </c>
      <c r="I1241" s="30">
        <v>45334</v>
      </c>
      <c r="J1241" s="16" t="s">
        <v>1671</v>
      </c>
      <c r="K1241" s="9" t="s">
        <v>1530</v>
      </c>
      <c r="L1241" s="9" t="s">
        <v>1395</v>
      </c>
      <c r="M1241" s="152">
        <v>500000</v>
      </c>
      <c r="N1241" s="153">
        <v>0</v>
      </c>
      <c r="O1241" s="152">
        <v>0</v>
      </c>
      <c r="P1241" s="154">
        <v>0</v>
      </c>
      <c r="Q1241" s="152">
        <v>0</v>
      </c>
      <c r="R1241" s="9">
        <v>500000</v>
      </c>
      <c r="S1241" s="21" t="s">
        <v>1846</v>
      </c>
      <c r="T1241" s="117">
        <v>0</v>
      </c>
      <c r="U1241" s="117">
        <v>0</v>
      </c>
      <c r="V1241" s="117">
        <v>2024</v>
      </c>
      <c r="W1241" s="117">
        <v>7</v>
      </c>
      <c r="X1241" s="117">
        <v>0</v>
      </c>
      <c r="Y1241" s="117">
        <v>0</v>
      </c>
      <c r="Z1241" s="21" t="b">
        <v>0</v>
      </c>
      <c r="AA1241" s="162">
        <f>+$AD$5-Tabla2[[#This Row],[FECHA DE FACTURACIÓN]]</f>
        <v>109</v>
      </c>
      <c r="AB1241" s="163" t="str">
        <f>+IF(Tabla2[[#This Row],[dias de credito]]&gt;=Tabla2[[#This Row],[PLAZO Días]],"venc", "No venc")</f>
        <v>venc</v>
      </c>
      <c r="AC1241" s="163" t="str">
        <f>+IF(Tabla2[[#This Row],[FECHA DE PAGO]]&gt;0,"pagada","por pagar")</f>
        <v>pagada</v>
      </c>
      <c r="AD1241" s="164" t="str">
        <f>+IF(AND(Tabla2[[#This Row],[venc]]="venc",Tabla2[[#This Row],[estado pago]]="por pagar"),"vencida","no")</f>
        <v>no</v>
      </c>
    </row>
    <row r="1242" spans="1:30" ht="19.5" customHeight="1" x14ac:dyDescent="0.25">
      <c r="A1242" s="8" t="s">
        <v>1852</v>
      </c>
      <c r="B1242" s="8" t="b">
        <v>0</v>
      </c>
      <c r="C1242" s="8">
        <v>30</v>
      </c>
      <c r="D1242" s="151">
        <v>1350000</v>
      </c>
      <c r="E1242" s="151"/>
      <c r="F1242" s="24" t="s">
        <v>84</v>
      </c>
      <c r="G1242" s="30">
        <v>45334</v>
      </c>
      <c r="H1242" s="81" t="s">
        <v>1807</v>
      </c>
      <c r="I1242" s="30">
        <v>45334</v>
      </c>
      <c r="J1242" s="16" t="s">
        <v>1670</v>
      </c>
      <c r="K1242" s="9" t="s">
        <v>1530</v>
      </c>
      <c r="L1242" s="9" t="s">
        <v>1395</v>
      </c>
      <c r="M1242" s="152">
        <v>1100000</v>
      </c>
      <c r="N1242" s="153">
        <v>0</v>
      </c>
      <c r="O1242" s="152">
        <v>0</v>
      </c>
      <c r="P1242" s="154">
        <v>0</v>
      </c>
      <c r="Q1242" s="152">
        <v>0</v>
      </c>
      <c r="R1242" s="9">
        <v>1100000</v>
      </c>
      <c r="S1242" s="21" t="s">
        <v>1846</v>
      </c>
      <c r="T1242" s="117">
        <v>0</v>
      </c>
      <c r="U1242" s="117">
        <v>0</v>
      </c>
      <c r="V1242" s="117">
        <v>2024</v>
      </c>
      <c r="W1242" s="117">
        <v>7</v>
      </c>
      <c r="X1242" s="117">
        <v>0</v>
      </c>
      <c r="Y1242" s="117">
        <v>0</v>
      </c>
      <c r="Z1242" s="21" t="b">
        <v>0</v>
      </c>
      <c r="AA1242" s="162">
        <f>+$AD$5-Tabla2[[#This Row],[FECHA DE FACTURACIÓN]]</f>
        <v>109</v>
      </c>
      <c r="AB1242" s="163" t="str">
        <f>+IF(Tabla2[[#This Row],[dias de credito]]&gt;=Tabla2[[#This Row],[PLAZO Días]],"venc", "No venc")</f>
        <v>venc</v>
      </c>
      <c r="AC1242" s="163" t="str">
        <f>+IF(Tabla2[[#This Row],[FECHA DE PAGO]]&gt;0,"pagada","por pagar")</f>
        <v>pagada</v>
      </c>
      <c r="AD1242" s="164" t="str">
        <f>+IF(AND(Tabla2[[#This Row],[venc]]="venc",Tabla2[[#This Row],[estado pago]]="por pagar"),"vencida","no")</f>
        <v>no</v>
      </c>
    </row>
    <row r="1243" spans="1:30" ht="19.5" hidden="1" customHeight="1" x14ac:dyDescent="0.25">
      <c r="A1243" s="8" t="s">
        <v>1850</v>
      </c>
      <c r="B1243" s="8" t="s">
        <v>1851</v>
      </c>
      <c r="C1243" s="8">
        <v>30</v>
      </c>
      <c r="D1243" s="151">
        <v>2080356.81</v>
      </c>
      <c r="E1243" s="151"/>
      <c r="F1243" s="24" t="s">
        <v>409</v>
      </c>
      <c r="G1243" s="30">
        <v>45335</v>
      </c>
      <c r="H1243" s="81" t="s">
        <v>31</v>
      </c>
      <c r="I1243" s="30">
        <v>45254</v>
      </c>
      <c r="J1243" s="16" t="s">
        <v>1254</v>
      </c>
      <c r="K1243" s="9" t="s">
        <v>1530</v>
      </c>
      <c r="L1243" s="9" t="s">
        <v>1533</v>
      </c>
      <c r="M1243" s="152">
        <v>-117311</v>
      </c>
      <c r="N1243" s="153">
        <v>-22289.09</v>
      </c>
      <c r="O1243" s="152">
        <v>0</v>
      </c>
      <c r="P1243" s="154">
        <v>0</v>
      </c>
      <c r="Q1243" s="152">
        <v>0</v>
      </c>
      <c r="R1243" s="9">
        <v>-139600.09</v>
      </c>
      <c r="S1243" s="21" t="s">
        <v>1846</v>
      </c>
      <c r="T1243" s="117">
        <v>0</v>
      </c>
      <c r="U1243" s="117" t="s">
        <v>347</v>
      </c>
      <c r="V1243" s="117">
        <v>2023</v>
      </c>
      <c r="W1243" s="117">
        <v>6</v>
      </c>
      <c r="X1243" s="117">
        <v>1145000</v>
      </c>
      <c r="Y1243" s="117">
        <v>2.5000000000000001E-2</v>
      </c>
      <c r="Z1243" s="21" t="b">
        <v>0</v>
      </c>
      <c r="AA1243" s="162">
        <f>+$AD$5-Tabla2[[#This Row],[FECHA DE FACTURACIÓN]]</f>
        <v>189</v>
      </c>
      <c r="AB1243" s="163" t="str">
        <f>+IF(Tabla2[[#This Row],[dias de credito]]&gt;=Tabla2[[#This Row],[PLAZO Días]],"venc", "No venc")</f>
        <v>venc</v>
      </c>
      <c r="AC1243" s="163" t="str">
        <f>+IF(Tabla2[[#This Row],[FECHA DE PAGO]]&gt;0,"pagada","por pagar")</f>
        <v>pagada</v>
      </c>
      <c r="AD1243" s="164" t="str">
        <f>+IF(AND(Tabla2[[#This Row],[venc]]="venc",Tabla2[[#This Row],[estado pago]]="por pagar"),"vencida","no")</f>
        <v>no</v>
      </c>
    </row>
    <row r="1244" spans="1:30" ht="19.5" hidden="1" customHeight="1" x14ac:dyDescent="0.25">
      <c r="A1244" s="8" t="s">
        <v>1850</v>
      </c>
      <c r="B1244" s="8" t="s">
        <v>1851</v>
      </c>
      <c r="C1244" s="8">
        <v>45</v>
      </c>
      <c r="D1244" s="151">
        <v>2446500</v>
      </c>
      <c r="E1244" s="151"/>
      <c r="F1244" s="24" t="s">
        <v>158</v>
      </c>
      <c r="G1244" s="30">
        <v>45335</v>
      </c>
      <c r="H1244" s="81" t="s">
        <v>10</v>
      </c>
      <c r="I1244" s="30">
        <v>45266</v>
      </c>
      <c r="J1244" s="16" t="s">
        <v>1335</v>
      </c>
      <c r="K1244" s="9" t="s">
        <v>1530</v>
      </c>
      <c r="L1244" s="9" t="s">
        <v>1533</v>
      </c>
      <c r="M1244" s="152">
        <v>4200000</v>
      </c>
      <c r="N1244" s="153">
        <v>798000</v>
      </c>
      <c r="O1244" s="152">
        <v>0</v>
      </c>
      <c r="P1244" s="154">
        <v>2.5000000000000001E-2</v>
      </c>
      <c r="Q1244" s="152">
        <v>105000</v>
      </c>
      <c r="R1244" s="9">
        <v>4893000</v>
      </c>
      <c r="S1244" s="21" t="s">
        <v>1846</v>
      </c>
      <c r="T1244" s="117">
        <v>0</v>
      </c>
      <c r="U1244" s="117" t="s">
        <v>347</v>
      </c>
      <c r="V1244" s="117">
        <v>2023</v>
      </c>
      <c r="W1244" s="117">
        <v>6</v>
      </c>
      <c r="X1244" s="117">
        <v>1145000</v>
      </c>
      <c r="Y1244" s="117">
        <v>2.5000000000000001E-2</v>
      </c>
      <c r="Z1244" s="21" t="b">
        <v>0</v>
      </c>
      <c r="AA1244" s="162">
        <f>+$AD$5-Tabla2[[#This Row],[FECHA DE FACTURACIÓN]]</f>
        <v>177</v>
      </c>
      <c r="AB1244" s="163" t="str">
        <f>+IF(Tabla2[[#This Row],[dias de credito]]&gt;=Tabla2[[#This Row],[PLAZO Días]],"venc", "No venc")</f>
        <v>venc</v>
      </c>
      <c r="AC1244" s="163" t="str">
        <f>+IF(Tabla2[[#This Row],[FECHA DE PAGO]]&gt;0,"pagada","por pagar")</f>
        <v>pagada</v>
      </c>
      <c r="AD1244" s="164" t="str">
        <f>+IF(AND(Tabla2[[#This Row],[venc]]="venc",Tabla2[[#This Row],[estado pago]]="por pagar"),"vencida","no")</f>
        <v>no</v>
      </c>
    </row>
    <row r="1245" spans="1:30" ht="19.5" hidden="1" customHeight="1" x14ac:dyDescent="0.25">
      <c r="A1245" s="8" t="s">
        <v>1850</v>
      </c>
      <c r="B1245" s="8" t="s">
        <v>1851</v>
      </c>
      <c r="C1245" s="8">
        <v>45</v>
      </c>
      <c r="D1245" s="151">
        <v>2446500</v>
      </c>
      <c r="E1245" s="151"/>
      <c r="F1245" s="24" t="s">
        <v>158</v>
      </c>
      <c r="G1245" s="30">
        <v>45335</v>
      </c>
      <c r="H1245" s="81" t="s">
        <v>10</v>
      </c>
      <c r="I1245" s="30">
        <v>45287</v>
      </c>
      <c r="J1245" s="16" t="s">
        <v>1375</v>
      </c>
      <c r="K1245" s="9" t="s">
        <v>1530</v>
      </c>
      <c r="L1245" s="9" t="s">
        <v>1533</v>
      </c>
      <c r="M1245" s="152">
        <v>2584000</v>
      </c>
      <c r="N1245" s="153">
        <v>490960</v>
      </c>
      <c r="O1245" s="152">
        <v>0</v>
      </c>
      <c r="P1245" s="154">
        <v>2.5000000000000001E-2</v>
      </c>
      <c r="Q1245" s="152">
        <v>64600</v>
      </c>
      <c r="R1245" s="9">
        <v>3010360</v>
      </c>
      <c r="S1245" s="21" t="s">
        <v>1846</v>
      </c>
      <c r="T1245" s="117">
        <v>0</v>
      </c>
      <c r="U1245" s="117" t="s">
        <v>347</v>
      </c>
      <c r="V1245" s="117">
        <v>2023</v>
      </c>
      <c r="W1245" s="117">
        <v>6</v>
      </c>
      <c r="X1245" s="117">
        <v>1145000</v>
      </c>
      <c r="Y1245" s="117">
        <v>2.5000000000000001E-2</v>
      </c>
      <c r="Z1245" s="21" t="b">
        <v>0</v>
      </c>
      <c r="AA1245" s="162">
        <f>+$AD$5-Tabla2[[#This Row],[FECHA DE FACTURACIÓN]]</f>
        <v>156</v>
      </c>
      <c r="AB1245" s="163" t="str">
        <f>+IF(Tabla2[[#This Row],[dias de credito]]&gt;=Tabla2[[#This Row],[PLAZO Días]],"venc", "No venc")</f>
        <v>venc</v>
      </c>
      <c r="AC1245" s="163" t="str">
        <f>+IF(Tabla2[[#This Row],[FECHA DE PAGO]]&gt;0,"pagada","por pagar")</f>
        <v>pagada</v>
      </c>
      <c r="AD1245" s="164" t="str">
        <f>+IF(AND(Tabla2[[#This Row],[venc]]="venc",Tabla2[[#This Row],[estado pago]]="por pagar"),"vencida","no")</f>
        <v>no</v>
      </c>
    </row>
    <row r="1246" spans="1:30" ht="19.5" customHeight="1" x14ac:dyDescent="0.25">
      <c r="A1246" s="8" t="s">
        <v>1850</v>
      </c>
      <c r="B1246" s="8" t="s">
        <v>1851</v>
      </c>
      <c r="C1246" s="8">
        <v>30</v>
      </c>
      <c r="D1246" s="151">
        <v>2080356.81</v>
      </c>
      <c r="E1246" s="151"/>
      <c r="F1246" s="24" t="s">
        <v>409</v>
      </c>
      <c r="G1246" s="30">
        <v>45335</v>
      </c>
      <c r="H1246" s="81" t="s">
        <v>31</v>
      </c>
      <c r="I1246" s="30">
        <v>45294</v>
      </c>
      <c r="J1246" s="16" t="s">
        <v>1435</v>
      </c>
      <c r="K1246" s="9" t="s">
        <v>1530</v>
      </c>
      <c r="L1246" s="9" t="s">
        <v>1533</v>
      </c>
      <c r="M1246" s="152">
        <v>3069747.4</v>
      </c>
      <c r="N1246" s="153">
        <v>583252.00599999994</v>
      </c>
      <c r="O1246" s="152">
        <v>0</v>
      </c>
      <c r="P1246" s="154">
        <v>2.5000000000000001E-2</v>
      </c>
      <c r="Q1246" s="152">
        <v>76743.684999999998</v>
      </c>
      <c r="R1246" s="9">
        <v>3576255.7209999999</v>
      </c>
      <c r="S1246" s="21" t="s">
        <v>1846</v>
      </c>
      <c r="T1246" s="117">
        <v>0</v>
      </c>
      <c r="U1246" s="117" t="s">
        <v>347</v>
      </c>
      <c r="V1246" s="117">
        <v>2024</v>
      </c>
      <c r="W1246" s="117">
        <v>7</v>
      </c>
      <c r="X1246" s="117">
        <v>1271000</v>
      </c>
      <c r="Y1246" s="117">
        <v>2.5000000000000001E-2</v>
      </c>
      <c r="Z1246" s="21" t="b">
        <v>0</v>
      </c>
      <c r="AA1246" s="162">
        <f>+$AD$5-Tabla2[[#This Row],[FECHA DE FACTURACIÓN]]</f>
        <v>149</v>
      </c>
      <c r="AB1246" s="163" t="str">
        <f>+IF(Tabla2[[#This Row],[dias de credito]]&gt;=Tabla2[[#This Row],[PLAZO Días]],"venc", "No venc")</f>
        <v>venc</v>
      </c>
      <c r="AC1246" s="163" t="str">
        <f>+IF(Tabla2[[#This Row],[FECHA DE PAGO]]&gt;0,"pagada","por pagar")</f>
        <v>pagada</v>
      </c>
      <c r="AD1246" s="164" t="str">
        <f>+IF(AND(Tabla2[[#This Row],[venc]]="venc",Tabla2[[#This Row],[estado pago]]="por pagar"),"vencida","no")</f>
        <v>no</v>
      </c>
    </row>
    <row r="1247" spans="1:30" ht="19.5" customHeight="1" x14ac:dyDescent="0.25">
      <c r="A1247" s="8" t="s">
        <v>1850</v>
      </c>
      <c r="B1247" s="8" t="s">
        <v>1851</v>
      </c>
      <c r="C1247" s="8">
        <v>0</v>
      </c>
      <c r="D1247" s="151">
        <v>0</v>
      </c>
      <c r="E1247" s="151"/>
      <c r="F1247" s="24">
        <v>0</v>
      </c>
      <c r="G1247" s="30">
        <v>45335</v>
      </c>
      <c r="H1247" s="81" t="s">
        <v>456</v>
      </c>
      <c r="I1247" s="30">
        <v>45322</v>
      </c>
      <c r="J1247" s="16" t="s">
        <v>1293</v>
      </c>
      <c r="K1247" s="9" t="s">
        <v>1530</v>
      </c>
      <c r="L1247" s="9" t="s">
        <v>1395</v>
      </c>
      <c r="M1247" s="152">
        <v>245000</v>
      </c>
      <c r="N1247" s="153">
        <v>0</v>
      </c>
      <c r="O1247" s="152">
        <v>0</v>
      </c>
      <c r="P1247" s="154">
        <v>0</v>
      </c>
      <c r="Q1247" s="152">
        <v>0</v>
      </c>
      <c r="R1247" s="9">
        <v>245000</v>
      </c>
      <c r="S1247" s="21" t="s">
        <v>1846</v>
      </c>
      <c r="T1247" s="117">
        <v>0</v>
      </c>
      <c r="U1247" s="117">
        <v>0</v>
      </c>
      <c r="V1247" s="117">
        <v>2024</v>
      </c>
      <c r="W1247" s="117">
        <v>7</v>
      </c>
      <c r="X1247" s="117">
        <v>0</v>
      </c>
      <c r="Y1247" s="117">
        <v>0</v>
      </c>
      <c r="Z1247" s="21" t="b">
        <v>1</v>
      </c>
      <c r="AA1247" s="162">
        <f>+$AD$5-Tabla2[[#This Row],[FECHA DE FACTURACIÓN]]</f>
        <v>121</v>
      </c>
      <c r="AB1247" s="163" t="str">
        <f>+IF(Tabla2[[#This Row],[dias de credito]]&gt;=Tabla2[[#This Row],[PLAZO Días]],"venc", "No venc")</f>
        <v>venc</v>
      </c>
      <c r="AC1247" s="163" t="str">
        <f>+IF(Tabla2[[#This Row],[FECHA DE PAGO]]&gt;0,"pagada","por pagar")</f>
        <v>pagada</v>
      </c>
      <c r="AD1247" s="164" t="str">
        <f>+IF(AND(Tabla2[[#This Row],[venc]]="venc",Tabla2[[#This Row],[estado pago]]="por pagar"),"vencida","no")</f>
        <v>no</v>
      </c>
    </row>
    <row r="1248" spans="1:30" ht="19.5" customHeight="1" x14ac:dyDescent="0.25">
      <c r="A1248" s="8" t="s">
        <v>1850</v>
      </c>
      <c r="B1248" s="8" t="b">
        <v>0</v>
      </c>
      <c r="C1248" s="8">
        <v>30</v>
      </c>
      <c r="D1248" s="151">
        <v>0</v>
      </c>
      <c r="E1248" s="151"/>
      <c r="F1248" s="24">
        <v>0</v>
      </c>
      <c r="G1248" s="30">
        <v>45335</v>
      </c>
      <c r="H1248" s="81" t="s">
        <v>1549</v>
      </c>
      <c r="I1248" s="30">
        <v>45331</v>
      </c>
      <c r="J1248" s="16" t="s">
        <v>28</v>
      </c>
      <c r="K1248" s="9"/>
      <c r="L1248" s="9" t="s">
        <v>1395</v>
      </c>
      <c r="M1248" s="152">
        <v>610537</v>
      </c>
      <c r="N1248" s="153">
        <v>0</v>
      </c>
      <c r="O1248" s="152">
        <v>0</v>
      </c>
      <c r="P1248" s="154">
        <v>0</v>
      </c>
      <c r="Q1248" s="152">
        <v>0</v>
      </c>
      <c r="R1248" s="9">
        <v>610537</v>
      </c>
      <c r="S1248" s="21" t="s">
        <v>1846</v>
      </c>
      <c r="T1248" s="117">
        <v>0</v>
      </c>
      <c r="U1248" s="117">
        <v>0</v>
      </c>
      <c r="V1248" s="117">
        <v>2024</v>
      </c>
      <c r="W1248" s="117">
        <v>7</v>
      </c>
      <c r="X1248" s="117">
        <v>0</v>
      </c>
      <c r="Y1248" s="117">
        <v>0</v>
      </c>
      <c r="Z1248" s="21" t="b">
        <v>0</v>
      </c>
      <c r="AA1248" s="162">
        <f>+$AD$5-Tabla2[[#This Row],[FECHA DE FACTURACIÓN]]</f>
        <v>112</v>
      </c>
      <c r="AB1248" s="163" t="str">
        <f>+IF(Tabla2[[#This Row],[dias de credito]]&gt;=Tabla2[[#This Row],[PLAZO Días]],"venc", "No venc")</f>
        <v>venc</v>
      </c>
      <c r="AC1248" s="163" t="str">
        <f>+IF(Tabla2[[#This Row],[FECHA DE PAGO]]&gt;0,"pagada","por pagar")</f>
        <v>pagada</v>
      </c>
      <c r="AD1248" s="164" t="str">
        <f>+IF(AND(Tabla2[[#This Row],[venc]]="venc",Tabla2[[#This Row],[estado pago]]="por pagar"),"vencida","no")</f>
        <v>no</v>
      </c>
    </row>
    <row r="1249" spans="1:30" ht="19.5" customHeight="1" x14ac:dyDescent="0.25">
      <c r="A1249" s="8" t="s">
        <v>1852</v>
      </c>
      <c r="B1249" s="8" t="b">
        <v>0</v>
      </c>
      <c r="C1249" s="8">
        <v>30</v>
      </c>
      <c r="D1249" s="151">
        <v>0</v>
      </c>
      <c r="E1249" s="151"/>
      <c r="F1249" s="24">
        <v>0</v>
      </c>
      <c r="G1249" s="30">
        <v>45335</v>
      </c>
      <c r="H1249" s="81" t="s">
        <v>861</v>
      </c>
      <c r="I1249" s="30">
        <v>45335</v>
      </c>
      <c r="J1249" s="16" t="s">
        <v>1611</v>
      </c>
      <c r="K1249" s="9" t="s">
        <v>1530</v>
      </c>
      <c r="L1249" s="9" t="s">
        <v>1395</v>
      </c>
      <c r="M1249" s="152">
        <v>140000</v>
      </c>
      <c r="N1249" s="153">
        <v>0</v>
      </c>
      <c r="O1249" s="152">
        <v>0</v>
      </c>
      <c r="P1249" s="154">
        <v>0</v>
      </c>
      <c r="Q1249" s="152">
        <v>0</v>
      </c>
      <c r="R1249" s="9">
        <v>140000</v>
      </c>
      <c r="S1249" s="21" t="s">
        <v>1846</v>
      </c>
      <c r="T1249" s="117">
        <v>0</v>
      </c>
      <c r="U1249" s="117">
        <v>0</v>
      </c>
      <c r="V1249" s="117">
        <v>2024</v>
      </c>
      <c r="W1249" s="117">
        <v>7</v>
      </c>
      <c r="X1249" s="117">
        <v>0</v>
      </c>
      <c r="Y1249" s="117">
        <v>0</v>
      </c>
      <c r="Z1249" s="21" t="b">
        <v>0</v>
      </c>
      <c r="AA1249" s="162">
        <f>+$AD$5-Tabla2[[#This Row],[FECHA DE FACTURACIÓN]]</f>
        <v>108</v>
      </c>
      <c r="AB1249" s="163" t="str">
        <f>+IF(Tabla2[[#This Row],[dias de credito]]&gt;=Tabla2[[#This Row],[PLAZO Días]],"venc", "No venc")</f>
        <v>venc</v>
      </c>
      <c r="AC1249" s="163" t="str">
        <f>+IF(Tabla2[[#This Row],[FECHA DE PAGO]]&gt;0,"pagada","por pagar")</f>
        <v>pagada</v>
      </c>
      <c r="AD1249" s="164" t="str">
        <f>+IF(AND(Tabla2[[#This Row],[venc]]="venc",Tabla2[[#This Row],[estado pago]]="por pagar"),"vencida","no")</f>
        <v>no</v>
      </c>
    </row>
    <row r="1250" spans="1:30" ht="19.5" customHeight="1" x14ac:dyDescent="0.25">
      <c r="A1250" s="8" t="s">
        <v>1852</v>
      </c>
      <c r="B1250" s="8" t="b">
        <v>0</v>
      </c>
      <c r="C1250" s="8">
        <v>30</v>
      </c>
      <c r="D1250" s="151">
        <v>134000</v>
      </c>
      <c r="E1250" s="151"/>
      <c r="F1250" s="24" t="s">
        <v>192</v>
      </c>
      <c r="G1250" s="30">
        <v>45335</v>
      </c>
      <c r="H1250" s="81" t="s">
        <v>1808</v>
      </c>
      <c r="I1250" s="30">
        <v>45335</v>
      </c>
      <c r="J1250" s="16" t="s">
        <v>1605</v>
      </c>
      <c r="K1250" s="9" t="s">
        <v>1530</v>
      </c>
      <c r="L1250" s="9" t="s">
        <v>1395</v>
      </c>
      <c r="M1250" s="152">
        <v>50000</v>
      </c>
      <c r="N1250" s="153">
        <v>0</v>
      </c>
      <c r="O1250" s="152">
        <v>0</v>
      </c>
      <c r="P1250" s="154">
        <v>0</v>
      </c>
      <c r="Q1250" s="152">
        <v>0</v>
      </c>
      <c r="R1250" s="9">
        <v>50000</v>
      </c>
      <c r="S1250" s="21" t="s">
        <v>1846</v>
      </c>
      <c r="T1250" s="117">
        <v>0</v>
      </c>
      <c r="U1250" s="117">
        <v>0</v>
      </c>
      <c r="V1250" s="117">
        <v>2024</v>
      </c>
      <c r="W1250" s="117">
        <v>7</v>
      </c>
      <c r="X1250" s="117">
        <v>0</v>
      </c>
      <c r="Y1250" s="117">
        <v>0</v>
      </c>
      <c r="Z1250" s="21" t="b">
        <v>0</v>
      </c>
      <c r="AA1250" s="162">
        <f>+$AD$5-Tabla2[[#This Row],[FECHA DE FACTURACIÓN]]</f>
        <v>108</v>
      </c>
      <c r="AB1250" s="163" t="str">
        <f>+IF(Tabla2[[#This Row],[dias de credito]]&gt;=Tabla2[[#This Row],[PLAZO Días]],"venc", "No venc")</f>
        <v>venc</v>
      </c>
      <c r="AC1250" s="163" t="str">
        <f>+IF(Tabla2[[#This Row],[FECHA DE PAGO]]&gt;0,"pagada","por pagar")</f>
        <v>pagada</v>
      </c>
      <c r="AD1250" s="164" t="str">
        <f>+IF(AND(Tabla2[[#This Row],[venc]]="venc",Tabla2[[#This Row],[estado pago]]="por pagar"),"vencida","no")</f>
        <v>no</v>
      </c>
    </row>
    <row r="1251" spans="1:30" ht="19.5" customHeight="1" x14ac:dyDescent="0.25">
      <c r="A1251" s="8" t="s">
        <v>1852</v>
      </c>
      <c r="B1251" s="8" t="b">
        <v>0</v>
      </c>
      <c r="C1251" s="8">
        <v>30</v>
      </c>
      <c r="D1251" s="151">
        <v>1391998.93</v>
      </c>
      <c r="E1251" s="151"/>
      <c r="F1251" s="24" t="s">
        <v>1185</v>
      </c>
      <c r="G1251" s="30">
        <v>45335</v>
      </c>
      <c r="H1251" s="81" t="s">
        <v>1186</v>
      </c>
      <c r="I1251" s="30">
        <v>45335</v>
      </c>
      <c r="J1251" s="16" t="s">
        <v>1554</v>
      </c>
      <c r="K1251" s="9" t="s">
        <v>1530</v>
      </c>
      <c r="L1251" s="9" t="s">
        <v>1534</v>
      </c>
      <c r="M1251" s="152">
        <v>555461</v>
      </c>
      <c r="N1251" s="153">
        <v>105537.59</v>
      </c>
      <c r="O1251" s="152">
        <v>0</v>
      </c>
      <c r="P1251" s="154">
        <v>0</v>
      </c>
      <c r="Q1251" s="152">
        <v>0</v>
      </c>
      <c r="R1251" s="9">
        <v>660998.59</v>
      </c>
      <c r="S1251" s="21" t="s">
        <v>1846</v>
      </c>
      <c r="T1251" s="117">
        <v>0</v>
      </c>
      <c r="U1251" s="117" t="s">
        <v>347</v>
      </c>
      <c r="V1251" s="117">
        <v>2024</v>
      </c>
      <c r="W1251" s="117">
        <v>7</v>
      </c>
      <c r="X1251" s="117">
        <v>1271000</v>
      </c>
      <c r="Y1251" s="117">
        <v>2.5000000000000001E-2</v>
      </c>
      <c r="Z1251" s="21" t="b">
        <v>0</v>
      </c>
      <c r="AA1251" s="162">
        <f>+$AD$5-Tabla2[[#This Row],[FECHA DE FACTURACIÓN]]</f>
        <v>108</v>
      </c>
      <c r="AB1251" s="163" t="str">
        <f>+IF(Tabla2[[#This Row],[dias de credito]]&gt;=Tabla2[[#This Row],[PLAZO Días]],"venc", "No venc")</f>
        <v>venc</v>
      </c>
      <c r="AC1251" s="163" t="str">
        <f>+IF(Tabla2[[#This Row],[FECHA DE PAGO]]&gt;0,"pagada","por pagar")</f>
        <v>pagada</v>
      </c>
      <c r="AD1251" s="164" t="str">
        <f>+IF(AND(Tabla2[[#This Row],[venc]]="venc",Tabla2[[#This Row],[estado pago]]="por pagar"),"vencida","no")</f>
        <v>no</v>
      </c>
    </row>
    <row r="1252" spans="1:30" ht="19.5" customHeight="1" x14ac:dyDescent="0.25">
      <c r="A1252" s="8" t="s">
        <v>1852</v>
      </c>
      <c r="B1252" s="8" t="b">
        <v>0</v>
      </c>
      <c r="C1252" s="8">
        <v>30</v>
      </c>
      <c r="D1252" s="151">
        <v>0</v>
      </c>
      <c r="E1252" s="151"/>
      <c r="F1252" s="24">
        <v>0</v>
      </c>
      <c r="G1252" s="30">
        <v>45335</v>
      </c>
      <c r="H1252" s="81" t="s">
        <v>291</v>
      </c>
      <c r="I1252" s="30">
        <v>45335</v>
      </c>
      <c r="J1252" s="16" t="s">
        <v>1559</v>
      </c>
      <c r="K1252" s="9" t="s">
        <v>504</v>
      </c>
      <c r="L1252" s="9" t="s">
        <v>1534</v>
      </c>
      <c r="M1252" s="152">
        <v>1664417</v>
      </c>
      <c r="N1252" s="153">
        <v>316239.23</v>
      </c>
      <c r="O1252" s="152">
        <v>0</v>
      </c>
      <c r="P1252" s="154">
        <v>2.5000000000000001E-2</v>
      </c>
      <c r="Q1252" s="152">
        <v>41610.425000000003</v>
      </c>
      <c r="R1252" s="9">
        <v>1939045.8049999999</v>
      </c>
      <c r="S1252" s="21" t="s">
        <v>1846</v>
      </c>
      <c r="T1252" s="117">
        <v>0</v>
      </c>
      <c r="U1252" s="117" t="s">
        <v>347</v>
      </c>
      <c r="V1252" s="117">
        <v>2024</v>
      </c>
      <c r="W1252" s="117">
        <v>7</v>
      </c>
      <c r="X1252" s="117">
        <v>1271000</v>
      </c>
      <c r="Y1252" s="117">
        <v>2.5000000000000001E-2</v>
      </c>
      <c r="Z1252" s="21" t="b">
        <v>0</v>
      </c>
      <c r="AA1252" s="162">
        <f>+$AD$5-Tabla2[[#This Row],[FECHA DE FACTURACIÓN]]</f>
        <v>108</v>
      </c>
      <c r="AB1252" s="163" t="str">
        <f>+IF(Tabla2[[#This Row],[dias de credito]]&gt;=Tabla2[[#This Row],[PLAZO Días]],"venc", "No venc")</f>
        <v>venc</v>
      </c>
      <c r="AC1252" s="163" t="str">
        <f>+IF(Tabla2[[#This Row],[FECHA DE PAGO]]&gt;0,"pagada","por pagar")</f>
        <v>pagada</v>
      </c>
      <c r="AD1252" s="164" t="str">
        <f>+IF(AND(Tabla2[[#This Row],[venc]]="venc",Tabla2[[#This Row],[estado pago]]="por pagar"),"vencida","no")</f>
        <v>no</v>
      </c>
    </row>
    <row r="1253" spans="1:30" ht="19.5" hidden="1" customHeight="1" x14ac:dyDescent="0.25">
      <c r="A1253" s="8" t="s">
        <v>1850</v>
      </c>
      <c r="B1253" s="8" t="s">
        <v>1851</v>
      </c>
      <c r="C1253" s="8">
        <v>30</v>
      </c>
      <c r="D1253" s="151">
        <v>0</v>
      </c>
      <c r="E1253" s="151"/>
      <c r="F1253" s="24" t="s">
        <v>711</v>
      </c>
      <c r="G1253" s="30">
        <v>45336</v>
      </c>
      <c r="H1253" s="81" t="s">
        <v>710</v>
      </c>
      <c r="I1253" s="30">
        <v>45273</v>
      </c>
      <c r="J1253" s="16" t="s">
        <v>1353</v>
      </c>
      <c r="K1253" s="9" t="s">
        <v>1530</v>
      </c>
      <c r="L1253" s="9" t="s">
        <v>1536</v>
      </c>
      <c r="M1253" s="152">
        <v>7130000</v>
      </c>
      <c r="N1253" s="153">
        <v>1354700</v>
      </c>
      <c r="O1253" s="152">
        <v>0</v>
      </c>
      <c r="P1253" s="154">
        <v>0</v>
      </c>
      <c r="Q1253" s="152">
        <v>0</v>
      </c>
      <c r="R1253" s="9">
        <v>8484700</v>
      </c>
      <c r="S1253" s="21" t="s">
        <v>1846</v>
      </c>
      <c r="T1253" s="117">
        <v>0</v>
      </c>
      <c r="U1253" s="117">
        <v>0</v>
      </c>
      <c r="V1253" s="117">
        <v>2023</v>
      </c>
      <c r="W1253" s="117">
        <v>6</v>
      </c>
      <c r="X1253" s="117">
        <v>0</v>
      </c>
      <c r="Y1253" s="117">
        <v>0</v>
      </c>
      <c r="Z1253" s="21" t="b">
        <v>0</v>
      </c>
      <c r="AA1253" s="162">
        <f>+$AD$5-Tabla2[[#This Row],[FECHA DE FACTURACIÓN]]</f>
        <v>170</v>
      </c>
      <c r="AB1253" s="163" t="str">
        <f>+IF(Tabla2[[#This Row],[dias de credito]]&gt;=Tabla2[[#This Row],[PLAZO Días]],"venc", "No venc")</f>
        <v>venc</v>
      </c>
      <c r="AC1253" s="163" t="str">
        <f>+IF(Tabla2[[#This Row],[FECHA DE PAGO]]&gt;0,"pagada","por pagar")</f>
        <v>pagada</v>
      </c>
      <c r="AD1253" s="164" t="str">
        <f>+IF(AND(Tabla2[[#This Row],[venc]]="venc",Tabla2[[#This Row],[estado pago]]="por pagar"),"vencida","no")</f>
        <v>no</v>
      </c>
    </row>
    <row r="1254" spans="1:30" ht="19.5" customHeight="1" x14ac:dyDescent="0.25">
      <c r="A1254" s="8" t="s">
        <v>1850</v>
      </c>
      <c r="B1254" s="8" t="s">
        <v>1851</v>
      </c>
      <c r="C1254" s="8">
        <v>0</v>
      </c>
      <c r="D1254" s="151">
        <v>0</v>
      </c>
      <c r="E1254" s="151"/>
      <c r="F1254" s="24" t="s">
        <v>1561</v>
      </c>
      <c r="G1254" s="30">
        <v>45336</v>
      </c>
      <c r="H1254" s="81" t="s">
        <v>1560</v>
      </c>
      <c r="I1254" s="30">
        <v>45334</v>
      </c>
      <c r="J1254" s="16" t="s">
        <v>1562</v>
      </c>
      <c r="K1254" s="9" t="s">
        <v>1530</v>
      </c>
      <c r="L1254" s="9" t="s">
        <v>1395</v>
      </c>
      <c r="M1254" s="152">
        <v>1222430</v>
      </c>
      <c r="N1254" s="153">
        <v>232261.7</v>
      </c>
      <c r="O1254" s="152">
        <v>0</v>
      </c>
      <c r="P1254" s="154">
        <v>3.5000000000000003E-2</v>
      </c>
      <c r="Q1254" s="152">
        <v>42785.05</v>
      </c>
      <c r="R1254" s="9">
        <v>1411906.65</v>
      </c>
      <c r="S1254" s="21" t="s">
        <v>1846</v>
      </c>
      <c r="T1254" s="117">
        <v>0</v>
      </c>
      <c r="U1254" s="117" t="s">
        <v>348</v>
      </c>
      <c r="V1254" s="117">
        <v>2024</v>
      </c>
      <c r="W1254" s="117">
        <v>7</v>
      </c>
      <c r="X1254" s="117">
        <v>0</v>
      </c>
      <c r="Y1254" s="117">
        <v>3.5000000000000003E-2</v>
      </c>
      <c r="Z1254" s="21" t="b">
        <v>0</v>
      </c>
      <c r="AA1254" s="162">
        <f>+$AD$5-Tabla2[[#This Row],[FECHA DE FACTURACIÓN]]</f>
        <v>109</v>
      </c>
      <c r="AB1254" s="163" t="str">
        <f>+IF(Tabla2[[#This Row],[dias de credito]]&gt;=Tabla2[[#This Row],[PLAZO Días]],"venc", "No venc")</f>
        <v>venc</v>
      </c>
      <c r="AC1254" s="163" t="str">
        <f>+IF(Tabla2[[#This Row],[FECHA DE PAGO]]&gt;0,"pagada","por pagar")</f>
        <v>pagada</v>
      </c>
      <c r="AD1254" s="164" t="str">
        <f>+IF(AND(Tabla2[[#This Row],[venc]]="venc",Tabla2[[#This Row],[estado pago]]="por pagar"),"vencida","no")</f>
        <v>no</v>
      </c>
    </row>
    <row r="1255" spans="1:30" ht="19.5" customHeight="1" x14ac:dyDescent="0.25">
      <c r="A1255" s="8" t="s">
        <v>1852</v>
      </c>
      <c r="B1255" s="8" t="b">
        <v>0</v>
      </c>
      <c r="C1255" s="8">
        <v>30</v>
      </c>
      <c r="D1255" s="151">
        <v>0</v>
      </c>
      <c r="E1255" s="151"/>
      <c r="F1255" s="24" t="s">
        <v>84</v>
      </c>
      <c r="G1255" s="30">
        <v>45336</v>
      </c>
      <c r="H1255" s="81" t="s">
        <v>1813</v>
      </c>
      <c r="I1255" s="30">
        <v>45336</v>
      </c>
      <c r="J1255" s="16" t="s">
        <v>1607</v>
      </c>
      <c r="K1255" s="9" t="s">
        <v>504</v>
      </c>
      <c r="L1255" s="9" t="s">
        <v>1537</v>
      </c>
      <c r="M1255" s="152">
        <v>279000</v>
      </c>
      <c r="N1255" s="153">
        <v>0</v>
      </c>
      <c r="O1255" s="152">
        <v>0</v>
      </c>
      <c r="P1255" s="154">
        <v>0</v>
      </c>
      <c r="Q1255" s="152">
        <v>0</v>
      </c>
      <c r="R1255" s="9">
        <v>279000</v>
      </c>
      <c r="S1255" s="21" t="s">
        <v>1846</v>
      </c>
      <c r="T1255" s="117">
        <v>0</v>
      </c>
      <c r="U1255" s="117">
        <v>0</v>
      </c>
      <c r="V1255" s="117">
        <v>2024</v>
      </c>
      <c r="W1255" s="117">
        <v>7</v>
      </c>
      <c r="X1255" s="117">
        <v>0</v>
      </c>
      <c r="Y1255" s="117">
        <v>0</v>
      </c>
      <c r="Z1255" s="21" t="b">
        <v>1</v>
      </c>
      <c r="AA1255" s="162">
        <f>+$AD$5-Tabla2[[#This Row],[FECHA DE FACTURACIÓN]]</f>
        <v>107</v>
      </c>
      <c r="AB1255" s="163" t="str">
        <f>+IF(Tabla2[[#This Row],[dias de credito]]&gt;=Tabla2[[#This Row],[PLAZO Días]],"venc", "No venc")</f>
        <v>venc</v>
      </c>
      <c r="AC1255" s="163" t="str">
        <f>+IF(Tabla2[[#This Row],[FECHA DE PAGO]]&gt;0,"pagada","por pagar")</f>
        <v>pagada</v>
      </c>
      <c r="AD1255" s="164" t="str">
        <f>+IF(AND(Tabla2[[#This Row],[venc]]="venc",Tabla2[[#This Row],[estado pago]]="por pagar"),"vencida","no")</f>
        <v>no</v>
      </c>
    </row>
    <row r="1256" spans="1:30" ht="19.5" customHeight="1" x14ac:dyDescent="0.25">
      <c r="A1256" s="8" t="s">
        <v>1852</v>
      </c>
      <c r="B1256" s="8" t="b">
        <v>0</v>
      </c>
      <c r="C1256" s="8">
        <v>0</v>
      </c>
      <c r="D1256" s="151">
        <v>0</v>
      </c>
      <c r="E1256" s="151"/>
      <c r="F1256" s="24">
        <v>0</v>
      </c>
      <c r="G1256" s="30">
        <v>45336</v>
      </c>
      <c r="H1256" s="81" t="s">
        <v>1564</v>
      </c>
      <c r="I1256" s="30">
        <v>45336</v>
      </c>
      <c r="J1256" s="16">
        <v>87226</v>
      </c>
      <c r="K1256" s="9"/>
      <c r="L1256" s="9" t="s">
        <v>1395</v>
      </c>
      <c r="M1256" s="152">
        <v>356009</v>
      </c>
      <c r="N1256" s="153">
        <v>67641.710000000006</v>
      </c>
      <c r="O1256" s="152">
        <v>0</v>
      </c>
      <c r="P1256" s="154">
        <v>0</v>
      </c>
      <c r="Q1256" s="152">
        <v>0</v>
      </c>
      <c r="R1256" s="9">
        <v>423650.71</v>
      </c>
      <c r="S1256" s="21" t="s">
        <v>1846</v>
      </c>
      <c r="T1256" s="117">
        <v>0</v>
      </c>
      <c r="U1256" s="117">
        <v>0</v>
      </c>
      <c r="V1256" s="117">
        <v>2024</v>
      </c>
      <c r="W1256" s="117">
        <v>7</v>
      </c>
      <c r="X1256" s="117">
        <v>0</v>
      </c>
      <c r="Y1256" s="117">
        <v>0</v>
      </c>
      <c r="Z1256" s="21" t="b">
        <v>0</v>
      </c>
      <c r="AA1256" s="162">
        <f>+$AD$5-Tabla2[[#This Row],[FECHA DE FACTURACIÓN]]</f>
        <v>107</v>
      </c>
      <c r="AB1256" s="163" t="str">
        <f>+IF(Tabla2[[#This Row],[dias de credito]]&gt;=Tabla2[[#This Row],[PLAZO Días]],"venc", "No venc")</f>
        <v>venc</v>
      </c>
      <c r="AC1256" s="163" t="str">
        <f>+IF(Tabla2[[#This Row],[FECHA DE PAGO]]&gt;0,"pagada","por pagar")</f>
        <v>pagada</v>
      </c>
      <c r="AD1256" s="164" t="str">
        <f>+IF(AND(Tabla2[[#This Row],[venc]]="venc",Tabla2[[#This Row],[estado pago]]="por pagar"),"vencida","no")</f>
        <v>no</v>
      </c>
    </row>
    <row r="1257" spans="1:30" ht="19.5" hidden="1" customHeight="1" x14ac:dyDescent="0.25">
      <c r="A1257" s="8" t="s">
        <v>1850</v>
      </c>
      <c r="B1257" s="8" t="s">
        <v>1851</v>
      </c>
      <c r="C1257" s="8">
        <v>30</v>
      </c>
      <c r="D1257" s="151">
        <v>0</v>
      </c>
      <c r="E1257" s="151"/>
      <c r="F1257" s="24" t="s">
        <v>227</v>
      </c>
      <c r="G1257" s="30">
        <v>45336</v>
      </c>
      <c r="H1257" s="81" t="s">
        <v>360</v>
      </c>
      <c r="I1257" s="30">
        <v>45272</v>
      </c>
      <c r="J1257" s="16" t="s">
        <v>1752</v>
      </c>
      <c r="K1257" s="9"/>
      <c r="L1257" s="9"/>
      <c r="M1257" s="152">
        <v>320151</v>
      </c>
      <c r="N1257" s="153">
        <v>60828.69</v>
      </c>
      <c r="O1257" s="152">
        <v>0</v>
      </c>
      <c r="P1257" s="154">
        <v>0</v>
      </c>
      <c r="Q1257" s="152">
        <v>0</v>
      </c>
      <c r="R1257" s="9">
        <v>380979.69</v>
      </c>
      <c r="S1257" s="21" t="s">
        <v>1846</v>
      </c>
      <c r="T1257" s="117">
        <v>0</v>
      </c>
      <c r="U1257" s="117">
        <v>0</v>
      </c>
      <c r="V1257" s="117">
        <v>2023</v>
      </c>
      <c r="W1257" s="117">
        <v>6</v>
      </c>
      <c r="X1257" s="117">
        <v>0</v>
      </c>
      <c r="Y1257" s="117">
        <v>0</v>
      </c>
      <c r="Z1257" s="21" t="b">
        <v>1</v>
      </c>
      <c r="AA1257" s="162">
        <f>+$AD$5-Tabla2[[#This Row],[FECHA DE FACTURACIÓN]]</f>
        <v>171</v>
      </c>
      <c r="AB1257" s="163" t="str">
        <f>+IF(Tabla2[[#This Row],[dias de credito]]&gt;=Tabla2[[#This Row],[PLAZO Días]],"venc", "No venc")</f>
        <v>venc</v>
      </c>
      <c r="AC1257" s="163" t="str">
        <f>+IF(Tabla2[[#This Row],[FECHA DE PAGO]]&gt;0,"pagada","por pagar")</f>
        <v>pagada</v>
      </c>
      <c r="AD1257" s="164" t="str">
        <f>+IF(AND(Tabla2[[#This Row],[venc]]="venc",Tabla2[[#This Row],[estado pago]]="por pagar"),"vencida","no")</f>
        <v>no</v>
      </c>
    </row>
    <row r="1258" spans="1:30" ht="19.5" hidden="1" customHeight="1" x14ac:dyDescent="0.25">
      <c r="A1258" s="8" t="s">
        <v>1850</v>
      </c>
      <c r="B1258" s="8" t="s">
        <v>1851</v>
      </c>
      <c r="C1258" s="8">
        <v>30</v>
      </c>
      <c r="D1258" s="151">
        <v>0</v>
      </c>
      <c r="E1258" s="151"/>
      <c r="F1258" s="24" t="s">
        <v>414</v>
      </c>
      <c r="G1258" s="30">
        <v>45338</v>
      </c>
      <c r="H1258" s="81" t="s">
        <v>382</v>
      </c>
      <c r="I1258" s="30">
        <v>45265</v>
      </c>
      <c r="J1258" s="16" t="s">
        <v>1567</v>
      </c>
      <c r="K1258" s="9" t="s">
        <v>1530</v>
      </c>
      <c r="L1258" s="9" t="s">
        <v>1533</v>
      </c>
      <c r="M1258" s="152">
        <v>260356</v>
      </c>
      <c r="N1258" s="153">
        <v>0</v>
      </c>
      <c r="O1258" s="152">
        <v>0</v>
      </c>
      <c r="P1258" s="154">
        <v>0</v>
      </c>
      <c r="Q1258" s="152">
        <v>0</v>
      </c>
      <c r="R1258" s="9">
        <v>260356</v>
      </c>
      <c r="S1258" s="21" t="s">
        <v>1846</v>
      </c>
      <c r="T1258" s="117">
        <v>0</v>
      </c>
      <c r="U1258" s="117">
        <v>0</v>
      </c>
      <c r="V1258" s="117">
        <v>2023</v>
      </c>
      <c r="W1258" s="117">
        <v>6</v>
      </c>
      <c r="X1258" s="117">
        <v>0</v>
      </c>
      <c r="Y1258" s="117">
        <v>0</v>
      </c>
      <c r="Z1258" s="21" t="b">
        <v>1</v>
      </c>
      <c r="AA1258" s="162">
        <f>+$AD$5-Tabla2[[#This Row],[FECHA DE FACTURACIÓN]]</f>
        <v>178</v>
      </c>
      <c r="AB1258" s="163" t="str">
        <f>+IF(Tabla2[[#This Row],[dias de credito]]&gt;=Tabla2[[#This Row],[PLAZO Días]],"venc", "No venc")</f>
        <v>venc</v>
      </c>
      <c r="AC1258" s="163" t="str">
        <f>+IF(Tabla2[[#This Row],[FECHA DE PAGO]]&gt;0,"pagada","por pagar")</f>
        <v>pagada</v>
      </c>
      <c r="AD1258" s="164" t="str">
        <f>+IF(AND(Tabla2[[#This Row],[venc]]="venc",Tabla2[[#This Row],[estado pago]]="por pagar"),"vencida","no")</f>
        <v>no</v>
      </c>
    </row>
    <row r="1259" spans="1:30" ht="19.5" customHeight="1" x14ac:dyDescent="0.25">
      <c r="A1259" s="8" t="s">
        <v>1850</v>
      </c>
      <c r="B1259" s="8" t="s">
        <v>1851</v>
      </c>
      <c r="C1259" s="8">
        <v>30</v>
      </c>
      <c r="D1259" s="151">
        <v>8456975.129999999</v>
      </c>
      <c r="E1259" s="151"/>
      <c r="F1259" s="24" t="s">
        <v>1476</v>
      </c>
      <c r="G1259" s="30">
        <v>45338</v>
      </c>
      <c r="H1259" s="81" t="s">
        <v>1464</v>
      </c>
      <c r="I1259" s="30">
        <v>45302</v>
      </c>
      <c r="J1259" s="16" t="s">
        <v>1566</v>
      </c>
      <c r="K1259" s="9" t="s">
        <v>1530</v>
      </c>
      <c r="L1259" s="9" t="s">
        <v>1533</v>
      </c>
      <c r="M1259" s="152">
        <v>190736</v>
      </c>
      <c r="N1259" s="153">
        <v>36239.840000000004</v>
      </c>
      <c r="O1259" s="152">
        <v>0</v>
      </c>
      <c r="P1259" s="154">
        <v>0</v>
      </c>
      <c r="Q1259" s="152">
        <v>0</v>
      </c>
      <c r="R1259" s="9">
        <v>226975.84</v>
      </c>
      <c r="S1259" s="21" t="s">
        <v>1846</v>
      </c>
      <c r="T1259" s="117">
        <v>0</v>
      </c>
      <c r="U1259" s="117" t="s">
        <v>347</v>
      </c>
      <c r="V1259" s="117">
        <v>2024</v>
      </c>
      <c r="W1259" s="117">
        <v>7</v>
      </c>
      <c r="X1259" s="117">
        <v>1271000</v>
      </c>
      <c r="Y1259" s="117">
        <v>2.5000000000000001E-2</v>
      </c>
      <c r="Z1259" s="21" t="b">
        <v>0</v>
      </c>
      <c r="AA1259" s="162">
        <f>+$AD$5-Tabla2[[#This Row],[FECHA DE FACTURACIÓN]]</f>
        <v>141</v>
      </c>
      <c r="AB1259" s="163" t="str">
        <f>+IF(Tabla2[[#This Row],[dias de credito]]&gt;=Tabla2[[#This Row],[PLAZO Días]],"venc", "No venc")</f>
        <v>venc</v>
      </c>
      <c r="AC1259" s="163" t="str">
        <f>+IF(Tabla2[[#This Row],[FECHA DE PAGO]]&gt;0,"pagada","por pagar")</f>
        <v>pagada</v>
      </c>
      <c r="AD1259" s="164" t="str">
        <f>+IF(AND(Tabla2[[#This Row],[venc]]="venc",Tabla2[[#This Row],[estado pago]]="por pagar"),"vencida","no")</f>
        <v>no</v>
      </c>
    </row>
    <row r="1260" spans="1:30" ht="19.5" customHeight="1" x14ac:dyDescent="0.25">
      <c r="A1260" s="8" t="s">
        <v>1850</v>
      </c>
      <c r="B1260" s="8" t="b">
        <v>0</v>
      </c>
      <c r="C1260" s="8">
        <v>30</v>
      </c>
      <c r="D1260" s="151">
        <v>1776037.21</v>
      </c>
      <c r="E1260" s="151"/>
      <c r="F1260" s="24" t="s">
        <v>148</v>
      </c>
      <c r="G1260" s="30">
        <v>45338</v>
      </c>
      <c r="H1260" s="81" t="s">
        <v>17</v>
      </c>
      <c r="I1260" s="30">
        <v>45308</v>
      </c>
      <c r="J1260" s="16" t="s">
        <v>1480</v>
      </c>
      <c r="K1260" s="9" t="s">
        <v>1530</v>
      </c>
      <c r="L1260" s="9" t="s">
        <v>1533</v>
      </c>
      <c r="M1260" s="152">
        <v>1318050</v>
      </c>
      <c r="N1260" s="153">
        <v>0</v>
      </c>
      <c r="O1260" s="152">
        <v>0</v>
      </c>
      <c r="P1260" s="154">
        <v>0</v>
      </c>
      <c r="Q1260" s="152">
        <v>0</v>
      </c>
      <c r="R1260" s="9">
        <v>1318050</v>
      </c>
      <c r="S1260" s="21" t="s">
        <v>1846</v>
      </c>
      <c r="T1260" s="117">
        <v>0</v>
      </c>
      <c r="U1260" s="117">
        <v>0</v>
      </c>
      <c r="V1260" s="117">
        <v>2024</v>
      </c>
      <c r="W1260" s="117">
        <v>7</v>
      </c>
      <c r="X1260" s="117">
        <v>0</v>
      </c>
      <c r="Y1260" s="117">
        <v>0</v>
      </c>
      <c r="Z1260" s="21" t="b">
        <v>0</v>
      </c>
      <c r="AA1260" s="162">
        <f>+$AD$5-Tabla2[[#This Row],[FECHA DE FACTURACIÓN]]</f>
        <v>135</v>
      </c>
      <c r="AB1260" s="163" t="str">
        <f>+IF(Tabla2[[#This Row],[dias de credito]]&gt;=Tabla2[[#This Row],[PLAZO Días]],"venc", "No venc")</f>
        <v>venc</v>
      </c>
      <c r="AC1260" s="163" t="str">
        <f>+IF(Tabla2[[#This Row],[FECHA DE PAGO]]&gt;0,"pagada","por pagar")</f>
        <v>pagada</v>
      </c>
      <c r="AD1260" s="164" t="str">
        <f>+IF(AND(Tabla2[[#This Row],[venc]]="venc",Tabla2[[#This Row],[estado pago]]="por pagar"),"vencida","no")</f>
        <v>no</v>
      </c>
    </row>
    <row r="1261" spans="1:30" ht="19.5" customHeight="1" x14ac:dyDescent="0.25">
      <c r="A1261" s="8" t="s">
        <v>1850</v>
      </c>
      <c r="B1261" s="8" t="b">
        <v>0</v>
      </c>
      <c r="C1261" s="8">
        <v>30</v>
      </c>
      <c r="D1261" s="151">
        <v>4198834.75</v>
      </c>
      <c r="E1261" s="151"/>
      <c r="F1261" s="24" t="s">
        <v>434</v>
      </c>
      <c r="G1261" s="30">
        <v>45338</v>
      </c>
      <c r="H1261" s="81" t="s">
        <v>422</v>
      </c>
      <c r="I1261" s="30">
        <v>45312</v>
      </c>
      <c r="J1261" s="16" t="s">
        <v>1505</v>
      </c>
      <c r="K1261" s="9" t="s">
        <v>1530</v>
      </c>
      <c r="L1261" s="9" t="s">
        <v>1534</v>
      </c>
      <c r="M1261" s="152">
        <v>1173000</v>
      </c>
      <c r="N1261" s="153">
        <v>222870</v>
      </c>
      <c r="O1261" s="152">
        <v>117300</v>
      </c>
      <c r="P1261" s="154">
        <v>0</v>
      </c>
      <c r="Q1261" s="152">
        <v>0</v>
      </c>
      <c r="R1261" s="9">
        <v>1278570</v>
      </c>
      <c r="S1261" s="21" t="s">
        <v>1846</v>
      </c>
      <c r="T1261" s="117">
        <v>0</v>
      </c>
      <c r="U1261" s="117" t="s">
        <v>347</v>
      </c>
      <c r="V1261" s="117">
        <v>2024</v>
      </c>
      <c r="W1261" s="117">
        <v>7</v>
      </c>
      <c r="X1261" s="117">
        <v>1271000</v>
      </c>
      <c r="Y1261" s="117">
        <v>2.5000000000000001E-2</v>
      </c>
      <c r="Z1261" s="21" t="b">
        <v>0</v>
      </c>
      <c r="AA1261" s="162">
        <f>+$AD$5-Tabla2[[#This Row],[FECHA DE FACTURACIÓN]]</f>
        <v>131</v>
      </c>
      <c r="AB1261" s="163" t="str">
        <f>+IF(Tabla2[[#This Row],[dias de credito]]&gt;=Tabla2[[#This Row],[PLAZO Días]],"venc", "No venc")</f>
        <v>venc</v>
      </c>
      <c r="AC1261" s="163" t="str">
        <f>+IF(Tabla2[[#This Row],[FECHA DE PAGO]]&gt;0,"pagada","por pagar")</f>
        <v>pagada</v>
      </c>
      <c r="AD1261" s="164" t="str">
        <f>+IF(AND(Tabla2[[#This Row],[venc]]="venc",Tabla2[[#This Row],[estado pago]]="por pagar"),"vencida","no")</f>
        <v>no</v>
      </c>
    </row>
    <row r="1262" spans="1:30" ht="19.5" customHeight="1" x14ac:dyDescent="0.25">
      <c r="A1262" s="8" t="s">
        <v>1850</v>
      </c>
      <c r="B1262" s="8" t="s">
        <v>1851</v>
      </c>
      <c r="C1262" s="8">
        <v>13</v>
      </c>
      <c r="D1262" s="151">
        <v>0</v>
      </c>
      <c r="E1262" s="151"/>
      <c r="F1262" s="24">
        <v>0</v>
      </c>
      <c r="G1262" s="30">
        <v>45338</v>
      </c>
      <c r="H1262" s="81" t="s">
        <v>389</v>
      </c>
      <c r="I1262" s="30">
        <v>45323</v>
      </c>
      <c r="J1262" s="16"/>
      <c r="K1262" s="9" t="s">
        <v>1530</v>
      </c>
      <c r="L1262" s="9" t="s">
        <v>1533</v>
      </c>
      <c r="M1262" s="152">
        <v>851877</v>
      </c>
      <c r="N1262" s="153">
        <v>0</v>
      </c>
      <c r="O1262" s="152">
        <v>0</v>
      </c>
      <c r="P1262" s="154">
        <v>0</v>
      </c>
      <c r="Q1262" s="152">
        <v>0</v>
      </c>
      <c r="R1262" s="9">
        <v>851877</v>
      </c>
      <c r="S1262" s="21" t="s">
        <v>1846</v>
      </c>
      <c r="T1262" s="117">
        <v>0</v>
      </c>
      <c r="U1262" s="117">
        <v>0</v>
      </c>
      <c r="V1262" s="117">
        <v>2024</v>
      </c>
      <c r="W1262" s="117">
        <v>7</v>
      </c>
      <c r="X1262" s="117">
        <v>0</v>
      </c>
      <c r="Y1262" s="117">
        <v>0</v>
      </c>
      <c r="Z1262" s="21" t="b">
        <v>1</v>
      </c>
      <c r="AA1262" s="162">
        <f>+$AD$5-Tabla2[[#This Row],[FECHA DE FACTURACIÓN]]</f>
        <v>120</v>
      </c>
      <c r="AB1262" s="163" t="str">
        <f>+IF(Tabla2[[#This Row],[dias de credito]]&gt;=Tabla2[[#This Row],[PLAZO Días]],"venc", "No venc")</f>
        <v>venc</v>
      </c>
      <c r="AC1262" s="163" t="str">
        <f>+IF(Tabla2[[#This Row],[FECHA DE PAGO]]&gt;0,"pagada","por pagar")</f>
        <v>pagada</v>
      </c>
      <c r="AD1262" s="164" t="str">
        <f>+IF(AND(Tabla2[[#This Row],[venc]]="venc",Tabla2[[#This Row],[estado pago]]="por pagar"),"vencida","no")</f>
        <v>no</v>
      </c>
    </row>
    <row r="1263" spans="1:30" ht="19.5" customHeight="1" x14ac:dyDescent="0.25">
      <c r="A1263" s="8" t="s">
        <v>1850</v>
      </c>
      <c r="B1263" s="8" t="b">
        <v>0</v>
      </c>
      <c r="C1263" s="8">
        <v>30</v>
      </c>
      <c r="D1263" s="151">
        <v>0</v>
      </c>
      <c r="E1263" s="151"/>
      <c r="F1263" s="24">
        <v>0</v>
      </c>
      <c r="G1263" s="30">
        <v>45338</v>
      </c>
      <c r="H1263" s="81" t="s">
        <v>836</v>
      </c>
      <c r="I1263" s="30">
        <v>45324</v>
      </c>
      <c r="J1263" s="16" t="s">
        <v>1511</v>
      </c>
      <c r="K1263" s="9" t="s">
        <v>504</v>
      </c>
      <c r="L1263" s="9" t="s">
        <v>1395</v>
      </c>
      <c r="M1263" s="152">
        <v>-2000</v>
      </c>
      <c r="N1263" s="153">
        <v>0</v>
      </c>
      <c r="O1263" s="152">
        <v>0</v>
      </c>
      <c r="P1263" s="154">
        <v>0</v>
      </c>
      <c r="Q1263" s="152">
        <v>0</v>
      </c>
      <c r="R1263" s="9">
        <v>-2000</v>
      </c>
      <c r="S1263" s="21" t="s">
        <v>1846</v>
      </c>
      <c r="T1263" s="117">
        <v>0</v>
      </c>
      <c r="U1263" s="117">
        <v>0</v>
      </c>
      <c r="V1263" s="117">
        <v>2024</v>
      </c>
      <c r="W1263" s="117">
        <v>7</v>
      </c>
      <c r="X1263" s="117">
        <v>0</v>
      </c>
      <c r="Y1263" s="117">
        <v>0</v>
      </c>
      <c r="Z1263" s="21" t="b">
        <v>0</v>
      </c>
      <c r="AA1263" s="162">
        <f>+$AD$5-Tabla2[[#This Row],[FECHA DE FACTURACIÓN]]</f>
        <v>119</v>
      </c>
      <c r="AB1263" s="163" t="str">
        <f>+IF(Tabla2[[#This Row],[dias de credito]]&gt;=Tabla2[[#This Row],[PLAZO Días]],"venc", "No venc")</f>
        <v>venc</v>
      </c>
      <c r="AC1263" s="163" t="str">
        <f>+IF(Tabla2[[#This Row],[FECHA DE PAGO]]&gt;0,"pagada","por pagar")</f>
        <v>pagada</v>
      </c>
      <c r="AD1263" s="164" t="str">
        <f>+IF(AND(Tabla2[[#This Row],[venc]]="venc",Tabla2[[#This Row],[estado pago]]="por pagar"),"vencida","no")</f>
        <v>no</v>
      </c>
    </row>
    <row r="1264" spans="1:30" ht="19.5" customHeight="1" x14ac:dyDescent="0.25">
      <c r="A1264" s="8" t="s">
        <v>1850</v>
      </c>
      <c r="B1264" s="8" t="b">
        <v>0</v>
      </c>
      <c r="C1264" s="8">
        <v>30</v>
      </c>
      <c r="D1264" s="151">
        <v>0</v>
      </c>
      <c r="E1264" s="151"/>
      <c r="F1264" s="24" t="s">
        <v>1447</v>
      </c>
      <c r="G1264" s="30">
        <v>45338</v>
      </c>
      <c r="H1264" s="81" t="s">
        <v>373</v>
      </c>
      <c r="I1264" s="30">
        <v>45328</v>
      </c>
      <c r="J1264" s="16" t="s">
        <v>1565</v>
      </c>
      <c r="K1264" s="9" t="s">
        <v>1530</v>
      </c>
      <c r="L1264" s="9" t="s">
        <v>1534</v>
      </c>
      <c r="M1264" s="152">
        <v>2202761</v>
      </c>
      <c r="N1264" s="153">
        <v>0</v>
      </c>
      <c r="O1264" s="152">
        <v>418942</v>
      </c>
      <c r="P1264" s="154">
        <v>0</v>
      </c>
      <c r="Q1264" s="152">
        <v>0</v>
      </c>
      <c r="R1264" s="9">
        <v>1783819</v>
      </c>
      <c r="S1264" s="21" t="s">
        <v>1846</v>
      </c>
      <c r="T1264" s="117">
        <v>0</v>
      </c>
      <c r="U1264" s="117">
        <v>0</v>
      </c>
      <c r="V1264" s="117">
        <v>2024</v>
      </c>
      <c r="W1264" s="117">
        <v>7</v>
      </c>
      <c r="X1264" s="117">
        <v>0</v>
      </c>
      <c r="Y1264" s="117">
        <v>0</v>
      </c>
      <c r="Z1264" s="21" t="b">
        <v>1</v>
      </c>
      <c r="AA1264" s="162">
        <f>+$AD$5-Tabla2[[#This Row],[FECHA DE FACTURACIÓN]]</f>
        <v>115</v>
      </c>
      <c r="AB1264" s="163" t="str">
        <f>+IF(Tabla2[[#This Row],[dias de credito]]&gt;=Tabla2[[#This Row],[PLAZO Días]],"venc", "No venc")</f>
        <v>venc</v>
      </c>
      <c r="AC1264" s="163" t="str">
        <f>+IF(Tabla2[[#This Row],[FECHA DE PAGO]]&gt;0,"pagada","por pagar")</f>
        <v>pagada</v>
      </c>
      <c r="AD1264" s="164" t="str">
        <f>+IF(AND(Tabla2[[#This Row],[venc]]="venc",Tabla2[[#This Row],[estado pago]]="por pagar"),"vencida","no")</f>
        <v>no</v>
      </c>
    </row>
    <row r="1265" spans="1:30" ht="19.5" customHeight="1" x14ac:dyDescent="0.25">
      <c r="A1265" s="8" t="s">
        <v>1850</v>
      </c>
      <c r="B1265" s="8" t="b">
        <v>0</v>
      </c>
      <c r="C1265" s="8">
        <v>30</v>
      </c>
      <c r="D1265" s="151">
        <v>0</v>
      </c>
      <c r="E1265" s="151"/>
      <c r="F1265" s="24">
        <v>0</v>
      </c>
      <c r="G1265" s="30">
        <v>45338</v>
      </c>
      <c r="H1265" s="81" t="s">
        <v>836</v>
      </c>
      <c r="I1265" s="30">
        <v>45337</v>
      </c>
      <c r="J1265" s="16" t="s">
        <v>1563</v>
      </c>
      <c r="K1265" s="9" t="s">
        <v>504</v>
      </c>
      <c r="L1265" s="9" t="s">
        <v>1395</v>
      </c>
      <c r="M1265" s="152">
        <v>442000</v>
      </c>
      <c r="N1265" s="153">
        <v>0</v>
      </c>
      <c r="O1265" s="152">
        <v>0</v>
      </c>
      <c r="P1265" s="154">
        <v>0</v>
      </c>
      <c r="Q1265" s="152">
        <v>0</v>
      </c>
      <c r="R1265" s="9">
        <v>442000</v>
      </c>
      <c r="S1265" s="21" t="s">
        <v>1846</v>
      </c>
      <c r="T1265" s="117">
        <v>0</v>
      </c>
      <c r="U1265" s="117">
        <v>0</v>
      </c>
      <c r="V1265" s="117">
        <v>2024</v>
      </c>
      <c r="W1265" s="117">
        <v>7</v>
      </c>
      <c r="X1265" s="117">
        <v>0</v>
      </c>
      <c r="Y1265" s="117">
        <v>0</v>
      </c>
      <c r="Z1265" s="21" t="b">
        <v>0</v>
      </c>
      <c r="AA1265" s="162">
        <f>+$AD$5-Tabla2[[#This Row],[FECHA DE FACTURACIÓN]]</f>
        <v>106</v>
      </c>
      <c r="AB1265" s="163" t="str">
        <f>+IF(Tabla2[[#This Row],[dias de credito]]&gt;=Tabla2[[#This Row],[PLAZO Días]],"venc", "No venc")</f>
        <v>venc</v>
      </c>
      <c r="AC1265" s="163" t="str">
        <f>+IF(Tabla2[[#This Row],[FECHA DE PAGO]]&gt;0,"pagada","por pagar")</f>
        <v>pagada</v>
      </c>
      <c r="AD1265" s="164" t="str">
        <f>+IF(AND(Tabla2[[#This Row],[venc]]="venc",Tabla2[[#This Row],[estado pago]]="por pagar"),"vencida","no")</f>
        <v>no</v>
      </c>
    </row>
    <row r="1266" spans="1:30" ht="19.5" customHeight="1" x14ac:dyDescent="0.25">
      <c r="A1266" s="8" t="s">
        <v>1852</v>
      </c>
      <c r="B1266" s="8" t="b">
        <v>0</v>
      </c>
      <c r="C1266" s="8">
        <v>30</v>
      </c>
      <c r="D1266" s="151">
        <v>0</v>
      </c>
      <c r="E1266" s="151"/>
      <c r="F1266" s="24" t="s">
        <v>84</v>
      </c>
      <c r="G1266" s="30">
        <v>45338</v>
      </c>
      <c r="H1266" s="81" t="s">
        <v>1828</v>
      </c>
      <c r="I1266" s="30">
        <v>45338</v>
      </c>
      <c r="J1266" s="16" t="s">
        <v>1604</v>
      </c>
      <c r="K1266" s="9" t="s">
        <v>1530</v>
      </c>
      <c r="L1266" s="9" t="s">
        <v>1395</v>
      </c>
      <c r="M1266" s="152">
        <v>227000</v>
      </c>
      <c r="N1266" s="153">
        <v>0</v>
      </c>
      <c r="O1266" s="152">
        <v>0</v>
      </c>
      <c r="P1266" s="154">
        <v>0</v>
      </c>
      <c r="Q1266" s="152">
        <v>0</v>
      </c>
      <c r="R1266" s="9">
        <v>227000</v>
      </c>
      <c r="S1266" s="21" t="s">
        <v>1846</v>
      </c>
      <c r="T1266" s="117">
        <v>0</v>
      </c>
      <c r="U1266" s="117">
        <v>0</v>
      </c>
      <c r="V1266" s="117">
        <v>2024</v>
      </c>
      <c r="W1266" s="117">
        <v>7</v>
      </c>
      <c r="X1266" s="117">
        <v>0</v>
      </c>
      <c r="Y1266" s="117">
        <v>0</v>
      </c>
      <c r="Z1266" s="21" t="b">
        <v>0</v>
      </c>
      <c r="AA1266" s="162">
        <f>+$AD$5-Tabla2[[#This Row],[FECHA DE FACTURACIÓN]]</f>
        <v>105</v>
      </c>
      <c r="AB1266" s="163" t="str">
        <f>+IF(Tabla2[[#This Row],[dias de credito]]&gt;=Tabla2[[#This Row],[PLAZO Días]],"venc", "No venc")</f>
        <v>venc</v>
      </c>
      <c r="AC1266" s="163" t="str">
        <f>+IF(Tabla2[[#This Row],[FECHA DE PAGO]]&gt;0,"pagada","por pagar")</f>
        <v>pagada</v>
      </c>
      <c r="AD1266" s="164" t="str">
        <f>+IF(AND(Tabla2[[#This Row],[venc]]="venc",Tabla2[[#This Row],[estado pago]]="por pagar"),"vencida","no")</f>
        <v>no</v>
      </c>
    </row>
    <row r="1267" spans="1:30" ht="19.5" customHeight="1" x14ac:dyDescent="0.25">
      <c r="A1267" s="8" t="s">
        <v>1852</v>
      </c>
      <c r="B1267" s="8" t="b">
        <v>0</v>
      </c>
      <c r="C1267" s="8">
        <v>30</v>
      </c>
      <c r="D1267" s="151">
        <v>0</v>
      </c>
      <c r="E1267" s="151"/>
      <c r="F1267" s="24" t="s">
        <v>84</v>
      </c>
      <c r="G1267" s="30">
        <v>45338</v>
      </c>
      <c r="H1267" s="81" t="s">
        <v>1824</v>
      </c>
      <c r="I1267" s="30">
        <v>45338</v>
      </c>
      <c r="J1267" s="16"/>
      <c r="K1267" s="9" t="s">
        <v>1530</v>
      </c>
      <c r="L1267" s="9" t="s">
        <v>1395</v>
      </c>
      <c r="M1267" s="152">
        <v>609600</v>
      </c>
      <c r="N1267" s="153">
        <v>0</v>
      </c>
      <c r="O1267" s="152">
        <v>0</v>
      </c>
      <c r="P1267" s="154">
        <v>0</v>
      </c>
      <c r="Q1267" s="152">
        <v>0</v>
      </c>
      <c r="R1267" s="9">
        <v>609600</v>
      </c>
      <c r="S1267" s="21" t="s">
        <v>1846</v>
      </c>
      <c r="T1267" s="117">
        <v>0</v>
      </c>
      <c r="U1267" s="117">
        <v>0</v>
      </c>
      <c r="V1267" s="117">
        <v>2024</v>
      </c>
      <c r="W1267" s="117">
        <v>7</v>
      </c>
      <c r="X1267" s="117">
        <v>0</v>
      </c>
      <c r="Y1267" s="117">
        <v>0</v>
      </c>
      <c r="Z1267" s="21" t="b">
        <v>0</v>
      </c>
      <c r="AA1267" s="162">
        <f>+$AD$5-Tabla2[[#This Row],[FECHA DE FACTURACIÓN]]</f>
        <v>105</v>
      </c>
      <c r="AB1267" s="163" t="str">
        <f>+IF(Tabla2[[#This Row],[dias de credito]]&gt;=Tabla2[[#This Row],[PLAZO Días]],"venc", "No venc")</f>
        <v>venc</v>
      </c>
      <c r="AC1267" s="163" t="str">
        <f>+IF(Tabla2[[#This Row],[FECHA DE PAGO]]&gt;0,"pagada","por pagar")</f>
        <v>pagada</v>
      </c>
      <c r="AD1267" s="164" t="str">
        <f>+IF(AND(Tabla2[[#This Row],[venc]]="venc",Tabla2[[#This Row],[estado pago]]="por pagar"),"vencida","no")</f>
        <v>no</v>
      </c>
    </row>
    <row r="1268" spans="1:30" ht="19.5" customHeight="1" x14ac:dyDescent="0.25">
      <c r="A1268" s="8" t="s">
        <v>1852</v>
      </c>
      <c r="B1268" s="8" t="b">
        <v>0</v>
      </c>
      <c r="C1268" s="8">
        <v>0</v>
      </c>
      <c r="D1268" s="151">
        <v>0</v>
      </c>
      <c r="E1268" s="151"/>
      <c r="F1268" s="24">
        <v>0</v>
      </c>
      <c r="G1268" s="30">
        <v>45338</v>
      </c>
      <c r="H1268" s="81" t="s">
        <v>1568</v>
      </c>
      <c r="I1268" s="30">
        <v>45338</v>
      </c>
      <c r="J1268" s="16">
        <v>23298</v>
      </c>
      <c r="K1268" s="9"/>
      <c r="L1268" s="9" t="s">
        <v>1395</v>
      </c>
      <c r="M1268" s="152">
        <v>17612</v>
      </c>
      <c r="N1268" s="153">
        <v>3346.28</v>
      </c>
      <c r="O1268" s="152">
        <v>0</v>
      </c>
      <c r="P1268" s="154">
        <v>0</v>
      </c>
      <c r="Q1268" s="152">
        <v>0</v>
      </c>
      <c r="R1268" s="9">
        <v>20958.28</v>
      </c>
      <c r="S1268" s="21" t="s">
        <v>1846</v>
      </c>
      <c r="T1268" s="117">
        <v>0</v>
      </c>
      <c r="U1268" s="117">
        <v>0</v>
      </c>
      <c r="V1268" s="117">
        <v>2024</v>
      </c>
      <c r="W1268" s="117">
        <v>7</v>
      </c>
      <c r="X1268" s="117">
        <v>0</v>
      </c>
      <c r="Y1268" s="117">
        <v>0</v>
      </c>
      <c r="Z1268" s="21" t="b">
        <v>0</v>
      </c>
      <c r="AA1268" s="162">
        <f>+$AD$5-Tabla2[[#This Row],[FECHA DE FACTURACIÓN]]</f>
        <v>105</v>
      </c>
      <c r="AB1268" s="163" t="str">
        <f>+IF(Tabla2[[#This Row],[dias de credito]]&gt;=Tabla2[[#This Row],[PLAZO Días]],"venc", "No venc")</f>
        <v>venc</v>
      </c>
      <c r="AC1268" s="163" t="str">
        <f>+IF(Tabla2[[#This Row],[FECHA DE PAGO]]&gt;0,"pagada","por pagar")</f>
        <v>pagada</v>
      </c>
      <c r="AD1268" s="164" t="str">
        <f>+IF(AND(Tabla2[[#This Row],[venc]]="venc",Tabla2[[#This Row],[estado pago]]="por pagar"),"vencida","no")</f>
        <v>no</v>
      </c>
    </row>
    <row r="1269" spans="1:30" ht="19.5" customHeight="1" x14ac:dyDescent="0.25">
      <c r="A1269" s="8" t="s">
        <v>1850</v>
      </c>
      <c r="B1269" s="8" t="b">
        <v>0</v>
      </c>
      <c r="C1269" s="8">
        <v>30</v>
      </c>
      <c r="D1269" s="151">
        <v>0</v>
      </c>
      <c r="E1269" s="151"/>
      <c r="F1269" s="24" t="s">
        <v>84</v>
      </c>
      <c r="G1269" s="30">
        <v>45339</v>
      </c>
      <c r="H1269" s="81" t="s">
        <v>481</v>
      </c>
      <c r="I1269" s="30">
        <v>45338</v>
      </c>
      <c r="J1269" s="16" t="s">
        <v>1608</v>
      </c>
      <c r="K1269" s="9" t="s">
        <v>1530</v>
      </c>
      <c r="L1269" s="9"/>
      <c r="M1269" s="152">
        <v>1093000</v>
      </c>
      <c r="N1269" s="153">
        <v>0</v>
      </c>
      <c r="O1269" s="152">
        <v>0</v>
      </c>
      <c r="P1269" s="154">
        <v>0</v>
      </c>
      <c r="Q1269" s="152">
        <v>0</v>
      </c>
      <c r="R1269" s="9">
        <v>1093000</v>
      </c>
      <c r="S1269" s="21" t="s">
        <v>1846</v>
      </c>
      <c r="T1269" s="117">
        <v>0</v>
      </c>
      <c r="U1269" s="117">
        <v>0</v>
      </c>
      <c r="V1269" s="117">
        <v>2024</v>
      </c>
      <c r="W1269" s="117">
        <v>7</v>
      </c>
      <c r="X1269" s="117">
        <v>0</v>
      </c>
      <c r="Y1269" s="117">
        <v>0</v>
      </c>
      <c r="Z1269" s="21" t="b">
        <v>0</v>
      </c>
      <c r="AA1269" s="162">
        <f>+$AD$5-Tabla2[[#This Row],[FECHA DE FACTURACIÓN]]</f>
        <v>105</v>
      </c>
      <c r="AB1269" s="163" t="str">
        <f>+IF(Tabla2[[#This Row],[dias de credito]]&gt;=Tabla2[[#This Row],[PLAZO Días]],"venc", "No venc")</f>
        <v>venc</v>
      </c>
      <c r="AC1269" s="163" t="str">
        <f>+IF(Tabla2[[#This Row],[FECHA DE PAGO]]&gt;0,"pagada","por pagar")</f>
        <v>pagada</v>
      </c>
      <c r="AD1269" s="164" t="str">
        <f>+IF(AND(Tabla2[[#This Row],[venc]]="venc",Tabla2[[#This Row],[estado pago]]="por pagar"),"vencida","no")</f>
        <v>no</v>
      </c>
    </row>
    <row r="1270" spans="1:30" ht="19.5" customHeight="1" x14ac:dyDescent="0.25">
      <c r="A1270" s="8" t="s">
        <v>1852</v>
      </c>
      <c r="B1270" s="8" t="b">
        <v>0</v>
      </c>
      <c r="C1270" s="8">
        <v>30</v>
      </c>
      <c r="D1270" s="151">
        <v>1350000</v>
      </c>
      <c r="E1270" s="151"/>
      <c r="F1270" s="24" t="s">
        <v>84</v>
      </c>
      <c r="G1270" s="30">
        <v>45339</v>
      </c>
      <c r="H1270" s="81" t="s">
        <v>1807</v>
      </c>
      <c r="I1270" s="30">
        <v>45339</v>
      </c>
      <c r="J1270" s="16" t="s">
        <v>1602</v>
      </c>
      <c r="K1270" s="9" t="s">
        <v>1530</v>
      </c>
      <c r="L1270" s="9" t="s">
        <v>1395</v>
      </c>
      <c r="M1270" s="152">
        <v>690000</v>
      </c>
      <c r="N1270" s="153">
        <v>0</v>
      </c>
      <c r="O1270" s="152">
        <v>0</v>
      </c>
      <c r="P1270" s="154">
        <v>0</v>
      </c>
      <c r="Q1270" s="152">
        <v>0</v>
      </c>
      <c r="R1270" s="9">
        <v>690000</v>
      </c>
      <c r="S1270" s="21" t="s">
        <v>1846</v>
      </c>
      <c r="T1270" s="117">
        <v>0</v>
      </c>
      <c r="U1270" s="117">
        <v>0</v>
      </c>
      <c r="V1270" s="117">
        <v>2024</v>
      </c>
      <c r="W1270" s="117">
        <v>7</v>
      </c>
      <c r="X1270" s="117">
        <v>0</v>
      </c>
      <c r="Y1270" s="117">
        <v>0</v>
      </c>
      <c r="Z1270" s="21" t="b">
        <v>0</v>
      </c>
      <c r="AA1270" s="162">
        <f>+$AD$5-Tabla2[[#This Row],[FECHA DE FACTURACIÓN]]</f>
        <v>104</v>
      </c>
      <c r="AB1270" s="163" t="str">
        <f>+IF(Tabla2[[#This Row],[dias de credito]]&gt;=Tabla2[[#This Row],[PLAZO Días]],"venc", "No venc")</f>
        <v>venc</v>
      </c>
      <c r="AC1270" s="163" t="str">
        <f>+IF(Tabla2[[#This Row],[FECHA DE PAGO]]&gt;0,"pagada","por pagar")</f>
        <v>pagada</v>
      </c>
      <c r="AD1270" s="164" t="str">
        <f>+IF(AND(Tabla2[[#This Row],[venc]]="venc",Tabla2[[#This Row],[estado pago]]="por pagar"),"vencida","no")</f>
        <v>no</v>
      </c>
    </row>
    <row r="1271" spans="1:30" ht="19.5" customHeight="1" x14ac:dyDescent="0.25">
      <c r="A1271" s="8" t="s">
        <v>1850</v>
      </c>
      <c r="B1271" s="8" t="s">
        <v>1851</v>
      </c>
      <c r="C1271" s="8">
        <v>30</v>
      </c>
      <c r="D1271" s="151">
        <v>0</v>
      </c>
      <c r="E1271" s="151"/>
      <c r="F1271" s="24" t="s">
        <v>268</v>
      </c>
      <c r="G1271" s="30">
        <v>45341</v>
      </c>
      <c r="H1271" s="81" t="s">
        <v>376</v>
      </c>
      <c r="I1271" s="30">
        <v>45293</v>
      </c>
      <c r="J1271" s="16" t="s">
        <v>1569</v>
      </c>
      <c r="K1271" s="9" t="s">
        <v>1530</v>
      </c>
      <c r="L1271" s="9" t="s">
        <v>1533</v>
      </c>
      <c r="M1271" s="152">
        <v>357058</v>
      </c>
      <c r="N1271" s="153">
        <v>0</v>
      </c>
      <c r="O1271" s="152">
        <v>10697.52</v>
      </c>
      <c r="P1271" s="154">
        <v>0</v>
      </c>
      <c r="Q1271" s="152">
        <v>0</v>
      </c>
      <c r="R1271" s="9">
        <v>346360.48</v>
      </c>
      <c r="S1271" s="21" t="s">
        <v>1846</v>
      </c>
      <c r="T1271" s="117">
        <v>0</v>
      </c>
      <c r="U1271" s="117">
        <v>0</v>
      </c>
      <c r="V1271" s="117">
        <v>2024</v>
      </c>
      <c r="W1271" s="117">
        <v>7</v>
      </c>
      <c r="X1271" s="117">
        <v>0</v>
      </c>
      <c r="Y1271" s="117">
        <v>0</v>
      </c>
      <c r="Z1271" s="21" t="b">
        <v>1</v>
      </c>
      <c r="AA1271" s="162">
        <f>+$AD$5-Tabla2[[#This Row],[FECHA DE FACTURACIÓN]]</f>
        <v>150</v>
      </c>
      <c r="AB1271" s="163" t="str">
        <f>+IF(Tabla2[[#This Row],[dias de credito]]&gt;=Tabla2[[#This Row],[PLAZO Días]],"venc", "No venc")</f>
        <v>venc</v>
      </c>
      <c r="AC1271" s="163" t="str">
        <f>+IF(Tabla2[[#This Row],[FECHA DE PAGO]]&gt;0,"pagada","por pagar")</f>
        <v>pagada</v>
      </c>
      <c r="AD1271" s="164" t="str">
        <f>+IF(AND(Tabla2[[#This Row],[venc]]="venc",Tabla2[[#This Row],[estado pago]]="por pagar"),"vencida","no")</f>
        <v>no</v>
      </c>
    </row>
    <row r="1272" spans="1:30" ht="19.5" customHeight="1" x14ac:dyDescent="0.25">
      <c r="A1272" s="8" t="s">
        <v>1850</v>
      </c>
      <c r="B1272" s="8" t="s">
        <v>1851</v>
      </c>
      <c r="C1272" s="8">
        <v>30</v>
      </c>
      <c r="D1272" s="151">
        <v>8456975.129999999</v>
      </c>
      <c r="E1272" s="151"/>
      <c r="F1272" s="24" t="s">
        <v>1476</v>
      </c>
      <c r="G1272" s="30">
        <v>45341</v>
      </c>
      <c r="H1272" s="81" t="s">
        <v>1464</v>
      </c>
      <c r="I1272" s="30">
        <v>45309</v>
      </c>
      <c r="J1272" s="16" t="s">
        <v>1465</v>
      </c>
      <c r="K1272" s="9" t="s">
        <v>1530</v>
      </c>
      <c r="L1272" s="9" t="s">
        <v>1533</v>
      </c>
      <c r="M1272" s="152">
        <v>2245165.5</v>
      </c>
      <c r="N1272" s="153">
        <v>426581.44500000001</v>
      </c>
      <c r="O1272" s="152">
        <v>0</v>
      </c>
      <c r="P1272" s="154">
        <v>2.5000000000000001E-2</v>
      </c>
      <c r="Q1272" s="152">
        <v>56129.137500000004</v>
      </c>
      <c r="R1272" s="9">
        <v>2615617.8074999996</v>
      </c>
      <c r="S1272" s="21" t="s">
        <v>1846</v>
      </c>
      <c r="T1272" s="117">
        <v>0</v>
      </c>
      <c r="U1272" s="117" t="s">
        <v>347</v>
      </c>
      <c r="V1272" s="117">
        <v>2024</v>
      </c>
      <c r="W1272" s="117">
        <v>7</v>
      </c>
      <c r="X1272" s="117">
        <v>1271000</v>
      </c>
      <c r="Y1272" s="117">
        <v>2.5000000000000001E-2</v>
      </c>
      <c r="Z1272" s="21" t="b">
        <v>0</v>
      </c>
      <c r="AA1272" s="162">
        <f>+$AD$5-Tabla2[[#This Row],[FECHA DE FACTURACIÓN]]</f>
        <v>134</v>
      </c>
      <c r="AB1272" s="163" t="str">
        <f>+IF(Tabla2[[#This Row],[dias de credito]]&gt;=Tabla2[[#This Row],[PLAZO Días]],"venc", "No venc")</f>
        <v>venc</v>
      </c>
      <c r="AC1272" s="163" t="str">
        <f>+IF(Tabla2[[#This Row],[FECHA DE PAGO]]&gt;0,"pagada","por pagar")</f>
        <v>pagada</v>
      </c>
      <c r="AD1272" s="164" t="str">
        <f>+IF(AND(Tabla2[[#This Row],[venc]]="venc",Tabla2[[#This Row],[estado pago]]="por pagar"),"vencida","no")</f>
        <v>no</v>
      </c>
    </row>
    <row r="1273" spans="1:30" ht="19.5" customHeight="1" x14ac:dyDescent="0.25">
      <c r="A1273" s="8" t="s">
        <v>1850</v>
      </c>
      <c r="B1273" s="8" t="s">
        <v>1851</v>
      </c>
      <c r="C1273" s="8">
        <v>30</v>
      </c>
      <c r="D1273" s="151">
        <v>818443.92</v>
      </c>
      <c r="E1273" s="151"/>
      <c r="F1273" s="24" t="s">
        <v>111</v>
      </c>
      <c r="G1273" s="30">
        <v>45341</v>
      </c>
      <c r="H1273" s="81" t="s">
        <v>20</v>
      </c>
      <c r="I1273" s="30">
        <v>45310</v>
      </c>
      <c r="J1273" s="16" t="s">
        <v>1462</v>
      </c>
      <c r="K1273" s="9" t="s">
        <v>1530</v>
      </c>
      <c r="L1273" s="9" t="s">
        <v>1533</v>
      </c>
      <c r="M1273" s="152">
        <v>4314984</v>
      </c>
      <c r="N1273" s="153">
        <v>819846.96</v>
      </c>
      <c r="O1273" s="152">
        <v>129449.51999999999</v>
      </c>
      <c r="P1273" s="154">
        <v>2.5000000000000001E-2</v>
      </c>
      <c r="Q1273" s="152">
        <v>107874.6</v>
      </c>
      <c r="R1273" s="9">
        <v>4897506.8400000008</v>
      </c>
      <c r="S1273" s="21" t="s">
        <v>1846</v>
      </c>
      <c r="T1273" s="117">
        <v>0</v>
      </c>
      <c r="U1273" s="117" t="s">
        <v>347</v>
      </c>
      <c r="V1273" s="117">
        <v>2024</v>
      </c>
      <c r="W1273" s="117">
        <v>7</v>
      </c>
      <c r="X1273" s="117">
        <v>1271000</v>
      </c>
      <c r="Y1273" s="117">
        <v>2.5000000000000001E-2</v>
      </c>
      <c r="Z1273" s="21" t="b">
        <v>0</v>
      </c>
      <c r="AA1273" s="162">
        <f>+$AD$5-Tabla2[[#This Row],[FECHA DE FACTURACIÓN]]</f>
        <v>133</v>
      </c>
      <c r="AB1273" s="163" t="str">
        <f>+IF(Tabla2[[#This Row],[dias de credito]]&gt;=Tabla2[[#This Row],[PLAZO Días]],"venc", "No venc")</f>
        <v>venc</v>
      </c>
      <c r="AC1273" s="163" t="str">
        <f>+IF(Tabla2[[#This Row],[FECHA DE PAGO]]&gt;0,"pagada","por pagar")</f>
        <v>pagada</v>
      </c>
      <c r="AD1273" s="164" t="str">
        <f>+IF(AND(Tabla2[[#This Row],[venc]]="venc",Tabla2[[#This Row],[estado pago]]="por pagar"),"vencida","no")</f>
        <v>no</v>
      </c>
    </row>
    <row r="1274" spans="1:30" ht="19.5" customHeight="1" x14ac:dyDescent="0.25">
      <c r="A1274" s="8" t="s">
        <v>1850</v>
      </c>
      <c r="B1274" s="8" t="b">
        <v>0</v>
      </c>
      <c r="C1274" s="8">
        <v>30</v>
      </c>
      <c r="D1274" s="151">
        <v>0</v>
      </c>
      <c r="E1274" s="151"/>
      <c r="F1274" s="24" t="s">
        <v>153</v>
      </c>
      <c r="G1274" s="30">
        <v>45341</v>
      </c>
      <c r="H1274" s="81" t="s">
        <v>394</v>
      </c>
      <c r="I1274" s="30">
        <v>45331</v>
      </c>
      <c r="J1274" s="16" t="s">
        <v>1570</v>
      </c>
      <c r="K1274" s="9" t="s">
        <v>1530</v>
      </c>
      <c r="L1274" s="9" t="s">
        <v>1533</v>
      </c>
      <c r="M1274" s="152">
        <v>39710</v>
      </c>
      <c r="N1274" s="153">
        <v>7544.9</v>
      </c>
      <c r="O1274" s="152">
        <v>0</v>
      </c>
      <c r="P1274" s="154">
        <v>3.5000000000000003E-2</v>
      </c>
      <c r="Q1274" s="152">
        <v>1389.8500000000001</v>
      </c>
      <c r="R1274" s="9">
        <v>45865.05</v>
      </c>
      <c r="S1274" s="21" t="s">
        <v>1846</v>
      </c>
      <c r="T1274" s="117">
        <v>0</v>
      </c>
      <c r="U1274" s="117" t="s">
        <v>348</v>
      </c>
      <c r="V1274" s="117">
        <v>2024</v>
      </c>
      <c r="W1274" s="117">
        <v>7</v>
      </c>
      <c r="X1274" s="117">
        <v>0</v>
      </c>
      <c r="Y1274" s="117">
        <v>3.5000000000000003E-2</v>
      </c>
      <c r="Z1274" s="21" t="b">
        <v>1</v>
      </c>
      <c r="AA1274" s="162">
        <f>+$AD$5-Tabla2[[#This Row],[FECHA DE FACTURACIÓN]]</f>
        <v>112</v>
      </c>
      <c r="AB1274" s="163" t="str">
        <f>+IF(Tabla2[[#This Row],[dias de credito]]&gt;=Tabla2[[#This Row],[PLAZO Días]],"venc", "No venc")</f>
        <v>venc</v>
      </c>
      <c r="AC1274" s="163" t="str">
        <f>+IF(Tabla2[[#This Row],[FECHA DE PAGO]]&gt;0,"pagada","por pagar")</f>
        <v>pagada</v>
      </c>
      <c r="AD1274" s="164" t="str">
        <f>+IF(AND(Tabla2[[#This Row],[venc]]="venc",Tabla2[[#This Row],[estado pago]]="por pagar"),"vencida","no")</f>
        <v>no</v>
      </c>
    </row>
    <row r="1275" spans="1:30" ht="19.5" hidden="1" customHeight="1" x14ac:dyDescent="0.25">
      <c r="A1275" s="8" t="s">
        <v>1850</v>
      </c>
      <c r="B1275" s="8" t="s">
        <v>1851</v>
      </c>
      <c r="C1275" s="8">
        <v>30</v>
      </c>
      <c r="D1275" s="151">
        <v>134000</v>
      </c>
      <c r="E1275" s="151"/>
      <c r="F1275" s="24" t="s">
        <v>192</v>
      </c>
      <c r="G1275" s="30">
        <v>45342</v>
      </c>
      <c r="H1275" s="81" t="s">
        <v>1808</v>
      </c>
      <c r="I1275" s="30">
        <v>45271</v>
      </c>
      <c r="J1275" s="16" t="s">
        <v>1364</v>
      </c>
      <c r="K1275" s="9" t="s">
        <v>1530</v>
      </c>
      <c r="L1275" s="9" t="s">
        <v>1395</v>
      </c>
      <c r="M1275" s="152">
        <v>101000</v>
      </c>
      <c r="N1275" s="153">
        <v>0</v>
      </c>
      <c r="O1275" s="152">
        <v>5050</v>
      </c>
      <c r="P1275" s="154">
        <v>0</v>
      </c>
      <c r="Q1275" s="152">
        <v>0</v>
      </c>
      <c r="R1275" s="9">
        <v>95950</v>
      </c>
      <c r="S1275" s="21" t="s">
        <v>1846</v>
      </c>
      <c r="T1275" s="117">
        <v>0</v>
      </c>
      <c r="U1275" s="117">
        <v>0</v>
      </c>
      <c r="V1275" s="117">
        <v>2023</v>
      </c>
      <c r="W1275" s="117">
        <v>6</v>
      </c>
      <c r="X1275" s="117">
        <v>0</v>
      </c>
      <c r="Y1275" s="117">
        <v>0</v>
      </c>
      <c r="Z1275" s="21" t="b">
        <v>0</v>
      </c>
      <c r="AA1275" s="162">
        <f>+$AD$5-Tabla2[[#This Row],[FECHA DE FACTURACIÓN]]</f>
        <v>172</v>
      </c>
      <c r="AB1275" s="163" t="str">
        <f>+IF(Tabla2[[#This Row],[dias de credito]]&gt;=Tabla2[[#This Row],[PLAZO Días]],"venc", "No venc")</f>
        <v>venc</v>
      </c>
      <c r="AC1275" s="163" t="str">
        <f>+IF(Tabla2[[#This Row],[FECHA DE PAGO]]&gt;0,"pagada","por pagar")</f>
        <v>pagada</v>
      </c>
      <c r="AD1275" s="164" t="str">
        <f>+IF(AND(Tabla2[[#This Row],[venc]]="venc",Tabla2[[#This Row],[estado pago]]="por pagar"),"vencida","no")</f>
        <v>no</v>
      </c>
    </row>
    <row r="1276" spans="1:30" ht="19.5" hidden="1" customHeight="1" x14ac:dyDescent="0.25">
      <c r="A1276" s="8" t="s">
        <v>1850</v>
      </c>
      <c r="B1276" s="8" t="s">
        <v>1851</v>
      </c>
      <c r="C1276" s="8">
        <v>30</v>
      </c>
      <c r="D1276" s="151">
        <v>134000</v>
      </c>
      <c r="E1276" s="151"/>
      <c r="F1276" s="24" t="s">
        <v>192</v>
      </c>
      <c r="G1276" s="30">
        <v>45342</v>
      </c>
      <c r="H1276" s="81" t="s">
        <v>1808</v>
      </c>
      <c r="I1276" s="30">
        <v>45271</v>
      </c>
      <c r="J1276" s="16" t="s">
        <v>1363</v>
      </c>
      <c r="K1276" s="9" t="s">
        <v>1530</v>
      </c>
      <c r="L1276" s="9" t="s">
        <v>1395</v>
      </c>
      <c r="M1276" s="152">
        <v>4925000</v>
      </c>
      <c r="N1276" s="153">
        <v>0</v>
      </c>
      <c r="O1276" s="152">
        <v>0</v>
      </c>
      <c r="P1276" s="154">
        <v>0</v>
      </c>
      <c r="Q1276" s="152">
        <v>0</v>
      </c>
      <c r="R1276" s="9">
        <v>4925000</v>
      </c>
      <c r="S1276" s="21" t="s">
        <v>1846</v>
      </c>
      <c r="T1276" s="117">
        <v>0</v>
      </c>
      <c r="U1276" s="117">
        <v>0</v>
      </c>
      <c r="V1276" s="117">
        <v>2023</v>
      </c>
      <c r="W1276" s="117">
        <v>6</v>
      </c>
      <c r="X1276" s="117">
        <v>0</v>
      </c>
      <c r="Y1276" s="117">
        <v>0</v>
      </c>
      <c r="Z1276" s="21" t="b">
        <v>0</v>
      </c>
      <c r="AA1276" s="162">
        <f>+$AD$5-Tabla2[[#This Row],[FECHA DE FACTURACIÓN]]</f>
        <v>172</v>
      </c>
      <c r="AB1276" s="163" t="str">
        <f>+IF(Tabla2[[#This Row],[dias de credito]]&gt;=Tabla2[[#This Row],[PLAZO Días]],"venc", "No venc")</f>
        <v>venc</v>
      </c>
      <c r="AC1276" s="163" t="str">
        <f>+IF(Tabla2[[#This Row],[FECHA DE PAGO]]&gt;0,"pagada","por pagar")</f>
        <v>pagada</v>
      </c>
      <c r="AD1276" s="164" t="str">
        <f>+IF(AND(Tabla2[[#This Row],[venc]]="venc",Tabla2[[#This Row],[estado pago]]="por pagar"),"vencida","no")</f>
        <v>no</v>
      </c>
    </row>
    <row r="1277" spans="1:30" ht="19.5" hidden="1" customHeight="1" x14ac:dyDescent="0.25">
      <c r="A1277" s="8" t="s">
        <v>1850</v>
      </c>
      <c r="B1277" s="8" t="b">
        <v>0</v>
      </c>
      <c r="C1277" s="8">
        <v>60</v>
      </c>
      <c r="D1277" s="151">
        <v>1730482</v>
      </c>
      <c r="E1277" s="151"/>
      <c r="F1277" s="24" t="s">
        <v>603</v>
      </c>
      <c r="G1277" s="30">
        <v>45342</v>
      </c>
      <c r="H1277" s="81" t="s">
        <v>222</v>
      </c>
      <c r="I1277" s="30">
        <v>45282</v>
      </c>
      <c r="J1277" s="16">
        <v>1873</v>
      </c>
      <c r="K1277" s="9" t="s">
        <v>1530</v>
      </c>
      <c r="L1277" s="9" t="s">
        <v>1534</v>
      </c>
      <c r="M1277" s="152">
        <v>367015.60000000003</v>
      </c>
      <c r="N1277" s="153">
        <v>0</v>
      </c>
      <c r="O1277" s="152">
        <v>0</v>
      </c>
      <c r="P1277" s="154">
        <v>0</v>
      </c>
      <c r="Q1277" s="152">
        <v>0</v>
      </c>
      <c r="R1277" s="9">
        <v>367015.60000000003</v>
      </c>
      <c r="S1277" s="21" t="s">
        <v>1846</v>
      </c>
      <c r="T1277" s="117">
        <v>0</v>
      </c>
      <c r="U1277" s="117">
        <v>0</v>
      </c>
      <c r="V1277" s="117">
        <v>2023</v>
      </c>
      <c r="W1277" s="117">
        <v>6</v>
      </c>
      <c r="X1277" s="117">
        <v>0</v>
      </c>
      <c r="Y1277" s="117">
        <v>0</v>
      </c>
      <c r="Z1277" s="21" t="b">
        <v>0</v>
      </c>
      <c r="AA1277" s="162">
        <f>+$AD$5-Tabla2[[#This Row],[FECHA DE FACTURACIÓN]]</f>
        <v>161</v>
      </c>
      <c r="AB1277" s="163" t="str">
        <f>+IF(Tabla2[[#This Row],[dias de credito]]&gt;=Tabla2[[#This Row],[PLAZO Días]],"venc", "No venc")</f>
        <v>venc</v>
      </c>
      <c r="AC1277" s="163" t="str">
        <f>+IF(Tabla2[[#This Row],[FECHA DE PAGO]]&gt;0,"pagada","por pagar")</f>
        <v>pagada</v>
      </c>
      <c r="AD1277" s="164" t="str">
        <f>+IF(AND(Tabla2[[#This Row],[venc]]="venc",Tabla2[[#This Row],[estado pago]]="por pagar"),"vencida","no")</f>
        <v>no</v>
      </c>
    </row>
    <row r="1278" spans="1:30" ht="19.5" hidden="1" customHeight="1" x14ac:dyDescent="0.25">
      <c r="A1278" s="8" t="s">
        <v>1850</v>
      </c>
      <c r="B1278" s="8" t="s">
        <v>1851</v>
      </c>
      <c r="C1278" s="8">
        <v>45</v>
      </c>
      <c r="D1278" s="151">
        <v>0</v>
      </c>
      <c r="E1278" s="151"/>
      <c r="F1278" s="24" t="s">
        <v>603</v>
      </c>
      <c r="G1278" s="30">
        <v>45342</v>
      </c>
      <c r="H1278" s="81" t="s">
        <v>224</v>
      </c>
      <c r="I1278" s="30">
        <v>45288</v>
      </c>
      <c r="J1278" s="16" t="s">
        <v>1477</v>
      </c>
      <c r="K1278" s="9" t="s">
        <v>504</v>
      </c>
      <c r="L1278" s="9" t="s">
        <v>1534</v>
      </c>
      <c r="M1278" s="152">
        <v>2852349.5</v>
      </c>
      <c r="N1278" s="153">
        <v>0</v>
      </c>
      <c r="O1278" s="152">
        <v>0</v>
      </c>
      <c r="P1278" s="154">
        <v>0</v>
      </c>
      <c r="Q1278" s="152">
        <v>0</v>
      </c>
      <c r="R1278" s="9">
        <v>2852349.5</v>
      </c>
      <c r="S1278" s="21" t="s">
        <v>1846</v>
      </c>
      <c r="T1278" s="117">
        <v>0</v>
      </c>
      <c r="U1278" s="117">
        <v>0</v>
      </c>
      <c r="V1278" s="117">
        <v>2023</v>
      </c>
      <c r="W1278" s="117">
        <v>6</v>
      </c>
      <c r="X1278" s="117">
        <v>0</v>
      </c>
      <c r="Y1278" s="117">
        <v>0</v>
      </c>
      <c r="Z1278" s="21" t="b">
        <v>0</v>
      </c>
      <c r="AA1278" s="162">
        <f>+$AD$5-Tabla2[[#This Row],[FECHA DE FACTURACIÓN]]</f>
        <v>155</v>
      </c>
      <c r="AB1278" s="163" t="str">
        <f>+IF(Tabla2[[#This Row],[dias de credito]]&gt;=Tabla2[[#This Row],[PLAZO Días]],"venc", "No venc")</f>
        <v>venc</v>
      </c>
      <c r="AC1278" s="163" t="str">
        <f>+IF(Tabla2[[#This Row],[FECHA DE PAGO]]&gt;0,"pagada","por pagar")</f>
        <v>pagada</v>
      </c>
      <c r="AD1278" s="164" t="str">
        <f>+IF(AND(Tabla2[[#This Row],[venc]]="venc",Tabla2[[#This Row],[estado pago]]="por pagar"),"vencida","no")</f>
        <v>no</v>
      </c>
    </row>
    <row r="1279" spans="1:30" ht="19.5" customHeight="1" x14ac:dyDescent="0.25">
      <c r="A1279" s="8" t="s">
        <v>1850</v>
      </c>
      <c r="B1279" s="8" t="b">
        <v>0</v>
      </c>
      <c r="C1279" s="8">
        <v>60</v>
      </c>
      <c r="D1279" s="151">
        <v>1730482</v>
      </c>
      <c r="E1279" s="151"/>
      <c r="F1279" s="24" t="s">
        <v>603</v>
      </c>
      <c r="G1279" s="30">
        <v>45342</v>
      </c>
      <c r="H1279" s="81" t="s">
        <v>222</v>
      </c>
      <c r="I1279" s="30">
        <v>45292</v>
      </c>
      <c r="J1279" s="16">
        <v>1883</v>
      </c>
      <c r="K1279" s="9" t="s">
        <v>1530</v>
      </c>
      <c r="L1279" s="9" t="s">
        <v>1534</v>
      </c>
      <c r="M1279" s="152">
        <v>621134.01</v>
      </c>
      <c r="N1279" s="153">
        <v>0</v>
      </c>
      <c r="O1279" s="152">
        <v>0</v>
      </c>
      <c r="P1279" s="154">
        <v>0</v>
      </c>
      <c r="Q1279" s="152">
        <v>0</v>
      </c>
      <c r="R1279" s="9">
        <v>621134.01</v>
      </c>
      <c r="S1279" s="21" t="s">
        <v>1846</v>
      </c>
      <c r="T1279" s="117">
        <v>0</v>
      </c>
      <c r="U1279" s="117">
        <v>0</v>
      </c>
      <c r="V1279" s="117">
        <v>2024</v>
      </c>
      <c r="W1279" s="117">
        <v>7</v>
      </c>
      <c r="X1279" s="117">
        <v>0</v>
      </c>
      <c r="Y1279" s="117">
        <v>0</v>
      </c>
      <c r="Z1279" s="21" t="b">
        <v>0</v>
      </c>
      <c r="AA1279" s="162">
        <f>+$AD$5-Tabla2[[#This Row],[FECHA DE FACTURACIÓN]]</f>
        <v>151</v>
      </c>
      <c r="AB1279" s="163" t="str">
        <f>+IF(Tabla2[[#This Row],[dias de credito]]&gt;=Tabla2[[#This Row],[PLAZO Días]],"venc", "No venc")</f>
        <v>venc</v>
      </c>
      <c r="AC1279" s="163" t="str">
        <f>+IF(Tabla2[[#This Row],[FECHA DE PAGO]]&gt;0,"pagada","por pagar")</f>
        <v>pagada</v>
      </c>
      <c r="AD1279" s="164" t="str">
        <f>+IF(AND(Tabla2[[#This Row],[venc]]="venc",Tabla2[[#This Row],[estado pago]]="por pagar"),"vencida","no")</f>
        <v>no</v>
      </c>
    </row>
    <row r="1280" spans="1:30" ht="19.5" customHeight="1" x14ac:dyDescent="0.25">
      <c r="A1280" s="8" t="s">
        <v>1850</v>
      </c>
      <c r="B1280" s="8" t="b">
        <v>0</v>
      </c>
      <c r="C1280" s="8">
        <v>60</v>
      </c>
      <c r="D1280" s="151">
        <v>1730482</v>
      </c>
      <c r="E1280" s="151"/>
      <c r="F1280" s="24" t="s">
        <v>603</v>
      </c>
      <c r="G1280" s="30">
        <v>45342</v>
      </c>
      <c r="H1280" s="81" t="s">
        <v>222</v>
      </c>
      <c r="I1280" s="30">
        <v>45292</v>
      </c>
      <c r="J1280" s="16">
        <v>1884</v>
      </c>
      <c r="K1280" s="9" t="s">
        <v>1530</v>
      </c>
      <c r="L1280" s="9" t="s">
        <v>1534</v>
      </c>
      <c r="M1280" s="152">
        <v>223400.80000000002</v>
      </c>
      <c r="N1280" s="153">
        <v>0</v>
      </c>
      <c r="O1280" s="152">
        <v>0</v>
      </c>
      <c r="P1280" s="154">
        <v>0</v>
      </c>
      <c r="Q1280" s="152">
        <v>0</v>
      </c>
      <c r="R1280" s="9">
        <v>223400.80000000002</v>
      </c>
      <c r="S1280" s="21" t="s">
        <v>1846</v>
      </c>
      <c r="T1280" s="117">
        <v>0</v>
      </c>
      <c r="U1280" s="117">
        <v>0</v>
      </c>
      <c r="V1280" s="117">
        <v>2024</v>
      </c>
      <c r="W1280" s="117">
        <v>7</v>
      </c>
      <c r="X1280" s="117">
        <v>0</v>
      </c>
      <c r="Y1280" s="117">
        <v>0</v>
      </c>
      <c r="Z1280" s="21" t="b">
        <v>0</v>
      </c>
      <c r="AA1280" s="162">
        <f>+$AD$5-Tabla2[[#This Row],[FECHA DE FACTURACIÓN]]</f>
        <v>151</v>
      </c>
      <c r="AB1280" s="163" t="str">
        <f>+IF(Tabla2[[#This Row],[dias de credito]]&gt;=Tabla2[[#This Row],[PLAZO Días]],"venc", "No venc")</f>
        <v>venc</v>
      </c>
      <c r="AC1280" s="163" t="str">
        <f>+IF(Tabla2[[#This Row],[FECHA DE PAGO]]&gt;0,"pagada","por pagar")</f>
        <v>pagada</v>
      </c>
      <c r="AD1280" s="164" t="str">
        <f>+IF(AND(Tabla2[[#This Row],[venc]]="venc",Tabla2[[#This Row],[estado pago]]="por pagar"),"vencida","no")</f>
        <v>no</v>
      </c>
    </row>
    <row r="1281" spans="1:30" ht="19.5" customHeight="1" x14ac:dyDescent="0.25">
      <c r="A1281" s="8" t="s">
        <v>1850</v>
      </c>
      <c r="B1281" s="8" t="b">
        <v>0</v>
      </c>
      <c r="C1281" s="8">
        <v>60</v>
      </c>
      <c r="D1281" s="151">
        <v>1730482</v>
      </c>
      <c r="E1281" s="151"/>
      <c r="F1281" s="24" t="s">
        <v>603</v>
      </c>
      <c r="G1281" s="30">
        <v>45342</v>
      </c>
      <c r="H1281" s="81" t="s">
        <v>222</v>
      </c>
      <c r="I1281" s="30">
        <v>45311</v>
      </c>
      <c r="J1281" s="16" t="s">
        <v>1461</v>
      </c>
      <c r="K1281" s="9" t="s">
        <v>1530</v>
      </c>
      <c r="L1281" s="9" t="s">
        <v>1534</v>
      </c>
      <c r="M1281" s="152">
        <v>510630.40000000002</v>
      </c>
      <c r="N1281" s="153">
        <v>0</v>
      </c>
      <c r="O1281" s="152">
        <v>0</v>
      </c>
      <c r="P1281" s="154">
        <v>0</v>
      </c>
      <c r="Q1281" s="152">
        <v>0</v>
      </c>
      <c r="R1281" s="9">
        <v>510630.40000000002</v>
      </c>
      <c r="S1281" s="21" t="s">
        <v>1846</v>
      </c>
      <c r="T1281" s="117">
        <v>0</v>
      </c>
      <c r="U1281" s="117">
        <v>0</v>
      </c>
      <c r="V1281" s="117">
        <v>2024</v>
      </c>
      <c r="W1281" s="117">
        <v>7</v>
      </c>
      <c r="X1281" s="117">
        <v>0</v>
      </c>
      <c r="Y1281" s="117">
        <v>0</v>
      </c>
      <c r="Z1281" s="21" t="b">
        <v>0</v>
      </c>
      <c r="AA1281" s="162">
        <f>+$AD$5-Tabla2[[#This Row],[FECHA DE FACTURACIÓN]]</f>
        <v>132</v>
      </c>
      <c r="AB1281" s="163" t="str">
        <f>+IF(Tabla2[[#This Row],[dias de credito]]&gt;=Tabla2[[#This Row],[PLAZO Días]],"venc", "No venc")</f>
        <v>venc</v>
      </c>
      <c r="AC1281" s="163" t="str">
        <f>+IF(Tabla2[[#This Row],[FECHA DE PAGO]]&gt;0,"pagada","por pagar")</f>
        <v>pagada</v>
      </c>
      <c r="AD1281" s="164" t="str">
        <f>+IF(AND(Tabla2[[#This Row],[venc]]="venc",Tabla2[[#This Row],[estado pago]]="por pagar"),"vencida","no")</f>
        <v>no</v>
      </c>
    </row>
    <row r="1282" spans="1:30" ht="19.5" customHeight="1" x14ac:dyDescent="0.25">
      <c r="A1282" s="8" t="s">
        <v>1850</v>
      </c>
      <c r="B1282" s="8" t="b">
        <v>0</v>
      </c>
      <c r="C1282" s="8">
        <v>60</v>
      </c>
      <c r="D1282" s="151">
        <v>1730482</v>
      </c>
      <c r="E1282" s="151"/>
      <c r="F1282" s="24" t="s">
        <v>603</v>
      </c>
      <c r="G1282" s="30">
        <v>45342</v>
      </c>
      <c r="H1282" s="81" t="s">
        <v>222</v>
      </c>
      <c r="I1282" s="30">
        <v>45311</v>
      </c>
      <c r="J1282" s="16">
        <v>1892</v>
      </c>
      <c r="K1282" s="9" t="s">
        <v>1530</v>
      </c>
      <c r="L1282" s="9" t="s">
        <v>1534</v>
      </c>
      <c r="M1282" s="152">
        <v>1456094.5</v>
      </c>
      <c r="N1282" s="153">
        <v>0</v>
      </c>
      <c r="O1282" s="152">
        <v>0</v>
      </c>
      <c r="P1282" s="154">
        <v>0</v>
      </c>
      <c r="Q1282" s="152">
        <v>0</v>
      </c>
      <c r="R1282" s="9">
        <v>1456094.5</v>
      </c>
      <c r="S1282" s="21" t="s">
        <v>1846</v>
      </c>
      <c r="T1282" s="117">
        <v>0</v>
      </c>
      <c r="U1282" s="117">
        <v>0</v>
      </c>
      <c r="V1282" s="117">
        <v>2024</v>
      </c>
      <c r="W1282" s="117">
        <v>7</v>
      </c>
      <c r="X1282" s="117">
        <v>0</v>
      </c>
      <c r="Y1282" s="117">
        <v>0</v>
      </c>
      <c r="Z1282" s="21" t="b">
        <v>0</v>
      </c>
      <c r="AA1282" s="162">
        <f>+$AD$5-Tabla2[[#This Row],[FECHA DE FACTURACIÓN]]</f>
        <v>132</v>
      </c>
      <c r="AB1282" s="163" t="str">
        <f>+IF(Tabla2[[#This Row],[dias de credito]]&gt;=Tabla2[[#This Row],[PLAZO Días]],"venc", "No venc")</f>
        <v>venc</v>
      </c>
      <c r="AC1282" s="163" t="str">
        <f>+IF(Tabla2[[#This Row],[FECHA DE PAGO]]&gt;0,"pagada","por pagar")</f>
        <v>pagada</v>
      </c>
      <c r="AD1282" s="164" t="str">
        <f>+IF(AND(Tabla2[[#This Row],[venc]]="venc",Tabla2[[#This Row],[estado pago]]="por pagar"),"vencida","no")</f>
        <v>no</v>
      </c>
    </row>
    <row r="1283" spans="1:30" ht="19.5" customHeight="1" x14ac:dyDescent="0.25">
      <c r="A1283" s="8" t="s">
        <v>1850</v>
      </c>
      <c r="B1283" s="8" t="b">
        <v>0</v>
      </c>
      <c r="C1283" s="8">
        <v>60</v>
      </c>
      <c r="D1283" s="151">
        <v>1730482</v>
      </c>
      <c r="E1283" s="151"/>
      <c r="F1283" s="24" t="s">
        <v>603</v>
      </c>
      <c r="G1283" s="30">
        <v>45342</v>
      </c>
      <c r="H1283" s="81" t="s">
        <v>222</v>
      </c>
      <c r="I1283" s="30">
        <v>45321</v>
      </c>
      <c r="J1283" s="16" t="s">
        <v>1486</v>
      </c>
      <c r="K1283" s="9" t="s">
        <v>1530</v>
      </c>
      <c r="L1283" s="9" t="s">
        <v>1534</v>
      </c>
      <c r="M1283" s="152">
        <v>526587.6</v>
      </c>
      <c r="N1283" s="153">
        <v>0</v>
      </c>
      <c r="O1283" s="152">
        <v>0</v>
      </c>
      <c r="P1283" s="154">
        <v>0</v>
      </c>
      <c r="Q1283" s="152">
        <v>0</v>
      </c>
      <c r="R1283" s="9">
        <v>526587.6</v>
      </c>
      <c r="S1283" s="21" t="s">
        <v>1846</v>
      </c>
      <c r="T1283" s="117">
        <v>0</v>
      </c>
      <c r="U1283" s="117">
        <v>0</v>
      </c>
      <c r="V1283" s="117">
        <v>2024</v>
      </c>
      <c r="W1283" s="117">
        <v>7</v>
      </c>
      <c r="X1283" s="117">
        <v>0</v>
      </c>
      <c r="Y1283" s="117">
        <v>0</v>
      </c>
      <c r="Z1283" s="21" t="b">
        <v>0</v>
      </c>
      <c r="AA1283" s="162">
        <f>+$AD$5-Tabla2[[#This Row],[FECHA DE FACTURACIÓN]]</f>
        <v>122</v>
      </c>
      <c r="AB1283" s="163" t="str">
        <f>+IF(Tabla2[[#This Row],[dias de credito]]&gt;=Tabla2[[#This Row],[PLAZO Días]],"venc", "No venc")</f>
        <v>venc</v>
      </c>
      <c r="AC1283" s="163" t="str">
        <f>+IF(Tabla2[[#This Row],[FECHA DE PAGO]]&gt;0,"pagada","por pagar")</f>
        <v>pagada</v>
      </c>
      <c r="AD1283" s="164" t="str">
        <f>+IF(AND(Tabla2[[#This Row],[venc]]="venc",Tabla2[[#This Row],[estado pago]]="por pagar"),"vencida","no")</f>
        <v>no</v>
      </c>
    </row>
    <row r="1284" spans="1:30" ht="19.5" customHeight="1" x14ac:dyDescent="0.25">
      <c r="A1284" s="8" t="s">
        <v>1850</v>
      </c>
      <c r="B1284" s="8" t="b">
        <v>0</v>
      </c>
      <c r="C1284" s="8">
        <v>60</v>
      </c>
      <c r="D1284" s="151">
        <v>1730482</v>
      </c>
      <c r="E1284" s="151"/>
      <c r="F1284" s="24" t="s">
        <v>603</v>
      </c>
      <c r="G1284" s="30">
        <v>45342</v>
      </c>
      <c r="H1284" s="81" t="s">
        <v>222</v>
      </c>
      <c r="I1284" s="30">
        <v>45337</v>
      </c>
      <c r="J1284" s="16">
        <v>1916</v>
      </c>
      <c r="K1284" s="9" t="s">
        <v>504</v>
      </c>
      <c r="L1284" s="9" t="s">
        <v>1534</v>
      </c>
      <c r="M1284" s="152">
        <v>590416.4</v>
      </c>
      <c r="N1284" s="153">
        <v>0</v>
      </c>
      <c r="O1284" s="152">
        <v>0</v>
      </c>
      <c r="P1284" s="154">
        <v>0</v>
      </c>
      <c r="Q1284" s="152">
        <v>0</v>
      </c>
      <c r="R1284" s="9">
        <v>590416.4</v>
      </c>
      <c r="S1284" s="21" t="s">
        <v>1846</v>
      </c>
      <c r="T1284" s="117">
        <v>0</v>
      </c>
      <c r="U1284" s="117">
        <v>0</v>
      </c>
      <c r="V1284" s="117">
        <v>2024</v>
      </c>
      <c r="W1284" s="117">
        <v>7</v>
      </c>
      <c r="X1284" s="117">
        <v>0</v>
      </c>
      <c r="Y1284" s="117">
        <v>0</v>
      </c>
      <c r="Z1284" s="21" t="b">
        <v>0</v>
      </c>
      <c r="AA1284" s="162">
        <f>+$AD$5-Tabla2[[#This Row],[FECHA DE FACTURACIÓN]]</f>
        <v>106</v>
      </c>
      <c r="AB1284" s="163" t="str">
        <f>+IF(Tabla2[[#This Row],[dias de credito]]&gt;=Tabla2[[#This Row],[PLAZO Días]],"venc", "No venc")</f>
        <v>venc</v>
      </c>
      <c r="AC1284" s="163" t="str">
        <f>+IF(Tabla2[[#This Row],[FECHA DE PAGO]]&gt;0,"pagada","por pagar")</f>
        <v>pagada</v>
      </c>
      <c r="AD1284" s="164" t="str">
        <f>+IF(AND(Tabla2[[#This Row],[venc]]="venc",Tabla2[[#This Row],[estado pago]]="por pagar"),"vencida","no")</f>
        <v>no</v>
      </c>
    </row>
    <row r="1285" spans="1:30" ht="19.5" customHeight="1" x14ac:dyDescent="0.25">
      <c r="A1285" s="8" t="s">
        <v>1850</v>
      </c>
      <c r="B1285" s="8" t="b">
        <v>0</v>
      </c>
      <c r="C1285" s="8">
        <v>60</v>
      </c>
      <c r="D1285" s="151">
        <v>1730482</v>
      </c>
      <c r="E1285" s="151"/>
      <c r="F1285" s="24" t="s">
        <v>603</v>
      </c>
      <c r="G1285" s="30">
        <v>45342</v>
      </c>
      <c r="H1285" s="81" t="s">
        <v>222</v>
      </c>
      <c r="I1285" s="30">
        <v>45337</v>
      </c>
      <c r="J1285" s="16">
        <v>1917</v>
      </c>
      <c r="K1285" s="9" t="s">
        <v>504</v>
      </c>
      <c r="L1285" s="9" t="s">
        <v>1534</v>
      </c>
      <c r="M1285" s="152">
        <v>335101.2</v>
      </c>
      <c r="N1285" s="153">
        <v>0</v>
      </c>
      <c r="O1285" s="152">
        <v>0</v>
      </c>
      <c r="P1285" s="154">
        <v>0</v>
      </c>
      <c r="Q1285" s="152">
        <v>0</v>
      </c>
      <c r="R1285" s="9">
        <v>335101.2</v>
      </c>
      <c r="S1285" s="21" t="s">
        <v>1846</v>
      </c>
      <c r="T1285" s="117">
        <v>0</v>
      </c>
      <c r="U1285" s="117">
        <v>0</v>
      </c>
      <c r="V1285" s="117">
        <v>2024</v>
      </c>
      <c r="W1285" s="117">
        <v>7</v>
      </c>
      <c r="X1285" s="117">
        <v>0</v>
      </c>
      <c r="Y1285" s="117">
        <v>0</v>
      </c>
      <c r="Z1285" s="21" t="b">
        <v>0</v>
      </c>
      <c r="AA1285" s="162">
        <f>+$AD$5-Tabla2[[#This Row],[FECHA DE FACTURACIÓN]]</f>
        <v>106</v>
      </c>
      <c r="AB1285" s="163" t="str">
        <f>+IF(Tabla2[[#This Row],[dias de credito]]&gt;=Tabla2[[#This Row],[PLAZO Días]],"venc", "No venc")</f>
        <v>venc</v>
      </c>
      <c r="AC1285" s="163" t="str">
        <f>+IF(Tabla2[[#This Row],[FECHA DE PAGO]]&gt;0,"pagada","por pagar")</f>
        <v>pagada</v>
      </c>
      <c r="AD1285" s="164" t="str">
        <f>+IF(AND(Tabla2[[#This Row],[venc]]="venc",Tabla2[[#This Row],[estado pago]]="por pagar"),"vencida","no")</f>
        <v>no</v>
      </c>
    </row>
    <row r="1286" spans="1:30" ht="19.5" customHeight="1" x14ac:dyDescent="0.25">
      <c r="A1286" s="8" t="s">
        <v>1850</v>
      </c>
      <c r="B1286" s="8" t="b">
        <v>0</v>
      </c>
      <c r="C1286" s="8">
        <v>60</v>
      </c>
      <c r="D1286" s="151">
        <v>1730482</v>
      </c>
      <c r="E1286" s="151"/>
      <c r="F1286" s="24" t="s">
        <v>603</v>
      </c>
      <c r="G1286" s="30">
        <v>45342</v>
      </c>
      <c r="H1286" s="81" t="s">
        <v>222</v>
      </c>
      <c r="I1286" s="30">
        <v>45337</v>
      </c>
      <c r="J1286" s="16">
        <v>1918</v>
      </c>
      <c r="K1286" s="9" t="s">
        <v>504</v>
      </c>
      <c r="L1286" s="9" t="s">
        <v>1534</v>
      </c>
      <c r="M1286" s="152">
        <v>223400.80000000002</v>
      </c>
      <c r="N1286" s="153">
        <v>0</v>
      </c>
      <c r="O1286" s="152">
        <v>0</v>
      </c>
      <c r="P1286" s="154">
        <v>0</v>
      </c>
      <c r="Q1286" s="152">
        <v>0</v>
      </c>
      <c r="R1286" s="9">
        <v>223400.80000000002</v>
      </c>
      <c r="S1286" s="21" t="s">
        <v>1846</v>
      </c>
      <c r="T1286" s="117">
        <v>0</v>
      </c>
      <c r="U1286" s="117">
        <v>0</v>
      </c>
      <c r="V1286" s="117">
        <v>2024</v>
      </c>
      <c r="W1286" s="117">
        <v>7</v>
      </c>
      <c r="X1286" s="117">
        <v>0</v>
      </c>
      <c r="Y1286" s="117">
        <v>0</v>
      </c>
      <c r="Z1286" s="21" t="b">
        <v>0</v>
      </c>
      <c r="AA1286" s="162">
        <f>+$AD$5-Tabla2[[#This Row],[FECHA DE FACTURACIÓN]]</f>
        <v>106</v>
      </c>
      <c r="AB1286" s="163" t="str">
        <f>+IF(Tabla2[[#This Row],[dias de credito]]&gt;=Tabla2[[#This Row],[PLAZO Días]],"venc", "No venc")</f>
        <v>venc</v>
      </c>
      <c r="AC1286" s="163" t="str">
        <f>+IF(Tabla2[[#This Row],[FECHA DE PAGO]]&gt;0,"pagada","por pagar")</f>
        <v>pagada</v>
      </c>
      <c r="AD1286" s="164" t="str">
        <f>+IF(AND(Tabla2[[#This Row],[venc]]="venc",Tabla2[[#This Row],[estado pago]]="por pagar"),"vencida","no")</f>
        <v>no</v>
      </c>
    </row>
    <row r="1287" spans="1:30" ht="19.5" customHeight="1" x14ac:dyDescent="0.25">
      <c r="A1287" s="8" t="s">
        <v>1850</v>
      </c>
      <c r="B1287" s="8" t="b">
        <v>0</v>
      </c>
      <c r="C1287" s="8">
        <v>60</v>
      </c>
      <c r="D1287" s="151">
        <v>1730482</v>
      </c>
      <c r="E1287" s="151"/>
      <c r="F1287" s="24" t="s">
        <v>603</v>
      </c>
      <c r="G1287" s="30">
        <v>45342</v>
      </c>
      <c r="H1287" s="81" t="s">
        <v>222</v>
      </c>
      <c r="I1287" s="30">
        <v>45337</v>
      </c>
      <c r="J1287" s="16">
        <v>1919</v>
      </c>
      <c r="K1287" s="9" t="s">
        <v>504</v>
      </c>
      <c r="L1287" s="9" t="s">
        <v>1534</v>
      </c>
      <c r="M1287" s="152">
        <v>351058.4</v>
      </c>
      <c r="N1287" s="153">
        <v>0</v>
      </c>
      <c r="O1287" s="152">
        <v>0</v>
      </c>
      <c r="P1287" s="154">
        <v>0</v>
      </c>
      <c r="Q1287" s="152">
        <v>0</v>
      </c>
      <c r="R1287" s="9">
        <v>351058.4</v>
      </c>
      <c r="S1287" s="21" t="s">
        <v>1846</v>
      </c>
      <c r="T1287" s="117">
        <v>0</v>
      </c>
      <c r="U1287" s="117">
        <v>0</v>
      </c>
      <c r="V1287" s="117">
        <v>2024</v>
      </c>
      <c r="W1287" s="117">
        <v>7</v>
      </c>
      <c r="X1287" s="117">
        <v>0</v>
      </c>
      <c r="Y1287" s="117">
        <v>0</v>
      </c>
      <c r="Z1287" s="21" t="b">
        <v>0</v>
      </c>
      <c r="AA1287" s="162">
        <f>+$AD$5-Tabla2[[#This Row],[FECHA DE FACTURACIÓN]]</f>
        <v>106</v>
      </c>
      <c r="AB1287" s="163" t="str">
        <f>+IF(Tabla2[[#This Row],[dias de credito]]&gt;=Tabla2[[#This Row],[PLAZO Días]],"venc", "No venc")</f>
        <v>venc</v>
      </c>
      <c r="AC1287" s="163" t="str">
        <f>+IF(Tabla2[[#This Row],[FECHA DE PAGO]]&gt;0,"pagada","por pagar")</f>
        <v>pagada</v>
      </c>
      <c r="AD1287" s="164" t="str">
        <f>+IF(AND(Tabla2[[#This Row],[venc]]="venc",Tabla2[[#This Row],[estado pago]]="por pagar"),"vencida","no")</f>
        <v>no</v>
      </c>
    </row>
    <row r="1288" spans="1:30" ht="19.5" customHeight="1" x14ac:dyDescent="0.25">
      <c r="A1288" s="8" t="s">
        <v>1850</v>
      </c>
      <c r="B1288" s="8" t="b">
        <v>0</v>
      </c>
      <c r="C1288" s="8">
        <v>60</v>
      </c>
      <c r="D1288" s="151">
        <v>1730482</v>
      </c>
      <c r="E1288" s="151"/>
      <c r="F1288" s="24" t="s">
        <v>603</v>
      </c>
      <c r="G1288" s="30">
        <v>45342</v>
      </c>
      <c r="H1288" s="81" t="s">
        <v>222</v>
      </c>
      <c r="I1288" s="30">
        <v>45337</v>
      </c>
      <c r="J1288" s="16">
        <v>1922</v>
      </c>
      <c r="K1288" s="9" t="s">
        <v>504</v>
      </c>
      <c r="L1288" s="9" t="s">
        <v>1534</v>
      </c>
      <c r="M1288" s="152">
        <v>207443.6</v>
      </c>
      <c r="N1288" s="153">
        <v>0</v>
      </c>
      <c r="O1288" s="152">
        <v>0</v>
      </c>
      <c r="P1288" s="154">
        <v>0</v>
      </c>
      <c r="Q1288" s="152">
        <v>0</v>
      </c>
      <c r="R1288" s="9">
        <v>207443.6</v>
      </c>
      <c r="S1288" s="21" t="s">
        <v>1846</v>
      </c>
      <c r="T1288" s="117">
        <v>0</v>
      </c>
      <c r="U1288" s="117">
        <v>0</v>
      </c>
      <c r="V1288" s="117">
        <v>2024</v>
      </c>
      <c r="W1288" s="117">
        <v>7</v>
      </c>
      <c r="X1288" s="117">
        <v>0</v>
      </c>
      <c r="Y1288" s="117">
        <v>0</v>
      </c>
      <c r="Z1288" s="21" t="b">
        <v>0</v>
      </c>
      <c r="AA1288" s="162">
        <f>+$AD$5-Tabla2[[#This Row],[FECHA DE FACTURACIÓN]]</f>
        <v>106</v>
      </c>
      <c r="AB1288" s="163" t="str">
        <f>+IF(Tabla2[[#This Row],[dias de credito]]&gt;=Tabla2[[#This Row],[PLAZO Días]],"venc", "No venc")</f>
        <v>venc</v>
      </c>
      <c r="AC1288" s="163" t="str">
        <f>+IF(Tabla2[[#This Row],[FECHA DE PAGO]]&gt;0,"pagada","por pagar")</f>
        <v>pagada</v>
      </c>
      <c r="AD1288" s="164" t="str">
        <f>+IF(AND(Tabla2[[#This Row],[venc]]="venc",Tabla2[[#This Row],[estado pago]]="por pagar"),"vencida","no")</f>
        <v>no</v>
      </c>
    </row>
    <row r="1289" spans="1:30" ht="19.5" customHeight="1" x14ac:dyDescent="0.25">
      <c r="A1289" s="8" t="s">
        <v>1850</v>
      </c>
      <c r="B1289" s="8" t="b">
        <v>0</v>
      </c>
      <c r="C1289" s="8">
        <v>30</v>
      </c>
      <c r="D1289" s="151">
        <v>134000</v>
      </c>
      <c r="E1289" s="151"/>
      <c r="F1289" s="24" t="s">
        <v>192</v>
      </c>
      <c r="G1289" s="30">
        <v>45342</v>
      </c>
      <c r="H1289" s="81" t="s">
        <v>1808</v>
      </c>
      <c r="I1289" s="30">
        <v>45343</v>
      </c>
      <c r="J1289" s="16" t="s">
        <v>1741</v>
      </c>
      <c r="K1289" s="9" t="s">
        <v>1530</v>
      </c>
      <c r="L1289" s="9"/>
      <c r="M1289" s="152">
        <v>100000</v>
      </c>
      <c r="N1289" s="153">
        <v>0</v>
      </c>
      <c r="O1289" s="152">
        <v>0</v>
      </c>
      <c r="P1289" s="154">
        <v>0</v>
      </c>
      <c r="Q1289" s="152">
        <v>0</v>
      </c>
      <c r="R1289" s="9">
        <v>100000</v>
      </c>
      <c r="S1289" s="21" t="s">
        <v>1846</v>
      </c>
      <c r="T1289" s="117">
        <v>0</v>
      </c>
      <c r="U1289" s="117">
        <v>0</v>
      </c>
      <c r="V1289" s="117">
        <v>2024</v>
      </c>
      <c r="W1289" s="117">
        <v>7</v>
      </c>
      <c r="X1289" s="117">
        <v>0</v>
      </c>
      <c r="Y1289" s="117">
        <v>0</v>
      </c>
      <c r="Z1289" s="21" t="b">
        <v>0</v>
      </c>
      <c r="AA1289" s="162">
        <f>+$AD$5-Tabla2[[#This Row],[FECHA DE FACTURACIÓN]]</f>
        <v>100</v>
      </c>
      <c r="AB1289" s="163" t="str">
        <f>+IF(Tabla2[[#This Row],[dias de credito]]&gt;=Tabla2[[#This Row],[PLAZO Días]],"venc", "No venc")</f>
        <v>venc</v>
      </c>
      <c r="AC1289" s="163" t="str">
        <f>+IF(Tabla2[[#This Row],[FECHA DE PAGO]]&gt;0,"pagada","por pagar")</f>
        <v>pagada</v>
      </c>
      <c r="AD1289" s="164" t="str">
        <f>+IF(AND(Tabla2[[#This Row],[venc]]="venc",Tabla2[[#This Row],[estado pago]]="por pagar"),"vencida","no")</f>
        <v>no</v>
      </c>
    </row>
    <row r="1290" spans="1:30" ht="19.5" customHeight="1" x14ac:dyDescent="0.25">
      <c r="A1290" s="8" t="s">
        <v>1850</v>
      </c>
      <c r="B1290" s="8" t="b">
        <v>0</v>
      </c>
      <c r="C1290" s="8">
        <v>30</v>
      </c>
      <c r="D1290" s="151">
        <v>0</v>
      </c>
      <c r="E1290" s="151"/>
      <c r="F1290" s="24" t="s">
        <v>206</v>
      </c>
      <c r="G1290" s="30">
        <v>45343</v>
      </c>
      <c r="H1290" s="81" t="s">
        <v>380</v>
      </c>
      <c r="I1290" s="30">
        <v>45328</v>
      </c>
      <c r="J1290" s="16" t="s">
        <v>1571</v>
      </c>
      <c r="K1290" s="9" t="s">
        <v>1530</v>
      </c>
      <c r="L1290" s="9" t="s">
        <v>1533</v>
      </c>
      <c r="M1290" s="152">
        <v>3456200</v>
      </c>
      <c r="N1290" s="153">
        <v>0</v>
      </c>
      <c r="O1290" s="152">
        <v>0</v>
      </c>
      <c r="P1290" s="154">
        <v>3.5000000000000003E-2</v>
      </c>
      <c r="Q1290" s="152">
        <v>120967.00000000001</v>
      </c>
      <c r="R1290" s="9">
        <v>3335233</v>
      </c>
      <c r="S1290" s="21" t="s">
        <v>1846</v>
      </c>
      <c r="T1290" s="117">
        <v>0</v>
      </c>
      <c r="U1290" s="117" t="s">
        <v>348</v>
      </c>
      <c r="V1290" s="117">
        <v>2024</v>
      </c>
      <c r="W1290" s="117">
        <v>7</v>
      </c>
      <c r="X1290" s="117">
        <v>0</v>
      </c>
      <c r="Y1290" s="117">
        <v>3.5000000000000003E-2</v>
      </c>
      <c r="Z1290" s="21" t="b">
        <v>1</v>
      </c>
      <c r="AA1290" s="162">
        <f>+$AD$5-Tabla2[[#This Row],[FECHA DE FACTURACIÓN]]</f>
        <v>115</v>
      </c>
      <c r="AB1290" s="163" t="str">
        <f>+IF(Tabla2[[#This Row],[dias de credito]]&gt;=Tabla2[[#This Row],[PLAZO Días]],"venc", "No venc")</f>
        <v>venc</v>
      </c>
      <c r="AC1290" s="163" t="str">
        <f>+IF(Tabla2[[#This Row],[FECHA DE PAGO]]&gt;0,"pagada","por pagar")</f>
        <v>pagada</v>
      </c>
      <c r="AD1290" s="164" t="str">
        <f>+IF(AND(Tabla2[[#This Row],[venc]]="venc",Tabla2[[#This Row],[estado pago]]="por pagar"),"vencida","no")</f>
        <v>no</v>
      </c>
    </row>
    <row r="1291" spans="1:30" ht="19.5" customHeight="1" x14ac:dyDescent="0.25">
      <c r="A1291" s="8" t="s">
        <v>1850</v>
      </c>
      <c r="B1291" s="8" t="b">
        <v>0</v>
      </c>
      <c r="C1291" s="8">
        <v>30</v>
      </c>
      <c r="D1291" s="151">
        <v>0</v>
      </c>
      <c r="E1291" s="151"/>
      <c r="F1291" s="24" t="s">
        <v>1579</v>
      </c>
      <c r="G1291" s="30">
        <v>45343</v>
      </c>
      <c r="H1291" s="81" t="s">
        <v>207</v>
      </c>
      <c r="I1291" s="30">
        <v>45342</v>
      </c>
      <c r="J1291" s="16" t="s">
        <v>1577</v>
      </c>
      <c r="K1291" s="9" t="s">
        <v>504</v>
      </c>
      <c r="L1291" s="9" t="s">
        <v>1534</v>
      </c>
      <c r="M1291" s="152">
        <v>1539986</v>
      </c>
      <c r="N1291" s="153">
        <v>76999</v>
      </c>
      <c r="O1291" s="152">
        <v>0</v>
      </c>
      <c r="P1291" s="154">
        <v>2.5000000000000001E-2</v>
      </c>
      <c r="Q1291" s="152">
        <v>38499.65</v>
      </c>
      <c r="R1291" s="9">
        <v>1578485.35</v>
      </c>
      <c r="S1291" s="21" t="s">
        <v>1846</v>
      </c>
      <c r="T1291" s="117">
        <v>0</v>
      </c>
      <c r="U1291" s="117" t="s">
        <v>347</v>
      </c>
      <c r="V1291" s="117">
        <v>2024</v>
      </c>
      <c r="W1291" s="117">
        <v>7</v>
      </c>
      <c r="X1291" s="117">
        <v>1271000</v>
      </c>
      <c r="Y1291" s="117">
        <v>2.5000000000000001E-2</v>
      </c>
      <c r="Z1291" s="21" t="b">
        <v>0</v>
      </c>
      <c r="AA1291" s="162">
        <f>+$AD$5-Tabla2[[#This Row],[FECHA DE FACTURACIÓN]]</f>
        <v>101</v>
      </c>
      <c r="AB1291" s="163" t="str">
        <f>+IF(Tabla2[[#This Row],[dias de credito]]&gt;=Tabla2[[#This Row],[PLAZO Días]],"venc", "No venc")</f>
        <v>venc</v>
      </c>
      <c r="AC1291" s="163" t="str">
        <f>+IF(Tabla2[[#This Row],[FECHA DE PAGO]]&gt;0,"pagada","por pagar")</f>
        <v>pagada</v>
      </c>
      <c r="AD1291" s="164" t="str">
        <f>+IF(AND(Tabla2[[#This Row],[venc]]="venc",Tabla2[[#This Row],[estado pago]]="por pagar"),"vencida","no")</f>
        <v>no</v>
      </c>
    </row>
    <row r="1292" spans="1:30" ht="19.5" customHeight="1" x14ac:dyDescent="0.25">
      <c r="A1292" s="8" t="s">
        <v>1852</v>
      </c>
      <c r="B1292" s="8" t="b">
        <v>0</v>
      </c>
      <c r="C1292" s="8">
        <v>30</v>
      </c>
      <c r="D1292" s="151">
        <v>0</v>
      </c>
      <c r="E1292" s="151"/>
      <c r="F1292" s="24" t="s">
        <v>1164</v>
      </c>
      <c r="G1292" s="30">
        <v>45343</v>
      </c>
      <c r="H1292" s="81" t="s">
        <v>1163</v>
      </c>
      <c r="I1292" s="30">
        <v>45343</v>
      </c>
      <c r="J1292" s="16" t="s">
        <v>1587</v>
      </c>
      <c r="K1292" s="9" t="s">
        <v>1530</v>
      </c>
      <c r="L1292" s="9" t="s">
        <v>1395</v>
      </c>
      <c r="M1292" s="152">
        <v>552100.85</v>
      </c>
      <c r="N1292" s="153">
        <v>104899.1615</v>
      </c>
      <c r="O1292" s="152">
        <v>0</v>
      </c>
      <c r="P1292" s="154">
        <v>0</v>
      </c>
      <c r="Q1292" s="152">
        <v>0</v>
      </c>
      <c r="R1292" s="9">
        <v>657000.01150000002</v>
      </c>
      <c r="S1292" s="21" t="s">
        <v>1846</v>
      </c>
      <c r="T1292" s="117">
        <v>0</v>
      </c>
      <c r="U1292" s="117" t="s">
        <v>347</v>
      </c>
      <c r="V1292" s="117">
        <v>2024</v>
      </c>
      <c r="W1292" s="117">
        <v>7</v>
      </c>
      <c r="X1292" s="117">
        <v>1271000</v>
      </c>
      <c r="Y1292" s="117">
        <v>2.5000000000000001E-2</v>
      </c>
      <c r="Z1292" s="21" t="b">
        <v>0</v>
      </c>
      <c r="AA1292" s="162">
        <f>+$AD$5-Tabla2[[#This Row],[FECHA DE FACTURACIÓN]]</f>
        <v>100</v>
      </c>
      <c r="AB1292" s="163" t="str">
        <f>+IF(Tabla2[[#This Row],[dias de credito]]&gt;=Tabla2[[#This Row],[PLAZO Días]],"venc", "No venc")</f>
        <v>venc</v>
      </c>
      <c r="AC1292" s="163" t="str">
        <f>+IF(Tabla2[[#This Row],[FECHA DE PAGO]]&gt;0,"pagada","por pagar")</f>
        <v>pagada</v>
      </c>
      <c r="AD1292" s="164" t="str">
        <f>+IF(AND(Tabla2[[#This Row],[venc]]="venc",Tabla2[[#This Row],[estado pago]]="por pagar"),"vencida","no")</f>
        <v>no</v>
      </c>
    </row>
    <row r="1293" spans="1:30" ht="19.5" customHeight="1" x14ac:dyDescent="0.25">
      <c r="A1293" s="8" t="s">
        <v>1852</v>
      </c>
      <c r="B1293" s="8" t="b">
        <v>0</v>
      </c>
      <c r="C1293" s="8">
        <v>30</v>
      </c>
      <c r="D1293" s="151">
        <v>0</v>
      </c>
      <c r="E1293" s="151"/>
      <c r="F1293" s="24" t="s">
        <v>84</v>
      </c>
      <c r="G1293" s="30">
        <v>45344</v>
      </c>
      <c r="H1293" s="81" t="s">
        <v>1824</v>
      </c>
      <c r="I1293" s="30">
        <v>45344</v>
      </c>
      <c r="J1293" s="16"/>
      <c r="K1293" s="9" t="s">
        <v>1530</v>
      </c>
      <c r="L1293" s="9" t="s">
        <v>1395</v>
      </c>
      <c r="M1293" s="152">
        <v>533177</v>
      </c>
      <c r="N1293" s="153">
        <v>0</v>
      </c>
      <c r="O1293" s="152">
        <v>0</v>
      </c>
      <c r="P1293" s="154">
        <v>0</v>
      </c>
      <c r="Q1293" s="152">
        <v>0</v>
      </c>
      <c r="R1293" s="9">
        <v>533177</v>
      </c>
      <c r="S1293" s="21" t="s">
        <v>1846</v>
      </c>
      <c r="T1293" s="117">
        <v>0</v>
      </c>
      <c r="U1293" s="117">
        <v>0</v>
      </c>
      <c r="V1293" s="117">
        <v>2024</v>
      </c>
      <c r="W1293" s="117">
        <v>7</v>
      </c>
      <c r="X1293" s="117">
        <v>0</v>
      </c>
      <c r="Y1293" s="117">
        <v>0</v>
      </c>
      <c r="Z1293" s="21" t="b">
        <v>0</v>
      </c>
      <c r="AA1293" s="162">
        <f>+$AD$5-Tabla2[[#This Row],[FECHA DE FACTURACIÓN]]</f>
        <v>99</v>
      </c>
      <c r="AB1293" s="163" t="str">
        <f>+IF(Tabla2[[#This Row],[dias de credito]]&gt;=Tabla2[[#This Row],[PLAZO Días]],"venc", "No venc")</f>
        <v>venc</v>
      </c>
      <c r="AC1293" s="163" t="str">
        <f>+IF(Tabla2[[#This Row],[FECHA DE PAGO]]&gt;0,"pagada","por pagar")</f>
        <v>pagada</v>
      </c>
      <c r="AD1293" s="164" t="str">
        <f>+IF(AND(Tabla2[[#This Row],[venc]]="venc",Tabla2[[#This Row],[estado pago]]="por pagar"),"vencida","no")</f>
        <v>no</v>
      </c>
    </row>
    <row r="1294" spans="1:30" ht="19.5" hidden="1" customHeight="1" x14ac:dyDescent="0.25">
      <c r="A1294" s="8" t="s">
        <v>1850</v>
      </c>
      <c r="B1294" s="8" t="s">
        <v>1851</v>
      </c>
      <c r="C1294" s="8">
        <v>30</v>
      </c>
      <c r="D1294" s="151">
        <v>0</v>
      </c>
      <c r="E1294" s="151"/>
      <c r="F1294" s="24" t="s">
        <v>139</v>
      </c>
      <c r="G1294" s="30">
        <v>45345</v>
      </c>
      <c r="H1294" s="81" t="s">
        <v>1820</v>
      </c>
      <c r="I1294" s="30">
        <v>45265</v>
      </c>
      <c r="J1294" s="16" t="s">
        <v>1378</v>
      </c>
      <c r="K1294" s="9" t="s">
        <v>1530</v>
      </c>
      <c r="L1294" s="9" t="s">
        <v>1395</v>
      </c>
      <c r="M1294" s="152">
        <v>680000</v>
      </c>
      <c r="N1294" s="153">
        <v>0</v>
      </c>
      <c r="O1294" s="152">
        <v>0</v>
      </c>
      <c r="P1294" s="154">
        <v>0</v>
      </c>
      <c r="Q1294" s="152">
        <v>0</v>
      </c>
      <c r="R1294" s="9">
        <v>680000</v>
      </c>
      <c r="S1294" s="21" t="s">
        <v>1846</v>
      </c>
      <c r="T1294" s="117">
        <v>0</v>
      </c>
      <c r="U1294" s="117">
        <v>0</v>
      </c>
      <c r="V1294" s="117">
        <v>2023</v>
      </c>
      <c r="W1294" s="117">
        <v>6</v>
      </c>
      <c r="X1294" s="117">
        <v>0</v>
      </c>
      <c r="Y1294" s="117">
        <v>0</v>
      </c>
      <c r="Z1294" s="21" t="b">
        <v>0</v>
      </c>
      <c r="AA1294" s="162">
        <f>+$AD$5-Tabla2[[#This Row],[FECHA DE FACTURACIÓN]]</f>
        <v>178</v>
      </c>
      <c r="AB1294" s="163" t="str">
        <f>+IF(Tabla2[[#This Row],[dias de credito]]&gt;=Tabla2[[#This Row],[PLAZO Días]],"venc", "No venc")</f>
        <v>venc</v>
      </c>
      <c r="AC1294" s="163" t="str">
        <f>+IF(Tabla2[[#This Row],[FECHA DE PAGO]]&gt;0,"pagada","por pagar")</f>
        <v>pagada</v>
      </c>
      <c r="AD1294" s="164" t="str">
        <f>+IF(AND(Tabla2[[#This Row],[venc]]="venc",Tabla2[[#This Row],[estado pago]]="por pagar"),"vencida","no")</f>
        <v>no</v>
      </c>
    </row>
    <row r="1295" spans="1:30" ht="19.5" hidden="1" customHeight="1" x14ac:dyDescent="0.25">
      <c r="A1295" s="8" t="s">
        <v>1850</v>
      </c>
      <c r="B1295" s="8" t="b">
        <v>0</v>
      </c>
      <c r="C1295" s="8">
        <v>60</v>
      </c>
      <c r="D1295" s="151">
        <v>0</v>
      </c>
      <c r="E1295" s="151"/>
      <c r="F1295" s="24" t="s">
        <v>399</v>
      </c>
      <c r="G1295" s="30">
        <v>45345</v>
      </c>
      <c r="H1295" s="81" t="s">
        <v>65</v>
      </c>
      <c r="I1295" s="30">
        <v>45287</v>
      </c>
      <c r="J1295" s="16" t="s">
        <v>1642</v>
      </c>
      <c r="K1295" s="9" t="s">
        <v>1530</v>
      </c>
      <c r="L1295" s="9" t="s">
        <v>1534</v>
      </c>
      <c r="M1295" s="152">
        <v>18270200</v>
      </c>
      <c r="N1295" s="153">
        <v>3471338</v>
      </c>
      <c r="O1295" s="152">
        <v>0</v>
      </c>
      <c r="P1295" s="154">
        <v>2.5000000000000001E-2</v>
      </c>
      <c r="Q1295" s="152">
        <v>456755</v>
      </c>
      <c r="R1295" s="9">
        <v>14884783</v>
      </c>
      <c r="S1295" s="21" t="s">
        <v>1846</v>
      </c>
      <c r="T1295" s="117">
        <v>0</v>
      </c>
      <c r="U1295" s="117" t="s">
        <v>347</v>
      </c>
      <c r="V1295" s="117">
        <v>2023</v>
      </c>
      <c r="W1295" s="117">
        <v>6</v>
      </c>
      <c r="X1295" s="117">
        <v>1145000</v>
      </c>
      <c r="Y1295" s="117">
        <v>2.5000000000000001E-2</v>
      </c>
      <c r="Z1295" s="21" t="b">
        <v>0</v>
      </c>
      <c r="AA1295" s="162">
        <f>+$AD$5-Tabla2[[#This Row],[FECHA DE FACTURACIÓN]]</f>
        <v>156</v>
      </c>
      <c r="AB1295" s="163" t="str">
        <f>+IF(Tabla2[[#This Row],[dias de credito]]&gt;=Tabla2[[#This Row],[PLAZO Días]],"venc", "No venc")</f>
        <v>venc</v>
      </c>
      <c r="AC1295" s="163" t="str">
        <f>+IF(Tabla2[[#This Row],[FECHA DE PAGO]]&gt;0,"pagada","por pagar")</f>
        <v>pagada</v>
      </c>
      <c r="AD1295" s="164" t="str">
        <f>+IF(AND(Tabla2[[#This Row],[venc]]="venc",Tabla2[[#This Row],[estado pago]]="por pagar"),"vencida","no")</f>
        <v>no</v>
      </c>
    </row>
    <row r="1296" spans="1:30" ht="19.5" customHeight="1" x14ac:dyDescent="0.25">
      <c r="A1296" s="8" t="s">
        <v>1850</v>
      </c>
      <c r="B1296" s="8" t="b">
        <v>0</v>
      </c>
      <c r="C1296" s="8">
        <v>30</v>
      </c>
      <c r="D1296" s="151">
        <v>0</v>
      </c>
      <c r="E1296" s="151"/>
      <c r="F1296" s="24" t="s">
        <v>84</v>
      </c>
      <c r="G1296" s="30">
        <v>45346</v>
      </c>
      <c r="H1296" s="81" t="s">
        <v>481</v>
      </c>
      <c r="I1296" s="30">
        <v>45345</v>
      </c>
      <c r="J1296" s="16" t="s">
        <v>1609</v>
      </c>
      <c r="K1296" s="9" t="s">
        <v>1530</v>
      </c>
      <c r="L1296" s="9"/>
      <c r="M1296" s="152">
        <v>1095000</v>
      </c>
      <c r="N1296" s="153">
        <v>0</v>
      </c>
      <c r="O1296" s="152">
        <v>0</v>
      </c>
      <c r="P1296" s="154">
        <v>0</v>
      </c>
      <c r="Q1296" s="152">
        <v>0</v>
      </c>
      <c r="R1296" s="9">
        <v>1095000</v>
      </c>
      <c r="S1296" s="21" t="s">
        <v>1846</v>
      </c>
      <c r="T1296" s="117">
        <v>0</v>
      </c>
      <c r="U1296" s="117">
        <v>0</v>
      </c>
      <c r="V1296" s="117">
        <v>2024</v>
      </c>
      <c r="W1296" s="117">
        <v>7</v>
      </c>
      <c r="X1296" s="117">
        <v>0</v>
      </c>
      <c r="Y1296" s="117">
        <v>0</v>
      </c>
      <c r="Z1296" s="21" t="b">
        <v>0</v>
      </c>
      <c r="AA1296" s="162">
        <f>+$AD$5-Tabla2[[#This Row],[FECHA DE FACTURACIÓN]]</f>
        <v>98</v>
      </c>
      <c r="AB1296" s="163" t="str">
        <f>+IF(Tabla2[[#This Row],[dias de credito]]&gt;=Tabla2[[#This Row],[PLAZO Días]],"venc", "No venc")</f>
        <v>venc</v>
      </c>
      <c r="AC1296" s="163" t="str">
        <f>+IF(Tabla2[[#This Row],[FECHA DE PAGO]]&gt;0,"pagada","por pagar")</f>
        <v>pagada</v>
      </c>
      <c r="AD1296" s="164" t="str">
        <f>+IF(AND(Tabla2[[#This Row],[venc]]="venc",Tabla2[[#This Row],[estado pago]]="por pagar"),"vencida","no")</f>
        <v>no</v>
      </c>
    </row>
    <row r="1297" spans="1:30" ht="19.5" hidden="1" customHeight="1" x14ac:dyDescent="0.25">
      <c r="A1297" s="8" t="s">
        <v>1850</v>
      </c>
      <c r="B1297" s="8" t="s">
        <v>1851</v>
      </c>
      <c r="C1297" s="8">
        <v>30</v>
      </c>
      <c r="D1297" s="151">
        <v>0</v>
      </c>
      <c r="E1297" s="151"/>
      <c r="F1297" s="24" t="s">
        <v>147</v>
      </c>
      <c r="G1297" s="30">
        <v>45348</v>
      </c>
      <c r="H1297" s="81" t="s">
        <v>290</v>
      </c>
      <c r="I1297" s="30">
        <v>44867</v>
      </c>
      <c r="J1297" s="16" t="s">
        <v>1467</v>
      </c>
      <c r="K1297" s="9" t="s">
        <v>1530</v>
      </c>
      <c r="L1297" s="9" t="s">
        <v>1533</v>
      </c>
      <c r="M1297" s="152">
        <v>-56302.52</v>
      </c>
      <c r="N1297" s="153">
        <v>-10697.478799999999</v>
      </c>
      <c r="O1297" s="152">
        <v>0</v>
      </c>
      <c r="P1297" s="154">
        <v>0</v>
      </c>
      <c r="Q1297" s="152">
        <v>0</v>
      </c>
      <c r="R1297" s="9">
        <v>-66999.998800000001</v>
      </c>
      <c r="S1297" s="21" t="s">
        <v>1846</v>
      </c>
      <c r="T1297" s="117">
        <v>0</v>
      </c>
      <c r="U1297" s="117" t="s">
        <v>347</v>
      </c>
      <c r="V1297" s="117">
        <v>2022</v>
      </c>
      <c r="W1297" s="117">
        <v>5</v>
      </c>
      <c r="X1297" s="117">
        <v>1026000</v>
      </c>
      <c r="Y1297" s="117">
        <v>2.5000000000000001E-2</v>
      </c>
      <c r="Z1297" s="21" t="b">
        <v>0</v>
      </c>
      <c r="AA1297" s="162">
        <f>+$AD$5-Tabla2[[#This Row],[FECHA DE FACTURACIÓN]]</f>
        <v>576</v>
      </c>
      <c r="AB1297" s="163" t="str">
        <f>+IF(Tabla2[[#This Row],[dias de credito]]&gt;=Tabla2[[#This Row],[PLAZO Días]],"venc", "No venc")</f>
        <v>venc</v>
      </c>
      <c r="AC1297" s="163" t="str">
        <f>+IF(Tabla2[[#This Row],[FECHA DE PAGO]]&gt;0,"pagada","por pagar")</f>
        <v>pagada</v>
      </c>
      <c r="AD1297" s="164" t="str">
        <f>+IF(AND(Tabla2[[#This Row],[venc]]="venc",Tabla2[[#This Row],[estado pago]]="por pagar"),"vencida","no")</f>
        <v>no</v>
      </c>
    </row>
    <row r="1298" spans="1:30" ht="19.5" hidden="1" customHeight="1" x14ac:dyDescent="0.25">
      <c r="A1298" s="8" t="s">
        <v>1850</v>
      </c>
      <c r="B1298" s="8" t="s">
        <v>1851</v>
      </c>
      <c r="C1298" s="8">
        <v>30</v>
      </c>
      <c r="D1298" s="151">
        <v>9349257.8100000005</v>
      </c>
      <c r="E1298" s="151"/>
      <c r="F1298" s="24" t="s">
        <v>277</v>
      </c>
      <c r="G1298" s="30">
        <v>45348</v>
      </c>
      <c r="H1298" s="81" t="s">
        <v>226</v>
      </c>
      <c r="I1298" s="30">
        <v>45265</v>
      </c>
      <c r="J1298" s="16" t="s">
        <v>1333</v>
      </c>
      <c r="K1298" s="9" t="s">
        <v>1530</v>
      </c>
      <c r="L1298" s="9" t="s">
        <v>1534</v>
      </c>
      <c r="M1298" s="152">
        <v>3478190</v>
      </c>
      <c r="N1298" s="153">
        <v>660856.1</v>
      </c>
      <c r="O1298" s="152">
        <v>0</v>
      </c>
      <c r="P1298" s="154">
        <v>2.5000000000000001E-2</v>
      </c>
      <c r="Q1298" s="152">
        <v>86954.75</v>
      </c>
      <c r="R1298" s="9">
        <v>4052091.35</v>
      </c>
      <c r="S1298" s="21" t="s">
        <v>1846</v>
      </c>
      <c r="T1298" s="117">
        <v>0</v>
      </c>
      <c r="U1298" s="117" t="s">
        <v>347</v>
      </c>
      <c r="V1298" s="117">
        <v>2023</v>
      </c>
      <c r="W1298" s="117">
        <v>6</v>
      </c>
      <c r="X1298" s="117">
        <v>1145000</v>
      </c>
      <c r="Y1298" s="117">
        <v>2.5000000000000001E-2</v>
      </c>
      <c r="Z1298" s="21" t="b">
        <v>0</v>
      </c>
      <c r="AA1298" s="162">
        <f>+$AD$5-Tabla2[[#This Row],[FECHA DE FACTURACIÓN]]</f>
        <v>178</v>
      </c>
      <c r="AB1298" s="163" t="str">
        <f>+IF(Tabla2[[#This Row],[dias de credito]]&gt;=Tabla2[[#This Row],[PLAZO Días]],"venc", "No venc")</f>
        <v>venc</v>
      </c>
      <c r="AC1298" s="163" t="str">
        <f>+IF(Tabla2[[#This Row],[FECHA DE PAGO]]&gt;0,"pagada","por pagar")</f>
        <v>pagada</v>
      </c>
      <c r="AD1298" s="164" t="str">
        <f>+IF(AND(Tabla2[[#This Row],[venc]]="venc",Tabla2[[#This Row],[estado pago]]="por pagar"),"vencida","no")</f>
        <v>no</v>
      </c>
    </row>
    <row r="1299" spans="1:30" ht="19.5" hidden="1" customHeight="1" x14ac:dyDescent="0.25">
      <c r="A1299" s="8" t="s">
        <v>1850</v>
      </c>
      <c r="B1299" s="8" t="s">
        <v>1851</v>
      </c>
      <c r="C1299" s="8">
        <v>60</v>
      </c>
      <c r="D1299" s="151">
        <v>0</v>
      </c>
      <c r="E1299" s="151"/>
      <c r="F1299" s="24" t="s">
        <v>147</v>
      </c>
      <c r="G1299" s="30">
        <v>45348</v>
      </c>
      <c r="H1299" s="81" t="s">
        <v>221</v>
      </c>
      <c r="I1299" s="30">
        <v>45272</v>
      </c>
      <c r="J1299" s="16" t="s">
        <v>1361</v>
      </c>
      <c r="K1299" s="9" t="s">
        <v>1530</v>
      </c>
      <c r="L1299" s="9" t="s">
        <v>1533</v>
      </c>
      <c r="M1299" s="152">
        <v>2754790</v>
      </c>
      <c r="N1299" s="153">
        <v>523410.10000000003</v>
      </c>
      <c r="O1299" s="152">
        <v>0</v>
      </c>
      <c r="P1299" s="154">
        <v>2.5000000000000001E-2</v>
      </c>
      <c r="Q1299" s="152">
        <v>68869.75</v>
      </c>
      <c r="R1299" s="9">
        <v>3209330.35</v>
      </c>
      <c r="S1299" s="21" t="s">
        <v>1846</v>
      </c>
      <c r="T1299" s="117">
        <v>0</v>
      </c>
      <c r="U1299" s="117" t="s">
        <v>347</v>
      </c>
      <c r="V1299" s="117">
        <v>2023</v>
      </c>
      <c r="W1299" s="117">
        <v>6</v>
      </c>
      <c r="X1299" s="117">
        <v>1145000</v>
      </c>
      <c r="Y1299" s="117">
        <v>2.5000000000000001E-2</v>
      </c>
      <c r="Z1299" s="21" t="b">
        <v>0</v>
      </c>
      <c r="AA1299" s="162">
        <f>+$AD$5-Tabla2[[#This Row],[FECHA DE FACTURACIÓN]]</f>
        <v>171</v>
      </c>
      <c r="AB1299" s="163" t="str">
        <f>+IF(Tabla2[[#This Row],[dias de credito]]&gt;=Tabla2[[#This Row],[PLAZO Días]],"venc", "No venc")</f>
        <v>venc</v>
      </c>
      <c r="AC1299" s="163" t="str">
        <f>+IF(Tabla2[[#This Row],[FECHA DE PAGO]]&gt;0,"pagada","por pagar")</f>
        <v>pagada</v>
      </c>
      <c r="AD1299" s="164" t="str">
        <f>+IF(AND(Tabla2[[#This Row],[venc]]="venc",Tabla2[[#This Row],[estado pago]]="por pagar"),"vencida","no")</f>
        <v>no</v>
      </c>
    </row>
    <row r="1300" spans="1:30" ht="19.5" hidden="1" customHeight="1" x14ac:dyDescent="0.25">
      <c r="A1300" s="8" t="s">
        <v>1850</v>
      </c>
      <c r="B1300" s="8" t="s">
        <v>1851</v>
      </c>
      <c r="C1300" s="8">
        <v>60</v>
      </c>
      <c r="D1300" s="151">
        <v>0</v>
      </c>
      <c r="E1300" s="151"/>
      <c r="F1300" s="24" t="s">
        <v>583</v>
      </c>
      <c r="G1300" s="30">
        <v>45348</v>
      </c>
      <c r="H1300" s="81" t="s">
        <v>582</v>
      </c>
      <c r="I1300" s="30">
        <v>45275</v>
      </c>
      <c r="J1300" s="16" t="s">
        <v>1360</v>
      </c>
      <c r="K1300" s="9" t="s">
        <v>1530</v>
      </c>
      <c r="L1300" s="9" t="s">
        <v>1534</v>
      </c>
      <c r="M1300" s="152">
        <v>4754000</v>
      </c>
      <c r="N1300" s="153">
        <v>903260</v>
      </c>
      <c r="O1300" s="152">
        <v>0</v>
      </c>
      <c r="P1300" s="154">
        <v>2.5000000000000001E-2</v>
      </c>
      <c r="Q1300" s="152">
        <v>118850</v>
      </c>
      <c r="R1300" s="9">
        <v>5538410</v>
      </c>
      <c r="S1300" s="21" t="s">
        <v>1846</v>
      </c>
      <c r="T1300" s="117">
        <v>0</v>
      </c>
      <c r="U1300" s="117" t="s">
        <v>347</v>
      </c>
      <c r="V1300" s="117">
        <v>2023</v>
      </c>
      <c r="W1300" s="117">
        <v>6</v>
      </c>
      <c r="X1300" s="117">
        <v>1145000</v>
      </c>
      <c r="Y1300" s="117">
        <v>2.5000000000000001E-2</v>
      </c>
      <c r="Z1300" s="21" t="b">
        <v>0</v>
      </c>
      <c r="AA1300" s="162">
        <f>+$AD$5-Tabla2[[#This Row],[FECHA DE FACTURACIÓN]]</f>
        <v>168</v>
      </c>
      <c r="AB1300" s="163" t="str">
        <f>+IF(Tabla2[[#This Row],[dias de credito]]&gt;=Tabla2[[#This Row],[PLAZO Días]],"venc", "No venc")</f>
        <v>venc</v>
      </c>
      <c r="AC1300" s="163" t="str">
        <f>+IF(Tabla2[[#This Row],[FECHA DE PAGO]]&gt;0,"pagada","por pagar")</f>
        <v>pagada</v>
      </c>
      <c r="AD1300" s="164" t="str">
        <f>+IF(AND(Tabla2[[#This Row],[venc]]="venc",Tabla2[[#This Row],[estado pago]]="por pagar"),"vencida","no")</f>
        <v>no</v>
      </c>
    </row>
    <row r="1301" spans="1:30" ht="19.5" hidden="1" customHeight="1" x14ac:dyDescent="0.25">
      <c r="A1301" s="8" t="s">
        <v>1850</v>
      </c>
      <c r="B1301" s="8" t="s">
        <v>1851</v>
      </c>
      <c r="C1301" s="8">
        <v>30</v>
      </c>
      <c r="D1301" s="151">
        <v>1460000.29</v>
      </c>
      <c r="E1301" s="151"/>
      <c r="F1301" s="24" t="s">
        <v>139</v>
      </c>
      <c r="G1301" s="30">
        <v>45348</v>
      </c>
      <c r="H1301" s="81" t="s">
        <v>131</v>
      </c>
      <c r="I1301" s="30">
        <v>45278</v>
      </c>
      <c r="J1301" s="16" t="s">
        <v>1352</v>
      </c>
      <c r="K1301" s="9" t="s">
        <v>1530</v>
      </c>
      <c r="L1301" s="9" t="s">
        <v>1534</v>
      </c>
      <c r="M1301" s="152">
        <v>868908</v>
      </c>
      <c r="N1301" s="153">
        <v>165092.51999999999</v>
      </c>
      <c r="O1301" s="152">
        <v>0</v>
      </c>
      <c r="P1301" s="154">
        <v>0</v>
      </c>
      <c r="Q1301" s="152">
        <v>0</v>
      </c>
      <c r="R1301" s="9">
        <v>1034000.52</v>
      </c>
      <c r="S1301" s="21" t="s">
        <v>1846</v>
      </c>
      <c r="T1301" s="117">
        <v>0</v>
      </c>
      <c r="U1301" s="117" t="s">
        <v>347</v>
      </c>
      <c r="V1301" s="117">
        <v>2023</v>
      </c>
      <c r="W1301" s="117">
        <v>6</v>
      </c>
      <c r="X1301" s="117">
        <v>1145000</v>
      </c>
      <c r="Y1301" s="117">
        <v>2.5000000000000001E-2</v>
      </c>
      <c r="Z1301" s="21" t="b">
        <v>0</v>
      </c>
      <c r="AA1301" s="162">
        <f>+$AD$5-Tabla2[[#This Row],[FECHA DE FACTURACIÓN]]</f>
        <v>165</v>
      </c>
      <c r="AB1301" s="163" t="str">
        <f>+IF(Tabla2[[#This Row],[dias de credito]]&gt;=Tabla2[[#This Row],[PLAZO Días]],"venc", "No venc")</f>
        <v>venc</v>
      </c>
      <c r="AC1301" s="163" t="str">
        <f>+IF(Tabla2[[#This Row],[FECHA DE PAGO]]&gt;0,"pagada","por pagar")</f>
        <v>pagada</v>
      </c>
      <c r="AD1301" s="164" t="str">
        <f>+IF(AND(Tabla2[[#This Row],[venc]]="venc",Tabla2[[#This Row],[estado pago]]="por pagar"),"vencida","no")</f>
        <v>no</v>
      </c>
    </row>
    <row r="1302" spans="1:30" ht="19.5" hidden="1" customHeight="1" x14ac:dyDescent="0.25">
      <c r="A1302" s="8" t="s">
        <v>1850</v>
      </c>
      <c r="B1302" s="8" t="s">
        <v>1851</v>
      </c>
      <c r="C1302" s="8">
        <v>30</v>
      </c>
      <c r="D1302" s="151">
        <v>9349257.8100000005</v>
      </c>
      <c r="E1302" s="151"/>
      <c r="F1302" s="24" t="s">
        <v>277</v>
      </c>
      <c r="G1302" s="30">
        <v>45348</v>
      </c>
      <c r="H1302" s="81" t="s">
        <v>226</v>
      </c>
      <c r="I1302" s="30">
        <v>45289</v>
      </c>
      <c r="J1302" s="16" t="s">
        <v>1394</v>
      </c>
      <c r="K1302" s="9" t="s">
        <v>1530</v>
      </c>
      <c r="L1302" s="9" t="s">
        <v>1534</v>
      </c>
      <c r="M1302" s="152">
        <v>1274790</v>
      </c>
      <c r="N1302" s="153">
        <v>242210.1</v>
      </c>
      <c r="O1302" s="152">
        <v>0</v>
      </c>
      <c r="P1302" s="154">
        <v>2.5000000000000001E-2</v>
      </c>
      <c r="Q1302" s="152">
        <v>31869.75</v>
      </c>
      <c r="R1302" s="9">
        <v>1485130.35</v>
      </c>
      <c r="S1302" s="21" t="s">
        <v>1846</v>
      </c>
      <c r="T1302" s="117">
        <v>0</v>
      </c>
      <c r="U1302" s="117" t="s">
        <v>347</v>
      </c>
      <c r="V1302" s="117">
        <v>2023</v>
      </c>
      <c r="W1302" s="117">
        <v>6</v>
      </c>
      <c r="X1302" s="117">
        <v>1145000</v>
      </c>
      <c r="Y1302" s="117">
        <v>2.5000000000000001E-2</v>
      </c>
      <c r="Z1302" s="21" t="b">
        <v>0</v>
      </c>
      <c r="AA1302" s="162">
        <f>+$AD$5-Tabla2[[#This Row],[FECHA DE FACTURACIÓN]]</f>
        <v>154</v>
      </c>
      <c r="AB1302" s="163" t="str">
        <f>+IF(Tabla2[[#This Row],[dias de credito]]&gt;=Tabla2[[#This Row],[PLAZO Días]],"venc", "No venc")</f>
        <v>venc</v>
      </c>
      <c r="AC1302" s="163" t="str">
        <f>+IF(Tabla2[[#This Row],[FECHA DE PAGO]]&gt;0,"pagada","por pagar")</f>
        <v>pagada</v>
      </c>
      <c r="AD1302" s="164" t="str">
        <f>+IF(AND(Tabla2[[#This Row],[venc]]="venc",Tabla2[[#This Row],[estado pago]]="por pagar"),"vencida","no")</f>
        <v>no</v>
      </c>
    </row>
    <row r="1303" spans="1:30" ht="19.5" customHeight="1" x14ac:dyDescent="0.25">
      <c r="A1303" s="8" t="s">
        <v>1850</v>
      </c>
      <c r="B1303" s="8" t="s">
        <v>1851</v>
      </c>
      <c r="C1303" s="8">
        <v>30</v>
      </c>
      <c r="D1303" s="151">
        <v>9349257.8100000005</v>
      </c>
      <c r="E1303" s="151"/>
      <c r="F1303" s="24" t="s">
        <v>277</v>
      </c>
      <c r="G1303" s="30">
        <v>45348</v>
      </c>
      <c r="H1303" s="81" t="s">
        <v>226</v>
      </c>
      <c r="I1303" s="30">
        <v>45308</v>
      </c>
      <c r="J1303" s="16" t="s">
        <v>1454</v>
      </c>
      <c r="K1303" s="9" t="s">
        <v>1530</v>
      </c>
      <c r="L1303" s="9" t="s">
        <v>1534</v>
      </c>
      <c r="M1303" s="152">
        <v>1109186</v>
      </c>
      <c r="N1303" s="153">
        <v>210745.34</v>
      </c>
      <c r="O1303" s="152">
        <v>0</v>
      </c>
      <c r="P1303" s="154">
        <v>0</v>
      </c>
      <c r="Q1303" s="152">
        <v>0</v>
      </c>
      <c r="R1303" s="9">
        <v>1319931.3400000001</v>
      </c>
      <c r="S1303" s="21" t="s">
        <v>1846</v>
      </c>
      <c r="T1303" s="117">
        <v>0</v>
      </c>
      <c r="U1303" s="117" t="s">
        <v>347</v>
      </c>
      <c r="V1303" s="117">
        <v>2024</v>
      </c>
      <c r="W1303" s="117">
        <v>7</v>
      </c>
      <c r="X1303" s="117">
        <v>1271000</v>
      </c>
      <c r="Y1303" s="117">
        <v>2.5000000000000001E-2</v>
      </c>
      <c r="Z1303" s="21" t="b">
        <v>0</v>
      </c>
      <c r="AA1303" s="162">
        <f>+$AD$5-Tabla2[[#This Row],[FECHA DE FACTURACIÓN]]</f>
        <v>135</v>
      </c>
      <c r="AB1303" s="163" t="str">
        <f>+IF(Tabla2[[#This Row],[dias de credito]]&gt;=Tabla2[[#This Row],[PLAZO Días]],"venc", "No venc")</f>
        <v>venc</v>
      </c>
      <c r="AC1303" s="163" t="str">
        <f>+IF(Tabla2[[#This Row],[FECHA DE PAGO]]&gt;0,"pagada","por pagar")</f>
        <v>pagada</v>
      </c>
      <c r="AD1303" s="164" t="str">
        <f>+IF(AND(Tabla2[[#This Row],[venc]]="venc",Tabla2[[#This Row],[estado pago]]="por pagar"),"vencida","no")</f>
        <v>no</v>
      </c>
    </row>
    <row r="1304" spans="1:30" ht="19.5" customHeight="1" x14ac:dyDescent="0.25">
      <c r="A1304" s="8" t="s">
        <v>1850</v>
      </c>
      <c r="B1304" s="8" t="b">
        <v>0</v>
      </c>
      <c r="C1304" s="8">
        <v>60</v>
      </c>
      <c r="D1304" s="151">
        <v>0</v>
      </c>
      <c r="E1304" s="151"/>
      <c r="F1304" s="24" t="s">
        <v>147</v>
      </c>
      <c r="G1304" s="30">
        <v>45348</v>
      </c>
      <c r="H1304" s="81" t="s">
        <v>221</v>
      </c>
      <c r="I1304" s="30">
        <v>45315</v>
      </c>
      <c r="J1304" s="16" t="s">
        <v>1481</v>
      </c>
      <c r="K1304" s="9" t="s">
        <v>1530</v>
      </c>
      <c r="L1304" s="9" t="s">
        <v>1533</v>
      </c>
      <c r="M1304" s="152">
        <v>1848739.5</v>
      </c>
      <c r="N1304" s="153">
        <v>351260.505</v>
      </c>
      <c r="O1304" s="152">
        <v>0</v>
      </c>
      <c r="P1304" s="154">
        <v>2.5000000000000001E-2</v>
      </c>
      <c r="Q1304" s="152">
        <v>46218.487500000003</v>
      </c>
      <c r="R1304" s="9">
        <v>2153781.5175000001</v>
      </c>
      <c r="S1304" s="21" t="s">
        <v>1846</v>
      </c>
      <c r="T1304" s="117">
        <v>0</v>
      </c>
      <c r="U1304" s="117" t="s">
        <v>347</v>
      </c>
      <c r="V1304" s="117">
        <v>2024</v>
      </c>
      <c r="W1304" s="117">
        <v>7</v>
      </c>
      <c r="X1304" s="117">
        <v>1271000</v>
      </c>
      <c r="Y1304" s="117">
        <v>2.5000000000000001E-2</v>
      </c>
      <c r="Z1304" s="21" t="b">
        <v>0</v>
      </c>
      <c r="AA1304" s="162">
        <f>+$AD$5-Tabla2[[#This Row],[FECHA DE FACTURACIÓN]]</f>
        <v>128</v>
      </c>
      <c r="AB1304" s="163" t="str">
        <f>+IF(Tabla2[[#This Row],[dias de credito]]&gt;=Tabla2[[#This Row],[PLAZO Días]],"venc", "No venc")</f>
        <v>venc</v>
      </c>
      <c r="AC1304" s="163" t="str">
        <f>+IF(Tabla2[[#This Row],[FECHA DE PAGO]]&gt;0,"pagada","por pagar")</f>
        <v>pagada</v>
      </c>
      <c r="AD1304" s="164" t="str">
        <f>+IF(AND(Tabla2[[#This Row],[venc]]="venc",Tabla2[[#This Row],[estado pago]]="por pagar"),"vencida","no")</f>
        <v>no</v>
      </c>
    </row>
    <row r="1305" spans="1:30" ht="19.5" customHeight="1" x14ac:dyDescent="0.25">
      <c r="A1305" s="8" t="s">
        <v>1850</v>
      </c>
      <c r="B1305" s="8" t="s">
        <v>1851</v>
      </c>
      <c r="C1305" s="8">
        <v>30</v>
      </c>
      <c r="D1305" s="151">
        <v>1460000.29</v>
      </c>
      <c r="E1305" s="151"/>
      <c r="F1305" s="24" t="s">
        <v>139</v>
      </c>
      <c r="G1305" s="30">
        <v>45348</v>
      </c>
      <c r="H1305" s="81" t="s">
        <v>131</v>
      </c>
      <c r="I1305" s="30">
        <v>45315</v>
      </c>
      <c r="J1305" s="16" t="s">
        <v>1478</v>
      </c>
      <c r="K1305" s="9" t="s">
        <v>1530</v>
      </c>
      <c r="L1305" s="9" t="s">
        <v>1533</v>
      </c>
      <c r="M1305" s="152">
        <v>397200</v>
      </c>
      <c r="N1305" s="153">
        <v>0</v>
      </c>
      <c r="O1305" s="152">
        <v>0</v>
      </c>
      <c r="P1305" s="154">
        <v>0</v>
      </c>
      <c r="Q1305" s="152">
        <v>0</v>
      </c>
      <c r="R1305" s="9">
        <v>397200</v>
      </c>
      <c r="S1305" s="21" t="s">
        <v>1846</v>
      </c>
      <c r="T1305" s="117">
        <v>0</v>
      </c>
      <c r="U1305" s="117" t="s">
        <v>347</v>
      </c>
      <c r="V1305" s="117">
        <v>2024</v>
      </c>
      <c r="W1305" s="117">
        <v>7</v>
      </c>
      <c r="X1305" s="117">
        <v>1271000</v>
      </c>
      <c r="Y1305" s="117">
        <v>2.5000000000000001E-2</v>
      </c>
      <c r="Z1305" s="21" t="b">
        <v>0</v>
      </c>
      <c r="AA1305" s="162">
        <f>+$AD$5-Tabla2[[#This Row],[FECHA DE FACTURACIÓN]]</f>
        <v>128</v>
      </c>
      <c r="AB1305" s="163" t="str">
        <f>+IF(Tabla2[[#This Row],[dias de credito]]&gt;=Tabla2[[#This Row],[PLAZO Días]],"venc", "No venc")</f>
        <v>venc</v>
      </c>
      <c r="AC1305" s="163" t="str">
        <f>+IF(Tabla2[[#This Row],[FECHA DE PAGO]]&gt;0,"pagada","por pagar")</f>
        <v>pagada</v>
      </c>
      <c r="AD1305" s="164" t="str">
        <f>+IF(AND(Tabla2[[#This Row],[venc]]="venc",Tabla2[[#This Row],[estado pago]]="por pagar"),"vencida","no")</f>
        <v>no</v>
      </c>
    </row>
    <row r="1306" spans="1:30" ht="19.5" customHeight="1" x14ac:dyDescent="0.25">
      <c r="A1306" s="8" t="s">
        <v>1850</v>
      </c>
      <c r="B1306" s="8" t="s">
        <v>1851</v>
      </c>
      <c r="C1306" s="8">
        <v>30</v>
      </c>
      <c r="D1306" s="151">
        <v>1776037.21</v>
      </c>
      <c r="E1306" s="151"/>
      <c r="F1306" s="24" t="s">
        <v>148</v>
      </c>
      <c r="G1306" s="30">
        <v>45348</v>
      </c>
      <c r="H1306" s="81" t="s">
        <v>17</v>
      </c>
      <c r="I1306" s="30">
        <v>45317</v>
      </c>
      <c r="J1306" s="16" t="s">
        <v>1479</v>
      </c>
      <c r="K1306" s="9" t="s">
        <v>1530</v>
      </c>
      <c r="L1306" s="9" t="s">
        <v>1533</v>
      </c>
      <c r="M1306" s="152">
        <v>1730813.22</v>
      </c>
      <c r="N1306" s="153">
        <v>16974</v>
      </c>
      <c r="O1306" s="152">
        <v>0</v>
      </c>
      <c r="P1306" s="154">
        <v>0</v>
      </c>
      <c r="Q1306" s="152">
        <v>0</v>
      </c>
      <c r="R1306" s="9">
        <v>1747787.22</v>
      </c>
      <c r="S1306" s="21" t="s">
        <v>1846</v>
      </c>
      <c r="T1306" s="117">
        <v>0</v>
      </c>
      <c r="U1306" s="117">
        <v>0</v>
      </c>
      <c r="V1306" s="117">
        <v>2024</v>
      </c>
      <c r="W1306" s="117">
        <v>7</v>
      </c>
      <c r="X1306" s="117">
        <v>0</v>
      </c>
      <c r="Y1306" s="117">
        <v>0</v>
      </c>
      <c r="Z1306" s="21" t="b">
        <v>0</v>
      </c>
      <c r="AA1306" s="162">
        <f>+$AD$5-Tabla2[[#This Row],[FECHA DE FACTURACIÓN]]</f>
        <v>126</v>
      </c>
      <c r="AB1306" s="163" t="str">
        <f>+IF(Tabla2[[#This Row],[dias de credito]]&gt;=Tabla2[[#This Row],[PLAZO Días]],"venc", "No venc")</f>
        <v>venc</v>
      </c>
      <c r="AC1306" s="163" t="str">
        <f>+IF(Tabla2[[#This Row],[FECHA DE PAGO]]&gt;0,"pagada","por pagar")</f>
        <v>pagada</v>
      </c>
      <c r="AD1306" s="164" t="str">
        <f>+IF(AND(Tabla2[[#This Row],[venc]]="venc",Tabla2[[#This Row],[estado pago]]="por pagar"),"vencida","no")</f>
        <v>no</v>
      </c>
    </row>
    <row r="1307" spans="1:30" ht="19.5" customHeight="1" x14ac:dyDescent="0.25">
      <c r="A1307" s="8" t="s">
        <v>1850</v>
      </c>
      <c r="B1307" s="8" t="b">
        <v>0</v>
      </c>
      <c r="C1307" s="8">
        <v>30</v>
      </c>
      <c r="D1307" s="151">
        <v>0</v>
      </c>
      <c r="E1307" s="151"/>
      <c r="F1307" s="24">
        <v>0</v>
      </c>
      <c r="G1307" s="30">
        <v>45348</v>
      </c>
      <c r="H1307" s="81" t="s">
        <v>1805</v>
      </c>
      <c r="I1307" s="30">
        <v>45320</v>
      </c>
      <c r="J1307" s="16" t="s">
        <v>1508</v>
      </c>
      <c r="K1307" s="9" t="s">
        <v>1530</v>
      </c>
      <c r="L1307" s="9" t="s">
        <v>1395</v>
      </c>
      <c r="M1307" s="152">
        <v>840000</v>
      </c>
      <c r="N1307" s="153">
        <v>0</v>
      </c>
      <c r="O1307" s="152">
        <v>0</v>
      </c>
      <c r="P1307" s="154">
        <v>0</v>
      </c>
      <c r="Q1307" s="152">
        <v>0</v>
      </c>
      <c r="R1307" s="9">
        <v>840000</v>
      </c>
      <c r="S1307" s="21" t="s">
        <v>1846</v>
      </c>
      <c r="T1307" s="117">
        <v>0</v>
      </c>
      <c r="U1307" s="117">
        <v>0</v>
      </c>
      <c r="V1307" s="117">
        <v>2024</v>
      </c>
      <c r="W1307" s="117">
        <v>7</v>
      </c>
      <c r="X1307" s="117">
        <v>0</v>
      </c>
      <c r="Y1307" s="117">
        <v>0</v>
      </c>
      <c r="Z1307" s="21" t="b">
        <v>0</v>
      </c>
      <c r="AA1307" s="162">
        <f>+$AD$5-Tabla2[[#This Row],[FECHA DE FACTURACIÓN]]</f>
        <v>123</v>
      </c>
      <c r="AB1307" s="163" t="str">
        <f>+IF(Tabla2[[#This Row],[dias de credito]]&gt;=Tabla2[[#This Row],[PLAZO Días]],"venc", "No venc")</f>
        <v>venc</v>
      </c>
      <c r="AC1307" s="163" t="str">
        <f>+IF(Tabla2[[#This Row],[FECHA DE PAGO]]&gt;0,"pagada","por pagar")</f>
        <v>pagada</v>
      </c>
      <c r="AD1307" s="164" t="str">
        <f>+IF(AND(Tabla2[[#This Row],[venc]]="venc",Tabla2[[#This Row],[estado pago]]="por pagar"),"vencida","no")</f>
        <v>no</v>
      </c>
    </row>
    <row r="1308" spans="1:30" ht="19.5" customHeight="1" x14ac:dyDescent="0.25">
      <c r="A1308" s="8" t="s">
        <v>1850</v>
      </c>
      <c r="B1308" s="8" t="b">
        <v>0</v>
      </c>
      <c r="C1308" s="8">
        <v>60</v>
      </c>
      <c r="D1308" s="151">
        <v>0</v>
      </c>
      <c r="E1308" s="151"/>
      <c r="F1308" s="24" t="s">
        <v>147</v>
      </c>
      <c r="G1308" s="30">
        <v>45348</v>
      </c>
      <c r="H1308" s="81" t="s">
        <v>221</v>
      </c>
      <c r="I1308" s="30">
        <v>45329</v>
      </c>
      <c r="J1308" s="16" t="s">
        <v>1550</v>
      </c>
      <c r="K1308" s="9"/>
      <c r="L1308" s="9" t="s">
        <v>1533</v>
      </c>
      <c r="M1308" s="152">
        <v>-19500</v>
      </c>
      <c r="N1308" s="153">
        <v>0</v>
      </c>
      <c r="O1308" s="152">
        <v>0</v>
      </c>
      <c r="P1308" s="154">
        <v>0</v>
      </c>
      <c r="Q1308" s="152">
        <v>0</v>
      </c>
      <c r="R1308" s="9">
        <v>-19500</v>
      </c>
      <c r="S1308" s="21" t="s">
        <v>1846</v>
      </c>
      <c r="T1308" s="117">
        <v>0</v>
      </c>
      <c r="U1308" s="117" t="s">
        <v>347</v>
      </c>
      <c r="V1308" s="117">
        <v>2024</v>
      </c>
      <c r="W1308" s="117">
        <v>7</v>
      </c>
      <c r="X1308" s="117">
        <v>1271000</v>
      </c>
      <c r="Y1308" s="117">
        <v>2.5000000000000001E-2</v>
      </c>
      <c r="Z1308" s="21" t="b">
        <v>0</v>
      </c>
      <c r="AA1308" s="162">
        <f>+$AD$5-Tabla2[[#This Row],[FECHA DE FACTURACIÓN]]</f>
        <v>114</v>
      </c>
      <c r="AB1308" s="163" t="str">
        <f>+IF(Tabla2[[#This Row],[dias de credito]]&gt;=Tabla2[[#This Row],[PLAZO Días]],"venc", "No venc")</f>
        <v>venc</v>
      </c>
      <c r="AC1308" s="163" t="str">
        <f>+IF(Tabla2[[#This Row],[FECHA DE PAGO]]&gt;0,"pagada","por pagar")</f>
        <v>pagada</v>
      </c>
      <c r="AD1308" s="164" t="str">
        <f>+IF(AND(Tabla2[[#This Row],[venc]]="venc",Tabla2[[#This Row],[estado pago]]="por pagar"),"vencida","no")</f>
        <v>no</v>
      </c>
    </row>
    <row r="1309" spans="1:30" ht="19.5" customHeight="1" x14ac:dyDescent="0.25">
      <c r="A1309" s="8" t="s">
        <v>1852</v>
      </c>
      <c r="B1309" s="8" t="b">
        <v>0</v>
      </c>
      <c r="C1309" s="8">
        <v>30</v>
      </c>
      <c r="D1309" s="151">
        <v>1350000</v>
      </c>
      <c r="E1309" s="151"/>
      <c r="F1309" s="24" t="s">
        <v>84</v>
      </c>
      <c r="G1309" s="30">
        <v>45349</v>
      </c>
      <c r="H1309" s="81" t="s">
        <v>1807</v>
      </c>
      <c r="I1309" s="30">
        <v>45349</v>
      </c>
      <c r="J1309" s="16" t="s">
        <v>1601</v>
      </c>
      <c r="K1309" s="9" t="s">
        <v>1530</v>
      </c>
      <c r="L1309" s="9" t="s">
        <v>1395</v>
      </c>
      <c r="M1309" s="152">
        <v>720000</v>
      </c>
      <c r="N1309" s="153">
        <v>0</v>
      </c>
      <c r="O1309" s="152">
        <v>0</v>
      </c>
      <c r="P1309" s="154">
        <v>0</v>
      </c>
      <c r="Q1309" s="152">
        <v>0</v>
      </c>
      <c r="R1309" s="9">
        <v>720000</v>
      </c>
      <c r="S1309" s="21" t="s">
        <v>1846</v>
      </c>
      <c r="T1309" s="117">
        <v>0</v>
      </c>
      <c r="U1309" s="117">
        <v>0</v>
      </c>
      <c r="V1309" s="117">
        <v>2024</v>
      </c>
      <c r="W1309" s="117">
        <v>7</v>
      </c>
      <c r="X1309" s="117">
        <v>0</v>
      </c>
      <c r="Y1309" s="117">
        <v>0</v>
      </c>
      <c r="Z1309" s="21" t="b">
        <v>0</v>
      </c>
      <c r="AA1309" s="162">
        <f>+$AD$5-Tabla2[[#This Row],[FECHA DE FACTURACIÓN]]</f>
        <v>94</v>
      </c>
      <c r="AB1309" s="163" t="str">
        <f>+IF(Tabla2[[#This Row],[dias de credito]]&gt;=Tabla2[[#This Row],[PLAZO Días]],"venc", "No venc")</f>
        <v>venc</v>
      </c>
      <c r="AC1309" s="163" t="str">
        <f>+IF(Tabla2[[#This Row],[FECHA DE PAGO]]&gt;0,"pagada","por pagar")</f>
        <v>pagada</v>
      </c>
      <c r="AD1309" s="164" t="str">
        <f>+IF(AND(Tabla2[[#This Row],[venc]]="venc",Tabla2[[#This Row],[estado pago]]="por pagar"),"vencida","no")</f>
        <v>no</v>
      </c>
    </row>
    <row r="1310" spans="1:30" ht="19.5" customHeight="1" x14ac:dyDescent="0.25">
      <c r="A1310" s="8" t="s">
        <v>1850</v>
      </c>
      <c r="B1310" s="8" t="s">
        <v>1851</v>
      </c>
      <c r="C1310" s="8">
        <v>0</v>
      </c>
      <c r="D1310" s="151">
        <v>0</v>
      </c>
      <c r="E1310" s="151"/>
      <c r="F1310" s="24">
        <v>0</v>
      </c>
      <c r="G1310" s="30">
        <v>45351</v>
      </c>
      <c r="H1310" s="81" t="s">
        <v>980</v>
      </c>
      <c r="I1310" s="30">
        <v>45342</v>
      </c>
      <c r="J1310" s="16" t="s">
        <v>1584</v>
      </c>
      <c r="K1310" s="9" t="s">
        <v>504</v>
      </c>
      <c r="L1310" s="9" t="s">
        <v>1534</v>
      </c>
      <c r="M1310" s="152">
        <v>354960</v>
      </c>
      <c r="N1310" s="153">
        <v>67442.399999999994</v>
      </c>
      <c r="O1310" s="152">
        <v>0</v>
      </c>
      <c r="P1310" s="154">
        <v>0.11</v>
      </c>
      <c r="Q1310" s="152">
        <v>39045.599999999999</v>
      </c>
      <c r="R1310" s="9">
        <v>383356.80000000005</v>
      </c>
      <c r="S1310" s="21" t="s">
        <v>1846</v>
      </c>
      <c r="T1310" s="117">
        <v>0</v>
      </c>
      <c r="U1310" s="117" t="s">
        <v>351</v>
      </c>
      <c r="V1310" s="117">
        <v>2024</v>
      </c>
      <c r="W1310" s="117">
        <v>7</v>
      </c>
      <c r="X1310" s="117">
        <v>0</v>
      </c>
      <c r="Y1310" s="117">
        <v>0.11</v>
      </c>
      <c r="Z1310" s="21" t="b">
        <v>0</v>
      </c>
      <c r="AA1310" s="162">
        <f>+$AD$5-Tabla2[[#This Row],[FECHA DE FACTURACIÓN]]</f>
        <v>101</v>
      </c>
      <c r="AB1310" s="163" t="str">
        <f>+IF(Tabla2[[#This Row],[dias de credito]]&gt;=Tabla2[[#This Row],[PLAZO Días]],"venc", "No venc")</f>
        <v>venc</v>
      </c>
      <c r="AC1310" s="163" t="str">
        <f>+IF(Tabla2[[#This Row],[FECHA DE PAGO]]&gt;0,"pagada","por pagar")</f>
        <v>pagada</v>
      </c>
      <c r="AD1310" s="164" t="str">
        <f>+IF(AND(Tabla2[[#This Row],[venc]]="venc",Tabla2[[#This Row],[estado pago]]="por pagar"),"vencida","no")</f>
        <v>no</v>
      </c>
    </row>
    <row r="1311" spans="1:30" ht="19.5" customHeight="1" x14ac:dyDescent="0.25">
      <c r="A1311" s="8" t="s">
        <v>1850</v>
      </c>
      <c r="B1311" s="8" t="s">
        <v>1851</v>
      </c>
      <c r="C1311" s="8">
        <v>0</v>
      </c>
      <c r="D1311" s="151">
        <v>0</v>
      </c>
      <c r="E1311" s="151"/>
      <c r="F1311" s="24">
        <v>0</v>
      </c>
      <c r="G1311" s="30">
        <v>45351</v>
      </c>
      <c r="H1311" s="81" t="s">
        <v>980</v>
      </c>
      <c r="I1311" s="30">
        <v>45342</v>
      </c>
      <c r="J1311" s="16" t="s">
        <v>1583</v>
      </c>
      <c r="K1311" s="9" t="s">
        <v>504</v>
      </c>
      <c r="L1311" s="9" t="s">
        <v>1534</v>
      </c>
      <c r="M1311" s="152">
        <v>120000</v>
      </c>
      <c r="N1311" s="153">
        <v>22800</v>
      </c>
      <c r="O1311" s="152">
        <v>0</v>
      </c>
      <c r="P1311" s="154">
        <v>0.11</v>
      </c>
      <c r="Q1311" s="152">
        <v>13200</v>
      </c>
      <c r="R1311" s="9">
        <v>129600</v>
      </c>
      <c r="S1311" s="21" t="s">
        <v>1846</v>
      </c>
      <c r="T1311" s="117">
        <v>0</v>
      </c>
      <c r="U1311" s="117" t="s">
        <v>351</v>
      </c>
      <c r="V1311" s="117">
        <v>2024</v>
      </c>
      <c r="W1311" s="117">
        <v>7</v>
      </c>
      <c r="X1311" s="117">
        <v>0</v>
      </c>
      <c r="Y1311" s="117">
        <v>0.11</v>
      </c>
      <c r="Z1311" s="21" t="b">
        <v>0</v>
      </c>
      <c r="AA1311" s="162">
        <f>+$AD$5-Tabla2[[#This Row],[FECHA DE FACTURACIÓN]]</f>
        <v>101</v>
      </c>
      <c r="AB1311" s="163" t="str">
        <f>+IF(Tabla2[[#This Row],[dias de credito]]&gt;=Tabla2[[#This Row],[PLAZO Días]],"venc", "No venc")</f>
        <v>venc</v>
      </c>
      <c r="AC1311" s="163" t="str">
        <f>+IF(Tabla2[[#This Row],[FECHA DE PAGO]]&gt;0,"pagada","por pagar")</f>
        <v>pagada</v>
      </c>
      <c r="AD1311" s="164" t="str">
        <f>+IF(AND(Tabla2[[#This Row],[venc]]="venc",Tabla2[[#This Row],[estado pago]]="por pagar"),"vencida","no")</f>
        <v>no</v>
      </c>
    </row>
    <row r="1312" spans="1:30" ht="19.5" customHeight="1" x14ac:dyDescent="0.25">
      <c r="A1312" s="8" t="s">
        <v>1852</v>
      </c>
      <c r="B1312" s="8" t="b">
        <v>0</v>
      </c>
      <c r="C1312" s="8">
        <v>30</v>
      </c>
      <c r="D1312" s="151">
        <v>0</v>
      </c>
      <c r="E1312" s="151"/>
      <c r="F1312" s="24" t="s">
        <v>84</v>
      </c>
      <c r="G1312" s="30">
        <v>45351</v>
      </c>
      <c r="H1312" s="81" t="s">
        <v>525</v>
      </c>
      <c r="I1312" s="30">
        <v>45351</v>
      </c>
      <c r="J1312" s="16" t="s">
        <v>478</v>
      </c>
      <c r="K1312" s="9" t="s">
        <v>1530</v>
      </c>
      <c r="L1312" s="9"/>
      <c r="M1312" s="152">
        <v>5031000</v>
      </c>
      <c r="N1312" s="153">
        <v>0</v>
      </c>
      <c r="O1312" s="152">
        <v>0</v>
      </c>
      <c r="P1312" s="154">
        <v>0</v>
      </c>
      <c r="Q1312" s="152">
        <v>0</v>
      </c>
      <c r="R1312" s="9">
        <v>5031000</v>
      </c>
      <c r="S1312" s="21" t="s">
        <v>1846</v>
      </c>
      <c r="T1312" s="117">
        <v>0</v>
      </c>
      <c r="U1312" s="117">
        <v>0</v>
      </c>
      <c r="V1312" s="117">
        <v>2024</v>
      </c>
      <c r="W1312" s="117">
        <v>7</v>
      </c>
      <c r="X1312" s="117">
        <v>0</v>
      </c>
      <c r="Y1312" s="117">
        <v>0</v>
      </c>
      <c r="Z1312" s="21" t="b">
        <v>0</v>
      </c>
      <c r="AA1312" s="162">
        <f>+$AD$5-Tabla2[[#This Row],[FECHA DE FACTURACIÓN]]</f>
        <v>92</v>
      </c>
      <c r="AB1312" s="163" t="str">
        <f>+IF(Tabla2[[#This Row],[dias de credito]]&gt;=Tabla2[[#This Row],[PLAZO Días]],"venc", "No venc")</f>
        <v>venc</v>
      </c>
      <c r="AC1312" s="163" t="str">
        <f>+IF(Tabla2[[#This Row],[FECHA DE PAGO]]&gt;0,"pagada","por pagar")</f>
        <v>pagada</v>
      </c>
      <c r="AD1312" s="164" t="str">
        <f>+IF(AND(Tabla2[[#This Row],[venc]]="venc",Tabla2[[#This Row],[estado pago]]="por pagar"),"vencida","no")</f>
        <v>no</v>
      </c>
    </row>
    <row r="1313" spans="1:30" ht="19.5" customHeight="1" x14ac:dyDescent="0.25">
      <c r="A1313" s="8" t="s">
        <v>1852</v>
      </c>
      <c r="B1313" s="8" t="b">
        <v>0</v>
      </c>
      <c r="C1313" s="8">
        <v>30</v>
      </c>
      <c r="D1313" s="151">
        <v>0</v>
      </c>
      <c r="E1313" s="151"/>
      <c r="F1313" s="24" t="s">
        <v>84</v>
      </c>
      <c r="G1313" s="30">
        <v>45351</v>
      </c>
      <c r="H1313" s="81" t="s">
        <v>525</v>
      </c>
      <c r="I1313" s="30">
        <v>45351</v>
      </c>
      <c r="J1313" s="16" t="s">
        <v>476</v>
      </c>
      <c r="K1313" s="9" t="s">
        <v>1530</v>
      </c>
      <c r="L1313" s="9"/>
      <c r="M1313" s="152">
        <v>643500</v>
      </c>
      <c r="N1313" s="153">
        <v>0</v>
      </c>
      <c r="O1313" s="152">
        <v>0</v>
      </c>
      <c r="P1313" s="154">
        <v>0</v>
      </c>
      <c r="Q1313" s="152">
        <v>0</v>
      </c>
      <c r="R1313" s="9">
        <v>643500</v>
      </c>
      <c r="S1313" s="21" t="s">
        <v>1846</v>
      </c>
      <c r="T1313" s="117">
        <v>0</v>
      </c>
      <c r="U1313" s="117">
        <v>0</v>
      </c>
      <c r="V1313" s="117">
        <v>2024</v>
      </c>
      <c r="W1313" s="117">
        <v>7</v>
      </c>
      <c r="X1313" s="117">
        <v>0</v>
      </c>
      <c r="Y1313" s="117">
        <v>0</v>
      </c>
      <c r="Z1313" s="21" t="b">
        <v>0</v>
      </c>
      <c r="AA1313" s="162">
        <f>+$AD$5-Tabla2[[#This Row],[FECHA DE FACTURACIÓN]]</f>
        <v>92</v>
      </c>
      <c r="AB1313" s="163" t="str">
        <f>+IF(Tabla2[[#This Row],[dias de credito]]&gt;=Tabla2[[#This Row],[PLAZO Días]],"venc", "No venc")</f>
        <v>venc</v>
      </c>
      <c r="AC1313" s="163" t="str">
        <f>+IF(Tabla2[[#This Row],[FECHA DE PAGO]]&gt;0,"pagada","por pagar")</f>
        <v>pagada</v>
      </c>
      <c r="AD1313" s="164" t="str">
        <f>+IF(AND(Tabla2[[#This Row],[venc]]="venc",Tabla2[[#This Row],[estado pago]]="por pagar"),"vencida","no")</f>
        <v>no</v>
      </c>
    </row>
    <row r="1314" spans="1:30" ht="19.5" customHeight="1" x14ac:dyDescent="0.25">
      <c r="A1314" s="8" t="s">
        <v>1852</v>
      </c>
      <c r="B1314" s="8" t="b">
        <v>0</v>
      </c>
      <c r="C1314" s="8">
        <v>30</v>
      </c>
      <c r="D1314" s="151">
        <v>0</v>
      </c>
      <c r="E1314" s="151"/>
      <c r="F1314" s="24" t="s">
        <v>84</v>
      </c>
      <c r="G1314" s="30">
        <v>45351</v>
      </c>
      <c r="H1314" s="81" t="s">
        <v>525</v>
      </c>
      <c r="I1314" s="30">
        <v>45351</v>
      </c>
      <c r="J1314" s="16" t="s">
        <v>479</v>
      </c>
      <c r="K1314" s="9" t="s">
        <v>1530</v>
      </c>
      <c r="L1314" s="9"/>
      <c r="M1314" s="152">
        <v>6400</v>
      </c>
      <c r="N1314" s="153">
        <v>0</v>
      </c>
      <c r="O1314" s="152">
        <v>0</v>
      </c>
      <c r="P1314" s="154">
        <v>0</v>
      </c>
      <c r="Q1314" s="152">
        <v>0</v>
      </c>
      <c r="R1314" s="9">
        <v>6400</v>
      </c>
      <c r="S1314" s="21" t="s">
        <v>1846</v>
      </c>
      <c r="T1314" s="117">
        <v>0</v>
      </c>
      <c r="U1314" s="117">
        <v>0</v>
      </c>
      <c r="V1314" s="117">
        <v>2024</v>
      </c>
      <c r="W1314" s="117">
        <v>7</v>
      </c>
      <c r="X1314" s="117">
        <v>0</v>
      </c>
      <c r="Y1314" s="117">
        <v>0</v>
      </c>
      <c r="Z1314" s="21" t="b">
        <v>0</v>
      </c>
      <c r="AA1314" s="162">
        <f>+$AD$5-Tabla2[[#This Row],[FECHA DE FACTURACIÓN]]</f>
        <v>92</v>
      </c>
      <c r="AB1314" s="163" t="str">
        <f>+IF(Tabla2[[#This Row],[dias de credito]]&gt;=Tabla2[[#This Row],[PLAZO Días]],"venc", "No venc")</f>
        <v>venc</v>
      </c>
      <c r="AC1314" s="163" t="str">
        <f>+IF(Tabla2[[#This Row],[FECHA DE PAGO]]&gt;0,"pagada","por pagar")</f>
        <v>pagada</v>
      </c>
      <c r="AD1314" s="164" t="str">
        <f>+IF(AND(Tabla2[[#This Row],[venc]]="venc",Tabla2[[#This Row],[estado pago]]="por pagar"),"vencida","no")</f>
        <v>no</v>
      </c>
    </row>
    <row r="1315" spans="1:30" ht="19.5" customHeight="1" x14ac:dyDescent="0.25">
      <c r="A1315" s="8" t="s">
        <v>1852</v>
      </c>
      <c r="B1315" s="8" t="b">
        <v>0</v>
      </c>
      <c r="C1315" s="8">
        <v>30</v>
      </c>
      <c r="D1315" s="151">
        <v>0</v>
      </c>
      <c r="E1315" s="151"/>
      <c r="F1315" s="24" t="s">
        <v>84</v>
      </c>
      <c r="G1315" s="30">
        <v>45351</v>
      </c>
      <c r="H1315" s="81" t="s">
        <v>525</v>
      </c>
      <c r="I1315" s="30">
        <v>45351</v>
      </c>
      <c r="J1315" s="16" t="s">
        <v>1517</v>
      </c>
      <c r="K1315" s="9" t="s">
        <v>1530</v>
      </c>
      <c r="L1315" s="9"/>
      <c r="M1315" s="152">
        <v>1701400</v>
      </c>
      <c r="N1315" s="153">
        <v>0</v>
      </c>
      <c r="O1315" s="152">
        <v>0</v>
      </c>
      <c r="P1315" s="154">
        <v>0</v>
      </c>
      <c r="Q1315" s="152">
        <v>0</v>
      </c>
      <c r="R1315" s="9">
        <v>1701400</v>
      </c>
      <c r="S1315" s="21" t="s">
        <v>1846</v>
      </c>
      <c r="T1315" s="117">
        <v>0</v>
      </c>
      <c r="U1315" s="117">
        <v>0</v>
      </c>
      <c r="V1315" s="117">
        <v>2024</v>
      </c>
      <c r="W1315" s="117">
        <v>7</v>
      </c>
      <c r="X1315" s="117">
        <v>0</v>
      </c>
      <c r="Y1315" s="117">
        <v>0</v>
      </c>
      <c r="Z1315" s="21" t="b">
        <v>0</v>
      </c>
      <c r="AA1315" s="162">
        <f>+$AD$5-Tabla2[[#This Row],[FECHA DE FACTURACIÓN]]</f>
        <v>92</v>
      </c>
      <c r="AB1315" s="163" t="str">
        <f>+IF(Tabla2[[#This Row],[dias de credito]]&gt;=Tabla2[[#This Row],[PLAZO Días]],"venc", "No venc")</f>
        <v>venc</v>
      </c>
      <c r="AC1315" s="163" t="str">
        <f>+IF(Tabla2[[#This Row],[FECHA DE PAGO]]&gt;0,"pagada","por pagar")</f>
        <v>pagada</v>
      </c>
      <c r="AD1315" s="164" t="str">
        <f>+IF(AND(Tabla2[[#This Row],[venc]]="venc",Tabla2[[#This Row],[estado pago]]="por pagar"),"vencida","no")</f>
        <v>no</v>
      </c>
    </row>
    <row r="1316" spans="1:30" ht="19.5" customHeight="1" x14ac:dyDescent="0.25">
      <c r="A1316" s="8" t="s">
        <v>1852</v>
      </c>
      <c r="B1316" s="8" t="b">
        <v>0</v>
      </c>
      <c r="C1316" s="8">
        <v>30</v>
      </c>
      <c r="D1316" s="151">
        <v>0</v>
      </c>
      <c r="E1316" s="151"/>
      <c r="F1316" s="24" t="s">
        <v>84</v>
      </c>
      <c r="G1316" s="30">
        <v>45351</v>
      </c>
      <c r="H1316" s="81" t="s">
        <v>525</v>
      </c>
      <c r="I1316" s="30">
        <v>45351</v>
      </c>
      <c r="J1316" s="16" t="s">
        <v>1639</v>
      </c>
      <c r="K1316" s="9" t="s">
        <v>1530</v>
      </c>
      <c r="L1316" s="9"/>
      <c r="M1316" s="152">
        <v>430500</v>
      </c>
      <c r="N1316" s="153">
        <v>0</v>
      </c>
      <c r="O1316" s="152">
        <v>0</v>
      </c>
      <c r="P1316" s="154">
        <v>0</v>
      </c>
      <c r="Q1316" s="152">
        <v>0</v>
      </c>
      <c r="R1316" s="9">
        <v>430500</v>
      </c>
      <c r="S1316" s="21" t="s">
        <v>1846</v>
      </c>
      <c r="T1316" s="117">
        <v>0</v>
      </c>
      <c r="U1316" s="117">
        <v>0</v>
      </c>
      <c r="V1316" s="117">
        <v>2024</v>
      </c>
      <c r="W1316" s="117">
        <v>7</v>
      </c>
      <c r="X1316" s="117">
        <v>0</v>
      </c>
      <c r="Y1316" s="117">
        <v>0</v>
      </c>
      <c r="Z1316" s="21" t="b">
        <v>0</v>
      </c>
      <c r="AA1316" s="162">
        <f>+$AD$5-Tabla2[[#This Row],[FECHA DE FACTURACIÓN]]</f>
        <v>92</v>
      </c>
      <c r="AB1316" s="163" t="str">
        <f>+IF(Tabla2[[#This Row],[dias de credito]]&gt;=Tabla2[[#This Row],[PLAZO Días]],"venc", "No venc")</f>
        <v>venc</v>
      </c>
      <c r="AC1316" s="163" t="str">
        <f>+IF(Tabla2[[#This Row],[FECHA DE PAGO]]&gt;0,"pagada","por pagar")</f>
        <v>pagada</v>
      </c>
      <c r="AD1316" s="164" t="str">
        <f>+IF(AND(Tabla2[[#This Row],[venc]]="venc",Tabla2[[#This Row],[estado pago]]="por pagar"),"vencida","no")</f>
        <v>no</v>
      </c>
    </row>
    <row r="1317" spans="1:30" ht="19.5" customHeight="1" x14ac:dyDescent="0.25">
      <c r="A1317" s="8" t="s">
        <v>1852</v>
      </c>
      <c r="B1317" s="8" t="b">
        <v>0</v>
      </c>
      <c r="C1317" s="8">
        <v>30</v>
      </c>
      <c r="D1317" s="151">
        <v>0</v>
      </c>
      <c r="E1317" s="151"/>
      <c r="F1317" s="24" t="s">
        <v>84</v>
      </c>
      <c r="G1317" s="30">
        <v>45351</v>
      </c>
      <c r="H1317" s="81" t="s">
        <v>525</v>
      </c>
      <c r="I1317" s="30">
        <v>45351</v>
      </c>
      <c r="J1317" s="16" t="s">
        <v>504</v>
      </c>
      <c r="K1317" s="9" t="s">
        <v>504</v>
      </c>
      <c r="L1317" s="9"/>
      <c r="M1317" s="152">
        <v>99000</v>
      </c>
      <c r="N1317" s="153">
        <v>0</v>
      </c>
      <c r="O1317" s="152">
        <v>0</v>
      </c>
      <c r="P1317" s="154">
        <v>0</v>
      </c>
      <c r="Q1317" s="152">
        <v>0</v>
      </c>
      <c r="R1317" s="9">
        <v>99000</v>
      </c>
      <c r="S1317" s="21" t="s">
        <v>1846</v>
      </c>
      <c r="T1317" s="117">
        <v>0</v>
      </c>
      <c r="U1317" s="117">
        <v>0</v>
      </c>
      <c r="V1317" s="117">
        <v>2024</v>
      </c>
      <c r="W1317" s="117">
        <v>7</v>
      </c>
      <c r="X1317" s="117">
        <v>0</v>
      </c>
      <c r="Y1317" s="117">
        <v>0</v>
      </c>
      <c r="Z1317" s="21" t="b">
        <v>0</v>
      </c>
      <c r="AA1317" s="162">
        <f>+$AD$5-Tabla2[[#This Row],[FECHA DE FACTURACIÓN]]</f>
        <v>92</v>
      </c>
      <c r="AB1317" s="163" t="str">
        <f>+IF(Tabla2[[#This Row],[dias de credito]]&gt;=Tabla2[[#This Row],[PLAZO Días]],"venc", "No venc")</f>
        <v>venc</v>
      </c>
      <c r="AC1317" s="163" t="str">
        <f>+IF(Tabla2[[#This Row],[FECHA DE PAGO]]&gt;0,"pagada","por pagar")</f>
        <v>pagada</v>
      </c>
      <c r="AD1317" s="164" t="str">
        <f>+IF(AND(Tabla2[[#This Row],[venc]]="venc",Tabla2[[#This Row],[estado pago]]="por pagar"),"vencida","no")</f>
        <v>no</v>
      </c>
    </row>
    <row r="1318" spans="1:30" ht="19.5" customHeight="1" x14ac:dyDescent="0.25">
      <c r="A1318" s="8" t="s">
        <v>1852</v>
      </c>
      <c r="B1318" s="8" t="b">
        <v>0</v>
      </c>
      <c r="C1318" s="8">
        <v>30</v>
      </c>
      <c r="D1318" s="151">
        <v>0</v>
      </c>
      <c r="E1318" s="151"/>
      <c r="F1318" s="24">
        <v>0</v>
      </c>
      <c r="G1318" s="30">
        <v>45351</v>
      </c>
      <c r="H1318" s="81" t="s">
        <v>861</v>
      </c>
      <c r="I1318" s="30">
        <v>45351</v>
      </c>
      <c r="J1318" s="16" t="s">
        <v>1668</v>
      </c>
      <c r="K1318" s="9" t="s">
        <v>1530</v>
      </c>
      <c r="L1318" s="9" t="s">
        <v>1395</v>
      </c>
      <c r="M1318" s="152">
        <v>50000</v>
      </c>
      <c r="N1318" s="153">
        <v>0</v>
      </c>
      <c r="O1318" s="152">
        <v>0</v>
      </c>
      <c r="P1318" s="154">
        <v>0</v>
      </c>
      <c r="Q1318" s="152">
        <v>0</v>
      </c>
      <c r="R1318" s="9">
        <v>50000</v>
      </c>
      <c r="S1318" s="21" t="s">
        <v>1846</v>
      </c>
      <c r="T1318" s="117">
        <v>0</v>
      </c>
      <c r="U1318" s="117">
        <v>0</v>
      </c>
      <c r="V1318" s="117">
        <v>2024</v>
      </c>
      <c r="W1318" s="117">
        <v>7</v>
      </c>
      <c r="X1318" s="117">
        <v>0</v>
      </c>
      <c r="Y1318" s="117">
        <v>0</v>
      </c>
      <c r="Z1318" s="21" t="b">
        <v>0</v>
      </c>
      <c r="AA1318" s="162">
        <f>+$AD$5-Tabla2[[#This Row],[FECHA DE FACTURACIÓN]]</f>
        <v>92</v>
      </c>
      <c r="AB1318" s="163" t="str">
        <f>+IF(Tabla2[[#This Row],[dias de credito]]&gt;=Tabla2[[#This Row],[PLAZO Días]],"venc", "No venc")</f>
        <v>venc</v>
      </c>
      <c r="AC1318" s="163" t="str">
        <f>+IF(Tabla2[[#This Row],[FECHA DE PAGO]]&gt;0,"pagada","por pagar")</f>
        <v>pagada</v>
      </c>
      <c r="AD1318" s="164" t="str">
        <f>+IF(AND(Tabla2[[#This Row],[venc]]="venc",Tabla2[[#This Row],[estado pago]]="por pagar"),"vencida","no")</f>
        <v>no</v>
      </c>
    </row>
    <row r="1319" spans="1:30" ht="19.5" customHeight="1" x14ac:dyDescent="0.25">
      <c r="A1319" s="8" t="s">
        <v>1852</v>
      </c>
      <c r="B1319" s="8" t="b">
        <v>0</v>
      </c>
      <c r="C1319" s="8">
        <v>30</v>
      </c>
      <c r="D1319" s="151">
        <v>0</v>
      </c>
      <c r="E1319" s="151"/>
      <c r="F1319" s="24" t="s">
        <v>84</v>
      </c>
      <c r="G1319" s="30">
        <v>45351</v>
      </c>
      <c r="H1319" s="81" t="s">
        <v>1824</v>
      </c>
      <c r="I1319" s="30">
        <v>45351</v>
      </c>
      <c r="J1319" s="16"/>
      <c r="K1319" s="9" t="s">
        <v>1530</v>
      </c>
      <c r="L1319" s="9" t="s">
        <v>1395</v>
      </c>
      <c r="M1319" s="152">
        <v>465600</v>
      </c>
      <c r="N1319" s="153">
        <v>0</v>
      </c>
      <c r="O1319" s="152">
        <v>0</v>
      </c>
      <c r="P1319" s="154">
        <v>0</v>
      </c>
      <c r="Q1319" s="152">
        <v>0</v>
      </c>
      <c r="R1319" s="9">
        <v>465600</v>
      </c>
      <c r="S1319" s="21" t="s">
        <v>1846</v>
      </c>
      <c r="T1319" s="117">
        <v>0</v>
      </c>
      <c r="U1319" s="117">
        <v>0</v>
      </c>
      <c r="V1319" s="117">
        <v>2024</v>
      </c>
      <c r="W1319" s="117">
        <v>7</v>
      </c>
      <c r="X1319" s="117">
        <v>0</v>
      </c>
      <c r="Y1319" s="117">
        <v>0</v>
      </c>
      <c r="Z1319" s="21" t="b">
        <v>0</v>
      </c>
      <c r="AA1319" s="162">
        <f>+$AD$5-Tabla2[[#This Row],[FECHA DE FACTURACIÓN]]</f>
        <v>92</v>
      </c>
      <c r="AB1319" s="163" t="str">
        <f>+IF(Tabla2[[#This Row],[dias de credito]]&gt;=Tabla2[[#This Row],[PLAZO Días]],"venc", "No venc")</f>
        <v>venc</v>
      </c>
      <c r="AC1319" s="163" t="str">
        <f>+IF(Tabla2[[#This Row],[FECHA DE PAGO]]&gt;0,"pagada","por pagar")</f>
        <v>pagada</v>
      </c>
      <c r="AD1319" s="164" t="str">
        <f>+IF(AND(Tabla2[[#This Row],[venc]]="venc",Tabla2[[#This Row],[estado pago]]="por pagar"),"vencida","no")</f>
        <v>no</v>
      </c>
    </row>
    <row r="1320" spans="1:30" ht="19.5" customHeight="1" x14ac:dyDescent="0.25">
      <c r="A1320" s="8" t="s">
        <v>1852</v>
      </c>
      <c r="B1320" s="8" t="b">
        <v>0</v>
      </c>
      <c r="C1320" s="8">
        <v>30</v>
      </c>
      <c r="D1320" s="151">
        <v>0</v>
      </c>
      <c r="E1320" s="151"/>
      <c r="F1320" s="24" t="s">
        <v>84</v>
      </c>
      <c r="G1320" s="30">
        <v>45351</v>
      </c>
      <c r="H1320" s="81" t="s">
        <v>1824</v>
      </c>
      <c r="I1320" s="30">
        <v>45351</v>
      </c>
      <c r="J1320" s="16"/>
      <c r="K1320" s="9" t="s">
        <v>1530</v>
      </c>
      <c r="L1320" s="9" t="s">
        <v>1395</v>
      </c>
      <c r="M1320" s="152">
        <v>585000</v>
      </c>
      <c r="N1320" s="153">
        <v>0</v>
      </c>
      <c r="O1320" s="152">
        <v>0</v>
      </c>
      <c r="P1320" s="154">
        <v>0</v>
      </c>
      <c r="Q1320" s="152">
        <v>0</v>
      </c>
      <c r="R1320" s="9">
        <v>585000</v>
      </c>
      <c r="S1320" s="21" t="s">
        <v>1846</v>
      </c>
      <c r="T1320" s="117">
        <v>0</v>
      </c>
      <c r="U1320" s="117">
        <v>0</v>
      </c>
      <c r="V1320" s="117">
        <v>2024</v>
      </c>
      <c r="W1320" s="117">
        <v>7</v>
      </c>
      <c r="X1320" s="117">
        <v>0</v>
      </c>
      <c r="Y1320" s="117">
        <v>0</v>
      </c>
      <c r="Z1320" s="21" t="b">
        <v>0</v>
      </c>
      <c r="AA1320" s="162">
        <f>+$AD$5-Tabla2[[#This Row],[FECHA DE FACTURACIÓN]]</f>
        <v>92</v>
      </c>
      <c r="AB1320" s="163" t="str">
        <f>+IF(Tabla2[[#This Row],[dias de credito]]&gt;=Tabla2[[#This Row],[PLAZO Días]],"venc", "No venc")</f>
        <v>venc</v>
      </c>
      <c r="AC1320" s="163" t="str">
        <f>+IF(Tabla2[[#This Row],[FECHA DE PAGO]]&gt;0,"pagada","por pagar")</f>
        <v>pagada</v>
      </c>
      <c r="AD1320" s="164" t="str">
        <f>+IF(AND(Tabla2[[#This Row],[venc]]="venc",Tabla2[[#This Row],[estado pago]]="por pagar"),"vencida","no")</f>
        <v>no</v>
      </c>
    </row>
    <row r="1321" spans="1:30" ht="19.5" customHeight="1" x14ac:dyDescent="0.25">
      <c r="A1321" s="8" t="s">
        <v>1852</v>
      </c>
      <c r="B1321" s="8" t="b">
        <v>0</v>
      </c>
      <c r="C1321" s="8">
        <v>30</v>
      </c>
      <c r="D1321" s="151">
        <v>0</v>
      </c>
      <c r="E1321" s="151"/>
      <c r="F1321" s="24">
        <v>0</v>
      </c>
      <c r="G1321" s="30">
        <v>45351</v>
      </c>
      <c r="H1321" s="81" t="s">
        <v>836</v>
      </c>
      <c r="I1321" s="30">
        <v>45351</v>
      </c>
      <c r="J1321" s="16" t="s">
        <v>1585</v>
      </c>
      <c r="K1321" s="9" t="s">
        <v>504</v>
      </c>
      <c r="L1321" s="9" t="s">
        <v>1395</v>
      </c>
      <c r="M1321" s="152">
        <v>554000</v>
      </c>
      <c r="N1321" s="153">
        <v>0</v>
      </c>
      <c r="O1321" s="152">
        <v>0</v>
      </c>
      <c r="P1321" s="154">
        <v>0</v>
      </c>
      <c r="Q1321" s="152">
        <v>0</v>
      </c>
      <c r="R1321" s="9">
        <v>554000</v>
      </c>
      <c r="S1321" s="21" t="s">
        <v>1846</v>
      </c>
      <c r="T1321" s="117">
        <v>0</v>
      </c>
      <c r="U1321" s="117">
        <v>0</v>
      </c>
      <c r="V1321" s="117">
        <v>2024</v>
      </c>
      <c r="W1321" s="117">
        <v>7</v>
      </c>
      <c r="X1321" s="117">
        <v>0</v>
      </c>
      <c r="Y1321" s="117">
        <v>0</v>
      </c>
      <c r="Z1321" s="21" t="b">
        <v>0</v>
      </c>
      <c r="AA1321" s="162">
        <f>+$AD$5-Tabla2[[#This Row],[FECHA DE FACTURACIÓN]]</f>
        <v>92</v>
      </c>
      <c r="AB1321" s="163" t="str">
        <f>+IF(Tabla2[[#This Row],[dias de credito]]&gt;=Tabla2[[#This Row],[PLAZO Días]],"venc", "No venc")</f>
        <v>venc</v>
      </c>
      <c r="AC1321" s="163" t="str">
        <f>+IF(Tabla2[[#This Row],[FECHA DE PAGO]]&gt;0,"pagada","por pagar")</f>
        <v>pagada</v>
      </c>
      <c r="AD1321" s="164" t="str">
        <f>+IF(AND(Tabla2[[#This Row],[venc]]="venc",Tabla2[[#This Row],[estado pago]]="por pagar"),"vencida","no")</f>
        <v>no</v>
      </c>
    </row>
    <row r="1322" spans="1:30" ht="19.5" customHeight="1" x14ac:dyDescent="0.25">
      <c r="A1322" s="8" t="s">
        <v>1850</v>
      </c>
      <c r="B1322" s="8" t="b">
        <v>0</v>
      </c>
      <c r="C1322" s="8">
        <v>30</v>
      </c>
      <c r="D1322" s="151">
        <v>0</v>
      </c>
      <c r="E1322" s="151"/>
      <c r="F1322" s="24" t="s">
        <v>84</v>
      </c>
      <c r="G1322" s="30">
        <v>45352</v>
      </c>
      <c r="H1322" s="81" t="s">
        <v>481</v>
      </c>
      <c r="I1322" s="30">
        <v>45351</v>
      </c>
      <c r="J1322" s="16" t="s">
        <v>1665</v>
      </c>
      <c r="K1322" s="9" t="s">
        <v>504</v>
      </c>
      <c r="L1322" s="9" t="s">
        <v>1541</v>
      </c>
      <c r="M1322" s="152">
        <v>5028000</v>
      </c>
      <c r="N1322" s="153">
        <v>0</v>
      </c>
      <c r="O1322" s="152">
        <v>0</v>
      </c>
      <c r="P1322" s="154">
        <v>0</v>
      </c>
      <c r="Q1322" s="152">
        <v>0</v>
      </c>
      <c r="R1322" s="9">
        <v>5028000</v>
      </c>
      <c r="S1322" s="21" t="s">
        <v>1846</v>
      </c>
      <c r="T1322" s="117">
        <v>0</v>
      </c>
      <c r="U1322" s="117">
        <v>0</v>
      </c>
      <c r="V1322" s="117">
        <v>2024</v>
      </c>
      <c r="W1322" s="117">
        <v>7</v>
      </c>
      <c r="X1322" s="117">
        <v>0</v>
      </c>
      <c r="Y1322" s="117">
        <v>0</v>
      </c>
      <c r="Z1322" s="21" t="b">
        <v>0</v>
      </c>
      <c r="AA1322" s="162">
        <f>+$AD$5-Tabla2[[#This Row],[FECHA DE FACTURACIÓN]]</f>
        <v>92</v>
      </c>
      <c r="AB1322" s="163" t="str">
        <f>+IF(Tabla2[[#This Row],[dias de credito]]&gt;=Tabla2[[#This Row],[PLAZO Días]],"venc", "No venc")</f>
        <v>venc</v>
      </c>
      <c r="AC1322" s="163" t="str">
        <f>+IF(Tabla2[[#This Row],[FECHA DE PAGO]]&gt;0,"pagada","por pagar")</f>
        <v>pagada</v>
      </c>
      <c r="AD1322" s="164" t="str">
        <f>+IF(AND(Tabla2[[#This Row],[venc]]="venc",Tabla2[[#This Row],[estado pago]]="por pagar"),"vencida","no")</f>
        <v>no</v>
      </c>
    </row>
    <row r="1323" spans="1:30" ht="19.5" customHeight="1" x14ac:dyDescent="0.25">
      <c r="A1323" s="8" t="s">
        <v>1852</v>
      </c>
      <c r="B1323" s="8" t="b">
        <v>0</v>
      </c>
      <c r="C1323" s="8">
        <v>30</v>
      </c>
      <c r="D1323" s="151">
        <v>0</v>
      </c>
      <c r="E1323" s="151"/>
      <c r="F1323" s="24" t="s">
        <v>86</v>
      </c>
      <c r="G1323" s="30">
        <v>45352</v>
      </c>
      <c r="H1323" s="81" t="s">
        <v>390</v>
      </c>
      <c r="I1323" s="30">
        <v>45352</v>
      </c>
      <c r="J1323" s="16"/>
      <c r="K1323" s="9" t="s">
        <v>1530</v>
      </c>
      <c r="L1323" s="9" t="s">
        <v>1533</v>
      </c>
      <c r="M1323" s="152">
        <v>633500</v>
      </c>
      <c r="N1323" s="153">
        <v>0</v>
      </c>
      <c r="O1323" s="152">
        <v>0</v>
      </c>
      <c r="P1323" s="154">
        <v>0</v>
      </c>
      <c r="Q1323" s="152">
        <v>0</v>
      </c>
      <c r="R1323" s="9">
        <v>633500</v>
      </c>
      <c r="S1323" s="21" t="s">
        <v>1846</v>
      </c>
      <c r="T1323" s="117">
        <v>0</v>
      </c>
      <c r="U1323" s="117">
        <v>0</v>
      </c>
      <c r="V1323" s="117">
        <v>2024</v>
      </c>
      <c r="W1323" s="117">
        <v>7</v>
      </c>
      <c r="X1323" s="117">
        <v>0</v>
      </c>
      <c r="Y1323" s="117">
        <v>0</v>
      </c>
      <c r="Z1323" s="21" t="b">
        <v>1</v>
      </c>
      <c r="AA1323" s="162">
        <f>+$AD$5-Tabla2[[#This Row],[FECHA DE FACTURACIÓN]]</f>
        <v>91</v>
      </c>
      <c r="AB1323" s="163" t="str">
        <f>+IF(Tabla2[[#This Row],[dias de credito]]&gt;=Tabla2[[#This Row],[PLAZO Días]],"venc", "No venc")</f>
        <v>venc</v>
      </c>
      <c r="AC1323" s="163" t="str">
        <f>+IF(Tabla2[[#This Row],[FECHA DE PAGO]]&gt;0,"pagada","por pagar")</f>
        <v>pagada</v>
      </c>
      <c r="AD1323" s="164" t="str">
        <f>+IF(AND(Tabla2[[#This Row],[venc]]="venc",Tabla2[[#This Row],[estado pago]]="por pagar"),"vencida","no")</f>
        <v>no</v>
      </c>
    </row>
    <row r="1324" spans="1:30" ht="19.5" customHeight="1" x14ac:dyDescent="0.25">
      <c r="A1324" s="8" t="s">
        <v>1850</v>
      </c>
      <c r="B1324" s="8" t="s">
        <v>1851</v>
      </c>
      <c r="C1324" s="8">
        <v>0</v>
      </c>
      <c r="D1324" s="151">
        <v>0</v>
      </c>
      <c r="E1324" s="151"/>
      <c r="F1324" s="24" t="s">
        <v>461</v>
      </c>
      <c r="G1324" s="30">
        <v>45353</v>
      </c>
      <c r="H1324" s="81" t="s">
        <v>459</v>
      </c>
      <c r="I1324" s="30">
        <v>45342</v>
      </c>
      <c r="J1324" s="16" t="s">
        <v>1613</v>
      </c>
      <c r="K1324" s="9" t="s">
        <v>1530</v>
      </c>
      <c r="L1324" s="9" t="s">
        <v>1395</v>
      </c>
      <c r="M1324" s="152">
        <v>2500000</v>
      </c>
      <c r="N1324" s="153">
        <v>0</v>
      </c>
      <c r="O1324" s="152">
        <v>0</v>
      </c>
      <c r="P1324" s="154">
        <v>0</v>
      </c>
      <c r="Q1324" s="152">
        <v>0</v>
      </c>
      <c r="R1324" s="9">
        <v>2500000</v>
      </c>
      <c r="S1324" s="21" t="s">
        <v>1846</v>
      </c>
      <c r="T1324" s="117">
        <v>0</v>
      </c>
      <c r="U1324" s="117">
        <v>0</v>
      </c>
      <c r="V1324" s="117">
        <v>2024</v>
      </c>
      <c r="W1324" s="117">
        <v>7</v>
      </c>
      <c r="X1324" s="117">
        <v>0</v>
      </c>
      <c r="Y1324" s="117">
        <v>0</v>
      </c>
      <c r="Z1324" s="21" t="b">
        <v>1</v>
      </c>
      <c r="AA1324" s="162">
        <f>+$AD$5-Tabla2[[#This Row],[FECHA DE FACTURACIÓN]]</f>
        <v>101</v>
      </c>
      <c r="AB1324" s="163" t="str">
        <f>+IF(Tabla2[[#This Row],[dias de credito]]&gt;=Tabla2[[#This Row],[PLAZO Días]],"venc", "No venc")</f>
        <v>venc</v>
      </c>
      <c r="AC1324" s="163" t="str">
        <f>+IF(Tabla2[[#This Row],[FECHA DE PAGO]]&gt;0,"pagada","por pagar")</f>
        <v>pagada</v>
      </c>
      <c r="AD1324" s="164" t="str">
        <f>+IF(AND(Tabla2[[#This Row],[venc]]="venc",Tabla2[[#This Row],[estado pago]]="por pagar"),"vencida","no")</f>
        <v>no</v>
      </c>
    </row>
    <row r="1325" spans="1:30" ht="19.5" hidden="1" customHeight="1" x14ac:dyDescent="0.25">
      <c r="A1325" s="8" t="s">
        <v>1850</v>
      </c>
      <c r="B1325" s="8" t="b">
        <v>0</v>
      </c>
      <c r="C1325" s="8">
        <v>90</v>
      </c>
      <c r="D1325" s="151">
        <v>17710735.315650001</v>
      </c>
      <c r="E1325" s="151"/>
      <c r="F1325" s="24" t="s">
        <v>141</v>
      </c>
      <c r="G1325" s="30">
        <v>45355</v>
      </c>
      <c r="H1325" s="81" t="s">
        <v>12</v>
      </c>
      <c r="I1325" s="30">
        <v>45265</v>
      </c>
      <c r="J1325" s="16" t="s">
        <v>1324</v>
      </c>
      <c r="K1325" s="9" t="s">
        <v>1530</v>
      </c>
      <c r="L1325" s="9" t="s">
        <v>1535</v>
      </c>
      <c r="M1325" s="152">
        <v>10294117</v>
      </c>
      <c r="N1325" s="153">
        <v>1955882.23</v>
      </c>
      <c r="O1325" s="152">
        <v>0</v>
      </c>
      <c r="P1325" s="154">
        <v>2.5000000000000001E-2</v>
      </c>
      <c r="Q1325" s="152">
        <v>257352.92500000002</v>
      </c>
      <c r="R1325" s="9">
        <v>11992646.305</v>
      </c>
      <c r="S1325" s="21" t="s">
        <v>1846</v>
      </c>
      <c r="T1325" s="117">
        <v>0</v>
      </c>
      <c r="U1325" s="117" t="s">
        <v>347</v>
      </c>
      <c r="V1325" s="117">
        <v>2023</v>
      </c>
      <c r="W1325" s="117">
        <v>6</v>
      </c>
      <c r="X1325" s="117">
        <v>1145000</v>
      </c>
      <c r="Y1325" s="117">
        <v>2.5000000000000001E-2</v>
      </c>
      <c r="Z1325" s="21" t="b">
        <v>0</v>
      </c>
      <c r="AA1325" s="162">
        <f>+$AD$5-Tabla2[[#This Row],[FECHA DE FACTURACIÓN]]</f>
        <v>178</v>
      </c>
      <c r="AB1325" s="163" t="str">
        <f>+IF(Tabla2[[#This Row],[dias de credito]]&gt;=Tabla2[[#This Row],[PLAZO Días]],"venc", "No venc")</f>
        <v>venc</v>
      </c>
      <c r="AC1325" s="163" t="str">
        <f>+IF(Tabla2[[#This Row],[FECHA DE PAGO]]&gt;0,"pagada","por pagar")</f>
        <v>pagada</v>
      </c>
      <c r="AD1325" s="164" t="str">
        <f>+IF(AND(Tabla2[[#This Row],[venc]]="venc",Tabla2[[#This Row],[estado pago]]="por pagar"),"vencida","no")</f>
        <v>no</v>
      </c>
    </row>
    <row r="1326" spans="1:30" ht="19.5" hidden="1" customHeight="1" x14ac:dyDescent="0.25">
      <c r="A1326" s="8" t="s">
        <v>1850</v>
      </c>
      <c r="B1326" s="8" t="b">
        <v>0</v>
      </c>
      <c r="C1326" s="8">
        <v>90</v>
      </c>
      <c r="D1326" s="151">
        <v>17710735.315650001</v>
      </c>
      <c r="E1326" s="151"/>
      <c r="F1326" s="24" t="s">
        <v>141</v>
      </c>
      <c r="G1326" s="30">
        <v>45355</v>
      </c>
      <c r="H1326" s="81" t="s">
        <v>12</v>
      </c>
      <c r="I1326" s="30">
        <v>45265</v>
      </c>
      <c r="J1326" s="16" t="s">
        <v>1325</v>
      </c>
      <c r="K1326" s="9" t="s">
        <v>1530</v>
      </c>
      <c r="L1326" s="9" t="s">
        <v>1535</v>
      </c>
      <c r="M1326" s="152">
        <v>37615</v>
      </c>
      <c r="N1326" s="153">
        <v>7146.85</v>
      </c>
      <c r="O1326" s="152">
        <v>0</v>
      </c>
      <c r="P1326" s="154">
        <v>0</v>
      </c>
      <c r="Q1326" s="152">
        <v>0</v>
      </c>
      <c r="R1326" s="9">
        <v>44761.85</v>
      </c>
      <c r="S1326" s="21" t="s">
        <v>1846</v>
      </c>
      <c r="T1326" s="117">
        <v>0</v>
      </c>
      <c r="U1326" s="117" t="s">
        <v>347</v>
      </c>
      <c r="V1326" s="117">
        <v>2023</v>
      </c>
      <c r="W1326" s="117">
        <v>6</v>
      </c>
      <c r="X1326" s="117">
        <v>1145000</v>
      </c>
      <c r="Y1326" s="117">
        <v>2.5000000000000001E-2</v>
      </c>
      <c r="Z1326" s="21" t="b">
        <v>0</v>
      </c>
      <c r="AA1326" s="162">
        <f>+$AD$5-Tabla2[[#This Row],[FECHA DE FACTURACIÓN]]</f>
        <v>178</v>
      </c>
      <c r="AB1326" s="163" t="str">
        <f>+IF(Tabla2[[#This Row],[dias de credito]]&gt;=Tabla2[[#This Row],[PLAZO Días]],"venc", "No venc")</f>
        <v>venc</v>
      </c>
      <c r="AC1326" s="163" t="str">
        <f>+IF(Tabla2[[#This Row],[FECHA DE PAGO]]&gt;0,"pagada","por pagar")</f>
        <v>pagada</v>
      </c>
      <c r="AD1326" s="164" t="str">
        <f>+IF(AND(Tabla2[[#This Row],[venc]]="venc",Tabla2[[#This Row],[estado pago]]="por pagar"),"vencida","no")</f>
        <v>no</v>
      </c>
    </row>
    <row r="1327" spans="1:30" ht="19.5" hidden="1" customHeight="1" x14ac:dyDescent="0.25">
      <c r="A1327" s="8" t="s">
        <v>1850</v>
      </c>
      <c r="B1327" s="8" t="s">
        <v>1851</v>
      </c>
      <c r="C1327" s="8">
        <v>60</v>
      </c>
      <c r="D1327" s="151">
        <v>50353355.590000004</v>
      </c>
      <c r="E1327" s="151"/>
      <c r="F1327" s="24" t="s">
        <v>157</v>
      </c>
      <c r="G1327" s="30">
        <v>45355</v>
      </c>
      <c r="H1327" s="81" t="s">
        <v>9</v>
      </c>
      <c r="I1327" s="30">
        <v>45281</v>
      </c>
      <c r="J1327" s="16" t="s">
        <v>1351</v>
      </c>
      <c r="K1327" s="9" t="s">
        <v>1530</v>
      </c>
      <c r="L1327" s="9" t="s">
        <v>1533</v>
      </c>
      <c r="M1327" s="152">
        <v>19142938</v>
      </c>
      <c r="N1327" s="153">
        <v>3637158.22</v>
      </c>
      <c r="O1327" s="152">
        <v>0</v>
      </c>
      <c r="P1327" s="154">
        <v>2.5000000000000001E-2</v>
      </c>
      <c r="Q1327" s="152">
        <v>478573.45</v>
      </c>
      <c r="R1327" s="9">
        <v>22301522.77</v>
      </c>
      <c r="S1327" s="21" t="s">
        <v>1846</v>
      </c>
      <c r="T1327" s="117">
        <v>0</v>
      </c>
      <c r="U1327" s="117" t="s">
        <v>347</v>
      </c>
      <c r="V1327" s="117">
        <v>2023</v>
      </c>
      <c r="W1327" s="117">
        <v>6</v>
      </c>
      <c r="X1327" s="117">
        <v>1145000</v>
      </c>
      <c r="Y1327" s="117">
        <v>2.5000000000000001E-2</v>
      </c>
      <c r="Z1327" s="21" t="b">
        <v>0</v>
      </c>
      <c r="AA1327" s="162">
        <f>+$AD$5-Tabla2[[#This Row],[FECHA DE FACTURACIÓN]]</f>
        <v>162</v>
      </c>
      <c r="AB1327" s="163" t="str">
        <f>+IF(Tabla2[[#This Row],[dias de credito]]&gt;=Tabla2[[#This Row],[PLAZO Días]],"venc", "No venc")</f>
        <v>venc</v>
      </c>
      <c r="AC1327" s="163" t="str">
        <f>+IF(Tabla2[[#This Row],[FECHA DE PAGO]]&gt;0,"pagada","por pagar")</f>
        <v>pagada</v>
      </c>
      <c r="AD1327" s="164" t="str">
        <f>+IF(AND(Tabla2[[#This Row],[venc]]="venc",Tabla2[[#This Row],[estado pago]]="por pagar"),"vencida","no")</f>
        <v>no</v>
      </c>
    </row>
    <row r="1328" spans="1:30" ht="19.5" hidden="1" customHeight="1" x14ac:dyDescent="0.25">
      <c r="A1328" s="8" t="s">
        <v>1850</v>
      </c>
      <c r="B1328" s="8" t="s">
        <v>1851</v>
      </c>
      <c r="C1328" s="8">
        <v>60</v>
      </c>
      <c r="D1328" s="151">
        <v>50353355.590000004</v>
      </c>
      <c r="E1328" s="151"/>
      <c r="F1328" s="24" t="s">
        <v>157</v>
      </c>
      <c r="G1328" s="30">
        <v>45355</v>
      </c>
      <c r="H1328" s="81" t="s">
        <v>9</v>
      </c>
      <c r="I1328" s="30">
        <v>45286</v>
      </c>
      <c r="J1328" s="16" t="s">
        <v>1372</v>
      </c>
      <c r="K1328" s="9" t="s">
        <v>1530</v>
      </c>
      <c r="L1328" s="9" t="s">
        <v>1533</v>
      </c>
      <c r="M1328" s="152">
        <v>487650</v>
      </c>
      <c r="N1328" s="153">
        <v>92653.5</v>
      </c>
      <c r="O1328" s="152">
        <v>0</v>
      </c>
      <c r="P1328" s="154">
        <v>0</v>
      </c>
      <c r="Q1328" s="152">
        <v>0</v>
      </c>
      <c r="R1328" s="9">
        <v>580303.5</v>
      </c>
      <c r="S1328" s="21" t="s">
        <v>1846</v>
      </c>
      <c r="T1328" s="117">
        <v>0</v>
      </c>
      <c r="U1328" s="117" t="s">
        <v>347</v>
      </c>
      <c r="V1328" s="117">
        <v>2023</v>
      </c>
      <c r="W1328" s="117">
        <v>6</v>
      </c>
      <c r="X1328" s="117">
        <v>1145000</v>
      </c>
      <c r="Y1328" s="117">
        <v>2.5000000000000001E-2</v>
      </c>
      <c r="Z1328" s="21" t="b">
        <v>0</v>
      </c>
      <c r="AA1328" s="162">
        <f>+$AD$5-Tabla2[[#This Row],[FECHA DE FACTURACIÓN]]</f>
        <v>157</v>
      </c>
      <c r="AB1328" s="163" t="str">
        <f>+IF(Tabla2[[#This Row],[dias de credito]]&gt;=Tabla2[[#This Row],[PLAZO Días]],"venc", "No venc")</f>
        <v>venc</v>
      </c>
      <c r="AC1328" s="163" t="str">
        <f>+IF(Tabla2[[#This Row],[FECHA DE PAGO]]&gt;0,"pagada","por pagar")</f>
        <v>pagada</v>
      </c>
      <c r="AD1328" s="164" t="str">
        <f>+IF(AND(Tabla2[[#This Row],[venc]]="venc",Tabla2[[#This Row],[estado pago]]="por pagar"),"vencida","no")</f>
        <v>no</v>
      </c>
    </row>
    <row r="1329" spans="1:30" ht="19.5" customHeight="1" x14ac:dyDescent="0.25">
      <c r="A1329" s="8" t="s">
        <v>1850</v>
      </c>
      <c r="B1329" s="8" t="s">
        <v>1851</v>
      </c>
      <c r="C1329" s="8">
        <v>30</v>
      </c>
      <c r="D1329" s="151">
        <v>0</v>
      </c>
      <c r="E1329" s="151"/>
      <c r="F1329" s="24" t="s">
        <v>159</v>
      </c>
      <c r="G1329" s="30">
        <v>45355</v>
      </c>
      <c r="H1329" s="81" t="s">
        <v>452</v>
      </c>
      <c r="I1329" s="30">
        <v>45315</v>
      </c>
      <c r="J1329" s="16" t="s">
        <v>1492</v>
      </c>
      <c r="K1329" s="9" t="s">
        <v>1530</v>
      </c>
      <c r="L1329" s="9" t="s">
        <v>1536</v>
      </c>
      <c r="M1329" s="152">
        <v>1879839.5</v>
      </c>
      <c r="N1329" s="153">
        <v>357169.505</v>
      </c>
      <c r="O1329" s="152">
        <v>0</v>
      </c>
      <c r="P1329" s="154">
        <v>2.5000000000000001E-2</v>
      </c>
      <c r="Q1329" s="152">
        <v>46995.987500000003</v>
      </c>
      <c r="R1329" s="9">
        <v>2190013.0175000001</v>
      </c>
      <c r="S1329" s="21" t="s">
        <v>1846</v>
      </c>
      <c r="T1329" s="117">
        <v>0</v>
      </c>
      <c r="U1329" s="117" t="s">
        <v>347</v>
      </c>
      <c r="V1329" s="117">
        <v>2024</v>
      </c>
      <c r="W1329" s="117">
        <v>7</v>
      </c>
      <c r="X1329" s="117">
        <v>1271000</v>
      </c>
      <c r="Y1329" s="117">
        <v>2.5000000000000001E-2</v>
      </c>
      <c r="Z1329" s="21" t="b">
        <v>0</v>
      </c>
      <c r="AA1329" s="162">
        <f>+$AD$5-Tabla2[[#This Row],[FECHA DE FACTURACIÓN]]</f>
        <v>128</v>
      </c>
      <c r="AB1329" s="163" t="str">
        <f>+IF(Tabla2[[#This Row],[dias de credito]]&gt;=Tabla2[[#This Row],[PLAZO Días]],"venc", "No venc")</f>
        <v>venc</v>
      </c>
      <c r="AC1329" s="163" t="str">
        <f>+IF(Tabla2[[#This Row],[FECHA DE PAGO]]&gt;0,"pagada","por pagar")</f>
        <v>pagada</v>
      </c>
      <c r="AD1329" s="164" t="str">
        <f>+IF(AND(Tabla2[[#This Row],[venc]]="venc",Tabla2[[#This Row],[estado pago]]="por pagar"),"vencida","no")</f>
        <v>no</v>
      </c>
    </row>
    <row r="1330" spans="1:30" ht="19.5" customHeight="1" x14ac:dyDescent="0.25">
      <c r="A1330" s="8" t="s">
        <v>1850</v>
      </c>
      <c r="B1330" s="8" t="b">
        <v>0</v>
      </c>
      <c r="C1330" s="8">
        <v>30</v>
      </c>
      <c r="D1330" s="151">
        <v>0</v>
      </c>
      <c r="E1330" s="151"/>
      <c r="F1330" s="24" t="s">
        <v>159</v>
      </c>
      <c r="G1330" s="30">
        <v>45355</v>
      </c>
      <c r="H1330" s="81" t="s">
        <v>452</v>
      </c>
      <c r="I1330" s="30">
        <v>45331</v>
      </c>
      <c r="J1330" s="16" t="s">
        <v>1551</v>
      </c>
      <c r="K1330" s="9" t="s">
        <v>504</v>
      </c>
      <c r="L1330" s="9" t="s">
        <v>1536</v>
      </c>
      <c r="M1330" s="152">
        <v>627429</v>
      </c>
      <c r="N1330" s="153">
        <v>119211.51</v>
      </c>
      <c r="O1330" s="152">
        <v>0</v>
      </c>
      <c r="P1330" s="154">
        <v>0</v>
      </c>
      <c r="Q1330" s="152">
        <v>0</v>
      </c>
      <c r="R1330" s="9">
        <v>746640.51</v>
      </c>
      <c r="S1330" s="21" t="s">
        <v>1846</v>
      </c>
      <c r="T1330" s="117">
        <v>0</v>
      </c>
      <c r="U1330" s="117" t="s">
        <v>347</v>
      </c>
      <c r="V1330" s="117">
        <v>2024</v>
      </c>
      <c r="W1330" s="117">
        <v>7</v>
      </c>
      <c r="X1330" s="117">
        <v>1271000</v>
      </c>
      <c r="Y1330" s="117">
        <v>2.5000000000000001E-2</v>
      </c>
      <c r="Z1330" s="21" t="b">
        <v>0</v>
      </c>
      <c r="AA1330" s="162">
        <f>+$AD$5-Tabla2[[#This Row],[FECHA DE FACTURACIÓN]]</f>
        <v>112</v>
      </c>
      <c r="AB1330" s="163" t="str">
        <f>+IF(Tabla2[[#This Row],[dias de credito]]&gt;=Tabla2[[#This Row],[PLAZO Días]],"venc", "No venc")</f>
        <v>venc</v>
      </c>
      <c r="AC1330" s="163" t="str">
        <f>+IF(Tabla2[[#This Row],[FECHA DE PAGO]]&gt;0,"pagada","por pagar")</f>
        <v>pagada</v>
      </c>
      <c r="AD1330" s="164" t="str">
        <f>+IF(AND(Tabla2[[#This Row],[venc]]="venc",Tabla2[[#This Row],[estado pago]]="por pagar"),"vencida","no")</f>
        <v>no</v>
      </c>
    </row>
    <row r="1331" spans="1:30" ht="19.5" customHeight="1" x14ac:dyDescent="0.25">
      <c r="A1331" s="8" t="s">
        <v>1850</v>
      </c>
      <c r="B1331" s="8" t="s">
        <v>1851</v>
      </c>
      <c r="C1331" s="8">
        <v>30</v>
      </c>
      <c r="D1331" s="151">
        <v>3130000</v>
      </c>
      <c r="E1331" s="151"/>
      <c r="F1331" s="24">
        <v>0</v>
      </c>
      <c r="G1331" s="30">
        <v>45356</v>
      </c>
      <c r="H1331" s="81" t="s">
        <v>472</v>
      </c>
      <c r="I1331" s="30">
        <v>45302</v>
      </c>
      <c r="J1331" s="16" t="s">
        <v>1446</v>
      </c>
      <c r="K1331" s="9" t="s">
        <v>1530</v>
      </c>
      <c r="L1331" s="9" t="s">
        <v>1395</v>
      </c>
      <c r="M1331" s="152">
        <v>1345500</v>
      </c>
      <c r="N1331" s="153">
        <v>0</v>
      </c>
      <c r="O1331" s="152">
        <v>0</v>
      </c>
      <c r="P1331" s="154">
        <v>0</v>
      </c>
      <c r="Q1331" s="152">
        <v>0</v>
      </c>
      <c r="R1331" s="9">
        <v>1345500</v>
      </c>
      <c r="S1331" s="21" t="s">
        <v>1846</v>
      </c>
      <c r="T1331" s="117">
        <v>0</v>
      </c>
      <c r="U1331" s="117">
        <v>0</v>
      </c>
      <c r="V1331" s="117">
        <v>2024</v>
      </c>
      <c r="W1331" s="117">
        <v>7</v>
      </c>
      <c r="X1331" s="117">
        <v>0</v>
      </c>
      <c r="Y1331" s="117">
        <v>0</v>
      </c>
      <c r="Z1331" s="21" t="b">
        <v>0</v>
      </c>
      <c r="AA1331" s="162">
        <f>+$AD$5-Tabla2[[#This Row],[FECHA DE FACTURACIÓN]]</f>
        <v>141</v>
      </c>
      <c r="AB1331" s="163" t="str">
        <f>+IF(Tabla2[[#This Row],[dias de credito]]&gt;=Tabla2[[#This Row],[PLAZO Días]],"venc", "No venc")</f>
        <v>venc</v>
      </c>
      <c r="AC1331" s="163" t="str">
        <f>+IF(Tabla2[[#This Row],[FECHA DE PAGO]]&gt;0,"pagada","por pagar")</f>
        <v>pagada</v>
      </c>
      <c r="AD1331" s="164" t="str">
        <f>+IF(AND(Tabla2[[#This Row],[venc]]="venc",Tabla2[[#This Row],[estado pago]]="por pagar"),"vencida","no")</f>
        <v>no</v>
      </c>
    </row>
    <row r="1332" spans="1:30" ht="19.5" customHeight="1" x14ac:dyDescent="0.25">
      <c r="A1332" s="8" t="s">
        <v>1850</v>
      </c>
      <c r="B1332" s="8" t="b">
        <v>0</v>
      </c>
      <c r="C1332" s="8">
        <v>90</v>
      </c>
      <c r="D1332" s="151">
        <v>0</v>
      </c>
      <c r="E1332" s="151"/>
      <c r="F1332" s="24" t="s">
        <v>205</v>
      </c>
      <c r="G1332" s="30">
        <v>45356</v>
      </c>
      <c r="H1332" s="81" t="s">
        <v>32</v>
      </c>
      <c r="I1332" s="30">
        <v>45303</v>
      </c>
      <c r="J1332" s="16" t="s">
        <v>1433</v>
      </c>
      <c r="K1332" s="9" t="s">
        <v>1530</v>
      </c>
      <c r="L1332" s="9" t="s">
        <v>1533</v>
      </c>
      <c r="M1332" s="152">
        <v>512000</v>
      </c>
      <c r="N1332" s="153">
        <v>97280</v>
      </c>
      <c r="O1332" s="152">
        <v>0</v>
      </c>
      <c r="P1332" s="154">
        <v>0</v>
      </c>
      <c r="Q1332" s="152">
        <v>0</v>
      </c>
      <c r="R1332" s="9">
        <v>609280</v>
      </c>
      <c r="S1332" s="21" t="s">
        <v>1846</v>
      </c>
      <c r="T1332" s="117">
        <v>0</v>
      </c>
      <c r="U1332" s="117" t="s">
        <v>347</v>
      </c>
      <c r="V1332" s="117">
        <v>2024</v>
      </c>
      <c r="W1332" s="117">
        <v>7</v>
      </c>
      <c r="X1332" s="117">
        <v>1271000</v>
      </c>
      <c r="Y1332" s="117">
        <v>2.5000000000000001E-2</v>
      </c>
      <c r="Z1332" s="21" t="b">
        <v>0</v>
      </c>
      <c r="AA1332" s="162">
        <f>+$AD$5-Tabla2[[#This Row],[FECHA DE FACTURACIÓN]]</f>
        <v>140</v>
      </c>
      <c r="AB1332" s="163" t="str">
        <f>+IF(Tabla2[[#This Row],[dias de credito]]&gt;=Tabla2[[#This Row],[PLAZO Días]],"venc", "No venc")</f>
        <v>venc</v>
      </c>
      <c r="AC1332" s="163" t="str">
        <f>+IF(Tabla2[[#This Row],[FECHA DE PAGO]]&gt;0,"pagada","por pagar")</f>
        <v>pagada</v>
      </c>
      <c r="AD1332" s="164" t="str">
        <f>+IF(AND(Tabla2[[#This Row],[venc]]="venc",Tabla2[[#This Row],[estado pago]]="por pagar"),"vencida","no")</f>
        <v>no</v>
      </c>
    </row>
    <row r="1333" spans="1:30" ht="19.5" customHeight="1" x14ac:dyDescent="0.25">
      <c r="A1333" s="8" t="s">
        <v>1850</v>
      </c>
      <c r="B1333" s="8" t="s">
        <v>1851</v>
      </c>
      <c r="C1333" s="8">
        <v>30</v>
      </c>
      <c r="D1333" s="151">
        <v>4466504.835</v>
      </c>
      <c r="E1333" s="151"/>
      <c r="F1333" s="24" t="s">
        <v>1553</v>
      </c>
      <c r="G1333" s="30">
        <v>45356</v>
      </c>
      <c r="H1333" s="81" t="s">
        <v>18</v>
      </c>
      <c r="I1333" s="30">
        <v>45310</v>
      </c>
      <c r="J1333" s="16" t="s">
        <v>1463</v>
      </c>
      <c r="K1333" s="9" t="s">
        <v>504</v>
      </c>
      <c r="L1333" s="9" t="s">
        <v>1533</v>
      </c>
      <c r="M1333" s="152">
        <v>628303</v>
      </c>
      <c r="N1333" s="153">
        <v>119377.57</v>
      </c>
      <c r="O1333" s="152">
        <v>0</v>
      </c>
      <c r="P1333" s="154">
        <v>0</v>
      </c>
      <c r="Q1333" s="152">
        <v>0</v>
      </c>
      <c r="R1333" s="9">
        <v>747680.57000000007</v>
      </c>
      <c r="S1333" s="21" t="s">
        <v>1846</v>
      </c>
      <c r="T1333" s="117">
        <v>0</v>
      </c>
      <c r="U1333" s="117" t="s">
        <v>347</v>
      </c>
      <c r="V1333" s="117">
        <v>2024</v>
      </c>
      <c r="W1333" s="117">
        <v>7</v>
      </c>
      <c r="X1333" s="117">
        <v>1271000</v>
      </c>
      <c r="Y1333" s="117">
        <v>2.5000000000000001E-2</v>
      </c>
      <c r="Z1333" s="21" t="b">
        <v>0</v>
      </c>
      <c r="AA1333" s="162">
        <f>+$AD$5-Tabla2[[#This Row],[FECHA DE FACTURACIÓN]]</f>
        <v>133</v>
      </c>
      <c r="AB1333" s="163" t="str">
        <f>+IF(Tabla2[[#This Row],[dias de credito]]&gt;=Tabla2[[#This Row],[PLAZO Días]],"venc", "No venc")</f>
        <v>venc</v>
      </c>
      <c r="AC1333" s="163" t="str">
        <f>+IF(Tabla2[[#This Row],[FECHA DE PAGO]]&gt;0,"pagada","por pagar")</f>
        <v>pagada</v>
      </c>
      <c r="AD1333" s="164" t="str">
        <f>+IF(AND(Tabla2[[#This Row],[venc]]="venc",Tabla2[[#This Row],[estado pago]]="por pagar"),"vencida","no")</f>
        <v>no</v>
      </c>
    </row>
    <row r="1334" spans="1:30" ht="19.5" customHeight="1" x14ac:dyDescent="0.25">
      <c r="A1334" s="8" t="s">
        <v>1850</v>
      </c>
      <c r="B1334" s="8" t="s">
        <v>1851</v>
      </c>
      <c r="C1334" s="8">
        <v>30</v>
      </c>
      <c r="D1334" s="151">
        <v>3130000</v>
      </c>
      <c r="E1334" s="151"/>
      <c r="F1334" s="24">
        <v>0</v>
      </c>
      <c r="G1334" s="30">
        <v>45356</v>
      </c>
      <c r="H1334" s="81" t="s">
        <v>472</v>
      </c>
      <c r="I1334" s="30">
        <v>45315</v>
      </c>
      <c r="J1334" s="16" t="s">
        <v>1482</v>
      </c>
      <c r="K1334" s="9" t="s">
        <v>1530</v>
      </c>
      <c r="L1334" s="9" t="s">
        <v>1395</v>
      </c>
      <c r="M1334" s="152">
        <v>1854500</v>
      </c>
      <c r="N1334" s="153">
        <v>0</v>
      </c>
      <c r="O1334" s="152">
        <v>0</v>
      </c>
      <c r="P1334" s="154">
        <v>0</v>
      </c>
      <c r="Q1334" s="152">
        <v>0</v>
      </c>
      <c r="R1334" s="9">
        <v>1854500</v>
      </c>
      <c r="S1334" s="21" t="s">
        <v>1846</v>
      </c>
      <c r="T1334" s="117">
        <v>0</v>
      </c>
      <c r="U1334" s="117">
        <v>0</v>
      </c>
      <c r="V1334" s="117">
        <v>2024</v>
      </c>
      <c r="W1334" s="117">
        <v>7</v>
      </c>
      <c r="X1334" s="117">
        <v>0</v>
      </c>
      <c r="Y1334" s="117">
        <v>0</v>
      </c>
      <c r="Z1334" s="21" t="b">
        <v>0</v>
      </c>
      <c r="AA1334" s="162">
        <f>+$AD$5-Tabla2[[#This Row],[FECHA DE FACTURACIÓN]]</f>
        <v>128</v>
      </c>
      <c r="AB1334" s="163" t="str">
        <f>+IF(Tabla2[[#This Row],[dias de credito]]&gt;=Tabla2[[#This Row],[PLAZO Días]],"venc", "No venc")</f>
        <v>venc</v>
      </c>
      <c r="AC1334" s="163" t="str">
        <f>+IF(Tabla2[[#This Row],[FECHA DE PAGO]]&gt;0,"pagada","por pagar")</f>
        <v>pagada</v>
      </c>
      <c r="AD1334" s="164" t="str">
        <f>+IF(AND(Tabla2[[#This Row],[venc]]="venc",Tabla2[[#This Row],[estado pago]]="por pagar"),"vencida","no")</f>
        <v>no</v>
      </c>
    </row>
    <row r="1335" spans="1:30" ht="19.5" customHeight="1" x14ac:dyDescent="0.25">
      <c r="A1335" s="8" t="s">
        <v>1850</v>
      </c>
      <c r="B1335" s="8" t="s">
        <v>1851</v>
      </c>
      <c r="C1335" s="8">
        <v>30</v>
      </c>
      <c r="D1335" s="151">
        <v>1460000.29</v>
      </c>
      <c r="E1335" s="151"/>
      <c r="F1335" s="24" t="s">
        <v>139</v>
      </c>
      <c r="G1335" s="30">
        <v>45356</v>
      </c>
      <c r="H1335" s="81" t="s">
        <v>131</v>
      </c>
      <c r="I1335" s="30">
        <v>45315</v>
      </c>
      <c r="J1335" s="16" t="s">
        <v>1478</v>
      </c>
      <c r="K1335" s="9" t="s">
        <v>1530</v>
      </c>
      <c r="L1335" s="9" t="s">
        <v>1534</v>
      </c>
      <c r="M1335" s="152">
        <v>3057983</v>
      </c>
      <c r="N1335" s="153">
        <v>581016.77</v>
      </c>
      <c r="O1335" s="152">
        <v>0</v>
      </c>
      <c r="P1335" s="154">
        <v>2.5000000000000001E-2</v>
      </c>
      <c r="Q1335" s="152">
        <v>76449.574999999997</v>
      </c>
      <c r="R1335" s="9">
        <v>3169850</v>
      </c>
      <c r="S1335" s="21" t="s">
        <v>1846</v>
      </c>
      <c r="T1335" s="117">
        <v>0</v>
      </c>
      <c r="U1335" s="117" t="s">
        <v>347</v>
      </c>
      <c r="V1335" s="117">
        <v>2024</v>
      </c>
      <c r="W1335" s="117">
        <v>7</v>
      </c>
      <c r="X1335" s="117">
        <v>1271000</v>
      </c>
      <c r="Y1335" s="117">
        <v>2.5000000000000001E-2</v>
      </c>
      <c r="Z1335" s="21" t="b">
        <v>0</v>
      </c>
      <c r="AA1335" s="162">
        <f>+$AD$5-Tabla2[[#This Row],[FECHA DE FACTURACIÓN]]</f>
        <v>128</v>
      </c>
      <c r="AB1335" s="163" t="str">
        <f>+IF(Tabla2[[#This Row],[dias de credito]]&gt;=Tabla2[[#This Row],[PLAZO Días]],"venc", "No venc")</f>
        <v>venc</v>
      </c>
      <c r="AC1335" s="163" t="str">
        <f>+IF(Tabla2[[#This Row],[FECHA DE PAGO]]&gt;0,"pagada","por pagar")</f>
        <v>pagada</v>
      </c>
      <c r="AD1335" s="164" t="str">
        <f>+IF(AND(Tabla2[[#This Row],[venc]]="venc",Tabla2[[#This Row],[estado pago]]="por pagar"),"vencida","no")</f>
        <v>no</v>
      </c>
    </row>
    <row r="1336" spans="1:30" ht="19.5" customHeight="1" x14ac:dyDescent="0.25">
      <c r="A1336" s="8" t="s">
        <v>1850</v>
      </c>
      <c r="B1336" s="8" t="s">
        <v>1851</v>
      </c>
      <c r="C1336" s="8">
        <v>30</v>
      </c>
      <c r="D1336" s="151">
        <v>8456975.129999999</v>
      </c>
      <c r="E1336" s="151"/>
      <c r="F1336" s="24" t="s">
        <v>1476</v>
      </c>
      <c r="G1336" s="30">
        <v>45356</v>
      </c>
      <c r="H1336" s="81" t="s">
        <v>1464</v>
      </c>
      <c r="I1336" s="30">
        <v>45317</v>
      </c>
      <c r="J1336" s="16" t="s">
        <v>1488</v>
      </c>
      <c r="K1336" s="9" t="s">
        <v>1530</v>
      </c>
      <c r="L1336" s="9" t="s">
        <v>1533</v>
      </c>
      <c r="M1336" s="152">
        <v>259099</v>
      </c>
      <c r="N1336" s="153">
        <v>49228.81</v>
      </c>
      <c r="O1336" s="152">
        <v>0</v>
      </c>
      <c r="P1336" s="154">
        <v>0</v>
      </c>
      <c r="Q1336" s="152">
        <v>0</v>
      </c>
      <c r="R1336" s="9">
        <v>308327.81</v>
      </c>
      <c r="S1336" s="21" t="s">
        <v>1846</v>
      </c>
      <c r="T1336" s="117">
        <v>0</v>
      </c>
      <c r="U1336" s="117" t="s">
        <v>347</v>
      </c>
      <c r="V1336" s="117">
        <v>2024</v>
      </c>
      <c r="W1336" s="117">
        <v>7</v>
      </c>
      <c r="X1336" s="117">
        <v>1271000</v>
      </c>
      <c r="Y1336" s="117">
        <v>2.5000000000000001E-2</v>
      </c>
      <c r="Z1336" s="21" t="b">
        <v>0</v>
      </c>
      <c r="AA1336" s="162">
        <f>+$AD$5-Tabla2[[#This Row],[FECHA DE FACTURACIÓN]]</f>
        <v>126</v>
      </c>
      <c r="AB1336" s="163" t="str">
        <f>+IF(Tabla2[[#This Row],[dias de credito]]&gt;=Tabla2[[#This Row],[PLAZO Días]],"venc", "No venc")</f>
        <v>venc</v>
      </c>
      <c r="AC1336" s="163" t="str">
        <f>+IF(Tabla2[[#This Row],[FECHA DE PAGO]]&gt;0,"pagada","por pagar")</f>
        <v>pagada</v>
      </c>
      <c r="AD1336" s="164" t="str">
        <f>+IF(AND(Tabla2[[#This Row],[venc]]="venc",Tabla2[[#This Row],[estado pago]]="por pagar"),"vencida","no")</f>
        <v>no</v>
      </c>
    </row>
    <row r="1337" spans="1:30" ht="19.5" customHeight="1" x14ac:dyDescent="0.25">
      <c r="A1337" s="8" t="s">
        <v>1852</v>
      </c>
      <c r="B1337" s="8" t="b">
        <v>0</v>
      </c>
      <c r="C1337" s="8">
        <v>30</v>
      </c>
      <c r="D1337" s="151">
        <v>0</v>
      </c>
      <c r="E1337" s="151"/>
      <c r="F1337" s="24" t="s">
        <v>1614</v>
      </c>
      <c r="G1337" s="30">
        <v>45356</v>
      </c>
      <c r="H1337" s="81" t="s">
        <v>1863</v>
      </c>
      <c r="I1337" s="30">
        <v>45356</v>
      </c>
      <c r="J1337" s="16" t="s">
        <v>1790</v>
      </c>
      <c r="K1337" s="9" t="s">
        <v>1530</v>
      </c>
      <c r="L1337" s="9" t="s">
        <v>1534</v>
      </c>
      <c r="M1337" s="152">
        <v>8767497</v>
      </c>
      <c r="N1337" s="153">
        <v>0</v>
      </c>
      <c r="O1337" s="152">
        <v>0</v>
      </c>
      <c r="P1337" s="154">
        <v>0</v>
      </c>
      <c r="Q1337" s="152">
        <v>0</v>
      </c>
      <c r="R1337" s="9">
        <v>8767497</v>
      </c>
      <c r="S1337" s="21" t="s">
        <v>1846</v>
      </c>
      <c r="T1337" s="117">
        <v>0</v>
      </c>
      <c r="U1337" s="117">
        <v>0</v>
      </c>
      <c r="V1337" s="117">
        <v>2024</v>
      </c>
      <c r="W1337" s="117">
        <v>7</v>
      </c>
      <c r="X1337" s="117">
        <v>0</v>
      </c>
      <c r="Y1337" s="117">
        <v>0</v>
      </c>
      <c r="Z1337" s="21" t="b">
        <v>0</v>
      </c>
      <c r="AA1337" s="162">
        <f>+$AD$5-Tabla2[[#This Row],[FECHA DE FACTURACIÓN]]</f>
        <v>87</v>
      </c>
      <c r="AB1337" s="163" t="str">
        <f>+IF(Tabla2[[#This Row],[dias de credito]]&gt;=Tabla2[[#This Row],[PLAZO Días]],"venc", "No venc")</f>
        <v>venc</v>
      </c>
      <c r="AC1337" s="163" t="str">
        <f>+IF(Tabla2[[#This Row],[FECHA DE PAGO]]&gt;0,"pagada","por pagar")</f>
        <v>pagada</v>
      </c>
      <c r="AD1337" s="164" t="str">
        <f>+IF(AND(Tabla2[[#This Row],[venc]]="venc",Tabla2[[#This Row],[estado pago]]="por pagar"),"vencida","no")</f>
        <v>no</v>
      </c>
    </row>
    <row r="1338" spans="1:30" ht="19.5" customHeight="1" x14ac:dyDescent="0.25">
      <c r="A1338" s="8" t="s">
        <v>1852</v>
      </c>
      <c r="B1338" s="8" t="b">
        <v>0</v>
      </c>
      <c r="C1338" s="8">
        <v>30</v>
      </c>
      <c r="D1338" s="151">
        <v>0</v>
      </c>
      <c r="E1338" s="151"/>
      <c r="F1338" s="24" t="s">
        <v>1614</v>
      </c>
      <c r="G1338" s="30">
        <v>45356</v>
      </c>
      <c r="H1338" s="81" t="s">
        <v>1863</v>
      </c>
      <c r="I1338" s="30">
        <v>45356</v>
      </c>
      <c r="J1338" s="16" t="s">
        <v>1791</v>
      </c>
      <c r="K1338" s="9" t="s">
        <v>1530</v>
      </c>
      <c r="L1338" s="9" t="s">
        <v>1534</v>
      </c>
      <c r="M1338" s="152">
        <v>178579</v>
      </c>
      <c r="N1338" s="153">
        <v>0</v>
      </c>
      <c r="O1338" s="152">
        <v>0</v>
      </c>
      <c r="P1338" s="154">
        <v>0</v>
      </c>
      <c r="Q1338" s="152">
        <v>0</v>
      </c>
      <c r="R1338" s="9">
        <v>178579</v>
      </c>
      <c r="S1338" s="21" t="s">
        <v>1846</v>
      </c>
      <c r="T1338" s="117">
        <v>0</v>
      </c>
      <c r="U1338" s="117">
        <v>0</v>
      </c>
      <c r="V1338" s="117">
        <v>2024</v>
      </c>
      <c r="W1338" s="117">
        <v>7</v>
      </c>
      <c r="X1338" s="117">
        <v>0</v>
      </c>
      <c r="Y1338" s="117">
        <v>0</v>
      </c>
      <c r="Z1338" s="21" t="b">
        <v>0</v>
      </c>
      <c r="AA1338" s="162">
        <f>+$AD$5-Tabla2[[#This Row],[FECHA DE FACTURACIÓN]]</f>
        <v>87</v>
      </c>
      <c r="AB1338" s="163" t="str">
        <f>+IF(Tabla2[[#This Row],[dias de credito]]&gt;=Tabla2[[#This Row],[PLAZO Días]],"venc", "No venc")</f>
        <v>venc</v>
      </c>
      <c r="AC1338" s="163" t="str">
        <f>+IF(Tabla2[[#This Row],[FECHA DE PAGO]]&gt;0,"pagada","por pagar")</f>
        <v>pagada</v>
      </c>
      <c r="AD1338" s="164" t="str">
        <f>+IF(AND(Tabla2[[#This Row],[venc]]="venc",Tabla2[[#This Row],[estado pago]]="por pagar"),"vencida","no")</f>
        <v>no</v>
      </c>
    </row>
    <row r="1339" spans="1:30" ht="19.5" customHeight="1" x14ac:dyDescent="0.25">
      <c r="A1339" s="8" t="s">
        <v>1850</v>
      </c>
      <c r="B1339" s="8" t="b">
        <v>0</v>
      </c>
      <c r="C1339" s="8">
        <v>60</v>
      </c>
      <c r="D1339" s="151">
        <v>0</v>
      </c>
      <c r="E1339" s="151"/>
      <c r="F1339" s="24">
        <v>0</v>
      </c>
      <c r="G1339" s="30">
        <v>45357</v>
      </c>
      <c r="H1339" s="81" t="s">
        <v>1801</v>
      </c>
      <c r="I1339" s="30">
        <v>45308</v>
      </c>
      <c r="J1339" s="16" t="s">
        <v>1696</v>
      </c>
      <c r="K1339" s="9"/>
      <c r="L1339" s="9" t="s">
        <v>1395</v>
      </c>
      <c r="M1339" s="152">
        <v>70252</v>
      </c>
      <c r="N1339" s="153">
        <v>0</v>
      </c>
      <c r="O1339" s="152">
        <v>0</v>
      </c>
      <c r="P1339" s="154">
        <v>0</v>
      </c>
      <c r="Q1339" s="152">
        <v>0</v>
      </c>
      <c r="R1339" s="9">
        <v>70252</v>
      </c>
      <c r="S1339" s="21" t="s">
        <v>1846</v>
      </c>
      <c r="T1339" s="117">
        <v>0</v>
      </c>
      <c r="U1339" s="117">
        <v>0</v>
      </c>
      <c r="V1339" s="117">
        <v>2024</v>
      </c>
      <c r="W1339" s="117">
        <v>7</v>
      </c>
      <c r="X1339" s="117">
        <v>0</v>
      </c>
      <c r="Y1339" s="117">
        <v>0</v>
      </c>
      <c r="Z1339" s="21" t="b">
        <v>0</v>
      </c>
      <c r="AA1339" s="162">
        <f>+$AD$5-Tabla2[[#This Row],[FECHA DE FACTURACIÓN]]</f>
        <v>135</v>
      </c>
      <c r="AB1339" s="163" t="str">
        <f>+IF(Tabla2[[#This Row],[dias de credito]]&gt;=Tabla2[[#This Row],[PLAZO Días]],"venc", "No venc")</f>
        <v>venc</v>
      </c>
      <c r="AC1339" s="163" t="str">
        <f>+IF(Tabla2[[#This Row],[FECHA DE PAGO]]&gt;0,"pagada","por pagar")</f>
        <v>pagada</v>
      </c>
      <c r="AD1339" s="164" t="str">
        <f>+IF(AND(Tabla2[[#This Row],[venc]]="venc",Tabla2[[#This Row],[estado pago]]="por pagar"),"vencida","no")</f>
        <v>no</v>
      </c>
    </row>
    <row r="1340" spans="1:30" ht="19.5" customHeight="1" x14ac:dyDescent="0.25">
      <c r="A1340" s="8" t="s">
        <v>1850</v>
      </c>
      <c r="B1340" s="8" t="b">
        <v>0</v>
      </c>
      <c r="C1340" s="8">
        <v>60</v>
      </c>
      <c r="D1340" s="151">
        <v>0</v>
      </c>
      <c r="E1340" s="151"/>
      <c r="F1340" s="24">
        <v>0</v>
      </c>
      <c r="G1340" s="30">
        <v>45357</v>
      </c>
      <c r="H1340" s="81" t="s">
        <v>1801</v>
      </c>
      <c r="I1340" s="30">
        <v>45310</v>
      </c>
      <c r="J1340" s="16" t="s">
        <v>1582</v>
      </c>
      <c r="K1340" s="9"/>
      <c r="L1340" s="9" t="s">
        <v>1395</v>
      </c>
      <c r="M1340" s="152">
        <v>82337</v>
      </c>
      <c r="N1340" s="153">
        <v>0</v>
      </c>
      <c r="O1340" s="152">
        <v>0</v>
      </c>
      <c r="P1340" s="154">
        <v>0</v>
      </c>
      <c r="Q1340" s="152">
        <v>0</v>
      </c>
      <c r="R1340" s="9">
        <v>82337</v>
      </c>
      <c r="S1340" s="21" t="s">
        <v>1846</v>
      </c>
      <c r="T1340" s="117">
        <v>0</v>
      </c>
      <c r="U1340" s="117">
        <v>0</v>
      </c>
      <c r="V1340" s="117">
        <v>2024</v>
      </c>
      <c r="W1340" s="117">
        <v>7</v>
      </c>
      <c r="X1340" s="117">
        <v>0</v>
      </c>
      <c r="Y1340" s="117">
        <v>0</v>
      </c>
      <c r="Z1340" s="21" t="b">
        <v>0</v>
      </c>
      <c r="AA1340" s="162">
        <f>+$AD$5-Tabla2[[#This Row],[FECHA DE FACTURACIÓN]]</f>
        <v>133</v>
      </c>
      <c r="AB1340" s="163" t="str">
        <f>+IF(Tabla2[[#This Row],[dias de credito]]&gt;=Tabla2[[#This Row],[PLAZO Días]],"venc", "No venc")</f>
        <v>venc</v>
      </c>
      <c r="AC1340" s="163" t="str">
        <f>+IF(Tabla2[[#This Row],[FECHA DE PAGO]]&gt;0,"pagada","por pagar")</f>
        <v>pagada</v>
      </c>
      <c r="AD1340" s="164" t="str">
        <f>+IF(AND(Tabla2[[#This Row],[venc]]="venc",Tabla2[[#This Row],[estado pago]]="por pagar"),"vencida","no")</f>
        <v>no</v>
      </c>
    </row>
    <row r="1341" spans="1:30" ht="19.5" customHeight="1" x14ac:dyDescent="0.25">
      <c r="A1341" s="8" t="s">
        <v>1850</v>
      </c>
      <c r="B1341" s="8" t="b">
        <v>0</v>
      </c>
      <c r="C1341" s="8">
        <v>60</v>
      </c>
      <c r="D1341" s="151">
        <v>0</v>
      </c>
      <c r="E1341" s="151"/>
      <c r="F1341" s="24">
        <v>0</v>
      </c>
      <c r="G1341" s="30">
        <v>45357</v>
      </c>
      <c r="H1341" s="81" t="s">
        <v>1801</v>
      </c>
      <c r="I1341" s="30">
        <v>45324</v>
      </c>
      <c r="J1341" s="16" t="s">
        <v>1582</v>
      </c>
      <c r="K1341" s="9"/>
      <c r="L1341" s="9" t="s">
        <v>1395</v>
      </c>
      <c r="M1341" s="152">
        <v>313916</v>
      </c>
      <c r="N1341" s="153">
        <v>0</v>
      </c>
      <c r="O1341" s="152">
        <v>0</v>
      </c>
      <c r="P1341" s="154">
        <v>0</v>
      </c>
      <c r="Q1341" s="152">
        <v>0</v>
      </c>
      <c r="R1341" s="9">
        <v>313916</v>
      </c>
      <c r="S1341" s="21" t="s">
        <v>1846</v>
      </c>
      <c r="T1341" s="117">
        <v>0</v>
      </c>
      <c r="U1341" s="117">
        <v>0</v>
      </c>
      <c r="V1341" s="117">
        <v>2024</v>
      </c>
      <c r="W1341" s="117">
        <v>7</v>
      </c>
      <c r="X1341" s="117">
        <v>0</v>
      </c>
      <c r="Y1341" s="117">
        <v>0</v>
      </c>
      <c r="Z1341" s="21" t="b">
        <v>0</v>
      </c>
      <c r="AA1341" s="162">
        <f>+$AD$5-Tabla2[[#This Row],[FECHA DE FACTURACIÓN]]</f>
        <v>119</v>
      </c>
      <c r="AB1341" s="163" t="str">
        <f>+IF(Tabla2[[#This Row],[dias de credito]]&gt;=Tabla2[[#This Row],[PLAZO Días]],"venc", "No venc")</f>
        <v>venc</v>
      </c>
      <c r="AC1341" s="163" t="str">
        <f>+IF(Tabla2[[#This Row],[FECHA DE PAGO]]&gt;0,"pagada","por pagar")</f>
        <v>pagada</v>
      </c>
      <c r="AD1341" s="164" t="str">
        <f>+IF(AND(Tabla2[[#This Row],[venc]]="venc",Tabla2[[#This Row],[estado pago]]="por pagar"),"vencida","no")</f>
        <v>no</v>
      </c>
    </row>
    <row r="1342" spans="1:30" ht="19.5" customHeight="1" x14ac:dyDescent="0.25">
      <c r="A1342" s="8" t="s">
        <v>1850</v>
      </c>
      <c r="B1342" s="8" t="s">
        <v>1851</v>
      </c>
      <c r="C1342" s="8">
        <v>30</v>
      </c>
      <c r="D1342" s="151">
        <v>0</v>
      </c>
      <c r="E1342" s="151"/>
      <c r="F1342" s="24">
        <v>0</v>
      </c>
      <c r="G1342" s="30">
        <v>45357</v>
      </c>
      <c r="H1342" s="81" t="s">
        <v>1122</v>
      </c>
      <c r="I1342" s="30">
        <v>45324</v>
      </c>
      <c r="J1342" s="16" t="s">
        <v>1503</v>
      </c>
      <c r="K1342" s="9" t="s">
        <v>1530</v>
      </c>
      <c r="L1342" s="9" t="s">
        <v>1395</v>
      </c>
      <c r="M1342" s="152">
        <v>830</v>
      </c>
      <c r="N1342" s="153">
        <v>0</v>
      </c>
      <c r="O1342" s="152">
        <v>0</v>
      </c>
      <c r="P1342" s="154">
        <v>0</v>
      </c>
      <c r="Q1342" s="152">
        <v>0</v>
      </c>
      <c r="R1342" s="9">
        <v>830</v>
      </c>
      <c r="S1342" s="21" t="s">
        <v>1846</v>
      </c>
      <c r="T1342" s="117">
        <v>0</v>
      </c>
      <c r="U1342" s="117">
        <v>0</v>
      </c>
      <c r="V1342" s="117">
        <v>2024</v>
      </c>
      <c r="W1342" s="117">
        <v>7</v>
      </c>
      <c r="X1342" s="117">
        <v>0</v>
      </c>
      <c r="Y1342" s="117">
        <v>0</v>
      </c>
      <c r="Z1342" s="21" t="b">
        <v>0</v>
      </c>
      <c r="AA1342" s="162">
        <f>+$AD$5-Tabla2[[#This Row],[FECHA DE FACTURACIÓN]]</f>
        <v>119</v>
      </c>
      <c r="AB1342" s="163" t="str">
        <f>+IF(Tabla2[[#This Row],[dias de credito]]&gt;=Tabla2[[#This Row],[PLAZO Días]],"venc", "No venc")</f>
        <v>venc</v>
      </c>
      <c r="AC1342" s="163" t="str">
        <f>+IF(Tabla2[[#This Row],[FECHA DE PAGO]]&gt;0,"pagada","por pagar")</f>
        <v>pagada</v>
      </c>
      <c r="AD1342" s="164" t="str">
        <f>+IF(AND(Tabla2[[#This Row],[venc]]="venc",Tabla2[[#This Row],[estado pago]]="por pagar"),"vencida","no")</f>
        <v>no</v>
      </c>
    </row>
    <row r="1343" spans="1:30" ht="19.5" customHeight="1" x14ac:dyDescent="0.25">
      <c r="A1343" s="8" t="s">
        <v>1850</v>
      </c>
      <c r="B1343" s="8" t="s">
        <v>1851</v>
      </c>
      <c r="C1343" s="8">
        <v>30</v>
      </c>
      <c r="D1343" s="151">
        <v>0</v>
      </c>
      <c r="E1343" s="151"/>
      <c r="F1343" s="24">
        <v>0</v>
      </c>
      <c r="G1343" s="30">
        <v>45357</v>
      </c>
      <c r="H1343" s="81" t="s">
        <v>1122</v>
      </c>
      <c r="I1343" s="30">
        <v>45324</v>
      </c>
      <c r="J1343" s="16" t="s">
        <v>1503</v>
      </c>
      <c r="K1343" s="9" t="s">
        <v>1530</v>
      </c>
      <c r="L1343" s="9" t="s">
        <v>1395</v>
      </c>
      <c r="M1343" s="152">
        <v>70252</v>
      </c>
      <c r="N1343" s="153">
        <v>0</v>
      </c>
      <c r="O1343" s="152">
        <v>0</v>
      </c>
      <c r="P1343" s="154">
        <v>0</v>
      </c>
      <c r="Q1343" s="152">
        <v>0</v>
      </c>
      <c r="R1343" s="9">
        <v>70252</v>
      </c>
      <c r="S1343" s="21" t="s">
        <v>1846</v>
      </c>
      <c r="T1343" s="117">
        <v>0</v>
      </c>
      <c r="U1343" s="117">
        <v>0</v>
      </c>
      <c r="V1343" s="117">
        <v>2024</v>
      </c>
      <c r="W1343" s="117">
        <v>7</v>
      </c>
      <c r="X1343" s="117">
        <v>0</v>
      </c>
      <c r="Y1343" s="117">
        <v>0</v>
      </c>
      <c r="Z1343" s="21" t="b">
        <v>0</v>
      </c>
      <c r="AA1343" s="162">
        <f>+$AD$5-Tabla2[[#This Row],[FECHA DE FACTURACIÓN]]</f>
        <v>119</v>
      </c>
      <c r="AB1343" s="163" t="str">
        <f>+IF(Tabla2[[#This Row],[dias de credito]]&gt;=Tabla2[[#This Row],[PLAZO Días]],"venc", "No venc")</f>
        <v>venc</v>
      </c>
      <c r="AC1343" s="163" t="str">
        <f>+IF(Tabla2[[#This Row],[FECHA DE PAGO]]&gt;0,"pagada","por pagar")</f>
        <v>pagada</v>
      </c>
      <c r="AD1343" s="164" t="str">
        <f>+IF(AND(Tabla2[[#This Row],[venc]]="venc",Tabla2[[#This Row],[estado pago]]="por pagar"),"vencida","no")</f>
        <v>no</v>
      </c>
    </row>
    <row r="1344" spans="1:30" ht="19.5" customHeight="1" x14ac:dyDescent="0.25">
      <c r="A1344" s="8" t="s">
        <v>1850</v>
      </c>
      <c r="B1344" s="8" t="s">
        <v>1851</v>
      </c>
      <c r="C1344" s="8">
        <v>30</v>
      </c>
      <c r="D1344" s="151">
        <v>0</v>
      </c>
      <c r="E1344" s="151"/>
      <c r="F1344" s="24">
        <v>0</v>
      </c>
      <c r="G1344" s="30">
        <v>45357</v>
      </c>
      <c r="H1344" s="81" t="s">
        <v>1122</v>
      </c>
      <c r="I1344" s="30">
        <v>45324</v>
      </c>
      <c r="J1344" s="16" t="s">
        <v>1503</v>
      </c>
      <c r="K1344" s="9" t="s">
        <v>1530</v>
      </c>
      <c r="L1344" s="9" t="s">
        <v>1395</v>
      </c>
      <c r="M1344" s="152">
        <v>81507</v>
      </c>
      <c r="N1344" s="153">
        <v>0</v>
      </c>
      <c r="O1344" s="152">
        <v>0</v>
      </c>
      <c r="P1344" s="154">
        <v>0</v>
      </c>
      <c r="Q1344" s="152">
        <v>0</v>
      </c>
      <c r="R1344" s="9">
        <v>81507</v>
      </c>
      <c r="S1344" s="21" t="s">
        <v>1846</v>
      </c>
      <c r="T1344" s="117">
        <v>0</v>
      </c>
      <c r="U1344" s="117">
        <v>0</v>
      </c>
      <c r="V1344" s="117">
        <v>2024</v>
      </c>
      <c r="W1344" s="117">
        <v>7</v>
      </c>
      <c r="X1344" s="117">
        <v>0</v>
      </c>
      <c r="Y1344" s="117">
        <v>0</v>
      </c>
      <c r="Z1344" s="21" t="b">
        <v>0</v>
      </c>
      <c r="AA1344" s="162">
        <f>+$AD$5-Tabla2[[#This Row],[FECHA DE FACTURACIÓN]]</f>
        <v>119</v>
      </c>
      <c r="AB1344" s="163" t="str">
        <f>+IF(Tabla2[[#This Row],[dias de credito]]&gt;=Tabla2[[#This Row],[PLAZO Días]],"venc", "No venc")</f>
        <v>venc</v>
      </c>
      <c r="AC1344" s="163" t="str">
        <f>+IF(Tabla2[[#This Row],[FECHA DE PAGO]]&gt;0,"pagada","por pagar")</f>
        <v>pagada</v>
      </c>
      <c r="AD1344" s="164" t="str">
        <f>+IF(AND(Tabla2[[#This Row],[venc]]="venc",Tabla2[[#This Row],[estado pago]]="por pagar"),"vencida","no")</f>
        <v>no</v>
      </c>
    </row>
    <row r="1345" spans="1:30" ht="19.5" customHeight="1" x14ac:dyDescent="0.25">
      <c r="A1345" s="8" t="s">
        <v>1850</v>
      </c>
      <c r="B1345" s="8" t="s">
        <v>1851</v>
      </c>
      <c r="C1345" s="8">
        <v>30</v>
      </c>
      <c r="D1345" s="151">
        <v>0</v>
      </c>
      <c r="E1345" s="151"/>
      <c r="F1345" s="24">
        <v>0</v>
      </c>
      <c r="G1345" s="30">
        <v>45357</v>
      </c>
      <c r="H1345" s="81" t="s">
        <v>1122</v>
      </c>
      <c r="I1345" s="30">
        <v>45324</v>
      </c>
      <c r="J1345" s="16" t="s">
        <v>1503</v>
      </c>
      <c r="K1345" s="9" t="s">
        <v>1530</v>
      </c>
      <c r="L1345" s="9" t="s">
        <v>1395</v>
      </c>
      <c r="M1345" s="152">
        <v>343916</v>
      </c>
      <c r="N1345" s="153">
        <v>0</v>
      </c>
      <c r="O1345" s="152">
        <v>0</v>
      </c>
      <c r="P1345" s="154">
        <v>0</v>
      </c>
      <c r="Q1345" s="152">
        <v>0</v>
      </c>
      <c r="R1345" s="9">
        <v>343916</v>
      </c>
      <c r="S1345" s="21" t="s">
        <v>1846</v>
      </c>
      <c r="T1345" s="117">
        <v>0</v>
      </c>
      <c r="U1345" s="117">
        <v>0</v>
      </c>
      <c r="V1345" s="117">
        <v>2024</v>
      </c>
      <c r="W1345" s="117">
        <v>7</v>
      </c>
      <c r="X1345" s="117">
        <v>0</v>
      </c>
      <c r="Y1345" s="117">
        <v>0</v>
      </c>
      <c r="Z1345" s="21" t="b">
        <v>0</v>
      </c>
      <c r="AA1345" s="162">
        <f>+$AD$5-Tabla2[[#This Row],[FECHA DE FACTURACIÓN]]</f>
        <v>119</v>
      </c>
      <c r="AB1345" s="163" t="str">
        <f>+IF(Tabla2[[#This Row],[dias de credito]]&gt;=Tabla2[[#This Row],[PLAZO Días]],"venc", "No venc")</f>
        <v>venc</v>
      </c>
      <c r="AC1345" s="163" t="str">
        <f>+IF(Tabla2[[#This Row],[FECHA DE PAGO]]&gt;0,"pagada","por pagar")</f>
        <v>pagada</v>
      </c>
      <c r="AD1345" s="164" t="str">
        <f>+IF(AND(Tabla2[[#This Row],[venc]]="venc",Tabla2[[#This Row],[estado pago]]="por pagar"),"vencida","no")</f>
        <v>no</v>
      </c>
    </row>
    <row r="1346" spans="1:30" ht="19.5" customHeight="1" x14ac:dyDescent="0.25">
      <c r="A1346" s="8" t="s">
        <v>1852</v>
      </c>
      <c r="B1346" s="8" t="b">
        <v>0</v>
      </c>
      <c r="C1346" s="8">
        <v>30</v>
      </c>
      <c r="D1346" s="151">
        <v>0</v>
      </c>
      <c r="E1346" s="151"/>
      <c r="F1346" s="24" t="s">
        <v>84</v>
      </c>
      <c r="G1346" s="30">
        <v>45357</v>
      </c>
      <c r="H1346" s="81" t="s">
        <v>1824</v>
      </c>
      <c r="I1346" s="30">
        <v>45357</v>
      </c>
      <c r="J1346" s="16"/>
      <c r="K1346" s="9" t="s">
        <v>1530</v>
      </c>
      <c r="L1346" s="9" t="s">
        <v>1395</v>
      </c>
      <c r="M1346" s="152">
        <v>1259000</v>
      </c>
      <c r="N1346" s="153">
        <v>0</v>
      </c>
      <c r="O1346" s="152">
        <v>0</v>
      </c>
      <c r="P1346" s="154">
        <v>0</v>
      </c>
      <c r="Q1346" s="152">
        <v>0</v>
      </c>
      <c r="R1346" s="9">
        <v>1259000</v>
      </c>
      <c r="S1346" s="21" t="s">
        <v>1846</v>
      </c>
      <c r="T1346" s="117">
        <v>0</v>
      </c>
      <c r="U1346" s="117">
        <v>0</v>
      </c>
      <c r="V1346" s="117">
        <v>2024</v>
      </c>
      <c r="W1346" s="117">
        <v>7</v>
      </c>
      <c r="X1346" s="117">
        <v>0</v>
      </c>
      <c r="Y1346" s="117">
        <v>0</v>
      </c>
      <c r="Z1346" s="21" t="b">
        <v>0</v>
      </c>
      <c r="AA1346" s="162">
        <f>+$AD$5-Tabla2[[#This Row],[FECHA DE FACTURACIÓN]]</f>
        <v>86</v>
      </c>
      <c r="AB1346" s="163" t="str">
        <f>+IF(Tabla2[[#This Row],[dias de credito]]&gt;=Tabla2[[#This Row],[PLAZO Días]],"venc", "No venc")</f>
        <v>venc</v>
      </c>
      <c r="AC1346" s="163" t="str">
        <f>+IF(Tabla2[[#This Row],[FECHA DE PAGO]]&gt;0,"pagada","por pagar")</f>
        <v>pagada</v>
      </c>
      <c r="AD1346" s="164" t="str">
        <f>+IF(AND(Tabla2[[#This Row],[venc]]="venc",Tabla2[[#This Row],[estado pago]]="por pagar"),"vencida","no")</f>
        <v>no</v>
      </c>
    </row>
    <row r="1347" spans="1:30" ht="19.5" customHeight="1" x14ac:dyDescent="0.25">
      <c r="A1347" s="8" t="s">
        <v>1850</v>
      </c>
      <c r="B1347" s="8" t="b">
        <v>0</v>
      </c>
      <c r="C1347" s="8">
        <v>60</v>
      </c>
      <c r="D1347" s="151">
        <v>0</v>
      </c>
      <c r="E1347" s="151"/>
      <c r="F1347" s="24" t="s">
        <v>399</v>
      </c>
      <c r="G1347" s="30">
        <v>45358</v>
      </c>
      <c r="H1347" s="81" t="s">
        <v>65</v>
      </c>
      <c r="I1347" s="30">
        <v>45357</v>
      </c>
      <c r="J1347" s="16" t="s">
        <v>1644</v>
      </c>
      <c r="K1347" s="9" t="s">
        <v>1530</v>
      </c>
      <c r="L1347" s="9" t="s">
        <v>1395</v>
      </c>
      <c r="M1347" s="152">
        <v>8000000</v>
      </c>
      <c r="N1347" s="153">
        <v>1520000</v>
      </c>
      <c r="O1347" s="152">
        <v>0</v>
      </c>
      <c r="P1347" s="154">
        <v>2.5000000000000001E-2</v>
      </c>
      <c r="Q1347" s="152">
        <v>200000</v>
      </c>
      <c r="R1347" s="9">
        <v>9320000</v>
      </c>
      <c r="S1347" s="21" t="s">
        <v>1846</v>
      </c>
      <c r="T1347" s="117">
        <v>0</v>
      </c>
      <c r="U1347" s="117" t="s">
        <v>347</v>
      </c>
      <c r="V1347" s="117">
        <v>2024</v>
      </c>
      <c r="W1347" s="117">
        <v>7</v>
      </c>
      <c r="X1347" s="117">
        <v>1271000</v>
      </c>
      <c r="Y1347" s="117">
        <v>2.5000000000000001E-2</v>
      </c>
      <c r="Z1347" s="21" t="b">
        <v>0</v>
      </c>
      <c r="AA1347" s="162">
        <f>+$AD$5-Tabla2[[#This Row],[FECHA DE FACTURACIÓN]]</f>
        <v>86</v>
      </c>
      <c r="AB1347" s="163" t="str">
        <f>+IF(Tabla2[[#This Row],[dias de credito]]&gt;=Tabla2[[#This Row],[PLAZO Días]],"venc", "No venc")</f>
        <v>venc</v>
      </c>
      <c r="AC1347" s="163" t="str">
        <f>+IF(Tabla2[[#This Row],[FECHA DE PAGO]]&gt;0,"pagada","por pagar")</f>
        <v>pagada</v>
      </c>
      <c r="AD1347" s="164" t="str">
        <f>+IF(AND(Tabla2[[#This Row],[venc]]="venc",Tabla2[[#This Row],[estado pago]]="por pagar"),"vencida","no")</f>
        <v>no</v>
      </c>
    </row>
    <row r="1348" spans="1:30" ht="19.5" customHeight="1" x14ac:dyDescent="0.25">
      <c r="A1348" s="8" t="s">
        <v>1852</v>
      </c>
      <c r="B1348" s="8" t="b">
        <v>0</v>
      </c>
      <c r="C1348" s="8">
        <v>30</v>
      </c>
      <c r="D1348" s="151">
        <v>0</v>
      </c>
      <c r="E1348" s="151"/>
      <c r="F1348" s="24" t="s">
        <v>84</v>
      </c>
      <c r="G1348" s="30">
        <v>45358</v>
      </c>
      <c r="H1348" s="81" t="s">
        <v>1824</v>
      </c>
      <c r="I1348" s="30">
        <v>45358</v>
      </c>
      <c r="J1348" s="16"/>
      <c r="K1348" s="9" t="s">
        <v>1530</v>
      </c>
      <c r="L1348" s="9" t="s">
        <v>1395</v>
      </c>
      <c r="M1348" s="152">
        <v>1334700</v>
      </c>
      <c r="N1348" s="153">
        <v>0</v>
      </c>
      <c r="O1348" s="152">
        <v>0</v>
      </c>
      <c r="P1348" s="154">
        <v>0</v>
      </c>
      <c r="Q1348" s="152">
        <v>0</v>
      </c>
      <c r="R1348" s="9">
        <v>1334700</v>
      </c>
      <c r="S1348" s="21" t="s">
        <v>1846</v>
      </c>
      <c r="T1348" s="117">
        <v>0</v>
      </c>
      <c r="U1348" s="117">
        <v>0</v>
      </c>
      <c r="V1348" s="117">
        <v>2024</v>
      </c>
      <c r="W1348" s="117">
        <v>7</v>
      </c>
      <c r="X1348" s="117">
        <v>0</v>
      </c>
      <c r="Y1348" s="117">
        <v>0</v>
      </c>
      <c r="Z1348" s="21" t="b">
        <v>0</v>
      </c>
      <c r="AA1348" s="162">
        <f>+$AD$5-Tabla2[[#This Row],[FECHA DE FACTURACIÓN]]</f>
        <v>85</v>
      </c>
      <c r="AB1348" s="163" t="str">
        <f>+IF(Tabla2[[#This Row],[dias de credito]]&gt;=Tabla2[[#This Row],[PLAZO Días]],"venc", "No venc")</f>
        <v>venc</v>
      </c>
      <c r="AC1348" s="163" t="str">
        <f>+IF(Tabla2[[#This Row],[FECHA DE PAGO]]&gt;0,"pagada","por pagar")</f>
        <v>pagada</v>
      </c>
      <c r="AD1348" s="164" t="str">
        <f>+IF(AND(Tabla2[[#This Row],[venc]]="venc",Tabla2[[#This Row],[estado pago]]="por pagar"),"vencida","no")</f>
        <v>no</v>
      </c>
    </row>
    <row r="1349" spans="1:30" ht="19.5" customHeight="1" x14ac:dyDescent="0.25">
      <c r="A1349" s="8" t="s">
        <v>1850</v>
      </c>
      <c r="B1349" s="8" t="b">
        <v>0</v>
      </c>
      <c r="C1349" s="8">
        <v>180</v>
      </c>
      <c r="D1349" s="151">
        <v>0</v>
      </c>
      <c r="E1349" s="151"/>
      <c r="F1349" s="24" t="s">
        <v>219</v>
      </c>
      <c r="G1349" s="30">
        <v>45359</v>
      </c>
      <c r="H1349" s="81" t="s">
        <v>370</v>
      </c>
      <c r="I1349" s="30">
        <v>45330</v>
      </c>
      <c r="J1349" s="16" t="s">
        <v>1556</v>
      </c>
      <c r="K1349" s="9" t="s">
        <v>1530</v>
      </c>
      <c r="L1349" s="9" t="s">
        <v>1533</v>
      </c>
      <c r="M1349" s="152">
        <v>234116</v>
      </c>
      <c r="N1349" s="153">
        <v>11705.800000000001</v>
      </c>
      <c r="O1349" s="152">
        <v>0</v>
      </c>
      <c r="P1349" s="154">
        <v>0</v>
      </c>
      <c r="Q1349" s="152">
        <v>0</v>
      </c>
      <c r="R1349" s="9">
        <v>245821.8</v>
      </c>
      <c r="S1349" s="21" t="s">
        <v>1846</v>
      </c>
      <c r="T1349" s="117">
        <v>0</v>
      </c>
      <c r="U1349" s="117" t="s">
        <v>347</v>
      </c>
      <c r="V1349" s="117">
        <v>2024</v>
      </c>
      <c r="W1349" s="117">
        <v>7</v>
      </c>
      <c r="X1349" s="117">
        <v>1271000</v>
      </c>
      <c r="Y1349" s="117">
        <v>2.5000000000000001E-2</v>
      </c>
      <c r="Z1349" s="21" t="b">
        <v>1</v>
      </c>
      <c r="AA1349" s="162">
        <f>+$AD$5-Tabla2[[#This Row],[FECHA DE FACTURACIÓN]]</f>
        <v>113</v>
      </c>
      <c r="AB1349" s="163" t="str">
        <f>+IF(Tabla2[[#This Row],[dias de credito]]&gt;=Tabla2[[#This Row],[PLAZO Días]],"venc", "No venc")</f>
        <v>No venc</v>
      </c>
      <c r="AC1349" s="163" t="str">
        <f>+IF(Tabla2[[#This Row],[FECHA DE PAGO]]&gt;0,"pagada","por pagar")</f>
        <v>pagada</v>
      </c>
      <c r="AD1349" s="164" t="str">
        <f>+IF(AND(Tabla2[[#This Row],[venc]]="venc",Tabla2[[#This Row],[estado pago]]="por pagar"),"vencida","no")</f>
        <v>no</v>
      </c>
    </row>
    <row r="1350" spans="1:30" ht="19.5" customHeight="1" x14ac:dyDescent="0.25">
      <c r="A1350" s="8" t="s">
        <v>1850</v>
      </c>
      <c r="B1350" s="8" t="s">
        <v>1851</v>
      </c>
      <c r="C1350" s="8">
        <v>30</v>
      </c>
      <c r="D1350" s="151">
        <v>0</v>
      </c>
      <c r="E1350" s="151"/>
      <c r="F1350" s="24" t="s">
        <v>253</v>
      </c>
      <c r="G1350" s="30">
        <v>45362</v>
      </c>
      <c r="H1350" s="81" t="s">
        <v>368</v>
      </c>
      <c r="I1350" s="30">
        <v>45329</v>
      </c>
      <c r="J1350" s="16" t="s">
        <v>1548</v>
      </c>
      <c r="K1350" s="9" t="s">
        <v>1530</v>
      </c>
      <c r="L1350" s="9" t="s">
        <v>1533</v>
      </c>
      <c r="M1350" s="152">
        <v>-66719</v>
      </c>
      <c r="N1350" s="153">
        <v>-12676.61</v>
      </c>
      <c r="O1350" s="152">
        <v>0</v>
      </c>
      <c r="P1350" s="154">
        <v>0</v>
      </c>
      <c r="Q1350" s="152">
        <v>0</v>
      </c>
      <c r="R1350" s="9">
        <v>-79395.61</v>
      </c>
      <c r="S1350" s="21" t="s">
        <v>1846</v>
      </c>
      <c r="T1350" s="117">
        <v>0</v>
      </c>
      <c r="U1350" s="117">
        <v>0</v>
      </c>
      <c r="V1350" s="117">
        <v>2024</v>
      </c>
      <c r="W1350" s="117">
        <v>7</v>
      </c>
      <c r="X1350" s="117">
        <v>0</v>
      </c>
      <c r="Y1350" s="117">
        <v>0</v>
      </c>
      <c r="Z1350" s="21" t="b">
        <v>1</v>
      </c>
      <c r="AA1350" s="162">
        <f>+$AD$5-Tabla2[[#This Row],[FECHA DE FACTURACIÓN]]</f>
        <v>114</v>
      </c>
      <c r="AB1350" s="163" t="str">
        <f>+IF(Tabla2[[#This Row],[dias de credito]]&gt;=Tabla2[[#This Row],[PLAZO Días]],"venc", "No venc")</f>
        <v>venc</v>
      </c>
      <c r="AC1350" s="163" t="str">
        <f>+IF(Tabla2[[#This Row],[FECHA DE PAGO]]&gt;0,"pagada","por pagar")</f>
        <v>pagada</v>
      </c>
      <c r="AD1350" s="164" t="str">
        <f>+IF(AND(Tabla2[[#This Row],[venc]]="venc",Tabla2[[#This Row],[estado pago]]="por pagar"),"vencida","no")</f>
        <v>no</v>
      </c>
    </row>
    <row r="1351" spans="1:30" ht="19.5" customHeight="1" x14ac:dyDescent="0.25">
      <c r="A1351" s="8" t="s">
        <v>1850</v>
      </c>
      <c r="B1351" s="8" t="b">
        <v>0</v>
      </c>
      <c r="C1351" s="8">
        <v>30</v>
      </c>
      <c r="D1351" s="151">
        <v>0</v>
      </c>
      <c r="E1351" s="151"/>
      <c r="F1351" s="24" t="s">
        <v>253</v>
      </c>
      <c r="G1351" s="30">
        <v>45362</v>
      </c>
      <c r="H1351" s="81" t="s">
        <v>368</v>
      </c>
      <c r="I1351" s="30">
        <v>45352</v>
      </c>
      <c r="J1351" s="16" t="s">
        <v>1631</v>
      </c>
      <c r="K1351" s="9" t="s">
        <v>1530</v>
      </c>
      <c r="L1351" s="9" t="s">
        <v>1534</v>
      </c>
      <c r="M1351" s="152">
        <v>3792544</v>
      </c>
      <c r="N1351" s="153">
        <v>720583.36</v>
      </c>
      <c r="O1351" s="152">
        <v>0</v>
      </c>
      <c r="P1351" s="154">
        <v>0</v>
      </c>
      <c r="Q1351" s="152">
        <v>0</v>
      </c>
      <c r="R1351" s="9">
        <v>4513127.3600000003</v>
      </c>
      <c r="S1351" s="21" t="s">
        <v>1846</v>
      </c>
      <c r="T1351" s="117">
        <v>0</v>
      </c>
      <c r="U1351" s="117">
        <v>0</v>
      </c>
      <c r="V1351" s="117">
        <v>2024</v>
      </c>
      <c r="W1351" s="117">
        <v>7</v>
      </c>
      <c r="X1351" s="117">
        <v>0</v>
      </c>
      <c r="Y1351" s="117">
        <v>0</v>
      </c>
      <c r="Z1351" s="21" t="b">
        <v>1</v>
      </c>
      <c r="AA1351" s="162">
        <f>+$AD$5-Tabla2[[#This Row],[FECHA DE FACTURACIÓN]]</f>
        <v>91</v>
      </c>
      <c r="AB1351" s="163" t="str">
        <f>+IF(Tabla2[[#This Row],[dias de credito]]&gt;=Tabla2[[#This Row],[PLAZO Días]],"venc", "No venc")</f>
        <v>venc</v>
      </c>
      <c r="AC1351" s="163" t="str">
        <f>+IF(Tabla2[[#This Row],[FECHA DE PAGO]]&gt;0,"pagada","por pagar")</f>
        <v>pagada</v>
      </c>
      <c r="AD1351" s="164" t="str">
        <f>+IF(AND(Tabla2[[#This Row],[venc]]="venc",Tabla2[[#This Row],[estado pago]]="por pagar"),"vencida","no")</f>
        <v>no</v>
      </c>
    </row>
    <row r="1352" spans="1:30" ht="19.5" customHeight="1" x14ac:dyDescent="0.25">
      <c r="A1352" s="8" t="s">
        <v>1850</v>
      </c>
      <c r="B1352" s="8" t="b">
        <v>0</v>
      </c>
      <c r="C1352" s="8">
        <v>30</v>
      </c>
      <c r="D1352" s="151">
        <v>0</v>
      </c>
      <c r="E1352" s="151"/>
      <c r="F1352" s="24" t="s">
        <v>253</v>
      </c>
      <c r="G1352" s="30">
        <v>45362</v>
      </c>
      <c r="H1352" s="81" t="s">
        <v>368</v>
      </c>
      <c r="I1352" s="30">
        <v>45352</v>
      </c>
      <c r="J1352" s="16" t="s">
        <v>1635</v>
      </c>
      <c r="K1352" s="9" t="s">
        <v>1530</v>
      </c>
      <c r="L1352" s="9" t="s">
        <v>1533</v>
      </c>
      <c r="M1352" s="152">
        <v>927604</v>
      </c>
      <c r="N1352" s="153">
        <v>176244.76</v>
      </c>
      <c r="O1352" s="152">
        <v>0</v>
      </c>
      <c r="P1352" s="154">
        <v>0.04</v>
      </c>
      <c r="Q1352" s="152">
        <v>37104.160000000003</v>
      </c>
      <c r="R1352" s="9">
        <v>1066744.6000000001</v>
      </c>
      <c r="S1352" s="21" t="s">
        <v>1846</v>
      </c>
      <c r="T1352" s="117">
        <v>0</v>
      </c>
      <c r="U1352" s="117">
        <v>0</v>
      </c>
      <c r="V1352" s="117">
        <v>2024</v>
      </c>
      <c r="W1352" s="117">
        <v>7</v>
      </c>
      <c r="X1352" s="117">
        <v>0</v>
      </c>
      <c r="Y1352" s="117">
        <v>0</v>
      </c>
      <c r="Z1352" s="21" t="b">
        <v>1</v>
      </c>
      <c r="AA1352" s="162">
        <f>+$AD$5-Tabla2[[#This Row],[FECHA DE FACTURACIÓN]]</f>
        <v>91</v>
      </c>
      <c r="AB1352" s="163" t="str">
        <f>+IF(Tabla2[[#This Row],[dias de credito]]&gt;=Tabla2[[#This Row],[PLAZO Días]],"venc", "No venc")</f>
        <v>venc</v>
      </c>
      <c r="AC1352" s="163" t="str">
        <f>+IF(Tabla2[[#This Row],[FECHA DE PAGO]]&gt;0,"pagada","por pagar")</f>
        <v>pagada</v>
      </c>
      <c r="AD1352" s="164" t="str">
        <f>+IF(AND(Tabla2[[#This Row],[venc]]="venc",Tabla2[[#This Row],[estado pago]]="por pagar"),"vencida","no")</f>
        <v>no</v>
      </c>
    </row>
    <row r="1353" spans="1:30" ht="19.5" customHeight="1" x14ac:dyDescent="0.25">
      <c r="A1353" s="8" t="s">
        <v>1850</v>
      </c>
      <c r="B1353" s="8" t="b">
        <v>0</v>
      </c>
      <c r="C1353" s="8">
        <v>30</v>
      </c>
      <c r="D1353" s="151">
        <v>0</v>
      </c>
      <c r="E1353" s="151"/>
      <c r="F1353" s="24" t="s">
        <v>268</v>
      </c>
      <c r="G1353" s="30">
        <v>45362</v>
      </c>
      <c r="H1353" s="81" t="s">
        <v>376</v>
      </c>
      <c r="I1353" s="30">
        <v>45352</v>
      </c>
      <c r="J1353" s="16" t="s">
        <v>1634</v>
      </c>
      <c r="K1353" s="9" t="s">
        <v>1530</v>
      </c>
      <c r="L1353" s="9" t="s">
        <v>1533</v>
      </c>
      <c r="M1353" s="152">
        <v>357058</v>
      </c>
      <c r="N1353" s="153">
        <v>0</v>
      </c>
      <c r="O1353" s="152">
        <v>10697</v>
      </c>
      <c r="P1353" s="154">
        <v>0</v>
      </c>
      <c r="Q1353" s="152">
        <v>0</v>
      </c>
      <c r="R1353" s="9">
        <v>346361</v>
      </c>
      <c r="S1353" s="21" t="s">
        <v>1846</v>
      </c>
      <c r="T1353" s="117">
        <v>0</v>
      </c>
      <c r="U1353" s="117">
        <v>0</v>
      </c>
      <c r="V1353" s="117">
        <v>2024</v>
      </c>
      <c r="W1353" s="117">
        <v>7</v>
      </c>
      <c r="X1353" s="117">
        <v>0</v>
      </c>
      <c r="Y1353" s="117">
        <v>0</v>
      </c>
      <c r="Z1353" s="21" t="b">
        <v>1</v>
      </c>
      <c r="AA1353" s="162">
        <f>+$AD$5-Tabla2[[#This Row],[FECHA DE FACTURACIÓN]]</f>
        <v>91</v>
      </c>
      <c r="AB1353" s="163" t="str">
        <f>+IF(Tabla2[[#This Row],[dias de credito]]&gt;=Tabla2[[#This Row],[PLAZO Días]],"venc", "No venc")</f>
        <v>venc</v>
      </c>
      <c r="AC1353" s="163" t="str">
        <f>+IF(Tabla2[[#This Row],[FECHA DE PAGO]]&gt;0,"pagada","por pagar")</f>
        <v>pagada</v>
      </c>
      <c r="AD1353" s="164" t="str">
        <f>+IF(AND(Tabla2[[#This Row],[venc]]="venc",Tabla2[[#This Row],[estado pago]]="por pagar"),"vencida","no")</f>
        <v>no</v>
      </c>
    </row>
    <row r="1354" spans="1:30" ht="19.5" customHeight="1" x14ac:dyDescent="0.25">
      <c r="A1354" s="8" t="s">
        <v>1850</v>
      </c>
      <c r="B1354" s="8" t="b">
        <v>0</v>
      </c>
      <c r="C1354" s="8">
        <v>30</v>
      </c>
      <c r="D1354" s="151">
        <v>0</v>
      </c>
      <c r="E1354" s="151"/>
      <c r="F1354" s="24" t="s">
        <v>206</v>
      </c>
      <c r="G1354" s="30">
        <v>45362</v>
      </c>
      <c r="H1354" s="81" t="s">
        <v>380</v>
      </c>
      <c r="I1354" s="30">
        <v>45352</v>
      </c>
      <c r="J1354" s="16" t="s">
        <v>1627</v>
      </c>
      <c r="K1354" s="9" t="s">
        <v>504</v>
      </c>
      <c r="L1354" s="9" t="s">
        <v>1534</v>
      </c>
      <c r="M1354" s="152">
        <v>3456200</v>
      </c>
      <c r="N1354" s="153">
        <v>0</v>
      </c>
      <c r="O1354" s="152">
        <v>10697</v>
      </c>
      <c r="P1354" s="154">
        <v>3.5000000000000003E-2</v>
      </c>
      <c r="Q1354" s="152">
        <v>120967.00000000001</v>
      </c>
      <c r="R1354" s="9">
        <v>3324536</v>
      </c>
      <c r="S1354" s="21" t="s">
        <v>1846</v>
      </c>
      <c r="T1354" s="117">
        <v>0</v>
      </c>
      <c r="U1354" s="117" t="s">
        <v>348</v>
      </c>
      <c r="V1354" s="117">
        <v>2024</v>
      </c>
      <c r="W1354" s="117">
        <v>7</v>
      </c>
      <c r="X1354" s="117">
        <v>0</v>
      </c>
      <c r="Y1354" s="117">
        <v>3.5000000000000003E-2</v>
      </c>
      <c r="Z1354" s="21" t="b">
        <v>1</v>
      </c>
      <c r="AA1354" s="162">
        <f>+$AD$5-Tabla2[[#This Row],[FECHA DE FACTURACIÓN]]</f>
        <v>91</v>
      </c>
      <c r="AB1354" s="163" t="str">
        <f>+IF(Tabla2[[#This Row],[dias de credito]]&gt;=Tabla2[[#This Row],[PLAZO Días]],"venc", "No venc")</f>
        <v>venc</v>
      </c>
      <c r="AC1354" s="163" t="str">
        <f>+IF(Tabla2[[#This Row],[FECHA DE PAGO]]&gt;0,"pagada","por pagar")</f>
        <v>pagada</v>
      </c>
      <c r="AD1354" s="164" t="str">
        <f>+IF(AND(Tabla2[[#This Row],[venc]]="venc",Tabla2[[#This Row],[estado pago]]="por pagar"),"vencida","no")</f>
        <v>no</v>
      </c>
    </row>
    <row r="1355" spans="1:30" ht="19.5" customHeight="1" x14ac:dyDescent="0.25">
      <c r="A1355" s="8" t="s">
        <v>1850</v>
      </c>
      <c r="B1355" s="8" t="b">
        <v>0</v>
      </c>
      <c r="C1355" s="8">
        <v>30</v>
      </c>
      <c r="D1355" s="151">
        <v>0</v>
      </c>
      <c r="E1355" s="151"/>
      <c r="F1355" s="24" t="s">
        <v>414</v>
      </c>
      <c r="G1355" s="30">
        <v>45362</v>
      </c>
      <c r="H1355" s="81" t="s">
        <v>382</v>
      </c>
      <c r="I1355" s="30">
        <v>45352</v>
      </c>
      <c r="J1355" s="16" t="s">
        <v>1632</v>
      </c>
      <c r="K1355" s="9" t="s">
        <v>1530</v>
      </c>
      <c r="L1355" s="9" t="s">
        <v>1533</v>
      </c>
      <c r="M1355" s="152">
        <v>1047050</v>
      </c>
      <c r="N1355" s="153">
        <v>0</v>
      </c>
      <c r="O1355" s="152">
        <v>0</v>
      </c>
      <c r="P1355" s="154">
        <v>0</v>
      </c>
      <c r="Q1355" s="152">
        <v>0</v>
      </c>
      <c r="R1355" s="9">
        <v>1047050</v>
      </c>
      <c r="S1355" s="21" t="s">
        <v>1846</v>
      </c>
      <c r="T1355" s="117">
        <v>0</v>
      </c>
      <c r="U1355" s="117">
        <v>0</v>
      </c>
      <c r="V1355" s="117">
        <v>2024</v>
      </c>
      <c r="W1355" s="117">
        <v>7</v>
      </c>
      <c r="X1355" s="117">
        <v>0</v>
      </c>
      <c r="Y1355" s="117">
        <v>0</v>
      </c>
      <c r="Z1355" s="21" t="b">
        <v>1</v>
      </c>
      <c r="AA1355" s="162">
        <f>+$AD$5-Tabla2[[#This Row],[FECHA DE FACTURACIÓN]]</f>
        <v>91</v>
      </c>
      <c r="AB1355" s="163" t="str">
        <f>+IF(Tabla2[[#This Row],[dias de credito]]&gt;=Tabla2[[#This Row],[PLAZO Días]],"venc", "No venc")</f>
        <v>venc</v>
      </c>
      <c r="AC1355" s="163" t="str">
        <f>+IF(Tabla2[[#This Row],[FECHA DE PAGO]]&gt;0,"pagada","por pagar")</f>
        <v>pagada</v>
      </c>
      <c r="AD1355" s="164" t="str">
        <f>+IF(AND(Tabla2[[#This Row],[venc]]="venc",Tabla2[[#This Row],[estado pago]]="por pagar"),"vencida","no")</f>
        <v>no</v>
      </c>
    </row>
    <row r="1356" spans="1:30" ht="19.5" customHeight="1" x14ac:dyDescent="0.25">
      <c r="A1356" s="8" t="s">
        <v>1850</v>
      </c>
      <c r="B1356" s="8" t="b">
        <v>0</v>
      </c>
      <c r="C1356" s="8">
        <v>30</v>
      </c>
      <c r="D1356" s="151">
        <v>0</v>
      </c>
      <c r="E1356" s="151"/>
      <c r="F1356" s="24" t="s">
        <v>414</v>
      </c>
      <c r="G1356" s="30">
        <v>45362</v>
      </c>
      <c r="H1356" s="81" t="s">
        <v>382</v>
      </c>
      <c r="I1356" s="30">
        <v>45352</v>
      </c>
      <c r="J1356" s="16" t="s">
        <v>1633</v>
      </c>
      <c r="K1356" s="9" t="s">
        <v>1530</v>
      </c>
      <c r="L1356" s="9" t="s">
        <v>1533</v>
      </c>
      <c r="M1356" s="152">
        <v>1024255</v>
      </c>
      <c r="N1356" s="153">
        <v>0</v>
      </c>
      <c r="O1356" s="152">
        <v>0</v>
      </c>
      <c r="P1356" s="154">
        <v>0</v>
      </c>
      <c r="Q1356" s="152">
        <v>0</v>
      </c>
      <c r="R1356" s="9">
        <v>1024255</v>
      </c>
      <c r="S1356" s="21" t="s">
        <v>1846</v>
      </c>
      <c r="T1356" s="117">
        <v>0</v>
      </c>
      <c r="U1356" s="117">
        <v>0</v>
      </c>
      <c r="V1356" s="117">
        <v>2024</v>
      </c>
      <c r="W1356" s="117">
        <v>7</v>
      </c>
      <c r="X1356" s="117">
        <v>0</v>
      </c>
      <c r="Y1356" s="117">
        <v>0</v>
      </c>
      <c r="Z1356" s="21" t="b">
        <v>1</v>
      </c>
      <c r="AA1356" s="162">
        <f>+$AD$5-Tabla2[[#This Row],[FECHA DE FACTURACIÓN]]</f>
        <v>91</v>
      </c>
      <c r="AB1356" s="163" t="str">
        <f>+IF(Tabla2[[#This Row],[dias de credito]]&gt;=Tabla2[[#This Row],[PLAZO Días]],"venc", "No venc")</f>
        <v>venc</v>
      </c>
      <c r="AC1356" s="163" t="str">
        <f>+IF(Tabla2[[#This Row],[FECHA DE PAGO]]&gt;0,"pagada","por pagar")</f>
        <v>pagada</v>
      </c>
      <c r="AD1356" s="164" t="str">
        <f>+IF(AND(Tabla2[[#This Row],[venc]]="venc",Tabla2[[#This Row],[estado pago]]="por pagar"),"vencida","no")</f>
        <v>no</v>
      </c>
    </row>
    <row r="1357" spans="1:30" ht="19.5" customHeight="1" x14ac:dyDescent="0.25">
      <c r="A1357" s="8" t="s">
        <v>1850</v>
      </c>
      <c r="B1357" s="8" t="b">
        <v>0</v>
      </c>
      <c r="C1357" s="8">
        <v>10</v>
      </c>
      <c r="D1357" s="151">
        <v>-3510</v>
      </c>
      <c r="E1357" s="151"/>
      <c r="F1357" s="24" t="s">
        <v>1540</v>
      </c>
      <c r="G1357" s="30">
        <v>45362</v>
      </c>
      <c r="H1357" s="81" t="s">
        <v>1452</v>
      </c>
      <c r="I1357" s="30">
        <v>45352</v>
      </c>
      <c r="J1357" s="16" t="s">
        <v>1637</v>
      </c>
      <c r="K1357" s="9" t="s">
        <v>1530</v>
      </c>
      <c r="L1357" s="9" t="s">
        <v>1533</v>
      </c>
      <c r="M1357" s="152">
        <v>4435417</v>
      </c>
      <c r="N1357" s="153">
        <v>752248</v>
      </c>
      <c r="O1357" s="152">
        <v>0</v>
      </c>
      <c r="P1357" s="154">
        <v>3.5000000000000003E-2</v>
      </c>
      <c r="Q1357" s="152">
        <v>138572</v>
      </c>
      <c r="R1357" s="9">
        <v>5049093</v>
      </c>
      <c r="S1357" s="21" t="s">
        <v>1846</v>
      </c>
      <c r="T1357" s="117">
        <v>0</v>
      </c>
      <c r="U1357" s="117" t="s">
        <v>348</v>
      </c>
      <c r="V1357" s="117">
        <v>2024</v>
      </c>
      <c r="W1357" s="117">
        <v>7</v>
      </c>
      <c r="X1357" s="117">
        <v>0</v>
      </c>
      <c r="Y1357" s="117">
        <v>3.5000000000000003E-2</v>
      </c>
      <c r="Z1357" s="21" t="b">
        <v>1</v>
      </c>
      <c r="AA1357" s="162">
        <f>+$AD$5-Tabla2[[#This Row],[FECHA DE FACTURACIÓN]]</f>
        <v>91</v>
      </c>
      <c r="AB1357" s="163" t="str">
        <f>+IF(Tabla2[[#This Row],[dias de credito]]&gt;=Tabla2[[#This Row],[PLAZO Días]],"venc", "No venc")</f>
        <v>venc</v>
      </c>
      <c r="AC1357" s="163" t="str">
        <f>+IF(Tabla2[[#This Row],[FECHA DE PAGO]]&gt;0,"pagada","por pagar")</f>
        <v>pagada</v>
      </c>
      <c r="AD1357" s="164" t="str">
        <f>+IF(AND(Tabla2[[#This Row],[venc]]="venc",Tabla2[[#This Row],[estado pago]]="por pagar"),"vencida","no")</f>
        <v>no</v>
      </c>
    </row>
    <row r="1358" spans="1:30" ht="19.5" customHeight="1" x14ac:dyDescent="0.25">
      <c r="A1358" s="8" t="s">
        <v>1850</v>
      </c>
      <c r="B1358" s="8" t="b">
        <v>0</v>
      </c>
      <c r="C1358" s="8">
        <v>30</v>
      </c>
      <c r="D1358" s="151">
        <v>0</v>
      </c>
      <c r="E1358" s="151"/>
      <c r="F1358" s="24" t="s">
        <v>153</v>
      </c>
      <c r="G1358" s="30">
        <v>45362</v>
      </c>
      <c r="H1358" s="81" t="s">
        <v>394</v>
      </c>
      <c r="I1358" s="30">
        <v>45352</v>
      </c>
      <c r="J1358" s="16" t="s">
        <v>1638</v>
      </c>
      <c r="K1358" s="9" t="s">
        <v>1530</v>
      </c>
      <c r="L1358" s="9" t="s">
        <v>1533</v>
      </c>
      <c r="M1358" s="152">
        <v>266218</v>
      </c>
      <c r="N1358" s="153">
        <v>50581.42</v>
      </c>
      <c r="O1358" s="152">
        <v>0</v>
      </c>
      <c r="P1358" s="154">
        <v>3.5000000000000003E-2</v>
      </c>
      <c r="Q1358" s="152">
        <v>9317.630000000001</v>
      </c>
      <c r="R1358" s="9">
        <v>307481.78999999998</v>
      </c>
      <c r="S1358" s="21" t="s">
        <v>1846</v>
      </c>
      <c r="T1358" s="117">
        <v>0</v>
      </c>
      <c r="U1358" s="117" t="s">
        <v>348</v>
      </c>
      <c r="V1358" s="117">
        <v>2024</v>
      </c>
      <c r="W1358" s="117">
        <v>7</v>
      </c>
      <c r="X1358" s="117">
        <v>0</v>
      </c>
      <c r="Y1358" s="117">
        <v>3.5000000000000003E-2</v>
      </c>
      <c r="Z1358" s="21" t="b">
        <v>1</v>
      </c>
      <c r="AA1358" s="162">
        <f>+$AD$5-Tabla2[[#This Row],[FECHA DE FACTURACIÓN]]</f>
        <v>91</v>
      </c>
      <c r="AB1358" s="163" t="str">
        <f>+IF(Tabla2[[#This Row],[dias de credito]]&gt;=Tabla2[[#This Row],[PLAZO Días]],"venc", "No venc")</f>
        <v>venc</v>
      </c>
      <c r="AC1358" s="163" t="str">
        <f>+IF(Tabla2[[#This Row],[FECHA DE PAGO]]&gt;0,"pagada","por pagar")</f>
        <v>pagada</v>
      </c>
      <c r="AD1358" s="164" t="str">
        <f>+IF(AND(Tabla2[[#This Row],[venc]]="venc",Tabla2[[#This Row],[estado pago]]="por pagar"),"vencida","no")</f>
        <v>no</v>
      </c>
    </row>
    <row r="1359" spans="1:30" ht="19.5" customHeight="1" x14ac:dyDescent="0.25">
      <c r="A1359" s="8" t="s">
        <v>1850</v>
      </c>
      <c r="B1359" s="8" t="b">
        <v>0</v>
      </c>
      <c r="C1359" s="8">
        <v>10</v>
      </c>
      <c r="D1359" s="151">
        <v>0</v>
      </c>
      <c r="E1359" s="151"/>
      <c r="F1359" s="24" t="s">
        <v>483</v>
      </c>
      <c r="G1359" s="30">
        <v>45362</v>
      </c>
      <c r="H1359" s="81" t="s">
        <v>482</v>
      </c>
      <c r="I1359" s="30">
        <v>45352</v>
      </c>
      <c r="J1359" s="16" t="s">
        <v>1628</v>
      </c>
      <c r="K1359" s="9" t="s">
        <v>1530</v>
      </c>
      <c r="L1359" s="9" t="s">
        <v>1534</v>
      </c>
      <c r="M1359" s="152">
        <v>5350576</v>
      </c>
      <c r="N1359" s="153">
        <v>1016609.4400000001</v>
      </c>
      <c r="O1359" s="152">
        <v>0</v>
      </c>
      <c r="P1359" s="154">
        <v>0</v>
      </c>
      <c r="Q1359" s="152">
        <v>0</v>
      </c>
      <c r="R1359" s="9">
        <v>6367185.4400000004</v>
      </c>
      <c r="S1359" s="21" t="s">
        <v>1846</v>
      </c>
      <c r="T1359" s="117">
        <v>0</v>
      </c>
      <c r="U1359" s="117">
        <v>0</v>
      </c>
      <c r="V1359" s="117">
        <v>2024</v>
      </c>
      <c r="W1359" s="117">
        <v>7</v>
      </c>
      <c r="X1359" s="117">
        <v>0</v>
      </c>
      <c r="Y1359" s="117">
        <v>0</v>
      </c>
      <c r="Z1359" s="21" t="b">
        <v>1</v>
      </c>
      <c r="AA1359" s="162">
        <f>+$AD$5-Tabla2[[#This Row],[FECHA DE FACTURACIÓN]]</f>
        <v>91</v>
      </c>
      <c r="AB1359" s="163" t="str">
        <f>+IF(Tabla2[[#This Row],[dias de credito]]&gt;=Tabla2[[#This Row],[PLAZO Días]],"venc", "No venc")</f>
        <v>venc</v>
      </c>
      <c r="AC1359" s="163" t="str">
        <f>+IF(Tabla2[[#This Row],[FECHA DE PAGO]]&gt;0,"pagada","por pagar")</f>
        <v>pagada</v>
      </c>
      <c r="AD1359" s="164" t="str">
        <f>+IF(AND(Tabla2[[#This Row],[venc]]="venc",Tabla2[[#This Row],[estado pago]]="por pagar"),"vencida","no")</f>
        <v>no</v>
      </c>
    </row>
    <row r="1360" spans="1:30" ht="19.5" customHeight="1" x14ac:dyDescent="0.25">
      <c r="A1360" s="8" t="s">
        <v>1850</v>
      </c>
      <c r="B1360" s="8" t="b">
        <v>0</v>
      </c>
      <c r="C1360" s="8">
        <v>30</v>
      </c>
      <c r="D1360" s="151">
        <v>0</v>
      </c>
      <c r="E1360" s="151"/>
      <c r="F1360" s="24" t="s">
        <v>1447</v>
      </c>
      <c r="G1360" s="30">
        <v>45362</v>
      </c>
      <c r="H1360" s="81" t="s">
        <v>373</v>
      </c>
      <c r="I1360" s="30">
        <v>45356</v>
      </c>
      <c r="J1360" s="16" t="s">
        <v>1636</v>
      </c>
      <c r="K1360" s="9" t="s">
        <v>1530</v>
      </c>
      <c r="L1360" s="9" t="s">
        <v>1533</v>
      </c>
      <c r="M1360" s="152">
        <v>2202761</v>
      </c>
      <c r="N1360" s="153">
        <v>0</v>
      </c>
      <c r="O1360" s="152">
        <v>418942</v>
      </c>
      <c r="P1360" s="154">
        <v>0</v>
      </c>
      <c r="Q1360" s="152">
        <v>0</v>
      </c>
      <c r="R1360" s="9">
        <v>1783819</v>
      </c>
      <c r="S1360" s="21" t="s">
        <v>1846</v>
      </c>
      <c r="T1360" s="117">
        <v>0</v>
      </c>
      <c r="U1360" s="117">
        <v>0</v>
      </c>
      <c r="V1360" s="117">
        <v>2024</v>
      </c>
      <c r="W1360" s="117">
        <v>7</v>
      </c>
      <c r="X1360" s="117">
        <v>0</v>
      </c>
      <c r="Y1360" s="117">
        <v>0</v>
      </c>
      <c r="Z1360" s="21" t="b">
        <v>1</v>
      </c>
      <c r="AA1360" s="162">
        <f>+$AD$5-Tabla2[[#This Row],[FECHA DE FACTURACIÓN]]</f>
        <v>87</v>
      </c>
      <c r="AB1360" s="163" t="str">
        <f>+IF(Tabla2[[#This Row],[dias de credito]]&gt;=Tabla2[[#This Row],[PLAZO Días]],"venc", "No venc")</f>
        <v>venc</v>
      </c>
      <c r="AC1360" s="163" t="str">
        <f>+IF(Tabla2[[#This Row],[FECHA DE PAGO]]&gt;0,"pagada","por pagar")</f>
        <v>pagada</v>
      </c>
      <c r="AD1360" s="164" t="str">
        <f>+IF(AND(Tabla2[[#This Row],[venc]]="venc",Tabla2[[#This Row],[estado pago]]="por pagar"),"vencida","no")</f>
        <v>no</v>
      </c>
    </row>
    <row r="1361" spans="1:30" ht="19.5" customHeight="1" x14ac:dyDescent="0.25">
      <c r="A1361" s="8" t="s">
        <v>1850</v>
      </c>
      <c r="B1361" s="8" t="b">
        <v>0</v>
      </c>
      <c r="C1361" s="8">
        <v>30</v>
      </c>
      <c r="D1361" s="151">
        <v>0</v>
      </c>
      <c r="E1361" s="151"/>
      <c r="F1361" s="24" t="s">
        <v>84</v>
      </c>
      <c r="G1361" s="30">
        <v>45363</v>
      </c>
      <c r="H1361" s="81" t="s">
        <v>481</v>
      </c>
      <c r="I1361" s="30">
        <v>45362</v>
      </c>
      <c r="J1361" s="16" t="s">
        <v>1666</v>
      </c>
      <c r="K1361" s="9" t="s">
        <v>504</v>
      </c>
      <c r="L1361" s="9" t="s">
        <v>1541</v>
      </c>
      <c r="M1361" s="152">
        <v>3944000</v>
      </c>
      <c r="N1361" s="153">
        <v>0</v>
      </c>
      <c r="O1361" s="152">
        <v>0</v>
      </c>
      <c r="P1361" s="154">
        <v>0</v>
      </c>
      <c r="Q1361" s="152">
        <v>0</v>
      </c>
      <c r="R1361" s="9">
        <v>3944000</v>
      </c>
      <c r="S1361" s="21" t="s">
        <v>1846</v>
      </c>
      <c r="T1361" s="117">
        <v>0</v>
      </c>
      <c r="U1361" s="117">
        <v>0</v>
      </c>
      <c r="V1361" s="117">
        <v>2024</v>
      </c>
      <c r="W1361" s="117">
        <v>7</v>
      </c>
      <c r="X1361" s="117">
        <v>0</v>
      </c>
      <c r="Y1361" s="117">
        <v>0</v>
      </c>
      <c r="Z1361" s="21" t="b">
        <v>0</v>
      </c>
      <c r="AA1361" s="162">
        <f>+$AD$5-Tabla2[[#This Row],[FECHA DE FACTURACIÓN]]</f>
        <v>81</v>
      </c>
      <c r="AB1361" s="163" t="str">
        <f>+IF(Tabla2[[#This Row],[dias de credito]]&gt;=Tabla2[[#This Row],[PLAZO Días]],"venc", "No venc")</f>
        <v>venc</v>
      </c>
      <c r="AC1361" s="163" t="str">
        <f>+IF(Tabla2[[#This Row],[FECHA DE PAGO]]&gt;0,"pagada","por pagar")</f>
        <v>pagada</v>
      </c>
      <c r="AD1361" s="164" t="str">
        <f>+IF(AND(Tabla2[[#This Row],[venc]]="venc",Tabla2[[#This Row],[estado pago]]="por pagar"),"vencida","no")</f>
        <v>no</v>
      </c>
    </row>
    <row r="1362" spans="1:30" ht="19.5" customHeight="1" x14ac:dyDescent="0.25">
      <c r="A1362" s="8" t="s">
        <v>1850</v>
      </c>
      <c r="B1362" s="8" t="s">
        <v>1851</v>
      </c>
      <c r="C1362" s="8">
        <v>30</v>
      </c>
      <c r="D1362" s="151">
        <v>5581100</v>
      </c>
      <c r="E1362" s="151"/>
      <c r="F1362" s="24" t="s">
        <v>150</v>
      </c>
      <c r="G1362" s="30">
        <v>45364</v>
      </c>
      <c r="H1362" s="81" t="s">
        <v>446</v>
      </c>
      <c r="I1362" s="30">
        <v>45318</v>
      </c>
      <c r="J1362" s="16" t="s">
        <v>1487</v>
      </c>
      <c r="K1362" s="9" t="s">
        <v>504</v>
      </c>
      <c r="L1362" s="9" t="s">
        <v>1534</v>
      </c>
      <c r="M1362" s="152">
        <v>4960000</v>
      </c>
      <c r="N1362" s="153">
        <v>942400</v>
      </c>
      <c r="O1362" s="152">
        <v>0</v>
      </c>
      <c r="P1362" s="154">
        <v>0</v>
      </c>
      <c r="Q1362" s="152">
        <v>0</v>
      </c>
      <c r="R1362" s="9">
        <v>5902400</v>
      </c>
      <c r="S1362" s="21" t="s">
        <v>1846</v>
      </c>
      <c r="T1362" s="117">
        <v>0</v>
      </c>
      <c r="U1362" s="117">
        <v>0</v>
      </c>
      <c r="V1362" s="117">
        <v>2024</v>
      </c>
      <c r="W1362" s="117">
        <v>7</v>
      </c>
      <c r="X1362" s="117">
        <v>0</v>
      </c>
      <c r="Y1362" s="117">
        <v>0</v>
      </c>
      <c r="Z1362" s="21" t="b">
        <v>0</v>
      </c>
      <c r="AA1362" s="162">
        <f>+$AD$5-Tabla2[[#This Row],[FECHA DE FACTURACIÓN]]</f>
        <v>125</v>
      </c>
      <c r="AB1362" s="163" t="str">
        <f>+IF(Tabla2[[#This Row],[dias de credito]]&gt;=Tabla2[[#This Row],[PLAZO Días]],"venc", "No venc")</f>
        <v>venc</v>
      </c>
      <c r="AC1362" s="163" t="str">
        <f>+IF(Tabla2[[#This Row],[FECHA DE PAGO]]&gt;0,"pagada","por pagar")</f>
        <v>pagada</v>
      </c>
      <c r="AD1362" s="164" t="str">
        <f>+IF(AND(Tabla2[[#This Row],[venc]]="venc",Tabla2[[#This Row],[estado pago]]="por pagar"),"vencida","no")</f>
        <v>no</v>
      </c>
    </row>
    <row r="1363" spans="1:30" ht="19.5" customHeight="1" x14ac:dyDescent="0.25">
      <c r="A1363" s="8" t="s">
        <v>1850</v>
      </c>
      <c r="B1363" s="8" t="s">
        <v>1851</v>
      </c>
      <c r="C1363" s="8">
        <v>30</v>
      </c>
      <c r="D1363" s="151">
        <v>4466504.835</v>
      </c>
      <c r="E1363" s="151"/>
      <c r="F1363" s="24" t="s">
        <v>1553</v>
      </c>
      <c r="G1363" s="30">
        <v>45364</v>
      </c>
      <c r="H1363" s="81" t="s">
        <v>18</v>
      </c>
      <c r="I1363" s="30">
        <v>45321</v>
      </c>
      <c r="J1363" s="16" t="s">
        <v>1640</v>
      </c>
      <c r="K1363" s="9" t="s">
        <v>504</v>
      </c>
      <c r="L1363" s="9" t="s">
        <v>1533</v>
      </c>
      <c r="M1363" s="152">
        <v>1194685.2</v>
      </c>
      <c r="N1363" s="153">
        <v>226990.18799999999</v>
      </c>
      <c r="O1363" s="152">
        <v>0</v>
      </c>
      <c r="P1363" s="154">
        <v>0</v>
      </c>
      <c r="Q1363" s="152">
        <v>0</v>
      </c>
      <c r="R1363" s="9">
        <v>1421675.388</v>
      </c>
      <c r="S1363" s="21" t="s">
        <v>1846</v>
      </c>
      <c r="T1363" s="117">
        <v>0</v>
      </c>
      <c r="U1363" s="117" t="s">
        <v>347</v>
      </c>
      <c r="V1363" s="117">
        <v>2024</v>
      </c>
      <c r="W1363" s="117">
        <v>7</v>
      </c>
      <c r="X1363" s="117">
        <v>1271000</v>
      </c>
      <c r="Y1363" s="117">
        <v>2.5000000000000001E-2</v>
      </c>
      <c r="Z1363" s="21" t="b">
        <v>0</v>
      </c>
      <c r="AA1363" s="162">
        <f>+$AD$5-Tabla2[[#This Row],[FECHA DE FACTURACIÓN]]</f>
        <v>122</v>
      </c>
      <c r="AB1363" s="163" t="str">
        <f>+IF(Tabla2[[#This Row],[dias de credito]]&gt;=Tabla2[[#This Row],[PLAZO Días]],"venc", "No venc")</f>
        <v>venc</v>
      </c>
      <c r="AC1363" s="163" t="str">
        <f>+IF(Tabla2[[#This Row],[FECHA DE PAGO]]&gt;0,"pagada","por pagar")</f>
        <v>pagada</v>
      </c>
      <c r="AD1363" s="164" t="str">
        <f>+IF(AND(Tabla2[[#This Row],[venc]]="venc",Tabla2[[#This Row],[estado pago]]="por pagar"),"vencida","no")</f>
        <v>no</v>
      </c>
    </row>
    <row r="1364" spans="1:30" ht="19.5" customHeight="1" x14ac:dyDescent="0.25">
      <c r="A1364" s="8" t="s">
        <v>1850</v>
      </c>
      <c r="B1364" s="8" t="s">
        <v>1851</v>
      </c>
      <c r="C1364" s="8">
        <v>30</v>
      </c>
      <c r="D1364" s="151">
        <v>5581100</v>
      </c>
      <c r="E1364" s="151"/>
      <c r="F1364" s="24" t="s">
        <v>150</v>
      </c>
      <c r="G1364" s="30">
        <v>45364</v>
      </c>
      <c r="H1364" s="81" t="s">
        <v>446</v>
      </c>
      <c r="I1364" s="30">
        <v>45322</v>
      </c>
      <c r="J1364" s="16" t="s">
        <v>1506</v>
      </c>
      <c r="K1364" s="9" t="s">
        <v>504</v>
      </c>
      <c r="L1364" s="9" t="s">
        <v>1534</v>
      </c>
      <c r="M1364" s="152">
        <v>5400000</v>
      </c>
      <c r="N1364" s="153">
        <v>1026000</v>
      </c>
      <c r="O1364" s="152">
        <v>0</v>
      </c>
      <c r="P1364" s="154">
        <v>0</v>
      </c>
      <c r="Q1364" s="152">
        <v>0</v>
      </c>
      <c r="R1364" s="9">
        <v>6426000</v>
      </c>
      <c r="S1364" s="21" t="s">
        <v>1846</v>
      </c>
      <c r="T1364" s="117">
        <v>0</v>
      </c>
      <c r="U1364" s="117">
        <v>0</v>
      </c>
      <c r="V1364" s="117">
        <v>2024</v>
      </c>
      <c r="W1364" s="117">
        <v>7</v>
      </c>
      <c r="X1364" s="117">
        <v>0</v>
      </c>
      <c r="Y1364" s="117">
        <v>0</v>
      </c>
      <c r="Z1364" s="21" t="b">
        <v>0</v>
      </c>
      <c r="AA1364" s="162">
        <f>+$AD$5-Tabla2[[#This Row],[FECHA DE FACTURACIÓN]]</f>
        <v>121</v>
      </c>
      <c r="AB1364" s="163" t="str">
        <f>+IF(Tabla2[[#This Row],[dias de credito]]&gt;=Tabla2[[#This Row],[PLAZO Días]],"venc", "No venc")</f>
        <v>venc</v>
      </c>
      <c r="AC1364" s="163" t="str">
        <f>+IF(Tabla2[[#This Row],[FECHA DE PAGO]]&gt;0,"pagada","por pagar")</f>
        <v>pagada</v>
      </c>
      <c r="AD1364" s="164" t="str">
        <f>+IF(AND(Tabla2[[#This Row],[venc]]="venc",Tabla2[[#This Row],[estado pago]]="por pagar"),"vencida","no")</f>
        <v>no</v>
      </c>
    </row>
    <row r="1365" spans="1:30" ht="19.5" customHeight="1" x14ac:dyDescent="0.25">
      <c r="A1365" s="8" t="s">
        <v>1850</v>
      </c>
      <c r="B1365" s="8" t="s">
        <v>1851</v>
      </c>
      <c r="C1365" s="8">
        <v>30</v>
      </c>
      <c r="D1365" s="151">
        <v>4466504.835</v>
      </c>
      <c r="E1365" s="151"/>
      <c r="F1365" s="24" t="s">
        <v>1553</v>
      </c>
      <c r="G1365" s="30">
        <v>45364</v>
      </c>
      <c r="H1365" s="81" t="s">
        <v>18</v>
      </c>
      <c r="I1365" s="30">
        <v>45330</v>
      </c>
      <c r="J1365" s="16">
        <v>1082730</v>
      </c>
      <c r="K1365" s="9" t="s">
        <v>504</v>
      </c>
      <c r="L1365" s="9" t="s">
        <v>1533</v>
      </c>
      <c r="M1365" s="152">
        <v>3788095</v>
      </c>
      <c r="N1365" s="153">
        <v>719738.05</v>
      </c>
      <c r="O1365" s="152">
        <v>0</v>
      </c>
      <c r="P1365" s="154">
        <v>2.5000000000000001E-2</v>
      </c>
      <c r="Q1365" s="152">
        <v>94702.375</v>
      </c>
      <c r="R1365" s="9">
        <v>4413130.6749999998</v>
      </c>
      <c r="S1365" s="21" t="s">
        <v>1846</v>
      </c>
      <c r="T1365" s="117">
        <v>0</v>
      </c>
      <c r="U1365" s="117" t="s">
        <v>347</v>
      </c>
      <c r="V1365" s="117">
        <v>2024</v>
      </c>
      <c r="W1365" s="117">
        <v>7</v>
      </c>
      <c r="X1365" s="117">
        <v>1271000</v>
      </c>
      <c r="Y1365" s="117">
        <v>2.5000000000000001E-2</v>
      </c>
      <c r="Z1365" s="21" t="b">
        <v>0</v>
      </c>
      <c r="AA1365" s="162">
        <f>+$AD$5-Tabla2[[#This Row],[FECHA DE FACTURACIÓN]]</f>
        <v>113</v>
      </c>
      <c r="AB1365" s="163" t="str">
        <f>+IF(Tabla2[[#This Row],[dias de credito]]&gt;=Tabla2[[#This Row],[PLAZO Días]],"venc", "No venc")</f>
        <v>venc</v>
      </c>
      <c r="AC1365" s="163" t="str">
        <f>+IF(Tabla2[[#This Row],[FECHA DE PAGO]]&gt;0,"pagada","por pagar")</f>
        <v>pagada</v>
      </c>
      <c r="AD1365" s="164" t="str">
        <f>+IF(AND(Tabla2[[#This Row],[venc]]="venc",Tabla2[[#This Row],[estado pago]]="por pagar"),"vencida","no")</f>
        <v>no</v>
      </c>
    </row>
    <row r="1366" spans="1:30" ht="19.5" customHeight="1" x14ac:dyDescent="0.25">
      <c r="A1366" s="8" t="s">
        <v>1850</v>
      </c>
      <c r="B1366" s="8" t="s">
        <v>1851</v>
      </c>
      <c r="C1366" s="8">
        <v>30</v>
      </c>
      <c r="D1366" s="151">
        <v>4466504.835</v>
      </c>
      <c r="E1366" s="151"/>
      <c r="F1366" s="24" t="s">
        <v>1553</v>
      </c>
      <c r="G1366" s="30">
        <v>45364</v>
      </c>
      <c r="H1366" s="81" t="s">
        <v>18</v>
      </c>
      <c r="I1366" s="30">
        <v>45331</v>
      </c>
      <c r="J1366" s="16">
        <v>1082818</v>
      </c>
      <c r="K1366" s="9" t="s">
        <v>504</v>
      </c>
      <c r="L1366" s="9" t="s">
        <v>1533</v>
      </c>
      <c r="M1366" s="152">
        <v>1564305</v>
      </c>
      <c r="N1366" s="153">
        <v>297217.95</v>
      </c>
      <c r="O1366" s="152">
        <v>0</v>
      </c>
      <c r="P1366" s="154">
        <v>2.5000000000000001E-2</v>
      </c>
      <c r="Q1366" s="152">
        <v>39107.625</v>
      </c>
      <c r="R1366" s="9">
        <v>1822415.325</v>
      </c>
      <c r="S1366" s="21" t="s">
        <v>1846</v>
      </c>
      <c r="T1366" s="117">
        <v>0</v>
      </c>
      <c r="U1366" s="117" t="s">
        <v>347</v>
      </c>
      <c r="V1366" s="117">
        <v>2024</v>
      </c>
      <c r="W1366" s="117">
        <v>7</v>
      </c>
      <c r="X1366" s="117">
        <v>1271000</v>
      </c>
      <c r="Y1366" s="117">
        <v>2.5000000000000001E-2</v>
      </c>
      <c r="Z1366" s="21" t="b">
        <v>0</v>
      </c>
      <c r="AA1366" s="162">
        <f>+$AD$5-Tabla2[[#This Row],[FECHA DE FACTURACIÓN]]</f>
        <v>112</v>
      </c>
      <c r="AB1366" s="163" t="str">
        <f>+IF(Tabla2[[#This Row],[dias de credito]]&gt;=Tabla2[[#This Row],[PLAZO Días]],"venc", "No venc")</f>
        <v>venc</v>
      </c>
      <c r="AC1366" s="163" t="str">
        <f>+IF(Tabla2[[#This Row],[FECHA DE PAGO]]&gt;0,"pagada","por pagar")</f>
        <v>pagada</v>
      </c>
      <c r="AD1366" s="164" t="str">
        <f>+IF(AND(Tabla2[[#This Row],[venc]]="venc",Tabla2[[#This Row],[estado pago]]="por pagar"),"vencida","no")</f>
        <v>no</v>
      </c>
    </row>
    <row r="1367" spans="1:30" ht="19.5" customHeight="1" x14ac:dyDescent="0.25">
      <c r="A1367" s="8" t="s">
        <v>1852</v>
      </c>
      <c r="B1367" s="8" t="b">
        <v>0</v>
      </c>
      <c r="C1367" s="8">
        <v>30</v>
      </c>
      <c r="D1367" s="151">
        <v>0</v>
      </c>
      <c r="E1367" s="151"/>
      <c r="F1367" s="24">
        <v>0</v>
      </c>
      <c r="G1367" s="30">
        <v>45364</v>
      </c>
      <c r="H1367" s="81" t="s">
        <v>1805</v>
      </c>
      <c r="I1367" s="30">
        <v>45364</v>
      </c>
      <c r="J1367" s="16">
        <v>414</v>
      </c>
      <c r="K1367" s="9" t="s">
        <v>1530</v>
      </c>
      <c r="L1367" s="9" t="s">
        <v>1395</v>
      </c>
      <c r="M1367" s="152">
        <v>665000</v>
      </c>
      <c r="N1367" s="153">
        <v>0</v>
      </c>
      <c r="O1367" s="152">
        <v>0</v>
      </c>
      <c r="P1367" s="154">
        <v>0</v>
      </c>
      <c r="Q1367" s="152">
        <v>0</v>
      </c>
      <c r="R1367" s="9">
        <v>665000</v>
      </c>
      <c r="S1367" s="21" t="s">
        <v>1846</v>
      </c>
      <c r="T1367" s="117">
        <v>0</v>
      </c>
      <c r="U1367" s="117">
        <v>0</v>
      </c>
      <c r="V1367" s="117">
        <v>2024</v>
      </c>
      <c r="W1367" s="117">
        <v>7</v>
      </c>
      <c r="X1367" s="117">
        <v>0</v>
      </c>
      <c r="Y1367" s="117">
        <v>0</v>
      </c>
      <c r="Z1367" s="21" t="b">
        <v>0</v>
      </c>
      <c r="AA1367" s="162">
        <f>+$AD$5-Tabla2[[#This Row],[FECHA DE FACTURACIÓN]]</f>
        <v>79</v>
      </c>
      <c r="AB1367" s="163" t="str">
        <f>+IF(Tabla2[[#This Row],[dias de credito]]&gt;=Tabla2[[#This Row],[PLAZO Días]],"venc", "No venc")</f>
        <v>venc</v>
      </c>
      <c r="AC1367" s="163" t="str">
        <f>+IF(Tabla2[[#This Row],[FECHA DE PAGO]]&gt;0,"pagada","por pagar")</f>
        <v>pagada</v>
      </c>
      <c r="AD1367" s="164" t="str">
        <f>+IF(AND(Tabla2[[#This Row],[venc]]="venc",Tabla2[[#This Row],[estado pago]]="por pagar"),"vencida","no")</f>
        <v>no</v>
      </c>
    </row>
    <row r="1368" spans="1:30" ht="19.5" customHeight="1" x14ac:dyDescent="0.25">
      <c r="A1368" s="8" t="s">
        <v>1850</v>
      </c>
      <c r="B1368" s="8" t="s">
        <v>1851</v>
      </c>
      <c r="C1368" s="8">
        <v>30</v>
      </c>
      <c r="D1368" s="151">
        <v>0</v>
      </c>
      <c r="E1368" s="151"/>
      <c r="F1368" s="24">
        <v>0</v>
      </c>
      <c r="G1368" s="30">
        <v>45367</v>
      </c>
      <c r="H1368" s="81" t="s">
        <v>475</v>
      </c>
      <c r="I1368" s="30">
        <v>45334</v>
      </c>
      <c r="J1368" s="16">
        <v>12512</v>
      </c>
      <c r="K1368" s="9" t="s">
        <v>1530</v>
      </c>
      <c r="L1368" s="9" t="s">
        <v>1395</v>
      </c>
      <c r="M1368" s="152">
        <v>1654600</v>
      </c>
      <c r="N1368" s="153">
        <v>0</v>
      </c>
      <c r="O1368" s="152">
        <v>165460</v>
      </c>
      <c r="P1368" s="154">
        <v>0</v>
      </c>
      <c r="Q1368" s="152">
        <v>0</v>
      </c>
      <c r="R1368" s="9">
        <v>1489140</v>
      </c>
      <c r="S1368" s="21" t="s">
        <v>1846</v>
      </c>
      <c r="T1368" s="117">
        <v>0</v>
      </c>
      <c r="U1368" s="117">
        <v>0</v>
      </c>
      <c r="V1368" s="117">
        <v>2024</v>
      </c>
      <c r="W1368" s="117">
        <v>7</v>
      </c>
      <c r="X1368" s="117">
        <v>0</v>
      </c>
      <c r="Y1368" s="117">
        <v>0</v>
      </c>
      <c r="Z1368" s="21" t="b">
        <v>0</v>
      </c>
      <c r="AA1368" s="162">
        <f>+$AD$5-Tabla2[[#This Row],[FECHA DE FACTURACIÓN]]</f>
        <v>109</v>
      </c>
      <c r="AB1368" s="163" t="str">
        <f>+IF(Tabla2[[#This Row],[dias de credito]]&gt;=Tabla2[[#This Row],[PLAZO Días]],"venc", "No venc")</f>
        <v>venc</v>
      </c>
      <c r="AC1368" s="163" t="str">
        <f>+IF(Tabla2[[#This Row],[FECHA DE PAGO]]&gt;0,"pagada","por pagar")</f>
        <v>pagada</v>
      </c>
      <c r="AD1368" s="164" t="str">
        <f>+IF(AND(Tabla2[[#This Row],[venc]]="venc",Tabla2[[#This Row],[estado pago]]="por pagar"),"vencida","no")</f>
        <v>no</v>
      </c>
    </row>
    <row r="1369" spans="1:30" ht="19.5" customHeight="1" x14ac:dyDescent="0.25">
      <c r="A1369" s="8" t="s">
        <v>1850</v>
      </c>
      <c r="B1369" s="8" t="b">
        <v>0</v>
      </c>
      <c r="C1369" s="8">
        <v>30</v>
      </c>
      <c r="D1369" s="151">
        <v>0</v>
      </c>
      <c r="E1369" s="151"/>
      <c r="F1369" s="24">
        <v>0</v>
      </c>
      <c r="G1369" s="30">
        <v>45367</v>
      </c>
      <c r="H1369" s="81" t="s">
        <v>836</v>
      </c>
      <c r="I1369" s="30">
        <v>45366</v>
      </c>
      <c r="J1369" s="16" t="s">
        <v>1653</v>
      </c>
      <c r="K1369" s="9" t="s">
        <v>504</v>
      </c>
      <c r="L1369" s="9" t="s">
        <v>1395</v>
      </c>
      <c r="M1369" s="152">
        <v>527000</v>
      </c>
      <c r="N1369" s="153">
        <v>0</v>
      </c>
      <c r="O1369" s="152">
        <v>0</v>
      </c>
      <c r="P1369" s="154">
        <v>0</v>
      </c>
      <c r="Q1369" s="152">
        <v>0</v>
      </c>
      <c r="R1369" s="9">
        <v>527000</v>
      </c>
      <c r="S1369" s="21" t="s">
        <v>1846</v>
      </c>
      <c r="T1369" s="117">
        <v>0</v>
      </c>
      <c r="U1369" s="117">
        <v>0</v>
      </c>
      <c r="V1369" s="117">
        <v>2024</v>
      </c>
      <c r="W1369" s="117">
        <v>7</v>
      </c>
      <c r="X1369" s="117">
        <v>0</v>
      </c>
      <c r="Y1369" s="117">
        <v>0</v>
      </c>
      <c r="Z1369" s="21" t="b">
        <v>0</v>
      </c>
      <c r="AA1369" s="162">
        <f>+$AD$5-Tabla2[[#This Row],[FECHA DE FACTURACIÓN]]</f>
        <v>77</v>
      </c>
      <c r="AB1369" s="163" t="str">
        <f>+IF(Tabla2[[#This Row],[dias de credito]]&gt;=Tabla2[[#This Row],[PLAZO Días]],"venc", "No venc")</f>
        <v>venc</v>
      </c>
      <c r="AC1369" s="163" t="str">
        <f>+IF(Tabla2[[#This Row],[FECHA DE PAGO]]&gt;0,"pagada","por pagar")</f>
        <v>pagada</v>
      </c>
      <c r="AD1369" s="164" t="str">
        <f>+IF(AND(Tabla2[[#This Row],[venc]]="venc",Tabla2[[#This Row],[estado pago]]="por pagar"),"vencida","no")</f>
        <v>no</v>
      </c>
    </row>
    <row r="1370" spans="1:30" ht="19.5" customHeight="1" x14ac:dyDescent="0.25">
      <c r="A1370" s="8" t="s">
        <v>1850</v>
      </c>
      <c r="B1370" s="8" t="s">
        <v>1851</v>
      </c>
      <c r="C1370" s="8">
        <v>30</v>
      </c>
      <c r="D1370" s="151">
        <v>0</v>
      </c>
      <c r="E1370" s="151"/>
      <c r="F1370" s="24" t="s">
        <v>156</v>
      </c>
      <c r="G1370" s="30">
        <v>45369</v>
      </c>
      <c r="H1370" s="81" t="s">
        <v>1580</v>
      </c>
      <c r="I1370" s="30">
        <v>45303</v>
      </c>
      <c r="J1370" s="16" t="s">
        <v>1434</v>
      </c>
      <c r="K1370" s="9" t="s">
        <v>504</v>
      </c>
      <c r="L1370" s="9" t="s">
        <v>1533</v>
      </c>
      <c r="M1370" s="152">
        <v>180000</v>
      </c>
      <c r="N1370" s="153">
        <v>34200</v>
      </c>
      <c r="O1370" s="152">
        <v>0</v>
      </c>
      <c r="P1370" s="154">
        <v>0</v>
      </c>
      <c r="Q1370" s="152">
        <v>0</v>
      </c>
      <c r="R1370" s="9">
        <v>214200</v>
      </c>
      <c r="S1370" s="21" t="s">
        <v>1846</v>
      </c>
      <c r="T1370" s="117">
        <v>0</v>
      </c>
      <c r="U1370" s="117" t="s">
        <v>347</v>
      </c>
      <c r="V1370" s="117">
        <v>2024</v>
      </c>
      <c r="W1370" s="117">
        <v>7</v>
      </c>
      <c r="X1370" s="117">
        <v>1271000</v>
      </c>
      <c r="Y1370" s="117">
        <v>2.5000000000000001E-2</v>
      </c>
      <c r="Z1370" s="21" t="b">
        <v>0</v>
      </c>
      <c r="AA1370" s="162">
        <f>+$AD$5-Tabla2[[#This Row],[FECHA DE FACTURACIÓN]]</f>
        <v>140</v>
      </c>
      <c r="AB1370" s="163" t="str">
        <f>+IF(Tabla2[[#This Row],[dias de credito]]&gt;=Tabla2[[#This Row],[PLAZO Días]],"venc", "No venc")</f>
        <v>venc</v>
      </c>
      <c r="AC1370" s="163" t="str">
        <f>+IF(Tabla2[[#This Row],[FECHA DE PAGO]]&gt;0,"pagada","por pagar")</f>
        <v>pagada</v>
      </c>
      <c r="AD1370" s="164" t="str">
        <f>+IF(AND(Tabla2[[#This Row],[venc]]="venc",Tabla2[[#This Row],[estado pago]]="por pagar"),"vencida","no")</f>
        <v>no</v>
      </c>
    </row>
    <row r="1371" spans="1:30" ht="19.5" customHeight="1" x14ac:dyDescent="0.25">
      <c r="A1371" s="8" t="s">
        <v>1850</v>
      </c>
      <c r="B1371" s="8" t="s">
        <v>1851</v>
      </c>
      <c r="C1371" s="8">
        <v>30</v>
      </c>
      <c r="D1371" s="151">
        <v>12628497</v>
      </c>
      <c r="E1371" s="151"/>
      <c r="F1371" s="24" t="s">
        <v>149</v>
      </c>
      <c r="G1371" s="30">
        <v>45369</v>
      </c>
      <c r="H1371" s="81" t="s">
        <v>451</v>
      </c>
      <c r="I1371" s="30">
        <v>45307</v>
      </c>
      <c r="J1371" s="16">
        <v>33399</v>
      </c>
      <c r="K1371" s="9" t="s">
        <v>1530</v>
      </c>
      <c r="L1371" s="9" t="s">
        <v>1533</v>
      </c>
      <c r="M1371" s="152">
        <v>1260000</v>
      </c>
      <c r="N1371" s="153">
        <v>239400</v>
      </c>
      <c r="O1371" s="152">
        <v>0</v>
      </c>
      <c r="P1371" s="154">
        <v>0</v>
      </c>
      <c r="Q1371" s="152">
        <v>0</v>
      </c>
      <c r="R1371" s="9">
        <v>1499400</v>
      </c>
      <c r="S1371" s="21" t="s">
        <v>1846</v>
      </c>
      <c r="T1371" s="117">
        <v>0</v>
      </c>
      <c r="U1371" s="117" t="s">
        <v>347</v>
      </c>
      <c r="V1371" s="117">
        <v>2024</v>
      </c>
      <c r="W1371" s="117">
        <v>7</v>
      </c>
      <c r="X1371" s="117">
        <v>1271000</v>
      </c>
      <c r="Y1371" s="117">
        <v>2.5000000000000001E-2</v>
      </c>
      <c r="Z1371" s="21" t="b">
        <v>0</v>
      </c>
      <c r="AA1371" s="162">
        <f>+$AD$5-Tabla2[[#This Row],[FECHA DE FACTURACIÓN]]</f>
        <v>136</v>
      </c>
      <c r="AB1371" s="163" t="str">
        <f>+IF(Tabla2[[#This Row],[dias de credito]]&gt;=Tabla2[[#This Row],[PLAZO Días]],"venc", "No venc")</f>
        <v>venc</v>
      </c>
      <c r="AC1371" s="163" t="str">
        <f>+IF(Tabla2[[#This Row],[FECHA DE PAGO]]&gt;0,"pagada","por pagar")</f>
        <v>pagada</v>
      </c>
      <c r="AD1371" s="164" t="str">
        <f>+IF(AND(Tabla2[[#This Row],[venc]]="venc",Tabla2[[#This Row],[estado pago]]="por pagar"),"vencida","no")</f>
        <v>no</v>
      </c>
    </row>
    <row r="1372" spans="1:30" ht="19.5" customHeight="1" x14ac:dyDescent="0.25">
      <c r="A1372" s="8" t="s">
        <v>1850</v>
      </c>
      <c r="B1372" s="8" t="s">
        <v>1851</v>
      </c>
      <c r="C1372" s="8">
        <v>45</v>
      </c>
      <c r="D1372" s="151">
        <v>2446500</v>
      </c>
      <c r="E1372" s="151"/>
      <c r="F1372" s="24" t="s">
        <v>158</v>
      </c>
      <c r="G1372" s="30">
        <v>45369</v>
      </c>
      <c r="H1372" s="81" t="s">
        <v>10</v>
      </c>
      <c r="I1372" s="30">
        <v>45315</v>
      </c>
      <c r="J1372" s="16" t="s">
        <v>1489</v>
      </c>
      <c r="K1372" s="9" t="s">
        <v>1530</v>
      </c>
      <c r="L1372" s="9" t="s">
        <v>1533</v>
      </c>
      <c r="M1372" s="152">
        <v>330000</v>
      </c>
      <c r="N1372" s="153">
        <v>62700</v>
      </c>
      <c r="O1372" s="152">
        <v>0</v>
      </c>
      <c r="P1372" s="154">
        <v>0</v>
      </c>
      <c r="Q1372" s="152">
        <v>0</v>
      </c>
      <c r="R1372" s="9">
        <v>392700</v>
      </c>
      <c r="S1372" s="21" t="s">
        <v>1846</v>
      </c>
      <c r="T1372" s="117">
        <v>0</v>
      </c>
      <c r="U1372" s="117" t="s">
        <v>347</v>
      </c>
      <c r="V1372" s="117">
        <v>2024</v>
      </c>
      <c r="W1372" s="117">
        <v>7</v>
      </c>
      <c r="X1372" s="117">
        <v>1271000</v>
      </c>
      <c r="Y1372" s="117">
        <v>2.5000000000000001E-2</v>
      </c>
      <c r="Z1372" s="21" t="b">
        <v>0</v>
      </c>
      <c r="AA1372" s="162">
        <f>+$AD$5-Tabla2[[#This Row],[FECHA DE FACTURACIÓN]]</f>
        <v>128</v>
      </c>
      <c r="AB1372" s="163" t="str">
        <f>+IF(Tabla2[[#This Row],[dias de credito]]&gt;=Tabla2[[#This Row],[PLAZO Días]],"venc", "No venc")</f>
        <v>venc</v>
      </c>
      <c r="AC1372" s="163" t="str">
        <f>+IF(Tabla2[[#This Row],[FECHA DE PAGO]]&gt;0,"pagada","por pagar")</f>
        <v>pagada</v>
      </c>
      <c r="AD1372" s="164" t="str">
        <f>+IF(AND(Tabla2[[#This Row],[venc]]="venc",Tabla2[[#This Row],[estado pago]]="por pagar"),"vencida","no")</f>
        <v>no</v>
      </c>
    </row>
    <row r="1373" spans="1:30" ht="19.5" customHeight="1" x14ac:dyDescent="0.25">
      <c r="A1373" s="8" t="s">
        <v>1850</v>
      </c>
      <c r="B1373" s="8" t="s">
        <v>1851</v>
      </c>
      <c r="C1373" s="8">
        <v>45</v>
      </c>
      <c r="D1373" s="151">
        <v>22186260.039999999</v>
      </c>
      <c r="E1373" s="151"/>
      <c r="F1373" s="24" t="s">
        <v>357</v>
      </c>
      <c r="G1373" s="30">
        <v>45369</v>
      </c>
      <c r="H1373" s="81" t="s">
        <v>19</v>
      </c>
      <c r="I1373" s="30">
        <v>45316</v>
      </c>
      <c r="J1373" s="16" t="s">
        <v>1484</v>
      </c>
      <c r="K1373" s="9" t="s">
        <v>504</v>
      </c>
      <c r="L1373" s="9" t="s">
        <v>1533</v>
      </c>
      <c r="M1373" s="152">
        <v>2971140</v>
      </c>
      <c r="N1373" s="153">
        <v>564516.6</v>
      </c>
      <c r="O1373" s="152">
        <v>0</v>
      </c>
      <c r="P1373" s="154">
        <v>0</v>
      </c>
      <c r="Q1373" s="152">
        <v>0</v>
      </c>
      <c r="R1373" s="9">
        <v>3535656.6</v>
      </c>
      <c r="S1373" s="21" t="s">
        <v>1846</v>
      </c>
      <c r="T1373" s="117">
        <v>0</v>
      </c>
      <c r="U1373" s="117">
        <v>0</v>
      </c>
      <c r="V1373" s="117">
        <v>2024</v>
      </c>
      <c r="W1373" s="117">
        <v>7</v>
      </c>
      <c r="X1373" s="117">
        <v>0</v>
      </c>
      <c r="Y1373" s="117">
        <v>0</v>
      </c>
      <c r="Z1373" s="21" t="b">
        <v>0</v>
      </c>
      <c r="AA1373" s="162">
        <f>+$AD$5-Tabla2[[#This Row],[FECHA DE FACTURACIÓN]]</f>
        <v>127</v>
      </c>
      <c r="AB1373" s="163" t="str">
        <f>+IF(Tabla2[[#This Row],[dias de credito]]&gt;=Tabla2[[#This Row],[PLAZO Días]],"venc", "No venc")</f>
        <v>venc</v>
      </c>
      <c r="AC1373" s="163" t="str">
        <f>+IF(Tabla2[[#This Row],[FECHA DE PAGO]]&gt;0,"pagada","por pagar")</f>
        <v>pagada</v>
      </c>
      <c r="AD1373" s="164" t="str">
        <f>+IF(AND(Tabla2[[#This Row],[venc]]="venc",Tabla2[[#This Row],[estado pago]]="por pagar"),"vencida","no")</f>
        <v>no</v>
      </c>
    </row>
    <row r="1374" spans="1:30" ht="19.5" customHeight="1" x14ac:dyDescent="0.25">
      <c r="A1374" s="8" t="s">
        <v>1850</v>
      </c>
      <c r="B1374" s="8" t="s">
        <v>1851</v>
      </c>
      <c r="C1374" s="8">
        <v>45</v>
      </c>
      <c r="D1374" s="151">
        <v>2446500</v>
      </c>
      <c r="E1374" s="151"/>
      <c r="F1374" s="24" t="s">
        <v>158</v>
      </c>
      <c r="G1374" s="30">
        <v>45369</v>
      </c>
      <c r="H1374" s="81" t="s">
        <v>10</v>
      </c>
      <c r="I1374" s="30">
        <v>45320</v>
      </c>
      <c r="J1374" s="16" t="s">
        <v>1490</v>
      </c>
      <c r="K1374" s="9" t="s">
        <v>504</v>
      </c>
      <c r="L1374" s="9" t="s">
        <v>1533</v>
      </c>
      <c r="M1374" s="152">
        <v>4620000</v>
      </c>
      <c r="N1374" s="153">
        <v>877800</v>
      </c>
      <c r="O1374" s="152">
        <v>0</v>
      </c>
      <c r="P1374" s="154">
        <v>2.5000000000000001E-2</v>
      </c>
      <c r="Q1374" s="152">
        <v>115500</v>
      </c>
      <c r="R1374" s="9">
        <v>5382300</v>
      </c>
      <c r="S1374" s="21" t="s">
        <v>1846</v>
      </c>
      <c r="T1374" s="117">
        <v>0</v>
      </c>
      <c r="U1374" s="117" t="s">
        <v>347</v>
      </c>
      <c r="V1374" s="117">
        <v>2024</v>
      </c>
      <c r="W1374" s="117">
        <v>7</v>
      </c>
      <c r="X1374" s="117">
        <v>1271000</v>
      </c>
      <c r="Y1374" s="117">
        <v>2.5000000000000001E-2</v>
      </c>
      <c r="Z1374" s="21" t="b">
        <v>0</v>
      </c>
      <c r="AA1374" s="162">
        <f>+$AD$5-Tabla2[[#This Row],[FECHA DE FACTURACIÓN]]</f>
        <v>123</v>
      </c>
      <c r="AB1374" s="163" t="str">
        <f>+IF(Tabla2[[#This Row],[dias de credito]]&gt;=Tabla2[[#This Row],[PLAZO Días]],"venc", "No venc")</f>
        <v>venc</v>
      </c>
      <c r="AC1374" s="163" t="str">
        <f>+IF(Tabla2[[#This Row],[FECHA DE PAGO]]&gt;0,"pagada","por pagar")</f>
        <v>pagada</v>
      </c>
      <c r="AD1374" s="164" t="str">
        <f>+IF(AND(Tabla2[[#This Row],[venc]]="venc",Tabla2[[#This Row],[estado pago]]="por pagar"),"vencida","no")</f>
        <v>no</v>
      </c>
    </row>
    <row r="1375" spans="1:30" ht="19.5" customHeight="1" x14ac:dyDescent="0.25">
      <c r="A1375" s="8" t="s">
        <v>1850</v>
      </c>
      <c r="B1375" s="8" t="s">
        <v>1851</v>
      </c>
      <c r="C1375" s="8">
        <v>30</v>
      </c>
      <c r="D1375" s="151">
        <v>2095000</v>
      </c>
      <c r="E1375" s="151"/>
      <c r="F1375" s="24" t="s">
        <v>204</v>
      </c>
      <c r="G1375" s="30">
        <v>45369</v>
      </c>
      <c r="H1375" s="81" t="s">
        <v>1804</v>
      </c>
      <c r="I1375" s="30">
        <v>45335</v>
      </c>
      <c r="J1375" s="16" t="s">
        <v>1610</v>
      </c>
      <c r="K1375" s="9" t="s">
        <v>1530</v>
      </c>
      <c r="L1375" s="9" t="s">
        <v>1395</v>
      </c>
      <c r="M1375" s="152">
        <v>2040000</v>
      </c>
      <c r="N1375" s="153">
        <v>0</v>
      </c>
      <c r="O1375" s="152">
        <v>0</v>
      </c>
      <c r="P1375" s="154">
        <v>0</v>
      </c>
      <c r="Q1375" s="152">
        <v>0</v>
      </c>
      <c r="R1375" s="9">
        <v>2040000</v>
      </c>
      <c r="S1375" s="21" t="s">
        <v>1846</v>
      </c>
      <c r="T1375" s="117">
        <v>0</v>
      </c>
      <c r="U1375" s="117">
        <v>0</v>
      </c>
      <c r="V1375" s="117">
        <v>2024</v>
      </c>
      <c r="W1375" s="117">
        <v>7</v>
      </c>
      <c r="X1375" s="117">
        <v>0</v>
      </c>
      <c r="Y1375" s="117">
        <v>0</v>
      </c>
      <c r="Z1375" s="21" t="b">
        <v>0</v>
      </c>
      <c r="AA1375" s="162">
        <f>+$AD$5-Tabla2[[#This Row],[FECHA DE FACTURACIÓN]]</f>
        <v>108</v>
      </c>
      <c r="AB1375" s="163" t="str">
        <f>+IF(Tabla2[[#This Row],[dias de credito]]&gt;=Tabla2[[#This Row],[PLAZO Días]],"venc", "No venc")</f>
        <v>venc</v>
      </c>
      <c r="AC1375" s="163" t="str">
        <f>+IF(Tabla2[[#This Row],[FECHA DE PAGO]]&gt;0,"pagada","por pagar")</f>
        <v>pagada</v>
      </c>
      <c r="AD1375" s="164" t="str">
        <f>+IF(AND(Tabla2[[#This Row],[venc]]="venc",Tabla2[[#This Row],[estado pago]]="por pagar"),"vencida","no")</f>
        <v>no</v>
      </c>
    </row>
    <row r="1376" spans="1:30" ht="19.5" customHeight="1" x14ac:dyDescent="0.25">
      <c r="A1376" s="8" t="s">
        <v>1852</v>
      </c>
      <c r="B1376" s="8" t="b">
        <v>0</v>
      </c>
      <c r="C1376" s="8">
        <v>30</v>
      </c>
      <c r="D1376" s="151">
        <v>0</v>
      </c>
      <c r="E1376" s="151"/>
      <c r="F1376" s="24" t="s">
        <v>84</v>
      </c>
      <c r="G1376" s="30">
        <v>45369</v>
      </c>
      <c r="H1376" s="81" t="s">
        <v>1803</v>
      </c>
      <c r="I1376" s="30">
        <v>45369</v>
      </c>
      <c r="J1376" s="16" t="s">
        <v>1711</v>
      </c>
      <c r="K1376" s="9" t="s">
        <v>1530</v>
      </c>
      <c r="L1376" s="9" t="s">
        <v>1541</v>
      </c>
      <c r="M1376" s="152">
        <v>2265401</v>
      </c>
      <c r="N1376" s="153">
        <v>0</v>
      </c>
      <c r="O1376" s="152">
        <v>0</v>
      </c>
      <c r="P1376" s="154">
        <v>0</v>
      </c>
      <c r="Q1376" s="152">
        <v>0</v>
      </c>
      <c r="R1376" s="9">
        <v>2265401</v>
      </c>
      <c r="S1376" s="21" t="s">
        <v>1846</v>
      </c>
      <c r="T1376" s="117">
        <v>0</v>
      </c>
      <c r="U1376" s="117">
        <v>0</v>
      </c>
      <c r="V1376" s="117">
        <v>2024</v>
      </c>
      <c r="W1376" s="117">
        <v>7</v>
      </c>
      <c r="X1376" s="117">
        <v>0</v>
      </c>
      <c r="Y1376" s="117">
        <v>0</v>
      </c>
      <c r="Z1376" s="21" t="b">
        <v>0</v>
      </c>
      <c r="AA1376" s="162">
        <f>+$AD$5-Tabla2[[#This Row],[FECHA DE FACTURACIÓN]]</f>
        <v>74</v>
      </c>
      <c r="AB1376" s="163" t="str">
        <f>+IF(Tabla2[[#This Row],[dias de credito]]&gt;=Tabla2[[#This Row],[PLAZO Días]],"venc", "No venc")</f>
        <v>venc</v>
      </c>
      <c r="AC1376" s="163" t="str">
        <f>+IF(Tabla2[[#This Row],[FECHA DE PAGO]]&gt;0,"pagada","por pagar")</f>
        <v>pagada</v>
      </c>
      <c r="AD1376" s="164" t="str">
        <f>+IF(AND(Tabla2[[#This Row],[venc]]="venc",Tabla2[[#This Row],[estado pago]]="por pagar"),"vencida","no")</f>
        <v>no</v>
      </c>
    </row>
    <row r="1377" spans="1:30" ht="19.5" hidden="1" customHeight="1" x14ac:dyDescent="0.25">
      <c r="A1377" s="8" t="s">
        <v>1850</v>
      </c>
      <c r="B1377" s="8" t="s">
        <v>1851</v>
      </c>
      <c r="C1377" s="8">
        <v>30</v>
      </c>
      <c r="D1377" s="151">
        <v>352000</v>
      </c>
      <c r="E1377" s="151"/>
      <c r="F1377" s="24" t="s">
        <v>84</v>
      </c>
      <c r="G1377" s="30">
        <v>45370</v>
      </c>
      <c r="H1377" s="81" t="s">
        <v>527</v>
      </c>
      <c r="I1377" s="30">
        <v>45278</v>
      </c>
      <c r="J1377" s="16" t="s">
        <v>1500</v>
      </c>
      <c r="K1377" s="9" t="s">
        <v>1530</v>
      </c>
      <c r="L1377" s="9" t="s">
        <v>1395</v>
      </c>
      <c r="M1377" s="152">
        <v>269500</v>
      </c>
      <c r="N1377" s="153">
        <v>0</v>
      </c>
      <c r="O1377" s="152">
        <v>0</v>
      </c>
      <c r="P1377" s="154">
        <v>0</v>
      </c>
      <c r="Q1377" s="152">
        <v>0</v>
      </c>
      <c r="R1377" s="9">
        <v>269500</v>
      </c>
      <c r="S1377" s="21" t="s">
        <v>1846</v>
      </c>
      <c r="T1377" s="117">
        <v>0</v>
      </c>
      <c r="U1377" s="117">
        <v>0</v>
      </c>
      <c r="V1377" s="117">
        <v>2023</v>
      </c>
      <c r="W1377" s="117">
        <v>6</v>
      </c>
      <c r="X1377" s="117">
        <v>0</v>
      </c>
      <c r="Y1377" s="117">
        <v>0</v>
      </c>
      <c r="Z1377" s="21" t="b">
        <v>0</v>
      </c>
      <c r="AA1377" s="162">
        <f>+$AD$5-Tabla2[[#This Row],[FECHA DE FACTURACIÓN]]</f>
        <v>165</v>
      </c>
      <c r="AB1377" s="163" t="str">
        <f>+IF(Tabla2[[#This Row],[dias de credito]]&gt;=Tabla2[[#This Row],[PLAZO Días]],"venc", "No venc")</f>
        <v>venc</v>
      </c>
      <c r="AC1377" s="163" t="str">
        <f>+IF(Tabla2[[#This Row],[FECHA DE PAGO]]&gt;0,"pagada","por pagar")</f>
        <v>pagada</v>
      </c>
      <c r="AD1377" s="164" t="str">
        <f>+IF(AND(Tabla2[[#This Row],[venc]]="venc",Tabla2[[#This Row],[estado pago]]="por pagar"),"vencida","no")</f>
        <v>no</v>
      </c>
    </row>
    <row r="1378" spans="1:30" ht="19.5" customHeight="1" x14ac:dyDescent="0.25">
      <c r="A1378" s="8" t="s">
        <v>1850</v>
      </c>
      <c r="B1378" s="8" t="s">
        <v>1851</v>
      </c>
      <c r="C1378" s="8">
        <v>30</v>
      </c>
      <c r="D1378" s="151">
        <v>4316000</v>
      </c>
      <c r="E1378" s="151"/>
      <c r="F1378" s="24" t="s">
        <v>84</v>
      </c>
      <c r="G1378" s="30">
        <v>45370</v>
      </c>
      <c r="H1378" s="81" t="s">
        <v>1812</v>
      </c>
      <c r="I1378" s="30">
        <v>45324</v>
      </c>
      <c r="J1378" s="16" t="s">
        <v>1543</v>
      </c>
      <c r="K1378" s="9" t="s">
        <v>1530</v>
      </c>
      <c r="L1378" s="9" t="s">
        <v>1395</v>
      </c>
      <c r="M1378" s="152">
        <v>780000</v>
      </c>
      <c r="N1378" s="153">
        <v>0</v>
      </c>
      <c r="O1378" s="152">
        <v>0</v>
      </c>
      <c r="P1378" s="154">
        <v>0</v>
      </c>
      <c r="Q1378" s="152">
        <v>0</v>
      </c>
      <c r="R1378" s="9">
        <v>780000</v>
      </c>
      <c r="S1378" s="21" t="s">
        <v>1846</v>
      </c>
      <c r="T1378" s="117">
        <v>0</v>
      </c>
      <c r="U1378" s="117">
        <v>0</v>
      </c>
      <c r="V1378" s="117">
        <v>2024</v>
      </c>
      <c r="W1378" s="117">
        <v>7</v>
      </c>
      <c r="X1378" s="117">
        <v>0</v>
      </c>
      <c r="Y1378" s="117">
        <v>0</v>
      </c>
      <c r="Z1378" s="21" t="b">
        <v>0</v>
      </c>
      <c r="AA1378" s="162">
        <f>+$AD$5-Tabla2[[#This Row],[FECHA DE FACTURACIÓN]]</f>
        <v>119</v>
      </c>
      <c r="AB1378" s="163" t="str">
        <f>+IF(Tabla2[[#This Row],[dias de credito]]&gt;=Tabla2[[#This Row],[PLAZO Días]],"venc", "No venc")</f>
        <v>venc</v>
      </c>
      <c r="AC1378" s="163" t="str">
        <f>+IF(Tabla2[[#This Row],[FECHA DE PAGO]]&gt;0,"pagada","por pagar")</f>
        <v>pagada</v>
      </c>
      <c r="AD1378" s="164" t="str">
        <f>+IF(AND(Tabla2[[#This Row],[venc]]="venc",Tabla2[[#This Row],[estado pago]]="por pagar"),"vencida","no")</f>
        <v>no</v>
      </c>
    </row>
    <row r="1379" spans="1:30" ht="19.5" customHeight="1" x14ac:dyDescent="0.25">
      <c r="A1379" s="8" t="s">
        <v>1850</v>
      </c>
      <c r="B1379" s="8" t="s">
        <v>1851</v>
      </c>
      <c r="C1379" s="8">
        <v>30</v>
      </c>
      <c r="D1379" s="151">
        <v>0</v>
      </c>
      <c r="E1379" s="151"/>
      <c r="F1379" s="24" t="s">
        <v>1496</v>
      </c>
      <c r="G1379" s="30">
        <v>45370</v>
      </c>
      <c r="H1379" s="81" t="s">
        <v>411</v>
      </c>
      <c r="I1379" s="30">
        <v>45334</v>
      </c>
      <c r="J1379" s="16" t="s">
        <v>1572</v>
      </c>
      <c r="K1379" s="9" t="s">
        <v>504</v>
      </c>
      <c r="L1379" s="9" t="s">
        <v>1533</v>
      </c>
      <c r="M1379" s="152">
        <v>1230000</v>
      </c>
      <c r="N1379" s="153">
        <v>233700</v>
      </c>
      <c r="O1379" s="152">
        <v>0</v>
      </c>
      <c r="P1379" s="154">
        <v>0</v>
      </c>
      <c r="Q1379" s="152">
        <v>0</v>
      </c>
      <c r="R1379" s="9">
        <v>1463700</v>
      </c>
      <c r="S1379" s="21" t="s">
        <v>1846</v>
      </c>
      <c r="T1379" s="117">
        <v>0</v>
      </c>
      <c r="U1379" s="117" t="s">
        <v>347</v>
      </c>
      <c r="V1379" s="117">
        <v>2024</v>
      </c>
      <c r="W1379" s="117">
        <v>7</v>
      </c>
      <c r="X1379" s="117">
        <v>1271000</v>
      </c>
      <c r="Y1379" s="117">
        <v>2.5000000000000001E-2</v>
      </c>
      <c r="Z1379" s="21" t="b">
        <v>0</v>
      </c>
      <c r="AA1379" s="162">
        <f>+$AD$5-Tabla2[[#This Row],[FECHA DE FACTURACIÓN]]</f>
        <v>109</v>
      </c>
      <c r="AB1379" s="163" t="str">
        <f>+IF(Tabla2[[#This Row],[dias de credito]]&gt;=Tabla2[[#This Row],[PLAZO Días]],"venc", "No venc")</f>
        <v>venc</v>
      </c>
      <c r="AC1379" s="163" t="str">
        <f>+IF(Tabla2[[#This Row],[FECHA DE PAGO]]&gt;0,"pagada","por pagar")</f>
        <v>pagada</v>
      </c>
      <c r="AD1379" s="164" t="str">
        <f>+IF(AND(Tabla2[[#This Row],[venc]]="venc",Tabla2[[#This Row],[estado pago]]="por pagar"),"vencida","no")</f>
        <v>no</v>
      </c>
    </row>
    <row r="1380" spans="1:30" ht="19.5" customHeight="1" x14ac:dyDescent="0.25">
      <c r="A1380" s="8" t="s">
        <v>1850</v>
      </c>
      <c r="B1380" s="8" t="s">
        <v>1851</v>
      </c>
      <c r="C1380" s="8">
        <v>30</v>
      </c>
      <c r="D1380" s="151">
        <v>818443.92</v>
      </c>
      <c r="E1380" s="151"/>
      <c r="F1380" s="24" t="s">
        <v>111</v>
      </c>
      <c r="G1380" s="30">
        <v>45370</v>
      </c>
      <c r="H1380" s="81" t="s">
        <v>20</v>
      </c>
      <c r="I1380" s="30">
        <v>45337</v>
      </c>
      <c r="J1380" s="16" t="s">
        <v>1581</v>
      </c>
      <c r="K1380" s="9" t="s">
        <v>504</v>
      </c>
      <c r="L1380" s="9" t="s">
        <v>1534</v>
      </c>
      <c r="M1380" s="152">
        <v>2520500</v>
      </c>
      <c r="N1380" s="153">
        <v>464528</v>
      </c>
      <c r="O1380" s="152">
        <v>75615</v>
      </c>
      <c r="P1380" s="154">
        <v>2.5000000000000001E-2</v>
      </c>
      <c r="Q1380" s="152">
        <v>61122</v>
      </c>
      <c r="R1380" s="9">
        <v>2848291</v>
      </c>
      <c r="S1380" s="21" t="s">
        <v>1846</v>
      </c>
      <c r="T1380" s="117">
        <v>0</v>
      </c>
      <c r="U1380" s="117" t="s">
        <v>347</v>
      </c>
      <c r="V1380" s="117">
        <v>2024</v>
      </c>
      <c r="W1380" s="117">
        <v>7</v>
      </c>
      <c r="X1380" s="117">
        <v>1271000</v>
      </c>
      <c r="Y1380" s="117">
        <v>2.5000000000000001E-2</v>
      </c>
      <c r="Z1380" s="21" t="b">
        <v>0</v>
      </c>
      <c r="AA1380" s="162">
        <f>+$AD$5-Tabla2[[#This Row],[FECHA DE FACTURACIÓN]]</f>
        <v>106</v>
      </c>
      <c r="AB1380" s="163" t="str">
        <f>+IF(Tabla2[[#This Row],[dias de credito]]&gt;=Tabla2[[#This Row],[PLAZO Días]],"venc", "No venc")</f>
        <v>venc</v>
      </c>
      <c r="AC1380" s="163" t="str">
        <f>+IF(Tabla2[[#This Row],[FECHA DE PAGO]]&gt;0,"pagada","por pagar")</f>
        <v>pagada</v>
      </c>
      <c r="AD1380" s="164" t="str">
        <f>+IF(AND(Tabla2[[#This Row],[venc]]="venc",Tabla2[[#This Row],[estado pago]]="por pagar"),"vencida","no")</f>
        <v>no</v>
      </c>
    </row>
    <row r="1381" spans="1:30" ht="19.5" customHeight="1" x14ac:dyDescent="0.25">
      <c r="A1381" s="8" t="s">
        <v>1850</v>
      </c>
      <c r="B1381" s="8" t="b">
        <v>0</v>
      </c>
      <c r="C1381" s="8">
        <v>30</v>
      </c>
      <c r="D1381" s="151">
        <v>0</v>
      </c>
      <c r="E1381" s="151"/>
      <c r="F1381" s="24" t="s">
        <v>84</v>
      </c>
      <c r="G1381" s="30">
        <v>45370</v>
      </c>
      <c r="H1381" s="81" t="s">
        <v>481</v>
      </c>
      <c r="I1381" s="30">
        <v>45369</v>
      </c>
      <c r="J1381" s="16" t="s">
        <v>1667</v>
      </c>
      <c r="K1381" s="9" t="s">
        <v>504</v>
      </c>
      <c r="L1381" s="9" t="s">
        <v>1541</v>
      </c>
      <c r="M1381" s="152">
        <v>1726000</v>
      </c>
      <c r="N1381" s="153">
        <v>0</v>
      </c>
      <c r="O1381" s="152">
        <v>0</v>
      </c>
      <c r="P1381" s="154">
        <v>0</v>
      </c>
      <c r="Q1381" s="152">
        <v>0</v>
      </c>
      <c r="R1381" s="9">
        <v>1726000</v>
      </c>
      <c r="S1381" s="21" t="s">
        <v>1846</v>
      </c>
      <c r="T1381" s="117">
        <v>0</v>
      </c>
      <c r="U1381" s="117">
        <v>0</v>
      </c>
      <c r="V1381" s="117">
        <v>2024</v>
      </c>
      <c r="W1381" s="117">
        <v>7</v>
      </c>
      <c r="X1381" s="117">
        <v>0</v>
      </c>
      <c r="Y1381" s="117">
        <v>0</v>
      </c>
      <c r="Z1381" s="21" t="b">
        <v>0</v>
      </c>
      <c r="AA1381" s="162">
        <f>+$AD$5-Tabla2[[#This Row],[FECHA DE FACTURACIÓN]]</f>
        <v>74</v>
      </c>
      <c r="AB1381" s="163" t="str">
        <f>+IF(Tabla2[[#This Row],[dias de credito]]&gt;=Tabla2[[#This Row],[PLAZO Días]],"venc", "No venc")</f>
        <v>venc</v>
      </c>
      <c r="AC1381" s="163" t="str">
        <f>+IF(Tabla2[[#This Row],[FECHA DE PAGO]]&gt;0,"pagada","por pagar")</f>
        <v>pagada</v>
      </c>
      <c r="AD1381" s="164" t="str">
        <f>+IF(AND(Tabla2[[#This Row],[venc]]="venc",Tabla2[[#This Row],[estado pago]]="por pagar"),"vencida","no")</f>
        <v>no</v>
      </c>
    </row>
    <row r="1382" spans="1:30" ht="19.5" customHeight="1" x14ac:dyDescent="0.25">
      <c r="A1382" s="8" t="s">
        <v>1850</v>
      </c>
      <c r="B1382" s="8" t="s">
        <v>1851</v>
      </c>
      <c r="C1382" s="8">
        <v>30</v>
      </c>
      <c r="D1382" s="151">
        <v>0</v>
      </c>
      <c r="E1382" s="151"/>
      <c r="F1382" s="24">
        <v>0</v>
      </c>
      <c r="G1382" s="30">
        <v>45371</v>
      </c>
      <c r="H1382" s="81" t="s">
        <v>492</v>
      </c>
      <c r="I1382" s="30">
        <v>45317</v>
      </c>
      <c r="J1382" s="16">
        <v>617</v>
      </c>
      <c r="K1382" s="9" t="s">
        <v>1530</v>
      </c>
      <c r="L1382" s="9" t="s">
        <v>1395</v>
      </c>
      <c r="M1382" s="152">
        <v>351000</v>
      </c>
      <c r="N1382" s="153">
        <v>0</v>
      </c>
      <c r="O1382" s="152">
        <v>0</v>
      </c>
      <c r="P1382" s="154">
        <v>0</v>
      </c>
      <c r="Q1382" s="152">
        <v>0</v>
      </c>
      <c r="R1382" s="9">
        <v>351000</v>
      </c>
      <c r="S1382" s="21" t="s">
        <v>1846</v>
      </c>
      <c r="T1382" s="117">
        <v>0</v>
      </c>
      <c r="U1382" s="117">
        <v>0</v>
      </c>
      <c r="V1382" s="117">
        <v>2024</v>
      </c>
      <c r="W1382" s="117">
        <v>7</v>
      </c>
      <c r="X1382" s="117">
        <v>0</v>
      </c>
      <c r="Y1382" s="117">
        <v>0</v>
      </c>
      <c r="Z1382" s="21" t="b">
        <v>0</v>
      </c>
      <c r="AA1382" s="162">
        <f>+$AD$5-Tabla2[[#This Row],[FECHA DE FACTURACIÓN]]</f>
        <v>126</v>
      </c>
      <c r="AB1382" s="163" t="str">
        <f>+IF(Tabla2[[#This Row],[dias de credito]]&gt;=Tabla2[[#This Row],[PLAZO Días]],"venc", "No venc")</f>
        <v>venc</v>
      </c>
      <c r="AC1382" s="163" t="str">
        <f>+IF(Tabla2[[#This Row],[FECHA DE PAGO]]&gt;0,"pagada","por pagar")</f>
        <v>pagada</v>
      </c>
      <c r="AD1382" s="164" t="str">
        <f>+IF(AND(Tabla2[[#This Row],[venc]]="venc",Tabla2[[#This Row],[estado pago]]="por pagar"),"vencida","no")</f>
        <v>no</v>
      </c>
    </row>
    <row r="1383" spans="1:30" ht="19.5" customHeight="1" x14ac:dyDescent="0.25">
      <c r="A1383" s="8" t="s">
        <v>1850</v>
      </c>
      <c r="B1383" s="8" t="s">
        <v>1851</v>
      </c>
      <c r="C1383" s="8">
        <v>30</v>
      </c>
      <c r="D1383" s="151">
        <v>0</v>
      </c>
      <c r="E1383" s="151"/>
      <c r="F1383" s="24" t="s">
        <v>237</v>
      </c>
      <c r="G1383" s="30">
        <v>45372</v>
      </c>
      <c r="H1383" s="81" t="s">
        <v>1817</v>
      </c>
      <c r="I1383" s="30">
        <v>45317</v>
      </c>
      <c r="J1383" s="16" t="s">
        <v>1504</v>
      </c>
      <c r="K1383" s="9" t="s">
        <v>1530</v>
      </c>
      <c r="L1383" s="9" t="s">
        <v>1395</v>
      </c>
      <c r="M1383" s="152">
        <v>1154000</v>
      </c>
      <c r="N1383" s="153">
        <v>0</v>
      </c>
      <c r="O1383" s="152">
        <v>0</v>
      </c>
      <c r="P1383" s="154">
        <v>0</v>
      </c>
      <c r="Q1383" s="152">
        <v>0</v>
      </c>
      <c r="R1383" s="9">
        <v>1154000</v>
      </c>
      <c r="S1383" s="21" t="s">
        <v>1846</v>
      </c>
      <c r="T1383" s="117">
        <v>0</v>
      </c>
      <c r="U1383" s="117">
        <v>0</v>
      </c>
      <c r="V1383" s="117">
        <v>2024</v>
      </c>
      <c r="W1383" s="117">
        <v>7</v>
      </c>
      <c r="X1383" s="117">
        <v>0</v>
      </c>
      <c r="Y1383" s="117">
        <v>0</v>
      </c>
      <c r="Z1383" s="21" t="b">
        <v>0</v>
      </c>
      <c r="AA1383" s="162">
        <f>+$AD$5-Tabla2[[#This Row],[FECHA DE FACTURACIÓN]]</f>
        <v>126</v>
      </c>
      <c r="AB1383" s="163" t="str">
        <f>+IF(Tabla2[[#This Row],[dias de credito]]&gt;=Tabla2[[#This Row],[PLAZO Días]],"venc", "No venc")</f>
        <v>venc</v>
      </c>
      <c r="AC1383" s="163" t="str">
        <f>+IF(Tabla2[[#This Row],[FECHA DE PAGO]]&gt;0,"pagada","por pagar")</f>
        <v>pagada</v>
      </c>
      <c r="AD1383" s="164" t="str">
        <f>+IF(AND(Tabla2[[#This Row],[venc]]="venc",Tabla2[[#This Row],[estado pago]]="por pagar"),"vencida","no")</f>
        <v>no</v>
      </c>
    </row>
    <row r="1384" spans="1:30" ht="19.5" customHeight="1" x14ac:dyDescent="0.25">
      <c r="A1384" s="8" t="s">
        <v>1850</v>
      </c>
      <c r="B1384" s="8" t="s">
        <v>1851</v>
      </c>
      <c r="C1384" s="8">
        <v>30</v>
      </c>
      <c r="D1384" s="151">
        <v>8456975.129999999</v>
      </c>
      <c r="E1384" s="151"/>
      <c r="F1384" s="24" t="s">
        <v>1476</v>
      </c>
      <c r="G1384" s="30">
        <v>45373</v>
      </c>
      <c r="H1384" s="81" t="s">
        <v>1464</v>
      </c>
      <c r="I1384" s="30">
        <v>45328</v>
      </c>
      <c r="J1384" s="16" t="s">
        <v>1545</v>
      </c>
      <c r="K1384" s="9" t="s">
        <v>1530</v>
      </c>
      <c r="L1384" s="9" t="s">
        <v>1533</v>
      </c>
      <c r="M1384" s="152">
        <v>1909800</v>
      </c>
      <c r="N1384" s="153">
        <v>362862</v>
      </c>
      <c r="O1384" s="152">
        <v>0</v>
      </c>
      <c r="P1384" s="154">
        <v>2.5000000000000001E-2</v>
      </c>
      <c r="Q1384" s="152">
        <v>47745</v>
      </c>
      <c r="R1384" s="9">
        <v>2224917</v>
      </c>
      <c r="S1384" s="21" t="s">
        <v>1846</v>
      </c>
      <c r="T1384" s="117">
        <v>0</v>
      </c>
      <c r="U1384" s="117" t="s">
        <v>347</v>
      </c>
      <c r="V1384" s="117">
        <v>2024</v>
      </c>
      <c r="W1384" s="117">
        <v>7</v>
      </c>
      <c r="X1384" s="117">
        <v>1271000</v>
      </c>
      <c r="Y1384" s="117">
        <v>2.5000000000000001E-2</v>
      </c>
      <c r="Z1384" s="21" t="b">
        <v>0</v>
      </c>
      <c r="AA1384" s="162">
        <f>+$AD$5-Tabla2[[#This Row],[FECHA DE FACTURACIÓN]]</f>
        <v>115</v>
      </c>
      <c r="AB1384" s="163" t="str">
        <f>+IF(Tabla2[[#This Row],[dias de credito]]&gt;=Tabla2[[#This Row],[PLAZO Días]],"venc", "No venc")</f>
        <v>venc</v>
      </c>
      <c r="AC1384" s="163" t="str">
        <f>+IF(Tabla2[[#This Row],[FECHA DE PAGO]]&gt;0,"pagada","por pagar")</f>
        <v>pagada</v>
      </c>
      <c r="AD1384" s="164" t="str">
        <f>+IF(AND(Tabla2[[#This Row],[venc]]="venc",Tabla2[[#This Row],[estado pago]]="por pagar"),"vencida","no")</f>
        <v>no</v>
      </c>
    </row>
    <row r="1385" spans="1:30" ht="19.5" customHeight="1" x14ac:dyDescent="0.25">
      <c r="A1385" s="8" t="s">
        <v>1850</v>
      </c>
      <c r="B1385" s="8" t="s">
        <v>1851</v>
      </c>
      <c r="C1385" s="8">
        <v>30</v>
      </c>
      <c r="D1385" s="151">
        <v>5813868.5099999998</v>
      </c>
      <c r="E1385" s="151"/>
      <c r="F1385" s="24" t="s">
        <v>455</v>
      </c>
      <c r="G1385" s="30">
        <v>45373</v>
      </c>
      <c r="H1385" s="81" t="s">
        <v>24</v>
      </c>
      <c r="I1385" s="30">
        <v>45334</v>
      </c>
      <c r="J1385" s="16">
        <v>5042295</v>
      </c>
      <c r="K1385" s="9" t="s">
        <v>504</v>
      </c>
      <c r="L1385" s="9" t="s">
        <v>1534</v>
      </c>
      <c r="M1385" s="152">
        <v>4744501</v>
      </c>
      <c r="N1385" s="153">
        <v>901455.19000000006</v>
      </c>
      <c r="O1385" s="152">
        <v>0</v>
      </c>
      <c r="P1385" s="154">
        <v>2.5000000000000001E-2</v>
      </c>
      <c r="Q1385" s="152">
        <v>118612.52500000001</v>
      </c>
      <c r="R1385" s="9">
        <v>5527343.665</v>
      </c>
      <c r="S1385" s="21" t="s">
        <v>1846</v>
      </c>
      <c r="T1385" s="117">
        <v>0</v>
      </c>
      <c r="U1385" s="117" t="s">
        <v>347</v>
      </c>
      <c r="V1385" s="117">
        <v>2024</v>
      </c>
      <c r="W1385" s="117">
        <v>7</v>
      </c>
      <c r="X1385" s="117">
        <v>1271000</v>
      </c>
      <c r="Y1385" s="117">
        <v>2.5000000000000001E-2</v>
      </c>
      <c r="Z1385" s="21" t="b">
        <v>0</v>
      </c>
      <c r="AA1385" s="162">
        <f>+$AD$5-Tabla2[[#This Row],[FECHA DE FACTURACIÓN]]</f>
        <v>109</v>
      </c>
      <c r="AB1385" s="163" t="str">
        <f>+IF(Tabla2[[#This Row],[dias de credito]]&gt;=Tabla2[[#This Row],[PLAZO Días]],"venc", "No venc")</f>
        <v>venc</v>
      </c>
      <c r="AC1385" s="163" t="str">
        <f>+IF(Tabla2[[#This Row],[FECHA DE PAGO]]&gt;0,"pagada","por pagar")</f>
        <v>pagada</v>
      </c>
      <c r="AD1385" s="164" t="str">
        <f>+IF(AND(Tabla2[[#This Row],[venc]]="venc",Tabla2[[#This Row],[estado pago]]="por pagar"),"vencida","no")</f>
        <v>no</v>
      </c>
    </row>
    <row r="1386" spans="1:30" ht="19.5" customHeight="1" x14ac:dyDescent="0.25">
      <c r="A1386" s="8" t="s">
        <v>1850</v>
      </c>
      <c r="B1386" s="8" t="s">
        <v>1851</v>
      </c>
      <c r="C1386" s="8">
        <v>30</v>
      </c>
      <c r="D1386" s="151">
        <v>8456975.129999999</v>
      </c>
      <c r="E1386" s="151"/>
      <c r="F1386" s="24" t="s">
        <v>1476</v>
      </c>
      <c r="G1386" s="30">
        <v>45373</v>
      </c>
      <c r="H1386" s="81" t="s">
        <v>1464</v>
      </c>
      <c r="I1386" s="30">
        <v>45335</v>
      </c>
      <c r="J1386" s="16" t="s">
        <v>1663</v>
      </c>
      <c r="K1386" s="9" t="s">
        <v>1530</v>
      </c>
      <c r="L1386" s="9" t="s">
        <v>1533</v>
      </c>
      <c r="M1386" s="152">
        <v>87981</v>
      </c>
      <c r="N1386" s="153">
        <v>16716.39</v>
      </c>
      <c r="O1386" s="152">
        <v>0</v>
      </c>
      <c r="P1386" s="154">
        <v>0</v>
      </c>
      <c r="Q1386" s="152">
        <v>0</v>
      </c>
      <c r="R1386" s="9">
        <v>104697.39</v>
      </c>
      <c r="S1386" s="21" t="s">
        <v>1846</v>
      </c>
      <c r="T1386" s="117">
        <v>0</v>
      </c>
      <c r="U1386" s="117" t="s">
        <v>347</v>
      </c>
      <c r="V1386" s="117">
        <v>2024</v>
      </c>
      <c r="W1386" s="117">
        <v>7</v>
      </c>
      <c r="X1386" s="117">
        <v>1271000</v>
      </c>
      <c r="Y1386" s="117">
        <v>2.5000000000000001E-2</v>
      </c>
      <c r="Z1386" s="21" t="b">
        <v>0</v>
      </c>
      <c r="AA1386" s="162">
        <f>+$AD$5-Tabla2[[#This Row],[FECHA DE FACTURACIÓN]]</f>
        <v>108</v>
      </c>
      <c r="AB1386" s="163" t="str">
        <f>+IF(Tabla2[[#This Row],[dias de credito]]&gt;=Tabla2[[#This Row],[PLAZO Días]],"venc", "No venc")</f>
        <v>venc</v>
      </c>
      <c r="AC1386" s="163" t="str">
        <f>+IF(Tabla2[[#This Row],[FECHA DE PAGO]]&gt;0,"pagada","por pagar")</f>
        <v>pagada</v>
      </c>
      <c r="AD1386" s="164" t="str">
        <f>+IF(AND(Tabla2[[#This Row],[venc]]="venc",Tabla2[[#This Row],[estado pago]]="por pagar"),"vencida","no")</f>
        <v>no</v>
      </c>
    </row>
    <row r="1387" spans="1:30" ht="19.5" customHeight="1" x14ac:dyDescent="0.25">
      <c r="A1387" s="8" t="s">
        <v>1850</v>
      </c>
      <c r="B1387" s="8" t="s">
        <v>1851</v>
      </c>
      <c r="C1387" s="8">
        <v>30</v>
      </c>
      <c r="D1387" s="151">
        <v>4466504.835</v>
      </c>
      <c r="E1387" s="151"/>
      <c r="F1387" s="24" t="s">
        <v>1553</v>
      </c>
      <c r="G1387" s="30">
        <v>45373</v>
      </c>
      <c r="H1387" s="81" t="s">
        <v>18</v>
      </c>
      <c r="I1387" s="30">
        <v>45337</v>
      </c>
      <c r="J1387" s="16">
        <v>1083080</v>
      </c>
      <c r="K1387" s="9" t="s">
        <v>504</v>
      </c>
      <c r="L1387" s="9" t="s">
        <v>1534</v>
      </c>
      <c r="M1387" s="152">
        <v>2010570.24</v>
      </c>
      <c r="N1387" s="153">
        <v>382008.3456</v>
      </c>
      <c r="O1387" s="152">
        <v>0</v>
      </c>
      <c r="P1387" s="154">
        <v>2.5000000000000001E-2</v>
      </c>
      <c r="Q1387" s="152">
        <v>50264.256000000001</v>
      </c>
      <c r="R1387" s="9">
        <v>2342314.3295999998</v>
      </c>
      <c r="S1387" s="21" t="s">
        <v>1846</v>
      </c>
      <c r="T1387" s="117">
        <v>0</v>
      </c>
      <c r="U1387" s="117" t="s">
        <v>347</v>
      </c>
      <c r="V1387" s="117">
        <v>2024</v>
      </c>
      <c r="W1387" s="117">
        <v>7</v>
      </c>
      <c r="X1387" s="117">
        <v>1271000</v>
      </c>
      <c r="Y1387" s="117">
        <v>2.5000000000000001E-2</v>
      </c>
      <c r="Z1387" s="21" t="b">
        <v>0</v>
      </c>
      <c r="AA1387" s="162">
        <f>+$AD$5-Tabla2[[#This Row],[FECHA DE FACTURACIÓN]]</f>
        <v>106</v>
      </c>
      <c r="AB1387" s="163" t="str">
        <f>+IF(Tabla2[[#This Row],[dias de credito]]&gt;=Tabla2[[#This Row],[PLAZO Días]],"venc", "No venc")</f>
        <v>venc</v>
      </c>
      <c r="AC1387" s="163" t="str">
        <f>+IF(Tabla2[[#This Row],[FECHA DE PAGO]]&gt;0,"pagada","por pagar")</f>
        <v>pagada</v>
      </c>
      <c r="AD1387" s="164" t="str">
        <f>+IF(AND(Tabla2[[#This Row],[venc]]="venc",Tabla2[[#This Row],[estado pago]]="por pagar"),"vencida","no")</f>
        <v>no</v>
      </c>
    </row>
    <row r="1388" spans="1:30" ht="19.5" customHeight="1" x14ac:dyDescent="0.25">
      <c r="A1388" s="8" t="s">
        <v>1850</v>
      </c>
      <c r="B1388" s="8" t="s">
        <v>1851</v>
      </c>
      <c r="C1388" s="8">
        <v>30</v>
      </c>
      <c r="D1388" s="151">
        <v>5581100</v>
      </c>
      <c r="E1388" s="151"/>
      <c r="F1388" s="24" t="s">
        <v>150</v>
      </c>
      <c r="G1388" s="30">
        <v>45373</v>
      </c>
      <c r="H1388" s="81" t="s">
        <v>446</v>
      </c>
      <c r="I1388" s="30">
        <v>45338</v>
      </c>
      <c r="J1388" s="16" t="s">
        <v>1576</v>
      </c>
      <c r="K1388" s="9" t="s">
        <v>504</v>
      </c>
      <c r="L1388" s="9" t="s">
        <v>1534</v>
      </c>
      <c r="M1388" s="152">
        <v>1118600</v>
      </c>
      <c r="N1388" s="153">
        <v>212534</v>
      </c>
      <c r="O1388" s="152">
        <v>0</v>
      </c>
      <c r="P1388" s="154">
        <v>0</v>
      </c>
      <c r="Q1388" s="152">
        <v>0</v>
      </c>
      <c r="R1388" s="9">
        <v>1331134</v>
      </c>
      <c r="S1388" s="21" t="s">
        <v>1846</v>
      </c>
      <c r="T1388" s="117">
        <v>0</v>
      </c>
      <c r="U1388" s="117">
        <v>0</v>
      </c>
      <c r="V1388" s="117">
        <v>2024</v>
      </c>
      <c r="W1388" s="117">
        <v>7</v>
      </c>
      <c r="X1388" s="117">
        <v>0</v>
      </c>
      <c r="Y1388" s="117">
        <v>0</v>
      </c>
      <c r="Z1388" s="21" t="b">
        <v>0</v>
      </c>
      <c r="AA1388" s="162">
        <f>+$AD$5-Tabla2[[#This Row],[FECHA DE FACTURACIÓN]]</f>
        <v>105</v>
      </c>
      <c r="AB1388" s="163" t="str">
        <f>+IF(Tabla2[[#This Row],[dias de credito]]&gt;=Tabla2[[#This Row],[PLAZO Días]],"venc", "No venc")</f>
        <v>venc</v>
      </c>
      <c r="AC1388" s="163" t="str">
        <f>+IF(Tabla2[[#This Row],[FECHA DE PAGO]]&gt;0,"pagada","por pagar")</f>
        <v>pagada</v>
      </c>
      <c r="AD1388" s="164" t="str">
        <f>+IF(AND(Tabla2[[#This Row],[venc]]="venc",Tabla2[[#This Row],[estado pago]]="por pagar"),"vencida","no")</f>
        <v>no</v>
      </c>
    </row>
    <row r="1389" spans="1:30" ht="19.5" customHeight="1" x14ac:dyDescent="0.25">
      <c r="A1389" s="8" t="s">
        <v>1850</v>
      </c>
      <c r="B1389" s="8" t="b">
        <v>0</v>
      </c>
      <c r="C1389" s="8">
        <v>30</v>
      </c>
      <c r="D1389" s="151">
        <v>0</v>
      </c>
      <c r="E1389" s="151"/>
      <c r="F1389" s="24">
        <v>0</v>
      </c>
      <c r="G1389" s="30">
        <v>45373</v>
      </c>
      <c r="H1389" s="81" t="s">
        <v>1626</v>
      </c>
      <c r="I1389" s="30">
        <v>45377</v>
      </c>
      <c r="J1389" s="16" t="s">
        <v>1794</v>
      </c>
      <c r="K1389" s="9" t="s">
        <v>1530</v>
      </c>
      <c r="L1389" s="9" t="s">
        <v>1541</v>
      </c>
      <c r="M1389" s="152">
        <v>13200000</v>
      </c>
      <c r="N1389" s="153">
        <v>0</v>
      </c>
      <c r="O1389" s="152">
        <v>0</v>
      </c>
      <c r="P1389" s="154">
        <v>0</v>
      </c>
      <c r="Q1389" s="152">
        <v>0</v>
      </c>
      <c r="R1389" s="9">
        <v>13200000</v>
      </c>
      <c r="S1389" s="21" t="s">
        <v>1846</v>
      </c>
      <c r="T1389" s="117">
        <v>0</v>
      </c>
      <c r="U1389" s="117">
        <v>0</v>
      </c>
      <c r="V1389" s="117">
        <v>2024</v>
      </c>
      <c r="W1389" s="117">
        <v>7</v>
      </c>
      <c r="X1389" s="117">
        <v>0</v>
      </c>
      <c r="Y1389" s="117">
        <v>0</v>
      </c>
      <c r="Z1389" s="21" t="b">
        <v>0</v>
      </c>
      <c r="AA1389" s="162">
        <f>+$AD$5-Tabla2[[#This Row],[FECHA DE FACTURACIÓN]]</f>
        <v>66</v>
      </c>
      <c r="AB1389" s="163" t="str">
        <f>+IF(Tabla2[[#This Row],[dias de credito]]&gt;=Tabla2[[#This Row],[PLAZO Días]],"venc", "No venc")</f>
        <v>venc</v>
      </c>
      <c r="AC1389" s="163" t="str">
        <f>+IF(Tabla2[[#This Row],[FECHA DE PAGO]]&gt;0,"pagada","por pagar")</f>
        <v>pagada</v>
      </c>
      <c r="AD1389" s="164" t="str">
        <f>+IF(AND(Tabla2[[#This Row],[venc]]="venc",Tabla2[[#This Row],[estado pago]]="por pagar"),"vencida","no")</f>
        <v>no</v>
      </c>
    </row>
    <row r="1390" spans="1:30" ht="19.5" customHeight="1" x14ac:dyDescent="0.25">
      <c r="A1390" s="8" t="s">
        <v>1850</v>
      </c>
      <c r="B1390" s="8" t="b">
        <v>0</v>
      </c>
      <c r="C1390" s="8">
        <v>30</v>
      </c>
      <c r="D1390" s="151">
        <v>0</v>
      </c>
      <c r="E1390" s="151"/>
      <c r="F1390" s="24">
        <v>0</v>
      </c>
      <c r="G1390" s="30">
        <v>45373</v>
      </c>
      <c r="H1390" s="81" t="s">
        <v>1626</v>
      </c>
      <c r="I1390" s="30">
        <v>45377</v>
      </c>
      <c r="J1390" s="16" t="s">
        <v>1795</v>
      </c>
      <c r="K1390" s="9" t="s">
        <v>1530</v>
      </c>
      <c r="L1390" s="9" t="s">
        <v>1541</v>
      </c>
      <c r="M1390" s="152">
        <v>4676000</v>
      </c>
      <c r="N1390" s="153">
        <v>0</v>
      </c>
      <c r="O1390" s="152">
        <v>0</v>
      </c>
      <c r="P1390" s="154">
        <v>0</v>
      </c>
      <c r="Q1390" s="152">
        <v>0</v>
      </c>
      <c r="R1390" s="9">
        <v>4676000</v>
      </c>
      <c r="S1390" s="21" t="s">
        <v>1846</v>
      </c>
      <c r="T1390" s="117">
        <v>0</v>
      </c>
      <c r="U1390" s="117">
        <v>0</v>
      </c>
      <c r="V1390" s="117">
        <v>2024</v>
      </c>
      <c r="W1390" s="117">
        <v>7</v>
      </c>
      <c r="X1390" s="117">
        <v>0</v>
      </c>
      <c r="Y1390" s="117">
        <v>0</v>
      </c>
      <c r="Z1390" s="21" t="b">
        <v>0</v>
      </c>
      <c r="AA1390" s="162">
        <f>+$AD$5-Tabla2[[#This Row],[FECHA DE FACTURACIÓN]]</f>
        <v>66</v>
      </c>
      <c r="AB1390" s="163" t="str">
        <f>+IF(Tabla2[[#This Row],[dias de credito]]&gt;=Tabla2[[#This Row],[PLAZO Días]],"venc", "No venc")</f>
        <v>venc</v>
      </c>
      <c r="AC1390" s="163" t="str">
        <f>+IF(Tabla2[[#This Row],[FECHA DE PAGO]]&gt;0,"pagada","por pagar")</f>
        <v>pagada</v>
      </c>
      <c r="AD1390" s="164" t="str">
        <f>+IF(AND(Tabla2[[#This Row],[venc]]="venc",Tabla2[[#This Row],[estado pago]]="por pagar"),"vencida","no")</f>
        <v>no</v>
      </c>
    </row>
    <row r="1391" spans="1:30" ht="19.5" customHeight="1" x14ac:dyDescent="0.25">
      <c r="A1391" s="8" t="s">
        <v>1850</v>
      </c>
      <c r="B1391" s="8" t="s">
        <v>1851</v>
      </c>
      <c r="C1391" s="8">
        <v>13</v>
      </c>
      <c r="D1391" s="151">
        <v>0</v>
      </c>
      <c r="E1391" s="151"/>
      <c r="F1391" s="24">
        <v>0</v>
      </c>
      <c r="G1391" s="30">
        <v>45377</v>
      </c>
      <c r="H1391" s="81" t="s">
        <v>389</v>
      </c>
      <c r="I1391" s="30">
        <v>45352</v>
      </c>
      <c r="J1391" s="16"/>
      <c r="K1391" s="9" t="s">
        <v>1530</v>
      </c>
      <c r="L1391" s="9" t="s">
        <v>1533</v>
      </c>
      <c r="M1391" s="152">
        <v>851999</v>
      </c>
      <c r="N1391" s="153">
        <v>0</v>
      </c>
      <c r="O1391" s="152">
        <v>0</v>
      </c>
      <c r="P1391" s="154">
        <v>0</v>
      </c>
      <c r="Q1391" s="152">
        <v>0</v>
      </c>
      <c r="R1391" s="9">
        <v>851999</v>
      </c>
      <c r="S1391" s="21" t="s">
        <v>1846</v>
      </c>
      <c r="T1391" s="117">
        <v>0</v>
      </c>
      <c r="U1391" s="117">
        <v>0</v>
      </c>
      <c r="V1391" s="117">
        <v>2024</v>
      </c>
      <c r="W1391" s="117">
        <v>7</v>
      </c>
      <c r="X1391" s="117">
        <v>0</v>
      </c>
      <c r="Y1391" s="117">
        <v>0</v>
      </c>
      <c r="Z1391" s="21" t="b">
        <v>1</v>
      </c>
      <c r="AA1391" s="162">
        <f>+$AD$5-Tabla2[[#This Row],[FECHA DE FACTURACIÓN]]</f>
        <v>91</v>
      </c>
      <c r="AB1391" s="163" t="str">
        <f>+IF(Tabla2[[#This Row],[dias de credito]]&gt;=Tabla2[[#This Row],[PLAZO Días]],"venc", "No venc")</f>
        <v>venc</v>
      </c>
      <c r="AC1391" s="163" t="str">
        <f>+IF(Tabla2[[#This Row],[FECHA DE PAGO]]&gt;0,"pagada","por pagar")</f>
        <v>pagada</v>
      </c>
      <c r="AD1391" s="164" t="str">
        <f>+IF(AND(Tabla2[[#This Row],[venc]]="venc",Tabla2[[#This Row],[estado pago]]="por pagar"),"vencida","no")</f>
        <v>no</v>
      </c>
    </row>
    <row r="1392" spans="1:30" ht="19.5" customHeight="1" x14ac:dyDescent="0.25">
      <c r="A1392" s="8" t="s">
        <v>1852</v>
      </c>
      <c r="B1392" s="8" t="b">
        <v>0</v>
      </c>
      <c r="C1392" s="8">
        <v>30</v>
      </c>
      <c r="D1392" s="151">
        <v>0</v>
      </c>
      <c r="E1392" s="151"/>
      <c r="F1392" s="24" t="s">
        <v>159</v>
      </c>
      <c r="G1392" s="30">
        <v>45377</v>
      </c>
      <c r="H1392" s="81" t="s">
        <v>452</v>
      </c>
      <c r="I1392" s="30">
        <v>45377</v>
      </c>
      <c r="J1392" s="16" t="s">
        <v>1682</v>
      </c>
      <c r="K1392" s="9" t="s">
        <v>1530</v>
      </c>
      <c r="L1392" s="9" t="s">
        <v>1395</v>
      </c>
      <c r="M1392" s="152">
        <v>235296</v>
      </c>
      <c r="N1392" s="153">
        <v>44706.239999999998</v>
      </c>
      <c r="O1392" s="152">
        <v>0</v>
      </c>
      <c r="P1392" s="154">
        <v>0</v>
      </c>
      <c r="Q1392" s="152">
        <v>0</v>
      </c>
      <c r="R1392" s="9">
        <v>280002.24</v>
      </c>
      <c r="S1392" s="21" t="s">
        <v>1846</v>
      </c>
      <c r="T1392" s="117">
        <v>0</v>
      </c>
      <c r="U1392" s="117" t="s">
        <v>347</v>
      </c>
      <c r="V1392" s="117">
        <v>2024</v>
      </c>
      <c r="W1392" s="117">
        <v>7</v>
      </c>
      <c r="X1392" s="117">
        <v>1271000</v>
      </c>
      <c r="Y1392" s="117">
        <v>2.5000000000000001E-2</v>
      </c>
      <c r="Z1392" s="21" t="b">
        <v>0</v>
      </c>
      <c r="AA1392" s="162">
        <f>+$AD$5-Tabla2[[#This Row],[FECHA DE FACTURACIÓN]]</f>
        <v>66</v>
      </c>
      <c r="AB1392" s="163" t="str">
        <f>+IF(Tabla2[[#This Row],[dias de credito]]&gt;=Tabla2[[#This Row],[PLAZO Días]],"venc", "No venc")</f>
        <v>venc</v>
      </c>
      <c r="AC1392" s="163" t="str">
        <f>+IF(Tabla2[[#This Row],[FECHA DE PAGO]]&gt;0,"pagada","por pagar")</f>
        <v>pagada</v>
      </c>
      <c r="AD1392" s="164" t="str">
        <f>+IF(AND(Tabla2[[#This Row],[venc]]="venc",Tabla2[[#This Row],[estado pago]]="por pagar"),"vencida","no")</f>
        <v>no</v>
      </c>
    </row>
    <row r="1393" spans="1:30" ht="19.5" customHeight="1" x14ac:dyDescent="0.25">
      <c r="A1393" s="8" t="s">
        <v>1850</v>
      </c>
      <c r="B1393" s="8" t="s">
        <v>1851</v>
      </c>
      <c r="C1393" s="8">
        <v>30</v>
      </c>
      <c r="D1393" s="151">
        <v>8456975.129999999</v>
      </c>
      <c r="E1393" s="151"/>
      <c r="F1393" s="24" t="s">
        <v>1476</v>
      </c>
      <c r="G1393" s="30">
        <v>45378</v>
      </c>
      <c r="H1393" s="81" t="s">
        <v>1464</v>
      </c>
      <c r="I1393" s="30">
        <v>45345</v>
      </c>
      <c r="J1393" s="16" t="s">
        <v>1589</v>
      </c>
      <c r="K1393" s="9" t="s">
        <v>1530</v>
      </c>
      <c r="L1393" s="9" t="s">
        <v>1533</v>
      </c>
      <c r="M1393" s="152">
        <v>2164643</v>
      </c>
      <c r="N1393" s="153">
        <v>411282.17</v>
      </c>
      <c r="O1393" s="152">
        <v>0</v>
      </c>
      <c r="P1393" s="154">
        <v>2.5000000000000001E-2</v>
      </c>
      <c r="Q1393" s="152">
        <v>54116.075000000004</v>
      </c>
      <c r="R1393" s="9">
        <v>2521809.0949999997</v>
      </c>
      <c r="S1393" s="21" t="s">
        <v>1846</v>
      </c>
      <c r="T1393" s="117">
        <v>0</v>
      </c>
      <c r="U1393" s="117" t="s">
        <v>347</v>
      </c>
      <c r="V1393" s="117">
        <v>2024</v>
      </c>
      <c r="W1393" s="117">
        <v>7</v>
      </c>
      <c r="X1393" s="117">
        <v>1271000</v>
      </c>
      <c r="Y1393" s="117">
        <v>2.5000000000000001E-2</v>
      </c>
      <c r="Z1393" s="21" t="b">
        <v>0</v>
      </c>
      <c r="AA1393" s="162">
        <f>+$AD$5-Tabla2[[#This Row],[FECHA DE FACTURACIÓN]]</f>
        <v>98</v>
      </c>
      <c r="AB1393" s="163" t="str">
        <f>+IF(Tabla2[[#This Row],[dias de credito]]&gt;=Tabla2[[#This Row],[PLAZO Días]],"venc", "No venc")</f>
        <v>venc</v>
      </c>
      <c r="AC1393" s="163" t="str">
        <f>+IF(Tabla2[[#This Row],[FECHA DE PAGO]]&gt;0,"pagada","por pagar")</f>
        <v>pagada</v>
      </c>
      <c r="AD1393" s="164" t="str">
        <f>+IF(AND(Tabla2[[#This Row],[venc]]="venc",Tabla2[[#This Row],[estado pago]]="por pagar"),"vencida","no")</f>
        <v>no</v>
      </c>
    </row>
    <row r="1394" spans="1:30" ht="19.5" customHeight="1" x14ac:dyDescent="0.25">
      <c r="A1394" s="8" t="s">
        <v>1850</v>
      </c>
      <c r="B1394" s="8" t="b">
        <v>0</v>
      </c>
      <c r="C1394" s="8">
        <v>30</v>
      </c>
      <c r="D1394" s="151">
        <v>8456975.129999999</v>
      </c>
      <c r="E1394" s="151"/>
      <c r="F1394" s="24" t="s">
        <v>1476</v>
      </c>
      <c r="G1394" s="30">
        <v>45378</v>
      </c>
      <c r="H1394" s="81" t="s">
        <v>1464</v>
      </c>
      <c r="I1394" s="30">
        <v>45348</v>
      </c>
      <c r="J1394" s="16" t="s">
        <v>1590</v>
      </c>
      <c r="K1394" s="9" t="s">
        <v>1530</v>
      </c>
      <c r="L1394" s="9" t="s">
        <v>1533</v>
      </c>
      <c r="M1394" s="152">
        <v>200739</v>
      </c>
      <c r="N1394" s="153">
        <v>38140.410000000003</v>
      </c>
      <c r="O1394" s="152">
        <v>0</v>
      </c>
      <c r="P1394" s="154">
        <v>0</v>
      </c>
      <c r="Q1394" s="152">
        <v>0</v>
      </c>
      <c r="R1394" s="9">
        <v>238879.41</v>
      </c>
      <c r="S1394" s="21" t="s">
        <v>1846</v>
      </c>
      <c r="T1394" s="117">
        <v>0</v>
      </c>
      <c r="U1394" s="117" t="s">
        <v>347</v>
      </c>
      <c r="V1394" s="117">
        <v>2024</v>
      </c>
      <c r="W1394" s="117">
        <v>7</v>
      </c>
      <c r="X1394" s="117">
        <v>1271000</v>
      </c>
      <c r="Y1394" s="117">
        <v>2.5000000000000001E-2</v>
      </c>
      <c r="Z1394" s="21" t="b">
        <v>0</v>
      </c>
      <c r="AA1394" s="162">
        <f>+$AD$5-Tabla2[[#This Row],[FECHA DE FACTURACIÓN]]</f>
        <v>95</v>
      </c>
      <c r="AB1394" s="163" t="str">
        <f>+IF(Tabla2[[#This Row],[dias de credito]]&gt;=Tabla2[[#This Row],[PLAZO Días]],"venc", "No venc")</f>
        <v>venc</v>
      </c>
      <c r="AC1394" s="163" t="str">
        <f>+IF(Tabla2[[#This Row],[FECHA DE PAGO]]&gt;0,"pagada","por pagar")</f>
        <v>pagada</v>
      </c>
      <c r="AD1394" s="164" t="str">
        <f>+IF(AND(Tabla2[[#This Row],[venc]]="venc",Tabla2[[#This Row],[estado pago]]="por pagar"),"vencida","no")</f>
        <v>no</v>
      </c>
    </row>
    <row r="1395" spans="1:30" ht="19.5" customHeight="1" x14ac:dyDescent="0.25">
      <c r="A1395" s="8" t="s">
        <v>1850</v>
      </c>
      <c r="B1395" s="8" t="b">
        <v>0</v>
      </c>
      <c r="C1395" s="8">
        <v>30</v>
      </c>
      <c r="D1395" s="151">
        <v>0</v>
      </c>
      <c r="E1395" s="151"/>
      <c r="F1395" s="24" t="s">
        <v>177</v>
      </c>
      <c r="G1395" s="30">
        <v>45378</v>
      </c>
      <c r="H1395" s="81" t="s">
        <v>1724</v>
      </c>
      <c r="I1395" s="30">
        <v>45366</v>
      </c>
      <c r="J1395" s="16" t="s">
        <v>1686</v>
      </c>
      <c r="K1395" s="9" t="s">
        <v>504</v>
      </c>
      <c r="L1395" s="9" t="s">
        <v>1534</v>
      </c>
      <c r="M1395" s="152">
        <v>7850000</v>
      </c>
      <c r="N1395" s="153">
        <v>1491500</v>
      </c>
      <c r="O1395" s="152">
        <v>0</v>
      </c>
      <c r="P1395" s="154">
        <v>0.01</v>
      </c>
      <c r="Q1395" s="152">
        <v>78500</v>
      </c>
      <c r="R1395" s="9">
        <v>9263000</v>
      </c>
      <c r="S1395" s="21" t="s">
        <v>1846</v>
      </c>
      <c r="T1395" s="117">
        <v>0</v>
      </c>
      <c r="U1395" s="117" t="s">
        <v>356</v>
      </c>
      <c r="V1395" s="117">
        <v>2024</v>
      </c>
      <c r="W1395" s="117">
        <v>7</v>
      </c>
      <c r="X1395" s="117">
        <v>0</v>
      </c>
      <c r="Y1395" s="117">
        <v>0.01</v>
      </c>
      <c r="Z1395" s="21" t="b">
        <v>0</v>
      </c>
      <c r="AA1395" s="162">
        <f>+$AD$5-Tabla2[[#This Row],[FECHA DE FACTURACIÓN]]</f>
        <v>77</v>
      </c>
      <c r="AB1395" s="163" t="str">
        <f>+IF(Tabla2[[#This Row],[dias de credito]]&gt;=Tabla2[[#This Row],[PLAZO Días]],"venc", "No venc")</f>
        <v>venc</v>
      </c>
      <c r="AC1395" s="163" t="str">
        <f>+IF(Tabla2[[#This Row],[FECHA DE PAGO]]&gt;0,"pagada","por pagar")</f>
        <v>pagada</v>
      </c>
      <c r="AD1395" s="164" t="str">
        <f>+IF(AND(Tabla2[[#This Row],[venc]]="venc",Tabla2[[#This Row],[estado pago]]="por pagar"),"vencida","no")</f>
        <v>no</v>
      </c>
    </row>
    <row r="1396" spans="1:30" ht="19.5" customHeight="1" x14ac:dyDescent="0.25">
      <c r="A1396" s="8" t="s">
        <v>1852</v>
      </c>
      <c r="B1396" s="8" t="b">
        <v>0</v>
      </c>
      <c r="C1396" s="8">
        <v>30</v>
      </c>
      <c r="D1396" s="151">
        <v>0</v>
      </c>
      <c r="E1396" s="151"/>
      <c r="F1396" s="24" t="s">
        <v>84</v>
      </c>
      <c r="G1396" s="30">
        <v>45378</v>
      </c>
      <c r="H1396" s="81" t="s">
        <v>1824</v>
      </c>
      <c r="I1396" s="30">
        <v>45378</v>
      </c>
      <c r="J1396" s="16"/>
      <c r="K1396" s="9" t="s">
        <v>1530</v>
      </c>
      <c r="L1396" s="9" t="s">
        <v>1395</v>
      </c>
      <c r="M1396" s="152">
        <v>442000</v>
      </c>
      <c r="N1396" s="153">
        <v>0</v>
      </c>
      <c r="O1396" s="152">
        <v>0</v>
      </c>
      <c r="P1396" s="154">
        <v>0</v>
      </c>
      <c r="Q1396" s="152">
        <v>0</v>
      </c>
      <c r="R1396" s="9">
        <v>442000</v>
      </c>
      <c r="S1396" s="21" t="s">
        <v>1846</v>
      </c>
      <c r="T1396" s="117">
        <v>0</v>
      </c>
      <c r="U1396" s="117">
        <v>0</v>
      </c>
      <c r="V1396" s="117">
        <v>2024</v>
      </c>
      <c r="W1396" s="117">
        <v>7</v>
      </c>
      <c r="X1396" s="117">
        <v>0</v>
      </c>
      <c r="Y1396" s="117">
        <v>0</v>
      </c>
      <c r="Z1396" s="21" t="b">
        <v>0</v>
      </c>
      <c r="AA1396" s="162">
        <f>+$AD$5-Tabla2[[#This Row],[FECHA DE FACTURACIÓN]]</f>
        <v>65</v>
      </c>
      <c r="AB1396" s="163" t="str">
        <f>+IF(Tabla2[[#This Row],[dias de credito]]&gt;=Tabla2[[#This Row],[PLAZO Días]],"venc", "No venc")</f>
        <v>venc</v>
      </c>
      <c r="AC1396" s="163" t="str">
        <f>+IF(Tabla2[[#This Row],[FECHA DE PAGO]]&gt;0,"pagada","por pagar")</f>
        <v>pagada</v>
      </c>
      <c r="AD1396" s="164" t="str">
        <f>+IF(AND(Tabla2[[#This Row],[venc]]="venc",Tabla2[[#This Row],[estado pago]]="por pagar"),"vencida","no")</f>
        <v>no</v>
      </c>
    </row>
    <row r="1397" spans="1:30" ht="19.5" customHeight="1" x14ac:dyDescent="0.25">
      <c r="A1397" s="8" t="s">
        <v>1852</v>
      </c>
      <c r="B1397" s="8" t="b">
        <v>0</v>
      </c>
      <c r="C1397" s="8">
        <v>30</v>
      </c>
      <c r="D1397" s="151">
        <v>0</v>
      </c>
      <c r="E1397" s="151"/>
      <c r="F1397" s="24" t="s">
        <v>84</v>
      </c>
      <c r="G1397" s="30">
        <v>45378</v>
      </c>
      <c r="H1397" s="81" t="s">
        <v>1824</v>
      </c>
      <c r="I1397" s="30">
        <v>45378</v>
      </c>
      <c r="J1397" s="16"/>
      <c r="K1397" s="9" t="s">
        <v>1530</v>
      </c>
      <c r="L1397" s="9" t="s">
        <v>1395</v>
      </c>
      <c r="M1397" s="152">
        <v>983554</v>
      </c>
      <c r="N1397" s="153">
        <v>0</v>
      </c>
      <c r="O1397" s="152">
        <v>0</v>
      </c>
      <c r="P1397" s="154">
        <v>0</v>
      </c>
      <c r="Q1397" s="152">
        <v>0</v>
      </c>
      <c r="R1397" s="9">
        <v>983554</v>
      </c>
      <c r="S1397" s="21" t="s">
        <v>1846</v>
      </c>
      <c r="T1397" s="117">
        <v>0</v>
      </c>
      <c r="U1397" s="117">
        <v>0</v>
      </c>
      <c r="V1397" s="117">
        <v>2024</v>
      </c>
      <c r="W1397" s="117">
        <v>7</v>
      </c>
      <c r="X1397" s="117">
        <v>0</v>
      </c>
      <c r="Y1397" s="117">
        <v>0</v>
      </c>
      <c r="Z1397" s="21" t="b">
        <v>0</v>
      </c>
      <c r="AA1397" s="162">
        <f>+$AD$5-Tabla2[[#This Row],[FECHA DE FACTURACIÓN]]</f>
        <v>65</v>
      </c>
      <c r="AB1397" s="163" t="str">
        <f>+IF(Tabla2[[#This Row],[dias de credito]]&gt;=Tabla2[[#This Row],[PLAZO Días]],"venc", "No venc")</f>
        <v>venc</v>
      </c>
      <c r="AC1397" s="163" t="str">
        <f>+IF(Tabla2[[#This Row],[FECHA DE PAGO]]&gt;0,"pagada","por pagar")</f>
        <v>pagada</v>
      </c>
      <c r="AD1397" s="164" t="str">
        <f>+IF(AND(Tabla2[[#This Row],[venc]]="venc",Tabla2[[#This Row],[estado pago]]="por pagar"),"vencida","no")</f>
        <v>no</v>
      </c>
    </row>
    <row r="1398" spans="1:30" ht="19.5" customHeight="1" x14ac:dyDescent="0.25">
      <c r="A1398" s="8" t="s">
        <v>1852</v>
      </c>
      <c r="B1398" s="8" t="b">
        <v>0</v>
      </c>
      <c r="C1398" s="8">
        <v>30</v>
      </c>
      <c r="D1398" s="151">
        <v>134000</v>
      </c>
      <c r="E1398" s="151"/>
      <c r="F1398" s="24" t="s">
        <v>192</v>
      </c>
      <c r="G1398" s="30">
        <v>45378</v>
      </c>
      <c r="H1398" s="81" t="s">
        <v>1808</v>
      </c>
      <c r="I1398" s="30">
        <v>45378</v>
      </c>
      <c r="J1398" s="16" t="s">
        <v>1740</v>
      </c>
      <c r="K1398" s="9" t="s">
        <v>1530</v>
      </c>
      <c r="L1398" s="9"/>
      <c r="M1398" s="152">
        <v>33000</v>
      </c>
      <c r="N1398" s="153">
        <v>0</v>
      </c>
      <c r="O1398" s="152">
        <v>0</v>
      </c>
      <c r="P1398" s="154">
        <v>0</v>
      </c>
      <c r="Q1398" s="152">
        <v>0</v>
      </c>
      <c r="R1398" s="9">
        <v>33000</v>
      </c>
      <c r="S1398" s="21" t="s">
        <v>1846</v>
      </c>
      <c r="T1398" s="117">
        <v>0</v>
      </c>
      <c r="U1398" s="117">
        <v>0</v>
      </c>
      <c r="V1398" s="117">
        <v>2024</v>
      </c>
      <c r="W1398" s="117">
        <v>7</v>
      </c>
      <c r="X1398" s="117">
        <v>0</v>
      </c>
      <c r="Y1398" s="117">
        <v>0</v>
      </c>
      <c r="Z1398" s="21" t="b">
        <v>0</v>
      </c>
      <c r="AA1398" s="162">
        <f>+$AD$5-Tabla2[[#This Row],[FECHA DE FACTURACIÓN]]</f>
        <v>65</v>
      </c>
      <c r="AB1398" s="163" t="str">
        <f>+IF(Tabla2[[#This Row],[dias de credito]]&gt;=Tabla2[[#This Row],[PLAZO Días]],"venc", "No venc")</f>
        <v>venc</v>
      </c>
      <c r="AC1398" s="163" t="str">
        <f>+IF(Tabla2[[#This Row],[FECHA DE PAGO]]&gt;0,"pagada","por pagar")</f>
        <v>pagada</v>
      </c>
      <c r="AD1398" s="164" t="str">
        <f>+IF(AND(Tabla2[[#This Row],[venc]]="venc",Tabla2[[#This Row],[estado pago]]="por pagar"),"vencida","no")</f>
        <v>no</v>
      </c>
    </row>
    <row r="1399" spans="1:30" ht="19.5" customHeight="1" x14ac:dyDescent="0.25">
      <c r="A1399" s="8" t="s">
        <v>1850</v>
      </c>
      <c r="B1399" s="8" t="s">
        <v>1851</v>
      </c>
      <c r="C1399" s="8">
        <v>30</v>
      </c>
      <c r="D1399" s="151">
        <v>134000</v>
      </c>
      <c r="E1399" s="151"/>
      <c r="F1399" s="24" t="s">
        <v>192</v>
      </c>
      <c r="G1399" s="30">
        <v>45383</v>
      </c>
      <c r="H1399" s="81" t="s">
        <v>1808</v>
      </c>
      <c r="I1399" s="30">
        <v>45330</v>
      </c>
      <c r="J1399" s="16" t="s">
        <v>1606</v>
      </c>
      <c r="K1399" s="9" t="s">
        <v>1530</v>
      </c>
      <c r="L1399" s="9" t="s">
        <v>1536</v>
      </c>
      <c r="M1399" s="152">
        <v>245000</v>
      </c>
      <c r="N1399" s="153">
        <v>0</v>
      </c>
      <c r="O1399" s="152">
        <v>0</v>
      </c>
      <c r="P1399" s="154">
        <v>0</v>
      </c>
      <c r="Q1399" s="152">
        <v>0</v>
      </c>
      <c r="R1399" s="9">
        <v>245000</v>
      </c>
      <c r="S1399" s="21" t="s">
        <v>1846</v>
      </c>
      <c r="T1399" s="117">
        <v>0</v>
      </c>
      <c r="U1399" s="117">
        <v>0</v>
      </c>
      <c r="V1399" s="117">
        <v>2024</v>
      </c>
      <c r="W1399" s="117">
        <v>7</v>
      </c>
      <c r="X1399" s="117">
        <v>0</v>
      </c>
      <c r="Y1399" s="117">
        <v>0</v>
      </c>
      <c r="Z1399" s="21" t="b">
        <v>0</v>
      </c>
      <c r="AA1399" s="162">
        <f>+$AD$5-Tabla2[[#This Row],[FECHA DE FACTURACIÓN]]</f>
        <v>113</v>
      </c>
      <c r="AB1399" s="163" t="str">
        <f>+IF(Tabla2[[#This Row],[dias de credito]]&gt;=Tabla2[[#This Row],[PLAZO Días]],"venc", "No venc")</f>
        <v>venc</v>
      </c>
      <c r="AC1399" s="163" t="str">
        <f>+IF(Tabla2[[#This Row],[FECHA DE PAGO]]&gt;0,"pagada","por pagar")</f>
        <v>pagada</v>
      </c>
      <c r="AD1399" s="164" t="str">
        <f>+IF(AND(Tabla2[[#This Row],[venc]]="venc",Tabla2[[#This Row],[estado pago]]="por pagar"),"vencida","no")</f>
        <v>no</v>
      </c>
    </row>
    <row r="1400" spans="1:30" ht="19.5" customHeight="1" x14ac:dyDescent="0.25">
      <c r="A1400" s="8" t="s">
        <v>1850</v>
      </c>
      <c r="B1400" s="8" t="s">
        <v>1851</v>
      </c>
      <c r="C1400" s="8">
        <v>30</v>
      </c>
      <c r="D1400" s="151">
        <v>4316000</v>
      </c>
      <c r="E1400" s="151"/>
      <c r="F1400" s="24" t="s">
        <v>84</v>
      </c>
      <c r="G1400" s="30">
        <v>45383</v>
      </c>
      <c r="H1400" s="81" t="s">
        <v>1812</v>
      </c>
      <c r="I1400" s="30">
        <v>45341</v>
      </c>
      <c r="J1400" s="16" t="s">
        <v>1612</v>
      </c>
      <c r="K1400" s="9" t="s">
        <v>1530</v>
      </c>
      <c r="L1400" s="9" t="s">
        <v>1395</v>
      </c>
      <c r="M1400" s="152">
        <v>1249000</v>
      </c>
      <c r="N1400" s="153">
        <v>0</v>
      </c>
      <c r="O1400" s="152">
        <v>0</v>
      </c>
      <c r="P1400" s="154">
        <v>0</v>
      </c>
      <c r="Q1400" s="152">
        <v>0</v>
      </c>
      <c r="R1400" s="9">
        <v>1249000</v>
      </c>
      <c r="S1400" s="21" t="s">
        <v>1846</v>
      </c>
      <c r="T1400" s="117">
        <v>0</v>
      </c>
      <c r="U1400" s="117">
        <v>0</v>
      </c>
      <c r="V1400" s="117">
        <v>2024</v>
      </c>
      <c r="W1400" s="117">
        <v>7</v>
      </c>
      <c r="X1400" s="117">
        <v>0</v>
      </c>
      <c r="Y1400" s="117">
        <v>0</v>
      </c>
      <c r="Z1400" s="21" t="b">
        <v>0</v>
      </c>
      <c r="AA1400" s="162">
        <f>+$AD$5-Tabla2[[#This Row],[FECHA DE FACTURACIÓN]]</f>
        <v>102</v>
      </c>
      <c r="AB1400" s="163" t="str">
        <f>+IF(Tabla2[[#This Row],[dias de credito]]&gt;=Tabla2[[#This Row],[PLAZO Días]],"venc", "No venc")</f>
        <v>venc</v>
      </c>
      <c r="AC1400" s="163" t="str">
        <f>+IF(Tabla2[[#This Row],[FECHA DE PAGO]]&gt;0,"pagada","por pagar")</f>
        <v>pagada</v>
      </c>
      <c r="AD1400" s="164" t="str">
        <f>+IF(AND(Tabla2[[#This Row],[venc]]="venc",Tabla2[[#This Row],[estado pago]]="por pagar"),"vencida","no")</f>
        <v>no</v>
      </c>
    </row>
    <row r="1401" spans="1:30" ht="19.5" customHeight="1" x14ac:dyDescent="0.25">
      <c r="A1401" s="8" t="s">
        <v>1850</v>
      </c>
      <c r="B1401" s="8" t="s">
        <v>1851</v>
      </c>
      <c r="C1401" s="8">
        <v>30</v>
      </c>
      <c r="D1401" s="151">
        <v>0</v>
      </c>
      <c r="E1401" s="151"/>
      <c r="F1401" s="24" t="s">
        <v>84</v>
      </c>
      <c r="G1401" s="30">
        <v>45383</v>
      </c>
      <c r="H1401" s="81" t="s">
        <v>1829</v>
      </c>
      <c r="I1401" s="30">
        <v>45344</v>
      </c>
      <c r="J1401" s="16" t="s">
        <v>1598</v>
      </c>
      <c r="K1401" s="9" t="s">
        <v>1530</v>
      </c>
      <c r="L1401" s="9" t="s">
        <v>1395</v>
      </c>
      <c r="M1401" s="152">
        <v>8330500</v>
      </c>
      <c r="N1401" s="153">
        <v>0</v>
      </c>
      <c r="O1401" s="152">
        <v>249915</v>
      </c>
      <c r="P1401" s="154">
        <v>0</v>
      </c>
      <c r="Q1401" s="152">
        <v>0</v>
      </c>
      <c r="R1401" s="9">
        <v>8080585</v>
      </c>
      <c r="S1401" s="21" t="s">
        <v>1846</v>
      </c>
      <c r="T1401" s="117">
        <v>0</v>
      </c>
      <c r="U1401" s="117">
        <v>0</v>
      </c>
      <c r="V1401" s="117">
        <v>2024</v>
      </c>
      <c r="W1401" s="117">
        <v>7</v>
      </c>
      <c r="X1401" s="117">
        <v>0</v>
      </c>
      <c r="Y1401" s="117">
        <v>0</v>
      </c>
      <c r="Z1401" s="21" t="b">
        <v>0</v>
      </c>
      <c r="AA1401" s="162">
        <f>+$AD$5-Tabla2[[#This Row],[FECHA DE FACTURACIÓN]]</f>
        <v>99</v>
      </c>
      <c r="AB1401" s="163" t="str">
        <f>+IF(Tabla2[[#This Row],[dias de credito]]&gt;=Tabla2[[#This Row],[PLAZO Días]],"venc", "No venc")</f>
        <v>venc</v>
      </c>
      <c r="AC1401" s="163" t="str">
        <f>+IF(Tabla2[[#This Row],[FECHA DE PAGO]]&gt;0,"pagada","por pagar")</f>
        <v>pagada</v>
      </c>
      <c r="AD1401" s="164" t="str">
        <f>+IF(AND(Tabla2[[#This Row],[venc]]="venc",Tabla2[[#This Row],[estado pago]]="por pagar"),"vencida","no")</f>
        <v>no</v>
      </c>
    </row>
    <row r="1402" spans="1:30" ht="19.5" customHeight="1" x14ac:dyDescent="0.25">
      <c r="A1402" s="8" t="s">
        <v>1850</v>
      </c>
      <c r="B1402" s="8" t="b">
        <v>0</v>
      </c>
      <c r="C1402" s="8">
        <v>60</v>
      </c>
      <c r="D1402" s="151">
        <v>1730482</v>
      </c>
      <c r="E1402" s="151"/>
      <c r="F1402" s="24" t="s">
        <v>603</v>
      </c>
      <c r="G1402" s="30">
        <v>45383</v>
      </c>
      <c r="H1402" s="81" t="s">
        <v>222</v>
      </c>
      <c r="I1402" s="30">
        <v>45344</v>
      </c>
      <c r="J1402" s="16">
        <v>1924</v>
      </c>
      <c r="K1402" s="9" t="s">
        <v>504</v>
      </c>
      <c r="L1402" s="9" t="s">
        <v>1533</v>
      </c>
      <c r="M1402" s="152">
        <v>168454</v>
      </c>
      <c r="N1402" s="153">
        <v>0</v>
      </c>
      <c r="O1402" s="152">
        <v>0</v>
      </c>
      <c r="P1402" s="154">
        <v>0</v>
      </c>
      <c r="Q1402" s="152">
        <v>0</v>
      </c>
      <c r="R1402" s="9">
        <v>168454</v>
      </c>
      <c r="S1402" s="21" t="s">
        <v>1846</v>
      </c>
      <c r="T1402" s="117">
        <v>0</v>
      </c>
      <c r="U1402" s="117">
        <v>0</v>
      </c>
      <c r="V1402" s="117">
        <v>2024</v>
      </c>
      <c r="W1402" s="117">
        <v>7</v>
      </c>
      <c r="X1402" s="117">
        <v>0</v>
      </c>
      <c r="Y1402" s="117">
        <v>0</v>
      </c>
      <c r="Z1402" s="21" t="b">
        <v>0</v>
      </c>
      <c r="AA1402" s="162">
        <f>+$AD$5-Tabla2[[#This Row],[FECHA DE FACTURACIÓN]]</f>
        <v>99</v>
      </c>
      <c r="AB1402" s="163" t="str">
        <f>+IF(Tabla2[[#This Row],[dias de credito]]&gt;=Tabla2[[#This Row],[PLAZO Días]],"venc", "No venc")</f>
        <v>venc</v>
      </c>
      <c r="AC1402" s="163" t="str">
        <f>+IF(Tabla2[[#This Row],[FECHA DE PAGO]]&gt;0,"pagada","por pagar")</f>
        <v>pagada</v>
      </c>
      <c r="AD1402" s="164" t="str">
        <f>+IF(AND(Tabla2[[#This Row],[venc]]="venc",Tabla2[[#This Row],[estado pago]]="por pagar"),"vencida","no")</f>
        <v>no</v>
      </c>
    </row>
    <row r="1403" spans="1:30" ht="19.5" customHeight="1" x14ac:dyDescent="0.25">
      <c r="A1403" s="8" t="s">
        <v>1850</v>
      </c>
      <c r="B1403" s="8" t="b">
        <v>0</v>
      </c>
      <c r="C1403" s="8">
        <v>60</v>
      </c>
      <c r="D1403" s="151">
        <v>1730482</v>
      </c>
      <c r="E1403" s="151"/>
      <c r="F1403" s="24" t="s">
        <v>603</v>
      </c>
      <c r="G1403" s="30">
        <v>45383</v>
      </c>
      <c r="H1403" s="81" t="s">
        <v>222</v>
      </c>
      <c r="I1403" s="30">
        <v>45349</v>
      </c>
      <c r="J1403" s="16">
        <v>1929</v>
      </c>
      <c r="K1403" s="9" t="s">
        <v>504</v>
      </c>
      <c r="L1403" s="9" t="s">
        <v>1533</v>
      </c>
      <c r="M1403" s="152">
        <v>459420</v>
      </c>
      <c r="N1403" s="153">
        <v>0</v>
      </c>
      <c r="O1403" s="152">
        <v>0</v>
      </c>
      <c r="P1403" s="154">
        <v>0</v>
      </c>
      <c r="Q1403" s="152">
        <v>0</v>
      </c>
      <c r="R1403" s="9">
        <v>459420</v>
      </c>
      <c r="S1403" s="21" t="s">
        <v>1846</v>
      </c>
      <c r="T1403" s="117">
        <v>0</v>
      </c>
      <c r="U1403" s="117">
        <v>0</v>
      </c>
      <c r="V1403" s="117">
        <v>2024</v>
      </c>
      <c r="W1403" s="117">
        <v>7</v>
      </c>
      <c r="X1403" s="117">
        <v>0</v>
      </c>
      <c r="Y1403" s="117">
        <v>0</v>
      </c>
      <c r="Z1403" s="21" t="b">
        <v>0</v>
      </c>
      <c r="AA1403" s="162">
        <f>+$AD$5-Tabla2[[#This Row],[FECHA DE FACTURACIÓN]]</f>
        <v>94</v>
      </c>
      <c r="AB1403" s="163" t="str">
        <f>+IF(Tabla2[[#This Row],[dias de credito]]&gt;=Tabla2[[#This Row],[PLAZO Días]],"venc", "No venc")</f>
        <v>venc</v>
      </c>
      <c r="AC1403" s="163" t="str">
        <f>+IF(Tabla2[[#This Row],[FECHA DE PAGO]]&gt;0,"pagada","por pagar")</f>
        <v>pagada</v>
      </c>
      <c r="AD1403" s="164" t="str">
        <f>+IF(AND(Tabla2[[#This Row],[venc]]="venc",Tabla2[[#This Row],[estado pago]]="por pagar"),"vencida","no")</f>
        <v>no</v>
      </c>
    </row>
    <row r="1404" spans="1:30" ht="19.5" customHeight="1" x14ac:dyDescent="0.25">
      <c r="A1404" s="8" t="s">
        <v>1850</v>
      </c>
      <c r="B1404" s="8" t="b">
        <v>0</v>
      </c>
      <c r="C1404" s="8">
        <v>60</v>
      </c>
      <c r="D1404" s="151">
        <v>1730482</v>
      </c>
      <c r="E1404" s="151"/>
      <c r="F1404" s="24" t="s">
        <v>603</v>
      </c>
      <c r="G1404" s="30">
        <v>45383</v>
      </c>
      <c r="H1404" s="81" t="s">
        <v>222</v>
      </c>
      <c r="I1404" s="30">
        <v>45351</v>
      </c>
      <c r="J1404" s="16">
        <v>1939</v>
      </c>
      <c r="K1404" s="9" t="s">
        <v>504</v>
      </c>
      <c r="L1404" s="9" t="s">
        <v>1533</v>
      </c>
      <c r="M1404" s="152">
        <v>490048</v>
      </c>
      <c r="N1404" s="153">
        <v>0</v>
      </c>
      <c r="O1404" s="152">
        <v>0</v>
      </c>
      <c r="P1404" s="154">
        <v>0</v>
      </c>
      <c r="Q1404" s="152">
        <v>0</v>
      </c>
      <c r="R1404" s="9">
        <v>490048</v>
      </c>
      <c r="S1404" s="21" t="s">
        <v>1846</v>
      </c>
      <c r="T1404" s="117">
        <v>0</v>
      </c>
      <c r="U1404" s="117">
        <v>0</v>
      </c>
      <c r="V1404" s="117">
        <v>2024</v>
      </c>
      <c r="W1404" s="117">
        <v>7</v>
      </c>
      <c r="X1404" s="117">
        <v>0</v>
      </c>
      <c r="Y1404" s="117">
        <v>0</v>
      </c>
      <c r="Z1404" s="21" t="b">
        <v>0</v>
      </c>
      <c r="AA1404" s="162">
        <f>+$AD$5-Tabla2[[#This Row],[FECHA DE FACTURACIÓN]]</f>
        <v>92</v>
      </c>
      <c r="AB1404" s="163" t="str">
        <f>+IF(Tabla2[[#This Row],[dias de credito]]&gt;=Tabla2[[#This Row],[PLAZO Días]],"venc", "No venc")</f>
        <v>venc</v>
      </c>
      <c r="AC1404" s="163" t="str">
        <f>+IF(Tabla2[[#This Row],[FECHA DE PAGO]]&gt;0,"pagada","por pagar")</f>
        <v>pagada</v>
      </c>
      <c r="AD1404" s="164" t="str">
        <f>+IF(AND(Tabla2[[#This Row],[venc]]="venc",Tabla2[[#This Row],[estado pago]]="por pagar"),"vencida","no")</f>
        <v>no</v>
      </c>
    </row>
    <row r="1405" spans="1:30" ht="19.5" customHeight="1" x14ac:dyDescent="0.25">
      <c r="A1405" s="8" t="s">
        <v>1850</v>
      </c>
      <c r="B1405" s="8" t="b">
        <v>0</v>
      </c>
      <c r="C1405" s="8">
        <v>60</v>
      </c>
      <c r="D1405" s="151">
        <v>1730482</v>
      </c>
      <c r="E1405" s="151"/>
      <c r="F1405" s="24" t="s">
        <v>603</v>
      </c>
      <c r="G1405" s="30">
        <v>45383</v>
      </c>
      <c r="H1405" s="81" t="s">
        <v>222</v>
      </c>
      <c r="I1405" s="30">
        <v>45352</v>
      </c>
      <c r="J1405" s="16">
        <v>1941</v>
      </c>
      <c r="K1405" s="9" t="s">
        <v>504</v>
      </c>
      <c r="L1405" s="9" t="s">
        <v>1533</v>
      </c>
      <c r="M1405" s="152">
        <v>658502</v>
      </c>
      <c r="N1405" s="153">
        <v>0</v>
      </c>
      <c r="O1405" s="152">
        <v>0</v>
      </c>
      <c r="P1405" s="154">
        <v>0</v>
      </c>
      <c r="Q1405" s="152">
        <v>0</v>
      </c>
      <c r="R1405" s="9">
        <v>658502</v>
      </c>
      <c r="S1405" s="21" t="s">
        <v>1846</v>
      </c>
      <c r="T1405" s="117">
        <v>0</v>
      </c>
      <c r="U1405" s="117">
        <v>0</v>
      </c>
      <c r="V1405" s="117">
        <v>2024</v>
      </c>
      <c r="W1405" s="117">
        <v>7</v>
      </c>
      <c r="X1405" s="117">
        <v>0</v>
      </c>
      <c r="Y1405" s="117">
        <v>0</v>
      </c>
      <c r="Z1405" s="21" t="b">
        <v>0</v>
      </c>
      <c r="AA1405" s="162">
        <f>+$AD$5-Tabla2[[#This Row],[FECHA DE FACTURACIÓN]]</f>
        <v>91</v>
      </c>
      <c r="AB1405" s="163" t="str">
        <f>+IF(Tabla2[[#This Row],[dias de credito]]&gt;=Tabla2[[#This Row],[PLAZO Días]],"venc", "No venc")</f>
        <v>venc</v>
      </c>
      <c r="AC1405" s="163" t="str">
        <f>+IF(Tabla2[[#This Row],[FECHA DE PAGO]]&gt;0,"pagada","por pagar")</f>
        <v>pagada</v>
      </c>
      <c r="AD1405" s="164" t="str">
        <f>+IF(AND(Tabla2[[#This Row],[venc]]="venc",Tabla2[[#This Row],[estado pago]]="por pagar"),"vencida","no")</f>
        <v>no</v>
      </c>
    </row>
    <row r="1406" spans="1:30" ht="19.5" customHeight="1" x14ac:dyDescent="0.25">
      <c r="A1406" s="8" t="s">
        <v>1850</v>
      </c>
      <c r="B1406" s="8" t="b">
        <v>0</v>
      </c>
      <c r="C1406" s="8">
        <v>60</v>
      </c>
      <c r="D1406" s="151">
        <v>1730482</v>
      </c>
      <c r="E1406" s="151"/>
      <c r="F1406" s="24" t="s">
        <v>603</v>
      </c>
      <c r="G1406" s="30">
        <v>45383</v>
      </c>
      <c r="H1406" s="81" t="s">
        <v>222</v>
      </c>
      <c r="I1406" s="30">
        <v>45352</v>
      </c>
      <c r="J1406" s="16">
        <v>1951</v>
      </c>
      <c r="K1406" s="9" t="s">
        <v>504</v>
      </c>
      <c r="L1406" s="9" t="s">
        <v>1533</v>
      </c>
      <c r="M1406" s="152">
        <v>245024</v>
      </c>
      <c r="N1406" s="153">
        <v>0</v>
      </c>
      <c r="O1406" s="152">
        <v>0</v>
      </c>
      <c r="P1406" s="154">
        <v>0</v>
      </c>
      <c r="Q1406" s="152">
        <v>0</v>
      </c>
      <c r="R1406" s="9">
        <v>245024</v>
      </c>
      <c r="S1406" s="21" t="s">
        <v>1846</v>
      </c>
      <c r="T1406" s="117">
        <v>0</v>
      </c>
      <c r="U1406" s="117">
        <v>0</v>
      </c>
      <c r="V1406" s="117">
        <v>2024</v>
      </c>
      <c r="W1406" s="117">
        <v>7</v>
      </c>
      <c r="X1406" s="117">
        <v>0</v>
      </c>
      <c r="Y1406" s="117">
        <v>0</v>
      </c>
      <c r="Z1406" s="21" t="b">
        <v>0</v>
      </c>
      <c r="AA1406" s="162">
        <f>+$AD$5-Tabla2[[#This Row],[FECHA DE FACTURACIÓN]]</f>
        <v>91</v>
      </c>
      <c r="AB1406" s="163" t="str">
        <f>+IF(Tabla2[[#This Row],[dias de credito]]&gt;=Tabla2[[#This Row],[PLAZO Días]],"venc", "No venc")</f>
        <v>venc</v>
      </c>
      <c r="AC1406" s="163" t="str">
        <f>+IF(Tabla2[[#This Row],[FECHA DE PAGO]]&gt;0,"pagada","por pagar")</f>
        <v>pagada</v>
      </c>
      <c r="AD1406" s="164" t="str">
        <f>+IF(AND(Tabla2[[#This Row],[venc]]="venc",Tabla2[[#This Row],[estado pago]]="por pagar"),"vencida","no")</f>
        <v>no</v>
      </c>
    </row>
    <row r="1407" spans="1:30" ht="19.5" customHeight="1" x14ac:dyDescent="0.25">
      <c r="A1407" s="8" t="s">
        <v>1850</v>
      </c>
      <c r="B1407" s="8" t="b">
        <v>0</v>
      </c>
      <c r="C1407" s="8">
        <v>60</v>
      </c>
      <c r="D1407" s="151">
        <v>1730482</v>
      </c>
      <c r="E1407" s="151"/>
      <c r="F1407" s="24" t="s">
        <v>603</v>
      </c>
      <c r="G1407" s="30">
        <v>45383</v>
      </c>
      <c r="H1407" s="81" t="s">
        <v>222</v>
      </c>
      <c r="I1407" s="30">
        <v>45369</v>
      </c>
      <c r="J1407" s="16">
        <v>1961</v>
      </c>
      <c r="K1407" s="9" t="s">
        <v>504</v>
      </c>
      <c r="L1407" s="9" t="s">
        <v>1533</v>
      </c>
      <c r="M1407" s="152">
        <v>2469382.5</v>
      </c>
      <c r="N1407" s="153">
        <v>0</v>
      </c>
      <c r="O1407" s="152">
        <v>0</v>
      </c>
      <c r="P1407" s="154">
        <v>0</v>
      </c>
      <c r="Q1407" s="152">
        <v>0</v>
      </c>
      <c r="R1407" s="9">
        <v>2469382.5</v>
      </c>
      <c r="S1407" s="21" t="s">
        <v>1846</v>
      </c>
      <c r="T1407" s="117">
        <v>0</v>
      </c>
      <c r="U1407" s="117">
        <v>0</v>
      </c>
      <c r="V1407" s="117">
        <v>2024</v>
      </c>
      <c r="W1407" s="117">
        <v>7</v>
      </c>
      <c r="X1407" s="117">
        <v>0</v>
      </c>
      <c r="Y1407" s="117">
        <v>0</v>
      </c>
      <c r="Z1407" s="21" t="b">
        <v>0</v>
      </c>
      <c r="AA1407" s="162">
        <f>+$AD$5-Tabla2[[#This Row],[FECHA DE FACTURACIÓN]]</f>
        <v>74</v>
      </c>
      <c r="AB1407" s="163" t="str">
        <f>+IF(Tabla2[[#This Row],[dias de credito]]&gt;=Tabla2[[#This Row],[PLAZO Días]],"venc", "No venc")</f>
        <v>venc</v>
      </c>
      <c r="AC1407" s="163" t="str">
        <f>+IF(Tabla2[[#This Row],[FECHA DE PAGO]]&gt;0,"pagada","por pagar")</f>
        <v>pagada</v>
      </c>
      <c r="AD1407" s="164" t="str">
        <f>+IF(AND(Tabla2[[#This Row],[venc]]="venc",Tabla2[[#This Row],[estado pago]]="por pagar"),"vencida","no")</f>
        <v>no</v>
      </c>
    </row>
    <row r="1408" spans="1:30" ht="19.5" customHeight="1" x14ac:dyDescent="0.25">
      <c r="A1408" s="8" t="s">
        <v>1850</v>
      </c>
      <c r="B1408" s="8" t="b">
        <v>0</v>
      </c>
      <c r="C1408" s="8">
        <v>60</v>
      </c>
      <c r="D1408" s="151">
        <v>1730482</v>
      </c>
      <c r="E1408" s="151"/>
      <c r="F1408" s="24" t="s">
        <v>603</v>
      </c>
      <c r="G1408" s="30">
        <v>45383</v>
      </c>
      <c r="H1408" s="81" t="s">
        <v>222</v>
      </c>
      <c r="I1408" s="30">
        <v>45369</v>
      </c>
      <c r="J1408" s="16">
        <v>1962</v>
      </c>
      <c r="K1408" s="9" t="s">
        <v>504</v>
      </c>
      <c r="L1408" s="9" t="s">
        <v>1533</v>
      </c>
      <c r="M1408" s="152">
        <v>306280</v>
      </c>
      <c r="N1408" s="153">
        <v>0</v>
      </c>
      <c r="O1408" s="152">
        <v>0</v>
      </c>
      <c r="P1408" s="154">
        <v>0</v>
      </c>
      <c r="Q1408" s="152">
        <v>0</v>
      </c>
      <c r="R1408" s="9">
        <v>306280</v>
      </c>
      <c r="S1408" s="21" t="s">
        <v>1846</v>
      </c>
      <c r="T1408" s="117">
        <v>0</v>
      </c>
      <c r="U1408" s="117">
        <v>0</v>
      </c>
      <c r="V1408" s="117">
        <v>2024</v>
      </c>
      <c r="W1408" s="117">
        <v>7</v>
      </c>
      <c r="X1408" s="117">
        <v>0</v>
      </c>
      <c r="Y1408" s="117">
        <v>0</v>
      </c>
      <c r="Z1408" s="21" t="b">
        <v>0</v>
      </c>
      <c r="AA1408" s="162">
        <f>+$AD$5-Tabla2[[#This Row],[FECHA DE FACTURACIÓN]]</f>
        <v>74</v>
      </c>
      <c r="AB1408" s="163" t="str">
        <f>+IF(Tabla2[[#This Row],[dias de credito]]&gt;=Tabla2[[#This Row],[PLAZO Días]],"venc", "No venc")</f>
        <v>venc</v>
      </c>
      <c r="AC1408" s="163" t="str">
        <f>+IF(Tabla2[[#This Row],[FECHA DE PAGO]]&gt;0,"pagada","por pagar")</f>
        <v>pagada</v>
      </c>
      <c r="AD1408" s="164" t="str">
        <f>+IF(AND(Tabla2[[#This Row],[venc]]="venc",Tabla2[[#This Row],[estado pago]]="por pagar"),"vencida","no")</f>
        <v>no</v>
      </c>
    </row>
    <row r="1409" spans="1:30" ht="19.5" customHeight="1" x14ac:dyDescent="0.25">
      <c r="A1409" s="8" t="s">
        <v>1850</v>
      </c>
      <c r="B1409" s="8" t="b">
        <v>0</v>
      </c>
      <c r="C1409" s="8">
        <v>60</v>
      </c>
      <c r="D1409" s="151">
        <v>1730482</v>
      </c>
      <c r="E1409" s="151"/>
      <c r="F1409" s="24" t="s">
        <v>603</v>
      </c>
      <c r="G1409" s="30">
        <v>45383</v>
      </c>
      <c r="H1409" s="81" t="s">
        <v>222</v>
      </c>
      <c r="I1409" s="30">
        <v>45369</v>
      </c>
      <c r="J1409" s="16">
        <v>1963</v>
      </c>
      <c r="K1409" s="9" t="s">
        <v>504</v>
      </c>
      <c r="L1409" s="9" t="s">
        <v>1533</v>
      </c>
      <c r="M1409" s="152">
        <v>306280</v>
      </c>
      <c r="N1409" s="153">
        <v>0</v>
      </c>
      <c r="O1409" s="152">
        <v>0</v>
      </c>
      <c r="P1409" s="154">
        <v>0</v>
      </c>
      <c r="Q1409" s="152">
        <v>0</v>
      </c>
      <c r="R1409" s="9">
        <v>306280</v>
      </c>
      <c r="S1409" s="21" t="s">
        <v>1846</v>
      </c>
      <c r="T1409" s="117">
        <v>0</v>
      </c>
      <c r="U1409" s="117">
        <v>0</v>
      </c>
      <c r="V1409" s="117">
        <v>2024</v>
      </c>
      <c r="W1409" s="117">
        <v>7</v>
      </c>
      <c r="X1409" s="117">
        <v>0</v>
      </c>
      <c r="Y1409" s="117">
        <v>0</v>
      </c>
      <c r="Z1409" s="21" t="b">
        <v>0</v>
      </c>
      <c r="AA1409" s="162">
        <f>+$AD$5-Tabla2[[#This Row],[FECHA DE FACTURACIÓN]]</f>
        <v>74</v>
      </c>
      <c r="AB1409" s="163" t="str">
        <f>+IF(Tabla2[[#This Row],[dias de credito]]&gt;=Tabla2[[#This Row],[PLAZO Días]],"venc", "No venc")</f>
        <v>venc</v>
      </c>
      <c r="AC1409" s="163" t="str">
        <f>+IF(Tabla2[[#This Row],[FECHA DE PAGO]]&gt;0,"pagada","por pagar")</f>
        <v>pagada</v>
      </c>
      <c r="AD1409" s="164" t="str">
        <f>+IF(AND(Tabla2[[#This Row],[venc]]="venc",Tabla2[[#This Row],[estado pago]]="por pagar"),"vencida","no")</f>
        <v>no</v>
      </c>
    </row>
    <row r="1410" spans="1:30" ht="19.5" customHeight="1" x14ac:dyDescent="0.25">
      <c r="A1410" s="8" t="s">
        <v>1850</v>
      </c>
      <c r="B1410" s="8" t="b">
        <v>0</v>
      </c>
      <c r="C1410" s="8">
        <v>60</v>
      </c>
      <c r="D1410" s="151">
        <v>1730482</v>
      </c>
      <c r="E1410" s="151"/>
      <c r="F1410" s="24" t="s">
        <v>603</v>
      </c>
      <c r="G1410" s="30">
        <v>45383</v>
      </c>
      <c r="H1410" s="81" t="s">
        <v>222</v>
      </c>
      <c r="I1410" s="30">
        <v>45369</v>
      </c>
      <c r="J1410" s="16">
        <v>1964</v>
      </c>
      <c r="K1410" s="9" t="s">
        <v>504</v>
      </c>
      <c r="L1410" s="9" t="s">
        <v>1533</v>
      </c>
      <c r="M1410" s="152">
        <v>412770</v>
      </c>
      <c r="N1410" s="153">
        <v>0</v>
      </c>
      <c r="O1410" s="152">
        <v>0</v>
      </c>
      <c r="P1410" s="154">
        <v>0</v>
      </c>
      <c r="Q1410" s="152">
        <v>0</v>
      </c>
      <c r="R1410" s="9">
        <v>412770</v>
      </c>
      <c r="S1410" s="21" t="s">
        <v>1846</v>
      </c>
      <c r="T1410" s="117">
        <v>0</v>
      </c>
      <c r="U1410" s="117">
        <v>0</v>
      </c>
      <c r="V1410" s="117">
        <v>2024</v>
      </c>
      <c r="W1410" s="117">
        <v>7</v>
      </c>
      <c r="X1410" s="117">
        <v>0</v>
      </c>
      <c r="Y1410" s="117">
        <v>0</v>
      </c>
      <c r="Z1410" s="21" t="b">
        <v>0</v>
      </c>
      <c r="AA1410" s="162">
        <f>+$AD$5-Tabla2[[#This Row],[FECHA DE FACTURACIÓN]]</f>
        <v>74</v>
      </c>
      <c r="AB1410" s="163" t="str">
        <f>+IF(Tabla2[[#This Row],[dias de credito]]&gt;=Tabla2[[#This Row],[PLAZO Días]],"venc", "No venc")</f>
        <v>venc</v>
      </c>
      <c r="AC1410" s="163" t="str">
        <f>+IF(Tabla2[[#This Row],[FECHA DE PAGO]]&gt;0,"pagada","por pagar")</f>
        <v>pagada</v>
      </c>
      <c r="AD1410" s="164" t="str">
        <f>+IF(AND(Tabla2[[#This Row],[venc]]="venc",Tabla2[[#This Row],[estado pago]]="por pagar"),"vencida","no")</f>
        <v>no</v>
      </c>
    </row>
    <row r="1411" spans="1:30" ht="19.5" customHeight="1" x14ac:dyDescent="0.25">
      <c r="A1411" s="8" t="s">
        <v>1850</v>
      </c>
      <c r="B1411" s="8" t="b">
        <v>0</v>
      </c>
      <c r="C1411" s="8">
        <v>30</v>
      </c>
      <c r="D1411" s="151">
        <v>0</v>
      </c>
      <c r="E1411" s="151"/>
      <c r="F1411" s="24" t="s">
        <v>159</v>
      </c>
      <c r="G1411" s="30">
        <v>45383</v>
      </c>
      <c r="H1411" s="81" t="s">
        <v>452</v>
      </c>
      <c r="I1411" s="30">
        <v>45378</v>
      </c>
      <c r="J1411" s="16" t="s">
        <v>1690</v>
      </c>
      <c r="K1411" s="9" t="s">
        <v>1530</v>
      </c>
      <c r="L1411" s="9" t="s">
        <v>1395</v>
      </c>
      <c r="M1411" s="152">
        <v>285716</v>
      </c>
      <c r="N1411" s="153">
        <v>54286.04</v>
      </c>
      <c r="O1411" s="152">
        <v>0</v>
      </c>
      <c r="P1411" s="154">
        <v>0</v>
      </c>
      <c r="Q1411" s="152">
        <v>0</v>
      </c>
      <c r="R1411" s="9">
        <v>340002.04</v>
      </c>
      <c r="S1411" s="21" t="s">
        <v>1846</v>
      </c>
      <c r="T1411" s="117">
        <v>0</v>
      </c>
      <c r="U1411" s="117" t="s">
        <v>347</v>
      </c>
      <c r="V1411" s="117">
        <v>2024</v>
      </c>
      <c r="W1411" s="117">
        <v>7</v>
      </c>
      <c r="X1411" s="117">
        <v>1271000</v>
      </c>
      <c r="Y1411" s="117">
        <v>2.5000000000000001E-2</v>
      </c>
      <c r="Z1411" s="21" t="b">
        <v>0</v>
      </c>
      <c r="AA1411" s="162">
        <f>+$AD$5-Tabla2[[#This Row],[FECHA DE FACTURACIÓN]]</f>
        <v>65</v>
      </c>
      <c r="AB1411" s="163" t="str">
        <f>+IF(Tabla2[[#This Row],[dias de credito]]&gt;=Tabla2[[#This Row],[PLAZO Días]],"venc", "No venc")</f>
        <v>venc</v>
      </c>
      <c r="AC1411" s="163" t="str">
        <f>+IF(Tabla2[[#This Row],[FECHA DE PAGO]]&gt;0,"pagada","por pagar")</f>
        <v>pagada</v>
      </c>
      <c r="AD1411" s="164" t="str">
        <f>+IF(AND(Tabla2[[#This Row],[venc]]="venc",Tabla2[[#This Row],[estado pago]]="por pagar"),"vencida","no")</f>
        <v>no</v>
      </c>
    </row>
    <row r="1412" spans="1:30" ht="19.5" customHeight="1" x14ac:dyDescent="0.25">
      <c r="A1412" s="8" t="s">
        <v>1850</v>
      </c>
      <c r="B1412" s="8" t="b">
        <v>0</v>
      </c>
      <c r="C1412" s="8">
        <v>60</v>
      </c>
      <c r="D1412" s="151">
        <v>1730482</v>
      </c>
      <c r="E1412" s="151"/>
      <c r="F1412" s="24" t="s">
        <v>603</v>
      </c>
      <c r="G1412" s="30">
        <v>45383</v>
      </c>
      <c r="H1412" s="81" t="s">
        <v>222</v>
      </c>
      <c r="I1412" s="30">
        <v>45379</v>
      </c>
      <c r="J1412" s="16">
        <v>1980</v>
      </c>
      <c r="K1412" s="9" t="s">
        <v>504</v>
      </c>
      <c r="L1412" s="9" t="s">
        <v>1533</v>
      </c>
      <c r="M1412" s="152">
        <v>1393574</v>
      </c>
      <c r="N1412" s="153">
        <v>0</v>
      </c>
      <c r="O1412" s="152">
        <v>0</v>
      </c>
      <c r="P1412" s="154">
        <v>0</v>
      </c>
      <c r="Q1412" s="152">
        <v>0</v>
      </c>
      <c r="R1412" s="9">
        <v>1393574</v>
      </c>
      <c r="S1412" s="21" t="s">
        <v>1846</v>
      </c>
      <c r="T1412" s="117">
        <v>0</v>
      </c>
      <c r="U1412" s="117">
        <v>0</v>
      </c>
      <c r="V1412" s="117">
        <v>2024</v>
      </c>
      <c r="W1412" s="117">
        <v>7</v>
      </c>
      <c r="X1412" s="117">
        <v>0</v>
      </c>
      <c r="Y1412" s="117">
        <v>0</v>
      </c>
      <c r="Z1412" s="21" t="b">
        <v>0</v>
      </c>
      <c r="AA1412" s="162">
        <f>+$AD$5-Tabla2[[#This Row],[FECHA DE FACTURACIÓN]]</f>
        <v>64</v>
      </c>
      <c r="AB1412" s="163" t="str">
        <f>+IF(Tabla2[[#This Row],[dias de credito]]&gt;=Tabla2[[#This Row],[PLAZO Días]],"venc", "No venc")</f>
        <v>venc</v>
      </c>
      <c r="AC1412" s="163" t="str">
        <f>+IF(Tabla2[[#This Row],[FECHA DE PAGO]]&gt;0,"pagada","por pagar")</f>
        <v>pagada</v>
      </c>
      <c r="AD1412" s="164" t="str">
        <f>+IF(AND(Tabla2[[#This Row],[venc]]="venc",Tabla2[[#This Row],[estado pago]]="por pagar"),"vencida","no")</f>
        <v>no</v>
      </c>
    </row>
    <row r="1413" spans="1:30" ht="19.5" customHeight="1" x14ac:dyDescent="0.25">
      <c r="A1413" s="8" t="s">
        <v>1852</v>
      </c>
      <c r="B1413" s="8" t="b">
        <v>0</v>
      </c>
      <c r="C1413" s="8">
        <v>30</v>
      </c>
      <c r="D1413" s="151">
        <v>0</v>
      </c>
      <c r="E1413" s="151"/>
      <c r="F1413" s="24" t="s">
        <v>86</v>
      </c>
      <c r="G1413" s="30">
        <v>45383</v>
      </c>
      <c r="H1413" s="81" t="s">
        <v>390</v>
      </c>
      <c r="I1413" s="30">
        <v>45383</v>
      </c>
      <c r="J1413" s="16"/>
      <c r="K1413" s="9" t="s">
        <v>1530</v>
      </c>
      <c r="L1413" s="9" t="s">
        <v>1533</v>
      </c>
      <c r="M1413" s="152">
        <v>633500</v>
      </c>
      <c r="N1413" s="153">
        <v>0</v>
      </c>
      <c r="O1413" s="152">
        <v>0</v>
      </c>
      <c r="P1413" s="154">
        <v>0</v>
      </c>
      <c r="Q1413" s="152">
        <v>0</v>
      </c>
      <c r="R1413" s="9">
        <v>633500</v>
      </c>
      <c r="S1413" s="21" t="s">
        <v>1846</v>
      </c>
      <c r="T1413" s="117">
        <v>0</v>
      </c>
      <c r="U1413" s="117">
        <v>0</v>
      </c>
      <c r="V1413" s="117">
        <v>2024</v>
      </c>
      <c r="W1413" s="117">
        <v>7</v>
      </c>
      <c r="X1413" s="117">
        <v>0</v>
      </c>
      <c r="Y1413" s="117">
        <v>0</v>
      </c>
      <c r="Z1413" s="21" t="b">
        <v>1</v>
      </c>
      <c r="AA1413" s="162">
        <f>+$AD$5-Tabla2[[#This Row],[FECHA DE FACTURACIÓN]]</f>
        <v>60</v>
      </c>
      <c r="AB1413" s="163" t="str">
        <f>+IF(Tabla2[[#This Row],[dias de credito]]&gt;=Tabla2[[#This Row],[PLAZO Días]],"venc", "No venc")</f>
        <v>venc</v>
      </c>
      <c r="AC1413" s="163" t="str">
        <f>+IF(Tabla2[[#This Row],[FECHA DE PAGO]]&gt;0,"pagada","por pagar")</f>
        <v>pagada</v>
      </c>
      <c r="AD1413" s="164" t="str">
        <f>+IF(AND(Tabla2[[#This Row],[venc]]="venc",Tabla2[[#This Row],[estado pago]]="por pagar"),"vencida","no")</f>
        <v>no</v>
      </c>
    </row>
    <row r="1414" spans="1:30" ht="19.5" customHeight="1" x14ac:dyDescent="0.25">
      <c r="A1414" s="8" t="s">
        <v>1850</v>
      </c>
      <c r="B1414" s="8" t="b">
        <v>0</v>
      </c>
      <c r="C1414" s="8">
        <v>30</v>
      </c>
      <c r="D1414" s="151">
        <v>0</v>
      </c>
      <c r="E1414" s="151"/>
      <c r="F1414" s="24">
        <v>0</v>
      </c>
      <c r="G1414" s="30">
        <v>45383</v>
      </c>
      <c r="H1414" s="81" t="s">
        <v>1626</v>
      </c>
      <c r="I1414" s="30">
        <v>45393</v>
      </c>
      <c r="J1414" s="16" t="s">
        <v>1796</v>
      </c>
      <c r="K1414" s="9" t="s">
        <v>1530</v>
      </c>
      <c r="L1414" s="9" t="s">
        <v>1541</v>
      </c>
      <c r="M1414" s="152">
        <v>14244000</v>
      </c>
      <c r="N1414" s="153">
        <v>0</v>
      </c>
      <c r="O1414" s="152">
        <v>0</v>
      </c>
      <c r="P1414" s="154">
        <v>0</v>
      </c>
      <c r="Q1414" s="152">
        <v>0</v>
      </c>
      <c r="R1414" s="9">
        <v>14244000</v>
      </c>
      <c r="S1414" s="21" t="s">
        <v>1846</v>
      </c>
      <c r="T1414" s="117">
        <v>0</v>
      </c>
      <c r="U1414" s="117">
        <v>0</v>
      </c>
      <c r="V1414" s="117">
        <v>2024</v>
      </c>
      <c r="W1414" s="117">
        <v>7</v>
      </c>
      <c r="X1414" s="117">
        <v>0</v>
      </c>
      <c r="Y1414" s="117">
        <v>0</v>
      </c>
      <c r="Z1414" s="21" t="b">
        <v>0</v>
      </c>
      <c r="AA1414" s="162">
        <f>+$AD$5-Tabla2[[#This Row],[FECHA DE FACTURACIÓN]]</f>
        <v>50</v>
      </c>
      <c r="AB1414" s="163" t="str">
        <f>+IF(Tabla2[[#This Row],[dias de credito]]&gt;=Tabla2[[#This Row],[PLAZO Días]],"venc", "No venc")</f>
        <v>venc</v>
      </c>
      <c r="AC1414" s="163" t="str">
        <f>+IF(Tabla2[[#This Row],[FECHA DE PAGO]]&gt;0,"pagada","por pagar")</f>
        <v>pagada</v>
      </c>
      <c r="AD1414" s="164" t="str">
        <f>+IF(AND(Tabla2[[#This Row],[venc]]="venc",Tabla2[[#This Row],[estado pago]]="por pagar"),"vencida","no")</f>
        <v>no</v>
      </c>
    </row>
    <row r="1415" spans="1:30" ht="19.5" customHeight="1" x14ac:dyDescent="0.25">
      <c r="A1415" s="8" t="s">
        <v>1850</v>
      </c>
      <c r="B1415" s="8" t="s">
        <v>1851</v>
      </c>
      <c r="C1415" s="8">
        <v>30</v>
      </c>
      <c r="D1415" s="151">
        <v>0</v>
      </c>
      <c r="E1415" s="151"/>
      <c r="F1415" s="24">
        <v>0</v>
      </c>
      <c r="G1415" s="30">
        <v>45384</v>
      </c>
      <c r="H1415" s="81" t="s">
        <v>1170</v>
      </c>
      <c r="I1415" s="30">
        <v>45335</v>
      </c>
      <c r="J1415" s="16" t="s">
        <v>1599</v>
      </c>
      <c r="K1415" s="9" t="s">
        <v>1530</v>
      </c>
      <c r="L1415" s="9" t="s">
        <v>1395</v>
      </c>
      <c r="M1415" s="152">
        <v>974000</v>
      </c>
      <c r="N1415" s="153">
        <v>0</v>
      </c>
      <c r="O1415" s="152">
        <v>0</v>
      </c>
      <c r="P1415" s="154">
        <v>0</v>
      </c>
      <c r="Q1415" s="152">
        <v>0</v>
      </c>
      <c r="R1415" s="9">
        <v>974000</v>
      </c>
      <c r="S1415" s="21" t="s">
        <v>1846</v>
      </c>
      <c r="T1415" s="117">
        <v>0</v>
      </c>
      <c r="U1415" s="117">
        <v>0</v>
      </c>
      <c r="V1415" s="117">
        <v>2024</v>
      </c>
      <c r="W1415" s="117">
        <v>7</v>
      </c>
      <c r="X1415" s="117">
        <v>0</v>
      </c>
      <c r="Y1415" s="117">
        <v>0</v>
      </c>
      <c r="Z1415" s="21" t="b">
        <v>0</v>
      </c>
      <c r="AA1415" s="162">
        <f>+$AD$5-Tabla2[[#This Row],[FECHA DE FACTURACIÓN]]</f>
        <v>108</v>
      </c>
      <c r="AB1415" s="163" t="str">
        <f>+IF(Tabla2[[#This Row],[dias de credito]]&gt;=Tabla2[[#This Row],[PLAZO Días]],"venc", "No venc")</f>
        <v>venc</v>
      </c>
      <c r="AC1415" s="163" t="str">
        <f>+IF(Tabla2[[#This Row],[FECHA DE PAGO]]&gt;0,"pagada","por pagar")</f>
        <v>pagada</v>
      </c>
      <c r="AD1415" s="164" t="str">
        <f>+IF(AND(Tabla2[[#This Row],[venc]]="venc",Tabla2[[#This Row],[estado pago]]="por pagar"),"vencida","no")</f>
        <v>no</v>
      </c>
    </row>
    <row r="1416" spans="1:30" ht="19.5" customHeight="1" x14ac:dyDescent="0.25">
      <c r="A1416" s="8" t="s">
        <v>1850</v>
      </c>
      <c r="B1416" s="8" t="s">
        <v>1851</v>
      </c>
      <c r="C1416" s="8">
        <v>30</v>
      </c>
      <c r="D1416" s="151">
        <v>0</v>
      </c>
      <c r="E1416" s="151"/>
      <c r="F1416" s="24">
        <v>0</v>
      </c>
      <c r="G1416" s="30">
        <v>45384</v>
      </c>
      <c r="H1416" s="81" t="s">
        <v>1170</v>
      </c>
      <c r="I1416" s="30">
        <v>45335</v>
      </c>
      <c r="J1416" s="16" t="s">
        <v>1600</v>
      </c>
      <c r="K1416" s="9" t="s">
        <v>1530</v>
      </c>
      <c r="L1416" s="9" t="s">
        <v>1395</v>
      </c>
      <c r="M1416" s="152">
        <v>861000</v>
      </c>
      <c r="N1416" s="153">
        <v>0</v>
      </c>
      <c r="O1416" s="152">
        <v>0</v>
      </c>
      <c r="P1416" s="154">
        <v>0</v>
      </c>
      <c r="Q1416" s="152">
        <v>0</v>
      </c>
      <c r="R1416" s="9">
        <v>861000</v>
      </c>
      <c r="S1416" s="21" t="s">
        <v>1846</v>
      </c>
      <c r="T1416" s="117">
        <v>0</v>
      </c>
      <c r="U1416" s="117">
        <v>0</v>
      </c>
      <c r="V1416" s="117">
        <v>2024</v>
      </c>
      <c r="W1416" s="117">
        <v>7</v>
      </c>
      <c r="X1416" s="117">
        <v>0</v>
      </c>
      <c r="Y1416" s="117">
        <v>0</v>
      </c>
      <c r="Z1416" s="21" t="b">
        <v>0</v>
      </c>
      <c r="AA1416" s="162">
        <f>+$AD$5-Tabla2[[#This Row],[FECHA DE FACTURACIÓN]]</f>
        <v>108</v>
      </c>
      <c r="AB1416" s="163" t="str">
        <f>+IF(Tabla2[[#This Row],[dias de credito]]&gt;=Tabla2[[#This Row],[PLAZO Días]],"venc", "No venc")</f>
        <v>venc</v>
      </c>
      <c r="AC1416" s="163" t="str">
        <f>+IF(Tabla2[[#This Row],[FECHA DE PAGO]]&gt;0,"pagada","por pagar")</f>
        <v>pagada</v>
      </c>
      <c r="AD1416" s="164" t="str">
        <f>+IF(AND(Tabla2[[#This Row],[venc]]="venc",Tabla2[[#This Row],[estado pago]]="por pagar"),"vencida","no")</f>
        <v>no</v>
      </c>
    </row>
    <row r="1417" spans="1:30" ht="19.5" customHeight="1" x14ac:dyDescent="0.25">
      <c r="A1417" s="8" t="s">
        <v>1850</v>
      </c>
      <c r="B1417" s="8" t="s">
        <v>1851</v>
      </c>
      <c r="C1417" s="8">
        <v>30</v>
      </c>
      <c r="D1417" s="151">
        <v>0</v>
      </c>
      <c r="E1417" s="151"/>
      <c r="F1417" s="24" t="s">
        <v>1835</v>
      </c>
      <c r="G1417" s="30">
        <v>45384</v>
      </c>
      <c r="H1417" s="81" t="s">
        <v>1594</v>
      </c>
      <c r="I1417" s="30">
        <v>45344</v>
      </c>
      <c r="J1417" s="16" t="s">
        <v>1595</v>
      </c>
      <c r="K1417" s="9" t="s">
        <v>1530</v>
      </c>
      <c r="L1417" s="9" t="s">
        <v>1533</v>
      </c>
      <c r="M1417" s="152">
        <v>2755141</v>
      </c>
      <c r="N1417" s="153">
        <v>523476.79</v>
      </c>
      <c r="O1417" s="152">
        <v>0</v>
      </c>
      <c r="P1417" s="154">
        <v>2.5000000000000001E-2</v>
      </c>
      <c r="Q1417" s="152">
        <v>68878.525000000009</v>
      </c>
      <c r="R1417" s="9">
        <v>3209739.2650000001</v>
      </c>
      <c r="S1417" s="21" t="s">
        <v>1846</v>
      </c>
      <c r="T1417" s="117">
        <v>0</v>
      </c>
      <c r="U1417" s="117" t="s">
        <v>347</v>
      </c>
      <c r="V1417" s="117">
        <v>2024</v>
      </c>
      <c r="W1417" s="117">
        <v>7</v>
      </c>
      <c r="X1417" s="117">
        <v>1271000</v>
      </c>
      <c r="Y1417" s="117">
        <v>2.5000000000000001E-2</v>
      </c>
      <c r="Z1417" s="21" t="b">
        <v>0</v>
      </c>
      <c r="AA1417" s="162">
        <f>+$AD$5-Tabla2[[#This Row],[FECHA DE FACTURACIÓN]]</f>
        <v>99</v>
      </c>
      <c r="AB1417" s="163" t="str">
        <f>+IF(Tabla2[[#This Row],[dias de credito]]&gt;=Tabla2[[#This Row],[PLAZO Días]],"venc", "No venc")</f>
        <v>venc</v>
      </c>
      <c r="AC1417" s="163" t="str">
        <f>+IF(Tabla2[[#This Row],[FECHA DE PAGO]]&gt;0,"pagada","por pagar")</f>
        <v>pagada</v>
      </c>
      <c r="AD1417" s="164" t="str">
        <f>+IF(AND(Tabla2[[#This Row],[venc]]="venc",Tabla2[[#This Row],[estado pago]]="por pagar"),"vencida","no")</f>
        <v>no</v>
      </c>
    </row>
    <row r="1418" spans="1:30" ht="19.5" customHeight="1" x14ac:dyDescent="0.25">
      <c r="A1418" s="8" t="s">
        <v>1850</v>
      </c>
      <c r="B1418" s="8" t="s">
        <v>1851</v>
      </c>
      <c r="C1418" s="8">
        <v>30</v>
      </c>
      <c r="D1418" s="151">
        <v>0</v>
      </c>
      <c r="E1418" s="151"/>
      <c r="F1418" s="24" t="s">
        <v>1835</v>
      </c>
      <c r="G1418" s="30">
        <v>45384</v>
      </c>
      <c r="H1418" s="81" t="s">
        <v>1594</v>
      </c>
      <c r="I1418" s="30">
        <v>45344</v>
      </c>
      <c r="J1418" s="16" t="s">
        <v>1783</v>
      </c>
      <c r="K1418" s="9" t="s">
        <v>1530</v>
      </c>
      <c r="L1418" s="9" t="s">
        <v>1533</v>
      </c>
      <c r="M1418" s="152">
        <v>-1808800</v>
      </c>
      <c r="N1418" s="153">
        <v>0</v>
      </c>
      <c r="O1418" s="152">
        <v>0</v>
      </c>
      <c r="P1418" s="154">
        <v>0</v>
      </c>
      <c r="Q1418" s="152">
        <v>0</v>
      </c>
      <c r="R1418" s="9">
        <v>-1808800</v>
      </c>
      <c r="S1418" s="21" t="s">
        <v>1846</v>
      </c>
      <c r="T1418" s="117">
        <v>0</v>
      </c>
      <c r="U1418" s="117" t="s">
        <v>347</v>
      </c>
      <c r="V1418" s="117">
        <v>2024</v>
      </c>
      <c r="W1418" s="117">
        <v>7</v>
      </c>
      <c r="X1418" s="117">
        <v>1271000</v>
      </c>
      <c r="Y1418" s="117">
        <v>2.5000000000000001E-2</v>
      </c>
      <c r="Z1418" s="21" t="b">
        <v>0</v>
      </c>
      <c r="AA1418" s="162">
        <f>+$AD$5-Tabla2[[#This Row],[FECHA DE FACTURACIÓN]]</f>
        <v>99</v>
      </c>
      <c r="AB1418" s="163" t="str">
        <f>+IF(Tabla2[[#This Row],[dias de credito]]&gt;=Tabla2[[#This Row],[PLAZO Días]],"venc", "No venc")</f>
        <v>venc</v>
      </c>
      <c r="AC1418" s="163" t="str">
        <f>+IF(Tabla2[[#This Row],[FECHA DE PAGO]]&gt;0,"pagada","por pagar")</f>
        <v>pagada</v>
      </c>
      <c r="AD1418" s="164" t="str">
        <f>+IF(AND(Tabla2[[#This Row],[venc]]="venc",Tabla2[[#This Row],[estado pago]]="por pagar"),"vencida","no")</f>
        <v>no</v>
      </c>
    </row>
    <row r="1419" spans="1:30" ht="19.5" customHeight="1" x14ac:dyDescent="0.25">
      <c r="A1419" s="8" t="s">
        <v>1850</v>
      </c>
      <c r="B1419" s="8" t="s">
        <v>1851</v>
      </c>
      <c r="C1419" s="8">
        <v>30</v>
      </c>
      <c r="D1419" s="151">
        <v>4466504.835</v>
      </c>
      <c r="E1419" s="151"/>
      <c r="F1419" s="24" t="s">
        <v>1553</v>
      </c>
      <c r="G1419" s="30">
        <v>45384</v>
      </c>
      <c r="H1419" s="81" t="s">
        <v>18</v>
      </c>
      <c r="I1419" s="30">
        <v>45351</v>
      </c>
      <c r="J1419" s="16">
        <v>1083831</v>
      </c>
      <c r="K1419" s="9" t="s">
        <v>504</v>
      </c>
      <c r="L1419" s="9" t="s">
        <v>1533</v>
      </c>
      <c r="M1419" s="152">
        <v>1015749</v>
      </c>
      <c r="N1419" s="153">
        <v>192992.31</v>
      </c>
      <c r="O1419" s="152">
        <v>0</v>
      </c>
      <c r="P1419" s="154">
        <v>0</v>
      </c>
      <c r="Q1419" s="152">
        <v>0</v>
      </c>
      <c r="R1419" s="9">
        <v>1208741.31</v>
      </c>
      <c r="S1419" s="21" t="s">
        <v>1846</v>
      </c>
      <c r="T1419" s="117">
        <v>0</v>
      </c>
      <c r="U1419" s="117" t="s">
        <v>347</v>
      </c>
      <c r="V1419" s="117">
        <v>2024</v>
      </c>
      <c r="W1419" s="117">
        <v>7</v>
      </c>
      <c r="X1419" s="117">
        <v>1271000</v>
      </c>
      <c r="Y1419" s="117">
        <v>2.5000000000000001E-2</v>
      </c>
      <c r="Z1419" s="21" t="b">
        <v>0</v>
      </c>
      <c r="AA1419" s="162">
        <f>+$AD$5-Tabla2[[#This Row],[FECHA DE FACTURACIÓN]]</f>
        <v>92</v>
      </c>
      <c r="AB1419" s="163" t="str">
        <f>+IF(Tabla2[[#This Row],[dias de credito]]&gt;=Tabla2[[#This Row],[PLAZO Días]],"venc", "No venc")</f>
        <v>venc</v>
      </c>
      <c r="AC1419" s="163" t="str">
        <f>+IF(Tabla2[[#This Row],[FECHA DE PAGO]]&gt;0,"pagada","por pagar")</f>
        <v>pagada</v>
      </c>
      <c r="AD1419" s="164" t="str">
        <f>+IF(AND(Tabla2[[#This Row],[venc]]="venc",Tabla2[[#This Row],[estado pago]]="por pagar"),"vencida","no")</f>
        <v>no</v>
      </c>
    </row>
    <row r="1420" spans="1:30" ht="19.5" customHeight="1" x14ac:dyDescent="0.25">
      <c r="A1420" s="8" t="s">
        <v>1850</v>
      </c>
      <c r="B1420" s="8" t="b">
        <v>0</v>
      </c>
      <c r="C1420" s="8">
        <v>30</v>
      </c>
      <c r="D1420" s="151">
        <v>0</v>
      </c>
      <c r="E1420" s="151"/>
      <c r="F1420" s="24">
        <v>0</v>
      </c>
      <c r="G1420" s="30">
        <v>45384</v>
      </c>
      <c r="H1420" s="81" t="s">
        <v>836</v>
      </c>
      <c r="I1420" s="30">
        <v>45378</v>
      </c>
      <c r="J1420" s="16" t="s">
        <v>1691</v>
      </c>
      <c r="K1420" s="9" t="s">
        <v>504</v>
      </c>
      <c r="L1420" s="9" t="s">
        <v>1395</v>
      </c>
      <c r="M1420" s="152">
        <v>236000</v>
      </c>
      <c r="N1420" s="153">
        <v>0</v>
      </c>
      <c r="O1420" s="152">
        <v>0</v>
      </c>
      <c r="P1420" s="154">
        <v>0</v>
      </c>
      <c r="Q1420" s="152">
        <v>0</v>
      </c>
      <c r="R1420" s="9">
        <v>236000</v>
      </c>
      <c r="S1420" s="21" t="s">
        <v>1846</v>
      </c>
      <c r="T1420" s="117">
        <v>0</v>
      </c>
      <c r="U1420" s="117">
        <v>0</v>
      </c>
      <c r="V1420" s="117">
        <v>2024</v>
      </c>
      <c r="W1420" s="117">
        <v>7</v>
      </c>
      <c r="X1420" s="117">
        <v>0</v>
      </c>
      <c r="Y1420" s="117">
        <v>0</v>
      </c>
      <c r="Z1420" s="21" t="b">
        <v>0</v>
      </c>
      <c r="AA1420" s="162">
        <f>+$AD$5-Tabla2[[#This Row],[FECHA DE FACTURACIÓN]]</f>
        <v>65</v>
      </c>
      <c r="AB1420" s="163" t="str">
        <f>+IF(Tabla2[[#This Row],[dias de credito]]&gt;=Tabla2[[#This Row],[PLAZO Días]],"venc", "No venc")</f>
        <v>venc</v>
      </c>
      <c r="AC1420" s="163" t="str">
        <f>+IF(Tabla2[[#This Row],[FECHA DE PAGO]]&gt;0,"pagada","por pagar")</f>
        <v>pagada</v>
      </c>
      <c r="AD1420" s="164" t="str">
        <f>+IF(AND(Tabla2[[#This Row],[venc]]="venc",Tabla2[[#This Row],[estado pago]]="por pagar"),"vencida","no")</f>
        <v>no</v>
      </c>
    </row>
    <row r="1421" spans="1:30" ht="19.5" customHeight="1" x14ac:dyDescent="0.25">
      <c r="A1421" s="8" t="s">
        <v>1852</v>
      </c>
      <c r="B1421" s="8" t="b">
        <v>0</v>
      </c>
      <c r="C1421" s="8">
        <v>30</v>
      </c>
      <c r="D1421" s="151">
        <v>134000</v>
      </c>
      <c r="E1421" s="151"/>
      <c r="F1421" s="24" t="s">
        <v>192</v>
      </c>
      <c r="G1421" s="30">
        <v>45384</v>
      </c>
      <c r="H1421" s="81" t="s">
        <v>1808</v>
      </c>
      <c r="I1421" s="30">
        <v>45384</v>
      </c>
      <c r="J1421" s="16" t="s">
        <v>1743</v>
      </c>
      <c r="K1421" s="9" t="s">
        <v>1530</v>
      </c>
      <c r="L1421" s="9"/>
      <c r="M1421" s="152">
        <v>39000</v>
      </c>
      <c r="N1421" s="153">
        <v>0</v>
      </c>
      <c r="O1421" s="152">
        <v>0</v>
      </c>
      <c r="P1421" s="154">
        <v>0</v>
      </c>
      <c r="Q1421" s="152">
        <v>0</v>
      </c>
      <c r="R1421" s="9">
        <v>39000</v>
      </c>
      <c r="S1421" s="21" t="s">
        <v>1846</v>
      </c>
      <c r="T1421" s="117">
        <v>0</v>
      </c>
      <c r="U1421" s="117">
        <v>0</v>
      </c>
      <c r="V1421" s="117">
        <v>2024</v>
      </c>
      <c r="W1421" s="117">
        <v>7</v>
      </c>
      <c r="X1421" s="117">
        <v>0</v>
      </c>
      <c r="Y1421" s="117">
        <v>0</v>
      </c>
      <c r="Z1421" s="21" t="b">
        <v>0</v>
      </c>
      <c r="AA1421" s="162">
        <f>+$AD$5-Tabla2[[#This Row],[FECHA DE FACTURACIÓN]]</f>
        <v>59</v>
      </c>
      <c r="AB1421" s="163" t="str">
        <f>+IF(Tabla2[[#This Row],[dias de credito]]&gt;=Tabla2[[#This Row],[PLAZO Días]],"venc", "No venc")</f>
        <v>venc</v>
      </c>
      <c r="AC1421" s="163" t="str">
        <f>+IF(Tabla2[[#This Row],[FECHA DE PAGO]]&gt;0,"pagada","por pagar")</f>
        <v>pagada</v>
      </c>
      <c r="AD1421" s="164" t="str">
        <f>+IF(AND(Tabla2[[#This Row],[venc]]="venc",Tabla2[[#This Row],[estado pago]]="por pagar"),"vencida","no")</f>
        <v>no</v>
      </c>
    </row>
    <row r="1422" spans="1:30" ht="19.5" customHeight="1" x14ac:dyDescent="0.25">
      <c r="A1422" s="8" t="s">
        <v>1850</v>
      </c>
      <c r="B1422" s="8" t="s">
        <v>1851</v>
      </c>
      <c r="C1422" s="8">
        <v>30</v>
      </c>
      <c r="D1422" s="151">
        <v>3130000</v>
      </c>
      <c r="E1422" s="151"/>
      <c r="F1422" s="24">
        <v>0</v>
      </c>
      <c r="G1422" s="30">
        <v>45385</v>
      </c>
      <c r="H1422" s="81" t="s">
        <v>472</v>
      </c>
      <c r="I1422" s="30">
        <v>45335</v>
      </c>
      <c r="J1422" s="16" t="s">
        <v>1692</v>
      </c>
      <c r="K1422" s="9" t="s">
        <v>1530</v>
      </c>
      <c r="L1422" s="9" t="s">
        <v>1395</v>
      </c>
      <c r="M1422" s="152">
        <v>1450000</v>
      </c>
      <c r="N1422" s="153">
        <v>0</v>
      </c>
      <c r="O1422" s="152">
        <v>0</v>
      </c>
      <c r="P1422" s="154">
        <v>0</v>
      </c>
      <c r="Q1422" s="152">
        <v>0</v>
      </c>
      <c r="R1422" s="9">
        <v>1450000</v>
      </c>
      <c r="S1422" s="21" t="s">
        <v>1846</v>
      </c>
      <c r="T1422" s="117">
        <v>0</v>
      </c>
      <c r="U1422" s="117">
        <v>0</v>
      </c>
      <c r="V1422" s="117">
        <v>2024</v>
      </c>
      <c r="W1422" s="117">
        <v>7</v>
      </c>
      <c r="X1422" s="117">
        <v>0</v>
      </c>
      <c r="Y1422" s="117">
        <v>0</v>
      </c>
      <c r="Z1422" s="21" t="b">
        <v>0</v>
      </c>
      <c r="AA1422" s="162">
        <f>+$AD$5-Tabla2[[#This Row],[FECHA DE FACTURACIÓN]]</f>
        <v>108</v>
      </c>
      <c r="AB1422" s="163" t="str">
        <f>+IF(Tabla2[[#This Row],[dias de credito]]&gt;=Tabla2[[#This Row],[PLAZO Días]],"venc", "No venc")</f>
        <v>venc</v>
      </c>
      <c r="AC1422" s="163" t="str">
        <f>+IF(Tabla2[[#This Row],[FECHA DE PAGO]]&gt;0,"pagada","por pagar")</f>
        <v>pagada</v>
      </c>
      <c r="AD1422" s="164" t="str">
        <f>+IF(AND(Tabla2[[#This Row],[venc]]="venc",Tabla2[[#This Row],[estado pago]]="por pagar"),"vencida","no")</f>
        <v>no</v>
      </c>
    </row>
    <row r="1423" spans="1:30" ht="19.5" customHeight="1" x14ac:dyDescent="0.25">
      <c r="A1423" s="8" t="s">
        <v>1850</v>
      </c>
      <c r="B1423" s="8" t="s">
        <v>1851</v>
      </c>
      <c r="C1423" s="8">
        <v>30</v>
      </c>
      <c r="D1423" s="151">
        <v>2080356.81</v>
      </c>
      <c r="E1423" s="151"/>
      <c r="F1423" s="24" t="s">
        <v>409</v>
      </c>
      <c r="G1423" s="30">
        <v>45385</v>
      </c>
      <c r="H1423" s="81" t="s">
        <v>31</v>
      </c>
      <c r="I1423" s="30">
        <v>45350</v>
      </c>
      <c r="J1423" s="16" t="s">
        <v>1597</v>
      </c>
      <c r="K1423" s="9" t="s">
        <v>1530</v>
      </c>
      <c r="L1423" s="9" t="s">
        <v>1533</v>
      </c>
      <c r="M1423" s="152">
        <v>617647</v>
      </c>
      <c r="N1423" s="153">
        <v>117352.93000000001</v>
      </c>
      <c r="O1423" s="152">
        <v>0</v>
      </c>
      <c r="P1423" s="154">
        <v>0</v>
      </c>
      <c r="Q1423" s="152">
        <v>0</v>
      </c>
      <c r="R1423" s="9">
        <v>734999.93</v>
      </c>
      <c r="S1423" s="21" t="s">
        <v>1846</v>
      </c>
      <c r="T1423" s="117">
        <v>0</v>
      </c>
      <c r="U1423" s="117" t="s">
        <v>347</v>
      </c>
      <c r="V1423" s="117">
        <v>2024</v>
      </c>
      <c r="W1423" s="117">
        <v>7</v>
      </c>
      <c r="X1423" s="117">
        <v>1271000</v>
      </c>
      <c r="Y1423" s="117">
        <v>2.5000000000000001E-2</v>
      </c>
      <c r="Z1423" s="21" t="b">
        <v>0</v>
      </c>
      <c r="AA1423" s="162">
        <f>+$AD$5-Tabla2[[#This Row],[FECHA DE FACTURACIÓN]]</f>
        <v>93</v>
      </c>
      <c r="AB1423" s="163" t="str">
        <f>+IF(Tabla2[[#This Row],[dias de credito]]&gt;=Tabla2[[#This Row],[PLAZO Días]],"venc", "No venc")</f>
        <v>venc</v>
      </c>
      <c r="AC1423" s="163" t="str">
        <f>+IF(Tabla2[[#This Row],[FECHA DE PAGO]]&gt;0,"pagada","por pagar")</f>
        <v>pagada</v>
      </c>
      <c r="AD1423" s="164" t="str">
        <f>+IF(AND(Tabla2[[#This Row],[venc]]="venc",Tabla2[[#This Row],[estado pago]]="por pagar"),"vencida","no")</f>
        <v>no</v>
      </c>
    </row>
    <row r="1424" spans="1:30" ht="19.5" customHeight="1" x14ac:dyDescent="0.25">
      <c r="A1424" s="8" t="s">
        <v>1852</v>
      </c>
      <c r="B1424" s="8" t="b">
        <v>0</v>
      </c>
      <c r="C1424" s="8">
        <v>30</v>
      </c>
      <c r="D1424" s="151">
        <v>134000</v>
      </c>
      <c r="E1424" s="151"/>
      <c r="F1424" s="24" t="s">
        <v>192</v>
      </c>
      <c r="G1424" s="30">
        <v>45385</v>
      </c>
      <c r="H1424" s="81" t="s">
        <v>1808</v>
      </c>
      <c r="I1424" s="30">
        <v>45385</v>
      </c>
      <c r="J1424" s="16" t="s">
        <v>1742</v>
      </c>
      <c r="K1424" s="9" t="s">
        <v>1530</v>
      </c>
      <c r="L1424" s="9"/>
      <c r="M1424" s="152">
        <v>33000</v>
      </c>
      <c r="N1424" s="153">
        <v>0</v>
      </c>
      <c r="O1424" s="152">
        <v>0</v>
      </c>
      <c r="P1424" s="154">
        <v>0</v>
      </c>
      <c r="Q1424" s="152">
        <v>0</v>
      </c>
      <c r="R1424" s="9">
        <v>33000</v>
      </c>
      <c r="S1424" s="21" t="s">
        <v>1846</v>
      </c>
      <c r="T1424" s="117">
        <v>0</v>
      </c>
      <c r="U1424" s="117">
        <v>0</v>
      </c>
      <c r="V1424" s="117">
        <v>2024</v>
      </c>
      <c r="W1424" s="117">
        <v>7</v>
      </c>
      <c r="X1424" s="117">
        <v>0</v>
      </c>
      <c r="Y1424" s="117">
        <v>0</v>
      </c>
      <c r="Z1424" s="21" t="b">
        <v>0</v>
      </c>
      <c r="AA1424" s="162">
        <f>+$AD$5-Tabla2[[#This Row],[FECHA DE FACTURACIÓN]]</f>
        <v>58</v>
      </c>
      <c r="AB1424" s="163" t="str">
        <f>+IF(Tabla2[[#This Row],[dias de credito]]&gt;=Tabla2[[#This Row],[PLAZO Días]],"venc", "No venc")</f>
        <v>venc</v>
      </c>
      <c r="AC1424" s="163" t="str">
        <f>+IF(Tabla2[[#This Row],[FECHA DE PAGO]]&gt;0,"pagada","por pagar")</f>
        <v>pagada</v>
      </c>
      <c r="AD1424" s="164" t="str">
        <f>+IF(AND(Tabla2[[#This Row],[venc]]="venc",Tabla2[[#This Row],[estado pago]]="por pagar"),"vencida","no")</f>
        <v>no</v>
      </c>
    </row>
    <row r="1425" spans="1:30" ht="19.5" customHeight="1" x14ac:dyDescent="0.25">
      <c r="A1425" s="8" t="s">
        <v>1850</v>
      </c>
      <c r="B1425" s="8" t="b">
        <v>0</v>
      </c>
      <c r="C1425" s="8">
        <v>30</v>
      </c>
      <c r="D1425" s="151">
        <v>0</v>
      </c>
      <c r="E1425" s="151"/>
      <c r="F1425" s="24" t="s">
        <v>414</v>
      </c>
      <c r="G1425" s="30">
        <v>45386</v>
      </c>
      <c r="H1425" s="81" t="s">
        <v>382</v>
      </c>
      <c r="I1425" s="30">
        <v>45383</v>
      </c>
      <c r="J1425" s="16" t="s">
        <v>1695</v>
      </c>
      <c r="K1425" s="9" t="s">
        <v>1530</v>
      </c>
      <c r="L1425" s="9" t="s">
        <v>1536</v>
      </c>
      <c r="M1425" s="152">
        <v>1030415</v>
      </c>
      <c r="N1425" s="153">
        <v>0</v>
      </c>
      <c r="O1425" s="152">
        <v>0</v>
      </c>
      <c r="P1425" s="154">
        <v>0</v>
      </c>
      <c r="Q1425" s="152">
        <v>0</v>
      </c>
      <c r="R1425" s="9">
        <v>1030415</v>
      </c>
      <c r="S1425" s="21" t="s">
        <v>1846</v>
      </c>
      <c r="T1425" s="117">
        <v>0</v>
      </c>
      <c r="U1425" s="117">
        <v>0</v>
      </c>
      <c r="V1425" s="117">
        <v>2024</v>
      </c>
      <c r="W1425" s="117">
        <v>7</v>
      </c>
      <c r="X1425" s="117">
        <v>0</v>
      </c>
      <c r="Y1425" s="117">
        <v>0</v>
      </c>
      <c r="Z1425" s="21" t="b">
        <v>1</v>
      </c>
      <c r="AA1425" s="162">
        <f>+$AD$5-Tabla2[[#This Row],[FECHA DE FACTURACIÓN]]</f>
        <v>60</v>
      </c>
      <c r="AB1425" s="163" t="str">
        <f>+IF(Tabla2[[#This Row],[dias de credito]]&gt;=Tabla2[[#This Row],[PLAZO Días]],"venc", "No venc")</f>
        <v>venc</v>
      </c>
      <c r="AC1425" s="163" t="str">
        <f>+IF(Tabla2[[#This Row],[FECHA DE PAGO]]&gt;0,"pagada","por pagar")</f>
        <v>pagada</v>
      </c>
      <c r="AD1425" s="164" t="str">
        <f>+IF(AND(Tabla2[[#This Row],[venc]]="venc",Tabla2[[#This Row],[estado pago]]="por pagar"),"vencida","no")</f>
        <v>no</v>
      </c>
    </row>
    <row r="1426" spans="1:30" ht="19.5" customHeight="1" x14ac:dyDescent="0.25">
      <c r="A1426" s="8" t="s">
        <v>1852</v>
      </c>
      <c r="B1426" s="8" t="b">
        <v>0</v>
      </c>
      <c r="C1426" s="8">
        <v>30</v>
      </c>
      <c r="D1426" s="151">
        <v>0</v>
      </c>
      <c r="E1426" s="151"/>
      <c r="F1426" s="24">
        <v>0</v>
      </c>
      <c r="G1426" s="30">
        <v>45386</v>
      </c>
      <c r="H1426" s="81" t="s">
        <v>861</v>
      </c>
      <c r="I1426" s="30">
        <v>45386</v>
      </c>
      <c r="J1426" s="16" t="s">
        <v>1710</v>
      </c>
      <c r="K1426" s="9" t="s">
        <v>1530</v>
      </c>
      <c r="L1426" s="9" t="s">
        <v>1395</v>
      </c>
      <c r="M1426" s="152">
        <v>440000</v>
      </c>
      <c r="N1426" s="153">
        <v>0</v>
      </c>
      <c r="O1426" s="152">
        <v>0</v>
      </c>
      <c r="P1426" s="154">
        <v>0</v>
      </c>
      <c r="Q1426" s="152">
        <v>0</v>
      </c>
      <c r="R1426" s="9">
        <v>440000</v>
      </c>
      <c r="S1426" s="21" t="s">
        <v>1846</v>
      </c>
      <c r="T1426" s="117">
        <v>0</v>
      </c>
      <c r="U1426" s="117">
        <v>0</v>
      </c>
      <c r="V1426" s="117">
        <v>2024</v>
      </c>
      <c r="W1426" s="117">
        <v>7</v>
      </c>
      <c r="X1426" s="117">
        <v>0</v>
      </c>
      <c r="Y1426" s="117">
        <v>0</v>
      </c>
      <c r="Z1426" s="21" t="b">
        <v>0</v>
      </c>
      <c r="AA1426" s="162">
        <f>+$AD$5-Tabla2[[#This Row],[FECHA DE FACTURACIÓN]]</f>
        <v>57</v>
      </c>
      <c r="AB1426" s="163" t="str">
        <f>+IF(Tabla2[[#This Row],[dias de credito]]&gt;=Tabla2[[#This Row],[PLAZO Días]],"venc", "No venc")</f>
        <v>venc</v>
      </c>
      <c r="AC1426" s="163" t="str">
        <f>+IF(Tabla2[[#This Row],[FECHA DE PAGO]]&gt;0,"pagada","por pagar")</f>
        <v>pagada</v>
      </c>
      <c r="AD1426" s="164" t="str">
        <f>+IF(AND(Tabla2[[#This Row],[venc]]="venc",Tabla2[[#This Row],[estado pago]]="por pagar"),"vencida","no")</f>
        <v>no</v>
      </c>
    </row>
    <row r="1427" spans="1:30" ht="19.5" customHeight="1" x14ac:dyDescent="0.25">
      <c r="A1427" s="8" t="s">
        <v>1852</v>
      </c>
      <c r="B1427" s="8" t="b">
        <v>0</v>
      </c>
      <c r="C1427" s="8">
        <v>0</v>
      </c>
      <c r="D1427" s="151">
        <v>0</v>
      </c>
      <c r="E1427" s="151"/>
      <c r="F1427" s="24" t="s">
        <v>1693</v>
      </c>
      <c r="G1427" s="30">
        <v>45386</v>
      </c>
      <c r="H1427" s="81" t="s">
        <v>1694</v>
      </c>
      <c r="I1427" s="30">
        <v>45386</v>
      </c>
      <c r="J1427" s="16">
        <v>556</v>
      </c>
      <c r="K1427" s="9" t="s">
        <v>504</v>
      </c>
      <c r="L1427" s="9" t="s">
        <v>1395</v>
      </c>
      <c r="M1427" s="152">
        <v>520335</v>
      </c>
      <c r="N1427" s="153">
        <v>0</v>
      </c>
      <c r="O1427" s="152">
        <v>0</v>
      </c>
      <c r="P1427" s="154">
        <v>0</v>
      </c>
      <c r="Q1427" s="152">
        <v>0</v>
      </c>
      <c r="R1427" s="9">
        <v>520335</v>
      </c>
      <c r="S1427" s="21" t="s">
        <v>1846</v>
      </c>
      <c r="T1427" s="117">
        <v>0</v>
      </c>
      <c r="U1427" s="117">
        <v>0</v>
      </c>
      <c r="V1427" s="117">
        <v>2024</v>
      </c>
      <c r="W1427" s="117">
        <v>7</v>
      </c>
      <c r="X1427" s="117">
        <v>0</v>
      </c>
      <c r="Y1427" s="117">
        <v>0</v>
      </c>
      <c r="Z1427" s="21" t="b">
        <v>0</v>
      </c>
      <c r="AA1427" s="162">
        <f>+$AD$5-Tabla2[[#This Row],[FECHA DE FACTURACIÓN]]</f>
        <v>57</v>
      </c>
      <c r="AB1427" s="163" t="str">
        <f>+IF(Tabla2[[#This Row],[dias de credito]]&gt;=Tabla2[[#This Row],[PLAZO Días]],"venc", "No venc")</f>
        <v>venc</v>
      </c>
      <c r="AC1427" s="163" t="str">
        <f>+IF(Tabla2[[#This Row],[FECHA DE PAGO]]&gt;0,"pagada","por pagar")</f>
        <v>pagada</v>
      </c>
      <c r="AD1427" s="164" t="str">
        <f>+IF(AND(Tabla2[[#This Row],[venc]]="venc",Tabla2[[#This Row],[estado pago]]="por pagar"),"vencida","no")</f>
        <v>no</v>
      </c>
    </row>
    <row r="1428" spans="1:30" ht="19.5" customHeight="1" x14ac:dyDescent="0.25">
      <c r="A1428" s="8" t="s">
        <v>1850</v>
      </c>
      <c r="B1428" s="8" t="b">
        <v>0</v>
      </c>
      <c r="C1428" s="8">
        <v>90</v>
      </c>
      <c r="D1428" s="151">
        <v>0</v>
      </c>
      <c r="E1428" s="151"/>
      <c r="F1428" s="24">
        <v>0</v>
      </c>
      <c r="G1428" s="30">
        <v>45387</v>
      </c>
      <c r="H1428" s="81" t="s">
        <v>1552</v>
      </c>
      <c r="I1428" s="30">
        <v>45331</v>
      </c>
      <c r="J1428" s="16" t="s">
        <v>28</v>
      </c>
      <c r="K1428" s="9"/>
      <c r="L1428" s="9" t="s">
        <v>1395</v>
      </c>
      <c r="M1428" s="152">
        <v>51411</v>
      </c>
      <c r="N1428" s="153">
        <v>0</v>
      </c>
      <c r="O1428" s="152">
        <v>0</v>
      </c>
      <c r="P1428" s="154">
        <v>0</v>
      </c>
      <c r="Q1428" s="152">
        <v>0</v>
      </c>
      <c r="R1428" s="9">
        <v>51411</v>
      </c>
      <c r="S1428" s="21" t="s">
        <v>1846</v>
      </c>
      <c r="T1428" s="117">
        <v>0</v>
      </c>
      <c r="U1428" s="117">
        <v>0</v>
      </c>
      <c r="V1428" s="117">
        <v>2024</v>
      </c>
      <c r="W1428" s="117">
        <v>7</v>
      </c>
      <c r="X1428" s="117">
        <v>0</v>
      </c>
      <c r="Y1428" s="117">
        <v>0</v>
      </c>
      <c r="Z1428" s="21" t="b">
        <v>0</v>
      </c>
      <c r="AA1428" s="162">
        <f>+$AD$5-Tabla2[[#This Row],[FECHA DE FACTURACIÓN]]</f>
        <v>112</v>
      </c>
      <c r="AB1428" s="163" t="str">
        <f>+IF(Tabla2[[#This Row],[dias de credito]]&gt;=Tabla2[[#This Row],[PLAZO Días]],"venc", "No venc")</f>
        <v>venc</v>
      </c>
      <c r="AC1428" s="163" t="str">
        <f>+IF(Tabla2[[#This Row],[FECHA DE PAGO]]&gt;0,"pagada","por pagar")</f>
        <v>pagada</v>
      </c>
      <c r="AD1428" s="164" t="str">
        <f>+IF(AND(Tabla2[[#This Row],[venc]]="venc",Tabla2[[#This Row],[estado pago]]="por pagar"),"vencida","no")</f>
        <v>no</v>
      </c>
    </row>
    <row r="1429" spans="1:30" ht="19.5" customHeight="1" x14ac:dyDescent="0.25">
      <c r="A1429" s="8" t="s">
        <v>1850</v>
      </c>
      <c r="B1429" s="8" t="b">
        <v>0</v>
      </c>
      <c r="C1429" s="8">
        <v>30</v>
      </c>
      <c r="D1429" s="151">
        <v>1776037.21</v>
      </c>
      <c r="E1429" s="151"/>
      <c r="F1429" s="24" t="s">
        <v>148</v>
      </c>
      <c r="G1429" s="30">
        <v>45387</v>
      </c>
      <c r="H1429" s="81" t="s">
        <v>17</v>
      </c>
      <c r="I1429" s="30">
        <v>45357</v>
      </c>
      <c r="J1429" s="16" t="s">
        <v>1649</v>
      </c>
      <c r="K1429" s="9" t="s">
        <v>1530</v>
      </c>
      <c r="L1429" s="9" t="s">
        <v>1533</v>
      </c>
      <c r="M1429" s="152">
        <v>941536.6</v>
      </c>
      <c r="N1429" s="153">
        <v>178891.954</v>
      </c>
      <c r="O1429" s="152">
        <v>0</v>
      </c>
      <c r="P1429" s="154">
        <v>0</v>
      </c>
      <c r="Q1429" s="152">
        <v>0</v>
      </c>
      <c r="R1429" s="9">
        <v>1120428.554</v>
      </c>
      <c r="S1429" s="21" t="s">
        <v>1846</v>
      </c>
      <c r="T1429" s="117">
        <v>0</v>
      </c>
      <c r="U1429" s="117">
        <v>0</v>
      </c>
      <c r="V1429" s="117">
        <v>2024</v>
      </c>
      <c r="W1429" s="117">
        <v>7</v>
      </c>
      <c r="X1429" s="117">
        <v>0</v>
      </c>
      <c r="Y1429" s="117">
        <v>0</v>
      </c>
      <c r="Z1429" s="21" t="b">
        <v>0</v>
      </c>
      <c r="AA1429" s="162">
        <f>+$AD$5-Tabla2[[#This Row],[FECHA DE FACTURACIÓN]]</f>
        <v>86</v>
      </c>
      <c r="AB1429" s="163" t="str">
        <f>+IF(Tabla2[[#This Row],[dias de credito]]&gt;=Tabla2[[#This Row],[PLAZO Días]],"venc", "No venc")</f>
        <v>venc</v>
      </c>
      <c r="AC1429" s="163" t="str">
        <f>+IF(Tabla2[[#This Row],[FECHA DE PAGO]]&gt;0,"pagada","por pagar")</f>
        <v>pagada</v>
      </c>
      <c r="AD1429" s="164" t="str">
        <f>+IF(AND(Tabla2[[#This Row],[venc]]="venc",Tabla2[[#This Row],[estado pago]]="por pagar"),"vencida","no")</f>
        <v>no</v>
      </c>
    </row>
    <row r="1430" spans="1:30" ht="19.5" customHeight="1" x14ac:dyDescent="0.25">
      <c r="A1430" s="8" t="s">
        <v>1850</v>
      </c>
      <c r="B1430" s="8" t="b">
        <v>0</v>
      </c>
      <c r="C1430" s="8">
        <v>30</v>
      </c>
      <c r="D1430" s="151">
        <v>1776037.21</v>
      </c>
      <c r="E1430" s="151"/>
      <c r="F1430" s="24" t="s">
        <v>148</v>
      </c>
      <c r="G1430" s="30">
        <v>45387</v>
      </c>
      <c r="H1430" s="81" t="s">
        <v>17</v>
      </c>
      <c r="I1430" s="30">
        <v>45359</v>
      </c>
      <c r="J1430" s="16" t="s">
        <v>1655</v>
      </c>
      <c r="K1430" s="9" t="s">
        <v>1530</v>
      </c>
      <c r="L1430" s="9" t="s">
        <v>1533</v>
      </c>
      <c r="M1430" s="152">
        <v>1182109</v>
      </c>
      <c r="N1430" s="153">
        <v>224600.71</v>
      </c>
      <c r="O1430" s="152">
        <v>0</v>
      </c>
      <c r="P1430" s="154">
        <v>0</v>
      </c>
      <c r="Q1430" s="152">
        <v>0</v>
      </c>
      <c r="R1430" s="9">
        <v>1406709.71</v>
      </c>
      <c r="S1430" s="21" t="s">
        <v>1846</v>
      </c>
      <c r="T1430" s="117">
        <v>0</v>
      </c>
      <c r="U1430" s="117">
        <v>0</v>
      </c>
      <c r="V1430" s="117">
        <v>2024</v>
      </c>
      <c r="W1430" s="117">
        <v>7</v>
      </c>
      <c r="X1430" s="117">
        <v>0</v>
      </c>
      <c r="Y1430" s="117">
        <v>0</v>
      </c>
      <c r="Z1430" s="21" t="b">
        <v>0</v>
      </c>
      <c r="AA1430" s="162">
        <f>+$AD$5-Tabla2[[#This Row],[FECHA DE FACTURACIÓN]]</f>
        <v>84</v>
      </c>
      <c r="AB1430" s="163" t="str">
        <f>+IF(Tabla2[[#This Row],[dias de credito]]&gt;=Tabla2[[#This Row],[PLAZO Días]],"venc", "No venc")</f>
        <v>venc</v>
      </c>
      <c r="AC1430" s="163" t="str">
        <f>+IF(Tabla2[[#This Row],[FECHA DE PAGO]]&gt;0,"pagada","por pagar")</f>
        <v>pagada</v>
      </c>
      <c r="AD1430" s="164" t="str">
        <f>+IF(AND(Tabla2[[#This Row],[venc]]="venc",Tabla2[[#This Row],[estado pago]]="por pagar"),"vencida","no")</f>
        <v>no</v>
      </c>
    </row>
    <row r="1431" spans="1:30" ht="19.5" customHeight="1" x14ac:dyDescent="0.25">
      <c r="A1431" s="8" t="s">
        <v>1852</v>
      </c>
      <c r="B1431" s="8" t="b">
        <v>0</v>
      </c>
      <c r="C1431" s="8">
        <v>30</v>
      </c>
      <c r="D1431" s="151">
        <v>0</v>
      </c>
      <c r="E1431" s="151"/>
      <c r="F1431" s="24" t="s">
        <v>84</v>
      </c>
      <c r="G1431" s="30">
        <v>45387</v>
      </c>
      <c r="H1431" s="81" t="s">
        <v>1824</v>
      </c>
      <c r="I1431" s="30">
        <v>45387</v>
      </c>
      <c r="J1431" s="16"/>
      <c r="K1431" s="9" t="s">
        <v>1530</v>
      </c>
      <c r="L1431" s="9" t="s">
        <v>1395</v>
      </c>
      <c r="M1431" s="152">
        <v>1115000</v>
      </c>
      <c r="N1431" s="153">
        <v>0</v>
      </c>
      <c r="O1431" s="152">
        <v>0</v>
      </c>
      <c r="P1431" s="154">
        <v>0</v>
      </c>
      <c r="Q1431" s="152">
        <v>0</v>
      </c>
      <c r="R1431" s="9">
        <v>1115000</v>
      </c>
      <c r="S1431" s="21" t="s">
        <v>1846</v>
      </c>
      <c r="T1431" s="117">
        <v>0</v>
      </c>
      <c r="U1431" s="117">
        <v>0</v>
      </c>
      <c r="V1431" s="117">
        <v>2024</v>
      </c>
      <c r="W1431" s="117">
        <v>7</v>
      </c>
      <c r="X1431" s="117">
        <v>0</v>
      </c>
      <c r="Y1431" s="117">
        <v>0</v>
      </c>
      <c r="Z1431" s="21" t="b">
        <v>0</v>
      </c>
      <c r="AA1431" s="162">
        <f>+$AD$5-Tabla2[[#This Row],[FECHA DE FACTURACIÓN]]</f>
        <v>56</v>
      </c>
      <c r="AB1431" s="163" t="str">
        <f>+IF(Tabla2[[#This Row],[dias de credito]]&gt;=Tabla2[[#This Row],[PLAZO Días]],"venc", "No venc")</f>
        <v>venc</v>
      </c>
      <c r="AC1431" s="163" t="str">
        <f>+IF(Tabla2[[#This Row],[FECHA DE PAGO]]&gt;0,"pagada","por pagar")</f>
        <v>pagada</v>
      </c>
      <c r="AD1431" s="164" t="str">
        <f>+IF(AND(Tabla2[[#This Row],[venc]]="venc",Tabla2[[#This Row],[estado pago]]="por pagar"),"vencida","no")</f>
        <v>no</v>
      </c>
    </row>
    <row r="1432" spans="1:30" ht="19.5" customHeight="1" x14ac:dyDescent="0.25">
      <c r="A1432" s="8" t="s">
        <v>1852</v>
      </c>
      <c r="B1432" s="8" t="b">
        <v>0</v>
      </c>
      <c r="C1432" s="8">
        <v>60</v>
      </c>
      <c r="D1432" s="151">
        <v>1730482</v>
      </c>
      <c r="E1432" s="151"/>
      <c r="F1432" s="24" t="s">
        <v>603</v>
      </c>
      <c r="G1432" s="30">
        <v>45387</v>
      </c>
      <c r="H1432" s="81" t="s">
        <v>222</v>
      </c>
      <c r="I1432" s="30">
        <v>45387</v>
      </c>
      <c r="J1432" s="16">
        <v>1992</v>
      </c>
      <c r="K1432" s="9" t="s">
        <v>504</v>
      </c>
      <c r="L1432" s="9" t="s">
        <v>1534</v>
      </c>
      <c r="M1432" s="152">
        <v>12086264</v>
      </c>
      <c r="N1432" s="153">
        <v>0</v>
      </c>
      <c r="O1432" s="152">
        <v>0</v>
      </c>
      <c r="P1432" s="154">
        <v>0</v>
      </c>
      <c r="Q1432" s="152">
        <v>0</v>
      </c>
      <c r="R1432" s="9">
        <v>12086264</v>
      </c>
      <c r="S1432" s="21" t="s">
        <v>1846</v>
      </c>
      <c r="T1432" s="117">
        <v>0</v>
      </c>
      <c r="U1432" s="117">
        <v>0</v>
      </c>
      <c r="V1432" s="117">
        <v>2024</v>
      </c>
      <c r="W1432" s="117">
        <v>7</v>
      </c>
      <c r="X1432" s="117">
        <v>0</v>
      </c>
      <c r="Y1432" s="117">
        <v>0</v>
      </c>
      <c r="Z1432" s="21" t="b">
        <v>0</v>
      </c>
      <c r="AA1432" s="162">
        <f>+$AD$5-Tabla2[[#This Row],[FECHA DE FACTURACIÓN]]</f>
        <v>56</v>
      </c>
      <c r="AB1432" s="163" t="str">
        <f>+IF(Tabla2[[#This Row],[dias de credito]]&gt;=Tabla2[[#This Row],[PLAZO Días]],"venc", "No venc")</f>
        <v>No venc</v>
      </c>
      <c r="AC1432" s="163" t="str">
        <f>+IF(Tabla2[[#This Row],[FECHA DE PAGO]]&gt;0,"pagada","por pagar")</f>
        <v>pagada</v>
      </c>
      <c r="AD1432" s="164" t="str">
        <f>+IF(AND(Tabla2[[#This Row],[venc]]="venc",Tabla2[[#This Row],[estado pago]]="por pagar"),"vencida","no")</f>
        <v>no</v>
      </c>
    </row>
    <row r="1433" spans="1:30" ht="19.5" customHeight="1" x14ac:dyDescent="0.25">
      <c r="A1433" s="8" t="s">
        <v>1852</v>
      </c>
      <c r="B1433" s="8" t="b">
        <v>0</v>
      </c>
      <c r="C1433" s="8">
        <v>60</v>
      </c>
      <c r="D1433" s="151">
        <v>1730482</v>
      </c>
      <c r="E1433" s="151"/>
      <c r="F1433" s="24" t="s">
        <v>603</v>
      </c>
      <c r="G1433" s="30">
        <v>45388</v>
      </c>
      <c r="H1433" s="81" t="s">
        <v>222</v>
      </c>
      <c r="I1433" s="30">
        <v>45388</v>
      </c>
      <c r="J1433" s="16">
        <v>1985</v>
      </c>
      <c r="K1433" s="9" t="s">
        <v>1530</v>
      </c>
      <c r="L1433" s="9" t="s">
        <v>1395</v>
      </c>
      <c r="M1433" s="152">
        <v>550000</v>
      </c>
      <c r="N1433" s="153">
        <v>0</v>
      </c>
      <c r="O1433" s="152">
        <v>0</v>
      </c>
      <c r="P1433" s="154">
        <v>0</v>
      </c>
      <c r="Q1433" s="152">
        <v>0</v>
      </c>
      <c r="R1433" s="9">
        <v>550000</v>
      </c>
      <c r="S1433" s="21" t="s">
        <v>1846</v>
      </c>
      <c r="T1433" s="117">
        <v>0</v>
      </c>
      <c r="U1433" s="117">
        <v>0</v>
      </c>
      <c r="V1433" s="117">
        <v>2024</v>
      </c>
      <c r="W1433" s="117">
        <v>7</v>
      </c>
      <c r="X1433" s="117">
        <v>0</v>
      </c>
      <c r="Y1433" s="117">
        <v>0</v>
      </c>
      <c r="Z1433" s="21" t="b">
        <v>0</v>
      </c>
      <c r="AA1433" s="162">
        <f>+$AD$5-Tabla2[[#This Row],[FECHA DE FACTURACIÓN]]</f>
        <v>55</v>
      </c>
      <c r="AB1433" s="163" t="str">
        <f>+IF(Tabla2[[#This Row],[dias de credito]]&gt;=Tabla2[[#This Row],[PLAZO Días]],"venc", "No venc")</f>
        <v>No venc</v>
      </c>
      <c r="AC1433" s="163" t="str">
        <f>+IF(Tabla2[[#This Row],[FECHA DE PAGO]]&gt;0,"pagada","por pagar")</f>
        <v>pagada</v>
      </c>
      <c r="AD1433" s="164" t="str">
        <f>+IF(AND(Tabla2[[#This Row],[venc]]="venc",Tabla2[[#This Row],[estado pago]]="por pagar"),"vencida","no")</f>
        <v>no</v>
      </c>
    </row>
    <row r="1434" spans="1:30" ht="19.5" customHeight="1" x14ac:dyDescent="0.25">
      <c r="A1434" s="8" t="s">
        <v>1850</v>
      </c>
      <c r="B1434" s="8" t="s">
        <v>1851</v>
      </c>
      <c r="C1434" s="8">
        <v>30</v>
      </c>
      <c r="D1434" s="151">
        <v>1695707.16</v>
      </c>
      <c r="E1434" s="151"/>
      <c r="F1434" s="24" t="s">
        <v>217</v>
      </c>
      <c r="G1434" s="30">
        <v>45390</v>
      </c>
      <c r="H1434" s="81" t="s">
        <v>194</v>
      </c>
      <c r="I1434" s="30">
        <v>45355</v>
      </c>
      <c r="J1434" s="16" t="s">
        <v>1645</v>
      </c>
      <c r="K1434" s="9" t="s">
        <v>1530</v>
      </c>
      <c r="L1434" s="9" t="s">
        <v>1533</v>
      </c>
      <c r="M1434" s="152">
        <v>2093151</v>
      </c>
      <c r="N1434" s="153">
        <v>397698.69</v>
      </c>
      <c r="O1434" s="152">
        <v>0</v>
      </c>
      <c r="P1434" s="154">
        <v>0</v>
      </c>
      <c r="Q1434" s="152">
        <v>0</v>
      </c>
      <c r="R1434" s="9">
        <v>2490849.69</v>
      </c>
      <c r="S1434" s="21" t="s">
        <v>1846</v>
      </c>
      <c r="T1434" s="117">
        <v>0</v>
      </c>
      <c r="U1434" s="117">
        <v>0</v>
      </c>
      <c r="V1434" s="117">
        <v>2024</v>
      </c>
      <c r="W1434" s="117">
        <v>7</v>
      </c>
      <c r="X1434" s="117">
        <v>0</v>
      </c>
      <c r="Y1434" s="117">
        <v>0</v>
      </c>
      <c r="Z1434" s="21" t="b">
        <v>0</v>
      </c>
      <c r="AA1434" s="162">
        <f>+$AD$5-Tabla2[[#This Row],[FECHA DE FACTURACIÓN]]</f>
        <v>88</v>
      </c>
      <c r="AB1434" s="163" t="str">
        <f>+IF(Tabla2[[#This Row],[dias de credito]]&gt;=Tabla2[[#This Row],[PLAZO Días]],"venc", "No venc")</f>
        <v>venc</v>
      </c>
      <c r="AC1434" s="163" t="str">
        <f>+IF(Tabla2[[#This Row],[FECHA DE PAGO]]&gt;0,"pagada","por pagar")</f>
        <v>pagada</v>
      </c>
      <c r="AD1434" s="164" t="str">
        <f>+IF(AND(Tabla2[[#This Row],[venc]]="venc",Tabla2[[#This Row],[estado pago]]="por pagar"),"vencida","no")</f>
        <v>no</v>
      </c>
    </row>
    <row r="1435" spans="1:30" ht="19.5" customHeight="1" x14ac:dyDescent="0.25">
      <c r="A1435" s="8" t="s">
        <v>1852</v>
      </c>
      <c r="B1435" s="8" t="b">
        <v>0</v>
      </c>
      <c r="C1435" s="8">
        <v>30</v>
      </c>
      <c r="D1435" s="151">
        <v>134000</v>
      </c>
      <c r="E1435" s="151"/>
      <c r="F1435" s="24" t="s">
        <v>192</v>
      </c>
      <c r="G1435" s="30">
        <v>45390</v>
      </c>
      <c r="H1435" s="81" t="s">
        <v>1808</v>
      </c>
      <c r="I1435" s="30">
        <v>45390</v>
      </c>
      <c r="J1435" s="16" t="s">
        <v>1744</v>
      </c>
      <c r="K1435" s="9" t="s">
        <v>1530</v>
      </c>
      <c r="L1435" s="9"/>
      <c r="M1435" s="152">
        <v>33000</v>
      </c>
      <c r="N1435" s="153">
        <v>0</v>
      </c>
      <c r="O1435" s="152">
        <v>0</v>
      </c>
      <c r="P1435" s="154">
        <v>0</v>
      </c>
      <c r="Q1435" s="152">
        <v>0</v>
      </c>
      <c r="R1435" s="9">
        <v>33000</v>
      </c>
      <c r="S1435" s="21" t="s">
        <v>1846</v>
      </c>
      <c r="T1435" s="117">
        <v>0</v>
      </c>
      <c r="U1435" s="117">
        <v>0</v>
      </c>
      <c r="V1435" s="117">
        <v>2024</v>
      </c>
      <c r="W1435" s="117">
        <v>7</v>
      </c>
      <c r="X1435" s="117">
        <v>0</v>
      </c>
      <c r="Y1435" s="117">
        <v>0</v>
      </c>
      <c r="Z1435" s="21" t="b">
        <v>0</v>
      </c>
      <c r="AA1435" s="162">
        <f>+$AD$5-Tabla2[[#This Row],[FECHA DE FACTURACIÓN]]</f>
        <v>53</v>
      </c>
      <c r="AB1435" s="163" t="str">
        <f>+IF(Tabla2[[#This Row],[dias de credito]]&gt;=Tabla2[[#This Row],[PLAZO Días]],"venc", "No venc")</f>
        <v>venc</v>
      </c>
      <c r="AC1435" s="163" t="str">
        <f>+IF(Tabla2[[#This Row],[FECHA DE PAGO]]&gt;0,"pagada","por pagar")</f>
        <v>pagada</v>
      </c>
      <c r="AD1435" s="164" t="str">
        <f>+IF(AND(Tabla2[[#This Row],[venc]]="venc",Tabla2[[#This Row],[estado pago]]="por pagar"),"vencida","no")</f>
        <v>no</v>
      </c>
    </row>
    <row r="1436" spans="1:30" ht="19.5" customHeight="1" x14ac:dyDescent="0.25">
      <c r="A1436" s="8" t="s">
        <v>1852</v>
      </c>
      <c r="B1436" s="8" t="b">
        <v>0</v>
      </c>
      <c r="C1436" s="8">
        <v>30</v>
      </c>
      <c r="D1436" s="151">
        <v>0</v>
      </c>
      <c r="E1436" s="151"/>
      <c r="F1436" s="24" t="s">
        <v>1614</v>
      </c>
      <c r="G1436" s="30">
        <v>45390</v>
      </c>
      <c r="H1436" s="81" t="s">
        <v>1863</v>
      </c>
      <c r="I1436" s="30">
        <v>45390</v>
      </c>
      <c r="J1436" s="16" t="s">
        <v>1792</v>
      </c>
      <c r="K1436" s="9" t="s">
        <v>1530</v>
      </c>
      <c r="L1436" s="9" t="s">
        <v>1534</v>
      </c>
      <c r="M1436" s="152">
        <v>6488288</v>
      </c>
      <c r="N1436" s="153">
        <v>0</v>
      </c>
      <c r="O1436" s="152">
        <v>0</v>
      </c>
      <c r="P1436" s="154">
        <v>0</v>
      </c>
      <c r="Q1436" s="152">
        <v>0</v>
      </c>
      <c r="R1436" s="9">
        <v>6488288</v>
      </c>
      <c r="S1436" s="21" t="s">
        <v>1846</v>
      </c>
      <c r="T1436" s="117">
        <v>0</v>
      </c>
      <c r="U1436" s="117">
        <v>0</v>
      </c>
      <c r="V1436" s="117">
        <v>2024</v>
      </c>
      <c r="W1436" s="117">
        <v>7</v>
      </c>
      <c r="X1436" s="117">
        <v>0</v>
      </c>
      <c r="Y1436" s="117">
        <v>0</v>
      </c>
      <c r="Z1436" s="21" t="b">
        <v>0</v>
      </c>
      <c r="AA1436" s="162">
        <f>+$AD$5-Tabla2[[#This Row],[FECHA DE FACTURACIÓN]]</f>
        <v>53</v>
      </c>
      <c r="AB1436" s="163" t="str">
        <f>+IF(Tabla2[[#This Row],[dias de credito]]&gt;=Tabla2[[#This Row],[PLAZO Días]],"venc", "No venc")</f>
        <v>venc</v>
      </c>
      <c r="AC1436" s="163" t="str">
        <f>+IF(Tabla2[[#This Row],[FECHA DE PAGO]]&gt;0,"pagada","por pagar")</f>
        <v>pagada</v>
      </c>
      <c r="AD1436" s="164" t="str">
        <f>+IF(AND(Tabla2[[#This Row],[venc]]="venc",Tabla2[[#This Row],[estado pago]]="por pagar"),"vencida","no")</f>
        <v>no</v>
      </c>
    </row>
    <row r="1437" spans="1:30" ht="19.5" customHeight="1" x14ac:dyDescent="0.25">
      <c r="A1437" s="8" t="s">
        <v>1850</v>
      </c>
      <c r="B1437" s="8" t="s">
        <v>1851</v>
      </c>
      <c r="C1437" s="8">
        <v>45</v>
      </c>
      <c r="D1437" s="151">
        <v>22186260.039999999</v>
      </c>
      <c r="E1437" s="151"/>
      <c r="F1437" s="24" t="s">
        <v>357</v>
      </c>
      <c r="G1437" s="30">
        <v>45391</v>
      </c>
      <c r="H1437" s="81" t="s">
        <v>19</v>
      </c>
      <c r="I1437" s="30">
        <v>45336</v>
      </c>
      <c r="J1437" s="16" t="s">
        <v>1574</v>
      </c>
      <c r="K1437" s="9" t="s">
        <v>504</v>
      </c>
      <c r="L1437" s="9" t="s">
        <v>1534</v>
      </c>
      <c r="M1437" s="152">
        <v>5480265</v>
      </c>
      <c r="N1437" s="153">
        <v>1041250.35</v>
      </c>
      <c r="O1437" s="152">
        <v>0</v>
      </c>
      <c r="P1437" s="154">
        <v>0</v>
      </c>
      <c r="Q1437" s="152">
        <v>0</v>
      </c>
      <c r="R1437" s="9">
        <v>6521515.3499999996</v>
      </c>
      <c r="S1437" s="21" t="s">
        <v>1846</v>
      </c>
      <c r="T1437" s="117">
        <v>0</v>
      </c>
      <c r="U1437" s="117">
        <v>0</v>
      </c>
      <c r="V1437" s="117">
        <v>2024</v>
      </c>
      <c r="W1437" s="117">
        <v>7</v>
      </c>
      <c r="X1437" s="117">
        <v>0</v>
      </c>
      <c r="Y1437" s="117">
        <v>0</v>
      </c>
      <c r="Z1437" s="21" t="b">
        <v>0</v>
      </c>
      <c r="AA1437" s="162">
        <f>+$AD$5-Tabla2[[#This Row],[FECHA DE FACTURACIÓN]]</f>
        <v>107</v>
      </c>
      <c r="AB1437" s="163" t="str">
        <f>+IF(Tabla2[[#This Row],[dias de credito]]&gt;=Tabla2[[#This Row],[PLAZO Días]],"venc", "No venc")</f>
        <v>venc</v>
      </c>
      <c r="AC1437" s="163" t="str">
        <f>+IF(Tabla2[[#This Row],[FECHA DE PAGO]]&gt;0,"pagada","por pagar")</f>
        <v>pagada</v>
      </c>
      <c r="AD1437" s="164" t="str">
        <f>+IF(AND(Tabla2[[#This Row],[venc]]="venc",Tabla2[[#This Row],[estado pago]]="por pagar"),"vencida","no")</f>
        <v>no</v>
      </c>
    </row>
    <row r="1438" spans="1:30" ht="19.5" customHeight="1" x14ac:dyDescent="0.25">
      <c r="A1438" s="8" t="s">
        <v>1850</v>
      </c>
      <c r="B1438" s="8" t="s">
        <v>1851</v>
      </c>
      <c r="C1438" s="8">
        <v>45</v>
      </c>
      <c r="D1438" s="151">
        <v>22186260.039999999</v>
      </c>
      <c r="E1438" s="151"/>
      <c r="F1438" s="24" t="s">
        <v>357</v>
      </c>
      <c r="G1438" s="30">
        <v>45391</v>
      </c>
      <c r="H1438" s="81" t="s">
        <v>19</v>
      </c>
      <c r="I1438" s="30">
        <v>45337</v>
      </c>
      <c r="J1438" s="16" t="s">
        <v>1575</v>
      </c>
      <c r="K1438" s="9" t="s">
        <v>504</v>
      </c>
      <c r="L1438" s="9" t="s">
        <v>1534</v>
      </c>
      <c r="M1438" s="152">
        <v>678845</v>
      </c>
      <c r="N1438" s="153">
        <v>128980.55</v>
      </c>
      <c r="O1438" s="152">
        <v>0</v>
      </c>
      <c r="P1438" s="154">
        <v>0</v>
      </c>
      <c r="Q1438" s="152">
        <v>0</v>
      </c>
      <c r="R1438" s="9">
        <v>807825.55</v>
      </c>
      <c r="S1438" s="21" t="s">
        <v>1846</v>
      </c>
      <c r="T1438" s="117">
        <v>0</v>
      </c>
      <c r="U1438" s="117">
        <v>0</v>
      </c>
      <c r="V1438" s="117">
        <v>2024</v>
      </c>
      <c r="W1438" s="117">
        <v>7</v>
      </c>
      <c r="X1438" s="117">
        <v>0</v>
      </c>
      <c r="Y1438" s="117">
        <v>0</v>
      </c>
      <c r="Z1438" s="21" t="b">
        <v>0</v>
      </c>
      <c r="AA1438" s="162">
        <f>+$AD$5-Tabla2[[#This Row],[FECHA DE FACTURACIÓN]]</f>
        <v>106</v>
      </c>
      <c r="AB1438" s="163" t="str">
        <f>+IF(Tabla2[[#This Row],[dias de credito]]&gt;=Tabla2[[#This Row],[PLAZO Días]],"venc", "No venc")</f>
        <v>venc</v>
      </c>
      <c r="AC1438" s="163" t="str">
        <f>+IF(Tabla2[[#This Row],[FECHA DE PAGO]]&gt;0,"pagada","por pagar")</f>
        <v>pagada</v>
      </c>
      <c r="AD1438" s="164" t="str">
        <f>+IF(AND(Tabla2[[#This Row],[venc]]="venc",Tabla2[[#This Row],[estado pago]]="por pagar"),"vencida","no")</f>
        <v>no</v>
      </c>
    </row>
    <row r="1439" spans="1:30" ht="19.5" customHeight="1" x14ac:dyDescent="0.25">
      <c r="A1439" s="8" t="s">
        <v>1850</v>
      </c>
      <c r="B1439" s="8" t="s">
        <v>1851</v>
      </c>
      <c r="C1439" s="8">
        <v>45</v>
      </c>
      <c r="D1439" s="151">
        <v>2446500</v>
      </c>
      <c r="E1439" s="151"/>
      <c r="F1439" s="24" t="s">
        <v>158</v>
      </c>
      <c r="G1439" s="30">
        <v>45391</v>
      </c>
      <c r="H1439" s="81" t="s">
        <v>10</v>
      </c>
      <c r="I1439" s="30">
        <v>45337</v>
      </c>
      <c r="J1439" s="16" t="s">
        <v>1573</v>
      </c>
      <c r="K1439" s="9" t="s">
        <v>504</v>
      </c>
      <c r="L1439" s="9" t="s">
        <v>1534</v>
      </c>
      <c r="M1439" s="152">
        <v>1160000</v>
      </c>
      <c r="N1439" s="153">
        <v>220400</v>
      </c>
      <c r="O1439" s="152">
        <v>0</v>
      </c>
      <c r="P1439" s="154">
        <v>0</v>
      </c>
      <c r="Q1439" s="152">
        <v>0</v>
      </c>
      <c r="R1439" s="9">
        <v>1380400</v>
      </c>
      <c r="S1439" s="21" t="s">
        <v>1846</v>
      </c>
      <c r="T1439" s="117">
        <v>0</v>
      </c>
      <c r="U1439" s="117" t="s">
        <v>347</v>
      </c>
      <c r="V1439" s="117">
        <v>2024</v>
      </c>
      <c r="W1439" s="117">
        <v>7</v>
      </c>
      <c r="X1439" s="117">
        <v>1271000</v>
      </c>
      <c r="Y1439" s="117">
        <v>2.5000000000000001E-2</v>
      </c>
      <c r="Z1439" s="21" t="b">
        <v>0</v>
      </c>
      <c r="AA1439" s="162">
        <f>+$AD$5-Tabla2[[#This Row],[FECHA DE FACTURACIÓN]]</f>
        <v>106</v>
      </c>
      <c r="AB1439" s="163" t="str">
        <f>+IF(Tabla2[[#This Row],[dias de credito]]&gt;=Tabla2[[#This Row],[PLAZO Días]],"venc", "No venc")</f>
        <v>venc</v>
      </c>
      <c r="AC1439" s="163" t="str">
        <f>+IF(Tabla2[[#This Row],[FECHA DE PAGO]]&gt;0,"pagada","por pagar")</f>
        <v>pagada</v>
      </c>
      <c r="AD1439" s="164" t="str">
        <f>+IF(AND(Tabla2[[#This Row],[venc]]="venc",Tabla2[[#This Row],[estado pago]]="por pagar"),"vencida","no")</f>
        <v>no</v>
      </c>
    </row>
    <row r="1440" spans="1:30" ht="19.5" customHeight="1" x14ac:dyDescent="0.25">
      <c r="A1440" s="8" t="s">
        <v>1850</v>
      </c>
      <c r="B1440" s="8" t="s">
        <v>1851</v>
      </c>
      <c r="C1440" s="8">
        <v>45</v>
      </c>
      <c r="D1440" s="151">
        <v>2446500</v>
      </c>
      <c r="E1440" s="151"/>
      <c r="F1440" s="24" t="s">
        <v>158</v>
      </c>
      <c r="G1440" s="30">
        <v>45391</v>
      </c>
      <c r="H1440" s="81" t="s">
        <v>10</v>
      </c>
      <c r="I1440" s="30">
        <v>45343</v>
      </c>
      <c r="J1440" s="16" t="s">
        <v>1591</v>
      </c>
      <c r="K1440" s="9" t="s">
        <v>504</v>
      </c>
      <c r="L1440" s="9" t="s">
        <v>1534</v>
      </c>
      <c r="M1440" s="152">
        <v>1272000</v>
      </c>
      <c r="N1440" s="153">
        <v>241680</v>
      </c>
      <c r="O1440" s="152">
        <v>0</v>
      </c>
      <c r="P1440" s="154">
        <v>2.5000000000000001E-2</v>
      </c>
      <c r="Q1440" s="152">
        <v>31800</v>
      </c>
      <c r="R1440" s="9">
        <v>1481880</v>
      </c>
      <c r="S1440" s="21" t="s">
        <v>1846</v>
      </c>
      <c r="T1440" s="117">
        <v>0</v>
      </c>
      <c r="U1440" s="117" t="s">
        <v>347</v>
      </c>
      <c r="V1440" s="117">
        <v>2024</v>
      </c>
      <c r="W1440" s="117">
        <v>7</v>
      </c>
      <c r="X1440" s="117">
        <v>1271000</v>
      </c>
      <c r="Y1440" s="117">
        <v>2.5000000000000001E-2</v>
      </c>
      <c r="Z1440" s="21" t="b">
        <v>0</v>
      </c>
      <c r="AA1440" s="162">
        <f>+$AD$5-Tabla2[[#This Row],[FECHA DE FACTURACIÓN]]</f>
        <v>100</v>
      </c>
      <c r="AB1440" s="163" t="str">
        <f>+IF(Tabla2[[#This Row],[dias de credito]]&gt;=Tabla2[[#This Row],[PLAZO Días]],"venc", "No venc")</f>
        <v>venc</v>
      </c>
      <c r="AC1440" s="163" t="str">
        <f>+IF(Tabla2[[#This Row],[FECHA DE PAGO]]&gt;0,"pagada","por pagar")</f>
        <v>pagada</v>
      </c>
      <c r="AD1440" s="164" t="str">
        <f>+IF(AND(Tabla2[[#This Row],[venc]]="venc",Tabla2[[#This Row],[estado pago]]="por pagar"),"vencida","no")</f>
        <v>no</v>
      </c>
    </row>
    <row r="1441" spans="1:30" ht="19.5" customHeight="1" x14ac:dyDescent="0.25">
      <c r="A1441" s="8" t="s">
        <v>1850</v>
      </c>
      <c r="B1441" s="8" t="s">
        <v>1851</v>
      </c>
      <c r="C1441" s="8">
        <v>20</v>
      </c>
      <c r="D1441" s="151">
        <v>0</v>
      </c>
      <c r="E1441" s="151"/>
      <c r="F1441" s="24">
        <v>0</v>
      </c>
      <c r="G1441" s="30">
        <v>45391</v>
      </c>
      <c r="H1441" s="81" t="s">
        <v>1825</v>
      </c>
      <c r="I1441" s="30">
        <v>45370</v>
      </c>
      <c r="J1441" s="16" t="s">
        <v>890</v>
      </c>
      <c r="K1441" s="9" t="s">
        <v>504</v>
      </c>
      <c r="L1441" s="9" t="s">
        <v>1395</v>
      </c>
      <c r="M1441" s="152">
        <v>10367150</v>
      </c>
      <c r="N1441" s="153">
        <v>0</v>
      </c>
      <c r="O1441" s="152">
        <v>0</v>
      </c>
      <c r="P1441" s="154">
        <v>0</v>
      </c>
      <c r="Q1441" s="152">
        <v>0</v>
      </c>
      <c r="R1441" s="9">
        <v>10367150</v>
      </c>
      <c r="S1441" s="21" t="s">
        <v>1846</v>
      </c>
      <c r="T1441" s="117">
        <v>0</v>
      </c>
      <c r="U1441" s="117">
        <v>0</v>
      </c>
      <c r="V1441" s="117">
        <v>2024</v>
      </c>
      <c r="W1441" s="117">
        <v>7</v>
      </c>
      <c r="X1441" s="117">
        <v>0</v>
      </c>
      <c r="Y1441" s="117">
        <v>0</v>
      </c>
      <c r="Z1441" s="21" t="b">
        <v>0</v>
      </c>
      <c r="AA1441" s="162">
        <f>+$AD$5-Tabla2[[#This Row],[FECHA DE FACTURACIÓN]]</f>
        <v>73</v>
      </c>
      <c r="AB1441" s="163" t="str">
        <f>+IF(Tabla2[[#This Row],[dias de credito]]&gt;=Tabla2[[#This Row],[PLAZO Días]],"venc", "No venc")</f>
        <v>venc</v>
      </c>
      <c r="AC1441" s="163" t="str">
        <f>+IF(Tabla2[[#This Row],[FECHA DE PAGO]]&gt;0,"pagada","por pagar")</f>
        <v>pagada</v>
      </c>
      <c r="AD1441" s="164" t="str">
        <f>+IF(AND(Tabla2[[#This Row],[venc]]="venc",Tabla2[[#This Row],[estado pago]]="por pagar"),"vencida","no")</f>
        <v>no</v>
      </c>
    </row>
    <row r="1442" spans="1:30" ht="19.5" customHeight="1" x14ac:dyDescent="0.25">
      <c r="A1442" s="8" t="s">
        <v>1850</v>
      </c>
      <c r="B1442" s="8" t="e">
        <v>#N/A</v>
      </c>
      <c r="C1442" s="8" t="e">
        <v>#N/A</v>
      </c>
      <c r="D1442" s="151">
        <v>560900</v>
      </c>
      <c r="E1442" s="151"/>
      <c r="F1442" s="24" t="e">
        <v>#N/A</v>
      </c>
      <c r="G1442" s="30">
        <v>45391</v>
      </c>
      <c r="H1442" s="81" t="s">
        <v>1887</v>
      </c>
      <c r="I1442" s="30">
        <v>45371</v>
      </c>
      <c r="J1442" s="16" t="s">
        <v>1676</v>
      </c>
      <c r="K1442" s="9" t="s">
        <v>1530</v>
      </c>
      <c r="L1442" s="9" t="s">
        <v>1395</v>
      </c>
      <c r="M1442" s="152">
        <v>178500</v>
      </c>
      <c r="N1442" s="153">
        <v>33915</v>
      </c>
      <c r="O1442" s="152">
        <v>0</v>
      </c>
      <c r="P1442" s="154">
        <v>0</v>
      </c>
      <c r="Q1442" s="152">
        <v>0</v>
      </c>
      <c r="R1442" s="9">
        <v>212415</v>
      </c>
      <c r="S1442" s="21" t="s">
        <v>1846</v>
      </c>
      <c r="T1442" s="117">
        <v>0</v>
      </c>
      <c r="U1442" s="117" t="e">
        <v>#N/A</v>
      </c>
      <c r="V1442" s="117">
        <v>2024</v>
      </c>
      <c r="W1442" s="117">
        <v>7</v>
      </c>
      <c r="X1442" s="117" t="e">
        <v>#N/A</v>
      </c>
      <c r="Y1442" s="117" t="e">
        <v>#N/A</v>
      </c>
      <c r="Z1442" s="21" t="b">
        <v>0</v>
      </c>
      <c r="AA1442" s="162">
        <f>+$AD$5-Tabla2[[#This Row],[FECHA DE FACTURACIÓN]]</f>
        <v>72</v>
      </c>
      <c r="AB1442" s="163" t="e">
        <f>+IF(Tabla2[[#This Row],[dias de credito]]&gt;=Tabla2[[#This Row],[PLAZO Días]],"venc", "No venc")</f>
        <v>#N/A</v>
      </c>
      <c r="AC1442" s="163" t="str">
        <f>+IF(Tabla2[[#This Row],[FECHA DE PAGO]]&gt;0,"pagada","por pagar")</f>
        <v>pagada</v>
      </c>
      <c r="AD1442" s="164" t="e">
        <f>+IF(AND(Tabla2[[#This Row],[venc]]="venc",Tabla2[[#This Row],[estado pago]]="por pagar"),"vencida","no")</f>
        <v>#N/A</v>
      </c>
    </row>
    <row r="1443" spans="1:30" ht="19.5" customHeight="1" x14ac:dyDescent="0.25">
      <c r="A1443" s="8" t="s">
        <v>1850</v>
      </c>
      <c r="B1443" s="8" t="b">
        <v>0</v>
      </c>
      <c r="C1443" s="8">
        <v>10</v>
      </c>
      <c r="D1443" s="151">
        <v>-3510</v>
      </c>
      <c r="E1443" s="151"/>
      <c r="F1443" s="24" t="s">
        <v>1540</v>
      </c>
      <c r="G1443" s="30">
        <v>45391</v>
      </c>
      <c r="H1443" s="81" t="s">
        <v>1452</v>
      </c>
      <c r="I1443" s="30">
        <v>45383</v>
      </c>
      <c r="J1443" s="16" t="s">
        <v>1698</v>
      </c>
      <c r="K1443" s="9" t="s">
        <v>1530</v>
      </c>
      <c r="L1443" s="9" t="s">
        <v>1535</v>
      </c>
      <c r="M1443" s="152">
        <v>4435417</v>
      </c>
      <c r="N1443" s="153">
        <v>752248</v>
      </c>
      <c r="O1443" s="152">
        <v>0</v>
      </c>
      <c r="P1443" s="154">
        <v>3.5000000000000003E-2</v>
      </c>
      <c r="Q1443" s="152">
        <v>138572</v>
      </c>
      <c r="R1443" s="9">
        <v>5049093</v>
      </c>
      <c r="S1443" s="21" t="s">
        <v>1846</v>
      </c>
      <c r="T1443" s="117">
        <v>0</v>
      </c>
      <c r="U1443" s="117" t="s">
        <v>348</v>
      </c>
      <c r="V1443" s="117">
        <v>2024</v>
      </c>
      <c r="W1443" s="117">
        <v>7</v>
      </c>
      <c r="X1443" s="117">
        <v>0</v>
      </c>
      <c r="Y1443" s="117">
        <v>3.5000000000000003E-2</v>
      </c>
      <c r="Z1443" s="21" t="b">
        <v>1</v>
      </c>
      <c r="AA1443" s="162">
        <f>+$AD$5-Tabla2[[#This Row],[FECHA DE FACTURACIÓN]]</f>
        <v>60</v>
      </c>
      <c r="AB1443" s="163" t="str">
        <f>+IF(Tabla2[[#This Row],[dias de credito]]&gt;=Tabla2[[#This Row],[PLAZO Días]],"venc", "No venc")</f>
        <v>venc</v>
      </c>
      <c r="AC1443" s="163" t="str">
        <f>+IF(Tabla2[[#This Row],[FECHA DE PAGO]]&gt;0,"pagada","por pagar")</f>
        <v>pagada</v>
      </c>
      <c r="AD1443" s="164" t="str">
        <f>+IF(AND(Tabla2[[#This Row],[venc]]="venc",Tabla2[[#This Row],[estado pago]]="por pagar"),"vencida","no")</f>
        <v>no</v>
      </c>
    </row>
    <row r="1444" spans="1:30" ht="19.5" customHeight="1" x14ac:dyDescent="0.25">
      <c r="A1444" s="8" t="s">
        <v>1850</v>
      </c>
      <c r="B1444" s="8" t="s">
        <v>1851</v>
      </c>
      <c r="C1444" s="8">
        <v>30</v>
      </c>
      <c r="D1444" s="151">
        <v>9950488.6799999997</v>
      </c>
      <c r="E1444" s="151"/>
      <c r="F1444" s="24" t="s">
        <v>410</v>
      </c>
      <c r="G1444" s="30">
        <v>45392</v>
      </c>
      <c r="H1444" s="81" t="s">
        <v>11</v>
      </c>
      <c r="I1444" s="30">
        <v>45320</v>
      </c>
      <c r="J1444" s="16" t="s">
        <v>1498</v>
      </c>
      <c r="K1444" s="9" t="s">
        <v>1530</v>
      </c>
      <c r="L1444" s="9" t="s">
        <v>1534</v>
      </c>
      <c r="M1444" s="152">
        <v>2329416</v>
      </c>
      <c r="N1444" s="153">
        <v>442589.04</v>
      </c>
      <c r="O1444" s="152">
        <v>0</v>
      </c>
      <c r="P1444" s="154">
        <v>2.5000000000000001E-2</v>
      </c>
      <c r="Q1444" s="152">
        <v>58235.4</v>
      </c>
      <c r="R1444" s="9">
        <v>2713769.64</v>
      </c>
      <c r="S1444" s="21" t="s">
        <v>1846</v>
      </c>
      <c r="T1444" s="117">
        <v>0</v>
      </c>
      <c r="U1444" s="117" t="s">
        <v>347</v>
      </c>
      <c r="V1444" s="117">
        <v>2024</v>
      </c>
      <c r="W1444" s="117">
        <v>7</v>
      </c>
      <c r="X1444" s="117">
        <v>1271000</v>
      </c>
      <c r="Y1444" s="117">
        <v>2.5000000000000001E-2</v>
      </c>
      <c r="Z1444" s="21" t="b">
        <v>0</v>
      </c>
      <c r="AA1444" s="162">
        <f>+$AD$5-Tabla2[[#This Row],[FECHA DE FACTURACIÓN]]</f>
        <v>123</v>
      </c>
      <c r="AB1444" s="163" t="str">
        <f>+IF(Tabla2[[#This Row],[dias de credito]]&gt;=Tabla2[[#This Row],[PLAZO Días]],"venc", "No venc")</f>
        <v>venc</v>
      </c>
      <c r="AC1444" s="163" t="str">
        <f>+IF(Tabla2[[#This Row],[FECHA DE PAGO]]&gt;0,"pagada","por pagar")</f>
        <v>pagada</v>
      </c>
      <c r="AD1444" s="164" t="str">
        <f>+IF(AND(Tabla2[[#This Row],[venc]]="venc",Tabla2[[#This Row],[estado pago]]="por pagar"),"vencida","no")</f>
        <v>no</v>
      </c>
    </row>
    <row r="1445" spans="1:30" ht="19.5" customHeight="1" x14ac:dyDescent="0.25">
      <c r="A1445" s="8" t="s">
        <v>1850</v>
      </c>
      <c r="B1445" s="8" t="s">
        <v>1851</v>
      </c>
      <c r="C1445" s="8">
        <v>30</v>
      </c>
      <c r="D1445" s="151">
        <v>0</v>
      </c>
      <c r="E1445" s="151"/>
      <c r="F1445" s="24" t="s">
        <v>168</v>
      </c>
      <c r="G1445" s="30">
        <v>45392</v>
      </c>
      <c r="H1445" s="81" t="s">
        <v>43</v>
      </c>
      <c r="I1445" s="30">
        <v>45330</v>
      </c>
      <c r="J1445" s="16" t="s">
        <v>1555</v>
      </c>
      <c r="K1445" s="9" t="s">
        <v>1530</v>
      </c>
      <c r="L1445" s="9" t="s">
        <v>1534</v>
      </c>
      <c r="M1445" s="152">
        <v>2049000</v>
      </c>
      <c r="N1445" s="153">
        <v>389310</v>
      </c>
      <c r="O1445" s="152">
        <v>0</v>
      </c>
      <c r="P1445" s="154">
        <v>2.5000000000000001E-2</v>
      </c>
      <c r="Q1445" s="152">
        <v>51225</v>
      </c>
      <c r="R1445" s="9">
        <v>2387085</v>
      </c>
      <c r="S1445" s="21" t="s">
        <v>1846</v>
      </c>
      <c r="T1445" s="117">
        <v>0</v>
      </c>
      <c r="U1445" s="117" t="s">
        <v>347</v>
      </c>
      <c r="V1445" s="117">
        <v>2024</v>
      </c>
      <c r="W1445" s="117">
        <v>7</v>
      </c>
      <c r="X1445" s="117">
        <v>1271000</v>
      </c>
      <c r="Y1445" s="117">
        <v>2.5000000000000001E-2</v>
      </c>
      <c r="Z1445" s="21" t="b">
        <v>0</v>
      </c>
      <c r="AA1445" s="162">
        <f>+$AD$5-Tabla2[[#This Row],[FECHA DE FACTURACIÓN]]</f>
        <v>113</v>
      </c>
      <c r="AB1445" s="163" t="str">
        <f>+IF(Tabla2[[#This Row],[dias de credito]]&gt;=Tabla2[[#This Row],[PLAZO Días]],"venc", "No venc")</f>
        <v>venc</v>
      </c>
      <c r="AC1445" s="163" t="str">
        <f>+IF(Tabla2[[#This Row],[FECHA DE PAGO]]&gt;0,"pagada","por pagar")</f>
        <v>pagada</v>
      </c>
      <c r="AD1445" s="164" t="str">
        <f>+IF(AND(Tabla2[[#This Row],[venc]]="venc",Tabla2[[#This Row],[estado pago]]="por pagar"),"vencida","no")</f>
        <v>no</v>
      </c>
    </row>
    <row r="1446" spans="1:30" ht="19.5" customHeight="1" x14ac:dyDescent="0.25">
      <c r="A1446" s="8" t="s">
        <v>1850</v>
      </c>
      <c r="B1446" s="8" t="s">
        <v>1851</v>
      </c>
      <c r="C1446" s="8">
        <v>30</v>
      </c>
      <c r="D1446" s="151">
        <v>9950488.6799999997</v>
      </c>
      <c r="E1446" s="151"/>
      <c r="F1446" s="24" t="s">
        <v>410</v>
      </c>
      <c r="G1446" s="30">
        <v>45392</v>
      </c>
      <c r="H1446" s="81" t="s">
        <v>11</v>
      </c>
      <c r="I1446" s="30">
        <v>45342</v>
      </c>
      <c r="J1446" s="16" t="s">
        <v>1596</v>
      </c>
      <c r="K1446" s="9" t="s">
        <v>1530</v>
      </c>
      <c r="L1446" s="9" t="s">
        <v>1534</v>
      </c>
      <c r="M1446" s="152">
        <v>3105888</v>
      </c>
      <c r="N1446" s="153">
        <v>590118.72</v>
      </c>
      <c r="O1446" s="152">
        <v>0</v>
      </c>
      <c r="P1446" s="154">
        <v>2.5000000000000001E-2</v>
      </c>
      <c r="Q1446" s="152">
        <v>77647.199999999997</v>
      </c>
      <c r="R1446" s="9">
        <v>3618359.5199999996</v>
      </c>
      <c r="S1446" s="21" t="s">
        <v>1846</v>
      </c>
      <c r="T1446" s="117">
        <v>0</v>
      </c>
      <c r="U1446" s="117" t="s">
        <v>347</v>
      </c>
      <c r="V1446" s="117">
        <v>2024</v>
      </c>
      <c r="W1446" s="117">
        <v>7</v>
      </c>
      <c r="X1446" s="117">
        <v>1271000</v>
      </c>
      <c r="Y1446" s="117">
        <v>2.5000000000000001E-2</v>
      </c>
      <c r="Z1446" s="21" t="b">
        <v>0</v>
      </c>
      <c r="AA1446" s="162">
        <f>+$AD$5-Tabla2[[#This Row],[FECHA DE FACTURACIÓN]]</f>
        <v>101</v>
      </c>
      <c r="AB1446" s="163" t="str">
        <f>+IF(Tabla2[[#This Row],[dias de credito]]&gt;=Tabla2[[#This Row],[PLAZO Días]],"venc", "No venc")</f>
        <v>venc</v>
      </c>
      <c r="AC1446" s="163" t="str">
        <f>+IF(Tabla2[[#This Row],[FECHA DE PAGO]]&gt;0,"pagada","por pagar")</f>
        <v>pagada</v>
      </c>
      <c r="AD1446" s="164" t="str">
        <f>+IF(AND(Tabla2[[#This Row],[venc]]="venc",Tabla2[[#This Row],[estado pago]]="por pagar"),"vencida","no")</f>
        <v>no</v>
      </c>
    </row>
    <row r="1447" spans="1:30" ht="19.5" customHeight="1" x14ac:dyDescent="0.25">
      <c r="A1447" s="8" t="s">
        <v>1850</v>
      </c>
      <c r="B1447" s="8" t="s">
        <v>1851</v>
      </c>
      <c r="C1447" s="8">
        <v>30</v>
      </c>
      <c r="D1447" s="151">
        <v>0</v>
      </c>
      <c r="E1447" s="151"/>
      <c r="F1447" s="24" t="s">
        <v>169</v>
      </c>
      <c r="G1447" s="30">
        <v>45392</v>
      </c>
      <c r="H1447" s="81" t="s">
        <v>1592</v>
      </c>
      <c r="I1447" s="30">
        <v>45344</v>
      </c>
      <c r="J1447" s="16" t="s">
        <v>1593</v>
      </c>
      <c r="K1447" s="9" t="s">
        <v>1530</v>
      </c>
      <c r="L1447" s="9" t="s">
        <v>1533</v>
      </c>
      <c r="M1447" s="152">
        <v>3246000</v>
      </c>
      <c r="N1447" s="153">
        <v>616740</v>
      </c>
      <c r="O1447" s="152">
        <v>0</v>
      </c>
      <c r="P1447" s="154">
        <v>2.5000000000000001E-2</v>
      </c>
      <c r="Q1447" s="152">
        <v>81150</v>
      </c>
      <c r="R1447" s="9">
        <v>3781590</v>
      </c>
      <c r="S1447" s="21" t="s">
        <v>1846</v>
      </c>
      <c r="T1447" s="117">
        <v>0</v>
      </c>
      <c r="U1447" s="117" t="s">
        <v>347</v>
      </c>
      <c r="V1447" s="117">
        <v>2024</v>
      </c>
      <c r="W1447" s="117">
        <v>7</v>
      </c>
      <c r="X1447" s="117">
        <v>1271000</v>
      </c>
      <c r="Y1447" s="117">
        <v>2.5000000000000001E-2</v>
      </c>
      <c r="Z1447" s="21" t="b">
        <v>0</v>
      </c>
      <c r="AA1447" s="162">
        <f>+$AD$5-Tabla2[[#This Row],[FECHA DE FACTURACIÓN]]</f>
        <v>99</v>
      </c>
      <c r="AB1447" s="163" t="str">
        <f>+IF(Tabla2[[#This Row],[dias de credito]]&gt;=Tabla2[[#This Row],[PLAZO Días]],"venc", "No venc")</f>
        <v>venc</v>
      </c>
      <c r="AC1447" s="163" t="str">
        <f>+IF(Tabla2[[#This Row],[FECHA DE PAGO]]&gt;0,"pagada","por pagar")</f>
        <v>pagada</v>
      </c>
      <c r="AD1447" s="164" t="str">
        <f>+IF(AND(Tabla2[[#This Row],[venc]]="venc",Tabla2[[#This Row],[estado pago]]="por pagar"),"vencida","no")</f>
        <v>no</v>
      </c>
    </row>
    <row r="1448" spans="1:30" ht="19.5" customHeight="1" x14ac:dyDescent="0.25">
      <c r="A1448" s="8" t="s">
        <v>1850</v>
      </c>
      <c r="B1448" s="8" t="b">
        <v>0</v>
      </c>
      <c r="C1448" s="8">
        <v>30</v>
      </c>
      <c r="D1448" s="151">
        <v>0</v>
      </c>
      <c r="E1448" s="151"/>
      <c r="F1448" s="24" t="s">
        <v>253</v>
      </c>
      <c r="G1448" s="30">
        <v>45392</v>
      </c>
      <c r="H1448" s="81" t="s">
        <v>368</v>
      </c>
      <c r="I1448" s="30">
        <v>45383</v>
      </c>
      <c r="J1448" s="16" t="s">
        <v>1705</v>
      </c>
      <c r="K1448" s="9" t="s">
        <v>1530</v>
      </c>
      <c r="L1448" s="9" t="s">
        <v>1535</v>
      </c>
      <c r="M1448" s="152">
        <v>970836</v>
      </c>
      <c r="N1448" s="153">
        <v>184458.84</v>
      </c>
      <c r="O1448" s="152">
        <v>0</v>
      </c>
      <c r="P1448" s="154">
        <v>0</v>
      </c>
      <c r="Q1448" s="152">
        <v>38833</v>
      </c>
      <c r="R1448" s="9">
        <v>1116461.8400000001</v>
      </c>
      <c r="S1448" s="21" t="s">
        <v>1846</v>
      </c>
      <c r="T1448" s="117">
        <v>0</v>
      </c>
      <c r="U1448" s="117">
        <v>0</v>
      </c>
      <c r="V1448" s="117">
        <v>2024</v>
      </c>
      <c r="W1448" s="117">
        <v>7</v>
      </c>
      <c r="X1448" s="117">
        <v>0</v>
      </c>
      <c r="Y1448" s="117">
        <v>0</v>
      </c>
      <c r="Z1448" s="21" t="b">
        <v>1</v>
      </c>
      <c r="AA1448" s="162">
        <f>+$AD$5-Tabla2[[#This Row],[FECHA DE FACTURACIÓN]]</f>
        <v>60</v>
      </c>
      <c r="AB1448" s="163" t="str">
        <f>+IF(Tabla2[[#This Row],[dias de credito]]&gt;=Tabla2[[#This Row],[PLAZO Días]],"venc", "No venc")</f>
        <v>venc</v>
      </c>
      <c r="AC1448" s="163" t="str">
        <f>+IF(Tabla2[[#This Row],[FECHA DE PAGO]]&gt;0,"pagada","por pagar")</f>
        <v>pagada</v>
      </c>
      <c r="AD1448" s="164" t="str">
        <f>+IF(AND(Tabla2[[#This Row],[venc]]="venc",Tabla2[[#This Row],[estado pago]]="por pagar"),"vencida","no")</f>
        <v>no</v>
      </c>
    </row>
    <row r="1449" spans="1:30" ht="19.5" customHeight="1" x14ac:dyDescent="0.25">
      <c r="A1449" s="8" t="s">
        <v>1850</v>
      </c>
      <c r="B1449" s="8" t="b">
        <v>0</v>
      </c>
      <c r="C1449" s="8">
        <v>30</v>
      </c>
      <c r="D1449" s="151">
        <v>0</v>
      </c>
      <c r="E1449" s="151"/>
      <c r="F1449" s="24" t="s">
        <v>253</v>
      </c>
      <c r="G1449" s="30">
        <v>45392</v>
      </c>
      <c r="H1449" s="81" t="s">
        <v>368</v>
      </c>
      <c r="I1449" s="30">
        <v>45383</v>
      </c>
      <c r="J1449" s="16" t="s">
        <v>1706</v>
      </c>
      <c r="K1449" s="9" t="s">
        <v>1530</v>
      </c>
      <c r="L1449" s="9" t="s">
        <v>1535</v>
      </c>
      <c r="M1449" s="152">
        <v>4220343</v>
      </c>
      <c r="N1449" s="153">
        <v>801865.17</v>
      </c>
      <c r="O1449" s="152">
        <v>0</v>
      </c>
      <c r="P1449" s="154">
        <v>0</v>
      </c>
      <c r="Q1449" s="152">
        <v>0</v>
      </c>
      <c r="R1449" s="9">
        <v>5022208.17</v>
      </c>
      <c r="S1449" s="21" t="s">
        <v>1846</v>
      </c>
      <c r="T1449" s="117">
        <v>0</v>
      </c>
      <c r="U1449" s="117">
        <v>0</v>
      </c>
      <c r="V1449" s="117">
        <v>2024</v>
      </c>
      <c r="W1449" s="117">
        <v>7</v>
      </c>
      <c r="X1449" s="117">
        <v>0</v>
      </c>
      <c r="Y1449" s="117">
        <v>0</v>
      </c>
      <c r="Z1449" s="21" t="b">
        <v>1</v>
      </c>
      <c r="AA1449" s="162">
        <f>+$AD$5-Tabla2[[#This Row],[FECHA DE FACTURACIÓN]]</f>
        <v>60</v>
      </c>
      <c r="AB1449" s="163" t="str">
        <f>+IF(Tabla2[[#This Row],[dias de credito]]&gt;=Tabla2[[#This Row],[PLAZO Días]],"venc", "No venc")</f>
        <v>venc</v>
      </c>
      <c r="AC1449" s="163" t="str">
        <f>+IF(Tabla2[[#This Row],[FECHA DE PAGO]]&gt;0,"pagada","por pagar")</f>
        <v>pagada</v>
      </c>
      <c r="AD1449" s="164" t="str">
        <f>+IF(AND(Tabla2[[#This Row],[venc]]="venc",Tabla2[[#This Row],[estado pago]]="por pagar"),"vencida","no")</f>
        <v>no</v>
      </c>
    </row>
    <row r="1450" spans="1:30" ht="19.5" customHeight="1" x14ac:dyDescent="0.25">
      <c r="A1450" s="8" t="s">
        <v>1850</v>
      </c>
      <c r="B1450" s="8" t="b">
        <v>0</v>
      </c>
      <c r="C1450" s="8">
        <v>30</v>
      </c>
      <c r="D1450" s="151">
        <v>0</v>
      </c>
      <c r="E1450" s="151"/>
      <c r="F1450" s="24" t="s">
        <v>268</v>
      </c>
      <c r="G1450" s="30">
        <v>45392</v>
      </c>
      <c r="H1450" s="81" t="s">
        <v>376</v>
      </c>
      <c r="I1450" s="30">
        <v>45383</v>
      </c>
      <c r="J1450" s="16" t="s">
        <v>1703</v>
      </c>
      <c r="K1450" s="9" t="s">
        <v>1530</v>
      </c>
      <c r="L1450" s="9" t="s">
        <v>1534</v>
      </c>
      <c r="M1450" s="152">
        <v>358115</v>
      </c>
      <c r="N1450" s="153">
        <v>0</v>
      </c>
      <c r="O1450" s="152">
        <v>66304</v>
      </c>
      <c r="P1450" s="154">
        <v>0</v>
      </c>
      <c r="Q1450" s="152">
        <v>0</v>
      </c>
      <c r="R1450" s="9">
        <v>291811</v>
      </c>
      <c r="S1450" s="21" t="s">
        <v>1846</v>
      </c>
      <c r="T1450" s="117">
        <v>0</v>
      </c>
      <c r="U1450" s="117">
        <v>0</v>
      </c>
      <c r="V1450" s="117">
        <v>2024</v>
      </c>
      <c r="W1450" s="117">
        <v>7</v>
      </c>
      <c r="X1450" s="117">
        <v>0</v>
      </c>
      <c r="Y1450" s="117">
        <v>0</v>
      </c>
      <c r="Z1450" s="21" t="b">
        <v>1</v>
      </c>
      <c r="AA1450" s="162">
        <f>+$AD$5-Tabla2[[#This Row],[FECHA DE FACTURACIÓN]]</f>
        <v>60</v>
      </c>
      <c r="AB1450" s="163" t="str">
        <f>+IF(Tabla2[[#This Row],[dias de credito]]&gt;=Tabla2[[#This Row],[PLAZO Días]],"venc", "No venc")</f>
        <v>venc</v>
      </c>
      <c r="AC1450" s="163" t="str">
        <f>+IF(Tabla2[[#This Row],[FECHA DE PAGO]]&gt;0,"pagada","por pagar")</f>
        <v>pagada</v>
      </c>
      <c r="AD1450" s="164" t="str">
        <f>+IF(AND(Tabla2[[#This Row],[venc]]="venc",Tabla2[[#This Row],[estado pago]]="por pagar"),"vencida","no")</f>
        <v>no</v>
      </c>
    </row>
    <row r="1451" spans="1:30" ht="19.5" customHeight="1" x14ac:dyDescent="0.25">
      <c r="A1451" s="8" t="s">
        <v>1850</v>
      </c>
      <c r="B1451" s="8" t="b">
        <v>0</v>
      </c>
      <c r="C1451" s="8">
        <v>30</v>
      </c>
      <c r="D1451" s="151">
        <v>0</v>
      </c>
      <c r="E1451" s="151"/>
      <c r="F1451" s="24" t="s">
        <v>414</v>
      </c>
      <c r="G1451" s="30">
        <v>45392</v>
      </c>
      <c r="H1451" s="81" t="s">
        <v>382</v>
      </c>
      <c r="I1451" s="30">
        <v>45383</v>
      </c>
      <c r="J1451" s="16" t="s">
        <v>1702</v>
      </c>
      <c r="K1451" s="9" t="s">
        <v>1530</v>
      </c>
      <c r="L1451" s="9" t="s">
        <v>1533</v>
      </c>
      <c r="M1451" s="152">
        <v>1007984</v>
      </c>
      <c r="N1451" s="153">
        <v>0</v>
      </c>
      <c r="O1451" s="152">
        <v>0</v>
      </c>
      <c r="P1451" s="154">
        <v>0</v>
      </c>
      <c r="Q1451" s="152">
        <v>0</v>
      </c>
      <c r="R1451" s="9">
        <v>1007984</v>
      </c>
      <c r="S1451" s="21" t="s">
        <v>1846</v>
      </c>
      <c r="T1451" s="117">
        <v>0</v>
      </c>
      <c r="U1451" s="117">
        <v>0</v>
      </c>
      <c r="V1451" s="117">
        <v>2024</v>
      </c>
      <c r="W1451" s="117">
        <v>7</v>
      </c>
      <c r="X1451" s="117">
        <v>0</v>
      </c>
      <c r="Y1451" s="117">
        <v>0</v>
      </c>
      <c r="Z1451" s="21" t="b">
        <v>1</v>
      </c>
      <c r="AA1451" s="162">
        <f>+$AD$5-Tabla2[[#This Row],[FECHA DE FACTURACIÓN]]</f>
        <v>60</v>
      </c>
      <c r="AB1451" s="163" t="str">
        <f>+IF(Tabla2[[#This Row],[dias de credito]]&gt;=Tabla2[[#This Row],[PLAZO Días]],"venc", "No venc")</f>
        <v>venc</v>
      </c>
      <c r="AC1451" s="163" t="str">
        <f>+IF(Tabla2[[#This Row],[FECHA DE PAGO]]&gt;0,"pagada","por pagar")</f>
        <v>pagada</v>
      </c>
      <c r="AD1451" s="164" t="str">
        <f>+IF(AND(Tabla2[[#This Row],[venc]]="venc",Tabla2[[#This Row],[estado pago]]="por pagar"),"vencida","no")</f>
        <v>no</v>
      </c>
    </row>
    <row r="1452" spans="1:30" ht="19.5" customHeight="1" x14ac:dyDescent="0.25">
      <c r="A1452" s="8" t="s">
        <v>1850</v>
      </c>
      <c r="B1452" s="8" t="b">
        <v>0</v>
      </c>
      <c r="C1452" s="8">
        <v>30</v>
      </c>
      <c r="D1452" s="151">
        <v>0</v>
      </c>
      <c r="E1452" s="151"/>
      <c r="F1452" s="24" t="s">
        <v>153</v>
      </c>
      <c r="G1452" s="30">
        <v>45392</v>
      </c>
      <c r="H1452" s="81" t="s">
        <v>394</v>
      </c>
      <c r="I1452" s="30">
        <v>45383</v>
      </c>
      <c r="J1452" s="16" t="s">
        <v>1708</v>
      </c>
      <c r="K1452" s="9" t="s">
        <v>1530</v>
      </c>
      <c r="L1452" s="9" t="s">
        <v>1533</v>
      </c>
      <c r="M1452" s="152">
        <v>266218</v>
      </c>
      <c r="N1452" s="153">
        <v>50581.42</v>
      </c>
      <c r="O1452" s="152">
        <v>0</v>
      </c>
      <c r="P1452" s="154">
        <v>3.5000000000000003E-2</v>
      </c>
      <c r="Q1452" s="152">
        <v>9317.630000000001</v>
      </c>
      <c r="R1452" s="9">
        <v>307481.78999999998</v>
      </c>
      <c r="S1452" s="21" t="s">
        <v>1846</v>
      </c>
      <c r="T1452" s="117">
        <v>0</v>
      </c>
      <c r="U1452" s="117" t="s">
        <v>348</v>
      </c>
      <c r="V1452" s="117">
        <v>2024</v>
      </c>
      <c r="W1452" s="117">
        <v>7</v>
      </c>
      <c r="X1452" s="117">
        <v>0</v>
      </c>
      <c r="Y1452" s="117">
        <v>3.5000000000000003E-2</v>
      </c>
      <c r="Z1452" s="21" t="b">
        <v>1</v>
      </c>
      <c r="AA1452" s="162">
        <f>+$AD$5-Tabla2[[#This Row],[FECHA DE FACTURACIÓN]]</f>
        <v>60</v>
      </c>
      <c r="AB1452" s="163" t="str">
        <f>+IF(Tabla2[[#This Row],[dias de credito]]&gt;=Tabla2[[#This Row],[PLAZO Días]],"venc", "No venc")</f>
        <v>venc</v>
      </c>
      <c r="AC1452" s="163" t="str">
        <f>+IF(Tabla2[[#This Row],[FECHA DE PAGO]]&gt;0,"pagada","por pagar")</f>
        <v>pagada</v>
      </c>
      <c r="AD1452" s="164" t="str">
        <f>+IF(AND(Tabla2[[#This Row],[venc]]="venc",Tabla2[[#This Row],[estado pago]]="por pagar"),"vencida","no")</f>
        <v>no</v>
      </c>
    </row>
    <row r="1453" spans="1:30" ht="19.5" customHeight="1" x14ac:dyDescent="0.25">
      <c r="A1453" s="8" t="s">
        <v>1850</v>
      </c>
      <c r="B1453" s="8" t="b">
        <v>0</v>
      </c>
      <c r="C1453" s="8">
        <v>10</v>
      </c>
      <c r="D1453" s="151">
        <v>0</v>
      </c>
      <c r="E1453" s="151"/>
      <c r="F1453" s="24" t="s">
        <v>483</v>
      </c>
      <c r="G1453" s="30">
        <v>45392</v>
      </c>
      <c r="H1453" s="81" t="s">
        <v>482</v>
      </c>
      <c r="I1453" s="30">
        <v>45383</v>
      </c>
      <c r="J1453" s="16" t="s">
        <v>1704</v>
      </c>
      <c r="K1453" s="9" t="s">
        <v>1530</v>
      </c>
      <c r="L1453" s="9" t="s">
        <v>1534</v>
      </c>
      <c r="M1453" s="152">
        <v>5350576</v>
      </c>
      <c r="N1453" s="153">
        <v>1016609.4400000001</v>
      </c>
      <c r="O1453" s="152">
        <v>0</v>
      </c>
      <c r="P1453" s="154">
        <v>0</v>
      </c>
      <c r="Q1453" s="152">
        <v>0</v>
      </c>
      <c r="R1453" s="9">
        <v>6367185.4400000004</v>
      </c>
      <c r="S1453" s="21" t="s">
        <v>1846</v>
      </c>
      <c r="T1453" s="117">
        <v>0</v>
      </c>
      <c r="U1453" s="117">
        <v>0</v>
      </c>
      <c r="V1453" s="117">
        <v>2024</v>
      </c>
      <c r="W1453" s="117">
        <v>7</v>
      </c>
      <c r="X1453" s="117">
        <v>0</v>
      </c>
      <c r="Y1453" s="117">
        <v>0</v>
      </c>
      <c r="Z1453" s="21" t="b">
        <v>1</v>
      </c>
      <c r="AA1453" s="162">
        <f>+$AD$5-Tabla2[[#This Row],[FECHA DE FACTURACIÓN]]</f>
        <v>60</v>
      </c>
      <c r="AB1453" s="163" t="str">
        <f>+IF(Tabla2[[#This Row],[dias de credito]]&gt;=Tabla2[[#This Row],[PLAZO Días]],"venc", "No venc")</f>
        <v>venc</v>
      </c>
      <c r="AC1453" s="163" t="str">
        <f>+IF(Tabla2[[#This Row],[FECHA DE PAGO]]&gt;0,"pagada","por pagar")</f>
        <v>pagada</v>
      </c>
      <c r="AD1453" s="164" t="str">
        <f>+IF(AND(Tabla2[[#This Row],[venc]]="venc",Tabla2[[#This Row],[estado pago]]="por pagar"),"vencida","no")</f>
        <v>no</v>
      </c>
    </row>
    <row r="1454" spans="1:30" ht="19.5" customHeight="1" x14ac:dyDescent="0.25">
      <c r="A1454" s="8" t="s">
        <v>1850</v>
      </c>
      <c r="B1454" s="8" t="b">
        <v>0</v>
      </c>
      <c r="C1454" s="8">
        <v>30</v>
      </c>
      <c r="D1454" s="151">
        <v>0</v>
      </c>
      <c r="E1454" s="151"/>
      <c r="F1454" s="24" t="s">
        <v>1447</v>
      </c>
      <c r="G1454" s="30">
        <v>45392</v>
      </c>
      <c r="H1454" s="81" t="s">
        <v>373</v>
      </c>
      <c r="I1454" s="30">
        <v>45390</v>
      </c>
      <c r="J1454" s="16" t="s">
        <v>1707</v>
      </c>
      <c r="K1454" s="9" t="s">
        <v>1530</v>
      </c>
      <c r="L1454" s="9" t="s">
        <v>1533</v>
      </c>
      <c r="M1454" s="152">
        <v>2020761</v>
      </c>
      <c r="N1454" s="153">
        <v>0</v>
      </c>
      <c r="O1454" s="152">
        <v>418942</v>
      </c>
      <c r="P1454" s="154">
        <v>0</v>
      </c>
      <c r="Q1454" s="152">
        <v>0</v>
      </c>
      <c r="R1454" s="9">
        <v>1601819</v>
      </c>
      <c r="S1454" s="21" t="s">
        <v>1846</v>
      </c>
      <c r="T1454" s="117">
        <v>0</v>
      </c>
      <c r="U1454" s="117">
        <v>0</v>
      </c>
      <c r="V1454" s="117">
        <v>2024</v>
      </c>
      <c r="W1454" s="117">
        <v>7</v>
      </c>
      <c r="X1454" s="117">
        <v>0</v>
      </c>
      <c r="Y1454" s="117">
        <v>0</v>
      </c>
      <c r="Z1454" s="21" t="b">
        <v>1</v>
      </c>
      <c r="AA1454" s="162">
        <f>+$AD$5-Tabla2[[#This Row],[FECHA DE FACTURACIÓN]]</f>
        <v>53</v>
      </c>
      <c r="AB1454" s="163" t="str">
        <f>+IF(Tabla2[[#This Row],[dias de credito]]&gt;=Tabla2[[#This Row],[PLAZO Días]],"venc", "No venc")</f>
        <v>venc</v>
      </c>
      <c r="AC1454" s="163" t="str">
        <f>+IF(Tabla2[[#This Row],[FECHA DE PAGO]]&gt;0,"pagada","por pagar")</f>
        <v>pagada</v>
      </c>
      <c r="AD1454" s="164" t="str">
        <f>+IF(AND(Tabla2[[#This Row],[venc]]="venc",Tabla2[[#This Row],[estado pago]]="por pagar"),"vencida","no")</f>
        <v>no</v>
      </c>
    </row>
    <row r="1455" spans="1:30" ht="19.5" customHeight="1" x14ac:dyDescent="0.25">
      <c r="A1455" s="8" t="s">
        <v>1852</v>
      </c>
      <c r="B1455" s="8" t="b">
        <v>0</v>
      </c>
      <c r="C1455" s="8">
        <v>30</v>
      </c>
      <c r="D1455" s="151">
        <v>0</v>
      </c>
      <c r="E1455" s="151"/>
      <c r="F1455" s="24" t="s">
        <v>1497</v>
      </c>
      <c r="G1455" s="30">
        <v>45392</v>
      </c>
      <c r="H1455" s="81" t="s">
        <v>1862</v>
      </c>
      <c r="I1455" s="30">
        <v>45392</v>
      </c>
      <c r="J1455" s="16" t="s">
        <v>1798</v>
      </c>
      <c r="K1455" s="9" t="s">
        <v>504</v>
      </c>
      <c r="L1455" s="9" t="s">
        <v>1534</v>
      </c>
      <c r="M1455" s="152">
        <v>4916780</v>
      </c>
      <c r="N1455" s="153">
        <v>0</v>
      </c>
      <c r="O1455" s="152">
        <v>0</v>
      </c>
      <c r="P1455" s="154">
        <v>0</v>
      </c>
      <c r="Q1455" s="152">
        <v>0</v>
      </c>
      <c r="R1455" s="9">
        <v>4916780</v>
      </c>
      <c r="S1455" s="21" t="s">
        <v>1846</v>
      </c>
      <c r="T1455" s="117">
        <v>0</v>
      </c>
      <c r="U1455" s="117">
        <v>0</v>
      </c>
      <c r="V1455" s="117">
        <v>2024</v>
      </c>
      <c r="W1455" s="117">
        <v>7</v>
      </c>
      <c r="X1455" s="117">
        <v>0</v>
      </c>
      <c r="Y1455" s="117">
        <v>0</v>
      </c>
      <c r="Z1455" s="21" t="b">
        <v>0</v>
      </c>
      <c r="AA1455" s="162">
        <f>+$AD$5-Tabla2[[#This Row],[FECHA DE FACTURACIÓN]]</f>
        <v>51</v>
      </c>
      <c r="AB1455" s="163" t="str">
        <f>+IF(Tabla2[[#This Row],[dias de credito]]&gt;=Tabla2[[#This Row],[PLAZO Días]],"venc", "No venc")</f>
        <v>venc</v>
      </c>
      <c r="AC1455" s="163" t="str">
        <f>+IF(Tabla2[[#This Row],[FECHA DE PAGO]]&gt;0,"pagada","por pagar")</f>
        <v>pagada</v>
      </c>
      <c r="AD1455" s="164" t="str">
        <f>+IF(AND(Tabla2[[#This Row],[venc]]="venc",Tabla2[[#This Row],[estado pago]]="por pagar"),"vencida","no")</f>
        <v>no</v>
      </c>
    </row>
    <row r="1456" spans="1:30" ht="19.5" customHeight="1" x14ac:dyDescent="0.25">
      <c r="A1456" s="8" t="s">
        <v>1850</v>
      </c>
      <c r="B1456" s="8" t="s">
        <v>1851</v>
      </c>
      <c r="C1456" s="8">
        <v>30</v>
      </c>
      <c r="D1456" s="151">
        <v>0</v>
      </c>
      <c r="E1456" s="151"/>
      <c r="F1456" s="24">
        <v>0</v>
      </c>
      <c r="G1456" s="30">
        <v>45393</v>
      </c>
      <c r="H1456" s="81" t="s">
        <v>1809</v>
      </c>
      <c r="I1456" s="30">
        <v>45342</v>
      </c>
      <c r="J1456" s="16">
        <v>8115</v>
      </c>
      <c r="K1456" s="9" t="s">
        <v>1530</v>
      </c>
      <c r="L1456" s="9"/>
      <c r="M1456" s="152">
        <v>527000</v>
      </c>
      <c r="N1456" s="153">
        <v>0</v>
      </c>
      <c r="O1456" s="152">
        <v>0</v>
      </c>
      <c r="P1456" s="154">
        <v>0</v>
      </c>
      <c r="Q1456" s="152">
        <v>0</v>
      </c>
      <c r="R1456" s="9">
        <v>527000</v>
      </c>
      <c r="S1456" s="21" t="s">
        <v>1846</v>
      </c>
      <c r="T1456" s="117">
        <v>0</v>
      </c>
      <c r="U1456" s="117">
        <v>0</v>
      </c>
      <c r="V1456" s="117">
        <v>2024</v>
      </c>
      <c r="W1456" s="117">
        <v>7</v>
      </c>
      <c r="X1456" s="117">
        <v>0</v>
      </c>
      <c r="Y1456" s="117">
        <v>0</v>
      </c>
      <c r="Z1456" s="21" t="b">
        <v>0</v>
      </c>
      <c r="AA1456" s="162">
        <f>+$AD$5-Tabla2[[#This Row],[FECHA DE FACTURACIÓN]]</f>
        <v>101</v>
      </c>
      <c r="AB1456" s="163" t="str">
        <f>+IF(Tabla2[[#This Row],[dias de credito]]&gt;=Tabla2[[#This Row],[PLAZO Días]],"venc", "No venc")</f>
        <v>venc</v>
      </c>
      <c r="AC1456" s="163" t="str">
        <f>+IF(Tabla2[[#This Row],[FECHA DE PAGO]]&gt;0,"pagada","por pagar")</f>
        <v>pagada</v>
      </c>
      <c r="AD1456" s="164" t="str">
        <f>+IF(AND(Tabla2[[#This Row],[venc]]="venc",Tabla2[[#This Row],[estado pago]]="por pagar"),"vencida","no")</f>
        <v>no</v>
      </c>
    </row>
    <row r="1457" spans="1:30" ht="19.5" customHeight="1" x14ac:dyDescent="0.25">
      <c r="A1457" s="8" t="s">
        <v>1850</v>
      </c>
      <c r="B1457" s="8" t="b">
        <v>0</v>
      </c>
      <c r="C1457" s="8">
        <v>30</v>
      </c>
      <c r="D1457" s="151">
        <v>0</v>
      </c>
      <c r="E1457" s="151"/>
      <c r="F1457" s="24">
        <v>0</v>
      </c>
      <c r="G1457" s="30">
        <v>45393</v>
      </c>
      <c r="H1457" s="81" t="s">
        <v>1809</v>
      </c>
      <c r="I1457" s="30">
        <v>45391</v>
      </c>
      <c r="J1457" s="16">
        <v>7621</v>
      </c>
      <c r="K1457" s="9" t="s">
        <v>1530</v>
      </c>
      <c r="L1457" s="9"/>
      <c r="M1457" s="152">
        <v>75000</v>
      </c>
      <c r="N1457" s="153">
        <v>0</v>
      </c>
      <c r="O1457" s="152">
        <v>0</v>
      </c>
      <c r="P1457" s="154">
        <v>0</v>
      </c>
      <c r="Q1457" s="152">
        <v>0</v>
      </c>
      <c r="R1457" s="9">
        <v>75000</v>
      </c>
      <c r="S1457" s="21" t="s">
        <v>1846</v>
      </c>
      <c r="T1457" s="117">
        <v>0</v>
      </c>
      <c r="U1457" s="117">
        <v>0</v>
      </c>
      <c r="V1457" s="117">
        <v>2024</v>
      </c>
      <c r="W1457" s="117">
        <v>7</v>
      </c>
      <c r="X1457" s="117">
        <v>0</v>
      </c>
      <c r="Y1457" s="117">
        <v>0</v>
      </c>
      <c r="Z1457" s="21" t="b">
        <v>0</v>
      </c>
      <c r="AA1457" s="162">
        <f>+$AD$5-Tabla2[[#This Row],[FECHA DE FACTURACIÓN]]</f>
        <v>52</v>
      </c>
      <c r="AB1457" s="163" t="str">
        <f>+IF(Tabla2[[#This Row],[dias de credito]]&gt;=Tabla2[[#This Row],[PLAZO Días]],"venc", "No venc")</f>
        <v>venc</v>
      </c>
      <c r="AC1457" s="163" t="str">
        <f>+IF(Tabla2[[#This Row],[FECHA DE PAGO]]&gt;0,"pagada","por pagar")</f>
        <v>pagada</v>
      </c>
      <c r="AD1457" s="164" t="str">
        <f>+IF(AND(Tabla2[[#This Row],[venc]]="venc",Tabla2[[#This Row],[estado pago]]="por pagar"),"vencida","no")</f>
        <v>no</v>
      </c>
    </row>
    <row r="1458" spans="1:30" ht="19.5" customHeight="1" x14ac:dyDescent="0.25">
      <c r="A1458" s="8" t="s">
        <v>1852</v>
      </c>
      <c r="B1458" s="8" t="b">
        <v>0</v>
      </c>
      <c r="C1458" s="8">
        <v>0</v>
      </c>
      <c r="D1458" s="151">
        <v>0</v>
      </c>
      <c r="E1458" s="151"/>
      <c r="F1458" s="24">
        <v>0</v>
      </c>
      <c r="G1458" s="30">
        <v>45393</v>
      </c>
      <c r="H1458" s="81" t="s">
        <v>1831</v>
      </c>
      <c r="I1458" s="30">
        <v>45393</v>
      </c>
      <c r="J1458" s="16" t="s">
        <v>1754</v>
      </c>
      <c r="K1458" s="9" t="s">
        <v>1530</v>
      </c>
      <c r="L1458" s="9"/>
      <c r="M1458" s="152">
        <v>168000</v>
      </c>
      <c r="N1458" s="153">
        <v>0</v>
      </c>
      <c r="O1458" s="152">
        <v>0</v>
      </c>
      <c r="P1458" s="154">
        <v>0</v>
      </c>
      <c r="Q1458" s="152">
        <v>0</v>
      </c>
      <c r="R1458" s="9">
        <v>168000</v>
      </c>
      <c r="S1458" s="21" t="s">
        <v>1846</v>
      </c>
      <c r="T1458" s="117">
        <v>0</v>
      </c>
      <c r="U1458" s="117">
        <v>0</v>
      </c>
      <c r="V1458" s="117">
        <v>2024</v>
      </c>
      <c r="W1458" s="117">
        <v>7</v>
      </c>
      <c r="X1458" s="117">
        <v>0</v>
      </c>
      <c r="Y1458" s="117">
        <v>0</v>
      </c>
      <c r="Z1458" s="21" t="b">
        <v>0</v>
      </c>
      <c r="AA1458" s="162">
        <f>+$AD$5-Tabla2[[#This Row],[FECHA DE FACTURACIÓN]]</f>
        <v>50</v>
      </c>
      <c r="AB1458" s="163" t="str">
        <f>+IF(Tabla2[[#This Row],[dias de credito]]&gt;=Tabla2[[#This Row],[PLAZO Días]],"venc", "No venc")</f>
        <v>venc</v>
      </c>
      <c r="AC1458" s="163" t="str">
        <f>+IF(Tabla2[[#This Row],[FECHA DE PAGO]]&gt;0,"pagada","por pagar")</f>
        <v>pagada</v>
      </c>
      <c r="AD1458" s="164" t="str">
        <f>+IF(AND(Tabla2[[#This Row],[venc]]="venc",Tabla2[[#This Row],[estado pago]]="por pagar"),"vencida","no")</f>
        <v>no</v>
      </c>
    </row>
    <row r="1459" spans="1:30" ht="19.5" customHeight="1" x14ac:dyDescent="0.25">
      <c r="A1459" s="8" t="s">
        <v>1852</v>
      </c>
      <c r="B1459" s="8" t="b">
        <v>0</v>
      </c>
      <c r="C1459" s="8">
        <v>30</v>
      </c>
      <c r="D1459" s="151">
        <v>1391998.93</v>
      </c>
      <c r="E1459" s="151"/>
      <c r="F1459" s="24" t="s">
        <v>1185</v>
      </c>
      <c r="G1459" s="30">
        <v>45393</v>
      </c>
      <c r="H1459" s="81" t="s">
        <v>1186</v>
      </c>
      <c r="I1459" s="30">
        <v>45393</v>
      </c>
      <c r="J1459" s="16" t="s">
        <v>1709</v>
      </c>
      <c r="K1459" s="9" t="s">
        <v>1530</v>
      </c>
      <c r="L1459" s="9" t="s">
        <v>1533</v>
      </c>
      <c r="M1459" s="152">
        <v>534453</v>
      </c>
      <c r="N1459" s="153">
        <v>101546.07</v>
      </c>
      <c r="O1459" s="152">
        <v>0</v>
      </c>
      <c r="P1459" s="154">
        <v>0</v>
      </c>
      <c r="Q1459" s="152">
        <v>0</v>
      </c>
      <c r="R1459" s="9">
        <v>635999.07000000007</v>
      </c>
      <c r="S1459" s="21" t="s">
        <v>1846</v>
      </c>
      <c r="T1459" s="117">
        <v>0</v>
      </c>
      <c r="U1459" s="117" t="s">
        <v>347</v>
      </c>
      <c r="V1459" s="117">
        <v>2024</v>
      </c>
      <c r="W1459" s="117">
        <v>7</v>
      </c>
      <c r="X1459" s="117">
        <v>1271000</v>
      </c>
      <c r="Y1459" s="117">
        <v>2.5000000000000001E-2</v>
      </c>
      <c r="Z1459" s="21" t="b">
        <v>0</v>
      </c>
      <c r="AA1459" s="162">
        <f>+$AD$5-Tabla2[[#This Row],[FECHA DE FACTURACIÓN]]</f>
        <v>50</v>
      </c>
      <c r="AB1459" s="163" t="str">
        <f>+IF(Tabla2[[#This Row],[dias de credito]]&gt;=Tabla2[[#This Row],[PLAZO Días]],"venc", "No venc")</f>
        <v>venc</v>
      </c>
      <c r="AC1459" s="163" t="str">
        <f>+IF(Tabla2[[#This Row],[FECHA DE PAGO]]&gt;0,"pagada","por pagar")</f>
        <v>pagada</v>
      </c>
      <c r="AD1459" s="164" t="str">
        <f>+IF(AND(Tabla2[[#This Row],[venc]]="venc",Tabla2[[#This Row],[estado pago]]="por pagar"),"vencida","no")</f>
        <v>no</v>
      </c>
    </row>
    <row r="1460" spans="1:30" ht="19.5" customHeight="1" x14ac:dyDescent="0.25">
      <c r="A1460" s="8" t="s">
        <v>1850</v>
      </c>
      <c r="B1460" s="8" t="s">
        <v>1851</v>
      </c>
      <c r="C1460" s="8">
        <v>30</v>
      </c>
      <c r="D1460" s="151">
        <v>0</v>
      </c>
      <c r="E1460" s="151"/>
      <c r="F1460" s="24" t="s">
        <v>84</v>
      </c>
      <c r="G1460" s="30">
        <v>45394</v>
      </c>
      <c r="H1460" s="81" t="s">
        <v>1815</v>
      </c>
      <c r="I1460" s="30">
        <v>45342</v>
      </c>
      <c r="J1460" s="16" t="s">
        <v>1672</v>
      </c>
      <c r="K1460" s="9" t="s">
        <v>504</v>
      </c>
      <c r="L1460" s="9" t="s">
        <v>1395</v>
      </c>
      <c r="M1460" s="152">
        <v>1840000</v>
      </c>
      <c r="N1460" s="153">
        <v>0</v>
      </c>
      <c r="O1460" s="152">
        <v>0</v>
      </c>
      <c r="P1460" s="154">
        <v>0</v>
      </c>
      <c r="Q1460" s="152">
        <v>0</v>
      </c>
      <c r="R1460" s="9">
        <v>1840000</v>
      </c>
      <c r="S1460" s="21" t="s">
        <v>1846</v>
      </c>
      <c r="T1460" s="117">
        <v>0</v>
      </c>
      <c r="U1460" s="117">
        <v>0</v>
      </c>
      <c r="V1460" s="117">
        <v>2024</v>
      </c>
      <c r="W1460" s="117">
        <v>7</v>
      </c>
      <c r="X1460" s="117">
        <v>0</v>
      </c>
      <c r="Y1460" s="117">
        <v>0</v>
      </c>
      <c r="Z1460" s="21" t="b">
        <v>0</v>
      </c>
      <c r="AA1460" s="162">
        <f>+$AD$5-Tabla2[[#This Row],[FECHA DE FACTURACIÓN]]</f>
        <v>101</v>
      </c>
      <c r="AB1460" s="163" t="str">
        <f>+IF(Tabla2[[#This Row],[dias de credito]]&gt;=Tabla2[[#This Row],[PLAZO Días]],"venc", "No venc")</f>
        <v>venc</v>
      </c>
      <c r="AC1460" s="163" t="str">
        <f>+IF(Tabla2[[#This Row],[FECHA DE PAGO]]&gt;0,"pagada","por pagar")</f>
        <v>pagada</v>
      </c>
      <c r="AD1460" s="164" t="str">
        <f>+IF(AND(Tabla2[[#This Row],[venc]]="venc",Tabla2[[#This Row],[estado pago]]="por pagar"),"vencida","no")</f>
        <v>no</v>
      </c>
    </row>
    <row r="1461" spans="1:30" ht="19.5" customHeight="1" x14ac:dyDescent="0.25">
      <c r="A1461" s="8" t="s">
        <v>1850</v>
      </c>
      <c r="B1461" s="8" t="b">
        <v>0</v>
      </c>
      <c r="C1461" s="8">
        <v>30</v>
      </c>
      <c r="D1461" s="151">
        <v>0</v>
      </c>
      <c r="E1461" s="151"/>
      <c r="F1461" s="24" t="s">
        <v>1497</v>
      </c>
      <c r="G1461" s="30">
        <v>45394</v>
      </c>
      <c r="H1461" s="81" t="s">
        <v>1730</v>
      </c>
      <c r="I1461" s="30">
        <v>45392</v>
      </c>
      <c r="J1461" s="16">
        <v>792</v>
      </c>
      <c r="K1461" s="9" t="s">
        <v>504</v>
      </c>
      <c r="L1461" s="9" t="s">
        <v>1534</v>
      </c>
      <c r="M1461" s="152">
        <v>12575441</v>
      </c>
      <c r="N1461" s="153">
        <v>281200</v>
      </c>
      <c r="O1461" s="152">
        <v>0</v>
      </c>
      <c r="P1461" s="154">
        <v>0</v>
      </c>
      <c r="Q1461" s="152">
        <v>61700</v>
      </c>
      <c r="R1461" s="9">
        <v>708664</v>
      </c>
      <c r="S1461" s="21" t="s">
        <v>1846</v>
      </c>
      <c r="T1461" s="117">
        <v>0</v>
      </c>
      <c r="U1461" s="117">
        <v>0</v>
      </c>
      <c r="V1461" s="117">
        <v>2024</v>
      </c>
      <c r="W1461" s="117">
        <v>7</v>
      </c>
      <c r="X1461" s="117">
        <v>0</v>
      </c>
      <c r="Y1461" s="117">
        <v>0</v>
      </c>
      <c r="Z1461" s="21" t="b">
        <v>0</v>
      </c>
      <c r="AA1461" s="162">
        <f>+$AD$5-Tabla2[[#This Row],[FECHA DE FACTURACIÓN]]</f>
        <v>51</v>
      </c>
      <c r="AB1461" s="163" t="str">
        <f>+IF(Tabla2[[#This Row],[dias de credito]]&gt;=Tabla2[[#This Row],[PLAZO Días]],"venc", "No venc")</f>
        <v>venc</v>
      </c>
      <c r="AC1461" s="163" t="str">
        <f>+IF(Tabla2[[#This Row],[FECHA DE PAGO]]&gt;0,"pagada","por pagar")</f>
        <v>pagada</v>
      </c>
      <c r="AD1461" s="164" t="str">
        <f>+IF(AND(Tabla2[[#This Row],[venc]]="venc",Tabla2[[#This Row],[estado pago]]="por pagar"),"vencida","no")</f>
        <v>no</v>
      </c>
    </row>
    <row r="1462" spans="1:30" ht="19.5" customHeight="1" x14ac:dyDescent="0.25">
      <c r="A1462" s="8" t="s">
        <v>1850</v>
      </c>
      <c r="B1462" s="8" t="b">
        <v>0</v>
      </c>
      <c r="C1462" s="8">
        <v>30</v>
      </c>
      <c r="D1462" s="151">
        <v>0</v>
      </c>
      <c r="E1462" s="151"/>
      <c r="F1462" s="24" t="s">
        <v>1497</v>
      </c>
      <c r="G1462" s="30">
        <v>45394</v>
      </c>
      <c r="H1462" s="81" t="s">
        <v>1862</v>
      </c>
      <c r="I1462" s="30">
        <v>45393</v>
      </c>
      <c r="J1462" s="16" t="s">
        <v>1797</v>
      </c>
      <c r="K1462" s="9" t="s">
        <v>504</v>
      </c>
      <c r="L1462" s="9" t="s">
        <v>1534</v>
      </c>
      <c r="M1462" s="152">
        <v>5891372</v>
      </c>
      <c r="N1462" s="153">
        <v>252700</v>
      </c>
      <c r="O1462" s="152">
        <v>0</v>
      </c>
      <c r="P1462" s="154">
        <v>0</v>
      </c>
      <c r="Q1462" s="152">
        <v>55000</v>
      </c>
      <c r="R1462" s="9">
        <v>1172292</v>
      </c>
      <c r="S1462" s="21" t="s">
        <v>1846</v>
      </c>
      <c r="T1462" s="117">
        <v>0</v>
      </c>
      <c r="U1462" s="117">
        <v>0</v>
      </c>
      <c r="V1462" s="117">
        <v>2024</v>
      </c>
      <c r="W1462" s="117">
        <v>7</v>
      </c>
      <c r="X1462" s="117">
        <v>0</v>
      </c>
      <c r="Y1462" s="117">
        <v>0</v>
      </c>
      <c r="Z1462" s="21" t="b">
        <v>0</v>
      </c>
      <c r="AA1462" s="162">
        <f>+$AD$5-Tabla2[[#This Row],[FECHA DE FACTURACIÓN]]</f>
        <v>50</v>
      </c>
      <c r="AB1462" s="163" t="str">
        <f>+IF(Tabla2[[#This Row],[dias de credito]]&gt;=Tabla2[[#This Row],[PLAZO Días]],"venc", "No venc")</f>
        <v>venc</v>
      </c>
      <c r="AC1462" s="163" t="str">
        <f>+IF(Tabla2[[#This Row],[FECHA DE PAGO]]&gt;0,"pagada","por pagar")</f>
        <v>pagada</v>
      </c>
      <c r="AD1462" s="164" t="str">
        <f>+IF(AND(Tabla2[[#This Row],[venc]]="venc",Tabla2[[#This Row],[estado pago]]="por pagar"),"vencida","no")</f>
        <v>no</v>
      </c>
    </row>
    <row r="1463" spans="1:30" ht="19.5" customHeight="1" x14ac:dyDescent="0.25">
      <c r="A1463" s="8" t="s">
        <v>1850</v>
      </c>
      <c r="B1463" s="8" t="b">
        <v>0</v>
      </c>
      <c r="C1463" s="8">
        <v>30</v>
      </c>
      <c r="D1463" s="151">
        <v>0</v>
      </c>
      <c r="E1463" s="151"/>
      <c r="F1463" s="24" t="s">
        <v>1614</v>
      </c>
      <c r="G1463" s="30">
        <v>45394</v>
      </c>
      <c r="H1463" s="81" t="s">
        <v>1863</v>
      </c>
      <c r="I1463" s="30">
        <v>45393</v>
      </c>
      <c r="J1463" s="16" t="s">
        <v>1793</v>
      </c>
      <c r="K1463" s="9" t="s">
        <v>1530</v>
      </c>
      <c r="L1463" s="9" t="s">
        <v>1534</v>
      </c>
      <c r="M1463" s="152">
        <v>6248875</v>
      </c>
      <c r="N1463" s="153">
        <v>271700</v>
      </c>
      <c r="O1463" s="152">
        <v>0</v>
      </c>
      <c r="P1463" s="154">
        <v>0</v>
      </c>
      <c r="Q1463" s="152">
        <v>59000</v>
      </c>
      <c r="R1463" s="9">
        <v>-26713</v>
      </c>
      <c r="S1463" s="21" t="s">
        <v>1846</v>
      </c>
      <c r="T1463" s="117">
        <v>0</v>
      </c>
      <c r="U1463" s="117">
        <v>0</v>
      </c>
      <c r="V1463" s="117">
        <v>2024</v>
      </c>
      <c r="W1463" s="117">
        <v>7</v>
      </c>
      <c r="X1463" s="117">
        <v>0</v>
      </c>
      <c r="Y1463" s="117">
        <v>0</v>
      </c>
      <c r="Z1463" s="21" t="b">
        <v>0</v>
      </c>
      <c r="AA1463" s="162">
        <f>+$AD$5-Tabla2[[#This Row],[FECHA DE FACTURACIÓN]]</f>
        <v>50</v>
      </c>
      <c r="AB1463" s="163" t="str">
        <f>+IF(Tabla2[[#This Row],[dias de credito]]&gt;=Tabla2[[#This Row],[PLAZO Días]],"venc", "No venc")</f>
        <v>venc</v>
      </c>
      <c r="AC1463" s="163" t="str">
        <f>+IF(Tabla2[[#This Row],[FECHA DE PAGO]]&gt;0,"pagada","por pagar")</f>
        <v>pagada</v>
      </c>
      <c r="AD1463" s="164" t="str">
        <f>+IF(AND(Tabla2[[#This Row],[venc]]="venc",Tabla2[[#This Row],[estado pago]]="por pagar"),"vencida","no")</f>
        <v>no</v>
      </c>
    </row>
    <row r="1464" spans="1:30" ht="19.5" customHeight="1" x14ac:dyDescent="0.25">
      <c r="A1464" s="8" t="s">
        <v>1850</v>
      </c>
      <c r="B1464" s="8" t="b">
        <v>0</v>
      </c>
      <c r="C1464" s="8">
        <v>30</v>
      </c>
      <c r="D1464" s="151">
        <v>0</v>
      </c>
      <c r="E1464" s="151"/>
      <c r="F1464" s="24" t="s">
        <v>84</v>
      </c>
      <c r="G1464" s="30">
        <v>45395</v>
      </c>
      <c r="H1464" s="81" t="s">
        <v>1803</v>
      </c>
      <c r="I1464" s="30">
        <v>45394</v>
      </c>
      <c r="J1464" s="16" t="s">
        <v>1787</v>
      </c>
      <c r="K1464" s="9" t="s">
        <v>1530</v>
      </c>
      <c r="L1464" s="9" t="s">
        <v>1541</v>
      </c>
      <c r="M1464" s="152">
        <v>1503120</v>
      </c>
      <c r="N1464" s="153">
        <v>0</v>
      </c>
      <c r="O1464" s="152">
        <v>0</v>
      </c>
      <c r="P1464" s="154">
        <v>0</v>
      </c>
      <c r="Q1464" s="152">
        <v>0</v>
      </c>
      <c r="R1464" s="9">
        <v>1503120</v>
      </c>
      <c r="S1464" s="21" t="s">
        <v>1846</v>
      </c>
      <c r="T1464" s="117">
        <v>0</v>
      </c>
      <c r="U1464" s="117">
        <v>0</v>
      </c>
      <c r="V1464" s="117">
        <v>2024</v>
      </c>
      <c r="W1464" s="117">
        <v>7</v>
      </c>
      <c r="X1464" s="117">
        <v>0</v>
      </c>
      <c r="Y1464" s="117">
        <v>0</v>
      </c>
      <c r="Z1464" s="21" t="b">
        <v>0</v>
      </c>
      <c r="AA1464" s="162">
        <f>+$AD$5-Tabla2[[#This Row],[FECHA DE FACTURACIÓN]]</f>
        <v>49</v>
      </c>
      <c r="AB1464" s="163" t="str">
        <f>+IF(Tabla2[[#This Row],[dias de credito]]&gt;=Tabla2[[#This Row],[PLAZO Días]],"venc", "No venc")</f>
        <v>venc</v>
      </c>
      <c r="AC1464" s="163" t="str">
        <f>+IF(Tabla2[[#This Row],[FECHA DE PAGO]]&gt;0,"pagada","por pagar")</f>
        <v>pagada</v>
      </c>
      <c r="AD1464" s="164" t="str">
        <f>+IF(AND(Tabla2[[#This Row],[venc]]="venc",Tabla2[[#This Row],[estado pago]]="por pagar"),"vencida","no")</f>
        <v>no</v>
      </c>
    </row>
    <row r="1465" spans="1:30" ht="19.5" customHeight="1" x14ac:dyDescent="0.25">
      <c r="A1465" s="8" t="s">
        <v>1850</v>
      </c>
      <c r="B1465" s="8" t="b">
        <v>0</v>
      </c>
      <c r="C1465" s="8">
        <v>60</v>
      </c>
      <c r="D1465" s="151">
        <v>1730482</v>
      </c>
      <c r="E1465" s="151"/>
      <c r="F1465" s="24" t="s">
        <v>603</v>
      </c>
      <c r="G1465" s="30">
        <v>45397</v>
      </c>
      <c r="H1465" s="81" t="s">
        <v>222</v>
      </c>
      <c r="I1465" s="30">
        <v>45386</v>
      </c>
      <c r="J1465" s="16">
        <v>1985</v>
      </c>
      <c r="K1465" s="9" t="s">
        <v>504</v>
      </c>
      <c r="L1465" s="9" t="s">
        <v>1534</v>
      </c>
      <c r="M1465" s="152">
        <v>12609675</v>
      </c>
      <c r="N1465" s="153">
        <v>0</v>
      </c>
      <c r="O1465" s="152">
        <v>0</v>
      </c>
      <c r="P1465" s="154">
        <v>0</v>
      </c>
      <c r="Q1465" s="152">
        <v>0</v>
      </c>
      <c r="R1465" s="9">
        <v>12609675</v>
      </c>
      <c r="S1465" s="21" t="s">
        <v>1846</v>
      </c>
      <c r="T1465" s="117">
        <v>0</v>
      </c>
      <c r="U1465" s="117">
        <v>0</v>
      </c>
      <c r="V1465" s="117">
        <v>2024</v>
      </c>
      <c r="W1465" s="117">
        <v>7</v>
      </c>
      <c r="X1465" s="117">
        <v>0</v>
      </c>
      <c r="Y1465" s="117">
        <v>0</v>
      </c>
      <c r="Z1465" s="21" t="b">
        <v>0</v>
      </c>
      <c r="AA1465" s="162">
        <f>+$AD$5-Tabla2[[#This Row],[FECHA DE FACTURACIÓN]]</f>
        <v>57</v>
      </c>
      <c r="AB1465" s="163" t="str">
        <f>+IF(Tabla2[[#This Row],[dias de credito]]&gt;=Tabla2[[#This Row],[PLAZO Días]],"venc", "No venc")</f>
        <v>No venc</v>
      </c>
      <c r="AC1465" s="163" t="str">
        <f>+IF(Tabla2[[#This Row],[FECHA DE PAGO]]&gt;0,"pagada","por pagar")</f>
        <v>pagada</v>
      </c>
      <c r="AD1465" s="164" t="str">
        <f>+IF(AND(Tabla2[[#This Row],[venc]]="venc",Tabla2[[#This Row],[estado pago]]="por pagar"),"vencida","no")</f>
        <v>no</v>
      </c>
    </row>
    <row r="1466" spans="1:30" ht="19.5" customHeight="1" x14ac:dyDescent="0.25">
      <c r="A1466" s="8" t="s">
        <v>1850</v>
      </c>
      <c r="B1466" s="8" t="b">
        <v>0</v>
      </c>
      <c r="C1466" s="8">
        <v>60</v>
      </c>
      <c r="D1466" s="151">
        <v>1730482</v>
      </c>
      <c r="E1466" s="151"/>
      <c r="F1466" s="24" t="s">
        <v>603</v>
      </c>
      <c r="G1466" s="30">
        <v>45397</v>
      </c>
      <c r="H1466" s="81" t="s">
        <v>222</v>
      </c>
      <c r="I1466" s="30">
        <v>45387</v>
      </c>
      <c r="J1466" s="16">
        <v>1990</v>
      </c>
      <c r="K1466" s="9" t="s">
        <v>504</v>
      </c>
      <c r="L1466" s="9" t="s">
        <v>1534</v>
      </c>
      <c r="M1466" s="152">
        <v>733200</v>
      </c>
      <c r="N1466" s="153">
        <v>0</v>
      </c>
      <c r="O1466" s="152">
        <v>0</v>
      </c>
      <c r="P1466" s="154">
        <v>0</v>
      </c>
      <c r="Q1466" s="152">
        <v>0</v>
      </c>
      <c r="R1466" s="9">
        <v>733200</v>
      </c>
      <c r="S1466" s="21" t="s">
        <v>1846</v>
      </c>
      <c r="T1466" s="117">
        <v>0</v>
      </c>
      <c r="U1466" s="117">
        <v>0</v>
      </c>
      <c r="V1466" s="117">
        <v>2024</v>
      </c>
      <c r="W1466" s="117">
        <v>7</v>
      </c>
      <c r="X1466" s="117">
        <v>0</v>
      </c>
      <c r="Y1466" s="117">
        <v>0</v>
      </c>
      <c r="Z1466" s="21" t="b">
        <v>0</v>
      </c>
      <c r="AA1466" s="162">
        <f>+$AD$5-Tabla2[[#This Row],[FECHA DE FACTURACIÓN]]</f>
        <v>56</v>
      </c>
      <c r="AB1466" s="163" t="str">
        <f>+IF(Tabla2[[#This Row],[dias de credito]]&gt;=Tabla2[[#This Row],[PLAZO Días]],"venc", "No venc")</f>
        <v>No venc</v>
      </c>
      <c r="AC1466" s="163" t="str">
        <f>+IF(Tabla2[[#This Row],[FECHA DE PAGO]]&gt;0,"pagada","por pagar")</f>
        <v>pagada</v>
      </c>
      <c r="AD1466" s="164" t="str">
        <f>+IF(AND(Tabla2[[#This Row],[venc]]="venc",Tabla2[[#This Row],[estado pago]]="por pagar"),"vencida","no")</f>
        <v>no</v>
      </c>
    </row>
    <row r="1467" spans="1:30" ht="19.5" customHeight="1" x14ac:dyDescent="0.25">
      <c r="A1467" s="8" t="s">
        <v>1850</v>
      </c>
      <c r="B1467" s="8" t="b">
        <v>0</v>
      </c>
      <c r="C1467" s="8">
        <v>60</v>
      </c>
      <c r="D1467" s="151">
        <v>1730482</v>
      </c>
      <c r="E1467" s="151"/>
      <c r="F1467" s="24" t="s">
        <v>603</v>
      </c>
      <c r="G1467" s="30">
        <v>45397</v>
      </c>
      <c r="H1467" s="81" t="s">
        <v>222</v>
      </c>
      <c r="I1467" s="30">
        <v>45387</v>
      </c>
      <c r="J1467" s="16">
        <v>1991</v>
      </c>
      <c r="K1467" s="9" t="s">
        <v>504</v>
      </c>
      <c r="L1467" s="9" t="s">
        <v>1534</v>
      </c>
      <c r="M1467" s="152">
        <v>748800</v>
      </c>
      <c r="N1467" s="153">
        <v>0</v>
      </c>
      <c r="O1467" s="152">
        <v>0</v>
      </c>
      <c r="P1467" s="154">
        <v>0</v>
      </c>
      <c r="Q1467" s="152">
        <v>0</v>
      </c>
      <c r="R1467" s="9">
        <v>748800</v>
      </c>
      <c r="S1467" s="21" t="s">
        <v>1846</v>
      </c>
      <c r="T1467" s="117">
        <v>0</v>
      </c>
      <c r="U1467" s="117">
        <v>0</v>
      </c>
      <c r="V1467" s="117">
        <v>2024</v>
      </c>
      <c r="W1467" s="117">
        <v>7</v>
      </c>
      <c r="X1467" s="117">
        <v>0</v>
      </c>
      <c r="Y1467" s="117">
        <v>0</v>
      </c>
      <c r="Z1467" s="21" t="b">
        <v>0</v>
      </c>
      <c r="AA1467" s="162">
        <f>+$AD$5-Tabla2[[#This Row],[FECHA DE FACTURACIÓN]]</f>
        <v>56</v>
      </c>
      <c r="AB1467" s="163" t="str">
        <f>+IF(Tabla2[[#This Row],[dias de credito]]&gt;=Tabla2[[#This Row],[PLAZO Días]],"venc", "No venc")</f>
        <v>No venc</v>
      </c>
      <c r="AC1467" s="163" t="str">
        <f>+IF(Tabla2[[#This Row],[FECHA DE PAGO]]&gt;0,"pagada","por pagar")</f>
        <v>pagada</v>
      </c>
      <c r="AD1467" s="164" t="str">
        <f>+IF(AND(Tabla2[[#This Row],[venc]]="venc",Tabla2[[#This Row],[estado pago]]="por pagar"),"vencida","no")</f>
        <v>no</v>
      </c>
    </row>
    <row r="1468" spans="1:30" ht="19.5" customHeight="1" x14ac:dyDescent="0.25">
      <c r="A1468" s="8" t="s">
        <v>1850</v>
      </c>
      <c r="B1468" s="8" t="b">
        <v>0</v>
      </c>
      <c r="C1468" s="8">
        <v>60</v>
      </c>
      <c r="D1468" s="151">
        <v>1730482</v>
      </c>
      <c r="E1468" s="151"/>
      <c r="F1468" s="24" t="s">
        <v>603</v>
      </c>
      <c r="G1468" s="30">
        <v>45397</v>
      </c>
      <c r="H1468" s="81" t="s">
        <v>222</v>
      </c>
      <c r="I1468" s="30">
        <v>45393</v>
      </c>
      <c r="J1468" s="16">
        <v>1992</v>
      </c>
      <c r="K1468" s="9" t="s">
        <v>504</v>
      </c>
      <c r="L1468" s="9" t="s">
        <v>1534</v>
      </c>
      <c r="M1468" s="152">
        <v>1757925</v>
      </c>
      <c r="N1468" s="153">
        <v>0</v>
      </c>
      <c r="O1468" s="152">
        <v>0</v>
      </c>
      <c r="P1468" s="154">
        <v>0</v>
      </c>
      <c r="Q1468" s="152">
        <v>0</v>
      </c>
      <c r="R1468" s="9">
        <v>1757925</v>
      </c>
      <c r="S1468" s="21" t="s">
        <v>1846</v>
      </c>
      <c r="T1468" s="117">
        <v>0</v>
      </c>
      <c r="U1468" s="117">
        <v>0</v>
      </c>
      <c r="V1468" s="117">
        <v>2024</v>
      </c>
      <c r="W1468" s="117">
        <v>7</v>
      </c>
      <c r="X1468" s="117">
        <v>0</v>
      </c>
      <c r="Y1468" s="117">
        <v>0</v>
      </c>
      <c r="Z1468" s="21" t="b">
        <v>0</v>
      </c>
      <c r="AA1468" s="162">
        <f>+$AD$5-Tabla2[[#This Row],[FECHA DE FACTURACIÓN]]</f>
        <v>50</v>
      </c>
      <c r="AB1468" s="163" t="str">
        <f>+IF(Tabla2[[#This Row],[dias de credito]]&gt;=Tabla2[[#This Row],[PLAZO Días]],"venc", "No venc")</f>
        <v>No venc</v>
      </c>
      <c r="AC1468" s="163" t="str">
        <f>+IF(Tabla2[[#This Row],[FECHA DE PAGO]]&gt;0,"pagada","por pagar")</f>
        <v>pagada</v>
      </c>
      <c r="AD1468" s="164" t="str">
        <f>+IF(AND(Tabla2[[#This Row],[venc]]="venc",Tabla2[[#This Row],[estado pago]]="por pagar"),"vencida","no")</f>
        <v>no</v>
      </c>
    </row>
    <row r="1469" spans="1:30" ht="19.5" customHeight="1" x14ac:dyDescent="0.25">
      <c r="A1469" s="8" t="s">
        <v>1850</v>
      </c>
      <c r="B1469" s="8" t="s">
        <v>1851</v>
      </c>
      <c r="C1469" s="8">
        <v>60</v>
      </c>
      <c r="D1469" s="151">
        <v>0</v>
      </c>
      <c r="E1469" s="151"/>
      <c r="F1469" s="24" t="s">
        <v>583</v>
      </c>
      <c r="G1469" s="30">
        <v>45398</v>
      </c>
      <c r="H1469" s="81" t="s">
        <v>582</v>
      </c>
      <c r="I1469" s="30">
        <v>45334</v>
      </c>
      <c r="J1469" s="16" t="s">
        <v>1757</v>
      </c>
      <c r="K1469" s="9" t="s">
        <v>1530</v>
      </c>
      <c r="L1469" s="9" t="s">
        <v>1533</v>
      </c>
      <c r="M1469" s="152">
        <v>-1845360</v>
      </c>
      <c r="N1469" s="153">
        <v>0</v>
      </c>
      <c r="O1469" s="152">
        <v>0</v>
      </c>
      <c r="P1469" s="154">
        <v>0</v>
      </c>
      <c r="Q1469" s="152">
        <v>0</v>
      </c>
      <c r="R1469" s="9">
        <v>-1845360</v>
      </c>
      <c r="S1469" s="21" t="s">
        <v>1846</v>
      </c>
      <c r="T1469" s="117">
        <v>0</v>
      </c>
      <c r="U1469" s="117" t="s">
        <v>347</v>
      </c>
      <c r="V1469" s="117">
        <v>2024</v>
      </c>
      <c r="W1469" s="117">
        <v>7</v>
      </c>
      <c r="X1469" s="117">
        <v>1271000</v>
      </c>
      <c r="Y1469" s="117">
        <v>2.5000000000000001E-2</v>
      </c>
      <c r="Z1469" s="21" t="b">
        <v>0</v>
      </c>
      <c r="AA1469" s="162">
        <f>+$AD$5-Tabla2[[#This Row],[FECHA DE FACTURACIÓN]]</f>
        <v>109</v>
      </c>
      <c r="AB1469" s="163" t="str">
        <f>+IF(Tabla2[[#This Row],[dias de credito]]&gt;=Tabla2[[#This Row],[PLAZO Días]],"venc", "No venc")</f>
        <v>venc</v>
      </c>
      <c r="AC1469" s="163" t="str">
        <f>+IF(Tabla2[[#This Row],[FECHA DE PAGO]]&gt;0,"pagada","por pagar")</f>
        <v>pagada</v>
      </c>
      <c r="AD1469" s="164" t="str">
        <f>+IF(AND(Tabla2[[#This Row],[venc]]="venc",Tabla2[[#This Row],[estado pago]]="por pagar"),"vencida","no")</f>
        <v>no</v>
      </c>
    </row>
    <row r="1470" spans="1:30" ht="19.5" customHeight="1" x14ac:dyDescent="0.25">
      <c r="A1470" s="8" t="s">
        <v>1850</v>
      </c>
      <c r="B1470" s="8" t="s">
        <v>1851</v>
      </c>
      <c r="C1470" s="8">
        <v>30</v>
      </c>
      <c r="D1470" s="151">
        <v>4466504.835</v>
      </c>
      <c r="E1470" s="151"/>
      <c r="F1470" s="24" t="s">
        <v>1553</v>
      </c>
      <c r="G1470" s="30">
        <v>45398</v>
      </c>
      <c r="H1470" s="81" t="s">
        <v>18</v>
      </c>
      <c r="I1470" s="30">
        <v>45352</v>
      </c>
      <c r="J1470" s="16">
        <v>1083930</v>
      </c>
      <c r="K1470" s="9" t="s">
        <v>504</v>
      </c>
      <c r="L1470" s="9" t="s">
        <v>1534</v>
      </c>
      <c r="M1470" s="152">
        <v>3213311.04</v>
      </c>
      <c r="N1470" s="153">
        <v>610529.09759999998</v>
      </c>
      <c r="O1470" s="152">
        <v>0</v>
      </c>
      <c r="P1470" s="154">
        <v>2.5000000000000001E-2</v>
      </c>
      <c r="Q1470" s="152">
        <v>80332.776000000013</v>
      </c>
      <c r="R1470" s="9">
        <v>3743507.3615999999</v>
      </c>
      <c r="S1470" s="21" t="s">
        <v>1846</v>
      </c>
      <c r="T1470" s="117">
        <v>0</v>
      </c>
      <c r="U1470" s="117" t="s">
        <v>347</v>
      </c>
      <c r="V1470" s="117">
        <v>2024</v>
      </c>
      <c r="W1470" s="117">
        <v>7</v>
      </c>
      <c r="X1470" s="117">
        <v>1271000</v>
      </c>
      <c r="Y1470" s="117">
        <v>2.5000000000000001E-2</v>
      </c>
      <c r="Z1470" s="21" t="b">
        <v>0</v>
      </c>
      <c r="AA1470" s="162">
        <f>+$AD$5-Tabla2[[#This Row],[FECHA DE FACTURACIÓN]]</f>
        <v>91</v>
      </c>
      <c r="AB1470" s="163" t="str">
        <f>+IF(Tabla2[[#This Row],[dias de credito]]&gt;=Tabla2[[#This Row],[PLAZO Días]],"venc", "No venc")</f>
        <v>venc</v>
      </c>
      <c r="AC1470" s="163" t="str">
        <f>+IF(Tabla2[[#This Row],[FECHA DE PAGO]]&gt;0,"pagada","por pagar")</f>
        <v>pagada</v>
      </c>
      <c r="AD1470" s="164" t="str">
        <f>+IF(AND(Tabla2[[#This Row],[venc]]="venc",Tabla2[[#This Row],[estado pago]]="por pagar"),"vencida","no")</f>
        <v>no</v>
      </c>
    </row>
    <row r="1471" spans="1:30" ht="19.5" customHeight="1" x14ac:dyDescent="0.25">
      <c r="A1471" s="8" t="s">
        <v>1850</v>
      </c>
      <c r="B1471" s="8" t="s">
        <v>1851</v>
      </c>
      <c r="C1471" s="8">
        <v>30</v>
      </c>
      <c r="D1471" s="151">
        <v>4316000</v>
      </c>
      <c r="E1471" s="151"/>
      <c r="F1471" s="24" t="s">
        <v>84</v>
      </c>
      <c r="G1471" s="30">
        <v>45398</v>
      </c>
      <c r="H1471" s="81" t="s">
        <v>1812</v>
      </c>
      <c r="I1471" s="30">
        <v>45359</v>
      </c>
      <c r="J1471" s="16" t="s">
        <v>1674</v>
      </c>
      <c r="K1471" s="9" t="s">
        <v>1530</v>
      </c>
      <c r="L1471" s="9" t="s">
        <v>1395</v>
      </c>
      <c r="M1471" s="152">
        <v>825000</v>
      </c>
      <c r="N1471" s="153">
        <v>0</v>
      </c>
      <c r="O1471" s="152">
        <v>0</v>
      </c>
      <c r="P1471" s="154">
        <v>0</v>
      </c>
      <c r="Q1471" s="152">
        <v>0</v>
      </c>
      <c r="R1471" s="9">
        <v>825000</v>
      </c>
      <c r="S1471" s="21" t="s">
        <v>1846</v>
      </c>
      <c r="T1471" s="117">
        <v>0</v>
      </c>
      <c r="U1471" s="117">
        <v>0</v>
      </c>
      <c r="V1471" s="117">
        <v>2024</v>
      </c>
      <c r="W1471" s="117">
        <v>7</v>
      </c>
      <c r="X1471" s="117">
        <v>0</v>
      </c>
      <c r="Y1471" s="117">
        <v>0</v>
      </c>
      <c r="Z1471" s="21" t="b">
        <v>0</v>
      </c>
      <c r="AA1471" s="162">
        <f>+$AD$5-Tabla2[[#This Row],[FECHA DE FACTURACIÓN]]</f>
        <v>84</v>
      </c>
      <c r="AB1471" s="163" t="str">
        <f>+IF(Tabla2[[#This Row],[dias de credito]]&gt;=Tabla2[[#This Row],[PLAZO Días]],"venc", "No venc")</f>
        <v>venc</v>
      </c>
      <c r="AC1471" s="163" t="str">
        <f>+IF(Tabla2[[#This Row],[FECHA DE PAGO]]&gt;0,"pagada","por pagar")</f>
        <v>pagada</v>
      </c>
      <c r="AD1471" s="164" t="str">
        <f>+IF(AND(Tabla2[[#This Row],[venc]]="venc",Tabla2[[#This Row],[estado pago]]="por pagar"),"vencida","no")</f>
        <v>no</v>
      </c>
    </row>
    <row r="1472" spans="1:30" ht="19.5" customHeight="1" x14ac:dyDescent="0.25">
      <c r="A1472" s="8" t="s">
        <v>1850</v>
      </c>
      <c r="B1472" s="8" t="b">
        <v>0</v>
      </c>
      <c r="C1472" s="8">
        <v>30</v>
      </c>
      <c r="D1472" s="151">
        <v>0</v>
      </c>
      <c r="E1472" s="151"/>
      <c r="F1472" s="24">
        <v>0</v>
      </c>
      <c r="G1472" s="30">
        <v>45398</v>
      </c>
      <c r="H1472" s="81" t="s">
        <v>836</v>
      </c>
      <c r="I1472" s="30">
        <v>45397</v>
      </c>
      <c r="J1472" s="16" t="s">
        <v>1735</v>
      </c>
      <c r="K1472" s="9" t="s">
        <v>504</v>
      </c>
      <c r="L1472" s="9" t="s">
        <v>1395</v>
      </c>
      <c r="M1472" s="152">
        <v>457000</v>
      </c>
      <c r="N1472" s="153">
        <v>0</v>
      </c>
      <c r="O1472" s="152">
        <v>0</v>
      </c>
      <c r="P1472" s="154">
        <v>0</v>
      </c>
      <c r="Q1472" s="152">
        <v>0</v>
      </c>
      <c r="R1472" s="9">
        <v>457000</v>
      </c>
      <c r="S1472" s="21" t="s">
        <v>1846</v>
      </c>
      <c r="T1472" s="117">
        <v>0</v>
      </c>
      <c r="U1472" s="117">
        <v>0</v>
      </c>
      <c r="V1472" s="117">
        <v>2024</v>
      </c>
      <c r="W1472" s="117">
        <v>7</v>
      </c>
      <c r="X1472" s="117">
        <v>0</v>
      </c>
      <c r="Y1472" s="117">
        <v>0</v>
      </c>
      <c r="Z1472" s="21" t="b">
        <v>0</v>
      </c>
      <c r="AA1472" s="162">
        <f>+$AD$5-Tabla2[[#This Row],[FECHA DE FACTURACIÓN]]</f>
        <v>46</v>
      </c>
      <c r="AB1472" s="163" t="str">
        <f>+IF(Tabla2[[#This Row],[dias de credito]]&gt;=Tabla2[[#This Row],[PLAZO Días]],"venc", "No venc")</f>
        <v>venc</v>
      </c>
      <c r="AC1472" s="163" t="str">
        <f>+IF(Tabla2[[#This Row],[FECHA DE PAGO]]&gt;0,"pagada","por pagar")</f>
        <v>pagada</v>
      </c>
      <c r="AD1472" s="164" t="str">
        <f>+IF(AND(Tabla2[[#This Row],[venc]]="venc",Tabla2[[#This Row],[estado pago]]="por pagar"),"vencida","no")</f>
        <v>no</v>
      </c>
    </row>
    <row r="1473" spans="1:30" ht="19.5" customHeight="1" x14ac:dyDescent="0.25">
      <c r="A1473" s="8" t="s">
        <v>1850</v>
      </c>
      <c r="B1473" s="8" t="s">
        <v>1851</v>
      </c>
      <c r="C1473" s="8">
        <v>0</v>
      </c>
      <c r="D1473" s="151">
        <v>0</v>
      </c>
      <c r="E1473" s="151"/>
      <c r="F1473" s="24">
        <v>0</v>
      </c>
      <c r="G1473" s="30">
        <v>45398</v>
      </c>
      <c r="H1473" s="81" t="s">
        <v>456</v>
      </c>
      <c r="I1473" s="30">
        <v>45397</v>
      </c>
      <c r="J1473" s="16" t="s">
        <v>1293</v>
      </c>
      <c r="K1473" s="9" t="s">
        <v>1530</v>
      </c>
      <c r="L1473" s="9" t="s">
        <v>1395</v>
      </c>
      <c r="M1473" s="152">
        <v>280000</v>
      </c>
      <c r="N1473" s="153">
        <v>0</v>
      </c>
      <c r="O1473" s="152">
        <v>0</v>
      </c>
      <c r="P1473" s="154">
        <v>0</v>
      </c>
      <c r="Q1473" s="152">
        <v>0</v>
      </c>
      <c r="R1473" s="9">
        <v>280000</v>
      </c>
      <c r="S1473" s="21" t="s">
        <v>1846</v>
      </c>
      <c r="T1473" s="117">
        <v>0</v>
      </c>
      <c r="U1473" s="117">
        <v>0</v>
      </c>
      <c r="V1473" s="117">
        <v>2024</v>
      </c>
      <c r="W1473" s="117">
        <v>7</v>
      </c>
      <c r="X1473" s="117">
        <v>0</v>
      </c>
      <c r="Y1473" s="117">
        <v>0</v>
      </c>
      <c r="Z1473" s="21" t="b">
        <v>1</v>
      </c>
      <c r="AA1473" s="162">
        <f>+$AD$5-Tabla2[[#This Row],[FECHA DE FACTURACIÓN]]</f>
        <v>46</v>
      </c>
      <c r="AB1473" s="163" t="str">
        <f>+IF(Tabla2[[#This Row],[dias de credito]]&gt;=Tabla2[[#This Row],[PLAZO Días]],"venc", "No venc")</f>
        <v>venc</v>
      </c>
      <c r="AC1473" s="163" t="str">
        <f>+IF(Tabla2[[#This Row],[FECHA DE PAGO]]&gt;0,"pagada","por pagar")</f>
        <v>pagada</v>
      </c>
      <c r="AD1473" s="164" t="str">
        <f>+IF(AND(Tabla2[[#This Row],[venc]]="venc",Tabla2[[#This Row],[estado pago]]="por pagar"),"vencida","no")</f>
        <v>no</v>
      </c>
    </row>
    <row r="1474" spans="1:30" ht="19.5" customHeight="1" x14ac:dyDescent="0.25">
      <c r="A1474" s="8" t="s">
        <v>1850</v>
      </c>
      <c r="B1474" s="8" t="b">
        <v>0</v>
      </c>
      <c r="C1474" s="8">
        <v>30</v>
      </c>
      <c r="D1474" s="151">
        <v>1391998.93</v>
      </c>
      <c r="E1474" s="151"/>
      <c r="F1474" s="24" t="s">
        <v>1185</v>
      </c>
      <c r="G1474" s="30">
        <v>45398</v>
      </c>
      <c r="H1474" s="81" t="s">
        <v>1186</v>
      </c>
      <c r="I1474" s="30">
        <v>45397</v>
      </c>
      <c r="J1474" s="16" t="s">
        <v>1734</v>
      </c>
      <c r="K1474" s="9" t="s">
        <v>1530</v>
      </c>
      <c r="L1474" s="9" t="s">
        <v>1533</v>
      </c>
      <c r="M1474" s="152">
        <v>350420</v>
      </c>
      <c r="N1474" s="153">
        <v>66579.8</v>
      </c>
      <c r="O1474" s="152">
        <v>0</v>
      </c>
      <c r="P1474" s="154">
        <v>0</v>
      </c>
      <c r="Q1474" s="152">
        <v>0</v>
      </c>
      <c r="R1474" s="9">
        <v>416999.8</v>
      </c>
      <c r="S1474" s="21" t="s">
        <v>1846</v>
      </c>
      <c r="T1474" s="117">
        <v>0</v>
      </c>
      <c r="U1474" s="117" t="s">
        <v>347</v>
      </c>
      <c r="V1474" s="117">
        <v>2024</v>
      </c>
      <c r="W1474" s="117">
        <v>7</v>
      </c>
      <c r="X1474" s="117">
        <v>1271000</v>
      </c>
      <c r="Y1474" s="117">
        <v>2.5000000000000001E-2</v>
      </c>
      <c r="Z1474" s="21" t="b">
        <v>0</v>
      </c>
      <c r="AA1474" s="162">
        <f>+$AD$5-Tabla2[[#This Row],[FECHA DE FACTURACIÓN]]</f>
        <v>46</v>
      </c>
      <c r="AB1474" s="163" t="str">
        <f>+IF(Tabla2[[#This Row],[dias de credito]]&gt;=Tabla2[[#This Row],[PLAZO Días]],"venc", "No venc")</f>
        <v>venc</v>
      </c>
      <c r="AC1474" s="163" t="str">
        <f>+IF(Tabla2[[#This Row],[FECHA DE PAGO]]&gt;0,"pagada","por pagar")</f>
        <v>pagada</v>
      </c>
      <c r="AD1474" s="164" t="str">
        <f>+IF(AND(Tabla2[[#This Row],[venc]]="venc",Tabla2[[#This Row],[estado pago]]="por pagar"),"vencida","no")</f>
        <v>no</v>
      </c>
    </row>
    <row r="1475" spans="1:30" ht="19.5" customHeight="1" x14ac:dyDescent="0.25">
      <c r="A1475" s="8" t="s">
        <v>1850</v>
      </c>
      <c r="B1475" s="8" t="s">
        <v>1851</v>
      </c>
      <c r="C1475" s="8">
        <v>0</v>
      </c>
      <c r="D1475" s="151">
        <v>2530000</v>
      </c>
      <c r="E1475" s="151"/>
      <c r="F1475" s="24" t="s">
        <v>1732</v>
      </c>
      <c r="G1475" s="30">
        <v>45398</v>
      </c>
      <c r="H1475" s="81" t="s">
        <v>1731</v>
      </c>
      <c r="I1475" s="30">
        <v>45397</v>
      </c>
      <c r="J1475" s="16" t="s">
        <v>1733</v>
      </c>
      <c r="K1475" s="9" t="s">
        <v>1530</v>
      </c>
      <c r="L1475" s="9" t="s">
        <v>1533</v>
      </c>
      <c r="M1475" s="152">
        <v>650000</v>
      </c>
      <c r="N1475" s="153">
        <v>123500</v>
      </c>
      <c r="O1475" s="152">
        <v>0</v>
      </c>
      <c r="P1475" s="154">
        <v>0.04</v>
      </c>
      <c r="Q1475" s="152">
        <v>26000</v>
      </c>
      <c r="R1475" s="9">
        <v>747500</v>
      </c>
      <c r="S1475" s="21" t="s">
        <v>1846</v>
      </c>
      <c r="T1475" s="117">
        <v>0</v>
      </c>
      <c r="U1475" s="117" t="s">
        <v>443</v>
      </c>
      <c r="V1475" s="117">
        <v>2024</v>
      </c>
      <c r="W1475" s="117">
        <v>7</v>
      </c>
      <c r="X1475" s="117">
        <v>188000</v>
      </c>
      <c r="Y1475" s="117">
        <v>0.04</v>
      </c>
      <c r="Z1475" s="21" t="b">
        <v>0</v>
      </c>
      <c r="AA1475" s="162">
        <f>+$AD$5-Tabla2[[#This Row],[FECHA DE FACTURACIÓN]]</f>
        <v>46</v>
      </c>
      <c r="AB1475" s="163" t="str">
        <f>+IF(Tabla2[[#This Row],[dias de credito]]&gt;=Tabla2[[#This Row],[PLAZO Días]],"venc", "No venc")</f>
        <v>venc</v>
      </c>
      <c r="AC1475" s="163" t="str">
        <f>+IF(Tabla2[[#This Row],[FECHA DE PAGO]]&gt;0,"pagada","por pagar")</f>
        <v>pagada</v>
      </c>
      <c r="AD1475" s="164" t="str">
        <f>+IF(AND(Tabla2[[#This Row],[venc]]="venc",Tabla2[[#This Row],[estado pago]]="por pagar"),"vencida","no")</f>
        <v>no</v>
      </c>
    </row>
    <row r="1476" spans="1:30" ht="19.5" customHeight="1" x14ac:dyDescent="0.25">
      <c r="A1476" s="8" t="s">
        <v>1852</v>
      </c>
      <c r="B1476" s="8" t="b">
        <v>0</v>
      </c>
      <c r="C1476" s="8">
        <v>30</v>
      </c>
      <c r="D1476" s="151">
        <v>0</v>
      </c>
      <c r="E1476" s="151"/>
      <c r="F1476" s="24" t="s">
        <v>84</v>
      </c>
      <c r="G1476" s="30">
        <v>45398</v>
      </c>
      <c r="H1476" s="81" t="s">
        <v>1824</v>
      </c>
      <c r="I1476" s="30">
        <v>45398</v>
      </c>
      <c r="J1476" s="16" t="s">
        <v>479</v>
      </c>
      <c r="K1476" s="9" t="s">
        <v>1530</v>
      </c>
      <c r="L1476" s="9" t="s">
        <v>1395</v>
      </c>
      <c r="M1476" s="152">
        <v>1233243</v>
      </c>
      <c r="N1476" s="153">
        <v>0</v>
      </c>
      <c r="O1476" s="152">
        <v>0</v>
      </c>
      <c r="P1476" s="154">
        <v>0</v>
      </c>
      <c r="Q1476" s="152">
        <v>0</v>
      </c>
      <c r="R1476" s="9">
        <v>1233243</v>
      </c>
      <c r="S1476" s="21" t="s">
        <v>1846</v>
      </c>
      <c r="T1476" s="117">
        <v>0</v>
      </c>
      <c r="U1476" s="117">
        <v>0</v>
      </c>
      <c r="V1476" s="117">
        <v>2024</v>
      </c>
      <c r="W1476" s="117">
        <v>7</v>
      </c>
      <c r="X1476" s="117">
        <v>0</v>
      </c>
      <c r="Y1476" s="117">
        <v>0</v>
      </c>
      <c r="Z1476" s="21" t="b">
        <v>0</v>
      </c>
      <c r="AA1476" s="162">
        <f>+$AD$5-Tabla2[[#This Row],[FECHA DE FACTURACIÓN]]</f>
        <v>45</v>
      </c>
      <c r="AB1476" s="163" t="str">
        <f>+IF(Tabla2[[#This Row],[dias de credito]]&gt;=Tabla2[[#This Row],[PLAZO Días]],"venc", "No venc")</f>
        <v>venc</v>
      </c>
      <c r="AC1476" s="163" t="str">
        <f>+IF(Tabla2[[#This Row],[FECHA DE PAGO]]&gt;0,"pagada","por pagar")</f>
        <v>pagada</v>
      </c>
      <c r="AD1476" s="164" t="str">
        <f>+IF(AND(Tabla2[[#This Row],[venc]]="venc",Tabla2[[#This Row],[estado pago]]="por pagar"),"vencida","no")</f>
        <v>no</v>
      </c>
    </row>
    <row r="1477" spans="1:30" ht="19.5" customHeight="1" x14ac:dyDescent="0.25">
      <c r="A1477" s="8" t="s">
        <v>1852</v>
      </c>
      <c r="B1477" s="8" t="b">
        <v>0</v>
      </c>
      <c r="C1477" s="8">
        <v>30</v>
      </c>
      <c r="D1477" s="151">
        <v>8456975.129999999</v>
      </c>
      <c r="E1477" s="151"/>
      <c r="F1477" s="24" t="s">
        <v>1476</v>
      </c>
      <c r="G1477" s="30">
        <v>45398</v>
      </c>
      <c r="H1477" s="81" t="s">
        <v>1464</v>
      </c>
      <c r="I1477" s="30">
        <v>45398</v>
      </c>
      <c r="J1477" s="16" t="s">
        <v>1774</v>
      </c>
      <c r="K1477" s="9" t="s">
        <v>1530</v>
      </c>
      <c r="L1477" s="9" t="s">
        <v>1395</v>
      </c>
      <c r="M1477" s="152">
        <v>11460</v>
      </c>
      <c r="N1477" s="153">
        <v>2177.4</v>
      </c>
      <c r="O1477" s="152">
        <v>0</v>
      </c>
      <c r="P1477" s="154">
        <v>0</v>
      </c>
      <c r="Q1477" s="152">
        <v>0</v>
      </c>
      <c r="R1477" s="9">
        <v>13637.4</v>
      </c>
      <c r="S1477" s="21" t="s">
        <v>1846</v>
      </c>
      <c r="T1477" s="117">
        <v>0</v>
      </c>
      <c r="U1477" s="117" t="s">
        <v>347</v>
      </c>
      <c r="V1477" s="117">
        <v>2024</v>
      </c>
      <c r="W1477" s="117">
        <v>7</v>
      </c>
      <c r="X1477" s="117">
        <v>1271000</v>
      </c>
      <c r="Y1477" s="117">
        <v>2.5000000000000001E-2</v>
      </c>
      <c r="Z1477" s="21" t="b">
        <v>0</v>
      </c>
      <c r="AA1477" s="162">
        <f>+$AD$5-Tabla2[[#This Row],[FECHA DE FACTURACIÓN]]</f>
        <v>45</v>
      </c>
      <c r="AB1477" s="163" t="str">
        <f>+IF(Tabla2[[#This Row],[dias de credito]]&gt;=Tabla2[[#This Row],[PLAZO Días]],"venc", "No venc")</f>
        <v>venc</v>
      </c>
      <c r="AC1477" s="163" t="str">
        <f>+IF(Tabla2[[#This Row],[FECHA DE PAGO]]&gt;0,"pagada","por pagar")</f>
        <v>pagada</v>
      </c>
      <c r="AD1477" s="164" t="str">
        <f>+IF(AND(Tabla2[[#This Row],[venc]]="venc",Tabla2[[#This Row],[estado pago]]="por pagar"),"vencida","no")</f>
        <v>no</v>
      </c>
    </row>
    <row r="1478" spans="1:30" ht="19.5" customHeight="1" x14ac:dyDescent="0.25">
      <c r="A1478" s="8" t="s">
        <v>1850</v>
      </c>
      <c r="B1478" s="8" t="s">
        <v>1851</v>
      </c>
      <c r="C1478" s="8">
        <v>30</v>
      </c>
      <c r="D1478" s="151">
        <v>818443.92</v>
      </c>
      <c r="E1478" s="151"/>
      <c r="F1478" s="24" t="s">
        <v>111</v>
      </c>
      <c r="G1478" s="30">
        <v>45399</v>
      </c>
      <c r="H1478" s="81" t="s">
        <v>20</v>
      </c>
      <c r="I1478" s="30">
        <v>45356</v>
      </c>
      <c r="J1478" s="16" t="s">
        <v>1651</v>
      </c>
      <c r="K1478" s="9" t="s">
        <v>504</v>
      </c>
      <c r="L1478" s="9" t="s">
        <v>1534</v>
      </c>
      <c r="M1478" s="152">
        <v>920660</v>
      </c>
      <c r="N1478" s="153">
        <v>174925.4</v>
      </c>
      <c r="O1478" s="152">
        <v>0</v>
      </c>
      <c r="P1478" s="154">
        <v>0</v>
      </c>
      <c r="Q1478" s="152">
        <v>0</v>
      </c>
      <c r="R1478" s="9">
        <v>1095585.3999999999</v>
      </c>
      <c r="S1478" s="21" t="s">
        <v>1846</v>
      </c>
      <c r="T1478" s="117">
        <v>0</v>
      </c>
      <c r="U1478" s="117" t="s">
        <v>347</v>
      </c>
      <c r="V1478" s="117">
        <v>2024</v>
      </c>
      <c r="W1478" s="117">
        <v>7</v>
      </c>
      <c r="X1478" s="117">
        <v>1271000</v>
      </c>
      <c r="Y1478" s="117">
        <v>2.5000000000000001E-2</v>
      </c>
      <c r="Z1478" s="21" t="b">
        <v>0</v>
      </c>
      <c r="AA1478" s="162">
        <f>+$AD$5-Tabla2[[#This Row],[FECHA DE FACTURACIÓN]]</f>
        <v>87</v>
      </c>
      <c r="AB1478" s="163" t="str">
        <f>+IF(Tabla2[[#This Row],[dias de credito]]&gt;=Tabla2[[#This Row],[PLAZO Días]],"venc", "No venc")</f>
        <v>venc</v>
      </c>
      <c r="AC1478" s="163" t="str">
        <f>+IF(Tabla2[[#This Row],[FECHA DE PAGO]]&gt;0,"pagada","por pagar")</f>
        <v>pagada</v>
      </c>
      <c r="AD1478" s="164" t="str">
        <f>+IF(AND(Tabla2[[#This Row],[venc]]="venc",Tabla2[[#This Row],[estado pago]]="por pagar"),"vencida","no")</f>
        <v>no</v>
      </c>
    </row>
    <row r="1479" spans="1:30" ht="19.5" customHeight="1" x14ac:dyDescent="0.25">
      <c r="A1479" s="8" t="s">
        <v>1850</v>
      </c>
      <c r="B1479" s="8" t="s">
        <v>1851</v>
      </c>
      <c r="C1479" s="8">
        <v>30</v>
      </c>
      <c r="D1479" s="151">
        <v>5813868.5099999998</v>
      </c>
      <c r="E1479" s="151"/>
      <c r="F1479" s="24" t="s">
        <v>455</v>
      </c>
      <c r="G1479" s="30">
        <v>45399</v>
      </c>
      <c r="H1479" s="81" t="s">
        <v>24</v>
      </c>
      <c r="I1479" s="30">
        <v>45363</v>
      </c>
      <c r="J1479" s="16">
        <v>5042361</v>
      </c>
      <c r="K1479" s="9" t="s">
        <v>504</v>
      </c>
      <c r="L1479" s="9" t="s">
        <v>1534</v>
      </c>
      <c r="M1479" s="152">
        <v>1760000</v>
      </c>
      <c r="N1479" s="153">
        <v>334400</v>
      </c>
      <c r="O1479" s="152">
        <v>0</v>
      </c>
      <c r="P1479" s="154">
        <v>2.5000000000000001E-2</v>
      </c>
      <c r="Q1479" s="152">
        <v>44000</v>
      </c>
      <c r="R1479" s="9">
        <v>2050400</v>
      </c>
      <c r="S1479" s="21" t="s">
        <v>1846</v>
      </c>
      <c r="T1479" s="117">
        <v>0</v>
      </c>
      <c r="U1479" s="117" t="s">
        <v>347</v>
      </c>
      <c r="V1479" s="117">
        <v>2024</v>
      </c>
      <c r="W1479" s="117">
        <v>7</v>
      </c>
      <c r="X1479" s="117">
        <v>1271000</v>
      </c>
      <c r="Y1479" s="117">
        <v>2.5000000000000001E-2</v>
      </c>
      <c r="Z1479" s="21" t="b">
        <v>0</v>
      </c>
      <c r="AA1479" s="162">
        <f>+$AD$5-Tabla2[[#This Row],[FECHA DE FACTURACIÓN]]</f>
        <v>80</v>
      </c>
      <c r="AB1479" s="163" t="str">
        <f>+IF(Tabla2[[#This Row],[dias de credito]]&gt;=Tabla2[[#This Row],[PLAZO Días]],"venc", "No venc")</f>
        <v>venc</v>
      </c>
      <c r="AC1479" s="163" t="str">
        <f>+IF(Tabla2[[#This Row],[FECHA DE PAGO]]&gt;0,"pagada","por pagar")</f>
        <v>pagada</v>
      </c>
      <c r="AD1479" s="164" t="str">
        <f>+IF(AND(Tabla2[[#This Row],[venc]]="venc",Tabla2[[#This Row],[estado pago]]="por pagar"),"vencida","no")</f>
        <v>no</v>
      </c>
    </row>
    <row r="1480" spans="1:30" ht="19.5" customHeight="1" x14ac:dyDescent="0.25">
      <c r="A1480" s="8" t="s">
        <v>1850</v>
      </c>
      <c r="B1480" s="8" t="s">
        <v>1851</v>
      </c>
      <c r="C1480" s="8">
        <v>30</v>
      </c>
      <c r="D1480" s="151">
        <v>3130000</v>
      </c>
      <c r="E1480" s="151"/>
      <c r="F1480" s="24">
        <v>0</v>
      </c>
      <c r="G1480" s="30">
        <v>45400</v>
      </c>
      <c r="H1480" s="81" t="s">
        <v>472</v>
      </c>
      <c r="I1480" s="30">
        <v>45358</v>
      </c>
      <c r="J1480" s="16" t="s">
        <v>1673</v>
      </c>
      <c r="K1480" s="9" t="s">
        <v>1530</v>
      </c>
      <c r="L1480" s="9" t="s">
        <v>1395</v>
      </c>
      <c r="M1480" s="152">
        <v>1209000</v>
      </c>
      <c r="N1480" s="153">
        <v>0</v>
      </c>
      <c r="O1480" s="152">
        <v>0</v>
      </c>
      <c r="P1480" s="154">
        <v>0</v>
      </c>
      <c r="Q1480" s="152">
        <v>0</v>
      </c>
      <c r="R1480" s="9">
        <v>1209000</v>
      </c>
      <c r="S1480" s="21" t="s">
        <v>1846</v>
      </c>
      <c r="T1480" s="117">
        <v>0</v>
      </c>
      <c r="U1480" s="117">
        <v>0</v>
      </c>
      <c r="V1480" s="117">
        <v>2024</v>
      </c>
      <c r="W1480" s="117">
        <v>7</v>
      </c>
      <c r="X1480" s="117">
        <v>0</v>
      </c>
      <c r="Y1480" s="117">
        <v>0</v>
      </c>
      <c r="Z1480" s="21" t="b">
        <v>0</v>
      </c>
      <c r="AA1480" s="162">
        <f>+$AD$5-Tabla2[[#This Row],[FECHA DE FACTURACIÓN]]</f>
        <v>85</v>
      </c>
      <c r="AB1480" s="163" t="str">
        <f>+IF(Tabla2[[#This Row],[dias de credito]]&gt;=Tabla2[[#This Row],[PLAZO Días]],"venc", "No venc")</f>
        <v>venc</v>
      </c>
      <c r="AC1480" s="163" t="str">
        <f>+IF(Tabla2[[#This Row],[FECHA DE PAGO]]&gt;0,"pagada","por pagar")</f>
        <v>pagada</v>
      </c>
      <c r="AD1480" s="164" t="str">
        <f>+IF(AND(Tabla2[[#This Row],[venc]]="venc",Tabla2[[#This Row],[estado pago]]="por pagar"),"vencida","no")</f>
        <v>no</v>
      </c>
    </row>
    <row r="1481" spans="1:30" ht="19.5" customHeight="1" x14ac:dyDescent="0.25">
      <c r="A1481" s="8" t="s">
        <v>1850</v>
      </c>
      <c r="B1481" s="8" t="b">
        <v>0</v>
      </c>
      <c r="C1481" s="8">
        <v>30</v>
      </c>
      <c r="D1481" s="151">
        <v>0</v>
      </c>
      <c r="E1481" s="151"/>
      <c r="F1481" s="24" t="s">
        <v>177</v>
      </c>
      <c r="G1481" s="30">
        <v>45401</v>
      </c>
      <c r="H1481" s="81" t="s">
        <v>1724</v>
      </c>
      <c r="I1481" s="30">
        <v>45398</v>
      </c>
      <c r="J1481" s="16" t="s">
        <v>1767</v>
      </c>
      <c r="K1481" s="9" t="s">
        <v>504</v>
      </c>
      <c r="L1481" s="9" t="s">
        <v>1534</v>
      </c>
      <c r="M1481" s="152">
        <v>5775065</v>
      </c>
      <c r="N1481" s="153">
        <v>210330</v>
      </c>
      <c r="O1481" s="152">
        <v>0</v>
      </c>
      <c r="P1481" s="154">
        <v>0.01</v>
      </c>
      <c r="Q1481" s="152">
        <v>44280</v>
      </c>
      <c r="R1481" s="9">
        <v>-1908885</v>
      </c>
      <c r="S1481" s="21" t="s">
        <v>1846</v>
      </c>
      <c r="T1481" s="117">
        <v>0</v>
      </c>
      <c r="U1481" s="117" t="s">
        <v>356</v>
      </c>
      <c r="V1481" s="117">
        <v>2024</v>
      </c>
      <c r="W1481" s="117">
        <v>7</v>
      </c>
      <c r="X1481" s="117">
        <v>0</v>
      </c>
      <c r="Y1481" s="117">
        <v>0.01</v>
      </c>
      <c r="Z1481" s="21" t="b">
        <v>0</v>
      </c>
      <c r="AA1481" s="162">
        <f>+$AD$5-Tabla2[[#This Row],[FECHA DE FACTURACIÓN]]</f>
        <v>45</v>
      </c>
      <c r="AB1481" s="163" t="str">
        <f>+IF(Tabla2[[#This Row],[dias de credito]]&gt;=Tabla2[[#This Row],[PLAZO Días]],"venc", "No venc")</f>
        <v>venc</v>
      </c>
      <c r="AC1481" s="163" t="str">
        <f>+IF(Tabla2[[#This Row],[FECHA DE PAGO]]&gt;0,"pagada","por pagar")</f>
        <v>pagada</v>
      </c>
      <c r="AD1481" s="164" t="str">
        <f>+IF(AND(Tabla2[[#This Row],[venc]]="venc",Tabla2[[#This Row],[estado pago]]="por pagar"),"vencida","no")</f>
        <v>no</v>
      </c>
    </row>
    <row r="1482" spans="1:30" ht="19.5" customHeight="1" x14ac:dyDescent="0.25">
      <c r="A1482" s="8" t="s">
        <v>1850</v>
      </c>
      <c r="B1482" s="8" t="s">
        <v>1851</v>
      </c>
      <c r="C1482" s="8">
        <v>30</v>
      </c>
      <c r="D1482" s="151">
        <v>8456975.129999999</v>
      </c>
      <c r="E1482" s="151"/>
      <c r="F1482" s="24" t="s">
        <v>1476</v>
      </c>
      <c r="G1482" s="30">
        <v>45404</v>
      </c>
      <c r="H1482" s="81" t="s">
        <v>1464</v>
      </c>
      <c r="I1482" s="30">
        <v>45328</v>
      </c>
      <c r="J1482" s="16" t="s">
        <v>1697</v>
      </c>
      <c r="K1482" s="9" t="s">
        <v>1530</v>
      </c>
      <c r="L1482" s="9" t="s">
        <v>1533</v>
      </c>
      <c r="M1482" s="152">
        <v>-47745</v>
      </c>
      <c r="N1482" s="153">
        <v>0</v>
      </c>
      <c r="O1482" s="152">
        <v>0</v>
      </c>
      <c r="P1482" s="154">
        <v>0</v>
      </c>
      <c r="Q1482" s="152">
        <v>0</v>
      </c>
      <c r="R1482" s="9">
        <v>-47745</v>
      </c>
      <c r="S1482" s="21" t="s">
        <v>1846</v>
      </c>
      <c r="T1482" s="117">
        <v>0</v>
      </c>
      <c r="U1482" s="117" t="s">
        <v>347</v>
      </c>
      <c r="V1482" s="117">
        <v>2024</v>
      </c>
      <c r="W1482" s="117">
        <v>7</v>
      </c>
      <c r="X1482" s="117">
        <v>1271000</v>
      </c>
      <c r="Y1482" s="117">
        <v>2.5000000000000001E-2</v>
      </c>
      <c r="Z1482" s="21" t="b">
        <v>0</v>
      </c>
      <c r="AA1482" s="162">
        <f>+$AD$5-Tabla2[[#This Row],[FECHA DE FACTURACIÓN]]</f>
        <v>115</v>
      </c>
      <c r="AB1482" s="163" t="str">
        <f>+IF(Tabla2[[#This Row],[dias de credito]]&gt;=Tabla2[[#This Row],[PLAZO Días]],"venc", "No venc")</f>
        <v>venc</v>
      </c>
      <c r="AC1482" s="163" t="str">
        <f>+IF(Tabla2[[#This Row],[FECHA DE PAGO]]&gt;0,"pagada","por pagar")</f>
        <v>pagada</v>
      </c>
      <c r="AD1482" s="164" t="str">
        <f>+IF(AND(Tabla2[[#This Row],[venc]]="venc",Tabla2[[#This Row],[estado pago]]="por pagar"),"vencida","no")</f>
        <v>no</v>
      </c>
    </row>
    <row r="1483" spans="1:30" ht="19.5" customHeight="1" x14ac:dyDescent="0.25">
      <c r="A1483" s="8" t="s">
        <v>1850</v>
      </c>
      <c r="B1483" s="8" t="s">
        <v>1851</v>
      </c>
      <c r="C1483" s="8">
        <v>45</v>
      </c>
      <c r="D1483" s="151">
        <v>22186260.039999999</v>
      </c>
      <c r="E1483" s="151"/>
      <c r="F1483" s="24" t="s">
        <v>357</v>
      </c>
      <c r="G1483" s="30">
        <v>45404</v>
      </c>
      <c r="H1483" s="81" t="s">
        <v>19</v>
      </c>
      <c r="I1483" s="30">
        <v>45355</v>
      </c>
      <c r="J1483" s="16" t="s">
        <v>1646</v>
      </c>
      <c r="K1483" s="9" t="s">
        <v>504</v>
      </c>
      <c r="L1483" s="9" t="s">
        <v>1534</v>
      </c>
      <c r="M1483" s="152">
        <v>4654825</v>
      </c>
      <c r="N1483" s="153">
        <v>884416.75</v>
      </c>
      <c r="O1483" s="152">
        <v>0</v>
      </c>
      <c r="P1483" s="154">
        <v>0</v>
      </c>
      <c r="Q1483" s="152">
        <v>0</v>
      </c>
      <c r="R1483" s="9">
        <v>5539241.75</v>
      </c>
      <c r="S1483" s="21" t="s">
        <v>1846</v>
      </c>
      <c r="T1483" s="117">
        <v>0</v>
      </c>
      <c r="U1483" s="117">
        <v>0</v>
      </c>
      <c r="V1483" s="117">
        <v>2024</v>
      </c>
      <c r="W1483" s="117">
        <v>7</v>
      </c>
      <c r="X1483" s="117">
        <v>0</v>
      </c>
      <c r="Y1483" s="117">
        <v>0</v>
      </c>
      <c r="Z1483" s="21" t="b">
        <v>0</v>
      </c>
      <c r="AA1483" s="162">
        <f>+$AD$5-Tabla2[[#This Row],[FECHA DE FACTURACIÓN]]</f>
        <v>88</v>
      </c>
      <c r="AB1483" s="163" t="str">
        <f>+IF(Tabla2[[#This Row],[dias de credito]]&gt;=Tabla2[[#This Row],[PLAZO Días]],"venc", "No venc")</f>
        <v>venc</v>
      </c>
      <c r="AC1483" s="163" t="str">
        <f>+IF(Tabla2[[#This Row],[FECHA DE PAGO]]&gt;0,"pagada","por pagar")</f>
        <v>pagada</v>
      </c>
      <c r="AD1483" s="164" t="str">
        <f>+IF(AND(Tabla2[[#This Row],[venc]]="venc",Tabla2[[#This Row],[estado pago]]="por pagar"),"vencida","no")</f>
        <v>no</v>
      </c>
    </row>
    <row r="1484" spans="1:30" ht="19.5" customHeight="1" x14ac:dyDescent="0.25">
      <c r="A1484" s="8" t="s">
        <v>1850</v>
      </c>
      <c r="B1484" s="8" t="s">
        <v>1851</v>
      </c>
      <c r="C1484" s="8">
        <v>30</v>
      </c>
      <c r="D1484" s="151">
        <v>8456975.129999999</v>
      </c>
      <c r="E1484" s="151"/>
      <c r="F1484" s="24" t="s">
        <v>1476</v>
      </c>
      <c r="G1484" s="30">
        <v>45404</v>
      </c>
      <c r="H1484" s="81" t="s">
        <v>1464</v>
      </c>
      <c r="I1484" s="30">
        <v>45356</v>
      </c>
      <c r="J1484" s="16" t="s">
        <v>1658</v>
      </c>
      <c r="K1484" s="9" t="s">
        <v>1530</v>
      </c>
      <c r="L1484" s="9" t="s">
        <v>1533</v>
      </c>
      <c r="M1484" s="152">
        <v>302088</v>
      </c>
      <c r="N1484" s="153">
        <v>57396.72</v>
      </c>
      <c r="O1484" s="152">
        <v>0</v>
      </c>
      <c r="P1484" s="154">
        <v>0</v>
      </c>
      <c r="Q1484" s="152">
        <v>0</v>
      </c>
      <c r="R1484" s="9">
        <v>359484.72</v>
      </c>
      <c r="S1484" s="21" t="s">
        <v>1846</v>
      </c>
      <c r="T1484" s="117">
        <v>0</v>
      </c>
      <c r="U1484" s="117" t="s">
        <v>347</v>
      </c>
      <c r="V1484" s="117">
        <v>2024</v>
      </c>
      <c r="W1484" s="117">
        <v>7</v>
      </c>
      <c r="X1484" s="117">
        <v>1271000</v>
      </c>
      <c r="Y1484" s="117">
        <v>2.5000000000000001E-2</v>
      </c>
      <c r="Z1484" s="21" t="b">
        <v>0</v>
      </c>
      <c r="AA1484" s="162">
        <f>+$AD$5-Tabla2[[#This Row],[FECHA DE FACTURACIÓN]]</f>
        <v>87</v>
      </c>
      <c r="AB1484" s="163" t="str">
        <f>+IF(Tabla2[[#This Row],[dias de credito]]&gt;=Tabla2[[#This Row],[PLAZO Días]],"venc", "No venc")</f>
        <v>venc</v>
      </c>
      <c r="AC1484" s="163" t="str">
        <f>+IF(Tabla2[[#This Row],[FECHA DE PAGO]]&gt;0,"pagada","por pagar")</f>
        <v>pagada</v>
      </c>
      <c r="AD1484" s="164" t="str">
        <f>+IF(AND(Tabla2[[#This Row],[venc]]="venc",Tabla2[[#This Row],[estado pago]]="por pagar"),"vencida","no")</f>
        <v>no</v>
      </c>
    </row>
    <row r="1485" spans="1:30" ht="19.5" customHeight="1" x14ac:dyDescent="0.25">
      <c r="A1485" s="8" t="s">
        <v>1850</v>
      </c>
      <c r="B1485" s="8" t="s">
        <v>1851</v>
      </c>
      <c r="C1485" s="8">
        <v>30</v>
      </c>
      <c r="D1485" s="151">
        <v>1460000.29</v>
      </c>
      <c r="E1485" s="151"/>
      <c r="F1485" s="24" t="s">
        <v>139</v>
      </c>
      <c r="G1485" s="30">
        <v>45404</v>
      </c>
      <c r="H1485" s="81" t="s">
        <v>131</v>
      </c>
      <c r="I1485" s="30">
        <v>45358</v>
      </c>
      <c r="J1485" s="16" t="s">
        <v>1650</v>
      </c>
      <c r="K1485" s="9" t="s">
        <v>1530</v>
      </c>
      <c r="L1485" s="9" t="s">
        <v>1533</v>
      </c>
      <c r="M1485" s="152">
        <v>189076</v>
      </c>
      <c r="N1485" s="153">
        <v>35924.44</v>
      </c>
      <c r="O1485" s="152">
        <v>0</v>
      </c>
      <c r="P1485" s="154">
        <v>0</v>
      </c>
      <c r="Q1485" s="152">
        <v>0</v>
      </c>
      <c r="R1485" s="9">
        <v>225000.44</v>
      </c>
      <c r="S1485" s="21" t="s">
        <v>1846</v>
      </c>
      <c r="T1485" s="117">
        <v>0</v>
      </c>
      <c r="U1485" s="117" t="s">
        <v>347</v>
      </c>
      <c r="V1485" s="117">
        <v>2024</v>
      </c>
      <c r="W1485" s="117">
        <v>7</v>
      </c>
      <c r="X1485" s="117">
        <v>1271000</v>
      </c>
      <c r="Y1485" s="117">
        <v>2.5000000000000001E-2</v>
      </c>
      <c r="Z1485" s="21" t="b">
        <v>0</v>
      </c>
      <c r="AA1485" s="162">
        <f>+$AD$5-Tabla2[[#This Row],[FECHA DE FACTURACIÓN]]</f>
        <v>85</v>
      </c>
      <c r="AB1485" s="163" t="str">
        <f>+IF(Tabla2[[#This Row],[dias de credito]]&gt;=Tabla2[[#This Row],[PLAZO Días]],"venc", "No venc")</f>
        <v>venc</v>
      </c>
      <c r="AC1485" s="163" t="str">
        <f>+IF(Tabla2[[#This Row],[FECHA DE PAGO]]&gt;0,"pagada","por pagar")</f>
        <v>pagada</v>
      </c>
      <c r="AD1485" s="164" t="str">
        <f>+IF(AND(Tabla2[[#This Row],[venc]]="venc",Tabla2[[#This Row],[estado pago]]="por pagar"),"vencida","no")</f>
        <v>no</v>
      </c>
    </row>
    <row r="1486" spans="1:30" ht="19.5" customHeight="1" x14ac:dyDescent="0.25">
      <c r="A1486" s="8" t="s">
        <v>1850</v>
      </c>
      <c r="B1486" s="8" t="s">
        <v>1851</v>
      </c>
      <c r="C1486" s="8">
        <v>30</v>
      </c>
      <c r="D1486" s="151">
        <v>8456975.129999999</v>
      </c>
      <c r="E1486" s="151"/>
      <c r="F1486" s="24" t="s">
        <v>1476</v>
      </c>
      <c r="G1486" s="30">
        <v>45404</v>
      </c>
      <c r="H1486" s="81" t="s">
        <v>1464</v>
      </c>
      <c r="I1486" s="30">
        <v>45362</v>
      </c>
      <c r="J1486" s="16" t="s">
        <v>1656</v>
      </c>
      <c r="K1486" s="9" t="s">
        <v>1530</v>
      </c>
      <c r="L1486" s="9" t="s">
        <v>1534</v>
      </c>
      <c r="M1486" s="152">
        <v>3974276</v>
      </c>
      <c r="N1486" s="153">
        <v>755112.44000000006</v>
      </c>
      <c r="O1486" s="152">
        <v>0</v>
      </c>
      <c r="P1486" s="154">
        <v>2.5000000000000001E-2</v>
      </c>
      <c r="Q1486" s="152">
        <v>99356.900000000009</v>
      </c>
      <c r="R1486" s="9">
        <v>4630031.54</v>
      </c>
      <c r="S1486" s="21" t="s">
        <v>1846</v>
      </c>
      <c r="T1486" s="117">
        <v>0</v>
      </c>
      <c r="U1486" s="117" t="s">
        <v>347</v>
      </c>
      <c r="V1486" s="117">
        <v>2024</v>
      </c>
      <c r="W1486" s="117">
        <v>7</v>
      </c>
      <c r="X1486" s="117">
        <v>1271000</v>
      </c>
      <c r="Y1486" s="117">
        <v>2.5000000000000001E-2</v>
      </c>
      <c r="Z1486" s="21" t="b">
        <v>0</v>
      </c>
      <c r="AA1486" s="162">
        <f>+$AD$5-Tabla2[[#This Row],[FECHA DE FACTURACIÓN]]</f>
        <v>81</v>
      </c>
      <c r="AB1486" s="163" t="str">
        <f>+IF(Tabla2[[#This Row],[dias de credito]]&gt;=Tabla2[[#This Row],[PLAZO Días]],"venc", "No venc")</f>
        <v>venc</v>
      </c>
      <c r="AC1486" s="163" t="str">
        <f>+IF(Tabla2[[#This Row],[FECHA DE PAGO]]&gt;0,"pagada","por pagar")</f>
        <v>pagada</v>
      </c>
      <c r="AD1486" s="164" t="str">
        <f>+IF(AND(Tabla2[[#This Row],[venc]]="venc",Tabla2[[#This Row],[estado pago]]="por pagar"),"vencida","no")</f>
        <v>no</v>
      </c>
    </row>
    <row r="1487" spans="1:30" ht="19.5" customHeight="1" x14ac:dyDescent="0.25">
      <c r="A1487" s="8" t="s">
        <v>1850</v>
      </c>
      <c r="B1487" s="8" t="s">
        <v>1851</v>
      </c>
      <c r="C1487" s="8">
        <v>30</v>
      </c>
      <c r="D1487" s="151">
        <v>8456975.129999999</v>
      </c>
      <c r="E1487" s="151"/>
      <c r="F1487" s="24" t="s">
        <v>1476</v>
      </c>
      <c r="G1487" s="30">
        <v>45404</v>
      </c>
      <c r="H1487" s="81" t="s">
        <v>1464</v>
      </c>
      <c r="I1487" s="30">
        <v>45362</v>
      </c>
      <c r="J1487" s="16" t="s">
        <v>1659</v>
      </c>
      <c r="K1487" s="9" t="s">
        <v>1530</v>
      </c>
      <c r="L1487" s="9" t="s">
        <v>1533</v>
      </c>
      <c r="M1487" s="152">
        <v>84034</v>
      </c>
      <c r="N1487" s="153">
        <v>15966.460000000001</v>
      </c>
      <c r="O1487" s="152">
        <v>0</v>
      </c>
      <c r="P1487" s="154">
        <v>0</v>
      </c>
      <c r="Q1487" s="152">
        <v>0</v>
      </c>
      <c r="R1487" s="9">
        <v>100000.46</v>
      </c>
      <c r="S1487" s="21" t="s">
        <v>1846</v>
      </c>
      <c r="T1487" s="117">
        <v>0</v>
      </c>
      <c r="U1487" s="117" t="s">
        <v>347</v>
      </c>
      <c r="V1487" s="117">
        <v>2024</v>
      </c>
      <c r="W1487" s="117">
        <v>7</v>
      </c>
      <c r="X1487" s="117">
        <v>1271000</v>
      </c>
      <c r="Y1487" s="117">
        <v>2.5000000000000001E-2</v>
      </c>
      <c r="Z1487" s="21" t="b">
        <v>0</v>
      </c>
      <c r="AA1487" s="162">
        <f>+$AD$5-Tabla2[[#This Row],[FECHA DE FACTURACIÓN]]</f>
        <v>81</v>
      </c>
      <c r="AB1487" s="163" t="str">
        <f>+IF(Tabla2[[#This Row],[dias de credito]]&gt;=Tabla2[[#This Row],[PLAZO Días]],"venc", "No venc")</f>
        <v>venc</v>
      </c>
      <c r="AC1487" s="163" t="str">
        <f>+IF(Tabla2[[#This Row],[FECHA DE PAGO]]&gt;0,"pagada","por pagar")</f>
        <v>pagada</v>
      </c>
      <c r="AD1487" s="164" t="str">
        <f>+IF(AND(Tabla2[[#This Row],[venc]]="venc",Tabla2[[#This Row],[estado pago]]="por pagar"),"vencida","no")</f>
        <v>no</v>
      </c>
    </row>
    <row r="1488" spans="1:30" ht="19.5" customHeight="1" x14ac:dyDescent="0.25">
      <c r="A1488" s="8" t="s">
        <v>1850</v>
      </c>
      <c r="B1488" s="8" t="s">
        <v>1851</v>
      </c>
      <c r="C1488" s="8">
        <v>30</v>
      </c>
      <c r="D1488" s="151">
        <v>8456975.129999999</v>
      </c>
      <c r="E1488" s="151"/>
      <c r="F1488" s="24" t="s">
        <v>1476</v>
      </c>
      <c r="G1488" s="30">
        <v>45404</v>
      </c>
      <c r="H1488" s="81" t="s">
        <v>1464</v>
      </c>
      <c r="I1488" s="30">
        <v>45363</v>
      </c>
      <c r="J1488" s="16" t="s">
        <v>1660</v>
      </c>
      <c r="K1488" s="9" t="s">
        <v>1530</v>
      </c>
      <c r="L1488" s="9" t="s">
        <v>1533</v>
      </c>
      <c r="M1488" s="152">
        <v>118702</v>
      </c>
      <c r="N1488" s="153">
        <v>22553.38</v>
      </c>
      <c r="O1488" s="152">
        <v>0</v>
      </c>
      <c r="P1488" s="154">
        <v>0</v>
      </c>
      <c r="Q1488" s="152">
        <v>0</v>
      </c>
      <c r="R1488" s="9">
        <v>141255.38</v>
      </c>
      <c r="S1488" s="21" t="s">
        <v>1846</v>
      </c>
      <c r="T1488" s="117">
        <v>0</v>
      </c>
      <c r="U1488" s="117" t="s">
        <v>347</v>
      </c>
      <c r="V1488" s="117">
        <v>2024</v>
      </c>
      <c r="W1488" s="117">
        <v>7</v>
      </c>
      <c r="X1488" s="117">
        <v>1271000</v>
      </c>
      <c r="Y1488" s="117">
        <v>2.5000000000000001E-2</v>
      </c>
      <c r="Z1488" s="21" t="b">
        <v>0</v>
      </c>
      <c r="AA1488" s="162">
        <f>+$AD$5-Tabla2[[#This Row],[FECHA DE FACTURACIÓN]]</f>
        <v>80</v>
      </c>
      <c r="AB1488" s="163" t="str">
        <f>+IF(Tabla2[[#This Row],[dias de credito]]&gt;=Tabla2[[#This Row],[PLAZO Días]],"venc", "No venc")</f>
        <v>venc</v>
      </c>
      <c r="AC1488" s="163" t="str">
        <f>+IF(Tabla2[[#This Row],[FECHA DE PAGO]]&gt;0,"pagada","por pagar")</f>
        <v>pagada</v>
      </c>
      <c r="AD1488" s="164" t="str">
        <f>+IF(AND(Tabla2[[#This Row],[venc]]="venc",Tabla2[[#This Row],[estado pago]]="por pagar"),"vencida","no")</f>
        <v>no</v>
      </c>
    </row>
    <row r="1489" spans="1:30" ht="19.5" customHeight="1" x14ac:dyDescent="0.25">
      <c r="A1489" s="8" t="s">
        <v>1850</v>
      </c>
      <c r="B1489" s="8" t="s">
        <v>1851</v>
      </c>
      <c r="C1489" s="8">
        <v>30</v>
      </c>
      <c r="D1489" s="151">
        <v>8456975.129999999</v>
      </c>
      <c r="E1489" s="151"/>
      <c r="F1489" s="24" t="s">
        <v>1476</v>
      </c>
      <c r="G1489" s="30">
        <v>45404</v>
      </c>
      <c r="H1489" s="81" t="s">
        <v>1464</v>
      </c>
      <c r="I1489" s="30">
        <v>45365</v>
      </c>
      <c r="J1489" s="16" t="s">
        <v>1662</v>
      </c>
      <c r="K1489" s="9" t="s">
        <v>1530</v>
      </c>
      <c r="L1489" s="9" t="s">
        <v>1534</v>
      </c>
      <c r="M1489" s="152">
        <v>60504</v>
      </c>
      <c r="N1489" s="153">
        <v>11495.76</v>
      </c>
      <c r="O1489" s="152">
        <v>0</v>
      </c>
      <c r="P1489" s="154">
        <v>0</v>
      </c>
      <c r="Q1489" s="152">
        <v>0</v>
      </c>
      <c r="R1489" s="9">
        <v>71999.759999999995</v>
      </c>
      <c r="S1489" s="21" t="s">
        <v>1846</v>
      </c>
      <c r="T1489" s="117">
        <v>0</v>
      </c>
      <c r="U1489" s="117" t="s">
        <v>347</v>
      </c>
      <c r="V1489" s="117">
        <v>2024</v>
      </c>
      <c r="W1489" s="117">
        <v>7</v>
      </c>
      <c r="X1489" s="117">
        <v>1271000</v>
      </c>
      <c r="Y1489" s="117">
        <v>2.5000000000000001E-2</v>
      </c>
      <c r="Z1489" s="21" t="b">
        <v>0</v>
      </c>
      <c r="AA1489" s="162">
        <f>+$AD$5-Tabla2[[#This Row],[FECHA DE FACTURACIÓN]]</f>
        <v>78</v>
      </c>
      <c r="AB1489" s="163" t="str">
        <f>+IF(Tabla2[[#This Row],[dias de credito]]&gt;=Tabla2[[#This Row],[PLAZO Días]],"venc", "No venc")</f>
        <v>venc</v>
      </c>
      <c r="AC1489" s="163" t="str">
        <f>+IF(Tabla2[[#This Row],[FECHA DE PAGO]]&gt;0,"pagada","por pagar")</f>
        <v>pagada</v>
      </c>
      <c r="AD1489" s="164" t="str">
        <f>+IF(AND(Tabla2[[#This Row],[venc]]="venc",Tabla2[[#This Row],[estado pago]]="por pagar"),"vencida","no")</f>
        <v>no</v>
      </c>
    </row>
    <row r="1490" spans="1:30" ht="19.5" customHeight="1" x14ac:dyDescent="0.25">
      <c r="A1490" s="8" t="s">
        <v>1850</v>
      </c>
      <c r="B1490" s="8" t="s">
        <v>1851</v>
      </c>
      <c r="C1490" s="8">
        <v>30</v>
      </c>
      <c r="D1490" s="151">
        <v>8456975.129999999</v>
      </c>
      <c r="E1490" s="151"/>
      <c r="F1490" s="24" t="s">
        <v>1476</v>
      </c>
      <c r="G1490" s="30">
        <v>45404</v>
      </c>
      <c r="H1490" s="81" t="s">
        <v>1464</v>
      </c>
      <c r="I1490" s="30">
        <v>45365</v>
      </c>
      <c r="J1490" s="16" t="s">
        <v>1661</v>
      </c>
      <c r="K1490" s="9" t="s">
        <v>1530</v>
      </c>
      <c r="L1490" s="9" t="s">
        <v>1533</v>
      </c>
      <c r="M1490" s="152">
        <v>135330</v>
      </c>
      <c r="N1490" s="153">
        <v>25712.7</v>
      </c>
      <c r="O1490" s="152">
        <v>0</v>
      </c>
      <c r="P1490" s="154">
        <v>0</v>
      </c>
      <c r="Q1490" s="152">
        <v>0</v>
      </c>
      <c r="R1490" s="9">
        <v>161042.70000000001</v>
      </c>
      <c r="S1490" s="21" t="s">
        <v>1846</v>
      </c>
      <c r="T1490" s="117">
        <v>0</v>
      </c>
      <c r="U1490" s="117" t="s">
        <v>347</v>
      </c>
      <c r="V1490" s="117">
        <v>2024</v>
      </c>
      <c r="W1490" s="117">
        <v>7</v>
      </c>
      <c r="X1490" s="117">
        <v>1271000</v>
      </c>
      <c r="Y1490" s="117">
        <v>2.5000000000000001E-2</v>
      </c>
      <c r="Z1490" s="21" t="b">
        <v>0</v>
      </c>
      <c r="AA1490" s="162">
        <f>+$AD$5-Tabla2[[#This Row],[FECHA DE FACTURACIÓN]]</f>
        <v>78</v>
      </c>
      <c r="AB1490" s="163" t="str">
        <f>+IF(Tabla2[[#This Row],[dias de credito]]&gt;=Tabla2[[#This Row],[PLAZO Días]],"venc", "No venc")</f>
        <v>venc</v>
      </c>
      <c r="AC1490" s="163" t="str">
        <f>+IF(Tabla2[[#This Row],[FECHA DE PAGO]]&gt;0,"pagada","por pagar")</f>
        <v>pagada</v>
      </c>
      <c r="AD1490" s="164" t="str">
        <f>+IF(AND(Tabla2[[#This Row],[venc]]="venc",Tabla2[[#This Row],[estado pago]]="por pagar"),"vencida","no")</f>
        <v>no</v>
      </c>
    </row>
    <row r="1491" spans="1:30" ht="19.5" customHeight="1" x14ac:dyDescent="0.25">
      <c r="A1491" s="8" t="s">
        <v>1850</v>
      </c>
      <c r="B1491" s="8" t="s">
        <v>1851</v>
      </c>
      <c r="C1491" s="8">
        <v>30</v>
      </c>
      <c r="D1491" s="151">
        <v>1460000.29</v>
      </c>
      <c r="E1491" s="151"/>
      <c r="F1491" s="24" t="s">
        <v>139</v>
      </c>
      <c r="G1491" s="30">
        <v>45404</v>
      </c>
      <c r="H1491" s="81" t="s">
        <v>131</v>
      </c>
      <c r="I1491" s="30">
        <v>45372</v>
      </c>
      <c r="J1491" s="16" t="s">
        <v>1680</v>
      </c>
      <c r="K1491" s="9" t="s">
        <v>1530</v>
      </c>
      <c r="L1491" s="9" t="s">
        <v>1533</v>
      </c>
      <c r="M1491" s="152">
        <v>2483195</v>
      </c>
      <c r="N1491" s="153">
        <v>471807.05</v>
      </c>
      <c r="O1491" s="152">
        <v>0</v>
      </c>
      <c r="P1491" s="154">
        <v>2.5000000000000001E-2</v>
      </c>
      <c r="Q1491" s="152">
        <v>62079.875</v>
      </c>
      <c r="R1491" s="9">
        <v>2892922.1749999998</v>
      </c>
      <c r="S1491" s="21" t="s">
        <v>1846</v>
      </c>
      <c r="T1491" s="117">
        <v>0</v>
      </c>
      <c r="U1491" s="117" t="s">
        <v>347</v>
      </c>
      <c r="V1491" s="117">
        <v>2024</v>
      </c>
      <c r="W1491" s="117">
        <v>7</v>
      </c>
      <c r="X1491" s="117">
        <v>1271000</v>
      </c>
      <c r="Y1491" s="117">
        <v>2.5000000000000001E-2</v>
      </c>
      <c r="Z1491" s="21" t="b">
        <v>0</v>
      </c>
      <c r="AA1491" s="162">
        <f>+$AD$5-Tabla2[[#This Row],[FECHA DE FACTURACIÓN]]</f>
        <v>71</v>
      </c>
      <c r="AB1491" s="163" t="str">
        <f>+IF(Tabla2[[#This Row],[dias de credito]]&gt;=Tabla2[[#This Row],[PLAZO Días]],"venc", "No venc")</f>
        <v>venc</v>
      </c>
      <c r="AC1491" s="163" t="str">
        <f>+IF(Tabla2[[#This Row],[FECHA DE PAGO]]&gt;0,"pagada","por pagar")</f>
        <v>pagada</v>
      </c>
      <c r="AD1491" s="164" t="str">
        <f>+IF(AND(Tabla2[[#This Row],[venc]]="venc",Tabla2[[#This Row],[estado pago]]="por pagar"),"vencida","no")</f>
        <v>no</v>
      </c>
    </row>
    <row r="1492" spans="1:30" ht="19.5" customHeight="1" x14ac:dyDescent="0.25">
      <c r="A1492" s="8" t="s">
        <v>1850</v>
      </c>
      <c r="B1492" s="8" t="s">
        <v>1851</v>
      </c>
      <c r="C1492" s="8">
        <v>30</v>
      </c>
      <c r="D1492" s="151">
        <v>8456975.129999999</v>
      </c>
      <c r="E1492" s="151"/>
      <c r="F1492" s="24" t="s">
        <v>1476</v>
      </c>
      <c r="G1492" s="30">
        <v>45404</v>
      </c>
      <c r="H1492" s="81" t="s">
        <v>1464</v>
      </c>
      <c r="I1492" s="30">
        <v>45373</v>
      </c>
      <c r="J1492" s="16" t="s">
        <v>1685</v>
      </c>
      <c r="K1492" s="9" t="s">
        <v>1530</v>
      </c>
      <c r="L1492" s="9" t="s">
        <v>1533</v>
      </c>
      <c r="M1492" s="152">
        <v>187750</v>
      </c>
      <c r="N1492" s="153">
        <v>35672.5</v>
      </c>
      <c r="O1492" s="152">
        <v>0</v>
      </c>
      <c r="P1492" s="154">
        <v>0</v>
      </c>
      <c r="Q1492" s="152">
        <v>0</v>
      </c>
      <c r="R1492" s="9">
        <v>223422.5</v>
      </c>
      <c r="S1492" s="21" t="s">
        <v>1846</v>
      </c>
      <c r="T1492" s="117">
        <v>0</v>
      </c>
      <c r="U1492" s="117" t="s">
        <v>347</v>
      </c>
      <c r="V1492" s="117">
        <v>2024</v>
      </c>
      <c r="W1492" s="117">
        <v>7</v>
      </c>
      <c r="X1492" s="117">
        <v>1271000</v>
      </c>
      <c r="Y1492" s="117">
        <v>2.5000000000000001E-2</v>
      </c>
      <c r="Z1492" s="21" t="b">
        <v>0</v>
      </c>
      <c r="AA1492" s="162">
        <f>+$AD$5-Tabla2[[#This Row],[FECHA DE FACTURACIÓN]]</f>
        <v>70</v>
      </c>
      <c r="AB1492" s="163" t="str">
        <f>+IF(Tabla2[[#This Row],[dias de credito]]&gt;=Tabla2[[#This Row],[PLAZO Días]],"venc", "No venc")</f>
        <v>venc</v>
      </c>
      <c r="AC1492" s="163" t="str">
        <f>+IF(Tabla2[[#This Row],[FECHA DE PAGO]]&gt;0,"pagada","por pagar")</f>
        <v>pagada</v>
      </c>
      <c r="AD1492" s="164" t="str">
        <f>+IF(AND(Tabla2[[#This Row],[venc]]="venc",Tabla2[[#This Row],[estado pago]]="por pagar"),"vencida","no")</f>
        <v>no</v>
      </c>
    </row>
    <row r="1493" spans="1:30" ht="19.5" customHeight="1" x14ac:dyDescent="0.25">
      <c r="A1493" s="8" t="s">
        <v>1850</v>
      </c>
      <c r="B1493" s="8" t="b">
        <v>0</v>
      </c>
      <c r="C1493" s="8">
        <v>30</v>
      </c>
      <c r="D1493" s="151">
        <v>0</v>
      </c>
      <c r="E1493" s="151"/>
      <c r="F1493" s="24" t="s">
        <v>206</v>
      </c>
      <c r="G1493" s="30">
        <v>45404</v>
      </c>
      <c r="H1493" s="81" t="s">
        <v>380</v>
      </c>
      <c r="I1493" s="30">
        <v>45383</v>
      </c>
      <c r="J1493" s="16" t="s">
        <v>1755</v>
      </c>
      <c r="K1493" s="9" t="s">
        <v>504</v>
      </c>
      <c r="L1493" s="9" t="s">
        <v>1534</v>
      </c>
      <c r="M1493" s="152">
        <v>3847000</v>
      </c>
      <c r="N1493" s="153">
        <v>0</v>
      </c>
      <c r="O1493" s="152">
        <v>0</v>
      </c>
      <c r="P1493" s="154">
        <v>3.5000000000000003E-2</v>
      </c>
      <c r="Q1493" s="152">
        <v>134645</v>
      </c>
      <c r="R1493" s="9">
        <v>3712355</v>
      </c>
      <c r="S1493" s="21" t="s">
        <v>1846</v>
      </c>
      <c r="T1493" s="117">
        <v>0</v>
      </c>
      <c r="U1493" s="117" t="s">
        <v>348</v>
      </c>
      <c r="V1493" s="117">
        <v>2024</v>
      </c>
      <c r="W1493" s="117">
        <v>7</v>
      </c>
      <c r="X1493" s="117">
        <v>0</v>
      </c>
      <c r="Y1493" s="117">
        <v>3.5000000000000003E-2</v>
      </c>
      <c r="Z1493" s="21" t="b">
        <v>1</v>
      </c>
      <c r="AA1493" s="162">
        <f>+$AD$5-Tabla2[[#This Row],[FECHA DE FACTURACIÓN]]</f>
        <v>60</v>
      </c>
      <c r="AB1493" s="163" t="str">
        <f>+IF(Tabla2[[#This Row],[dias de credito]]&gt;=Tabla2[[#This Row],[PLAZO Días]],"venc", "No venc")</f>
        <v>venc</v>
      </c>
      <c r="AC1493" s="163" t="str">
        <f>+IF(Tabla2[[#This Row],[FECHA DE PAGO]]&gt;0,"pagada","por pagar")</f>
        <v>pagada</v>
      </c>
      <c r="AD1493" s="164" t="str">
        <f>+IF(AND(Tabla2[[#This Row],[venc]]="venc",Tabla2[[#This Row],[estado pago]]="por pagar"),"vencida","no")</f>
        <v>no</v>
      </c>
    </row>
    <row r="1494" spans="1:30" ht="19.5" customHeight="1" x14ac:dyDescent="0.25">
      <c r="A1494" s="8" t="s">
        <v>1850</v>
      </c>
      <c r="B1494" s="8" t="b">
        <v>0</v>
      </c>
      <c r="C1494" s="8">
        <v>30</v>
      </c>
      <c r="D1494" s="151">
        <v>1460000.29</v>
      </c>
      <c r="E1494" s="151"/>
      <c r="F1494" s="24" t="s">
        <v>139</v>
      </c>
      <c r="G1494" s="30">
        <v>45404</v>
      </c>
      <c r="H1494" s="81" t="s">
        <v>131</v>
      </c>
      <c r="I1494" s="30">
        <v>45384</v>
      </c>
      <c r="J1494" s="16" t="s">
        <v>1719</v>
      </c>
      <c r="K1494" s="9" t="s">
        <v>1530</v>
      </c>
      <c r="L1494" s="9" t="s">
        <v>1533</v>
      </c>
      <c r="M1494" s="152">
        <v>90756</v>
      </c>
      <c r="N1494" s="153">
        <v>17243.64</v>
      </c>
      <c r="O1494" s="152">
        <v>0</v>
      </c>
      <c r="P1494" s="154">
        <v>0</v>
      </c>
      <c r="Q1494" s="152">
        <v>0</v>
      </c>
      <c r="R1494" s="9">
        <v>107999.64</v>
      </c>
      <c r="S1494" s="21" t="s">
        <v>1846</v>
      </c>
      <c r="T1494" s="117">
        <v>0</v>
      </c>
      <c r="U1494" s="117" t="s">
        <v>347</v>
      </c>
      <c r="V1494" s="117">
        <v>2024</v>
      </c>
      <c r="W1494" s="117">
        <v>7</v>
      </c>
      <c r="X1494" s="117">
        <v>1271000</v>
      </c>
      <c r="Y1494" s="117">
        <v>2.5000000000000001E-2</v>
      </c>
      <c r="Z1494" s="21" t="b">
        <v>0</v>
      </c>
      <c r="AA1494" s="162">
        <f>+$AD$5-Tabla2[[#This Row],[FECHA DE FACTURACIÓN]]</f>
        <v>59</v>
      </c>
      <c r="AB1494" s="163" t="str">
        <f>+IF(Tabla2[[#This Row],[dias de credito]]&gt;=Tabla2[[#This Row],[PLAZO Días]],"venc", "No venc")</f>
        <v>venc</v>
      </c>
      <c r="AC1494" s="163" t="str">
        <f>+IF(Tabla2[[#This Row],[FECHA DE PAGO]]&gt;0,"pagada","por pagar")</f>
        <v>pagada</v>
      </c>
      <c r="AD1494" s="164" t="str">
        <f>+IF(AND(Tabla2[[#This Row],[venc]]="venc",Tabla2[[#This Row],[estado pago]]="por pagar"),"vencida","no")</f>
        <v>no</v>
      </c>
    </row>
    <row r="1495" spans="1:30" ht="19.5" customHeight="1" x14ac:dyDescent="0.25">
      <c r="A1495" s="8" t="s">
        <v>1850</v>
      </c>
      <c r="B1495" s="8" t="s">
        <v>1851</v>
      </c>
      <c r="C1495" s="8">
        <v>13</v>
      </c>
      <c r="D1495" s="151">
        <v>0</v>
      </c>
      <c r="E1495" s="151"/>
      <c r="F1495" s="24">
        <v>0</v>
      </c>
      <c r="G1495" s="30">
        <v>45405</v>
      </c>
      <c r="H1495" s="81" t="s">
        <v>389</v>
      </c>
      <c r="I1495" s="30">
        <v>45383</v>
      </c>
      <c r="J1495" s="16"/>
      <c r="K1495" s="9" t="s">
        <v>1530</v>
      </c>
      <c r="L1495" s="9" t="s">
        <v>1395</v>
      </c>
      <c r="M1495" s="152">
        <v>860215</v>
      </c>
      <c r="N1495" s="153">
        <v>0</v>
      </c>
      <c r="O1495" s="152">
        <v>0</v>
      </c>
      <c r="P1495" s="154">
        <v>0</v>
      </c>
      <c r="Q1495" s="152">
        <v>0</v>
      </c>
      <c r="R1495" s="9">
        <v>860215</v>
      </c>
      <c r="S1495" s="21" t="s">
        <v>1846</v>
      </c>
      <c r="T1495" s="117">
        <v>0</v>
      </c>
      <c r="U1495" s="117">
        <v>0</v>
      </c>
      <c r="V1495" s="117">
        <v>2024</v>
      </c>
      <c r="W1495" s="117">
        <v>7</v>
      </c>
      <c r="X1495" s="117">
        <v>0</v>
      </c>
      <c r="Y1495" s="117">
        <v>0</v>
      </c>
      <c r="Z1495" s="21" t="b">
        <v>1</v>
      </c>
      <c r="AA1495" s="162">
        <f>+$AD$5-Tabla2[[#This Row],[FECHA DE FACTURACIÓN]]</f>
        <v>60</v>
      </c>
      <c r="AB1495" s="163" t="str">
        <f>+IF(Tabla2[[#This Row],[dias de credito]]&gt;=Tabla2[[#This Row],[PLAZO Días]],"venc", "No venc")</f>
        <v>venc</v>
      </c>
      <c r="AC1495" s="163" t="str">
        <f>+IF(Tabla2[[#This Row],[FECHA DE PAGO]]&gt;0,"pagada","por pagar")</f>
        <v>pagada</v>
      </c>
      <c r="AD1495" s="164" t="str">
        <f>+IF(AND(Tabla2[[#This Row],[venc]]="venc",Tabla2[[#This Row],[estado pago]]="por pagar"),"vencida","no")</f>
        <v>no</v>
      </c>
    </row>
    <row r="1496" spans="1:30" ht="19.5" customHeight="1" x14ac:dyDescent="0.25">
      <c r="A1496" s="8" t="s">
        <v>1850</v>
      </c>
      <c r="B1496" s="8" t="b">
        <v>0</v>
      </c>
      <c r="C1496" s="8">
        <v>30</v>
      </c>
      <c r="D1496" s="151">
        <v>0</v>
      </c>
      <c r="E1496" s="151"/>
      <c r="F1496" s="24" t="s">
        <v>1447</v>
      </c>
      <c r="G1496" s="30">
        <v>45405</v>
      </c>
      <c r="H1496" s="81" t="s">
        <v>373</v>
      </c>
      <c r="I1496" s="30">
        <v>45390</v>
      </c>
      <c r="J1496" s="16" t="s">
        <v>1760</v>
      </c>
      <c r="K1496" s="9" t="s">
        <v>1530</v>
      </c>
      <c r="L1496" s="9" t="s">
        <v>1395</v>
      </c>
      <c r="M1496" s="152">
        <v>289886</v>
      </c>
      <c r="N1496" s="153">
        <v>0</v>
      </c>
      <c r="O1496" s="152">
        <v>0</v>
      </c>
      <c r="P1496" s="154">
        <v>0</v>
      </c>
      <c r="Q1496" s="152">
        <v>0</v>
      </c>
      <c r="R1496" s="9">
        <v>289886</v>
      </c>
      <c r="S1496" s="21" t="s">
        <v>1846</v>
      </c>
      <c r="T1496" s="117">
        <v>0</v>
      </c>
      <c r="U1496" s="117">
        <v>0</v>
      </c>
      <c r="V1496" s="117">
        <v>2024</v>
      </c>
      <c r="W1496" s="117">
        <v>7</v>
      </c>
      <c r="X1496" s="117">
        <v>0</v>
      </c>
      <c r="Y1496" s="117">
        <v>0</v>
      </c>
      <c r="Z1496" s="21" t="b">
        <v>1</v>
      </c>
      <c r="AA1496" s="162">
        <f>+$AD$5-Tabla2[[#This Row],[FECHA DE FACTURACIÓN]]</f>
        <v>53</v>
      </c>
      <c r="AB1496" s="163" t="str">
        <f>+IF(Tabla2[[#This Row],[dias de credito]]&gt;=Tabla2[[#This Row],[PLAZO Días]],"venc", "No venc")</f>
        <v>venc</v>
      </c>
      <c r="AC1496" s="163" t="str">
        <f>+IF(Tabla2[[#This Row],[FECHA DE PAGO]]&gt;0,"pagada","por pagar")</f>
        <v>pagada</v>
      </c>
      <c r="AD1496" s="164" t="str">
        <f>+IF(AND(Tabla2[[#This Row],[venc]]="venc",Tabla2[[#This Row],[estado pago]]="por pagar"),"vencida","no")</f>
        <v>no</v>
      </c>
    </row>
    <row r="1497" spans="1:30" ht="19.5" customHeight="1" x14ac:dyDescent="0.25">
      <c r="A1497" s="8" t="s">
        <v>1850</v>
      </c>
      <c r="B1497" s="8" t="s">
        <v>1851</v>
      </c>
      <c r="C1497" s="8">
        <v>30</v>
      </c>
      <c r="D1497" s="151">
        <v>12628497</v>
      </c>
      <c r="E1497" s="151"/>
      <c r="F1497" s="24" t="s">
        <v>149</v>
      </c>
      <c r="G1497" s="30">
        <v>45406</v>
      </c>
      <c r="H1497" s="81" t="s">
        <v>451</v>
      </c>
      <c r="I1497" s="30">
        <v>45332</v>
      </c>
      <c r="J1497" s="16">
        <v>33719</v>
      </c>
      <c r="K1497" s="9" t="s">
        <v>1530</v>
      </c>
      <c r="L1497" s="9" t="s">
        <v>1534</v>
      </c>
      <c r="M1497" s="152">
        <v>4116710</v>
      </c>
      <c r="N1497" s="153">
        <v>722008</v>
      </c>
      <c r="O1497" s="152">
        <v>316670</v>
      </c>
      <c r="P1497" s="154">
        <v>2.5000000000000001E-2</v>
      </c>
      <c r="Q1497" s="152">
        <v>95001</v>
      </c>
      <c r="R1497" s="9">
        <v>4427047</v>
      </c>
      <c r="S1497" s="21" t="s">
        <v>1846</v>
      </c>
      <c r="T1497" s="117">
        <v>0</v>
      </c>
      <c r="U1497" s="117" t="s">
        <v>347</v>
      </c>
      <c r="V1497" s="117">
        <v>2024</v>
      </c>
      <c r="W1497" s="117">
        <v>7</v>
      </c>
      <c r="X1497" s="117">
        <v>1271000</v>
      </c>
      <c r="Y1497" s="117">
        <v>2.5000000000000001E-2</v>
      </c>
      <c r="Z1497" s="21" t="b">
        <v>0</v>
      </c>
      <c r="AA1497" s="162">
        <f>+$AD$5-Tabla2[[#This Row],[FECHA DE FACTURACIÓN]]</f>
        <v>111</v>
      </c>
      <c r="AB1497" s="163" t="str">
        <f>+IF(Tabla2[[#This Row],[dias de credito]]&gt;=Tabla2[[#This Row],[PLAZO Días]],"venc", "No venc")</f>
        <v>venc</v>
      </c>
      <c r="AC1497" s="163" t="str">
        <f>+IF(Tabla2[[#This Row],[FECHA DE PAGO]]&gt;0,"pagada","por pagar")</f>
        <v>pagada</v>
      </c>
      <c r="AD1497" s="164" t="str">
        <f>+IF(AND(Tabla2[[#This Row],[venc]]="venc",Tabla2[[#This Row],[estado pago]]="por pagar"),"vencida","no")</f>
        <v>no</v>
      </c>
    </row>
    <row r="1498" spans="1:30" ht="19.5" customHeight="1" x14ac:dyDescent="0.25">
      <c r="A1498" s="8" t="s">
        <v>1850</v>
      </c>
      <c r="B1498" s="8" t="s">
        <v>1851</v>
      </c>
      <c r="C1498" s="8">
        <v>30</v>
      </c>
      <c r="D1498" s="151">
        <v>12628497</v>
      </c>
      <c r="E1498" s="151"/>
      <c r="F1498" s="24" t="s">
        <v>149</v>
      </c>
      <c r="G1498" s="30">
        <v>45406</v>
      </c>
      <c r="H1498" s="81" t="s">
        <v>451</v>
      </c>
      <c r="I1498" s="30">
        <v>45345</v>
      </c>
      <c r="J1498" s="16">
        <v>33880</v>
      </c>
      <c r="K1498" s="9" t="s">
        <v>1530</v>
      </c>
      <c r="L1498" s="9" t="s">
        <v>1534</v>
      </c>
      <c r="M1498" s="152">
        <v>436000</v>
      </c>
      <c r="N1498" s="153">
        <v>82840</v>
      </c>
      <c r="O1498" s="152">
        <v>0</v>
      </c>
      <c r="P1498" s="154">
        <v>0</v>
      </c>
      <c r="Q1498" s="152">
        <v>0</v>
      </c>
      <c r="R1498" s="9">
        <v>518840</v>
      </c>
      <c r="S1498" s="21" t="s">
        <v>1846</v>
      </c>
      <c r="T1498" s="117">
        <v>0</v>
      </c>
      <c r="U1498" s="117" t="s">
        <v>347</v>
      </c>
      <c r="V1498" s="117">
        <v>2024</v>
      </c>
      <c r="W1498" s="117">
        <v>7</v>
      </c>
      <c r="X1498" s="117">
        <v>1271000</v>
      </c>
      <c r="Y1498" s="117">
        <v>2.5000000000000001E-2</v>
      </c>
      <c r="Z1498" s="21" t="b">
        <v>0</v>
      </c>
      <c r="AA1498" s="162">
        <f>+$AD$5-Tabla2[[#This Row],[FECHA DE FACTURACIÓN]]</f>
        <v>98</v>
      </c>
      <c r="AB1498" s="163" t="str">
        <f>+IF(Tabla2[[#This Row],[dias de credito]]&gt;=Tabla2[[#This Row],[PLAZO Días]],"venc", "No venc")</f>
        <v>venc</v>
      </c>
      <c r="AC1498" s="163" t="str">
        <f>+IF(Tabla2[[#This Row],[FECHA DE PAGO]]&gt;0,"pagada","por pagar")</f>
        <v>pagada</v>
      </c>
      <c r="AD1498" s="164" t="str">
        <f>+IF(AND(Tabla2[[#This Row],[venc]]="venc",Tabla2[[#This Row],[estado pago]]="por pagar"),"vencida","no")</f>
        <v>no</v>
      </c>
    </row>
    <row r="1499" spans="1:30" ht="19.5" customHeight="1" x14ac:dyDescent="0.25">
      <c r="A1499" s="8" t="s">
        <v>1852</v>
      </c>
      <c r="B1499" s="8" t="b">
        <v>0</v>
      </c>
      <c r="C1499" s="8">
        <v>0</v>
      </c>
      <c r="D1499" s="151">
        <v>0</v>
      </c>
      <c r="E1499" s="151"/>
      <c r="F1499" s="24" t="s">
        <v>1762</v>
      </c>
      <c r="G1499" s="30">
        <v>45406</v>
      </c>
      <c r="H1499" s="81" t="s">
        <v>1761</v>
      </c>
      <c r="I1499" s="30">
        <v>45406</v>
      </c>
      <c r="J1499" s="16" t="s">
        <v>1763</v>
      </c>
      <c r="K1499" s="9"/>
      <c r="L1499" s="9" t="s">
        <v>1534</v>
      </c>
      <c r="M1499" s="152">
        <v>3100000</v>
      </c>
      <c r="N1499" s="153">
        <v>589000</v>
      </c>
      <c r="O1499" s="152">
        <v>0</v>
      </c>
      <c r="P1499" s="154">
        <v>2.5000000000000001E-2</v>
      </c>
      <c r="Q1499" s="152">
        <v>77500</v>
      </c>
      <c r="R1499" s="9">
        <v>3611500</v>
      </c>
      <c r="S1499" s="21" t="s">
        <v>1846</v>
      </c>
      <c r="T1499" s="117">
        <v>0</v>
      </c>
      <c r="U1499" s="117" t="s">
        <v>347</v>
      </c>
      <c r="V1499" s="117">
        <v>2024</v>
      </c>
      <c r="W1499" s="117">
        <v>7</v>
      </c>
      <c r="X1499" s="117">
        <v>1271000</v>
      </c>
      <c r="Y1499" s="117">
        <v>2.5000000000000001E-2</v>
      </c>
      <c r="Z1499" s="21" t="b">
        <v>0</v>
      </c>
      <c r="AA1499" s="162">
        <f>+$AD$5-Tabla2[[#This Row],[FECHA DE FACTURACIÓN]]</f>
        <v>37</v>
      </c>
      <c r="AB1499" s="163" t="str">
        <f>+IF(Tabla2[[#This Row],[dias de credito]]&gt;=Tabla2[[#This Row],[PLAZO Días]],"venc", "No venc")</f>
        <v>venc</v>
      </c>
      <c r="AC1499" s="163" t="str">
        <f>+IF(Tabla2[[#This Row],[FECHA DE PAGO]]&gt;0,"pagada","por pagar")</f>
        <v>pagada</v>
      </c>
      <c r="AD1499" s="164" t="str">
        <f>+IF(AND(Tabla2[[#This Row],[venc]]="venc",Tabla2[[#This Row],[estado pago]]="por pagar"),"vencida","no")</f>
        <v>no</v>
      </c>
    </row>
    <row r="1500" spans="1:30" ht="19.5" customHeight="1" x14ac:dyDescent="0.25">
      <c r="A1500" s="8" t="s">
        <v>1852</v>
      </c>
      <c r="B1500" s="8" t="b">
        <v>0</v>
      </c>
      <c r="C1500" s="8">
        <v>30</v>
      </c>
      <c r="D1500" s="151">
        <v>1391998.93</v>
      </c>
      <c r="E1500" s="151"/>
      <c r="F1500" s="24" t="s">
        <v>1185</v>
      </c>
      <c r="G1500" s="30">
        <v>45406</v>
      </c>
      <c r="H1500" s="81" t="s">
        <v>1186</v>
      </c>
      <c r="I1500" s="30">
        <v>45406</v>
      </c>
      <c r="J1500" s="16" t="s">
        <v>1764</v>
      </c>
      <c r="K1500" s="9" t="s">
        <v>1530</v>
      </c>
      <c r="L1500" s="9" t="s">
        <v>1533</v>
      </c>
      <c r="M1500" s="152">
        <v>700840</v>
      </c>
      <c r="N1500" s="153">
        <v>133159.6</v>
      </c>
      <c r="O1500" s="152">
        <v>0</v>
      </c>
      <c r="P1500" s="154">
        <v>0</v>
      </c>
      <c r="Q1500" s="152">
        <v>0</v>
      </c>
      <c r="R1500" s="9">
        <v>833999.6</v>
      </c>
      <c r="S1500" s="21" t="s">
        <v>1846</v>
      </c>
      <c r="T1500" s="117">
        <v>0</v>
      </c>
      <c r="U1500" s="117" t="s">
        <v>347</v>
      </c>
      <c r="V1500" s="117">
        <v>2024</v>
      </c>
      <c r="W1500" s="117">
        <v>7</v>
      </c>
      <c r="X1500" s="117">
        <v>1271000</v>
      </c>
      <c r="Y1500" s="117">
        <v>2.5000000000000001E-2</v>
      </c>
      <c r="Z1500" s="21" t="b">
        <v>0</v>
      </c>
      <c r="AA1500" s="162">
        <f>+$AD$5-Tabla2[[#This Row],[FECHA DE FACTURACIÓN]]</f>
        <v>37</v>
      </c>
      <c r="AB1500" s="163" t="str">
        <f>+IF(Tabla2[[#This Row],[dias de credito]]&gt;=Tabla2[[#This Row],[PLAZO Días]],"venc", "No venc")</f>
        <v>venc</v>
      </c>
      <c r="AC1500" s="163" t="str">
        <f>+IF(Tabla2[[#This Row],[FECHA DE PAGO]]&gt;0,"pagada","por pagar")</f>
        <v>pagada</v>
      </c>
      <c r="AD1500" s="164" t="str">
        <f>+IF(AND(Tabla2[[#This Row],[venc]]="venc",Tabla2[[#This Row],[estado pago]]="por pagar"),"vencida","no")</f>
        <v>no</v>
      </c>
    </row>
    <row r="1501" spans="1:30" ht="19.5" customHeight="1" x14ac:dyDescent="0.25">
      <c r="A1501" s="8" t="s">
        <v>1850</v>
      </c>
      <c r="B1501" s="8" t="s">
        <v>1851</v>
      </c>
      <c r="C1501" s="8">
        <v>60</v>
      </c>
      <c r="D1501" s="151">
        <v>0</v>
      </c>
      <c r="E1501" s="151"/>
      <c r="F1501" s="24" t="s">
        <v>583</v>
      </c>
      <c r="G1501" s="30">
        <v>45407</v>
      </c>
      <c r="H1501" s="81" t="s">
        <v>582</v>
      </c>
      <c r="I1501" s="30">
        <v>45334</v>
      </c>
      <c r="J1501" s="16" t="s">
        <v>1758</v>
      </c>
      <c r="K1501" s="9" t="s">
        <v>1530</v>
      </c>
      <c r="L1501" s="9" t="s">
        <v>1533</v>
      </c>
      <c r="M1501" s="152">
        <v>3592000</v>
      </c>
      <c r="N1501" s="153">
        <v>682480</v>
      </c>
      <c r="O1501" s="152">
        <v>0</v>
      </c>
      <c r="P1501" s="154">
        <v>2.5000000000000001E-2</v>
      </c>
      <c r="Q1501" s="152">
        <v>89800</v>
      </c>
      <c r="R1501" s="9">
        <v>2339320</v>
      </c>
      <c r="S1501" s="21" t="s">
        <v>1846</v>
      </c>
      <c r="T1501" s="117">
        <v>0</v>
      </c>
      <c r="U1501" s="117" t="s">
        <v>347</v>
      </c>
      <c r="V1501" s="117">
        <v>2024</v>
      </c>
      <c r="W1501" s="117">
        <v>7</v>
      </c>
      <c r="X1501" s="117">
        <v>1271000</v>
      </c>
      <c r="Y1501" s="117">
        <v>2.5000000000000001E-2</v>
      </c>
      <c r="Z1501" s="21" t="b">
        <v>0</v>
      </c>
      <c r="AA1501" s="162">
        <f>+$AD$5-Tabla2[[#This Row],[FECHA DE FACTURACIÓN]]</f>
        <v>109</v>
      </c>
      <c r="AB1501" s="163" t="str">
        <f>+IF(Tabla2[[#This Row],[dias de credito]]&gt;=Tabla2[[#This Row],[PLAZO Días]],"venc", "No venc")</f>
        <v>venc</v>
      </c>
      <c r="AC1501" s="163" t="str">
        <f>+IF(Tabla2[[#This Row],[FECHA DE PAGO]]&gt;0,"pagada","por pagar")</f>
        <v>pagada</v>
      </c>
      <c r="AD1501" s="164" t="str">
        <f>+IF(AND(Tabla2[[#This Row],[venc]]="venc",Tabla2[[#This Row],[estado pago]]="por pagar"),"vencida","no")</f>
        <v>no</v>
      </c>
    </row>
    <row r="1502" spans="1:30" ht="19.5" customHeight="1" x14ac:dyDescent="0.25">
      <c r="A1502" s="8" t="s">
        <v>1850</v>
      </c>
      <c r="B1502" s="8" t="s">
        <v>1851</v>
      </c>
      <c r="C1502" s="8">
        <v>60</v>
      </c>
      <c r="D1502" s="151">
        <v>19124998.199999999</v>
      </c>
      <c r="E1502" s="151"/>
      <c r="F1502" s="24" t="s">
        <v>184</v>
      </c>
      <c r="G1502" s="30">
        <v>45411</v>
      </c>
      <c r="H1502" s="81" t="s">
        <v>30</v>
      </c>
      <c r="I1502" s="30">
        <v>45348</v>
      </c>
      <c r="J1502" s="16">
        <v>61138</v>
      </c>
      <c r="K1502" s="9" t="s">
        <v>1530</v>
      </c>
      <c r="L1502" s="9" t="s">
        <v>1534</v>
      </c>
      <c r="M1502" s="152">
        <v>24729069.474999998</v>
      </c>
      <c r="N1502" s="153">
        <v>0</v>
      </c>
      <c r="O1502" s="152">
        <v>0</v>
      </c>
      <c r="P1502" s="154">
        <v>0</v>
      </c>
      <c r="Q1502" s="152">
        <v>0</v>
      </c>
      <c r="R1502" s="9">
        <v>24729069.474999998</v>
      </c>
      <c r="S1502" s="21" t="s">
        <v>1846</v>
      </c>
      <c r="T1502" s="117">
        <v>0</v>
      </c>
      <c r="U1502" s="117">
        <v>0</v>
      </c>
      <c r="V1502" s="117">
        <v>2024</v>
      </c>
      <c r="W1502" s="117">
        <v>7</v>
      </c>
      <c r="X1502" s="117">
        <v>0</v>
      </c>
      <c r="Y1502" s="117">
        <v>0</v>
      </c>
      <c r="Z1502" s="21" t="b">
        <v>0</v>
      </c>
      <c r="AA1502" s="162">
        <f>+$AD$5-Tabla2[[#This Row],[FECHA DE FACTURACIÓN]]</f>
        <v>95</v>
      </c>
      <c r="AB1502" s="163" t="str">
        <f>+IF(Tabla2[[#This Row],[dias de credito]]&gt;=Tabla2[[#This Row],[PLAZO Días]],"venc", "No venc")</f>
        <v>venc</v>
      </c>
      <c r="AC1502" s="163" t="str">
        <f>+IF(Tabla2[[#This Row],[FECHA DE PAGO]]&gt;0,"pagada","por pagar")</f>
        <v>pagada</v>
      </c>
      <c r="AD1502" s="164" t="str">
        <f>+IF(AND(Tabla2[[#This Row],[venc]]="venc",Tabla2[[#This Row],[estado pago]]="por pagar"),"vencida","no")</f>
        <v>no</v>
      </c>
    </row>
    <row r="1503" spans="1:30" ht="19.5" customHeight="1" x14ac:dyDescent="0.25">
      <c r="A1503" s="8" t="s">
        <v>1850</v>
      </c>
      <c r="B1503" s="8" t="b">
        <v>0</v>
      </c>
      <c r="C1503" s="8">
        <v>30</v>
      </c>
      <c r="D1503" s="151">
        <v>0</v>
      </c>
      <c r="E1503" s="151"/>
      <c r="F1503" s="24" t="s">
        <v>232</v>
      </c>
      <c r="G1503" s="30">
        <v>45411</v>
      </c>
      <c r="H1503" s="81" t="s">
        <v>1729</v>
      </c>
      <c r="I1503" s="30">
        <v>45383</v>
      </c>
      <c r="J1503" s="16" t="s">
        <v>1700</v>
      </c>
      <c r="K1503" s="9" t="s">
        <v>504</v>
      </c>
      <c r="L1503" s="9" t="s">
        <v>1533</v>
      </c>
      <c r="M1503" s="152">
        <v>16351813.349999998</v>
      </c>
      <c r="N1503" s="153">
        <v>0</v>
      </c>
      <c r="O1503" s="152">
        <v>0</v>
      </c>
      <c r="P1503" s="154">
        <v>0</v>
      </c>
      <c r="Q1503" s="152">
        <v>0</v>
      </c>
      <c r="R1503" s="9">
        <v>16351813.349999998</v>
      </c>
      <c r="S1503" s="21" t="s">
        <v>1846</v>
      </c>
      <c r="T1503" s="117">
        <v>0</v>
      </c>
      <c r="U1503" s="117">
        <v>0</v>
      </c>
      <c r="V1503" s="117">
        <v>2024</v>
      </c>
      <c r="W1503" s="117">
        <v>7</v>
      </c>
      <c r="X1503" s="117">
        <v>0</v>
      </c>
      <c r="Y1503" s="117">
        <v>0</v>
      </c>
      <c r="Z1503" s="21" t="b">
        <v>0</v>
      </c>
      <c r="AA1503" s="162">
        <f>+$AD$5-Tabla2[[#This Row],[FECHA DE FACTURACIÓN]]</f>
        <v>60</v>
      </c>
      <c r="AB1503" s="163" t="str">
        <f>+IF(Tabla2[[#This Row],[dias de credito]]&gt;=Tabla2[[#This Row],[PLAZO Días]],"venc", "No venc")</f>
        <v>venc</v>
      </c>
      <c r="AC1503" s="163" t="str">
        <f>+IF(Tabla2[[#This Row],[FECHA DE PAGO]]&gt;0,"pagada","por pagar")</f>
        <v>pagada</v>
      </c>
      <c r="AD1503" s="164" t="str">
        <f>+IF(AND(Tabla2[[#This Row],[venc]]="venc",Tabla2[[#This Row],[estado pago]]="por pagar"),"vencida","no")</f>
        <v>no</v>
      </c>
    </row>
    <row r="1504" spans="1:30" ht="19.5" customHeight="1" x14ac:dyDescent="0.25">
      <c r="A1504" s="8" t="s">
        <v>1850</v>
      </c>
      <c r="B1504" s="8" t="b">
        <v>0</v>
      </c>
      <c r="C1504" s="8">
        <v>30</v>
      </c>
      <c r="D1504" s="151">
        <v>0</v>
      </c>
      <c r="E1504" s="151"/>
      <c r="F1504" s="24" t="s">
        <v>232</v>
      </c>
      <c r="G1504" s="30">
        <v>45411</v>
      </c>
      <c r="H1504" s="81" t="s">
        <v>1729</v>
      </c>
      <c r="I1504" s="30">
        <v>45383</v>
      </c>
      <c r="J1504" s="16" t="s">
        <v>1701</v>
      </c>
      <c r="K1504" s="9" t="s">
        <v>504</v>
      </c>
      <c r="L1504" s="9" t="s">
        <v>1533</v>
      </c>
      <c r="M1504" s="152">
        <v>5178268.3650000002</v>
      </c>
      <c r="N1504" s="153">
        <v>0</v>
      </c>
      <c r="O1504" s="152">
        <v>0</v>
      </c>
      <c r="P1504" s="154">
        <v>0</v>
      </c>
      <c r="Q1504" s="152">
        <v>0</v>
      </c>
      <c r="R1504" s="9">
        <v>5178268.3650000002</v>
      </c>
      <c r="S1504" s="21" t="s">
        <v>1846</v>
      </c>
      <c r="T1504" s="117">
        <v>0</v>
      </c>
      <c r="U1504" s="117">
        <v>0</v>
      </c>
      <c r="V1504" s="117">
        <v>2024</v>
      </c>
      <c r="W1504" s="117">
        <v>7</v>
      </c>
      <c r="X1504" s="117">
        <v>0</v>
      </c>
      <c r="Y1504" s="117">
        <v>0</v>
      </c>
      <c r="Z1504" s="21" t="b">
        <v>0</v>
      </c>
      <c r="AA1504" s="162">
        <f>+$AD$5-Tabla2[[#This Row],[FECHA DE FACTURACIÓN]]</f>
        <v>60</v>
      </c>
      <c r="AB1504" s="163" t="str">
        <f>+IF(Tabla2[[#This Row],[dias de credito]]&gt;=Tabla2[[#This Row],[PLAZO Días]],"venc", "No venc")</f>
        <v>venc</v>
      </c>
      <c r="AC1504" s="163" t="str">
        <f>+IF(Tabla2[[#This Row],[FECHA DE PAGO]]&gt;0,"pagada","por pagar")</f>
        <v>pagada</v>
      </c>
      <c r="AD1504" s="164" t="str">
        <f>+IF(AND(Tabla2[[#This Row],[venc]]="venc",Tabla2[[#This Row],[estado pago]]="por pagar"),"vencida","no")</f>
        <v>no</v>
      </c>
    </row>
    <row r="1505" spans="1:30" ht="19.5" customHeight="1" x14ac:dyDescent="0.25">
      <c r="A1505" s="8" t="s">
        <v>1850</v>
      </c>
      <c r="B1505" s="8" t="b">
        <v>0</v>
      </c>
      <c r="C1505" s="8">
        <v>30</v>
      </c>
      <c r="D1505" s="151">
        <v>0</v>
      </c>
      <c r="E1505" s="151"/>
      <c r="F1505" s="24" t="s">
        <v>232</v>
      </c>
      <c r="G1505" s="30">
        <v>45411</v>
      </c>
      <c r="H1505" s="81" t="s">
        <v>1729</v>
      </c>
      <c r="I1505" s="30">
        <v>45383</v>
      </c>
      <c r="J1505" s="16" t="s">
        <v>1699</v>
      </c>
      <c r="K1505" s="9" t="s">
        <v>504</v>
      </c>
      <c r="L1505" s="9" t="s">
        <v>1533</v>
      </c>
      <c r="M1505" s="152">
        <v>7223468.1000000006</v>
      </c>
      <c r="N1505" s="153">
        <v>0</v>
      </c>
      <c r="O1505" s="152">
        <v>0</v>
      </c>
      <c r="P1505" s="154">
        <v>0</v>
      </c>
      <c r="Q1505" s="152">
        <v>0</v>
      </c>
      <c r="R1505" s="9">
        <v>7223468.1000000006</v>
      </c>
      <c r="S1505" s="21" t="s">
        <v>1846</v>
      </c>
      <c r="T1505" s="117">
        <v>0</v>
      </c>
      <c r="U1505" s="117">
        <v>0</v>
      </c>
      <c r="V1505" s="117">
        <v>2024</v>
      </c>
      <c r="W1505" s="117">
        <v>7</v>
      </c>
      <c r="X1505" s="117">
        <v>0</v>
      </c>
      <c r="Y1505" s="117">
        <v>0</v>
      </c>
      <c r="Z1505" s="21" t="b">
        <v>0</v>
      </c>
      <c r="AA1505" s="162">
        <f>+$AD$5-Tabla2[[#This Row],[FECHA DE FACTURACIÓN]]</f>
        <v>60</v>
      </c>
      <c r="AB1505" s="163" t="str">
        <f>+IF(Tabla2[[#This Row],[dias de credito]]&gt;=Tabla2[[#This Row],[PLAZO Días]],"venc", "No venc")</f>
        <v>venc</v>
      </c>
      <c r="AC1505" s="163" t="str">
        <f>+IF(Tabla2[[#This Row],[FECHA DE PAGO]]&gt;0,"pagada","por pagar")</f>
        <v>pagada</v>
      </c>
      <c r="AD1505" s="164" t="str">
        <f>+IF(AND(Tabla2[[#This Row],[venc]]="venc",Tabla2[[#This Row],[estado pago]]="por pagar"),"vencida","no")</f>
        <v>no</v>
      </c>
    </row>
    <row r="1506" spans="1:30" ht="19.5" customHeight="1" x14ac:dyDescent="0.25">
      <c r="A1506" s="8" t="s">
        <v>1850</v>
      </c>
      <c r="B1506" s="8" t="b">
        <v>0</v>
      </c>
      <c r="C1506" s="8">
        <v>30</v>
      </c>
      <c r="D1506" s="151">
        <v>0</v>
      </c>
      <c r="E1506" s="151"/>
      <c r="F1506" s="24" t="s">
        <v>84</v>
      </c>
      <c r="G1506" s="30">
        <v>45412</v>
      </c>
      <c r="H1506" s="81" t="s">
        <v>481</v>
      </c>
      <c r="I1506" s="30">
        <v>45411</v>
      </c>
      <c r="J1506" s="16" t="s">
        <v>1882</v>
      </c>
      <c r="K1506" s="9" t="s">
        <v>504</v>
      </c>
      <c r="L1506" s="9" t="s">
        <v>1541</v>
      </c>
      <c r="M1506" s="152">
        <v>3960000</v>
      </c>
      <c r="N1506" s="153">
        <v>0</v>
      </c>
      <c r="O1506" s="152">
        <v>0</v>
      </c>
      <c r="P1506" s="154">
        <v>0</v>
      </c>
      <c r="Q1506" s="152">
        <v>0</v>
      </c>
      <c r="R1506" s="9">
        <v>3960000</v>
      </c>
      <c r="S1506" s="21" t="s">
        <v>1846</v>
      </c>
      <c r="T1506" s="117">
        <v>0</v>
      </c>
      <c r="U1506" s="117">
        <v>0</v>
      </c>
      <c r="V1506" s="117">
        <v>2024</v>
      </c>
      <c r="W1506" s="117">
        <v>7</v>
      </c>
      <c r="X1506" s="117">
        <v>0</v>
      </c>
      <c r="Y1506" s="117">
        <v>0</v>
      </c>
      <c r="Z1506" s="21" t="b">
        <v>0</v>
      </c>
      <c r="AA1506" s="162">
        <f>+$AD$5-Tabla2[[#This Row],[FECHA DE FACTURACIÓN]]</f>
        <v>32</v>
      </c>
      <c r="AB1506" s="163" t="str">
        <f>+IF(Tabla2[[#This Row],[dias de credito]]&gt;=Tabla2[[#This Row],[PLAZO Días]],"venc", "No venc")</f>
        <v>venc</v>
      </c>
      <c r="AC1506" s="163" t="str">
        <f>+IF(Tabla2[[#This Row],[FECHA DE PAGO]]&gt;0,"pagada","por pagar")</f>
        <v>pagada</v>
      </c>
      <c r="AD1506" s="164" t="str">
        <f>+IF(AND(Tabla2[[#This Row],[venc]]="venc",Tabla2[[#This Row],[estado pago]]="por pagar"),"vencida","no")</f>
        <v>no</v>
      </c>
    </row>
    <row r="1507" spans="1:30" ht="19.5" customHeight="1" x14ac:dyDescent="0.25">
      <c r="A1507" s="8" t="s">
        <v>1852</v>
      </c>
      <c r="B1507" s="8" t="b">
        <v>0</v>
      </c>
      <c r="C1507" s="8">
        <v>30</v>
      </c>
      <c r="D1507" s="151">
        <v>0</v>
      </c>
      <c r="E1507" s="151"/>
      <c r="F1507" s="24" t="s">
        <v>84</v>
      </c>
      <c r="G1507" s="30">
        <v>45412</v>
      </c>
      <c r="H1507" s="81" t="s">
        <v>525</v>
      </c>
      <c r="I1507" s="30">
        <v>45412</v>
      </c>
      <c r="J1507" s="16" t="s">
        <v>1836</v>
      </c>
      <c r="K1507" s="9" t="s">
        <v>1530</v>
      </c>
      <c r="L1507" s="9"/>
      <c r="M1507" s="152">
        <v>35000</v>
      </c>
      <c r="N1507" s="153">
        <v>0</v>
      </c>
      <c r="O1507" s="152">
        <v>0</v>
      </c>
      <c r="P1507" s="154">
        <v>0</v>
      </c>
      <c r="Q1507" s="152">
        <v>0</v>
      </c>
      <c r="R1507" s="9">
        <v>35000</v>
      </c>
      <c r="S1507" s="21" t="s">
        <v>1846</v>
      </c>
      <c r="T1507" s="117">
        <v>0</v>
      </c>
      <c r="U1507" s="117">
        <v>0</v>
      </c>
      <c r="V1507" s="117">
        <v>2024</v>
      </c>
      <c r="W1507" s="117">
        <v>7</v>
      </c>
      <c r="X1507" s="117">
        <v>0</v>
      </c>
      <c r="Y1507" s="117">
        <v>0</v>
      </c>
      <c r="Z1507" s="21" t="b">
        <v>0</v>
      </c>
      <c r="AA1507" s="162">
        <f>+$AD$5-Tabla2[[#This Row],[FECHA DE FACTURACIÓN]]</f>
        <v>31</v>
      </c>
      <c r="AB1507" s="163" t="str">
        <f>+IF(Tabla2[[#This Row],[dias de credito]]&gt;=Tabla2[[#This Row],[PLAZO Días]],"venc", "No venc")</f>
        <v>venc</v>
      </c>
      <c r="AC1507" s="163" t="str">
        <f>+IF(Tabla2[[#This Row],[FECHA DE PAGO]]&gt;0,"pagada","por pagar")</f>
        <v>pagada</v>
      </c>
      <c r="AD1507" s="164" t="str">
        <f>+IF(AND(Tabla2[[#This Row],[venc]]="venc",Tabla2[[#This Row],[estado pago]]="por pagar"),"vencida","no")</f>
        <v>no</v>
      </c>
    </row>
    <row r="1508" spans="1:30" ht="19.5" customHeight="1" x14ac:dyDescent="0.25">
      <c r="A1508" s="8" t="s">
        <v>1852</v>
      </c>
      <c r="B1508" s="8" t="b">
        <v>0</v>
      </c>
      <c r="C1508" s="8">
        <v>30</v>
      </c>
      <c r="D1508" s="151">
        <v>0</v>
      </c>
      <c r="E1508" s="151"/>
      <c r="F1508" s="24" t="s">
        <v>84</v>
      </c>
      <c r="G1508" s="30">
        <v>45412</v>
      </c>
      <c r="H1508" s="81" t="s">
        <v>525</v>
      </c>
      <c r="I1508" s="30">
        <v>45412</v>
      </c>
      <c r="J1508" s="16" t="s">
        <v>1841</v>
      </c>
      <c r="K1508" s="9"/>
      <c r="L1508" s="9"/>
      <c r="M1508" s="152">
        <v>498000</v>
      </c>
      <c r="N1508" s="153">
        <v>0</v>
      </c>
      <c r="O1508" s="152">
        <v>0</v>
      </c>
      <c r="P1508" s="154">
        <v>0</v>
      </c>
      <c r="Q1508" s="152">
        <v>0</v>
      </c>
      <c r="R1508" s="9">
        <v>498000</v>
      </c>
      <c r="S1508" s="21" t="s">
        <v>1846</v>
      </c>
      <c r="T1508" s="117">
        <v>0</v>
      </c>
      <c r="U1508" s="117">
        <v>0</v>
      </c>
      <c r="V1508" s="117">
        <v>2024</v>
      </c>
      <c r="W1508" s="117">
        <v>7</v>
      </c>
      <c r="X1508" s="117">
        <v>0</v>
      </c>
      <c r="Y1508" s="117">
        <v>0</v>
      </c>
      <c r="Z1508" s="21" t="b">
        <v>0</v>
      </c>
      <c r="AA1508" s="162">
        <f>+$AD$5-Tabla2[[#This Row],[FECHA DE FACTURACIÓN]]</f>
        <v>31</v>
      </c>
      <c r="AB1508" s="163" t="str">
        <f>+IF(Tabla2[[#This Row],[dias de credito]]&gt;=Tabla2[[#This Row],[PLAZO Días]],"venc", "No venc")</f>
        <v>venc</v>
      </c>
      <c r="AC1508" s="163" t="str">
        <f>+IF(Tabla2[[#This Row],[FECHA DE PAGO]]&gt;0,"pagada","por pagar")</f>
        <v>pagada</v>
      </c>
      <c r="AD1508" s="164" t="str">
        <f>+IF(AND(Tabla2[[#This Row],[venc]]="venc",Tabla2[[#This Row],[estado pago]]="por pagar"),"vencida","no")</f>
        <v>no</v>
      </c>
    </row>
    <row r="1509" spans="1:30" ht="19.5" customHeight="1" x14ac:dyDescent="0.25">
      <c r="A1509" s="8" t="s">
        <v>1852</v>
      </c>
      <c r="B1509" s="8" t="b">
        <v>0</v>
      </c>
      <c r="C1509" s="8">
        <v>30</v>
      </c>
      <c r="D1509" s="151">
        <v>0</v>
      </c>
      <c r="E1509" s="151"/>
      <c r="F1509" s="24" t="s">
        <v>84</v>
      </c>
      <c r="G1509" s="30">
        <v>45412</v>
      </c>
      <c r="H1509" s="81" t="s">
        <v>525</v>
      </c>
      <c r="I1509" s="30">
        <v>45412</v>
      </c>
      <c r="J1509" s="16" t="s">
        <v>1842</v>
      </c>
      <c r="K1509" s="9"/>
      <c r="L1509" s="9"/>
      <c r="M1509" s="152">
        <v>120000</v>
      </c>
      <c r="N1509" s="153">
        <v>0</v>
      </c>
      <c r="O1509" s="152">
        <v>0</v>
      </c>
      <c r="P1509" s="154">
        <v>0</v>
      </c>
      <c r="Q1509" s="152">
        <v>0</v>
      </c>
      <c r="R1509" s="9">
        <v>120000</v>
      </c>
      <c r="S1509" s="21" t="s">
        <v>1846</v>
      </c>
      <c r="T1509" s="117">
        <v>0</v>
      </c>
      <c r="U1509" s="117">
        <v>0</v>
      </c>
      <c r="V1509" s="117">
        <v>2024</v>
      </c>
      <c r="W1509" s="117">
        <v>7</v>
      </c>
      <c r="X1509" s="117">
        <v>0</v>
      </c>
      <c r="Y1509" s="117">
        <v>0</v>
      </c>
      <c r="Z1509" s="21" t="b">
        <v>0</v>
      </c>
      <c r="AA1509" s="162">
        <f>+$AD$5-Tabla2[[#This Row],[FECHA DE FACTURACIÓN]]</f>
        <v>31</v>
      </c>
      <c r="AB1509" s="163" t="str">
        <f>+IF(Tabla2[[#This Row],[dias de credito]]&gt;=Tabla2[[#This Row],[PLAZO Días]],"venc", "No venc")</f>
        <v>venc</v>
      </c>
      <c r="AC1509" s="163" t="str">
        <f>+IF(Tabla2[[#This Row],[FECHA DE PAGO]]&gt;0,"pagada","por pagar")</f>
        <v>pagada</v>
      </c>
      <c r="AD1509" s="164" t="str">
        <f>+IF(AND(Tabla2[[#This Row],[venc]]="venc",Tabla2[[#This Row],[estado pago]]="por pagar"),"vencida","no")</f>
        <v>no</v>
      </c>
    </row>
    <row r="1510" spans="1:30" ht="19.5" customHeight="1" x14ac:dyDescent="0.25">
      <c r="A1510" s="8" t="s">
        <v>1852</v>
      </c>
      <c r="B1510" s="8" t="b">
        <v>0</v>
      </c>
      <c r="C1510" s="8">
        <v>30</v>
      </c>
      <c r="D1510" s="151">
        <v>0</v>
      </c>
      <c r="E1510" s="151"/>
      <c r="F1510" s="24" t="s">
        <v>84</v>
      </c>
      <c r="G1510" s="30">
        <v>45412</v>
      </c>
      <c r="H1510" s="81" t="s">
        <v>525</v>
      </c>
      <c r="I1510" s="30">
        <v>45412</v>
      </c>
      <c r="J1510" s="16" t="s">
        <v>1843</v>
      </c>
      <c r="K1510" s="9"/>
      <c r="L1510" s="9"/>
      <c r="M1510" s="152">
        <v>1900400</v>
      </c>
      <c r="N1510" s="153">
        <v>0</v>
      </c>
      <c r="O1510" s="152">
        <v>0</v>
      </c>
      <c r="P1510" s="154">
        <v>0</v>
      </c>
      <c r="Q1510" s="152">
        <v>0</v>
      </c>
      <c r="R1510" s="9">
        <v>1900400</v>
      </c>
      <c r="S1510" s="21" t="s">
        <v>1846</v>
      </c>
      <c r="T1510" s="117">
        <v>0</v>
      </c>
      <c r="U1510" s="117">
        <v>0</v>
      </c>
      <c r="V1510" s="117">
        <v>2024</v>
      </c>
      <c r="W1510" s="117">
        <v>7</v>
      </c>
      <c r="X1510" s="117">
        <v>0</v>
      </c>
      <c r="Y1510" s="117">
        <v>0</v>
      </c>
      <c r="Z1510" s="21" t="b">
        <v>0</v>
      </c>
      <c r="AA1510" s="162">
        <f>+$AD$5-Tabla2[[#This Row],[FECHA DE FACTURACIÓN]]</f>
        <v>31</v>
      </c>
      <c r="AB1510" s="163" t="str">
        <f>+IF(Tabla2[[#This Row],[dias de credito]]&gt;=Tabla2[[#This Row],[PLAZO Días]],"venc", "No venc")</f>
        <v>venc</v>
      </c>
      <c r="AC1510" s="163" t="str">
        <f>+IF(Tabla2[[#This Row],[FECHA DE PAGO]]&gt;0,"pagada","por pagar")</f>
        <v>pagada</v>
      </c>
      <c r="AD1510" s="164" t="str">
        <f>+IF(AND(Tabla2[[#This Row],[venc]]="venc",Tabla2[[#This Row],[estado pago]]="por pagar"),"vencida","no")</f>
        <v>no</v>
      </c>
    </row>
    <row r="1511" spans="1:30" ht="19.5" customHeight="1" x14ac:dyDescent="0.25">
      <c r="A1511" s="8" t="s">
        <v>1852</v>
      </c>
      <c r="B1511" s="8" t="b">
        <v>0</v>
      </c>
      <c r="C1511" s="8">
        <v>30</v>
      </c>
      <c r="D1511" s="151">
        <v>0</v>
      </c>
      <c r="E1511" s="151"/>
      <c r="F1511" s="24" t="s">
        <v>84</v>
      </c>
      <c r="G1511" s="30">
        <v>45412</v>
      </c>
      <c r="H1511" s="81" t="s">
        <v>525</v>
      </c>
      <c r="I1511" s="30">
        <v>45412</v>
      </c>
      <c r="J1511" s="16" t="s">
        <v>1844</v>
      </c>
      <c r="K1511" s="9"/>
      <c r="L1511" s="9"/>
      <c r="M1511" s="152">
        <v>883500</v>
      </c>
      <c r="N1511" s="153">
        <v>0</v>
      </c>
      <c r="O1511" s="152">
        <v>0</v>
      </c>
      <c r="P1511" s="154">
        <v>0</v>
      </c>
      <c r="Q1511" s="152">
        <v>0</v>
      </c>
      <c r="R1511" s="9">
        <v>883500</v>
      </c>
      <c r="S1511" s="21" t="s">
        <v>1846</v>
      </c>
      <c r="T1511" s="117">
        <v>0</v>
      </c>
      <c r="U1511" s="117">
        <v>0</v>
      </c>
      <c r="V1511" s="117">
        <v>2024</v>
      </c>
      <c r="W1511" s="117">
        <v>7</v>
      </c>
      <c r="X1511" s="117">
        <v>0</v>
      </c>
      <c r="Y1511" s="117">
        <v>0</v>
      </c>
      <c r="Z1511" s="21" t="b">
        <v>0</v>
      </c>
      <c r="AA1511" s="162">
        <f>+$AD$5-Tabla2[[#This Row],[FECHA DE FACTURACIÓN]]</f>
        <v>31</v>
      </c>
      <c r="AB1511" s="163" t="str">
        <f>+IF(Tabla2[[#This Row],[dias de credito]]&gt;=Tabla2[[#This Row],[PLAZO Días]],"venc", "No venc")</f>
        <v>venc</v>
      </c>
      <c r="AC1511" s="163" t="str">
        <f>+IF(Tabla2[[#This Row],[FECHA DE PAGO]]&gt;0,"pagada","por pagar")</f>
        <v>pagada</v>
      </c>
      <c r="AD1511" s="164" t="str">
        <f>+IF(AND(Tabla2[[#This Row],[venc]]="venc",Tabla2[[#This Row],[estado pago]]="por pagar"),"vencida","no")</f>
        <v>no</v>
      </c>
    </row>
    <row r="1512" spans="1:30" ht="19.5" customHeight="1" x14ac:dyDescent="0.25">
      <c r="A1512" s="8" t="s">
        <v>1852</v>
      </c>
      <c r="B1512" s="8" t="b">
        <v>0</v>
      </c>
      <c r="C1512" s="8">
        <v>30</v>
      </c>
      <c r="D1512" s="151">
        <v>0</v>
      </c>
      <c r="E1512" s="151"/>
      <c r="F1512" s="24" t="s">
        <v>84</v>
      </c>
      <c r="G1512" s="30">
        <v>45412</v>
      </c>
      <c r="H1512" s="81" t="s">
        <v>525</v>
      </c>
      <c r="I1512" s="30">
        <v>45412</v>
      </c>
      <c r="J1512" s="16" t="s">
        <v>1845</v>
      </c>
      <c r="K1512" s="9"/>
      <c r="L1512" s="9"/>
      <c r="M1512" s="152">
        <v>268000</v>
      </c>
      <c r="N1512" s="153">
        <v>0</v>
      </c>
      <c r="O1512" s="152">
        <v>0</v>
      </c>
      <c r="P1512" s="154">
        <v>0</v>
      </c>
      <c r="Q1512" s="152">
        <v>0</v>
      </c>
      <c r="R1512" s="9">
        <v>268000</v>
      </c>
      <c r="S1512" s="21" t="s">
        <v>1846</v>
      </c>
      <c r="T1512" s="117">
        <v>0</v>
      </c>
      <c r="U1512" s="117">
        <v>0</v>
      </c>
      <c r="V1512" s="117">
        <v>2024</v>
      </c>
      <c r="W1512" s="117">
        <v>7</v>
      </c>
      <c r="X1512" s="117">
        <v>0</v>
      </c>
      <c r="Y1512" s="117">
        <v>0</v>
      </c>
      <c r="Z1512" s="21" t="b">
        <v>0</v>
      </c>
      <c r="AA1512" s="162">
        <f>+$AD$5-Tabla2[[#This Row],[FECHA DE FACTURACIÓN]]</f>
        <v>31</v>
      </c>
      <c r="AB1512" s="163" t="str">
        <f>+IF(Tabla2[[#This Row],[dias de credito]]&gt;=Tabla2[[#This Row],[PLAZO Días]],"venc", "No venc")</f>
        <v>venc</v>
      </c>
      <c r="AC1512" s="163" t="str">
        <f>+IF(Tabla2[[#This Row],[FECHA DE PAGO]]&gt;0,"pagada","por pagar")</f>
        <v>pagada</v>
      </c>
      <c r="AD1512" s="164" t="str">
        <f>+IF(AND(Tabla2[[#This Row],[venc]]="venc",Tabla2[[#This Row],[estado pago]]="por pagar"),"vencida","no")</f>
        <v>no</v>
      </c>
    </row>
    <row r="1513" spans="1:30" ht="19.5" customHeight="1" x14ac:dyDescent="0.25">
      <c r="A1513" s="8" t="s">
        <v>1852</v>
      </c>
      <c r="B1513" s="8" t="b">
        <v>0</v>
      </c>
      <c r="C1513" s="8">
        <v>30</v>
      </c>
      <c r="D1513" s="151">
        <v>0</v>
      </c>
      <c r="E1513" s="151"/>
      <c r="F1513" s="24" t="s">
        <v>84</v>
      </c>
      <c r="G1513" s="30">
        <v>45412</v>
      </c>
      <c r="H1513" s="81" t="s">
        <v>525</v>
      </c>
      <c r="I1513" s="30">
        <v>45412</v>
      </c>
      <c r="J1513" s="16" t="s">
        <v>504</v>
      </c>
      <c r="K1513" s="9"/>
      <c r="L1513" s="9"/>
      <c r="M1513" s="152">
        <v>168000</v>
      </c>
      <c r="N1513" s="153">
        <v>0</v>
      </c>
      <c r="O1513" s="152">
        <v>0</v>
      </c>
      <c r="P1513" s="154">
        <v>0</v>
      </c>
      <c r="Q1513" s="152">
        <v>0</v>
      </c>
      <c r="R1513" s="9">
        <v>168000</v>
      </c>
      <c r="S1513" s="21" t="s">
        <v>1846</v>
      </c>
      <c r="T1513" s="117">
        <v>0</v>
      </c>
      <c r="U1513" s="117">
        <v>0</v>
      </c>
      <c r="V1513" s="117">
        <v>2024</v>
      </c>
      <c r="W1513" s="117">
        <v>7</v>
      </c>
      <c r="X1513" s="117">
        <v>0</v>
      </c>
      <c r="Y1513" s="117">
        <v>0</v>
      </c>
      <c r="Z1513" s="21" t="b">
        <v>0</v>
      </c>
      <c r="AA1513" s="162">
        <f>+$AD$5-Tabla2[[#This Row],[FECHA DE FACTURACIÓN]]</f>
        <v>31</v>
      </c>
      <c r="AB1513" s="163" t="str">
        <f>+IF(Tabla2[[#This Row],[dias de credito]]&gt;=Tabla2[[#This Row],[PLAZO Días]],"venc", "No venc")</f>
        <v>venc</v>
      </c>
      <c r="AC1513" s="163" t="str">
        <f>+IF(Tabla2[[#This Row],[FECHA DE PAGO]]&gt;0,"pagada","por pagar")</f>
        <v>pagada</v>
      </c>
      <c r="AD1513" s="164" t="str">
        <f>+IF(AND(Tabla2[[#This Row],[venc]]="venc",Tabla2[[#This Row],[estado pago]]="por pagar"),"vencida","no")</f>
        <v>no</v>
      </c>
    </row>
    <row r="1514" spans="1:30" ht="19.5" customHeight="1" x14ac:dyDescent="0.25">
      <c r="A1514" s="8" t="s">
        <v>1850</v>
      </c>
      <c r="B1514" s="8" t="b">
        <v>0</v>
      </c>
      <c r="C1514" s="8">
        <v>60</v>
      </c>
      <c r="D1514" s="151">
        <v>50353355.590000004</v>
      </c>
      <c r="E1514" s="151"/>
      <c r="F1514" s="24" t="s">
        <v>157</v>
      </c>
      <c r="G1514" s="30">
        <v>45414</v>
      </c>
      <c r="H1514" s="81" t="s">
        <v>9</v>
      </c>
      <c r="I1514" s="30">
        <v>45412</v>
      </c>
      <c r="J1514" s="16" t="s">
        <v>1886</v>
      </c>
      <c r="K1514" s="9" t="s">
        <v>1530</v>
      </c>
      <c r="L1514" s="9" t="s">
        <v>1533</v>
      </c>
      <c r="M1514" s="152">
        <v>20982644</v>
      </c>
      <c r="N1514" s="153">
        <v>0</v>
      </c>
      <c r="O1514" s="152">
        <v>0</v>
      </c>
      <c r="P1514" s="154">
        <v>0</v>
      </c>
      <c r="Q1514" s="152">
        <v>0</v>
      </c>
      <c r="R1514" s="9">
        <v>20982644</v>
      </c>
      <c r="S1514" s="21" t="s">
        <v>1846</v>
      </c>
      <c r="T1514" s="117">
        <v>0</v>
      </c>
      <c r="U1514" s="117" t="s">
        <v>347</v>
      </c>
      <c r="V1514" s="117">
        <v>2024</v>
      </c>
      <c r="W1514" s="117">
        <v>7</v>
      </c>
      <c r="X1514" s="117">
        <v>1271000</v>
      </c>
      <c r="Y1514" s="117">
        <v>2.5000000000000001E-2</v>
      </c>
      <c r="Z1514" s="21" t="b">
        <v>0</v>
      </c>
      <c r="AA1514" s="162">
        <f>+$AD$5-Tabla2[[#This Row],[FECHA DE FACTURACIÓN]]</f>
        <v>31</v>
      </c>
      <c r="AB1514" s="163" t="str">
        <f>+IF(Tabla2[[#This Row],[dias de credito]]&gt;=Tabla2[[#This Row],[PLAZO Días]],"venc", "No venc")</f>
        <v>No venc</v>
      </c>
      <c r="AC1514" s="163" t="str">
        <f>+IF(Tabla2[[#This Row],[FECHA DE PAGO]]&gt;0,"pagada","por pagar")</f>
        <v>pagada</v>
      </c>
      <c r="AD1514" s="164" t="str">
        <f>+IF(AND(Tabla2[[#This Row],[venc]]="venc",Tabla2[[#This Row],[estado pago]]="por pagar"),"vencida","no")</f>
        <v>no</v>
      </c>
    </row>
    <row r="1515" spans="1:30" ht="19.5" customHeight="1" x14ac:dyDescent="0.25">
      <c r="A1515" s="8" t="s">
        <v>1850</v>
      </c>
      <c r="B1515" s="8" t="b">
        <v>0</v>
      </c>
      <c r="C1515" s="8">
        <v>30</v>
      </c>
      <c r="D1515" s="151">
        <v>0</v>
      </c>
      <c r="E1515" s="151"/>
      <c r="F1515" s="24">
        <v>0</v>
      </c>
      <c r="G1515" s="30">
        <v>45414</v>
      </c>
      <c r="H1515" s="81" t="s">
        <v>1626</v>
      </c>
      <c r="I1515" s="30">
        <v>45413</v>
      </c>
      <c r="J1515" s="16" t="s">
        <v>1858</v>
      </c>
      <c r="K1515" s="9" t="s">
        <v>504</v>
      </c>
      <c r="L1515" s="9" t="s">
        <v>1541</v>
      </c>
      <c r="M1515" s="152">
        <v>20524903.559999999</v>
      </c>
      <c r="N1515" s="153">
        <v>0</v>
      </c>
      <c r="O1515" s="152">
        <v>0</v>
      </c>
      <c r="P1515" s="154">
        <v>0</v>
      </c>
      <c r="Q1515" s="152">
        <v>0</v>
      </c>
      <c r="R1515" s="9">
        <v>20524903.559999999</v>
      </c>
      <c r="S1515" s="21" t="s">
        <v>1846</v>
      </c>
      <c r="T1515" s="117">
        <v>0</v>
      </c>
      <c r="U1515" s="117">
        <v>0</v>
      </c>
      <c r="V1515" s="117">
        <v>2024</v>
      </c>
      <c r="W1515" s="117">
        <v>7</v>
      </c>
      <c r="X1515" s="117">
        <v>0</v>
      </c>
      <c r="Y1515" s="117">
        <v>0</v>
      </c>
      <c r="Z1515" s="21" t="b">
        <v>0</v>
      </c>
      <c r="AA1515" s="162">
        <f>+$AD$5-Tabla2[[#This Row],[FECHA DE FACTURACIÓN]]</f>
        <v>30</v>
      </c>
      <c r="AB1515" s="163" t="str">
        <f>+IF(Tabla2[[#This Row],[dias de credito]]&gt;=Tabla2[[#This Row],[PLAZO Días]],"venc", "No venc")</f>
        <v>venc</v>
      </c>
      <c r="AC1515" s="163" t="str">
        <f>+IF(Tabla2[[#This Row],[FECHA DE PAGO]]&gt;0,"pagada","por pagar")</f>
        <v>pagada</v>
      </c>
      <c r="AD1515" s="164" t="str">
        <f>+IF(AND(Tabla2[[#This Row],[venc]]="venc",Tabla2[[#This Row],[estado pago]]="por pagar"),"vencida","no")</f>
        <v>no</v>
      </c>
    </row>
    <row r="1516" spans="1:30" ht="19.5" customHeight="1" x14ac:dyDescent="0.25">
      <c r="A1516" s="8" t="s">
        <v>1850</v>
      </c>
      <c r="B1516" s="8" t="b">
        <v>0</v>
      </c>
      <c r="C1516" s="8">
        <v>30</v>
      </c>
      <c r="D1516" s="151">
        <v>0</v>
      </c>
      <c r="E1516" s="151"/>
      <c r="F1516" s="24" t="s">
        <v>86</v>
      </c>
      <c r="G1516" s="30">
        <v>45414</v>
      </c>
      <c r="H1516" s="81" t="s">
        <v>390</v>
      </c>
      <c r="I1516" s="30">
        <v>45413</v>
      </c>
      <c r="J1516" s="16"/>
      <c r="K1516" s="9" t="s">
        <v>1530</v>
      </c>
      <c r="L1516" s="9" t="s">
        <v>1536</v>
      </c>
      <c r="M1516" s="152">
        <v>633500</v>
      </c>
      <c r="N1516" s="153">
        <v>0</v>
      </c>
      <c r="O1516" s="152">
        <v>0</v>
      </c>
      <c r="P1516" s="154">
        <v>0</v>
      </c>
      <c r="Q1516" s="152">
        <v>0</v>
      </c>
      <c r="R1516" s="9">
        <v>633500</v>
      </c>
      <c r="S1516" s="21" t="s">
        <v>1846</v>
      </c>
      <c r="T1516" s="117">
        <v>0</v>
      </c>
      <c r="U1516" s="117">
        <v>0</v>
      </c>
      <c r="V1516" s="117">
        <v>2024</v>
      </c>
      <c r="W1516" s="117">
        <v>7</v>
      </c>
      <c r="X1516" s="117">
        <v>0</v>
      </c>
      <c r="Y1516" s="117">
        <v>0</v>
      </c>
      <c r="Z1516" s="21" t="b">
        <v>1</v>
      </c>
      <c r="AA1516" s="162">
        <f>+$AD$5-Tabla2[[#This Row],[FECHA DE FACTURACIÓN]]</f>
        <v>30</v>
      </c>
      <c r="AB1516" s="163" t="str">
        <f>+IF(Tabla2[[#This Row],[dias de credito]]&gt;=Tabla2[[#This Row],[PLAZO Días]],"venc", "No venc")</f>
        <v>venc</v>
      </c>
      <c r="AC1516" s="163" t="str">
        <f>+IF(Tabla2[[#This Row],[FECHA DE PAGO]]&gt;0,"pagada","por pagar")</f>
        <v>pagada</v>
      </c>
      <c r="AD1516" s="164" t="str">
        <f>+IF(AND(Tabla2[[#This Row],[venc]]="venc",Tabla2[[#This Row],[estado pago]]="por pagar"),"vencida","no")</f>
        <v>no</v>
      </c>
    </row>
    <row r="1517" spans="1:30" ht="19.5" customHeight="1" x14ac:dyDescent="0.25">
      <c r="A1517" s="8" t="s">
        <v>1852</v>
      </c>
      <c r="B1517" s="8" t="b">
        <v>0</v>
      </c>
      <c r="C1517" s="8">
        <v>30</v>
      </c>
      <c r="D1517" s="151">
        <v>0</v>
      </c>
      <c r="E1517" s="151"/>
      <c r="F1517" s="24" t="s">
        <v>84</v>
      </c>
      <c r="G1517" s="30">
        <v>45414</v>
      </c>
      <c r="H1517" s="81" t="s">
        <v>1824</v>
      </c>
      <c r="I1517" s="30">
        <v>45414</v>
      </c>
      <c r="J1517" s="16" t="s">
        <v>479</v>
      </c>
      <c r="K1517" s="9" t="s">
        <v>1530</v>
      </c>
      <c r="L1517" s="9" t="s">
        <v>1395</v>
      </c>
      <c r="M1517" s="152">
        <v>1000000</v>
      </c>
      <c r="N1517" s="153">
        <v>0</v>
      </c>
      <c r="O1517" s="152">
        <v>0</v>
      </c>
      <c r="P1517" s="154">
        <v>0</v>
      </c>
      <c r="Q1517" s="152">
        <v>0</v>
      </c>
      <c r="R1517" s="9">
        <v>1000000</v>
      </c>
      <c r="S1517" s="21" t="s">
        <v>1846</v>
      </c>
      <c r="T1517" s="117">
        <v>0</v>
      </c>
      <c r="U1517" s="117">
        <v>0</v>
      </c>
      <c r="V1517" s="117">
        <v>2024</v>
      </c>
      <c r="W1517" s="117">
        <v>7</v>
      </c>
      <c r="X1517" s="117">
        <v>0</v>
      </c>
      <c r="Y1517" s="117">
        <v>0</v>
      </c>
      <c r="Z1517" s="21" t="b">
        <v>0</v>
      </c>
      <c r="AA1517" s="162">
        <f>+$AD$5-Tabla2[[#This Row],[FECHA DE FACTURACIÓN]]</f>
        <v>29</v>
      </c>
      <c r="AB1517" s="163" t="str">
        <f>+IF(Tabla2[[#This Row],[dias de credito]]&gt;=Tabla2[[#This Row],[PLAZO Días]],"venc", "No venc")</f>
        <v>No venc</v>
      </c>
      <c r="AC1517" s="163" t="str">
        <f>+IF(Tabla2[[#This Row],[FECHA DE PAGO]]&gt;0,"pagada","por pagar")</f>
        <v>pagada</v>
      </c>
      <c r="AD1517" s="164" t="str">
        <f>+IF(AND(Tabla2[[#This Row],[venc]]="venc",Tabla2[[#This Row],[estado pago]]="por pagar"),"vencida","no")</f>
        <v>no</v>
      </c>
    </row>
    <row r="1518" spans="1:30" ht="19.5" customHeight="1" x14ac:dyDescent="0.25">
      <c r="A1518" s="8" t="s">
        <v>1852</v>
      </c>
      <c r="B1518" s="8" t="b">
        <v>0</v>
      </c>
      <c r="C1518" s="8">
        <v>30</v>
      </c>
      <c r="D1518" s="151">
        <v>0</v>
      </c>
      <c r="E1518" s="151"/>
      <c r="F1518" s="24" t="s">
        <v>84</v>
      </c>
      <c r="G1518" s="30">
        <v>45416</v>
      </c>
      <c r="H1518" s="81" t="s">
        <v>525</v>
      </c>
      <c r="I1518" s="30">
        <v>45416</v>
      </c>
      <c r="J1518" s="16" t="s">
        <v>1837</v>
      </c>
      <c r="K1518" s="9" t="s">
        <v>1530</v>
      </c>
      <c r="L1518" s="9" t="s">
        <v>1395</v>
      </c>
      <c r="M1518" s="152">
        <v>816000</v>
      </c>
      <c r="N1518" s="153">
        <v>0</v>
      </c>
      <c r="O1518" s="152">
        <v>0</v>
      </c>
      <c r="P1518" s="154">
        <v>0</v>
      </c>
      <c r="Q1518" s="152">
        <v>0</v>
      </c>
      <c r="R1518" s="9">
        <v>816000</v>
      </c>
      <c r="S1518" s="21" t="s">
        <v>1846</v>
      </c>
      <c r="T1518" s="117">
        <v>0</v>
      </c>
      <c r="U1518" s="117">
        <v>0</v>
      </c>
      <c r="V1518" s="117">
        <v>2024</v>
      </c>
      <c r="W1518" s="117">
        <v>7</v>
      </c>
      <c r="X1518" s="117">
        <v>0</v>
      </c>
      <c r="Y1518" s="117">
        <v>0</v>
      </c>
      <c r="Z1518" s="21" t="b">
        <v>0</v>
      </c>
      <c r="AA1518" s="162">
        <f>+$AD$5-Tabla2[[#This Row],[FECHA DE FACTURACIÓN]]</f>
        <v>27</v>
      </c>
      <c r="AB1518" s="163" t="str">
        <f>+IF(Tabla2[[#This Row],[dias de credito]]&gt;=Tabla2[[#This Row],[PLAZO Días]],"venc", "No venc")</f>
        <v>No venc</v>
      </c>
      <c r="AC1518" s="163" t="str">
        <f>+IF(Tabla2[[#This Row],[FECHA DE PAGO]]&gt;0,"pagada","por pagar")</f>
        <v>pagada</v>
      </c>
      <c r="AD1518" s="164" t="str">
        <f>+IF(AND(Tabla2[[#This Row],[venc]]="venc",Tabla2[[#This Row],[estado pago]]="por pagar"),"vencida","no")</f>
        <v>no</v>
      </c>
    </row>
    <row r="1519" spans="1:30" ht="19.5" customHeight="1" x14ac:dyDescent="0.25">
      <c r="A1519" s="8" t="s">
        <v>1850</v>
      </c>
      <c r="B1519" s="8" t="s">
        <v>1851</v>
      </c>
      <c r="C1519" s="8">
        <v>30</v>
      </c>
      <c r="D1519" s="151">
        <v>0</v>
      </c>
      <c r="E1519" s="151"/>
      <c r="F1519" s="24" t="s">
        <v>1835</v>
      </c>
      <c r="G1519" s="30">
        <v>45418</v>
      </c>
      <c r="H1519" s="81" t="s">
        <v>1594</v>
      </c>
      <c r="I1519" s="30">
        <v>45344</v>
      </c>
      <c r="J1519" s="16" t="s">
        <v>1756</v>
      </c>
      <c r="K1519" s="9" t="s">
        <v>504</v>
      </c>
      <c r="L1519" s="9" t="s">
        <v>1534</v>
      </c>
      <c r="M1519" s="152">
        <v>-68878.524999999994</v>
      </c>
      <c r="N1519" s="153">
        <v>0</v>
      </c>
      <c r="O1519" s="152">
        <v>0</v>
      </c>
      <c r="P1519" s="154">
        <v>0</v>
      </c>
      <c r="Q1519" s="152">
        <v>0</v>
      </c>
      <c r="R1519" s="9">
        <v>-68878.524999999994</v>
      </c>
      <c r="S1519" s="21" t="s">
        <v>1846</v>
      </c>
      <c r="T1519" s="117">
        <v>0</v>
      </c>
      <c r="U1519" s="117" t="s">
        <v>347</v>
      </c>
      <c r="V1519" s="117">
        <v>2024</v>
      </c>
      <c r="W1519" s="117">
        <v>7</v>
      </c>
      <c r="X1519" s="117">
        <v>1271000</v>
      </c>
      <c r="Y1519" s="117">
        <v>2.5000000000000001E-2</v>
      </c>
      <c r="Z1519" s="21" t="b">
        <v>0</v>
      </c>
      <c r="AA1519" s="162">
        <f>+$AD$5-Tabla2[[#This Row],[FECHA DE FACTURACIÓN]]</f>
        <v>99</v>
      </c>
      <c r="AB1519" s="163" t="str">
        <f>+IF(Tabla2[[#This Row],[dias de credito]]&gt;=Tabla2[[#This Row],[PLAZO Días]],"venc", "No venc")</f>
        <v>venc</v>
      </c>
      <c r="AC1519" s="163" t="str">
        <f>+IF(Tabla2[[#This Row],[FECHA DE PAGO]]&gt;0,"pagada","por pagar")</f>
        <v>pagada</v>
      </c>
      <c r="AD1519" s="164" t="str">
        <f>+IF(AND(Tabla2[[#This Row],[venc]]="venc",Tabla2[[#This Row],[estado pago]]="por pagar"),"vencida","no")</f>
        <v>no</v>
      </c>
    </row>
    <row r="1520" spans="1:30" ht="19.5" customHeight="1" x14ac:dyDescent="0.25">
      <c r="A1520" s="8" t="s">
        <v>1850</v>
      </c>
      <c r="B1520" s="8" t="s">
        <v>1851</v>
      </c>
      <c r="C1520" s="8">
        <v>60</v>
      </c>
      <c r="D1520" s="151">
        <v>0</v>
      </c>
      <c r="E1520" s="151"/>
      <c r="F1520" s="24" t="s">
        <v>399</v>
      </c>
      <c r="G1520" s="30">
        <v>45418</v>
      </c>
      <c r="H1520" s="81" t="s">
        <v>65</v>
      </c>
      <c r="I1520" s="30">
        <v>45357</v>
      </c>
      <c r="J1520" s="16" t="s">
        <v>1834</v>
      </c>
      <c r="K1520" s="9" t="s">
        <v>1530</v>
      </c>
      <c r="L1520" s="9" t="s">
        <v>1535</v>
      </c>
      <c r="M1520" s="152">
        <v>22137360</v>
      </c>
      <c r="N1520" s="153">
        <v>4206098.4000000004</v>
      </c>
      <c r="O1520" s="152">
        <v>0</v>
      </c>
      <c r="P1520" s="154">
        <v>2.5000000000000001E-2</v>
      </c>
      <c r="Q1520" s="152">
        <v>553434</v>
      </c>
      <c r="R1520" s="9">
        <v>17790024.399999999</v>
      </c>
      <c r="S1520" s="21" t="s">
        <v>1846</v>
      </c>
      <c r="T1520" s="117">
        <v>0</v>
      </c>
      <c r="U1520" s="117" t="s">
        <v>347</v>
      </c>
      <c r="V1520" s="117">
        <v>2024</v>
      </c>
      <c r="W1520" s="117">
        <v>7</v>
      </c>
      <c r="X1520" s="117">
        <v>1271000</v>
      </c>
      <c r="Y1520" s="117">
        <v>2.5000000000000001E-2</v>
      </c>
      <c r="Z1520" s="21" t="b">
        <v>0</v>
      </c>
      <c r="AA1520" s="162">
        <f>+$AD$5-Tabla2[[#This Row],[FECHA DE FACTURACIÓN]]</f>
        <v>86</v>
      </c>
      <c r="AB1520" s="163" t="str">
        <f>+IF(Tabla2[[#This Row],[dias de credito]]&gt;=Tabla2[[#This Row],[PLAZO Días]],"venc", "No venc")</f>
        <v>venc</v>
      </c>
      <c r="AC1520" s="163" t="str">
        <f>+IF(Tabla2[[#This Row],[FECHA DE PAGO]]&gt;0,"pagada","por pagar")</f>
        <v>pagada</v>
      </c>
      <c r="AD1520" s="164" t="str">
        <f>+IF(AND(Tabla2[[#This Row],[venc]]="venc",Tabla2[[#This Row],[estado pago]]="por pagar"),"vencida","no")</f>
        <v>no</v>
      </c>
    </row>
    <row r="1521" spans="1:30" ht="19.5" customHeight="1" x14ac:dyDescent="0.25">
      <c r="A1521" s="8" t="s">
        <v>1850</v>
      </c>
      <c r="B1521" s="8" t="s">
        <v>1851</v>
      </c>
      <c r="C1521" s="8">
        <v>30</v>
      </c>
      <c r="D1521" s="151">
        <v>0</v>
      </c>
      <c r="E1521" s="151"/>
      <c r="F1521" s="24" t="s">
        <v>1835</v>
      </c>
      <c r="G1521" s="30">
        <v>45418</v>
      </c>
      <c r="H1521" s="81" t="s">
        <v>1594</v>
      </c>
      <c r="I1521" s="30">
        <v>45362</v>
      </c>
      <c r="J1521" s="16" t="s">
        <v>1657</v>
      </c>
      <c r="K1521" s="9" t="s">
        <v>504</v>
      </c>
      <c r="L1521" s="9" t="s">
        <v>1534</v>
      </c>
      <c r="M1521" s="152">
        <v>264378</v>
      </c>
      <c r="N1521" s="153">
        <v>50231.82</v>
      </c>
      <c r="O1521" s="152">
        <v>0</v>
      </c>
      <c r="P1521" s="154">
        <v>0</v>
      </c>
      <c r="Q1521" s="152">
        <v>0</v>
      </c>
      <c r="R1521" s="9">
        <v>314609.82</v>
      </c>
      <c r="S1521" s="21" t="s">
        <v>1846</v>
      </c>
      <c r="T1521" s="117">
        <v>0</v>
      </c>
      <c r="U1521" s="117" t="s">
        <v>347</v>
      </c>
      <c r="V1521" s="117">
        <v>2024</v>
      </c>
      <c r="W1521" s="117">
        <v>7</v>
      </c>
      <c r="X1521" s="117">
        <v>1271000</v>
      </c>
      <c r="Y1521" s="117">
        <v>2.5000000000000001E-2</v>
      </c>
      <c r="Z1521" s="21" t="b">
        <v>0</v>
      </c>
      <c r="AA1521" s="162">
        <f>+$AD$5-Tabla2[[#This Row],[FECHA DE FACTURACIÓN]]</f>
        <v>81</v>
      </c>
      <c r="AB1521" s="163" t="str">
        <f>+IF(Tabla2[[#This Row],[dias de credito]]&gt;=Tabla2[[#This Row],[PLAZO Días]],"venc", "No venc")</f>
        <v>venc</v>
      </c>
      <c r="AC1521" s="163" t="str">
        <f>+IF(Tabla2[[#This Row],[FECHA DE PAGO]]&gt;0,"pagada","por pagar")</f>
        <v>pagada</v>
      </c>
      <c r="AD1521" s="164" t="str">
        <f>+IF(AND(Tabla2[[#This Row],[venc]]="venc",Tabla2[[#This Row],[estado pago]]="por pagar"),"vencida","no")</f>
        <v>no</v>
      </c>
    </row>
    <row r="1522" spans="1:30" ht="19.5" customHeight="1" x14ac:dyDescent="0.25">
      <c r="A1522" s="8" t="s">
        <v>1850</v>
      </c>
      <c r="B1522" s="8" t="s">
        <v>1851</v>
      </c>
      <c r="C1522" s="8">
        <v>30</v>
      </c>
      <c r="D1522" s="151">
        <v>0</v>
      </c>
      <c r="E1522" s="151"/>
      <c r="F1522" s="24" t="s">
        <v>1835</v>
      </c>
      <c r="G1522" s="30">
        <v>45418</v>
      </c>
      <c r="H1522" s="81" t="s">
        <v>1594</v>
      </c>
      <c r="I1522" s="30">
        <v>45369</v>
      </c>
      <c r="J1522" s="16" t="s">
        <v>1675</v>
      </c>
      <c r="K1522" s="9" t="s">
        <v>504</v>
      </c>
      <c r="L1522" s="9" t="s">
        <v>1534</v>
      </c>
      <c r="M1522" s="152">
        <v>1592937</v>
      </c>
      <c r="N1522" s="153">
        <v>302658.03000000003</v>
      </c>
      <c r="O1522" s="152">
        <v>0</v>
      </c>
      <c r="P1522" s="154">
        <v>2.5000000000000001E-2</v>
      </c>
      <c r="Q1522" s="152">
        <v>39823.425000000003</v>
      </c>
      <c r="R1522" s="9">
        <v>1855771.605</v>
      </c>
      <c r="S1522" s="21" t="s">
        <v>1846</v>
      </c>
      <c r="T1522" s="117">
        <v>0</v>
      </c>
      <c r="U1522" s="117" t="s">
        <v>347</v>
      </c>
      <c r="V1522" s="117">
        <v>2024</v>
      </c>
      <c r="W1522" s="117">
        <v>7</v>
      </c>
      <c r="X1522" s="117">
        <v>1271000</v>
      </c>
      <c r="Y1522" s="117">
        <v>2.5000000000000001E-2</v>
      </c>
      <c r="Z1522" s="21" t="b">
        <v>0</v>
      </c>
      <c r="AA1522" s="162">
        <f>+$AD$5-Tabla2[[#This Row],[FECHA DE FACTURACIÓN]]</f>
        <v>74</v>
      </c>
      <c r="AB1522" s="163" t="str">
        <f>+IF(Tabla2[[#This Row],[dias de credito]]&gt;=Tabla2[[#This Row],[PLAZO Días]],"venc", "No venc")</f>
        <v>venc</v>
      </c>
      <c r="AC1522" s="163" t="str">
        <f>+IF(Tabla2[[#This Row],[FECHA DE PAGO]]&gt;0,"pagada","por pagar")</f>
        <v>pagada</v>
      </c>
      <c r="AD1522" s="164" t="str">
        <f>+IF(AND(Tabla2[[#This Row],[venc]]="venc",Tabla2[[#This Row],[estado pago]]="por pagar"),"vencida","no")</f>
        <v>no</v>
      </c>
    </row>
    <row r="1523" spans="1:30" ht="19.5" customHeight="1" x14ac:dyDescent="0.25">
      <c r="A1523" s="8" t="s">
        <v>1850</v>
      </c>
      <c r="B1523" s="8" t="s">
        <v>1851</v>
      </c>
      <c r="C1523" s="8">
        <v>30</v>
      </c>
      <c r="D1523" s="151">
        <v>818443.92</v>
      </c>
      <c r="E1523" s="151"/>
      <c r="F1523" s="24" t="s">
        <v>111</v>
      </c>
      <c r="G1523" s="30">
        <v>45418</v>
      </c>
      <c r="H1523" s="81" t="s">
        <v>20</v>
      </c>
      <c r="I1523" s="30">
        <v>45372</v>
      </c>
      <c r="J1523" s="16" t="s">
        <v>1681</v>
      </c>
      <c r="K1523" s="9" t="s">
        <v>1530</v>
      </c>
      <c r="L1523" s="9" t="s">
        <v>1534</v>
      </c>
      <c r="M1523" s="152">
        <v>1406560</v>
      </c>
      <c r="N1523" s="153">
        <v>259229</v>
      </c>
      <c r="O1523" s="152">
        <v>42196</v>
      </c>
      <c r="P1523" s="154">
        <v>2.5000000000000001E-2</v>
      </c>
      <c r="Q1523" s="152">
        <v>34109</v>
      </c>
      <c r="R1523" s="9">
        <v>1589484</v>
      </c>
      <c r="S1523" s="21" t="s">
        <v>1846</v>
      </c>
      <c r="T1523" s="117">
        <v>0</v>
      </c>
      <c r="U1523" s="117" t="s">
        <v>347</v>
      </c>
      <c r="V1523" s="117">
        <v>2024</v>
      </c>
      <c r="W1523" s="117">
        <v>7</v>
      </c>
      <c r="X1523" s="117">
        <v>1271000</v>
      </c>
      <c r="Y1523" s="117">
        <v>2.5000000000000001E-2</v>
      </c>
      <c r="Z1523" s="21" t="b">
        <v>0</v>
      </c>
      <c r="AA1523" s="162">
        <f>+$AD$5-Tabla2[[#This Row],[FECHA DE FACTURACIÓN]]</f>
        <v>71</v>
      </c>
      <c r="AB1523" s="163" t="str">
        <f>+IF(Tabla2[[#This Row],[dias de credito]]&gt;=Tabla2[[#This Row],[PLAZO Días]],"venc", "No venc")</f>
        <v>venc</v>
      </c>
      <c r="AC1523" s="163" t="str">
        <f>+IF(Tabla2[[#This Row],[FECHA DE PAGO]]&gt;0,"pagada","por pagar")</f>
        <v>pagada</v>
      </c>
      <c r="AD1523" s="164" t="str">
        <f>+IF(AND(Tabla2[[#This Row],[venc]]="venc",Tabla2[[#This Row],[estado pago]]="por pagar"),"vencida","no")</f>
        <v>no</v>
      </c>
    </row>
    <row r="1524" spans="1:30" ht="19.5" customHeight="1" x14ac:dyDescent="0.25">
      <c r="A1524" s="8" t="s">
        <v>1852</v>
      </c>
      <c r="B1524" s="8" t="b">
        <v>0</v>
      </c>
      <c r="C1524" s="8">
        <v>30</v>
      </c>
      <c r="D1524" s="151">
        <v>1391998.93</v>
      </c>
      <c r="E1524" s="151"/>
      <c r="F1524" s="24" t="s">
        <v>1185</v>
      </c>
      <c r="G1524" s="30">
        <v>45418</v>
      </c>
      <c r="H1524" s="81" t="s">
        <v>1186</v>
      </c>
      <c r="I1524" s="30">
        <v>45418</v>
      </c>
      <c r="J1524" s="16" t="s">
        <v>1833</v>
      </c>
      <c r="K1524" s="9" t="s">
        <v>1530</v>
      </c>
      <c r="L1524" s="9" t="s">
        <v>1533</v>
      </c>
      <c r="M1524" s="152">
        <v>1113445.3</v>
      </c>
      <c r="N1524" s="153">
        <v>211554.60700000002</v>
      </c>
      <c r="O1524" s="152">
        <v>0</v>
      </c>
      <c r="P1524" s="154">
        <v>0</v>
      </c>
      <c r="Q1524" s="152">
        <v>0</v>
      </c>
      <c r="R1524" s="9">
        <v>1324999.9070000001</v>
      </c>
      <c r="S1524" s="21" t="s">
        <v>1846</v>
      </c>
      <c r="T1524" s="117">
        <v>0</v>
      </c>
      <c r="U1524" s="117" t="s">
        <v>347</v>
      </c>
      <c r="V1524" s="117">
        <v>2024</v>
      </c>
      <c r="W1524" s="117">
        <v>7</v>
      </c>
      <c r="X1524" s="117">
        <v>1271000</v>
      </c>
      <c r="Y1524" s="117">
        <v>2.5000000000000001E-2</v>
      </c>
      <c r="Z1524" s="21" t="b">
        <v>0</v>
      </c>
      <c r="AA1524" s="162">
        <f>+$AD$5-Tabla2[[#This Row],[FECHA DE FACTURACIÓN]]</f>
        <v>25</v>
      </c>
      <c r="AB1524" s="163" t="str">
        <f>+IF(Tabla2[[#This Row],[dias de credito]]&gt;=Tabla2[[#This Row],[PLAZO Días]],"venc", "No venc")</f>
        <v>No venc</v>
      </c>
      <c r="AC1524" s="163" t="str">
        <f>+IF(Tabla2[[#This Row],[FECHA DE PAGO]]&gt;0,"pagada","por pagar")</f>
        <v>pagada</v>
      </c>
      <c r="AD1524" s="164" t="str">
        <f>+IF(AND(Tabla2[[#This Row],[venc]]="venc",Tabla2[[#This Row],[estado pago]]="por pagar"),"vencida","no")</f>
        <v>no</v>
      </c>
    </row>
    <row r="1525" spans="1:30" ht="19.5" customHeight="1" x14ac:dyDescent="0.25">
      <c r="A1525" s="8" t="s">
        <v>1852</v>
      </c>
      <c r="B1525" s="8" t="b">
        <v>0</v>
      </c>
      <c r="C1525" s="8">
        <v>30</v>
      </c>
      <c r="D1525" s="151">
        <v>0</v>
      </c>
      <c r="E1525" s="151"/>
      <c r="F1525" s="24" t="s">
        <v>84</v>
      </c>
      <c r="G1525" s="30">
        <v>45418</v>
      </c>
      <c r="H1525" s="81" t="s">
        <v>525</v>
      </c>
      <c r="I1525" s="30">
        <v>45418</v>
      </c>
      <c r="J1525" s="16" t="s">
        <v>1885</v>
      </c>
      <c r="K1525" s="9" t="s">
        <v>504</v>
      </c>
      <c r="L1525" s="9" t="s">
        <v>1395</v>
      </c>
      <c r="M1525" s="152">
        <v>35000</v>
      </c>
      <c r="N1525" s="153">
        <v>0</v>
      </c>
      <c r="O1525" s="152">
        <v>0</v>
      </c>
      <c r="P1525" s="154">
        <v>0</v>
      </c>
      <c r="Q1525" s="152">
        <v>0</v>
      </c>
      <c r="R1525" s="9">
        <v>35000</v>
      </c>
      <c r="S1525" s="21" t="s">
        <v>1846</v>
      </c>
      <c r="T1525" s="117">
        <v>0</v>
      </c>
      <c r="U1525" s="117">
        <v>0</v>
      </c>
      <c r="V1525" s="117">
        <v>2024</v>
      </c>
      <c r="W1525" s="117">
        <v>7</v>
      </c>
      <c r="X1525" s="117">
        <v>0</v>
      </c>
      <c r="Y1525" s="117">
        <v>0</v>
      </c>
      <c r="Z1525" s="21" t="b">
        <v>0</v>
      </c>
      <c r="AA1525" s="162">
        <f>+$AD$5-Tabla2[[#This Row],[FECHA DE FACTURACIÓN]]</f>
        <v>25</v>
      </c>
      <c r="AB1525" s="163" t="str">
        <f>+IF(Tabla2[[#This Row],[dias de credito]]&gt;=Tabla2[[#This Row],[PLAZO Días]],"venc", "No venc")</f>
        <v>No venc</v>
      </c>
      <c r="AC1525" s="163" t="str">
        <f>+IF(Tabla2[[#This Row],[FECHA DE PAGO]]&gt;0,"pagada","por pagar")</f>
        <v>pagada</v>
      </c>
      <c r="AD1525" s="164" t="str">
        <f>+IF(AND(Tabla2[[#This Row],[venc]]="venc",Tabla2[[#This Row],[estado pago]]="por pagar"),"vencida","no")</f>
        <v>no</v>
      </c>
    </row>
    <row r="1526" spans="1:30" ht="19.5" customHeight="1" x14ac:dyDescent="0.25">
      <c r="A1526" s="8" t="s">
        <v>1850</v>
      </c>
      <c r="B1526" s="8" t="s">
        <v>1851</v>
      </c>
      <c r="C1526" s="8">
        <v>30</v>
      </c>
      <c r="D1526" s="151">
        <v>134000</v>
      </c>
      <c r="E1526" s="151"/>
      <c r="F1526" s="24" t="s">
        <v>192</v>
      </c>
      <c r="G1526" s="30">
        <v>45419</v>
      </c>
      <c r="H1526" s="81" t="s">
        <v>1808</v>
      </c>
      <c r="I1526" s="30">
        <v>45358</v>
      </c>
      <c r="J1526" s="16" t="s">
        <v>1847</v>
      </c>
      <c r="K1526" s="9" t="s">
        <v>1530</v>
      </c>
      <c r="L1526" s="9" t="s">
        <v>1395</v>
      </c>
      <c r="M1526" s="152">
        <v>3445900</v>
      </c>
      <c r="N1526" s="153">
        <v>0</v>
      </c>
      <c r="O1526" s="152">
        <v>0</v>
      </c>
      <c r="P1526" s="154">
        <v>0</v>
      </c>
      <c r="Q1526" s="152">
        <v>0</v>
      </c>
      <c r="R1526" s="9">
        <v>3445900</v>
      </c>
      <c r="S1526" s="21" t="s">
        <v>1846</v>
      </c>
      <c r="T1526" s="117">
        <v>0</v>
      </c>
      <c r="U1526" s="117">
        <v>0</v>
      </c>
      <c r="V1526" s="117">
        <v>2024</v>
      </c>
      <c r="W1526" s="117">
        <v>7</v>
      </c>
      <c r="X1526" s="117">
        <v>0</v>
      </c>
      <c r="Y1526" s="117">
        <v>0</v>
      </c>
      <c r="Z1526" s="21" t="b">
        <v>0</v>
      </c>
      <c r="AA1526" s="162">
        <f>+$AD$5-Tabla2[[#This Row],[FECHA DE FACTURACIÓN]]</f>
        <v>85</v>
      </c>
      <c r="AB1526" s="163" t="str">
        <f>+IF(Tabla2[[#This Row],[dias de credito]]&gt;=Tabla2[[#This Row],[PLAZO Días]],"venc", "No venc")</f>
        <v>venc</v>
      </c>
      <c r="AC1526" s="163" t="str">
        <f>+IF(Tabla2[[#This Row],[FECHA DE PAGO]]&gt;0,"pagada","por pagar")</f>
        <v>pagada</v>
      </c>
      <c r="AD1526" s="164" t="str">
        <f>+IF(AND(Tabla2[[#This Row],[venc]]="venc",Tabla2[[#This Row],[estado pago]]="por pagar"),"vencida","no")</f>
        <v>no</v>
      </c>
    </row>
    <row r="1527" spans="1:30" ht="19.5" customHeight="1" x14ac:dyDescent="0.25">
      <c r="A1527" s="8" t="s">
        <v>1850</v>
      </c>
      <c r="B1527" s="8" t="s">
        <v>1851</v>
      </c>
      <c r="C1527" s="8">
        <v>30</v>
      </c>
      <c r="D1527" s="151">
        <v>134000</v>
      </c>
      <c r="E1527" s="151"/>
      <c r="F1527" s="24" t="s">
        <v>192</v>
      </c>
      <c r="G1527" s="30">
        <v>45419</v>
      </c>
      <c r="H1527" s="81" t="s">
        <v>1808</v>
      </c>
      <c r="I1527" s="30">
        <v>45383</v>
      </c>
      <c r="J1527" s="16" t="s">
        <v>1739</v>
      </c>
      <c r="K1527" s="9" t="s">
        <v>1530</v>
      </c>
      <c r="L1527" s="9" t="s">
        <v>1395</v>
      </c>
      <c r="M1527" s="152">
        <v>2823000</v>
      </c>
      <c r="N1527" s="153">
        <v>0</v>
      </c>
      <c r="O1527" s="152">
        <v>423450</v>
      </c>
      <c r="P1527" s="154">
        <v>0</v>
      </c>
      <c r="Q1527" s="152">
        <v>0</v>
      </c>
      <c r="R1527" s="9">
        <v>2399550</v>
      </c>
      <c r="S1527" s="21" t="s">
        <v>1846</v>
      </c>
      <c r="T1527" s="117">
        <v>0</v>
      </c>
      <c r="U1527" s="117">
        <v>0</v>
      </c>
      <c r="V1527" s="117">
        <v>2024</v>
      </c>
      <c r="W1527" s="117">
        <v>7</v>
      </c>
      <c r="X1527" s="117">
        <v>0</v>
      </c>
      <c r="Y1527" s="117">
        <v>0</v>
      </c>
      <c r="Z1527" s="21" t="b">
        <v>0</v>
      </c>
      <c r="AA1527" s="162">
        <f>+$AD$5-Tabla2[[#This Row],[FECHA DE FACTURACIÓN]]</f>
        <v>60</v>
      </c>
      <c r="AB1527" s="163" t="str">
        <f>+IF(Tabla2[[#This Row],[dias de credito]]&gt;=Tabla2[[#This Row],[PLAZO Días]],"venc", "No venc")</f>
        <v>venc</v>
      </c>
      <c r="AC1527" s="163" t="str">
        <f>+IF(Tabla2[[#This Row],[FECHA DE PAGO]]&gt;0,"pagada","por pagar")</f>
        <v>pagada</v>
      </c>
      <c r="AD1527" s="164" t="str">
        <f>+IF(AND(Tabla2[[#This Row],[venc]]="venc",Tabla2[[#This Row],[estado pago]]="por pagar"),"vencida","no")</f>
        <v>no</v>
      </c>
    </row>
    <row r="1528" spans="1:30" ht="19.5" customHeight="1" x14ac:dyDescent="0.25">
      <c r="A1528" s="8" t="s">
        <v>1850</v>
      </c>
      <c r="B1528" s="8" t="s">
        <v>1851</v>
      </c>
      <c r="C1528" s="8">
        <v>30</v>
      </c>
      <c r="D1528" s="151">
        <v>134000</v>
      </c>
      <c r="E1528" s="151"/>
      <c r="F1528" s="24" t="s">
        <v>192</v>
      </c>
      <c r="G1528" s="30">
        <v>45419</v>
      </c>
      <c r="H1528" s="81" t="s">
        <v>1808</v>
      </c>
      <c r="I1528" s="30">
        <v>45383</v>
      </c>
      <c r="J1528" s="16" t="s">
        <v>1848</v>
      </c>
      <c r="K1528" s="9" t="s">
        <v>1530</v>
      </c>
      <c r="L1528" s="9" t="s">
        <v>1395</v>
      </c>
      <c r="M1528" s="152">
        <v>-39310</v>
      </c>
      <c r="N1528" s="153">
        <v>0</v>
      </c>
      <c r="O1528" s="152">
        <v>0</v>
      </c>
      <c r="P1528" s="154">
        <v>0</v>
      </c>
      <c r="Q1528" s="152">
        <v>0</v>
      </c>
      <c r="R1528" s="9">
        <v>-39310</v>
      </c>
      <c r="S1528" s="21" t="s">
        <v>1846</v>
      </c>
      <c r="T1528" s="117">
        <v>0</v>
      </c>
      <c r="U1528" s="117">
        <v>0</v>
      </c>
      <c r="V1528" s="117">
        <v>2024</v>
      </c>
      <c r="W1528" s="117">
        <v>7</v>
      </c>
      <c r="X1528" s="117">
        <v>0</v>
      </c>
      <c r="Y1528" s="117">
        <v>0</v>
      </c>
      <c r="Z1528" s="21" t="b">
        <v>0</v>
      </c>
      <c r="AA1528" s="162">
        <f>+$AD$5-Tabla2[[#This Row],[FECHA DE FACTURACIÓN]]</f>
        <v>60</v>
      </c>
      <c r="AB1528" s="163" t="str">
        <f>+IF(Tabla2[[#This Row],[dias de credito]]&gt;=Tabla2[[#This Row],[PLAZO Días]],"venc", "No venc")</f>
        <v>venc</v>
      </c>
      <c r="AC1528" s="163" t="str">
        <f>+IF(Tabla2[[#This Row],[FECHA DE PAGO]]&gt;0,"pagada","por pagar")</f>
        <v>pagada</v>
      </c>
      <c r="AD1528" s="164" t="str">
        <f>+IF(AND(Tabla2[[#This Row],[venc]]="venc",Tabla2[[#This Row],[estado pago]]="por pagar"),"vencida","no")</f>
        <v>no</v>
      </c>
    </row>
    <row r="1529" spans="1:30" ht="19.5" customHeight="1" x14ac:dyDescent="0.25">
      <c r="A1529" s="8" t="s">
        <v>1850</v>
      </c>
      <c r="B1529" s="8" t="b">
        <v>0</v>
      </c>
      <c r="C1529" s="8">
        <v>30</v>
      </c>
      <c r="D1529" s="151">
        <v>134000</v>
      </c>
      <c r="E1529" s="151"/>
      <c r="F1529" s="24" t="s">
        <v>192</v>
      </c>
      <c r="G1529" s="30">
        <v>45419</v>
      </c>
      <c r="H1529" s="81" t="s">
        <v>1808</v>
      </c>
      <c r="I1529" s="30">
        <v>45392</v>
      </c>
      <c r="J1529" s="16" t="s">
        <v>1745</v>
      </c>
      <c r="K1529" s="9" t="s">
        <v>1530</v>
      </c>
      <c r="L1529" s="9" t="s">
        <v>1395</v>
      </c>
      <c r="M1529" s="152">
        <v>84000</v>
      </c>
      <c r="N1529" s="153">
        <v>0</v>
      </c>
      <c r="O1529" s="152">
        <v>0</v>
      </c>
      <c r="P1529" s="154">
        <v>0</v>
      </c>
      <c r="Q1529" s="152">
        <v>0</v>
      </c>
      <c r="R1529" s="9">
        <v>84000</v>
      </c>
      <c r="S1529" s="21" t="s">
        <v>1846</v>
      </c>
      <c r="T1529" s="117">
        <v>0</v>
      </c>
      <c r="U1529" s="117">
        <v>0</v>
      </c>
      <c r="V1529" s="117">
        <v>2024</v>
      </c>
      <c r="W1529" s="117">
        <v>7</v>
      </c>
      <c r="X1529" s="117">
        <v>0</v>
      </c>
      <c r="Y1529" s="117">
        <v>0</v>
      </c>
      <c r="Z1529" s="21" t="b">
        <v>0</v>
      </c>
      <c r="AA1529" s="162">
        <f>+$AD$5-Tabla2[[#This Row],[FECHA DE FACTURACIÓN]]</f>
        <v>51</v>
      </c>
      <c r="AB1529" s="163" t="str">
        <f>+IF(Tabla2[[#This Row],[dias de credito]]&gt;=Tabla2[[#This Row],[PLAZO Días]],"venc", "No venc")</f>
        <v>venc</v>
      </c>
      <c r="AC1529" s="163" t="str">
        <f>+IF(Tabla2[[#This Row],[FECHA DE PAGO]]&gt;0,"pagada","por pagar")</f>
        <v>pagada</v>
      </c>
      <c r="AD1529" s="164" t="str">
        <f>+IF(AND(Tabla2[[#This Row],[venc]]="venc",Tabla2[[#This Row],[estado pago]]="por pagar"),"vencida","no")</f>
        <v>no</v>
      </c>
    </row>
    <row r="1530" spans="1:30" ht="19.5" customHeight="1" x14ac:dyDescent="0.25">
      <c r="A1530" s="8" t="s">
        <v>1850</v>
      </c>
      <c r="B1530" s="8" t="b">
        <v>0</v>
      </c>
      <c r="C1530" s="8">
        <v>180</v>
      </c>
      <c r="D1530" s="151">
        <v>0</v>
      </c>
      <c r="E1530" s="151"/>
      <c r="F1530" s="24" t="s">
        <v>219</v>
      </c>
      <c r="G1530" s="30">
        <v>45420</v>
      </c>
      <c r="H1530" s="81" t="s">
        <v>370</v>
      </c>
      <c r="I1530" s="30">
        <v>45386</v>
      </c>
      <c r="J1530" s="16" t="s">
        <v>1715</v>
      </c>
      <c r="K1530" s="9" t="s">
        <v>1530</v>
      </c>
      <c r="L1530" s="9" t="s">
        <v>1533</v>
      </c>
      <c r="M1530" s="152">
        <v>337127</v>
      </c>
      <c r="N1530" s="153">
        <v>16856.350000000002</v>
      </c>
      <c r="O1530" s="152">
        <v>0</v>
      </c>
      <c r="P1530" s="154">
        <v>0</v>
      </c>
      <c r="Q1530" s="152">
        <v>0</v>
      </c>
      <c r="R1530" s="9">
        <v>353983.35</v>
      </c>
      <c r="S1530" s="21" t="s">
        <v>1846</v>
      </c>
      <c r="T1530" s="117">
        <v>0</v>
      </c>
      <c r="U1530" s="117" t="s">
        <v>347</v>
      </c>
      <c r="V1530" s="117">
        <v>2024</v>
      </c>
      <c r="W1530" s="117">
        <v>7</v>
      </c>
      <c r="X1530" s="117">
        <v>1271000</v>
      </c>
      <c r="Y1530" s="117">
        <v>2.5000000000000001E-2</v>
      </c>
      <c r="Z1530" s="21" t="b">
        <v>1</v>
      </c>
      <c r="AA1530" s="162">
        <f>+$AD$5-Tabla2[[#This Row],[FECHA DE FACTURACIÓN]]</f>
        <v>57</v>
      </c>
      <c r="AB1530" s="163" t="str">
        <f>+IF(Tabla2[[#This Row],[dias de credito]]&gt;=Tabla2[[#This Row],[PLAZO Días]],"venc", "No venc")</f>
        <v>No venc</v>
      </c>
      <c r="AC1530" s="163" t="str">
        <f>+IF(Tabla2[[#This Row],[FECHA DE PAGO]]&gt;0,"pagada","por pagar")</f>
        <v>pagada</v>
      </c>
      <c r="AD1530" s="164" t="str">
        <f>+IF(AND(Tabla2[[#This Row],[venc]]="venc",Tabla2[[#This Row],[estado pago]]="por pagar"),"vencida","no")</f>
        <v>no</v>
      </c>
    </row>
    <row r="1531" spans="1:30" ht="19.5" customHeight="1" x14ac:dyDescent="0.25">
      <c r="A1531" s="8" t="s">
        <v>1850</v>
      </c>
      <c r="B1531" s="8" t="b">
        <v>0</v>
      </c>
      <c r="C1531" s="8">
        <v>30</v>
      </c>
      <c r="D1531" s="151">
        <v>0</v>
      </c>
      <c r="E1531" s="151"/>
      <c r="F1531" s="24" t="s">
        <v>84</v>
      </c>
      <c r="G1531" s="30">
        <v>45420</v>
      </c>
      <c r="H1531" s="81" t="s">
        <v>1861</v>
      </c>
      <c r="I1531" s="30">
        <v>45417</v>
      </c>
      <c r="J1531" s="16">
        <v>1369</v>
      </c>
      <c r="K1531" s="9" t="s">
        <v>1530</v>
      </c>
      <c r="L1531" s="9" t="s">
        <v>1395</v>
      </c>
      <c r="M1531" s="152">
        <v>1062309</v>
      </c>
      <c r="N1531" s="153">
        <v>201838.71</v>
      </c>
      <c r="O1531" s="152">
        <v>0</v>
      </c>
      <c r="P1531" s="154">
        <v>0</v>
      </c>
      <c r="Q1531" s="152">
        <v>0</v>
      </c>
      <c r="R1531" s="9">
        <v>1264147.71</v>
      </c>
      <c r="S1531" s="21" t="s">
        <v>1846</v>
      </c>
      <c r="T1531" s="117">
        <v>0</v>
      </c>
      <c r="U1531" s="117" t="s">
        <v>347</v>
      </c>
      <c r="V1531" s="117">
        <v>2024</v>
      </c>
      <c r="W1531" s="117">
        <v>7</v>
      </c>
      <c r="X1531" s="117">
        <v>1271000</v>
      </c>
      <c r="Y1531" s="117">
        <v>2.5000000000000001E-2</v>
      </c>
      <c r="Z1531" s="21" t="b">
        <v>1</v>
      </c>
      <c r="AA1531" s="162">
        <f>+$AD$5-Tabla2[[#This Row],[FECHA DE FACTURACIÓN]]</f>
        <v>26</v>
      </c>
      <c r="AB1531" s="163" t="str">
        <f>+IF(Tabla2[[#This Row],[dias de credito]]&gt;=Tabla2[[#This Row],[PLAZO Días]],"venc", "No venc")</f>
        <v>No venc</v>
      </c>
      <c r="AC1531" s="163" t="str">
        <f>+IF(Tabla2[[#This Row],[FECHA DE PAGO]]&gt;0,"pagada","por pagar")</f>
        <v>pagada</v>
      </c>
      <c r="AD1531" s="164" t="str">
        <f>+IF(AND(Tabla2[[#This Row],[venc]]="venc",Tabla2[[#This Row],[estado pago]]="por pagar"),"vencida","no")</f>
        <v>no</v>
      </c>
    </row>
    <row r="1532" spans="1:30" ht="19.5" customHeight="1" x14ac:dyDescent="0.25">
      <c r="A1532" s="8" t="s">
        <v>1850</v>
      </c>
      <c r="B1532" s="8" t="b">
        <v>0</v>
      </c>
      <c r="C1532" s="8">
        <v>30</v>
      </c>
      <c r="D1532" s="151">
        <v>0</v>
      </c>
      <c r="E1532" s="151"/>
      <c r="F1532" s="24">
        <v>0</v>
      </c>
      <c r="G1532" s="30">
        <v>45421</v>
      </c>
      <c r="H1532" s="81" t="s">
        <v>1871</v>
      </c>
      <c r="I1532" s="30">
        <v>45420</v>
      </c>
      <c r="J1532" s="16" t="s">
        <v>1866</v>
      </c>
      <c r="K1532" s="9" t="s">
        <v>504</v>
      </c>
      <c r="L1532" s="9" t="s">
        <v>1534</v>
      </c>
      <c r="M1532" s="152">
        <v>4131000</v>
      </c>
      <c r="N1532" s="153">
        <v>0</v>
      </c>
      <c r="O1532" s="152">
        <v>0</v>
      </c>
      <c r="P1532" s="154">
        <v>0</v>
      </c>
      <c r="Q1532" s="152">
        <v>0</v>
      </c>
      <c r="R1532" s="9">
        <v>4131000</v>
      </c>
      <c r="S1532" s="21" t="s">
        <v>1846</v>
      </c>
      <c r="T1532" s="117">
        <v>0</v>
      </c>
      <c r="U1532" s="117">
        <v>0</v>
      </c>
      <c r="V1532" s="117">
        <v>2024</v>
      </c>
      <c r="W1532" s="117">
        <v>7</v>
      </c>
      <c r="X1532" s="117">
        <v>0</v>
      </c>
      <c r="Y1532" s="117">
        <v>0</v>
      </c>
      <c r="Z1532" s="21" t="b">
        <v>0</v>
      </c>
      <c r="AA1532" s="162">
        <f>+$AD$5-Tabla2[[#This Row],[FECHA DE FACTURACIÓN]]</f>
        <v>23</v>
      </c>
      <c r="AB1532" s="163" t="str">
        <f>+IF(Tabla2[[#This Row],[dias de credito]]&gt;=Tabla2[[#This Row],[PLAZO Días]],"venc", "No venc")</f>
        <v>No venc</v>
      </c>
      <c r="AC1532" s="163" t="str">
        <f>+IF(Tabla2[[#This Row],[FECHA DE PAGO]]&gt;0,"pagada","por pagar")</f>
        <v>pagada</v>
      </c>
      <c r="AD1532" s="164" t="str">
        <f>+IF(AND(Tabla2[[#This Row],[venc]]="venc",Tabla2[[#This Row],[estado pago]]="por pagar"),"vencida","no")</f>
        <v>no</v>
      </c>
    </row>
    <row r="1533" spans="1:30" ht="19.5" customHeight="1" x14ac:dyDescent="0.25">
      <c r="A1533" s="8" t="s">
        <v>1850</v>
      </c>
      <c r="B1533" s="8" t="b">
        <v>0</v>
      </c>
      <c r="C1533" s="8">
        <v>30</v>
      </c>
      <c r="D1533" s="151">
        <v>0</v>
      </c>
      <c r="E1533" s="151"/>
      <c r="F1533" s="24" t="s">
        <v>1497</v>
      </c>
      <c r="G1533" s="30">
        <v>45421</v>
      </c>
      <c r="H1533" s="81" t="s">
        <v>1862</v>
      </c>
      <c r="I1533" s="30">
        <v>45420</v>
      </c>
      <c r="J1533" s="16" t="s">
        <v>1925</v>
      </c>
      <c r="K1533" s="9" t="s">
        <v>504</v>
      </c>
      <c r="L1533" s="9" t="s">
        <v>1534</v>
      </c>
      <c r="M1533" s="152">
        <v>2395201</v>
      </c>
      <c r="N1533" s="153">
        <v>0</v>
      </c>
      <c r="O1533" s="152">
        <v>0</v>
      </c>
      <c r="P1533" s="154">
        <v>0</v>
      </c>
      <c r="Q1533" s="152">
        <v>0</v>
      </c>
      <c r="R1533" s="9">
        <v>2395201</v>
      </c>
      <c r="S1533" s="21" t="s">
        <v>1846</v>
      </c>
      <c r="T1533" s="117">
        <v>0</v>
      </c>
      <c r="U1533" s="117">
        <v>0</v>
      </c>
      <c r="V1533" s="117">
        <v>2024</v>
      </c>
      <c r="W1533" s="117">
        <v>7</v>
      </c>
      <c r="X1533" s="117">
        <v>0</v>
      </c>
      <c r="Y1533" s="117">
        <v>0</v>
      </c>
      <c r="Z1533" s="21" t="b">
        <v>0</v>
      </c>
      <c r="AA1533" s="162">
        <f>+$AD$5-Tabla2[[#This Row],[FECHA DE FACTURACIÓN]]</f>
        <v>23</v>
      </c>
      <c r="AB1533" s="163" t="str">
        <f>+IF(Tabla2[[#This Row],[dias de credito]]&gt;=Tabla2[[#This Row],[PLAZO Días]],"venc", "No venc")</f>
        <v>No venc</v>
      </c>
      <c r="AC1533" s="163" t="str">
        <f>+IF(Tabla2[[#This Row],[FECHA DE PAGO]]&gt;0,"pagada","por pagar")</f>
        <v>pagada</v>
      </c>
      <c r="AD1533" s="164" t="str">
        <f>+IF(AND(Tabla2[[#This Row],[venc]]="venc",Tabla2[[#This Row],[estado pago]]="por pagar"),"vencida","no")</f>
        <v>no</v>
      </c>
    </row>
    <row r="1534" spans="1:30" ht="19.5" customHeight="1" x14ac:dyDescent="0.25">
      <c r="A1534" s="8" t="s">
        <v>1852</v>
      </c>
      <c r="B1534" s="8" t="b">
        <v>0</v>
      </c>
      <c r="C1534" s="8">
        <v>30</v>
      </c>
      <c r="D1534" s="151">
        <v>0</v>
      </c>
      <c r="E1534" s="151"/>
      <c r="F1534" s="24" t="s">
        <v>84</v>
      </c>
      <c r="G1534" s="30">
        <v>45421</v>
      </c>
      <c r="H1534" s="81" t="s">
        <v>1824</v>
      </c>
      <c r="I1534" s="30">
        <v>45421</v>
      </c>
      <c r="J1534" s="16" t="s">
        <v>1842</v>
      </c>
      <c r="K1534" s="9" t="s">
        <v>1530</v>
      </c>
      <c r="L1534" s="9" t="s">
        <v>1395</v>
      </c>
      <c r="M1534" s="152">
        <v>1000000</v>
      </c>
      <c r="N1534" s="153">
        <v>0</v>
      </c>
      <c r="O1534" s="152">
        <v>0</v>
      </c>
      <c r="P1534" s="154">
        <v>0</v>
      </c>
      <c r="Q1534" s="152">
        <v>0</v>
      </c>
      <c r="R1534" s="9">
        <v>1000000</v>
      </c>
      <c r="S1534" s="21" t="s">
        <v>1846</v>
      </c>
      <c r="T1534" s="117">
        <v>0</v>
      </c>
      <c r="U1534" s="117">
        <v>0</v>
      </c>
      <c r="V1534" s="117">
        <v>2024</v>
      </c>
      <c r="W1534" s="117">
        <v>7</v>
      </c>
      <c r="X1534" s="117">
        <v>0</v>
      </c>
      <c r="Y1534" s="117">
        <v>0</v>
      </c>
      <c r="Z1534" s="21" t="b">
        <v>0</v>
      </c>
      <c r="AA1534" s="162">
        <f>+$AD$5-Tabla2[[#This Row],[FECHA DE FACTURACIÓN]]</f>
        <v>22</v>
      </c>
      <c r="AB1534" s="163" t="str">
        <f>+IF(Tabla2[[#This Row],[dias de credito]]&gt;=Tabla2[[#This Row],[PLAZO Días]],"venc", "No venc")</f>
        <v>No venc</v>
      </c>
      <c r="AC1534" s="163" t="str">
        <f>+IF(Tabla2[[#This Row],[FECHA DE PAGO]]&gt;0,"pagada","por pagar")</f>
        <v>pagada</v>
      </c>
      <c r="AD1534" s="164" t="str">
        <f>+IF(AND(Tabla2[[#This Row],[venc]]="venc",Tabla2[[#This Row],[estado pago]]="por pagar"),"vencida","no")</f>
        <v>no</v>
      </c>
    </row>
    <row r="1535" spans="1:30" ht="19.5" customHeight="1" x14ac:dyDescent="0.25">
      <c r="A1535" s="8" t="s">
        <v>1850</v>
      </c>
      <c r="B1535" s="8" t="s">
        <v>1851</v>
      </c>
      <c r="C1535" s="8">
        <v>30</v>
      </c>
      <c r="D1535" s="151">
        <v>9950488.6799999997</v>
      </c>
      <c r="E1535" s="151"/>
      <c r="F1535" s="24" t="s">
        <v>410</v>
      </c>
      <c r="G1535" s="30">
        <v>45422</v>
      </c>
      <c r="H1535" s="81" t="s">
        <v>11</v>
      </c>
      <c r="I1535" s="30">
        <v>45369</v>
      </c>
      <c r="J1535" s="16" t="s">
        <v>1683</v>
      </c>
      <c r="K1535" s="9" t="s">
        <v>1530</v>
      </c>
      <c r="L1535" s="9" t="s">
        <v>1533</v>
      </c>
      <c r="M1535" s="152">
        <v>3408409</v>
      </c>
      <c r="N1535" s="153">
        <v>647597.71</v>
      </c>
      <c r="O1535" s="152">
        <v>0</v>
      </c>
      <c r="P1535" s="154">
        <v>2.5000000000000001E-2</v>
      </c>
      <c r="Q1535" s="152">
        <v>85210.225000000006</v>
      </c>
      <c r="R1535" s="9">
        <v>3970796.4849999999</v>
      </c>
      <c r="S1535" s="21" t="s">
        <v>1846</v>
      </c>
      <c r="T1535" s="117">
        <v>0</v>
      </c>
      <c r="U1535" s="117" t="s">
        <v>347</v>
      </c>
      <c r="V1535" s="117">
        <v>2024</v>
      </c>
      <c r="W1535" s="117">
        <v>7</v>
      </c>
      <c r="X1535" s="117">
        <v>1271000</v>
      </c>
      <c r="Y1535" s="117">
        <v>2.5000000000000001E-2</v>
      </c>
      <c r="Z1535" s="21" t="b">
        <v>0</v>
      </c>
      <c r="AA1535" s="162">
        <f>+$AD$5-Tabla2[[#This Row],[FECHA DE FACTURACIÓN]]</f>
        <v>74</v>
      </c>
      <c r="AB1535" s="163" t="str">
        <f>+IF(Tabla2[[#This Row],[dias de credito]]&gt;=Tabla2[[#This Row],[PLAZO Días]],"venc", "No venc")</f>
        <v>venc</v>
      </c>
      <c r="AC1535" s="163" t="str">
        <f>+IF(Tabla2[[#This Row],[FECHA DE PAGO]]&gt;0,"pagada","por pagar")</f>
        <v>pagada</v>
      </c>
      <c r="AD1535" s="164" t="str">
        <f>+IF(AND(Tabla2[[#This Row],[venc]]="venc",Tabla2[[#This Row],[estado pago]]="por pagar"),"vencida","no")</f>
        <v>no</v>
      </c>
    </row>
    <row r="1536" spans="1:30" ht="19.5" customHeight="1" x14ac:dyDescent="0.25">
      <c r="A1536" s="8" t="s">
        <v>1850</v>
      </c>
      <c r="B1536" s="8" t="s">
        <v>1851</v>
      </c>
      <c r="C1536" s="8">
        <v>10</v>
      </c>
      <c r="D1536" s="151">
        <v>-3510</v>
      </c>
      <c r="E1536" s="151"/>
      <c r="F1536" s="24" t="s">
        <v>1540</v>
      </c>
      <c r="G1536" s="30">
        <v>45422</v>
      </c>
      <c r="H1536" s="81" t="s">
        <v>1452</v>
      </c>
      <c r="I1536" s="30">
        <v>45400</v>
      </c>
      <c r="J1536" s="16" t="s">
        <v>1907</v>
      </c>
      <c r="K1536" s="9" t="s">
        <v>1530</v>
      </c>
      <c r="L1536" s="9" t="s">
        <v>1533</v>
      </c>
      <c r="M1536" s="152">
        <v>-12893</v>
      </c>
      <c r="N1536" s="153">
        <v>0</v>
      </c>
      <c r="O1536" s="152">
        <v>0</v>
      </c>
      <c r="P1536" s="154">
        <v>0</v>
      </c>
      <c r="Q1536" s="152">
        <v>0</v>
      </c>
      <c r="R1536" s="9">
        <v>-12893</v>
      </c>
      <c r="S1536" s="21" t="s">
        <v>1846</v>
      </c>
      <c r="T1536" s="117">
        <v>0</v>
      </c>
      <c r="U1536" s="117" t="s">
        <v>348</v>
      </c>
      <c r="V1536" s="117">
        <v>2024</v>
      </c>
      <c r="W1536" s="117">
        <v>7</v>
      </c>
      <c r="X1536" s="117">
        <v>0</v>
      </c>
      <c r="Y1536" s="117">
        <v>3.5000000000000003E-2</v>
      </c>
      <c r="Z1536" s="21" t="b">
        <v>1</v>
      </c>
      <c r="AA1536" s="162">
        <f>+$AD$5-Tabla2[[#This Row],[FECHA DE FACTURACIÓN]]</f>
        <v>43</v>
      </c>
      <c r="AB1536" s="163" t="str">
        <f>+IF(Tabla2[[#This Row],[dias de credito]]&gt;=Tabla2[[#This Row],[PLAZO Días]],"venc", "No venc")</f>
        <v>venc</v>
      </c>
      <c r="AC1536" s="163" t="str">
        <f>+IF(Tabla2[[#This Row],[FECHA DE PAGO]]&gt;0,"pagada","por pagar")</f>
        <v>pagada</v>
      </c>
      <c r="AD1536" s="164" t="str">
        <f>+IF(AND(Tabla2[[#This Row],[venc]]="venc",Tabla2[[#This Row],[estado pago]]="por pagar"),"vencida","no")</f>
        <v>no</v>
      </c>
    </row>
    <row r="1537" spans="1:30" ht="19.5" customHeight="1" x14ac:dyDescent="0.25">
      <c r="A1537" s="8" t="s">
        <v>1850</v>
      </c>
      <c r="B1537" s="8" t="b">
        <v>0</v>
      </c>
      <c r="C1537" s="8">
        <v>20</v>
      </c>
      <c r="D1537" s="151">
        <v>0</v>
      </c>
      <c r="E1537" s="151"/>
      <c r="F1537" s="24">
        <v>0</v>
      </c>
      <c r="G1537" s="30">
        <v>45422</v>
      </c>
      <c r="H1537" s="81" t="s">
        <v>1825</v>
      </c>
      <c r="I1537" s="30">
        <v>45407</v>
      </c>
      <c r="J1537" s="16" t="s">
        <v>890</v>
      </c>
      <c r="K1537" s="9" t="s">
        <v>504</v>
      </c>
      <c r="L1537" s="9" t="s">
        <v>1395</v>
      </c>
      <c r="M1537" s="152">
        <v>455608</v>
      </c>
      <c r="N1537" s="153">
        <v>0</v>
      </c>
      <c r="O1537" s="152">
        <v>0</v>
      </c>
      <c r="P1537" s="154">
        <v>0</v>
      </c>
      <c r="Q1537" s="152">
        <v>0</v>
      </c>
      <c r="R1537" s="9">
        <v>455608</v>
      </c>
      <c r="S1537" s="21" t="s">
        <v>1846</v>
      </c>
      <c r="T1537" s="117">
        <v>0</v>
      </c>
      <c r="U1537" s="117">
        <v>0</v>
      </c>
      <c r="V1537" s="117">
        <v>2024</v>
      </c>
      <c r="W1537" s="117">
        <v>7</v>
      </c>
      <c r="X1537" s="117">
        <v>0</v>
      </c>
      <c r="Y1537" s="117">
        <v>0</v>
      </c>
      <c r="Z1537" s="21" t="b">
        <v>0</v>
      </c>
      <c r="AA1537" s="162">
        <f>+$AD$5-Tabla2[[#This Row],[FECHA DE FACTURACIÓN]]</f>
        <v>36</v>
      </c>
      <c r="AB1537" s="163" t="str">
        <f>+IF(Tabla2[[#This Row],[dias de credito]]&gt;=Tabla2[[#This Row],[PLAZO Días]],"venc", "No venc")</f>
        <v>venc</v>
      </c>
      <c r="AC1537" s="163" t="str">
        <f>+IF(Tabla2[[#This Row],[FECHA DE PAGO]]&gt;0,"pagada","por pagar")</f>
        <v>pagada</v>
      </c>
      <c r="AD1537" s="164" t="str">
        <f>+IF(AND(Tabla2[[#This Row],[venc]]="venc",Tabla2[[#This Row],[estado pago]]="por pagar"),"vencida","no")</f>
        <v>no</v>
      </c>
    </row>
    <row r="1538" spans="1:30" ht="19.5" customHeight="1" x14ac:dyDescent="0.25">
      <c r="A1538" s="8" t="s">
        <v>1850</v>
      </c>
      <c r="B1538" s="8" t="b">
        <v>0</v>
      </c>
      <c r="C1538" s="8">
        <v>30</v>
      </c>
      <c r="D1538" s="151">
        <v>0</v>
      </c>
      <c r="E1538" s="151"/>
      <c r="F1538" s="24" t="s">
        <v>253</v>
      </c>
      <c r="G1538" s="30">
        <v>45422</v>
      </c>
      <c r="H1538" s="81" t="s">
        <v>368</v>
      </c>
      <c r="I1538" s="30">
        <v>45407</v>
      </c>
      <c r="J1538" s="16" t="s">
        <v>1768</v>
      </c>
      <c r="K1538" s="9" t="s">
        <v>1530</v>
      </c>
      <c r="L1538" s="9" t="s">
        <v>1535</v>
      </c>
      <c r="M1538" s="152">
        <v>181631</v>
      </c>
      <c r="N1538" s="153">
        <v>0</v>
      </c>
      <c r="O1538" s="152">
        <v>0</v>
      </c>
      <c r="P1538" s="154">
        <v>0</v>
      </c>
      <c r="Q1538" s="152">
        <v>0</v>
      </c>
      <c r="R1538" s="9">
        <v>181631</v>
      </c>
      <c r="S1538" s="21" t="s">
        <v>1846</v>
      </c>
      <c r="T1538" s="117">
        <v>0</v>
      </c>
      <c r="U1538" s="117">
        <v>0</v>
      </c>
      <c r="V1538" s="117">
        <v>2024</v>
      </c>
      <c r="W1538" s="117">
        <v>7</v>
      </c>
      <c r="X1538" s="117">
        <v>0</v>
      </c>
      <c r="Y1538" s="117">
        <v>0</v>
      </c>
      <c r="Z1538" s="21" t="b">
        <v>1</v>
      </c>
      <c r="AA1538" s="162">
        <f>+$AD$5-Tabla2[[#This Row],[FECHA DE FACTURACIÓN]]</f>
        <v>36</v>
      </c>
      <c r="AB1538" s="163" t="str">
        <f>+IF(Tabla2[[#This Row],[dias de credito]]&gt;=Tabla2[[#This Row],[PLAZO Días]],"venc", "No venc")</f>
        <v>venc</v>
      </c>
      <c r="AC1538" s="163" t="str">
        <f>+IF(Tabla2[[#This Row],[FECHA DE PAGO]]&gt;0,"pagada","por pagar")</f>
        <v>pagada</v>
      </c>
      <c r="AD1538" s="164" t="str">
        <f>+IF(AND(Tabla2[[#This Row],[venc]]="venc",Tabla2[[#This Row],[estado pago]]="por pagar"),"vencida","no")</f>
        <v>no</v>
      </c>
    </row>
    <row r="1539" spans="1:30" ht="19.5" customHeight="1" x14ac:dyDescent="0.25">
      <c r="A1539" s="8" t="s">
        <v>1850</v>
      </c>
      <c r="B1539" s="8" t="b">
        <v>0</v>
      </c>
      <c r="C1539" s="8">
        <v>30</v>
      </c>
      <c r="D1539" s="151">
        <v>0</v>
      </c>
      <c r="E1539" s="151"/>
      <c r="F1539" s="24" t="s">
        <v>253</v>
      </c>
      <c r="G1539" s="30">
        <v>45422</v>
      </c>
      <c r="H1539" s="81" t="s">
        <v>368</v>
      </c>
      <c r="I1539" s="30">
        <v>45413</v>
      </c>
      <c r="J1539" s="16" t="s">
        <v>1875</v>
      </c>
      <c r="K1539" s="9" t="s">
        <v>1530</v>
      </c>
      <c r="L1539" s="9" t="s">
        <v>1535</v>
      </c>
      <c r="M1539" s="152">
        <v>970836</v>
      </c>
      <c r="N1539" s="153">
        <v>184458.84</v>
      </c>
      <c r="O1539" s="152">
        <v>0</v>
      </c>
      <c r="P1539" s="154">
        <v>0</v>
      </c>
      <c r="Q1539" s="152">
        <v>38833</v>
      </c>
      <c r="R1539" s="9">
        <v>1116461.8400000001</v>
      </c>
      <c r="S1539" s="21" t="s">
        <v>1846</v>
      </c>
      <c r="T1539" s="117">
        <v>0</v>
      </c>
      <c r="U1539" s="117">
        <v>0</v>
      </c>
      <c r="V1539" s="117">
        <v>2024</v>
      </c>
      <c r="W1539" s="117">
        <v>7</v>
      </c>
      <c r="X1539" s="117">
        <v>0</v>
      </c>
      <c r="Y1539" s="117">
        <v>0</v>
      </c>
      <c r="Z1539" s="21" t="b">
        <v>1</v>
      </c>
      <c r="AA1539" s="162">
        <f>+$AD$5-Tabla2[[#This Row],[FECHA DE FACTURACIÓN]]</f>
        <v>30</v>
      </c>
      <c r="AB1539" s="163" t="str">
        <f>+IF(Tabla2[[#This Row],[dias de credito]]&gt;=Tabla2[[#This Row],[PLAZO Días]],"venc", "No venc")</f>
        <v>venc</v>
      </c>
      <c r="AC1539" s="163" t="str">
        <f>+IF(Tabla2[[#This Row],[FECHA DE PAGO]]&gt;0,"pagada","por pagar")</f>
        <v>pagada</v>
      </c>
      <c r="AD1539" s="164" t="str">
        <f>+IF(AND(Tabla2[[#This Row],[venc]]="venc",Tabla2[[#This Row],[estado pago]]="por pagar"),"vencida","no")</f>
        <v>no</v>
      </c>
    </row>
    <row r="1540" spans="1:30" ht="19.5" customHeight="1" x14ac:dyDescent="0.25">
      <c r="A1540" s="8" t="s">
        <v>1850</v>
      </c>
      <c r="B1540" s="8" t="b">
        <v>0</v>
      </c>
      <c r="C1540" s="8">
        <v>30</v>
      </c>
      <c r="D1540" s="151">
        <v>0</v>
      </c>
      <c r="E1540" s="151"/>
      <c r="F1540" s="24" t="s">
        <v>253</v>
      </c>
      <c r="G1540" s="30">
        <v>45422</v>
      </c>
      <c r="H1540" s="81" t="s">
        <v>368</v>
      </c>
      <c r="I1540" s="30">
        <v>45413</v>
      </c>
      <c r="J1540" s="16" t="s">
        <v>1876</v>
      </c>
      <c r="K1540" s="9" t="s">
        <v>1530</v>
      </c>
      <c r="L1540" s="9" t="s">
        <v>1535</v>
      </c>
      <c r="M1540" s="152">
        <v>4220343</v>
      </c>
      <c r="N1540" s="153">
        <v>801865.17</v>
      </c>
      <c r="O1540" s="152">
        <v>0</v>
      </c>
      <c r="P1540" s="154">
        <v>0</v>
      </c>
      <c r="Q1540" s="152">
        <v>0</v>
      </c>
      <c r="R1540" s="9">
        <v>5022208.17</v>
      </c>
      <c r="S1540" s="21" t="s">
        <v>1846</v>
      </c>
      <c r="T1540" s="117">
        <v>0</v>
      </c>
      <c r="U1540" s="117">
        <v>0</v>
      </c>
      <c r="V1540" s="117">
        <v>2024</v>
      </c>
      <c r="W1540" s="117">
        <v>7</v>
      </c>
      <c r="X1540" s="117">
        <v>0</v>
      </c>
      <c r="Y1540" s="117">
        <v>0</v>
      </c>
      <c r="Z1540" s="21" t="b">
        <v>1</v>
      </c>
      <c r="AA1540" s="162">
        <f>+$AD$5-Tabla2[[#This Row],[FECHA DE FACTURACIÓN]]</f>
        <v>30</v>
      </c>
      <c r="AB1540" s="163" t="str">
        <f>+IF(Tabla2[[#This Row],[dias de credito]]&gt;=Tabla2[[#This Row],[PLAZO Días]],"venc", "No venc")</f>
        <v>venc</v>
      </c>
      <c r="AC1540" s="163" t="str">
        <f>+IF(Tabla2[[#This Row],[FECHA DE PAGO]]&gt;0,"pagada","por pagar")</f>
        <v>pagada</v>
      </c>
      <c r="AD1540" s="164" t="str">
        <f>+IF(AND(Tabla2[[#This Row],[venc]]="venc",Tabla2[[#This Row],[estado pago]]="por pagar"),"vencida","no")</f>
        <v>no</v>
      </c>
    </row>
    <row r="1541" spans="1:30" ht="19.5" customHeight="1" x14ac:dyDescent="0.25">
      <c r="A1541" s="8" t="s">
        <v>1850</v>
      </c>
      <c r="B1541" s="8" t="b">
        <v>0</v>
      </c>
      <c r="C1541" s="8">
        <v>10</v>
      </c>
      <c r="D1541" s="151">
        <v>-3510</v>
      </c>
      <c r="E1541" s="151"/>
      <c r="F1541" s="24" t="s">
        <v>1540</v>
      </c>
      <c r="G1541" s="30">
        <v>45422</v>
      </c>
      <c r="H1541" s="81" t="s">
        <v>1452</v>
      </c>
      <c r="I1541" s="30">
        <v>45413</v>
      </c>
      <c r="J1541" s="16" t="s">
        <v>1877</v>
      </c>
      <c r="K1541" s="9" t="s">
        <v>1530</v>
      </c>
      <c r="L1541" s="9" t="s">
        <v>1533</v>
      </c>
      <c r="M1541" s="152">
        <v>4435417</v>
      </c>
      <c r="N1541" s="153">
        <v>752248</v>
      </c>
      <c r="O1541" s="152">
        <v>0</v>
      </c>
      <c r="P1541" s="154">
        <v>3.5000000000000003E-2</v>
      </c>
      <c r="Q1541" s="152">
        <v>138572</v>
      </c>
      <c r="R1541" s="9">
        <v>5049093</v>
      </c>
      <c r="S1541" s="21" t="s">
        <v>1846</v>
      </c>
      <c r="T1541" s="117">
        <v>0</v>
      </c>
      <c r="U1541" s="117" t="s">
        <v>348</v>
      </c>
      <c r="V1541" s="117">
        <v>2024</v>
      </c>
      <c r="W1541" s="117">
        <v>7</v>
      </c>
      <c r="X1541" s="117">
        <v>0</v>
      </c>
      <c r="Y1541" s="117">
        <v>3.5000000000000003E-2</v>
      </c>
      <c r="Z1541" s="21" t="b">
        <v>1</v>
      </c>
      <c r="AA1541" s="162">
        <f>+$AD$5-Tabla2[[#This Row],[FECHA DE FACTURACIÓN]]</f>
        <v>30</v>
      </c>
      <c r="AB1541" s="163" t="str">
        <f>+IF(Tabla2[[#This Row],[dias de credito]]&gt;=Tabla2[[#This Row],[PLAZO Días]],"venc", "No venc")</f>
        <v>venc</v>
      </c>
      <c r="AC1541" s="163" t="str">
        <f>+IF(Tabla2[[#This Row],[FECHA DE PAGO]]&gt;0,"pagada","por pagar")</f>
        <v>pagada</v>
      </c>
      <c r="AD1541" s="164" t="str">
        <f>+IF(AND(Tabla2[[#This Row],[venc]]="venc",Tabla2[[#This Row],[estado pago]]="por pagar"),"vencida","no")</f>
        <v>no</v>
      </c>
    </row>
    <row r="1542" spans="1:30" ht="19.5" customHeight="1" x14ac:dyDescent="0.25">
      <c r="A1542" s="8" t="s">
        <v>1850</v>
      </c>
      <c r="B1542" s="8" t="b">
        <v>0</v>
      </c>
      <c r="C1542" s="8">
        <v>10</v>
      </c>
      <c r="D1542" s="151">
        <v>0</v>
      </c>
      <c r="E1542" s="151"/>
      <c r="F1542" s="24" t="s">
        <v>483</v>
      </c>
      <c r="G1542" s="30">
        <v>45423</v>
      </c>
      <c r="H1542" s="81" t="s">
        <v>482</v>
      </c>
      <c r="I1542" s="30">
        <v>45413</v>
      </c>
      <c r="J1542" s="16" t="s">
        <v>1874</v>
      </c>
      <c r="K1542" s="9" t="s">
        <v>1530</v>
      </c>
      <c r="L1542" s="9" t="s">
        <v>1533</v>
      </c>
      <c r="M1542" s="152">
        <v>5847109</v>
      </c>
      <c r="N1542" s="153">
        <v>1110950.71</v>
      </c>
      <c r="O1542" s="152">
        <v>0</v>
      </c>
      <c r="P1542" s="154">
        <v>0</v>
      </c>
      <c r="Q1542" s="152">
        <v>0</v>
      </c>
      <c r="R1542" s="9">
        <v>6958059.71</v>
      </c>
      <c r="S1542" s="21" t="s">
        <v>1846</v>
      </c>
      <c r="T1542" s="117">
        <v>0</v>
      </c>
      <c r="U1542" s="117">
        <v>0</v>
      </c>
      <c r="V1542" s="117">
        <v>2024</v>
      </c>
      <c r="W1542" s="117">
        <v>7</v>
      </c>
      <c r="X1542" s="117">
        <v>0</v>
      </c>
      <c r="Y1542" s="117">
        <v>0</v>
      </c>
      <c r="Z1542" s="21" t="b">
        <v>1</v>
      </c>
      <c r="AA1542" s="162">
        <f>+$AD$5-Tabla2[[#This Row],[FECHA DE FACTURACIÓN]]</f>
        <v>30</v>
      </c>
      <c r="AB1542" s="163" t="str">
        <f>+IF(Tabla2[[#This Row],[dias de credito]]&gt;=Tabla2[[#This Row],[PLAZO Días]],"venc", "No venc")</f>
        <v>venc</v>
      </c>
      <c r="AC1542" s="163" t="str">
        <f>+IF(Tabla2[[#This Row],[FECHA DE PAGO]]&gt;0,"pagada","por pagar")</f>
        <v>pagada</v>
      </c>
      <c r="AD1542" s="164" t="str">
        <f>+IF(AND(Tabla2[[#This Row],[venc]]="venc",Tabla2[[#This Row],[estado pago]]="por pagar"),"vencida","no")</f>
        <v>no</v>
      </c>
    </row>
    <row r="1543" spans="1:30" ht="19.5" customHeight="1" x14ac:dyDescent="0.25">
      <c r="A1543" s="8" t="s">
        <v>1850</v>
      </c>
      <c r="B1543" s="8" t="s">
        <v>1851</v>
      </c>
      <c r="C1543" s="8">
        <v>30</v>
      </c>
      <c r="D1543" s="151">
        <v>0</v>
      </c>
      <c r="E1543" s="151"/>
      <c r="F1543" s="24" t="s">
        <v>1496</v>
      </c>
      <c r="G1543" s="30">
        <v>45443</v>
      </c>
      <c r="H1543" s="81" t="s">
        <v>411</v>
      </c>
      <c r="I1543" s="30">
        <v>45407</v>
      </c>
      <c r="J1543" s="16" t="s">
        <v>1780</v>
      </c>
      <c r="K1543" s="9" t="s">
        <v>1530</v>
      </c>
      <c r="L1543" s="9" t="s">
        <v>1534</v>
      </c>
      <c r="M1543" s="152">
        <v>1540000</v>
      </c>
      <c r="N1543" s="153">
        <v>292600</v>
      </c>
      <c r="O1543" s="152">
        <v>0</v>
      </c>
      <c r="P1543" s="154">
        <v>2.5000000000000001E-2</v>
      </c>
      <c r="Q1543" s="152">
        <v>38500</v>
      </c>
      <c r="R1543" s="9">
        <v>1794100</v>
      </c>
      <c r="S1543" s="21" t="s">
        <v>1846</v>
      </c>
      <c r="T1543" s="117">
        <v>0</v>
      </c>
      <c r="U1543" s="117" t="s">
        <v>347</v>
      </c>
      <c r="V1543" s="117">
        <v>2024</v>
      </c>
      <c r="W1543" s="117">
        <v>7</v>
      </c>
      <c r="X1543" s="117">
        <v>1271000</v>
      </c>
      <c r="Y1543" s="117">
        <v>2.5000000000000001E-2</v>
      </c>
      <c r="Z1543" s="21" t="b">
        <v>0</v>
      </c>
      <c r="AA1543" s="162">
        <f>+$AD$5-Tabla2[[#This Row],[FECHA DE FACTURACIÓN]]</f>
        <v>36</v>
      </c>
      <c r="AB1543" s="163" t="str">
        <f>+IF(Tabla2[[#This Row],[dias de credito]]&gt;=Tabla2[[#This Row],[PLAZO Días]],"venc", "No venc")</f>
        <v>venc</v>
      </c>
      <c r="AC1543" s="163" t="str">
        <f>+IF(Tabla2[[#This Row],[FECHA DE PAGO]]&gt;0,"pagada","por pagar")</f>
        <v>pagada</v>
      </c>
      <c r="AD1543" s="164" t="str">
        <f>+IF(AND(Tabla2[[#This Row],[venc]]="venc",Tabla2[[#This Row],[estado pago]]="por pagar"),"vencida","no")</f>
        <v>no</v>
      </c>
    </row>
    <row r="1544" spans="1:30" ht="19.5" customHeight="1" x14ac:dyDescent="0.25">
      <c r="A1544" s="8" t="s">
        <v>1850</v>
      </c>
      <c r="B1544" s="8" t="s">
        <v>1851</v>
      </c>
      <c r="C1544" s="8">
        <v>30</v>
      </c>
      <c r="D1544" s="151">
        <v>0</v>
      </c>
      <c r="E1544" s="151"/>
      <c r="F1544" s="24" t="s">
        <v>84</v>
      </c>
      <c r="G1544" s="30">
        <v>45439</v>
      </c>
      <c r="H1544" s="81" t="s">
        <v>1829</v>
      </c>
      <c r="I1544" s="30">
        <v>45345</v>
      </c>
      <c r="J1544" s="16" t="s">
        <v>1897</v>
      </c>
      <c r="K1544" s="9" t="s">
        <v>1530</v>
      </c>
      <c r="L1544" s="9" t="s">
        <v>1395</v>
      </c>
      <c r="M1544" s="152">
        <v>8291500</v>
      </c>
      <c r="N1544" s="153">
        <v>0</v>
      </c>
      <c r="O1544" s="152">
        <v>0</v>
      </c>
      <c r="P1544" s="154">
        <v>0</v>
      </c>
      <c r="Q1544" s="152">
        <v>0</v>
      </c>
      <c r="R1544" s="9">
        <v>8291500</v>
      </c>
      <c r="S1544" s="21" t="s">
        <v>1846</v>
      </c>
      <c r="T1544" s="117">
        <v>0</v>
      </c>
      <c r="U1544" s="117">
        <v>0</v>
      </c>
      <c r="V1544" s="117">
        <v>2024</v>
      </c>
      <c r="W1544" s="117">
        <v>7</v>
      </c>
      <c r="X1544" s="117">
        <v>0</v>
      </c>
      <c r="Y1544" s="117">
        <v>0</v>
      </c>
      <c r="Z1544" s="21" t="b">
        <v>0</v>
      </c>
      <c r="AA1544" s="162">
        <f>+$AD$5-Tabla2[[#This Row],[FECHA DE FACTURACIÓN]]</f>
        <v>98</v>
      </c>
      <c r="AB1544" s="163" t="str">
        <f>+IF(Tabla2[[#This Row],[dias de credito]]&gt;=Tabla2[[#This Row],[PLAZO Días]],"venc", "No venc")</f>
        <v>venc</v>
      </c>
      <c r="AC1544" s="163" t="str">
        <f>+IF(Tabla2[[#This Row],[FECHA DE PAGO]]&gt;0,"pagada","por pagar")</f>
        <v>pagada</v>
      </c>
      <c r="AD1544" s="164" t="str">
        <f>+IF(AND(Tabla2[[#This Row],[venc]]="venc",Tabla2[[#This Row],[estado pago]]="por pagar"),"vencida","no")</f>
        <v>no</v>
      </c>
    </row>
    <row r="1545" spans="1:30" ht="19.5" customHeight="1" x14ac:dyDescent="0.25">
      <c r="A1545" s="8" t="s">
        <v>1850</v>
      </c>
      <c r="B1545" s="8" t="e">
        <v>#N/A</v>
      </c>
      <c r="C1545" s="8" t="e">
        <v>#N/A</v>
      </c>
      <c r="D1545" s="151">
        <v>560900</v>
      </c>
      <c r="E1545" s="151"/>
      <c r="F1545" s="24" t="e">
        <v>#N/A</v>
      </c>
      <c r="G1545" s="30"/>
      <c r="H1545" s="81" t="s">
        <v>1887</v>
      </c>
      <c r="I1545" s="30">
        <v>45399</v>
      </c>
      <c r="J1545" s="16" t="s">
        <v>1786</v>
      </c>
      <c r="K1545" s="9" t="s">
        <v>1530</v>
      </c>
      <c r="L1545" s="9"/>
      <c r="M1545" s="152">
        <v>560900</v>
      </c>
      <c r="N1545" s="153">
        <v>0</v>
      </c>
      <c r="O1545" s="152">
        <v>0</v>
      </c>
      <c r="P1545" s="154">
        <v>0</v>
      </c>
      <c r="Q1545" s="152">
        <v>0</v>
      </c>
      <c r="R1545" s="9">
        <v>560900</v>
      </c>
      <c r="S1545" s="21" t="e">
        <v>#N/A</v>
      </c>
      <c r="T1545" s="117" t="e">
        <v>#N/A</v>
      </c>
      <c r="U1545" s="117" t="e">
        <v>#N/A</v>
      </c>
      <c r="V1545" s="117">
        <v>2024</v>
      </c>
      <c r="W1545" s="117">
        <v>7</v>
      </c>
      <c r="X1545" s="117" t="e">
        <v>#N/A</v>
      </c>
      <c r="Y1545" s="117" t="e">
        <v>#N/A</v>
      </c>
      <c r="Z1545" s="21" t="b">
        <v>0</v>
      </c>
      <c r="AA1545" s="162">
        <f>+$AD$5-Tabla2[[#This Row],[FECHA DE FACTURACIÓN]]</f>
        <v>44</v>
      </c>
      <c r="AB1545" s="163" t="e">
        <f>+IF(Tabla2[[#This Row],[dias de credito]]&gt;=Tabla2[[#This Row],[PLAZO Días]],"venc", "No venc")</f>
        <v>#N/A</v>
      </c>
      <c r="AC1545" s="163" t="str">
        <f>+IF(Tabla2[[#This Row],[FECHA DE PAGO]]&gt;0,"pagada","por pagar")</f>
        <v>por pagar</v>
      </c>
      <c r="AD1545" s="164" t="e">
        <f>+IF(AND(Tabla2[[#This Row],[venc]]="venc",Tabla2[[#This Row],[estado pago]]="por pagar"),"vencida","no")</f>
        <v>#N/A</v>
      </c>
    </row>
    <row r="1546" spans="1:30" ht="19.5" customHeight="1" x14ac:dyDescent="0.25">
      <c r="A1546" s="8" t="s">
        <v>1850</v>
      </c>
      <c r="B1546" s="8" t="b">
        <v>0</v>
      </c>
      <c r="C1546" s="8">
        <v>30</v>
      </c>
      <c r="D1546" s="151">
        <v>1350000</v>
      </c>
      <c r="E1546" s="151"/>
      <c r="F1546" s="24" t="s">
        <v>84</v>
      </c>
      <c r="G1546" s="30">
        <v>45414</v>
      </c>
      <c r="H1546" s="81" t="s">
        <v>1807</v>
      </c>
      <c r="I1546" s="30">
        <v>45395</v>
      </c>
      <c r="J1546" s="16" t="s">
        <v>1748</v>
      </c>
      <c r="K1546" s="9" t="s">
        <v>1530</v>
      </c>
      <c r="L1546" s="9" t="s">
        <v>1395</v>
      </c>
      <c r="M1546" s="152">
        <v>550000</v>
      </c>
      <c r="N1546" s="153">
        <v>0</v>
      </c>
      <c r="O1546" s="152">
        <v>0</v>
      </c>
      <c r="P1546" s="154">
        <v>0</v>
      </c>
      <c r="Q1546" s="152">
        <v>0</v>
      </c>
      <c r="R1546" s="9">
        <v>550000</v>
      </c>
      <c r="S1546" s="21" t="s">
        <v>1846</v>
      </c>
      <c r="T1546" s="117">
        <v>0</v>
      </c>
      <c r="U1546" s="117">
        <v>0</v>
      </c>
      <c r="V1546" s="117">
        <v>2024</v>
      </c>
      <c r="W1546" s="117">
        <v>7</v>
      </c>
      <c r="X1546" s="117">
        <v>0</v>
      </c>
      <c r="Y1546" s="117">
        <v>0</v>
      </c>
      <c r="Z1546" s="21" t="b">
        <v>0</v>
      </c>
      <c r="AA1546" s="162">
        <f>+$AD$5-Tabla2[[#This Row],[FECHA DE FACTURACIÓN]]</f>
        <v>48</v>
      </c>
      <c r="AB1546" s="163" t="str">
        <f>+IF(Tabla2[[#This Row],[dias de credito]]&gt;=Tabla2[[#This Row],[PLAZO Días]],"venc", "No venc")</f>
        <v>venc</v>
      </c>
      <c r="AC1546" s="163" t="str">
        <f>+IF(Tabla2[[#This Row],[FECHA DE PAGO]]&gt;0,"pagada","por pagar")</f>
        <v>pagada</v>
      </c>
      <c r="AD1546" s="164" t="str">
        <f>+IF(AND(Tabla2[[#This Row],[venc]]="venc",Tabla2[[#This Row],[estado pago]]="por pagar"),"vencida","no")</f>
        <v>no</v>
      </c>
    </row>
    <row r="1547" spans="1:30" ht="19.5" customHeight="1" x14ac:dyDescent="0.25">
      <c r="A1547" s="8" t="s">
        <v>1850</v>
      </c>
      <c r="B1547" s="8" t="b">
        <v>0</v>
      </c>
      <c r="C1547" s="8">
        <v>30</v>
      </c>
      <c r="D1547" s="151">
        <v>0</v>
      </c>
      <c r="E1547" s="151"/>
      <c r="F1547" s="24">
        <v>0</v>
      </c>
      <c r="G1547" s="30">
        <v>45434</v>
      </c>
      <c r="H1547" s="81" t="s">
        <v>1832</v>
      </c>
      <c r="I1547" s="30">
        <v>45407</v>
      </c>
      <c r="J1547" s="16" t="s">
        <v>1770</v>
      </c>
      <c r="K1547" s="9" t="s">
        <v>1530</v>
      </c>
      <c r="L1547" s="9" t="s">
        <v>1395</v>
      </c>
      <c r="M1547" s="152">
        <v>1775000</v>
      </c>
      <c r="N1547" s="153">
        <v>0</v>
      </c>
      <c r="O1547" s="152">
        <v>0</v>
      </c>
      <c r="P1547" s="154">
        <v>0</v>
      </c>
      <c r="Q1547" s="152">
        <v>0</v>
      </c>
      <c r="R1547" s="9">
        <v>1775000</v>
      </c>
      <c r="S1547" s="21" t="s">
        <v>1846</v>
      </c>
      <c r="T1547" s="117">
        <v>0</v>
      </c>
      <c r="U1547" s="117">
        <v>0</v>
      </c>
      <c r="V1547" s="117">
        <v>2024</v>
      </c>
      <c r="W1547" s="117">
        <v>7</v>
      </c>
      <c r="X1547" s="117">
        <v>0</v>
      </c>
      <c r="Y1547" s="117">
        <v>0</v>
      </c>
      <c r="Z1547" s="21" t="b">
        <v>0</v>
      </c>
      <c r="AA1547" s="162">
        <f>+$AD$5-Tabla2[[#This Row],[FECHA DE FACTURACIÓN]]</f>
        <v>36</v>
      </c>
      <c r="AB1547" s="163" t="str">
        <f>+IF(Tabla2[[#This Row],[dias de credito]]&gt;=Tabla2[[#This Row],[PLAZO Días]],"venc", "No venc")</f>
        <v>venc</v>
      </c>
      <c r="AC1547" s="163" t="str">
        <f>+IF(Tabla2[[#This Row],[FECHA DE PAGO]]&gt;0,"pagada","por pagar")</f>
        <v>pagada</v>
      </c>
      <c r="AD1547" s="164" t="str">
        <f>+IF(AND(Tabla2[[#This Row],[venc]]="venc",Tabla2[[#This Row],[estado pago]]="por pagar"),"vencida","no")</f>
        <v>no</v>
      </c>
    </row>
    <row r="1548" spans="1:30" ht="19.5" customHeight="1" x14ac:dyDescent="0.25">
      <c r="A1548" s="8" t="s">
        <v>1850</v>
      </c>
      <c r="B1548" s="8" t="b">
        <v>0</v>
      </c>
      <c r="C1548" s="8">
        <v>30</v>
      </c>
      <c r="D1548" s="151">
        <v>31461</v>
      </c>
      <c r="E1548" s="151"/>
      <c r="F1548" s="24" t="s">
        <v>156</v>
      </c>
      <c r="G1548" s="30"/>
      <c r="H1548" s="81" t="s">
        <v>1830</v>
      </c>
      <c r="I1548" s="30">
        <v>45395</v>
      </c>
      <c r="J1548" s="16" t="s">
        <v>1749</v>
      </c>
      <c r="K1548" s="9" t="s">
        <v>504</v>
      </c>
      <c r="L1548" s="9"/>
      <c r="M1548" s="152">
        <v>31461</v>
      </c>
      <c r="N1548" s="153">
        <v>0</v>
      </c>
      <c r="O1548" s="152">
        <v>0</v>
      </c>
      <c r="P1548" s="154">
        <v>0</v>
      </c>
      <c r="Q1548" s="152">
        <v>0</v>
      </c>
      <c r="R1548" s="9">
        <v>31461</v>
      </c>
      <c r="S1548" s="21" t="s">
        <v>1853</v>
      </c>
      <c r="T1548" s="117">
        <v>19</v>
      </c>
      <c r="U1548" s="117">
        <v>0</v>
      </c>
      <c r="V1548" s="117">
        <v>2024</v>
      </c>
      <c r="W1548" s="117">
        <v>7</v>
      </c>
      <c r="X1548" s="117">
        <v>0</v>
      </c>
      <c r="Y1548" s="117">
        <v>0</v>
      </c>
      <c r="Z1548" s="21" t="b">
        <v>0</v>
      </c>
      <c r="AA1548" s="162">
        <f>+$AD$5-Tabla2[[#This Row],[FECHA DE FACTURACIÓN]]</f>
        <v>48</v>
      </c>
      <c r="AB1548" s="163" t="str">
        <f>+IF(Tabla2[[#This Row],[dias de credito]]&gt;=Tabla2[[#This Row],[PLAZO Días]],"venc", "No venc")</f>
        <v>venc</v>
      </c>
      <c r="AC1548" s="163" t="str">
        <f>+IF(Tabla2[[#This Row],[FECHA DE PAGO]]&gt;0,"pagada","por pagar")</f>
        <v>por pagar</v>
      </c>
      <c r="AD1548" s="164" t="str">
        <f>+IF(AND(Tabla2[[#This Row],[venc]]="venc",Tabla2[[#This Row],[estado pago]]="por pagar"),"vencida","no")</f>
        <v>vencida</v>
      </c>
    </row>
    <row r="1549" spans="1:30" ht="19.5" customHeight="1" x14ac:dyDescent="0.25">
      <c r="A1549" s="8" t="s">
        <v>1850</v>
      </c>
      <c r="B1549" s="8" t="b">
        <v>0</v>
      </c>
      <c r="C1549" s="8">
        <v>30</v>
      </c>
      <c r="D1549" s="151">
        <v>2095000</v>
      </c>
      <c r="E1549" s="151"/>
      <c r="F1549" s="24" t="s">
        <v>204</v>
      </c>
      <c r="G1549" s="30"/>
      <c r="H1549" s="81" t="s">
        <v>1804</v>
      </c>
      <c r="I1549" s="30">
        <v>45405</v>
      </c>
      <c r="J1549" s="16" t="s">
        <v>1784</v>
      </c>
      <c r="K1549" s="9" t="s">
        <v>1530</v>
      </c>
      <c r="L1549" s="9"/>
      <c r="M1549" s="152">
        <v>2095000</v>
      </c>
      <c r="N1549" s="153">
        <v>0</v>
      </c>
      <c r="O1549" s="152">
        <v>0</v>
      </c>
      <c r="P1549" s="154">
        <v>0</v>
      </c>
      <c r="Q1549" s="152">
        <v>0</v>
      </c>
      <c r="R1549" s="9">
        <v>2095000</v>
      </c>
      <c r="S1549" s="21" t="s">
        <v>1853</v>
      </c>
      <c r="T1549" s="117">
        <v>9</v>
      </c>
      <c r="U1549" s="117">
        <v>0</v>
      </c>
      <c r="V1549" s="117">
        <v>2024</v>
      </c>
      <c r="W1549" s="117">
        <v>7</v>
      </c>
      <c r="X1549" s="117">
        <v>0</v>
      </c>
      <c r="Y1549" s="117">
        <v>0</v>
      </c>
      <c r="Z1549" s="21" t="b">
        <v>0</v>
      </c>
      <c r="AA1549" s="162">
        <f>+$AD$5-Tabla2[[#This Row],[FECHA DE FACTURACIÓN]]</f>
        <v>38</v>
      </c>
      <c r="AB1549" s="163" t="str">
        <f>+IF(Tabla2[[#This Row],[dias de credito]]&gt;=Tabla2[[#This Row],[PLAZO Días]],"venc", "No venc")</f>
        <v>venc</v>
      </c>
      <c r="AC1549" s="163" t="str">
        <f>+IF(Tabla2[[#This Row],[FECHA DE PAGO]]&gt;0,"pagada","por pagar")</f>
        <v>por pagar</v>
      </c>
      <c r="AD1549" s="164" t="str">
        <f>+IF(AND(Tabla2[[#This Row],[venc]]="venc",Tabla2[[#This Row],[estado pago]]="por pagar"),"vencida","no")</f>
        <v>vencida</v>
      </c>
    </row>
    <row r="1550" spans="1:30" ht="19.5" customHeight="1" x14ac:dyDescent="0.25">
      <c r="A1550" s="8" t="s">
        <v>1850</v>
      </c>
      <c r="B1550" s="8" t="b">
        <v>0</v>
      </c>
      <c r="C1550" s="8">
        <v>30</v>
      </c>
      <c r="D1550" s="151">
        <v>3130000</v>
      </c>
      <c r="E1550" s="151"/>
      <c r="F1550" s="24">
        <v>0</v>
      </c>
      <c r="G1550" s="30"/>
      <c r="H1550" s="81" t="s">
        <v>472</v>
      </c>
      <c r="I1550" s="30">
        <v>45386</v>
      </c>
      <c r="J1550" s="16" t="s">
        <v>1712</v>
      </c>
      <c r="K1550" s="9" t="s">
        <v>1530</v>
      </c>
      <c r="L1550" s="9"/>
      <c r="M1550" s="152">
        <v>2360000</v>
      </c>
      <c r="N1550" s="153">
        <v>0</v>
      </c>
      <c r="O1550" s="152">
        <v>0</v>
      </c>
      <c r="P1550" s="154">
        <v>0</v>
      </c>
      <c r="Q1550" s="152">
        <v>0</v>
      </c>
      <c r="R1550" s="9">
        <v>2360000</v>
      </c>
      <c r="S1550" s="21" t="s">
        <v>1853</v>
      </c>
      <c r="T1550" s="117">
        <v>28</v>
      </c>
      <c r="U1550" s="117">
        <v>0</v>
      </c>
      <c r="V1550" s="117">
        <v>2024</v>
      </c>
      <c r="W1550" s="117">
        <v>7</v>
      </c>
      <c r="X1550" s="117">
        <v>0</v>
      </c>
      <c r="Y1550" s="117">
        <v>0</v>
      </c>
      <c r="Z1550" s="21" t="b">
        <v>0</v>
      </c>
      <c r="AA1550" s="162">
        <f>+$AD$5-Tabla2[[#This Row],[FECHA DE FACTURACIÓN]]</f>
        <v>57</v>
      </c>
      <c r="AB1550" s="163" t="str">
        <f>+IF(Tabla2[[#This Row],[dias de credito]]&gt;=Tabla2[[#This Row],[PLAZO Días]],"venc", "No venc")</f>
        <v>venc</v>
      </c>
      <c r="AC1550" s="163" t="str">
        <f>+IF(Tabla2[[#This Row],[FECHA DE PAGO]]&gt;0,"pagada","por pagar")</f>
        <v>por pagar</v>
      </c>
      <c r="AD1550" s="164" t="str">
        <f>+IF(AND(Tabla2[[#This Row],[venc]]="venc",Tabla2[[#This Row],[estado pago]]="por pagar"),"vencida","no")</f>
        <v>vencida</v>
      </c>
    </row>
    <row r="1551" spans="1:30" ht="19.5" customHeight="1" x14ac:dyDescent="0.25">
      <c r="A1551" s="8" t="s">
        <v>1850</v>
      </c>
      <c r="B1551" s="8" t="b">
        <v>0</v>
      </c>
      <c r="C1551" s="8">
        <v>30</v>
      </c>
      <c r="D1551" s="151">
        <v>3130000</v>
      </c>
      <c r="E1551" s="151"/>
      <c r="F1551" s="24">
        <v>0</v>
      </c>
      <c r="G1551" s="30"/>
      <c r="H1551" s="81" t="s">
        <v>472</v>
      </c>
      <c r="I1551" s="30">
        <v>45402</v>
      </c>
      <c r="J1551" s="16" t="s">
        <v>1785</v>
      </c>
      <c r="K1551" s="9" t="s">
        <v>1530</v>
      </c>
      <c r="L1551" s="9"/>
      <c r="M1551" s="152">
        <v>770000</v>
      </c>
      <c r="N1551" s="153">
        <v>0</v>
      </c>
      <c r="O1551" s="152">
        <v>0</v>
      </c>
      <c r="P1551" s="154">
        <v>0</v>
      </c>
      <c r="Q1551" s="152">
        <v>0</v>
      </c>
      <c r="R1551" s="9">
        <v>770000</v>
      </c>
      <c r="S1551" s="21" t="s">
        <v>1853</v>
      </c>
      <c r="T1551" s="117">
        <v>12</v>
      </c>
      <c r="U1551" s="117">
        <v>0</v>
      </c>
      <c r="V1551" s="117">
        <v>2024</v>
      </c>
      <c r="W1551" s="117">
        <v>7</v>
      </c>
      <c r="X1551" s="117">
        <v>0</v>
      </c>
      <c r="Y1551" s="117">
        <v>0</v>
      </c>
      <c r="Z1551" s="21" t="b">
        <v>0</v>
      </c>
      <c r="AA1551" s="162">
        <f>+$AD$5-Tabla2[[#This Row],[FECHA DE FACTURACIÓN]]</f>
        <v>41</v>
      </c>
      <c r="AB1551" s="163" t="str">
        <f>+IF(Tabla2[[#This Row],[dias de credito]]&gt;=Tabla2[[#This Row],[PLAZO Días]],"venc", "No venc")</f>
        <v>venc</v>
      </c>
      <c r="AC1551" s="163" t="str">
        <f>+IF(Tabla2[[#This Row],[FECHA DE PAGO]]&gt;0,"pagada","por pagar")</f>
        <v>por pagar</v>
      </c>
      <c r="AD1551" s="164" t="str">
        <f>+IF(AND(Tabla2[[#This Row],[venc]]="venc",Tabla2[[#This Row],[estado pago]]="por pagar"),"vencida","no")</f>
        <v>vencida</v>
      </c>
    </row>
    <row r="1552" spans="1:30" ht="19.5" customHeight="1" x14ac:dyDescent="0.25">
      <c r="A1552" s="8" t="s">
        <v>1850</v>
      </c>
      <c r="B1552" s="8" t="b">
        <v>0</v>
      </c>
      <c r="C1552" s="8">
        <v>30</v>
      </c>
      <c r="D1552" s="151">
        <v>4316000</v>
      </c>
      <c r="E1552" s="151"/>
      <c r="F1552" s="24" t="s">
        <v>84</v>
      </c>
      <c r="G1552" s="30"/>
      <c r="H1552" s="81" t="s">
        <v>1812</v>
      </c>
      <c r="I1552" s="30">
        <v>45415</v>
      </c>
      <c r="J1552" s="16" t="s">
        <v>1891</v>
      </c>
      <c r="K1552" s="9" t="s">
        <v>1530</v>
      </c>
      <c r="L1552" s="9"/>
      <c r="M1552" s="152">
        <v>1068000</v>
      </c>
      <c r="N1552" s="153">
        <v>0</v>
      </c>
      <c r="O1552" s="152">
        <v>0</v>
      </c>
      <c r="P1552" s="154">
        <v>0</v>
      </c>
      <c r="Q1552" s="152">
        <v>0</v>
      </c>
      <c r="R1552" s="9">
        <v>1068000</v>
      </c>
      <c r="S1552" s="21" t="s">
        <v>1854</v>
      </c>
      <c r="T1552" s="117">
        <v>-1</v>
      </c>
      <c r="U1552" s="117">
        <v>0</v>
      </c>
      <c r="V1552" s="117">
        <v>2024</v>
      </c>
      <c r="W1552" s="117">
        <v>7</v>
      </c>
      <c r="X1552" s="117">
        <v>0</v>
      </c>
      <c r="Y1552" s="117">
        <v>0</v>
      </c>
      <c r="Z1552" s="21" t="b">
        <v>0</v>
      </c>
      <c r="AA1552" s="162">
        <f>+$AD$5-Tabla2[[#This Row],[FECHA DE FACTURACIÓN]]</f>
        <v>28</v>
      </c>
      <c r="AB1552" s="163" t="str">
        <f>+IF(Tabla2[[#This Row],[dias de credito]]&gt;=Tabla2[[#This Row],[PLAZO Días]],"venc", "No venc")</f>
        <v>No venc</v>
      </c>
      <c r="AC1552" s="163" t="str">
        <f>+IF(Tabla2[[#This Row],[FECHA DE PAGO]]&gt;0,"pagada","por pagar")</f>
        <v>por pagar</v>
      </c>
      <c r="AD1552" s="164" t="str">
        <f>+IF(AND(Tabla2[[#This Row],[venc]]="venc",Tabla2[[#This Row],[estado pago]]="por pagar"),"vencida","no")</f>
        <v>no</v>
      </c>
    </row>
    <row r="1553" spans="1:30" ht="19.5" customHeight="1" x14ac:dyDescent="0.25">
      <c r="A1553" s="8" t="s">
        <v>1850</v>
      </c>
      <c r="B1553" s="8" t="b">
        <v>0</v>
      </c>
      <c r="C1553" s="8">
        <v>45</v>
      </c>
      <c r="D1553" s="151">
        <v>0</v>
      </c>
      <c r="E1553" s="151"/>
      <c r="F1553" s="24" t="s">
        <v>603</v>
      </c>
      <c r="G1553" s="30">
        <v>45435</v>
      </c>
      <c r="H1553" s="81" t="s">
        <v>1859</v>
      </c>
      <c r="I1553" s="30">
        <v>45420</v>
      </c>
      <c r="J1553" s="16" t="s">
        <v>1860</v>
      </c>
      <c r="K1553" s="9" t="s">
        <v>504</v>
      </c>
      <c r="L1553" s="9" t="s">
        <v>1534</v>
      </c>
      <c r="M1553" s="152">
        <v>2483172.6</v>
      </c>
      <c r="N1553" s="153">
        <v>0</v>
      </c>
      <c r="O1553" s="152">
        <v>0</v>
      </c>
      <c r="P1553" s="154">
        <v>0</v>
      </c>
      <c r="Q1553" s="152">
        <v>0</v>
      </c>
      <c r="R1553" s="9">
        <v>2483172.6</v>
      </c>
      <c r="S1553" s="21" t="s">
        <v>1846</v>
      </c>
      <c r="T1553" s="117">
        <v>0</v>
      </c>
      <c r="U1553" s="117">
        <v>0</v>
      </c>
      <c r="V1553" s="117">
        <v>2024</v>
      </c>
      <c r="W1553" s="117">
        <v>7</v>
      </c>
      <c r="X1553" s="117">
        <v>0</v>
      </c>
      <c r="Y1553" s="117">
        <v>0</v>
      </c>
      <c r="Z1553" s="21" t="b">
        <v>0</v>
      </c>
      <c r="AA1553" s="162">
        <f>+$AD$5-Tabla2[[#This Row],[FECHA DE FACTURACIÓN]]</f>
        <v>23</v>
      </c>
      <c r="AB1553" s="163" t="str">
        <f>+IF(Tabla2[[#This Row],[dias de credito]]&gt;=Tabla2[[#This Row],[PLAZO Días]],"venc", "No venc")</f>
        <v>No venc</v>
      </c>
      <c r="AC1553" s="163" t="str">
        <f>+IF(Tabla2[[#This Row],[FECHA DE PAGO]]&gt;0,"pagada","por pagar")</f>
        <v>pagada</v>
      </c>
      <c r="AD1553" s="164" t="str">
        <f>+IF(AND(Tabla2[[#This Row],[venc]]="venc",Tabla2[[#This Row],[estado pago]]="por pagar"),"vencida","no")</f>
        <v>no</v>
      </c>
    </row>
    <row r="1554" spans="1:30" ht="19.5" customHeight="1" x14ac:dyDescent="0.25">
      <c r="A1554" s="8" t="s">
        <v>1850</v>
      </c>
      <c r="B1554" s="8" t="b">
        <v>0</v>
      </c>
      <c r="C1554" s="8">
        <v>60</v>
      </c>
      <c r="D1554" s="151">
        <v>1730482</v>
      </c>
      <c r="E1554" s="151"/>
      <c r="F1554" s="24" t="s">
        <v>603</v>
      </c>
      <c r="G1554" s="30">
        <v>45435</v>
      </c>
      <c r="H1554" s="81" t="s">
        <v>222</v>
      </c>
      <c r="I1554" s="30">
        <v>45399</v>
      </c>
      <c r="J1554" s="16" t="s">
        <v>1888</v>
      </c>
      <c r="K1554" s="9" t="s">
        <v>504</v>
      </c>
      <c r="L1554" s="9" t="s">
        <v>1534</v>
      </c>
      <c r="M1554" s="152">
        <v>508184.16000000003</v>
      </c>
      <c r="N1554" s="153">
        <v>0</v>
      </c>
      <c r="O1554" s="152">
        <v>0</v>
      </c>
      <c r="P1554" s="154">
        <v>0</v>
      </c>
      <c r="Q1554" s="152">
        <v>0</v>
      </c>
      <c r="R1554" s="9">
        <v>508184.16000000003</v>
      </c>
      <c r="S1554" s="21" t="s">
        <v>1846</v>
      </c>
      <c r="T1554" s="117">
        <v>0</v>
      </c>
      <c r="U1554" s="117">
        <v>0</v>
      </c>
      <c r="V1554" s="117">
        <v>2024</v>
      </c>
      <c r="W1554" s="117">
        <v>7</v>
      </c>
      <c r="X1554" s="117">
        <v>0</v>
      </c>
      <c r="Y1554" s="117">
        <v>0</v>
      </c>
      <c r="Z1554" s="21" t="b">
        <v>0</v>
      </c>
      <c r="AA1554" s="162">
        <f>+$AD$5-Tabla2[[#This Row],[FECHA DE FACTURACIÓN]]</f>
        <v>44</v>
      </c>
      <c r="AB1554" s="163" t="str">
        <f>+IF(Tabla2[[#This Row],[dias de credito]]&gt;=Tabla2[[#This Row],[PLAZO Días]],"venc", "No venc")</f>
        <v>No venc</v>
      </c>
      <c r="AC1554" s="163" t="str">
        <f>+IF(Tabla2[[#This Row],[FECHA DE PAGO]]&gt;0,"pagada","por pagar")</f>
        <v>pagada</v>
      </c>
      <c r="AD1554" s="164" t="str">
        <f>+IF(AND(Tabla2[[#This Row],[venc]]="venc",Tabla2[[#This Row],[estado pago]]="por pagar"),"vencida","no")</f>
        <v>no</v>
      </c>
    </row>
    <row r="1555" spans="1:30" ht="19.5" customHeight="1" x14ac:dyDescent="0.25">
      <c r="A1555" s="8" t="s">
        <v>1850</v>
      </c>
      <c r="B1555" s="8" t="b">
        <v>0</v>
      </c>
      <c r="C1555" s="8">
        <v>60</v>
      </c>
      <c r="D1555" s="151">
        <v>1730482</v>
      </c>
      <c r="E1555" s="151"/>
      <c r="F1555" s="24" t="s">
        <v>603</v>
      </c>
      <c r="G1555" s="30">
        <v>45435</v>
      </c>
      <c r="H1555" s="81" t="s">
        <v>222</v>
      </c>
      <c r="I1555" s="30">
        <v>45399</v>
      </c>
      <c r="J1555" s="16" t="s">
        <v>1889</v>
      </c>
      <c r="K1555" s="9" t="s">
        <v>504</v>
      </c>
      <c r="L1555" s="9" t="s">
        <v>1534</v>
      </c>
      <c r="M1555" s="152">
        <v>827724.20000000007</v>
      </c>
      <c r="N1555" s="153">
        <v>0</v>
      </c>
      <c r="O1555" s="152">
        <v>0</v>
      </c>
      <c r="P1555" s="154">
        <v>0</v>
      </c>
      <c r="Q1555" s="152">
        <v>0</v>
      </c>
      <c r="R1555" s="9">
        <v>827724.20000000007</v>
      </c>
      <c r="S1555" s="21" t="s">
        <v>1846</v>
      </c>
      <c r="T1555" s="117">
        <v>0</v>
      </c>
      <c r="U1555" s="117">
        <v>0</v>
      </c>
      <c r="V1555" s="117">
        <v>2024</v>
      </c>
      <c r="W1555" s="117">
        <v>7</v>
      </c>
      <c r="X1555" s="117">
        <v>0</v>
      </c>
      <c r="Y1555" s="117">
        <v>0</v>
      </c>
      <c r="Z1555" s="21" t="b">
        <v>0</v>
      </c>
      <c r="AA1555" s="162">
        <f>+$AD$5-Tabla2[[#This Row],[FECHA DE FACTURACIÓN]]</f>
        <v>44</v>
      </c>
      <c r="AB1555" s="163" t="str">
        <f>+IF(Tabla2[[#This Row],[dias de credito]]&gt;=Tabla2[[#This Row],[PLAZO Días]],"venc", "No venc")</f>
        <v>No venc</v>
      </c>
      <c r="AC1555" s="163" t="str">
        <f>+IF(Tabla2[[#This Row],[FECHA DE PAGO]]&gt;0,"pagada","por pagar")</f>
        <v>pagada</v>
      </c>
      <c r="AD1555" s="164" t="str">
        <f>+IF(AND(Tabla2[[#This Row],[venc]]="venc",Tabla2[[#This Row],[estado pago]]="por pagar"),"vencida","no")</f>
        <v>no</v>
      </c>
    </row>
    <row r="1556" spans="1:30" ht="19.5" customHeight="1" x14ac:dyDescent="0.25">
      <c r="A1556" s="8" t="s">
        <v>1850</v>
      </c>
      <c r="B1556" s="8" t="b">
        <v>0</v>
      </c>
      <c r="C1556" s="8">
        <v>60</v>
      </c>
      <c r="D1556" s="151">
        <v>1730482</v>
      </c>
      <c r="E1556" s="151"/>
      <c r="F1556" s="24" t="s">
        <v>603</v>
      </c>
      <c r="G1556" s="30">
        <v>45435</v>
      </c>
      <c r="H1556" s="81" t="s">
        <v>222</v>
      </c>
      <c r="I1556" s="30">
        <v>45407</v>
      </c>
      <c r="J1556" s="16" t="s">
        <v>1890</v>
      </c>
      <c r="K1556" s="9" t="s">
        <v>504</v>
      </c>
      <c r="L1556" s="9" t="s">
        <v>1534</v>
      </c>
      <c r="M1556" s="152">
        <v>492784.64000000001</v>
      </c>
      <c r="N1556" s="153">
        <v>0</v>
      </c>
      <c r="O1556" s="152">
        <v>0</v>
      </c>
      <c r="P1556" s="154">
        <v>0</v>
      </c>
      <c r="Q1556" s="152">
        <v>0</v>
      </c>
      <c r="R1556" s="9">
        <v>492784.64000000001</v>
      </c>
      <c r="S1556" s="21" t="s">
        <v>1846</v>
      </c>
      <c r="T1556" s="117">
        <v>0</v>
      </c>
      <c r="U1556" s="117">
        <v>0</v>
      </c>
      <c r="V1556" s="117">
        <v>2024</v>
      </c>
      <c r="W1556" s="117">
        <v>7</v>
      </c>
      <c r="X1556" s="117">
        <v>0</v>
      </c>
      <c r="Y1556" s="117">
        <v>0</v>
      </c>
      <c r="Z1556" s="21" t="b">
        <v>0</v>
      </c>
      <c r="AA1556" s="162">
        <f>+$AD$5-Tabla2[[#This Row],[FECHA DE FACTURACIÓN]]</f>
        <v>36</v>
      </c>
      <c r="AB1556" s="163" t="str">
        <f>+IF(Tabla2[[#This Row],[dias de credito]]&gt;=Tabla2[[#This Row],[PLAZO Días]],"venc", "No venc")</f>
        <v>No venc</v>
      </c>
      <c r="AC1556" s="163" t="str">
        <f>+IF(Tabla2[[#This Row],[FECHA DE PAGO]]&gt;0,"pagada","por pagar")</f>
        <v>pagada</v>
      </c>
      <c r="AD1556" s="164" t="str">
        <f>+IF(AND(Tabla2[[#This Row],[venc]]="venc",Tabla2[[#This Row],[estado pago]]="por pagar"),"vencida","no")</f>
        <v>no</v>
      </c>
    </row>
    <row r="1557" spans="1:30" ht="19.5" customHeight="1" x14ac:dyDescent="0.25">
      <c r="A1557" s="8" t="s">
        <v>1850</v>
      </c>
      <c r="B1557" s="8" t="b">
        <v>0</v>
      </c>
      <c r="C1557" s="8">
        <v>60</v>
      </c>
      <c r="D1557" s="151">
        <v>1730482</v>
      </c>
      <c r="E1557" s="151"/>
      <c r="F1557" s="24" t="s">
        <v>603</v>
      </c>
      <c r="G1557" s="30">
        <v>45435</v>
      </c>
      <c r="H1557" s="81" t="s">
        <v>222</v>
      </c>
      <c r="I1557" s="30">
        <v>45414</v>
      </c>
      <c r="J1557" s="16">
        <v>2020</v>
      </c>
      <c r="K1557" s="9" t="s">
        <v>504</v>
      </c>
      <c r="L1557" s="9" t="s">
        <v>1534</v>
      </c>
      <c r="M1557" s="152">
        <v>400387.52</v>
      </c>
      <c r="N1557" s="153">
        <v>0</v>
      </c>
      <c r="O1557" s="152">
        <v>0</v>
      </c>
      <c r="P1557" s="154">
        <v>0</v>
      </c>
      <c r="Q1557" s="152">
        <v>0</v>
      </c>
      <c r="R1557" s="9">
        <v>400387.52</v>
      </c>
      <c r="S1557" s="21" t="s">
        <v>1846</v>
      </c>
      <c r="T1557" s="117">
        <v>0</v>
      </c>
      <c r="U1557" s="117">
        <v>0</v>
      </c>
      <c r="V1557" s="117">
        <v>2024</v>
      </c>
      <c r="W1557" s="117">
        <v>7</v>
      </c>
      <c r="X1557" s="117">
        <v>0</v>
      </c>
      <c r="Y1557" s="117">
        <v>0</v>
      </c>
      <c r="Z1557" s="21" t="b">
        <v>0</v>
      </c>
      <c r="AA1557" s="162">
        <f>+$AD$5-Tabla2[[#This Row],[FECHA DE FACTURACIÓN]]</f>
        <v>29</v>
      </c>
      <c r="AB1557" s="163" t="str">
        <f>+IF(Tabla2[[#This Row],[dias de credito]]&gt;=Tabla2[[#This Row],[PLAZO Días]],"venc", "No venc")</f>
        <v>No venc</v>
      </c>
      <c r="AC1557" s="163" t="str">
        <f>+IF(Tabla2[[#This Row],[FECHA DE PAGO]]&gt;0,"pagada","por pagar")</f>
        <v>pagada</v>
      </c>
      <c r="AD1557" s="164" t="str">
        <f>+IF(AND(Tabla2[[#This Row],[venc]]="venc",Tabla2[[#This Row],[estado pago]]="por pagar"),"vencida","no")</f>
        <v>no</v>
      </c>
    </row>
    <row r="1558" spans="1:30" ht="19.5" customHeight="1" x14ac:dyDescent="0.25">
      <c r="A1558" s="8" t="s">
        <v>1850</v>
      </c>
      <c r="B1558" s="8" t="b">
        <v>0</v>
      </c>
      <c r="C1558" s="8">
        <v>30</v>
      </c>
      <c r="D1558" s="151">
        <v>352000</v>
      </c>
      <c r="E1558" s="151"/>
      <c r="F1558" s="24" t="s">
        <v>84</v>
      </c>
      <c r="G1558" s="30"/>
      <c r="H1558" s="81" t="s">
        <v>527</v>
      </c>
      <c r="I1558" s="30">
        <v>45374</v>
      </c>
      <c r="J1558" s="16">
        <v>82</v>
      </c>
      <c r="K1558" s="9" t="s">
        <v>1530</v>
      </c>
      <c r="L1558" s="9"/>
      <c r="M1558" s="152">
        <v>40000</v>
      </c>
      <c r="N1558" s="153">
        <v>0</v>
      </c>
      <c r="O1558" s="152">
        <v>0</v>
      </c>
      <c r="P1558" s="154">
        <v>0</v>
      </c>
      <c r="Q1558" s="152">
        <v>0</v>
      </c>
      <c r="R1558" s="9">
        <v>40000</v>
      </c>
      <c r="S1558" s="21" t="s">
        <v>1853</v>
      </c>
      <c r="T1558" s="117">
        <v>40</v>
      </c>
      <c r="U1558" s="117">
        <v>0</v>
      </c>
      <c r="V1558" s="117">
        <v>2024</v>
      </c>
      <c r="W1558" s="117">
        <v>7</v>
      </c>
      <c r="X1558" s="117">
        <v>0</v>
      </c>
      <c r="Y1558" s="117">
        <v>0</v>
      </c>
      <c r="Z1558" s="21" t="b">
        <v>0</v>
      </c>
      <c r="AA1558" s="162">
        <f>+$AD$5-Tabla2[[#This Row],[FECHA DE FACTURACIÓN]]</f>
        <v>69</v>
      </c>
      <c r="AB1558" s="163" t="str">
        <f>+IF(Tabla2[[#This Row],[dias de credito]]&gt;=Tabla2[[#This Row],[PLAZO Días]],"venc", "No venc")</f>
        <v>venc</v>
      </c>
      <c r="AC1558" s="163" t="str">
        <f>+IF(Tabla2[[#This Row],[FECHA DE PAGO]]&gt;0,"pagada","por pagar")</f>
        <v>por pagar</v>
      </c>
      <c r="AD1558" s="164" t="str">
        <f>+IF(AND(Tabla2[[#This Row],[venc]]="venc",Tabla2[[#This Row],[estado pago]]="por pagar"),"vencida","no")</f>
        <v>vencida</v>
      </c>
    </row>
    <row r="1559" spans="1:30" ht="19.5" customHeight="1" x14ac:dyDescent="0.25">
      <c r="A1559" s="8" t="s">
        <v>1850</v>
      </c>
      <c r="B1559" s="8" t="b">
        <v>0</v>
      </c>
      <c r="C1559" s="8">
        <v>30</v>
      </c>
      <c r="D1559" s="151">
        <v>352000</v>
      </c>
      <c r="E1559" s="151"/>
      <c r="F1559" s="24" t="s">
        <v>84</v>
      </c>
      <c r="G1559" s="30"/>
      <c r="H1559" s="81" t="s">
        <v>527</v>
      </c>
      <c r="I1559" s="30">
        <v>45378</v>
      </c>
      <c r="J1559" s="16">
        <v>83</v>
      </c>
      <c r="K1559" s="9" t="s">
        <v>1530</v>
      </c>
      <c r="L1559" s="9"/>
      <c r="M1559" s="152">
        <v>184000</v>
      </c>
      <c r="N1559" s="153">
        <v>0</v>
      </c>
      <c r="O1559" s="152">
        <v>0</v>
      </c>
      <c r="P1559" s="154">
        <v>0</v>
      </c>
      <c r="Q1559" s="152">
        <v>0</v>
      </c>
      <c r="R1559" s="9">
        <v>184000</v>
      </c>
      <c r="S1559" s="21" t="s">
        <v>1853</v>
      </c>
      <c r="T1559" s="117">
        <v>36</v>
      </c>
      <c r="U1559" s="117">
        <v>0</v>
      </c>
      <c r="V1559" s="117">
        <v>2024</v>
      </c>
      <c r="W1559" s="117">
        <v>7</v>
      </c>
      <c r="X1559" s="117">
        <v>0</v>
      </c>
      <c r="Y1559" s="117">
        <v>0</v>
      </c>
      <c r="Z1559" s="21" t="b">
        <v>0</v>
      </c>
      <c r="AA1559" s="162">
        <f>+$AD$5-Tabla2[[#This Row],[FECHA DE FACTURACIÓN]]</f>
        <v>65</v>
      </c>
      <c r="AB1559" s="163" t="str">
        <f>+IF(Tabla2[[#This Row],[dias de credito]]&gt;=Tabla2[[#This Row],[PLAZO Días]],"venc", "No venc")</f>
        <v>venc</v>
      </c>
      <c r="AC1559" s="163" t="str">
        <f>+IF(Tabla2[[#This Row],[FECHA DE PAGO]]&gt;0,"pagada","por pagar")</f>
        <v>por pagar</v>
      </c>
      <c r="AD1559" s="164" t="str">
        <f>+IF(AND(Tabla2[[#This Row],[venc]]="venc",Tabla2[[#This Row],[estado pago]]="por pagar"),"vencida","no")</f>
        <v>vencida</v>
      </c>
    </row>
    <row r="1560" spans="1:30" ht="19.5" customHeight="1" x14ac:dyDescent="0.25">
      <c r="A1560" s="8" t="s">
        <v>1850</v>
      </c>
      <c r="B1560" s="8" t="b">
        <v>0</v>
      </c>
      <c r="C1560" s="8">
        <v>30</v>
      </c>
      <c r="D1560" s="151">
        <v>352000</v>
      </c>
      <c r="E1560" s="151"/>
      <c r="F1560" s="24" t="s">
        <v>84</v>
      </c>
      <c r="G1560" s="30"/>
      <c r="H1560" s="81" t="s">
        <v>527</v>
      </c>
      <c r="I1560" s="30">
        <v>45402</v>
      </c>
      <c r="J1560" s="16">
        <v>85</v>
      </c>
      <c r="K1560" s="9" t="s">
        <v>1530</v>
      </c>
      <c r="L1560" s="9"/>
      <c r="M1560" s="152">
        <v>72000</v>
      </c>
      <c r="N1560" s="153">
        <v>0</v>
      </c>
      <c r="O1560" s="152">
        <v>0</v>
      </c>
      <c r="P1560" s="154">
        <v>0</v>
      </c>
      <c r="Q1560" s="152">
        <v>0</v>
      </c>
      <c r="R1560" s="9">
        <v>72000</v>
      </c>
      <c r="S1560" s="21" t="s">
        <v>1853</v>
      </c>
      <c r="T1560" s="117">
        <v>12</v>
      </c>
      <c r="U1560" s="117">
        <v>0</v>
      </c>
      <c r="V1560" s="117">
        <v>2024</v>
      </c>
      <c r="W1560" s="117">
        <v>7</v>
      </c>
      <c r="X1560" s="117">
        <v>0</v>
      </c>
      <c r="Y1560" s="117">
        <v>0</v>
      </c>
      <c r="Z1560" s="21" t="b">
        <v>0</v>
      </c>
      <c r="AA1560" s="162">
        <f>+$AD$5-Tabla2[[#This Row],[FECHA DE FACTURACIÓN]]</f>
        <v>41</v>
      </c>
      <c r="AB1560" s="163" t="str">
        <f>+IF(Tabla2[[#This Row],[dias de credito]]&gt;=Tabla2[[#This Row],[PLAZO Días]],"venc", "No venc")</f>
        <v>venc</v>
      </c>
      <c r="AC1560" s="163" t="str">
        <f>+IF(Tabla2[[#This Row],[FECHA DE PAGO]]&gt;0,"pagada","por pagar")</f>
        <v>por pagar</v>
      </c>
      <c r="AD1560" s="164" t="str">
        <f>+IF(AND(Tabla2[[#This Row],[venc]]="venc",Tabla2[[#This Row],[estado pago]]="por pagar"),"vencida","no")</f>
        <v>vencida</v>
      </c>
    </row>
    <row r="1561" spans="1:30" ht="19.5" customHeight="1" x14ac:dyDescent="0.25">
      <c r="A1561" s="8" t="s">
        <v>1850</v>
      </c>
      <c r="B1561" s="8" t="b">
        <v>0</v>
      </c>
      <c r="C1561" s="8">
        <v>30</v>
      </c>
      <c r="D1561" s="151">
        <v>352000</v>
      </c>
      <c r="E1561" s="151"/>
      <c r="F1561" s="24" t="s">
        <v>84</v>
      </c>
      <c r="G1561" s="30"/>
      <c r="H1561" s="81" t="s">
        <v>527</v>
      </c>
      <c r="I1561" s="30">
        <v>45404</v>
      </c>
      <c r="J1561" s="16">
        <v>86</v>
      </c>
      <c r="K1561" s="9" t="s">
        <v>1530</v>
      </c>
      <c r="L1561" s="9"/>
      <c r="M1561" s="152">
        <v>56000</v>
      </c>
      <c r="N1561" s="153">
        <v>0</v>
      </c>
      <c r="O1561" s="152">
        <v>0</v>
      </c>
      <c r="P1561" s="154">
        <v>0</v>
      </c>
      <c r="Q1561" s="152">
        <v>0</v>
      </c>
      <c r="R1561" s="9">
        <v>56000</v>
      </c>
      <c r="S1561" s="21" t="s">
        <v>1853</v>
      </c>
      <c r="T1561" s="117">
        <v>10</v>
      </c>
      <c r="U1561" s="117">
        <v>0</v>
      </c>
      <c r="V1561" s="117">
        <v>2024</v>
      </c>
      <c r="W1561" s="117">
        <v>7</v>
      </c>
      <c r="X1561" s="117">
        <v>0</v>
      </c>
      <c r="Y1561" s="117">
        <v>0</v>
      </c>
      <c r="Z1561" s="21" t="b">
        <v>0</v>
      </c>
      <c r="AA1561" s="162">
        <f>+$AD$5-Tabla2[[#This Row],[FECHA DE FACTURACIÓN]]</f>
        <v>39</v>
      </c>
      <c r="AB1561" s="163" t="str">
        <f>+IF(Tabla2[[#This Row],[dias de credito]]&gt;=Tabla2[[#This Row],[PLAZO Días]],"venc", "No venc")</f>
        <v>venc</v>
      </c>
      <c r="AC1561" s="163" t="str">
        <f>+IF(Tabla2[[#This Row],[FECHA DE PAGO]]&gt;0,"pagada","por pagar")</f>
        <v>por pagar</v>
      </c>
      <c r="AD1561" s="164" t="str">
        <f>+IF(AND(Tabla2[[#This Row],[venc]]="venc",Tabla2[[#This Row],[estado pago]]="por pagar"),"vencida","no")</f>
        <v>vencida</v>
      </c>
    </row>
    <row r="1562" spans="1:30" ht="19.5" customHeight="1" x14ac:dyDescent="0.25">
      <c r="A1562" s="8" t="s">
        <v>1850</v>
      </c>
      <c r="B1562" s="8" t="s">
        <v>1851</v>
      </c>
      <c r="C1562" s="8">
        <v>60</v>
      </c>
      <c r="D1562" s="151">
        <v>0</v>
      </c>
      <c r="E1562" s="151"/>
      <c r="F1562" s="24" t="s">
        <v>147</v>
      </c>
      <c r="G1562" s="30">
        <v>45432</v>
      </c>
      <c r="H1562" s="81" t="s">
        <v>221</v>
      </c>
      <c r="I1562" s="30">
        <v>45370</v>
      </c>
      <c r="J1562" s="16" t="s">
        <v>1677</v>
      </c>
      <c r="K1562" s="9" t="s">
        <v>1530</v>
      </c>
      <c r="L1562" s="9" t="s">
        <v>1533</v>
      </c>
      <c r="M1562" s="152">
        <v>916638</v>
      </c>
      <c r="N1562" s="153">
        <v>174161.22</v>
      </c>
      <c r="O1562" s="152">
        <v>0</v>
      </c>
      <c r="P1562" s="154">
        <v>0</v>
      </c>
      <c r="Q1562" s="152">
        <v>0</v>
      </c>
      <c r="R1562" s="9">
        <v>1090799.22</v>
      </c>
      <c r="S1562" s="21" t="s">
        <v>1846</v>
      </c>
      <c r="T1562" s="117">
        <v>0</v>
      </c>
      <c r="U1562" s="117" t="s">
        <v>347</v>
      </c>
      <c r="V1562" s="117">
        <v>2024</v>
      </c>
      <c r="W1562" s="117">
        <v>7</v>
      </c>
      <c r="X1562" s="117">
        <v>1271000</v>
      </c>
      <c r="Y1562" s="117">
        <v>2.5000000000000001E-2</v>
      </c>
      <c r="Z1562" s="21" t="b">
        <v>0</v>
      </c>
      <c r="AA1562" s="162">
        <f>+$AD$5-Tabla2[[#This Row],[FECHA DE FACTURACIÓN]]</f>
        <v>73</v>
      </c>
      <c r="AB1562" s="163" t="str">
        <f>+IF(Tabla2[[#This Row],[dias de credito]]&gt;=Tabla2[[#This Row],[PLAZO Días]],"venc", "No venc")</f>
        <v>venc</v>
      </c>
      <c r="AC1562" s="163" t="str">
        <f>+IF(Tabla2[[#This Row],[FECHA DE PAGO]]&gt;0,"pagada","por pagar")</f>
        <v>pagada</v>
      </c>
      <c r="AD1562" s="164" t="str">
        <f>+IF(AND(Tabla2[[#This Row],[venc]]="venc",Tabla2[[#This Row],[estado pago]]="por pagar"),"vencida","no")</f>
        <v>no</v>
      </c>
    </row>
    <row r="1563" spans="1:30" ht="19.5" customHeight="1" x14ac:dyDescent="0.25">
      <c r="A1563" s="8" t="s">
        <v>1850</v>
      </c>
      <c r="B1563" s="8" t="b">
        <v>0</v>
      </c>
      <c r="C1563" s="8">
        <v>60</v>
      </c>
      <c r="D1563" s="151">
        <v>0</v>
      </c>
      <c r="E1563" s="151"/>
      <c r="F1563" s="24" t="s">
        <v>147</v>
      </c>
      <c r="G1563" s="30">
        <v>45432</v>
      </c>
      <c r="H1563" s="81" t="s">
        <v>221</v>
      </c>
      <c r="I1563" s="30">
        <v>45373</v>
      </c>
      <c r="J1563" s="16" t="s">
        <v>1678</v>
      </c>
      <c r="K1563" s="9" t="s">
        <v>1530</v>
      </c>
      <c r="L1563" s="9" t="s">
        <v>1533</v>
      </c>
      <c r="M1563" s="152">
        <v>-90756</v>
      </c>
      <c r="N1563" s="153">
        <v>0</v>
      </c>
      <c r="O1563" s="152">
        <v>0</v>
      </c>
      <c r="P1563" s="154">
        <v>0</v>
      </c>
      <c r="Q1563" s="152">
        <v>0</v>
      </c>
      <c r="R1563" s="9">
        <v>-90756</v>
      </c>
      <c r="S1563" s="21" t="s">
        <v>1846</v>
      </c>
      <c r="T1563" s="117">
        <v>0</v>
      </c>
      <c r="U1563" s="117" t="s">
        <v>347</v>
      </c>
      <c r="V1563" s="117">
        <v>2024</v>
      </c>
      <c r="W1563" s="117">
        <v>7</v>
      </c>
      <c r="X1563" s="117">
        <v>1271000</v>
      </c>
      <c r="Y1563" s="117">
        <v>2.5000000000000001E-2</v>
      </c>
      <c r="Z1563" s="21" t="b">
        <v>0</v>
      </c>
      <c r="AA1563" s="162">
        <f>+$AD$5-Tabla2[[#This Row],[FECHA DE FACTURACIÓN]]</f>
        <v>70</v>
      </c>
      <c r="AB1563" s="163" t="str">
        <f>+IF(Tabla2[[#This Row],[dias de credito]]&gt;=Tabla2[[#This Row],[PLAZO Días]],"venc", "No venc")</f>
        <v>venc</v>
      </c>
      <c r="AC1563" s="163" t="str">
        <f>+IF(Tabla2[[#This Row],[FECHA DE PAGO]]&gt;0,"pagada","por pagar")</f>
        <v>pagada</v>
      </c>
      <c r="AD1563" s="164" t="str">
        <f>+IF(AND(Tabla2[[#This Row],[venc]]="venc",Tabla2[[#This Row],[estado pago]]="por pagar"),"vencida","no")</f>
        <v>no</v>
      </c>
    </row>
    <row r="1564" spans="1:30" ht="19.5" customHeight="1" x14ac:dyDescent="0.25">
      <c r="A1564" s="8" t="s">
        <v>1850</v>
      </c>
      <c r="B1564" s="8" t="b">
        <v>0</v>
      </c>
      <c r="C1564" s="8">
        <v>30</v>
      </c>
      <c r="D1564" s="151">
        <v>818443.92</v>
      </c>
      <c r="E1564" s="151"/>
      <c r="F1564" s="24" t="s">
        <v>111</v>
      </c>
      <c r="G1564" s="30"/>
      <c r="H1564" s="81" t="s">
        <v>20</v>
      </c>
      <c r="I1564" s="30">
        <v>45427</v>
      </c>
      <c r="J1564" s="16" t="s">
        <v>1899</v>
      </c>
      <c r="K1564" s="9" t="s">
        <v>1530</v>
      </c>
      <c r="L1564" s="9"/>
      <c r="M1564" s="152">
        <v>687768</v>
      </c>
      <c r="N1564" s="153">
        <v>130675.92</v>
      </c>
      <c r="O1564" s="152"/>
      <c r="P1564" s="154">
        <v>0</v>
      </c>
      <c r="Q1564" s="152">
        <v>0</v>
      </c>
      <c r="R1564" s="9">
        <v>818443.92</v>
      </c>
      <c r="S1564" s="21" t="s">
        <v>1854</v>
      </c>
      <c r="T1564" s="117">
        <v>-13</v>
      </c>
      <c r="U1564" s="117" t="s">
        <v>347</v>
      </c>
      <c r="V1564" s="117">
        <v>2024</v>
      </c>
      <c r="W1564" s="117">
        <v>7</v>
      </c>
      <c r="X1564" s="117">
        <v>1271000</v>
      </c>
      <c r="Y1564" s="117">
        <v>2.5000000000000001E-2</v>
      </c>
      <c r="Z1564" s="21" t="b">
        <v>0</v>
      </c>
      <c r="AA1564" s="162">
        <f>+$AD$5-Tabla2[[#This Row],[FECHA DE FACTURACIÓN]]</f>
        <v>16</v>
      </c>
      <c r="AB1564" s="163" t="str">
        <f>+IF(Tabla2[[#This Row],[dias de credito]]&gt;=Tabla2[[#This Row],[PLAZO Días]],"venc", "No venc")</f>
        <v>No venc</v>
      </c>
      <c r="AC1564" s="163" t="str">
        <f>+IF(Tabla2[[#This Row],[FECHA DE PAGO]]&gt;0,"pagada","por pagar")</f>
        <v>por pagar</v>
      </c>
      <c r="AD1564" s="164" t="str">
        <f>+IF(AND(Tabla2[[#This Row],[venc]]="venc",Tabla2[[#This Row],[estado pago]]="por pagar"),"vencida","no")</f>
        <v>no</v>
      </c>
    </row>
    <row r="1565" spans="1:30" ht="19.5" customHeight="1" x14ac:dyDescent="0.25">
      <c r="A1565" s="8" t="s">
        <v>1850</v>
      </c>
      <c r="B1565" s="8" t="b">
        <v>0</v>
      </c>
      <c r="C1565" s="8">
        <v>60</v>
      </c>
      <c r="D1565" s="151">
        <v>1730482</v>
      </c>
      <c r="E1565" s="151"/>
      <c r="F1565" s="24" t="s">
        <v>603</v>
      </c>
      <c r="G1565" s="30">
        <v>45435</v>
      </c>
      <c r="H1565" s="81" t="s">
        <v>222</v>
      </c>
      <c r="I1565" s="30">
        <v>45414</v>
      </c>
      <c r="J1565" s="16">
        <v>2024</v>
      </c>
      <c r="K1565" s="9" t="s">
        <v>504</v>
      </c>
      <c r="L1565" s="9" t="s">
        <v>1534</v>
      </c>
      <c r="M1565" s="152">
        <v>92397.119999999995</v>
      </c>
      <c r="N1565" s="153">
        <v>0</v>
      </c>
      <c r="O1565" s="152">
        <v>0</v>
      </c>
      <c r="P1565" s="154">
        <v>0</v>
      </c>
      <c r="Q1565" s="152">
        <v>0</v>
      </c>
      <c r="R1565" s="9">
        <v>92397.119999999995</v>
      </c>
      <c r="S1565" s="21" t="s">
        <v>1846</v>
      </c>
      <c r="T1565" s="117">
        <v>0</v>
      </c>
      <c r="U1565" s="117">
        <v>0</v>
      </c>
      <c r="V1565" s="117">
        <v>2024</v>
      </c>
      <c r="W1565" s="117">
        <v>7</v>
      </c>
      <c r="X1565" s="117">
        <v>0</v>
      </c>
      <c r="Y1565" s="117">
        <v>0</v>
      </c>
      <c r="Z1565" s="21" t="b">
        <v>0</v>
      </c>
      <c r="AA1565" s="162">
        <f>+$AD$5-Tabla2[[#This Row],[FECHA DE FACTURACIÓN]]</f>
        <v>29</v>
      </c>
      <c r="AB1565" s="163" t="str">
        <f>+IF(Tabla2[[#This Row],[dias de credito]]&gt;=Tabla2[[#This Row],[PLAZO Días]],"venc", "No venc")</f>
        <v>No venc</v>
      </c>
      <c r="AC1565" s="163" t="str">
        <f>+IF(Tabla2[[#This Row],[FECHA DE PAGO]]&gt;0,"pagada","por pagar")</f>
        <v>pagada</v>
      </c>
      <c r="AD1565" s="164" t="str">
        <f>+IF(AND(Tabla2[[#This Row],[venc]]="venc",Tabla2[[#This Row],[estado pago]]="por pagar"),"vencida","no")</f>
        <v>no</v>
      </c>
    </row>
    <row r="1566" spans="1:30" ht="19.5" customHeight="1" x14ac:dyDescent="0.25">
      <c r="A1566" s="8" t="s">
        <v>1850</v>
      </c>
      <c r="B1566" s="8" t="b">
        <v>0</v>
      </c>
      <c r="C1566" s="8">
        <v>30</v>
      </c>
      <c r="D1566" s="151">
        <v>5013121.9850000003</v>
      </c>
      <c r="E1566" s="151"/>
      <c r="F1566" s="24" t="s">
        <v>1884</v>
      </c>
      <c r="G1566" s="30"/>
      <c r="H1566" s="81" t="s">
        <v>1883</v>
      </c>
      <c r="I1566" s="30">
        <v>45413</v>
      </c>
      <c r="J1566" s="16" t="s">
        <v>1838</v>
      </c>
      <c r="K1566" s="9" t="s">
        <v>1530</v>
      </c>
      <c r="L1566" s="9"/>
      <c r="M1566" s="152">
        <v>4303109</v>
      </c>
      <c r="N1566" s="153">
        <v>817590.71</v>
      </c>
      <c r="O1566" s="152">
        <v>0</v>
      </c>
      <c r="P1566" s="154">
        <v>2.5000000000000001E-2</v>
      </c>
      <c r="Q1566" s="152">
        <v>107577.72500000001</v>
      </c>
      <c r="R1566" s="9">
        <v>5013121.9850000003</v>
      </c>
      <c r="S1566" s="21" t="s">
        <v>1853</v>
      </c>
      <c r="T1566" s="117">
        <v>1</v>
      </c>
      <c r="U1566" s="117" t="s">
        <v>347</v>
      </c>
      <c r="V1566" s="117">
        <v>2024</v>
      </c>
      <c r="W1566" s="117">
        <v>7</v>
      </c>
      <c r="X1566" s="117">
        <v>1271000</v>
      </c>
      <c r="Y1566" s="117">
        <v>2.5000000000000001E-2</v>
      </c>
      <c r="Z1566" s="21" t="b">
        <v>0</v>
      </c>
      <c r="AA1566" s="162">
        <f>+$AD$5-Tabla2[[#This Row],[FECHA DE FACTURACIÓN]]</f>
        <v>30</v>
      </c>
      <c r="AB1566" s="163" t="str">
        <f>+IF(Tabla2[[#This Row],[dias de credito]]&gt;=Tabla2[[#This Row],[PLAZO Días]],"venc", "No venc")</f>
        <v>venc</v>
      </c>
      <c r="AC1566" s="163" t="str">
        <f>+IF(Tabla2[[#This Row],[FECHA DE PAGO]]&gt;0,"pagada","por pagar")</f>
        <v>por pagar</v>
      </c>
      <c r="AD1566" s="164" t="str">
        <f>+IF(AND(Tabla2[[#This Row],[venc]]="venc",Tabla2[[#This Row],[estado pago]]="por pagar"),"vencida","no")</f>
        <v>vencida</v>
      </c>
    </row>
    <row r="1567" spans="1:30" ht="19.5" customHeight="1" x14ac:dyDescent="0.25">
      <c r="A1567" s="8" t="s">
        <v>1850</v>
      </c>
      <c r="B1567" s="8" t="b">
        <v>0</v>
      </c>
      <c r="C1567" s="8">
        <v>30</v>
      </c>
      <c r="D1567" s="151">
        <v>3152439.05</v>
      </c>
      <c r="E1567" s="151"/>
      <c r="F1567" s="24" t="s">
        <v>227</v>
      </c>
      <c r="G1567" s="30"/>
      <c r="H1567" s="81" t="s">
        <v>220</v>
      </c>
      <c r="I1567" s="30">
        <v>45394</v>
      </c>
      <c r="J1567" s="16" t="s">
        <v>1751</v>
      </c>
      <c r="K1567" s="9" t="s">
        <v>504</v>
      </c>
      <c r="L1567" s="9"/>
      <c r="M1567" s="152">
        <v>2380260</v>
      </c>
      <c r="N1567" s="153">
        <v>182856</v>
      </c>
      <c r="O1567" s="152">
        <v>1417860</v>
      </c>
      <c r="P1567" s="154">
        <v>0</v>
      </c>
      <c r="Q1567" s="152">
        <v>0</v>
      </c>
      <c r="R1567" s="9">
        <v>1145256</v>
      </c>
      <c r="S1567" s="21" t="s">
        <v>1853</v>
      </c>
      <c r="T1567" s="117">
        <v>20</v>
      </c>
      <c r="U1567" s="117">
        <v>0</v>
      </c>
      <c r="V1567" s="117">
        <v>2024</v>
      </c>
      <c r="W1567" s="117">
        <v>7</v>
      </c>
      <c r="X1567" s="117">
        <v>0</v>
      </c>
      <c r="Y1567" s="117">
        <v>0</v>
      </c>
      <c r="Z1567" s="21" t="b">
        <v>0</v>
      </c>
      <c r="AA1567" s="162">
        <f>+$AD$5-Tabla2[[#This Row],[FECHA DE FACTURACIÓN]]</f>
        <v>49</v>
      </c>
      <c r="AB1567" s="163" t="str">
        <f>+IF(Tabla2[[#This Row],[dias de credito]]&gt;=Tabla2[[#This Row],[PLAZO Días]],"venc", "No venc")</f>
        <v>venc</v>
      </c>
      <c r="AC1567" s="163" t="str">
        <f>+IF(Tabla2[[#This Row],[FECHA DE PAGO]]&gt;0,"pagada","por pagar")</f>
        <v>por pagar</v>
      </c>
      <c r="AD1567" s="164" t="str">
        <f>+IF(AND(Tabla2[[#This Row],[venc]]="venc",Tabla2[[#This Row],[estado pago]]="por pagar"),"vencida","no")</f>
        <v>vencida</v>
      </c>
    </row>
    <row r="1568" spans="1:30" ht="19.5" customHeight="1" x14ac:dyDescent="0.25">
      <c r="A1568" s="8" t="s">
        <v>1850</v>
      </c>
      <c r="B1568" s="8" t="b">
        <v>0</v>
      </c>
      <c r="C1568" s="8">
        <v>30</v>
      </c>
      <c r="D1568" s="151">
        <v>3152439.05</v>
      </c>
      <c r="E1568" s="151"/>
      <c r="F1568" s="24" t="s">
        <v>227</v>
      </c>
      <c r="G1568" s="30"/>
      <c r="H1568" s="81" t="s">
        <v>220</v>
      </c>
      <c r="I1568" s="30">
        <v>45401</v>
      </c>
      <c r="J1568" s="16" t="s">
        <v>1773</v>
      </c>
      <c r="K1568" s="9" t="s">
        <v>504</v>
      </c>
      <c r="L1568" s="9"/>
      <c r="M1568" s="152">
        <v>702795</v>
      </c>
      <c r="N1568" s="153">
        <v>133531.04999999999</v>
      </c>
      <c r="O1568" s="152">
        <v>0</v>
      </c>
      <c r="P1568" s="154">
        <v>0</v>
      </c>
      <c r="Q1568" s="152">
        <v>0</v>
      </c>
      <c r="R1568" s="9">
        <v>836326.05</v>
      </c>
      <c r="S1568" s="21" t="s">
        <v>1853</v>
      </c>
      <c r="T1568" s="117">
        <v>13</v>
      </c>
      <c r="U1568" s="117">
        <v>0</v>
      </c>
      <c r="V1568" s="117">
        <v>2024</v>
      </c>
      <c r="W1568" s="117">
        <v>7</v>
      </c>
      <c r="X1568" s="117">
        <v>0</v>
      </c>
      <c r="Y1568" s="117">
        <v>0</v>
      </c>
      <c r="Z1568" s="21" t="b">
        <v>0</v>
      </c>
      <c r="AA1568" s="162">
        <f>+$AD$5-Tabla2[[#This Row],[FECHA DE FACTURACIÓN]]</f>
        <v>42</v>
      </c>
      <c r="AB1568" s="163" t="str">
        <f>+IF(Tabla2[[#This Row],[dias de credito]]&gt;=Tabla2[[#This Row],[PLAZO Días]],"venc", "No venc")</f>
        <v>venc</v>
      </c>
      <c r="AC1568" s="163" t="str">
        <f>+IF(Tabla2[[#This Row],[FECHA DE PAGO]]&gt;0,"pagada","por pagar")</f>
        <v>por pagar</v>
      </c>
      <c r="AD1568" s="164" t="str">
        <f>+IF(AND(Tabla2[[#This Row],[venc]]="venc",Tabla2[[#This Row],[estado pago]]="por pagar"),"vencida","no")</f>
        <v>vencida</v>
      </c>
    </row>
    <row r="1569" spans="1:30" ht="19.5" customHeight="1" x14ac:dyDescent="0.25">
      <c r="A1569" s="8" t="s">
        <v>1850</v>
      </c>
      <c r="B1569" s="8" t="b">
        <v>0</v>
      </c>
      <c r="C1569" s="8">
        <v>30</v>
      </c>
      <c r="D1569" s="151">
        <v>3152439.05</v>
      </c>
      <c r="E1569" s="151"/>
      <c r="F1569" s="24" t="s">
        <v>227</v>
      </c>
      <c r="G1569" s="30"/>
      <c r="H1569" s="81" t="s">
        <v>220</v>
      </c>
      <c r="I1569" s="30">
        <v>45404</v>
      </c>
      <c r="J1569" s="16" t="s">
        <v>1775</v>
      </c>
      <c r="K1569" s="9" t="s">
        <v>504</v>
      </c>
      <c r="L1569" s="9"/>
      <c r="M1569" s="152">
        <v>1909082</v>
      </c>
      <c r="N1569" s="153">
        <v>186944</v>
      </c>
      <c r="O1569" s="152">
        <v>925169</v>
      </c>
      <c r="P1569" s="154">
        <v>0</v>
      </c>
      <c r="Q1569" s="152">
        <v>0</v>
      </c>
      <c r="R1569" s="9">
        <v>1170857</v>
      </c>
      <c r="S1569" s="21" t="s">
        <v>1853</v>
      </c>
      <c r="T1569" s="117">
        <v>10</v>
      </c>
      <c r="U1569" s="117">
        <v>0</v>
      </c>
      <c r="V1569" s="117">
        <v>2024</v>
      </c>
      <c r="W1569" s="117">
        <v>7</v>
      </c>
      <c r="X1569" s="117">
        <v>0</v>
      </c>
      <c r="Y1569" s="117">
        <v>0</v>
      </c>
      <c r="Z1569" s="21" t="b">
        <v>0</v>
      </c>
      <c r="AA1569" s="162">
        <f>+$AD$5-Tabla2[[#This Row],[FECHA DE FACTURACIÓN]]</f>
        <v>39</v>
      </c>
      <c r="AB1569" s="163" t="str">
        <f>+IF(Tabla2[[#This Row],[dias de credito]]&gt;=Tabla2[[#This Row],[PLAZO Días]],"venc", "No venc")</f>
        <v>venc</v>
      </c>
      <c r="AC1569" s="163" t="str">
        <f>+IF(Tabla2[[#This Row],[FECHA DE PAGO]]&gt;0,"pagada","por pagar")</f>
        <v>por pagar</v>
      </c>
      <c r="AD1569" s="164" t="str">
        <f>+IF(AND(Tabla2[[#This Row],[venc]]="venc",Tabla2[[#This Row],[estado pago]]="por pagar"),"vencida","no")</f>
        <v>vencida</v>
      </c>
    </row>
    <row r="1570" spans="1:30" ht="19.5" customHeight="1" x14ac:dyDescent="0.25">
      <c r="A1570" s="8" t="s">
        <v>1850</v>
      </c>
      <c r="B1570" s="8" t="s">
        <v>1851</v>
      </c>
      <c r="C1570" s="8">
        <v>30</v>
      </c>
      <c r="D1570" s="151">
        <v>8456975.129999999</v>
      </c>
      <c r="E1570" s="151"/>
      <c r="F1570" s="24" t="s">
        <v>1476</v>
      </c>
      <c r="G1570" s="30">
        <v>45443</v>
      </c>
      <c r="H1570" s="81" t="s">
        <v>1464</v>
      </c>
      <c r="I1570" s="30">
        <v>45384</v>
      </c>
      <c r="J1570" s="16" t="s">
        <v>1722</v>
      </c>
      <c r="K1570" s="9" t="s">
        <v>1530</v>
      </c>
      <c r="L1570" s="9" t="s">
        <v>1534</v>
      </c>
      <c r="M1570" s="152">
        <v>2963732</v>
      </c>
      <c r="N1570" s="153">
        <v>563109.07999999996</v>
      </c>
      <c r="O1570" s="152">
        <v>0</v>
      </c>
      <c r="P1570" s="154">
        <v>2.5000000000000001E-2</v>
      </c>
      <c r="Q1570" s="152">
        <v>74093.3</v>
      </c>
      <c r="R1570" s="9">
        <v>3452747.7800000003</v>
      </c>
      <c r="S1570" s="21" t="s">
        <v>1846</v>
      </c>
      <c r="T1570" s="117">
        <v>0</v>
      </c>
      <c r="U1570" s="117" t="s">
        <v>347</v>
      </c>
      <c r="V1570" s="117">
        <v>2024</v>
      </c>
      <c r="W1570" s="117">
        <v>7</v>
      </c>
      <c r="X1570" s="117">
        <v>1271000</v>
      </c>
      <c r="Y1570" s="117">
        <v>2.5000000000000001E-2</v>
      </c>
      <c r="Z1570" s="21" t="b">
        <v>0</v>
      </c>
      <c r="AA1570" s="162">
        <f>+$AD$5-Tabla2[[#This Row],[FECHA DE FACTURACIÓN]]</f>
        <v>59</v>
      </c>
      <c r="AB1570" s="163" t="str">
        <f>+IF(Tabla2[[#This Row],[dias de credito]]&gt;=Tabla2[[#This Row],[PLAZO Días]],"venc", "No venc")</f>
        <v>venc</v>
      </c>
      <c r="AC1570" s="163" t="str">
        <f>+IF(Tabla2[[#This Row],[FECHA DE PAGO]]&gt;0,"pagada","por pagar")</f>
        <v>pagada</v>
      </c>
      <c r="AD1570" s="164" t="str">
        <f>+IF(AND(Tabla2[[#This Row],[venc]]="venc",Tabla2[[#This Row],[estado pago]]="por pagar"),"vencida","no")</f>
        <v>no</v>
      </c>
    </row>
    <row r="1571" spans="1:30" ht="19.5" customHeight="1" x14ac:dyDescent="0.25">
      <c r="A1571" s="8" t="s">
        <v>1850</v>
      </c>
      <c r="B1571" s="8" t="s">
        <v>1851</v>
      </c>
      <c r="C1571" s="8">
        <v>30</v>
      </c>
      <c r="D1571" s="151">
        <v>8456975.129999999</v>
      </c>
      <c r="E1571" s="151"/>
      <c r="F1571" s="24" t="s">
        <v>1476</v>
      </c>
      <c r="G1571" s="30">
        <v>45443</v>
      </c>
      <c r="H1571" s="81" t="s">
        <v>1464</v>
      </c>
      <c r="I1571" s="30">
        <v>45392</v>
      </c>
      <c r="J1571" s="16" t="s">
        <v>1714</v>
      </c>
      <c r="K1571" s="9" t="s">
        <v>1530</v>
      </c>
      <c r="L1571" s="9" t="s">
        <v>1534</v>
      </c>
      <c r="M1571" s="152">
        <v>162004</v>
      </c>
      <c r="N1571" s="153">
        <v>30780.760000000002</v>
      </c>
      <c r="O1571" s="152">
        <v>0</v>
      </c>
      <c r="P1571" s="154">
        <v>0</v>
      </c>
      <c r="Q1571" s="152">
        <v>0</v>
      </c>
      <c r="R1571" s="9">
        <v>192784.76</v>
      </c>
      <c r="S1571" s="21" t="s">
        <v>1846</v>
      </c>
      <c r="T1571" s="117">
        <v>0</v>
      </c>
      <c r="U1571" s="117" t="s">
        <v>347</v>
      </c>
      <c r="V1571" s="117">
        <v>2024</v>
      </c>
      <c r="W1571" s="117">
        <v>7</v>
      </c>
      <c r="X1571" s="117">
        <v>1271000</v>
      </c>
      <c r="Y1571" s="117">
        <v>2.5000000000000001E-2</v>
      </c>
      <c r="Z1571" s="21" t="b">
        <v>0</v>
      </c>
      <c r="AA1571" s="162">
        <f>+$AD$5-Tabla2[[#This Row],[FECHA DE FACTURACIÓN]]</f>
        <v>51</v>
      </c>
      <c r="AB1571" s="163" t="str">
        <f>+IF(Tabla2[[#This Row],[dias de credito]]&gt;=Tabla2[[#This Row],[PLAZO Días]],"venc", "No venc")</f>
        <v>venc</v>
      </c>
      <c r="AC1571" s="163" t="str">
        <f>+IF(Tabla2[[#This Row],[FECHA DE PAGO]]&gt;0,"pagada","por pagar")</f>
        <v>pagada</v>
      </c>
      <c r="AD1571" s="164" t="str">
        <f>+IF(AND(Tabla2[[#This Row],[venc]]="venc",Tabla2[[#This Row],[estado pago]]="por pagar"),"vencida","no")</f>
        <v>no</v>
      </c>
    </row>
    <row r="1572" spans="1:30" ht="19.5" customHeight="1" x14ac:dyDescent="0.25">
      <c r="A1572" s="8" t="s">
        <v>1850</v>
      </c>
      <c r="B1572" s="8" t="s">
        <v>1851</v>
      </c>
      <c r="C1572" s="8">
        <v>30</v>
      </c>
      <c r="D1572" s="151">
        <v>8456975.129999999</v>
      </c>
      <c r="E1572" s="151"/>
      <c r="F1572" s="24" t="s">
        <v>1476</v>
      </c>
      <c r="G1572" s="30">
        <v>45443</v>
      </c>
      <c r="H1572" s="81" t="s">
        <v>1464</v>
      </c>
      <c r="I1572" s="30">
        <v>45392</v>
      </c>
      <c r="J1572" s="16" t="s">
        <v>1713</v>
      </c>
      <c r="K1572" s="9" t="s">
        <v>1530</v>
      </c>
      <c r="L1572" s="9" t="s">
        <v>1534</v>
      </c>
      <c r="M1572" s="152">
        <v>43304</v>
      </c>
      <c r="N1572" s="153">
        <v>8227.76</v>
      </c>
      <c r="O1572" s="152">
        <v>0</v>
      </c>
      <c r="P1572" s="154">
        <v>0</v>
      </c>
      <c r="Q1572" s="152">
        <v>0</v>
      </c>
      <c r="R1572" s="9">
        <v>51531.76</v>
      </c>
      <c r="S1572" s="21" t="s">
        <v>1846</v>
      </c>
      <c r="T1572" s="117">
        <v>0</v>
      </c>
      <c r="U1572" s="117" t="s">
        <v>347</v>
      </c>
      <c r="V1572" s="117">
        <v>2024</v>
      </c>
      <c r="W1572" s="117">
        <v>7</v>
      </c>
      <c r="X1572" s="117">
        <v>1271000</v>
      </c>
      <c r="Y1572" s="117">
        <v>2.5000000000000001E-2</v>
      </c>
      <c r="Z1572" s="21" t="b">
        <v>0</v>
      </c>
      <c r="AA1572" s="162">
        <f>+$AD$5-Tabla2[[#This Row],[FECHA DE FACTURACIÓN]]</f>
        <v>51</v>
      </c>
      <c r="AB1572" s="163" t="str">
        <f>+IF(Tabla2[[#This Row],[dias de credito]]&gt;=Tabla2[[#This Row],[PLAZO Días]],"venc", "No venc")</f>
        <v>venc</v>
      </c>
      <c r="AC1572" s="163" t="str">
        <f>+IF(Tabla2[[#This Row],[FECHA DE PAGO]]&gt;0,"pagada","por pagar")</f>
        <v>pagada</v>
      </c>
      <c r="AD1572" s="164" t="str">
        <f>+IF(AND(Tabla2[[#This Row],[venc]]="venc",Tabla2[[#This Row],[estado pago]]="por pagar"),"vencida","no")</f>
        <v>no</v>
      </c>
    </row>
    <row r="1573" spans="1:30" ht="19.5" customHeight="1" x14ac:dyDescent="0.25">
      <c r="A1573" s="8" t="s">
        <v>1850</v>
      </c>
      <c r="B1573" s="8" t="b">
        <v>0</v>
      </c>
      <c r="C1573" s="8">
        <v>30</v>
      </c>
      <c r="D1573" s="151">
        <v>8456975.129999999</v>
      </c>
      <c r="E1573" s="151"/>
      <c r="F1573" s="24" t="s">
        <v>1476</v>
      </c>
      <c r="G1573" s="30"/>
      <c r="H1573" s="81" t="s">
        <v>1464</v>
      </c>
      <c r="I1573" s="30">
        <v>45407</v>
      </c>
      <c r="J1573" s="16" t="s">
        <v>1777</v>
      </c>
      <c r="K1573" s="9" t="s">
        <v>1530</v>
      </c>
      <c r="L1573" s="9"/>
      <c r="M1573" s="152">
        <v>3077052</v>
      </c>
      <c r="N1573" s="153">
        <v>584639.88</v>
      </c>
      <c r="O1573" s="152">
        <v>0</v>
      </c>
      <c r="P1573" s="154">
        <v>2.5000000000000001E-2</v>
      </c>
      <c r="Q1573" s="152">
        <v>76926.3</v>
      </c>
      <c r="R1573" s="9">
        <v>3584765.58</v>
      </c>
      <c r="S1573" s="21" t="s">
        <v>1853</v>
      </c>
      <c r="T1573" s="117">
        <v>7</v>
      </c>
      <c r="U1573" s="117" t="s">
        <v>347</v>
      </c>
      <c r="V1573" s="117">
        <v>2024</v>
      </c>
      <c r="W1573" s="117">
        <v>7</v>
      </c>
      <c r="X1573" s="117">
        <v>1271000</v>
      </c>
      <c r="Y1573" s="117">
        <v>2.5000000000000001E-2</v>
      </c>
      <c r="Z1573" s="21" t="b">
        <v>0</v>
      </c>
      <c r="AA1573" s="162">
        <f>+$AD$5-Tabla2[[#This Row],[FECHA DE FACTURACIÓN]]</f>
        <v>36</v>
      </c>
      <c r="AB1573" s="163" t="str">
        <f>+IF(Tabla2[[#This Row],[dias de credito]]&gt;=Tabla2[[#This Row],[PLAZO Días]],"venc", "No venc")</f>
        <v>venc</v>
      </c>
      <c r="AC1573" s="163" t="str">
        <f>+IF(Tabla2[[#This Row],[FECHA DE PAGO]]&gt;0,"pagada","por pagar")</f>
        <v>por pagar</v>
      </c>
      <c r="AD1573" s="164" t="str">
        <f>+IF(AND(Tabla2[[#This Row],[venc]]="venc",Tabla2[[#This Row],[estado pago]]="por pagar"),"vencida","no")</f>
        <v>vencida</v>
      </c>
    </row>
    <row r="1574" spans="1:30" ht="19.5" customHeight="1" x14ac:dyDescent="0.25">
      <c r="A1574" s="8" t="s">
        <v>1850</v>
      </c>
      <c r="B1574" s="8" t="s">
        <v>1851</v>
      </c>
      <c r="C1574" s="8">
        <v>30</v>
      </c>
      <c r="D1574" s="151">
        <v>4466504.835</v>
      </c>
      <c r="E1574" s="151"/>
      <c r="F1574" s="24" t="s">
        <v>1553</v>
      </c>
      <c r="G1574" s="30">
        <v>45426</v>
      </c>
      <c r="H1574" s="81" t="s">
        <v>18</v>
      </c>
      <c r="I1574" s="30">
        <v>45372</v>
      </c>
      <c r="J1574" s="16">
        <v>1084875</v>
      </c>
      <c r="K1574" s="9" t="s">
        <v>504</v>
      </c>
      <c r="L1574" s="9" t="s">
        <v>1534</v>
      </c>
      <c r="M1574" s="152">
        <v>3212390</v>
      </c>
      <c r="N1574" s="153">
        <v>610354.1</v>
      </c>
      <c r="O1574" s="152">
        <v>0</v>
      </c>
      <c r="P1574" s="154">
        <v>2.5000000000000001E-2</v>
      </c>
      <c r="Q1574" s="152">
        <v>80309.75</v>
      </c>
      <c r="R1574" s="9">
        <v>3742434.35</v>
      </c>
      <c r="S1574" s="21" t="s">
        <v>1846</v>
      </c>
      <c r="T1574" s="117">
        <v>0</v>
      </c>
      <c r="U1574" s="117" t="s">
        <v>347</v>
      </c>
      <c r="V1574" s="117">
        <v>2024</v>
      </c>
      <c r="W1574" s="117">
        <v>7</v>
      </c>
      <c r="X1574" s="117">
        <v>1271000</v>
      </c>
      <c r="Y1574" s="117">
        <v>2.5000000000000001E-2</v>
      </c>
      <c r="Z1574" s="21" t="b">
        <v>0</v>
      </c>
      <c r="AA1574" s="162">
        <f>+$AD$5-Tabla2[[#This Row],[FECHA DE FACTURACIÓN]]</f>
        <v>71</v>
      </c>
      <c r="AB1574" s="163" t="str">
        <f>+IF(Tabla2[[#This Row],[dias de credito]]&gt;=Tabla2[[#This Row],[PLAZO Días]],"venc", "No venc")</f>
        <v>venc</v>
      </c>
      <c r="AC1574" s="163" t="str">
        <f>+IF(Tabla2[[#This Row],[FECHA DE PAGO]]&gt;0,"pagada","por pagar")</f>
        <v>pagada</v>
      </c>
      <c r="AD1574" s="164" t="str">
        <f>+IF(AND(Tabla2[[#This Row],[venc]]="venc",Tabla2[[#This Row],[estado pago]]="por pagar"),"vencida","no")</f>
        <v>no</v>
      </c>
    </row>
    <row r="1575" spans="1:30" ht="19.5" customHeight="1" x14ac:dyDescent="0.25">
      <c r="A1575" s="8" t="s">
        <v>1850</v>
      </c>
      <c r="B1575" s="8" t="s">
        <v>1851</v>
      </c>
      <c r="C1575" s="8">
        <v>30</v>
      </c>
      <c r="D1575" s="151">
        <v>4466504.835</v>
      </c>
      <c r="E1575" s="151"/>
      <c r="F1575" s="24" t="s">
        <v>1553</v>
      </c>
      <c r="G1575" s="30">
        <v>45426</v>
      </c>
      <c r="H1575" s="81" t="s">
        <v>18</v>
      </c>
      <c r="I1575" s="30">
        <v>45378</v>
      </c>
      <c r="J1575" s="16">
        <v>1085112</v>
      </c>
      <c r="K1575" s="9" t="s">
        <v>504</v>
      </c>
      <c r="L1575" s="9" t="s">
        <v>1534</v>
      </c>
      <c r="M1575" s="152">
        <v>18569160</v>
      </c>
      <c r="N1575" s="153">
        <v>3528140.4</v>
      </c>
      <c r="O1575" s="152">
        <v>0</v>
      </c>
      <c r="P1575" s="154">
        <v>2.5000000000000001E-2</v>
      </c>
      <c r="Q1575" s="152">
        <v>464229</v>
      </c>
      <c r="R1575" s="9">
        <v>21633071.399999999</v>
      </c>
      <c r="S1575" s="21" t="s">
        <v>1846</v>
      </c>
      <c r="T1575" s="117">
        <v>0</v>
      </c>
      <c r="U1575" s="117" t="s">
        <v>347</v>
      </c>
      <c r="V1575" s="117">
        <v>2024</v>
      </c>
      <c r="W1575" s="117">
        <v>7</v>
      </c>
      <c r="X1575" s="117">
        <v>1271000</v>
      </c>
      <c r="Y1575" s="117">
        <v>2.5000000000000001E-2</v>
      </c>
      <c r="Z1575" s="21" t="b">
        <v>0</v>
      </c>
      <c r="AA1575" s="162">
        <f>+$AD$5-Tabla2[[#This Row],[FECHA DE FACTURACIÓN]]</f>
        <v>65</v>
      </c>
      <c r="AB1575" s="163" t="str">
        <f>+IF(Tabla2[[#This Row],[dias de credito]]&gt;=Tabla2[[#This Row],[PLAZO Días]],"venc", "No venc")</f>
        <v>venc</v>
      </c>
      <c r="AC1575" s="163" t="str">
        <f>+IF(Tabla2[[#This Row],[FECHA DE PAGO]]&gt;0,"pagada","por pagar")</f>
        <v>pagada</v>
      </c>
      <c r="AD1575" s="164" t="str">
        <f>+IF(AND(Tabla2[[#This Row],[venc]]="venc",Tabla2[[#This Row],[estado pago]]="por pagar"),"vencida","no")</f>
        <v>no</v>
      </c>
    </row>
    <row r="1576" spans="1:30" ht="19.5" customHeight="1" x14ac:dyDescent="0.25">
      <c r="A1576" s="8" t="s">
        <v>1850</v>
      </c>
      <c r="B1576" s="8" t="s">
        <v>1851</v>
      </c>
      <c r="C1576" s="8">
        <v>30</v>
      </c>
      <c r="D1576" s="151">
        <v>4466504.835</v>
      </c>
      <c r="E1576" s="151"/>
      <c r="F1576" s="24" t="s">
        <v>1553</v>
      </c>
      <c r="G1576" s="30">
        <v>45426</v>
      </c>
      <c r="H1576" s="81" t="s">
        <v>18</v>
      </c>
      <c r="I1576" s="30">
        <v>45383</v>
      </c>
      <c r="J1576" s="16" t="s">
        <v>1721</v>
      </c>
      <c r="K1576" s="9" t="s">
        <v>504</v>
      </c>
      <c r="L1576" s="9" t="s">
        <v>1534</v>
      </c>
      <c r="M1576" s="152">
        <v>1005285</v>
      </c>
      <c r="N1576" s="153">
        <v>191004.15</v>
      </c>
      <c r="O1576" s="152">
        <v>0</v>
      </c>
      <c r="P1576" s="154">
        <v>0</v>
      </c>
      <c r="Q1576" s="152">
        <v>0</v>
      </c>
      <c r="R1576" s="9">
        <v>1196289.1499999999</v>
      </c>
      <c r="S1576" s="21" t="s">
        <v>1846</v>
      </c>
      <c r="T1576" s="117">
        <v>0</v>
      </c>
      <c r="U1576" s="117" t="s">
        <v>347</v>
      </c>
      <c r="V1576" s="117">
        <v>2024</v>
      </c>
      <c r="W1576" s="117">
        <v>7</v>
      </c>
      <c r="X1576" s="117">
        <v>1271000</v>
      </c>
      <c r="Y1576" s="117">
        <v>2.5000000000000001E-2</v>
      </c>
      <c r="Z1576" s="21" t="b">
        <v>0</v>
      </c>
      <c r="AA1576" s="162">
        <f>+$AD$5-Tabla2[[#This Row],[FECHA DE FACTURACIÓN]]</f>
        <v>60</v>
      </c>
      <c r="AB1576" s="163" t="str">
        <f>+IF(Tabla2[[#This Row],[dias de credito]]&gt;=Tabla2[[#This Row],[PLAZO Días]],"venc", "No venc")</f>
        <v>venc</v>
      </c>
      <c r="AC1576" s="163" t="str">
        <f>+IF(Tabla2[[#This Row],[FECHA DE PAGO]]&gt;0,"pagada","por pagar")</f>
        <v>pagada</v>
      </c>
      <c r="AD1576" s="164" t="str">
        <f>+IF(AND(Tabla2[[#This Row],[venc]]="venc",Tabla2[[#This Row],[estado pago]]="por pagar"),"vencida","no")</f>
        <v>no</v>
      </c>
    </row>
    <row r="1577" spans="1:30" ht="19.5" customHeight="1" x14ac:dyDescent="0.25">
      <c r="A1577" s="8" t="s">
        <v>1850</v>
      </c>
      <c r="B1577" s="8" t="b">
        <v>0</v>
      </c>
      <c r="C1577" s="8">
        <v>30</v>
      </c>
      <c r="D1577" s="151">
        <v>8456975.129999999</v>
      </c>
      <c r="E1577" s="151"/>
      <c r="F1577" s="24" t="s">
        <v>1476</v>
      </c>
      <c r="G1577" s="30"/>
      <c r="H1577" s="81" t="s">
        <v>1464</v>
      </c>
      <c r="I1577" s="30">
        <v>45427</v>
      </c>
      <c r="J1577" s="16" t="s">
        <v>1900</v>
      </c>
      <c r="K1577" s="9" t="s">
        <v>1530</v>
      </c>
      <c r="L1577" s="9"/>
      <c r="M1577" s="152">
        <v>91295</v>
      </c>
      <c r="N1577" s="153">
        <v>17346.05</v>
      </c>
      <c r="O1577" s="152">
        <v>0</v>
      </c>
      <c r="P1577" s="154">
        <v>0</v>
      </c>
      <c r="Q1577" s="152">
        <v>0</v>
      </c>
      <c r="R1577" s="9">
        <v>108641.05</v>
      </c>
      <c r="S1577" s="21" t="s">
        <v>1854</v>
      </c>
      <c r="T1577" s="117">
        <v>-13</v>
      </c>
      <c r="U1577" s="117" t="s">
        <v>347</v>
      </c>
      <c r="V1577" s="117">
        <v>2024</v>
      </c>
      <c r="W1577" s="117">
        <v>7</v>
      </c>
      <c r="X1577" s="117">
        <v>1271000</v>
      </c>
      <c r="Y1577" s="117">
        <v>2.5000000000000001E-2</v>
      </c>
      <c r="Z1577" s="21" t="b">
        <v>0</v>
      </c>
      <c r="AA1577" s="162">
        <f>+$AD$5-Tabla2[[#This Row],[FECHA DE FACTURACIÓN]]</f>
        <v>16</v>
      </c>
      <c r="AB1577" s="163" t="str">
        <f>+IF(Tabla2[[#This Row],[dias de credito]]&gt;=Tabla2[[#This Row],[PLAZO Días]],"venc", "No venc")</f>
        <v>No venc</v>
      </c>
      <c r="AC1577" s="163" t="str">
        <f>+IF(Tabla2[[#This Row],[FECHA DE PAGO]]&gt;0,"pagada","por pagar")</f>
        <v>por pagar</v>
      </c>
      <c r="AD1577" s="164" t="str">
        <f>+IF(AND(Tabla2[[#This Row],[venc]]="venc",Tabla2[[#This Row],[estado pago]]="por pagar"),"vencida","no")</f>
        <v>no</v>
      </c>
    </row>
    <row r="1578" spans="1:30" ht="19.5" customHeight="1" x14ac:dyDescent="0.25">
      <c r="A1578" s="8" t="s">
        <v>1850</v>
      </c>
      <c r="B1578" s="8" t="b">
        <v>0</v>
      </c>
      <c r="C1578" s="8">
        <v>30</v>
      </c>
      <c r="D1578" s="151">
        <v>8456975.129999999</v>
      </c>
      <c r="E1578" s="151"/>
      <c r="F1578" s="24" t="s">
        <v>1476</v>
      </c>
      <c r="G1578" s="30"/>
      <c r="H1578" s="81" t="s">
        <v>1464</v>
      </c>
      <c r="I1578" s="30">
        <v>45421</v>
      </c>
      <c r="J1578" s="16" t="s">
        <v>1901</v>
      </c>
      <c r="K1578" s="9" t="s">
        <v>1530</v>
      </c>
      <c r="L1578" s="9"/>
      <c r="M1578" s="152">
        <v>4088900</v>
      </c>
      <c r="N1578" s="153">
        <v>776891</v>
      </c>
      <c r="O1578" s="152">
        <v>0</v>
      </c>
      <c r="P1578" s="154">
        <v>2.5000000000000001E-2</v>
      </c>
      <c r="Q1578" s="152">
        <v>102222.5</v>
      </c>
      <c r="R1578" s="9">
        <v>4763568.5</v>
      </c>
      <c r="S1578" s="21" t="s">
        <v>1854</v>
      </c>
      <c r="T1578" s="117">
        <v>-7</v>
      </c>
      <c r="U1578" s="117" t="s">
        <v>347</v>
      </c>
      <c r="V1578" s="117">
        <v>2024</v>
      </c>
      <c r="W1578" s="117">
        <v>7</v>
      </c>
      <c r="X1578" s="117">
        <v>1271000</v>
      </c>
      <c r="Y1578" s="117">
        <v>2.5000000000000001E-2</v>
      </c>
      <c r="Z1578" s="21" t="b">
        <v>0</v>
      </c>
      <c r="AA1578" s="162">
        <f>+$AD$5-Tabla2[[#This Row],[FECHA DE FACTURACIÓN]]</f>
        <v>22</v>
      </c>
      <c r="AB1578" s="163" t="str">
        <f>+IF(Tabla2[[#This Row],[dias de credito]]&gt;=Tabla2[[#This Row],[PLAZO Días]],"venc", "No venc")</f>
        <v>No venc</v>
      </c>
      <c r="AC1578" s="163" t="str">
        <f>+IF(Tabla2[[#This Row],[FECHA DE PAGO]]&gt;0,"pagada","por pagar")</f>
        <v>por pagar</v>
      </c>
      <c r="AD1578" s="164" t="str">
        <f>+IF(AND(Tabla2[[#This Row],[venc]]="venc",Tabla2[[#This Row],[estado pago]]="por pagar"),"vencida","no")</f>
        <v>no</v>
      </c>
    </row>
    <row r="1579" spans="1:30" ht="19.5" customHeight="1" x14ac:dyDescent="0.25">
      <c r="A1579" s="8" t="s">
        <v>1850</v>
      </c>
      <c r="B1579" s="8" t="b">
        <v>0</v>
      </c>
      <c r="C1579" s="8">
        <v>30</v>
      </c>
      <c r="D1579" s="151">
        <v>4198834.75</v>
      </c>
      <c r="E1579" s="151"/>
      <c r="F1579" s="24" t="s">
        <v>434</v>
      </c>
      <c r="G1579" s="30"/>
      <c r="H1579" s="81" t="s">
        <v>422</v>
      </c>
      <c r="I1579" s="30">
        <v>45378</v>
      </c>
      <c r="J1579" s="16" t="s">
        <v>1689</v>
      </c>
      <c r="K1579" s="9" t="s">
        <v>1530</v>
      </c>
      <c r="L1579" s="9"/>
      <c r="M1579" s="152">
        <v>3604150</v>
      </c>
      <c r="N1579" s="153">
        <v>684788.5</v>
      </c>
      <c r="O1579" s="152">
        <v>0</v>
      </c>
      <c r="P1579" s="154">
        <v>2.5000000000000001E-2</v>
      </c>
      <c r="Q1579" s="152">
        <v>90103.75</v>
      </c>
      <c r="R1579" s="9">
        <v>4198834.75</v>
      </c>
      <c r="S1579" s="21" t="s">
        <v>1853</v>
      </c>
      <c r="T1579" s="117">
        <v>36</v>
      </c>
      <c r="U1579" s="117" t="s">
        <v>347</v>
      </c>
      <c r="V1579" s="117">
        <v>2024</v>
      </c>
      <c r="W1579" s="117">
        <v>7</v>
      </c>
      <c r="X1579" s="117">
        <v>1271000</v>
      </c>
      <c r="Y1579" s="117">
        <v>2.5000000000000001E-2</v>
      </c>
      <c r="Z1579" s="21" t="b">
        <v>0</v>
      </c>
      <c r="AA1579" s="162">
        <f>+$AD$5-Tabla2[[#This Row],[FECHA DE FACTURACIÓN]]</f>
        <v>65</v>
      </c>
      <c r="AB1579" s="163" t="str">
        <f>+IF(Tabla2[[#This Row],[dias de credito]]&gt;=Tabla2[[#This Row],[PLAZO Días]],"venc", "No venc")</f>
        <v>venc</v>
      </c>
      <c r="AC1579" s="163" t="str">
        <f>+IF(Tabla2[[#This Row],[FECHA DE PAGO]]&gt;0,"pagada","por pagar")</f>
        <v>por pagar</v>
      </c>
      <c r="AD1579" s="164" t="str">
        <f>+IF(AND(Tabla2[[#This Row],[venc]]="venc",Tabla2[[#This Row],[estado pago]]="por pagar"),"vencida","no")</f>
        <v>vencida</v>
      </c>
    </row>
    <row r="1580" spans="1:30" ht="19.5" customHeight="1" x14ac:dyDescent="0.25">
      <c r="A1580" s="8" t="s">
        <v>1850</v>
      </c>
      <c r="B1580" s="8" t="s">
        <v>1851</v>
      </c>
      <c r="C1580" s="8">
        <v>30</v>
      </c>
      <c r="D1580" s="151">
        <v>5581100</v>
      </c>
      <c r="E1580" s="151"/>
      <c r="F1580" s="24" t="s">
        <v>150</v>
      </c>
      <c r="G1580" s="30">
        <v>45432</v>
      </c>
      <c r="H1580" s="81" t="s">
        <v>446</v>
      </c>
      <c r="I1580" s="30">
        <v>45391</v>
      </c>
      <c r="J1580" s="16" t="s">
        <v>1718</v>
      </c>
      <c r="K1580" s="9" t="s">
        <v>504</v>
      </c>
      <c r="L1580" s="9" t="s">
        <v>1534</v>
      </c>
      <c r="M1580" s="152">
        <v>4891000</v>
      </c>
      <c r="N1580" s="153">
        <v>929290</v>
      </c>
      <c r="O1580" s="152">
        <v>0</v>
      </c>
      <c r="P1580" s="154">
        <v>0</v>
      </c>
      <c r="Q1580" s="152">
        <v>0</v>
      </c>
      <c r="R1580" s="9">
        <v>5820290</v>
      </c>
      <c r="S1580" s="21" t="s">
        <v>1846</v>
      </c>
      <c r="T1580" s="117">
        <v>0</v>
      </c>
      <c r="U1580" s="117">
        <v>0</v>
      </c>
      <c r="V1580" s="117">
        <v>2024</v>
      </c>
      <c r="W1580" s="117">
        <v>7</v>
      </c>
      <c r="X1580" s="117">
        <v>0</v>
      </c>
      <c r="Y1580" s="117">
        <v>0</v>
      </c>
      <c r="Z1580" s="21" t="b">
        <v>0</v>
      </c>
      <c r="AA1580" s="162">
        <f>+$AD$5-Tabla2[[#This Row],[FECHA DE FACTURACIÓN]]</f>
        <v>52</v>
      </c>
      <c r="AB1580" s="163" t="str">
        <f>+IF(Tabla2[[#This Row],[dias de credito]]&gt;=Tabla2[[#This Row],[PLAZO Días]],"venc", "No venc")</f>
        <v>venc</v>
      </c>
      <c r="AC1580" s="163" t="str">
        <f>+IF(Tabla2[[#This Row],[FECHA DE PAGO]]&gt;0,"pagada","por pagar")</f>
        <v>pagada</v>
      </c>
      <c r="AD1580" s="164" t="str">
        <f>+IF(AND(Tabla2[[#This Row],[venc]]="venc",Tabla2[[#This Row],[estado pago]]="por pagar"),"vencida","no")</f>
        <v>no</v>
      </c>
    </row>
    <row r="1581" spans="1:30" ht="19.5" customHeight="1" x14ac:dyDescent="0.25">
      <c r="A1581" s="8" t="s">
        <v>1850</v>
      </c>
      <c r="B1581" s="8" t="b">
        <v>0</v>
      </c>
      <c r="C1581" s="8">
        <v>30</v>
      </c>
      <c r="D1581" s="151">
        <v>5813868.5099999998</v>
      </c>
      <c r="E1581" s="151"/>
      <c r="F1581" s="24" t="s">
        <v>455</v>
      </c>
      <c r="G1581" s="30"/>
      <c r="H1581" s="81" t="s">
        <v>24</v>
      </c>
      <c r="I1581" s="30">
        <v>45393</v>
      </c>
      <c r="J1581" s="16" t="s">
        <v>1738</v>
      </c>
      <c r="K1581" s="9" t="s">
        <v>1530</v>
      </c>
      <c r="L1581" s="9"/>
      <c r="M1581" s="152">
        <v>706739</v>
      </c>
      <c r="N1581" s="153">
        <v>134280.41</v>
      </c>
      <c r="O1581" s="152">
        <v>0</v>
      </c>
      <c r="P1581" s="154">
        <v>0</v>
      </c>
      <c r="Q1581" s="152">
        <v>0</v>
      </c>
      <c r="R1581" s="9">
        <v>841019.41</v>
      </c>
      <c r="S1581" s="21" t="s">
        <v>1853</v>
      </c>
      <c r="T1581" s="117">
        <v>21</v>
      </c>
      <c r="U1581" s="117" t="s">
        <v>347</v>
      </c>
      <c r="V1581" s="117">
        <v>2024</v>
      </c>
      <c r="W1581" s="117">
        <v>7</v>
      </c>
      <c r="X1581" s="117">
        <v>1271000</v>
      </c>
      <c r="Y1581" s="117">
        <v>2.5000000000000001E-2</v>
      </c>
      <c r="Z1581" s="21" t="b">
        <v>0</v>
      </c>
      <c r="AA1581" s="162">
        <f>+$AD$5-Tabla2[[#This Row],[FECHA DE FACTURACIÓN]]</f>
        <v>50</v>
      </c>
      <c r="AB1581" s="163" t="str">
        <f>+IF(Tabla2[[#This Row],[dias de credito]]&gt;=Tabla2[[#This Row],[PLAZO Días]],"venc", "No venc")</f>
        <v>venc</v>
      </c>
      <c r="AC1581" s="163" t="str">
        <f>+IF(Tabla2[[#This Row],[FECHA DE PAGO]]&gt;0,"pagada","por pagar")</f>
        <v>por pagar</v>
      </c>
      <c r="AD1581" s="164" t="str">
        <f>+IF(AND(Tabla2[[#This Row],[venc]]="venc",Tabla2[[#This Row],[estado pago]]="por pagar"),"vencida","no")</f>
        <v>vencida</v>
      </c>
    </row>
    <row r="1582" spans="1:30" ht="19.5" customHeight="1" x14ac:dyDescent="0.25">
      <c r="A1582" s="8" t="s">
        <v>1850</v>
      </c>
      <c r="B1582" s="8" t="b">
        <v>0</v>
      </c>
      <c r="C1582" s="8">
        <v>30</v>
      </c>
      <c r="D1582" s="151">
        <v>5813868.5099999998</v>
      </c>
      <c r="E1582" s="151"/>
      <c r="F1582" s="24" t="s">
        <v>455</v>
      </c>
      <c r="G1582" s="30"/>
      <c r="H1582" s="81" t="s">
        <v>24</v>
      </c>
      <c r="I1582" s="30">
        <v>45399</v>
      </c>
      <c r="J1582" s="16" t="s">
        <v>1747</v>
      </c>
      <c r="K1582" s="9" t="s">
        <v>504</v>
      </c>
      <c r="L1582" s="9"/>
      <c r="M1582" s="152">
        <v>4268540</v>
      </c>
      <c r="N1582" s="153">
        <v>811022.6</v>
      </c>
      <c r="O1582" s="152">
        <v>0</v>
      </c>
      <c r="P1582" s="154">
        <v>2.5000000000000001E-2</v>
      </c>
      <c r="Q1582" s="152">
        <v>106713.5</v>
      </c>
      <c r="R1582" s="9">
        <v>4972849.0999999996</v>
      </c>
      <c r="S1582" s="21" t="s">
        <v>1853</v>
      </c>
      <c r="T1582" s="117">
        <v>15</v>
      </c>
      <c r="U1582" s="117" t="s">
        <v>347</v>
      </c>
      <c r="V1582" s="117">
        <v>2024</v>
      </c>
      <c r="W1582" s="117">
        <v>7</v>
      </c>
      <c r="X1582" s="117">
        <v>1271000</v>
      </c>
      <c r="Y1582" s="117">
        <v>2.5000000000000001E-2</v>
      </c>
      <c r="Z1582" s="21" t="b">
        <v>0</v>
      </c>
      <c r="AA1582" s="162">
        <f>+$AD$5-Tabla2[[#This Row],[FECHA DE FACTURACIÓN]]</f>
        <v>44</v>
      </c>
      <c r="AB1582" s="163" t="str">
        <f>+IF(Tabla2[[#This Row],[dias de credito]]&gt;=Tabla2[[#This Row],[PLAZO Días]],"venc", "No venc")</f>
        <v>venc</v>
      </c>
      <c r="AC1582" s="163" t="str">
        <f>+IF(Tabla2[[#This Row],[FECHA DE PAGO]]&gt;0,"pagada","por pagar")</f>
        <v>por pagar</v>
      </c>
      <c r="AD1582" s="164" t="str">
        <f>+IF(AND(Tabla2[[#This Row],[venc]]="venc",Tabla2[[#This Row],[estado pago]]="por pagar"),"vencida","no")</f>
        <v>vencida</v>
      </c>
    </row>
    <row r="1583" spans="1:30" ht="19.5" customHeight="1" x14ac:dyDescent="0.25">
      <c r="A1583" s="8" t="s">
        <v>1850</v>
      </c>
      <c r="B1583" s="8" t="b">
        <v>0</v>
      </c>
      <c r="C1583" s="8">
        <v>90</v>
      </c>
      <c r="D1583" s="151">
        <v>17710735.315650001</v>
      </c>
      <c r="E1583" s="151"/>
      <c r="F1583" s="24" t="s">
        <v>141</v>
      </c>
      <c r="G1583" s="30"/>
      <c r="H1583" s="81" t="s">
        <v>12</v>
      </c>
      <c r="I1583" s="30">
        <v>45356</v>
      </c>
      <c r="J1583" s="16" t="s">
        <v>1648</v>
      </c>
      <c r="K1583" s="9" t="s">
        <v>1530</v>
      </c>
      <c r="L1583" s="9"/>
      <c r="M1583" s="152">
        <v>3701680.66</v>
      </c>
      <c r="N1583" s="153">
        <v>703319.32540000009</v>
      </c>
      <c r="O1583" s="152">
        <v>0</v>
      </c>
      <c r="P1583" s="154">
        <v>2.5000000000000001E-2</v>
      </c>
      <c r="Q1583" s="152">
        <v>92542.016500000012</v>
      </c>
      <c r="R1583" s="9">
        <v>4312457.9689000007</v>
      </c>
      <c r="S1583" s="21" t="s">
        <v>1854</v>
      </c>
      <c r="T1583" s="117">
        <v>-2</v>
      </c>
      <c r="U1583" s="117" t="s">
        <v>347</v>
      </c>
      <c r="V1583" s="117">
        <v>2024</v>
      </c>
      <c r="W1583" s="117">
        <v>7</v>
      </c>
      <c r="X1583" s="117">
        <v>1271000</v>
      </c>
      <c r="Y1583" s="117">
        <v>2.5000000000000001E-2</v>
      </c>
      <c r="Z1583" s="21" t="b">
        <v>0</v>
      </c>
      <c r="AA1583" s="162">
        <f>+$AD$5-Tabla2[[#This Row],[FECHA DE FACTURACIÓN]]</f>
        <v>87</v>
      </c>
      <c r="AB1583" s="163" t="str">
        <f>+IF(Tabla2[[#This Row],[dias de credito]]&gt;=Tabla2[[#This Row],[PLAZO Días]],"venc", "No venc")</f>
        <v>No venc</v>
      </c>
      <c r="AC1583" s="163" t="str">
        <f>+IF(Tabla2[[#This Row],[FECHA DE PAGO]]&gt;0,"pagada","por pagar")</f>
        <v>por pagar</v>
      </c>
      <c r="AD1583" s="164" t="str">
        <f>+IF(AND(Tabla2[[#This Row],[venc]]="venc",Tabla2[[#This Row],[estado pago]]="por pagar"),"vencida","no")</f>
        <v>no</v>
      </c>
    </row>
    <row r="1584" spans="1:30" ht="19.5" customHeight="1" x14ac:dyDescent="0.25">
      <c r="A1584" s="8" t="s">
        <v>1850</v>
      </c>
      <c r="B1584" s="8" t="b">
        <v>0</v>
      </c>
      <c r="C1584" s="8">
        <v>90</v>
      </c>
      <c r="D1584" s="151">
        <v>0</v>
      </c>
      <c r="E1584" s="151"/>
      <c r="F1584" s="24" t="s">
        <v>205</v>
      </c>
      <c r="G1584" s="30">
        <v>45426</v>
      </c>
      <c r="H1584" s="81" t="s">
        <v>32</v>
      </c>
      <c r="I1584" s="30">
        <v>45341</v>
      </c>
      <c r="J1584" s="16" t="s">
        <v>1588</v>
      </c>
      <c r="K1584" s="9" t="s">
        <v>1530</v>
      </c>
      <c r="L1584" s="9" t="s">
        <v>1533</v>
      </c>
      <c r="M1584" s="152">
        <v>10371000</v>
      </c>
      <c r="N1584" s="153">
        <v>1970490</v>
      </c>
      <c r="O1584" s="152">
        <v>0</v>
      </c>
      <c r="P1584" s="154">
        <v>2.5000000000000001E-2</v>
      </c>
      <c r="Q1584" s="152">
        <v>259275</v>
      </c>
      <c r="R1584" s="9">
        <v>12082215</v>
      </c>
      <c r="S1584" s="21" t="s">
        <v>1846</v>
      </c>
      <c r="T1584" s="117">
        <v>0</v>
      </c>
      <c r="U1584" s="117" t="s">
        <v>347</v>
      </c>
      <c r="V1584" s="117">
        <v>2024</v>
      </c>
      <c r="W1584" s="117">
        <v>7</v>
      </c>
      <c r="X1584" s="117">
        <v>1271000</v>
      </c>
      <c r="Y1584" s="117">
        <v>2.5000000000000001E-2</v>
      </c>
      <c r="Z1584" s="21" t="b">
        <v>0</v>
      </c>
      <c r="AA1584" s="162">
        <f>+$AD$5-Tabla2[[#This Row],[FECHA DE FACTURACIÓN]]</f>
        <v>102</v>
      </c>
      <c r="AB1584" s="163" t="str">
        <f>+IF(Tabla2[[#This Row],[dias de credito]]&gt;=Tabla2[[#This Row],[PLAZO Días]],"venc", "No venc")</f>
        <v>venc</v>
      </c>
      <c r="AC1584" s="163" t="str">
        <f>+IF(Tabla2[[#This Row],[FECHA DE PAGO]]&gt;0,"pagada","por pagar")</f>
        <v>pagada</v>
      </c>
      <c r="AD1584" s="164" t="str">
        <f>+IF(AND(Tabla2[[#This Row],[venc]]="venc",Tabla2[[#This Row],[estado pago]]="por pagar"),"vencida","no")</f>
        <v>no</v>
      </c>
    </row>
    <row r="1585" spans="1:30" ht="19.5" customHeight="1" x14ac:dyDescent="0.25">
      <c r="A1585" s="8" t="s">
        <v>1850</v>
      </c>
      <c r="B1585" s="8" t="b">
        <v>0</v>
      </c>
      <c r="C1585" s="8">
        <v>90</v>
      </c>
      <c r="D1585" s="151">
        <v>17710735.315650001</v>
      </c>
      <c r="E1585" s="151"/>
      <c r="F1585" s="24" t="s">
        <v>141</v>
      </c>
      <c r="G1585" s="30"/>
      <c r="H1585" s="81" t="s">
        <v>12</v>
      </c>
      <c r="I1585" s="30">
        <v>45356</v>
      </c>
      <c r="J1585" s="16" t="s">
        <v>1647</v>
      </c>
      <c r="K1585" s="9" t="s">
        <v>1530</v>
      </c>
      <c r="L1585" s="9"/>
      <c r="M1585" s="152">
        <v>11268907.59</v>
      </c>
      <c r="N1585" s="153">
        <v>2141092.4421000001</v>
      </c>
      <c r="O1585" s="152">
        <v>0</v>
      </c>
      <c r="P1585" s="154">
        <v>2.5000000000000001E-2</v>
      </c>
      <c r="Q1585" s="152">
        <v>281722.68975000002</v>
      </c>
      <c r="R1585" s="9">
        <v>13128277.342349999</v>
      </c>
      <c r="S1585" s="21" t="s">
        <v>1854</v>
      </c>
      <c r="T1585" s="117">
        <v>-2</v>
      </c>
      <c r="U1585" s="117" t="s">
        <v>347</v>
      </c>
      <c r="V1585" s="117">
        <v>2024</v>
      </c>
      <c r="W1585" s="117">
        <v>7</v>
      </c>
      <c r="X1585" s="117">
        <v>1271000</v>
      </c>
      <c r="Y1585" s="117">
        <v>2.5000000000000001E-2</v>
      </c>
      <c r="Z1585" s="21" t="b">
        <v>0</v>
      </c>
      <c r="AA1585" s="162">
        <f>+$AD$5-Tabla2[[#This Row],[FECHA DE FACTURACIÓN]]</f>
        <v>87</v>
      </c>
      <c r="AB1585" s="163" t="str">
        <f>+IF(Tabla2[[#This Row],[dias de credito]]&gt;=Tabla2[[#This Row],[PLAZO Días]],"venc", "No venc")</f>
        <v>No venc</v>
      </c>
      <c r="AC1585" s="163" t="str">
        <f>+IF(Tabla2[[#This Row],[FECHA DE PAGO]]&gt;0,"pagada","por pagar")</f>
        <v>por pagar</v>
      </c>
      <c r="AD1585" s="164" t="str">
        <f>+IF(AND(Tabla2[[#This Row],[venc]]="venc",Tabla2[[#This Row],[estado pago]]="por pagar"),"vencida","no")</f>
        <v>no</v>
      </c>
    </row>
    <row r="1586" spans="1:30" ht="19.5" customHeight="1" x14ac:dyDescent="0.25">
      <c r="A1586" s="8" t="s">
        <v>1850</v>
      </c>
      <c r="B1586" s="8" t="b">
        <v>0</v>
      </c>
      <c r="C1586" s="8">
        <v>90</v>
      </c>
      <c r="D1586" s="151">
        <v>17710735.315650001</v>
      </c>
      <c r="E1586" s="151"/>
      <c r="F1586" s="24" t="s">
        <v>141</v>
      </c>
      <c r="G1586" s="30"/>
      <c r="H1586" s="81" t="s">
        <v>12</v>
      </c>
      <c r="I1586" s="30">
        <v>45356</v>
      </c>
      <c r="J1586" s="16" t="s">
        <v>1652</v>
      </c>
      <c r="K1586" s="9" t="s">
        <v>1530</v>
      </c>
      <c r="L1586" s="9"/>
      <c r="M1586" s="152">
        <v>226890.76</v>
      </c>
      <c r="N1586" s="153">
        <v>43109.244400000003</v>
      </c>
      <c r="O1586" s="152">
        <v>0</v>
      </c>
      <c r="P1586" s="154">
        <v>0</v>
      </c>
      <c r="Q1586" s="152">
        <v>0</v>
      </c>
      <c r="R1586" s="9">
        <v>270000.00440000003</v>
      </c>
      <c r="S1586" s="21" t="s">
        <v>1854</v>
      </c>
      <c r="T1586" s="117">
        <v>-2</v>
      </c>
      <c r="U1586" s="117" t="s">
        <v>347</v>
      </c>
      <c r="V1586" s="117">
        <v>2024</v>
      </c>
      <c r="W1586" s="117">
        <v>7</v>
      </c>
      <c r="X1586" s="117">
        <v>1271000</v>
      </c>
      <c r="Y1586" s="117">
        <v>2.5000000000000001E-2</v>
      </c>
      <c r="Z1586" s="21" t="b">
        <v>0</v>
      </c>
      <c r="AA1586" s="162">
        <f>+$AD$5-Tabla2[[#This Row],[FECHA DE FACTURACIÓN]]</f>
        <v>87</v>
      </c>
      <c r="AB1586" s="163" t="str">
        <f>+IF(Tabla2[[#This Row],[dias de credito]]&gt;=Tabla2[[#This Row],[PLAZO Días]],"venc", "No venc")</f>
        <v>No venc</v>
      </c>
      <c r="AC1586" s="163" t="str">
        <f>+IF(Tabla2[[#This Row],[FECHA DE PAGO]]&gt;0,"pagada","por pagar")</f>
        <v>por pagar</v>
      </c>
      <c r="AD1586" s="164" t="str">
        <f>+IF(AND(Tabla2[[#This Row],[venc]]="venc",Tabla2[[#This Row],[estado pago]]="por pagar"),"vencida","no")</f>
        <v>no</v>
      </c>
    </row>
    <row r="1587" spans="1:30" ht="19.5" customHeight="1" x14ac:dyDescent="0.25">
      <c r="A1587" s="8" t="s">
        <v>1850</v>
      </c>
      <c r="B1587" s="8" t="s">
        <v>1851</v>
      </c>
      <c r="C1587" s="8">
        <v>30</v>
      </c>
      <c r="D1587" s="151">
        <v>4466504.835</v>
      </c>
      <c r="E1587" s="151"/>
      <c r="F1587" s="24" t="s">
        <v>1553</v>
      </c>
      <c r="G1587" s="30">
        <v>45439</v>
      </c>
      <c r="H1587" s="81" t="s">
        <v>18</v>
      </c>
      <c r="I1587" s="30">
        <v>45399</v>
      </c>
      <c r="J1587" s="16" t="s">
        <v>1746</v>
      </c>
      <c r="K1587" s="9" t="s">
        <v>504</v>
      </c>
      <c r="L1587" s="9" t="s">
        <v>1534</v>
      </c>
      <c r="M1587" s="152">
        <v>1683642</v>
      </c>
      <c r="N1587" s="153">
        <v>319891.98</v>
      </c>
      <c r="O1587" s="152">
        <v>0</v>
      </c>
      <c r="P1587" s="154">
        <v>2.5000000000000001E-2</v>
      </c>
      <c r="Q1587" s="152">
        <v>42091.05</v>
      </c>
      <c r="R1587" s="9">
        <v>1961442.93</v>
      </c>
      <c r="S1587" s="21" t="s">
        <v>1846</v>
      </c>
      <c r="T1587" s="117">
        <v>0</v>
      </c>
      <c r="U1587" s="117" t="s">
        <v>347</v>
      </c>
      <c r="V1587" s="117">
        <v>2024</v>
      </c>
      <c r="W1587" s="117">
        <v>7</v>
      </c>
      <c r="X1587" s="117">
        <v>1271000</v>
      </c>
      <c r="Y1587" s="117">
        <v>2.5000000000000001E-2</v>
      </c>
      <c r="Z1587" s="21" t="b">
        <v>0</v>
      </c>
      <c r="AA1587" s="162">
        <f>+$AD$5-Tabla2[[#This Row],[FECHA DE FACTURACIÓN]]</f>
        <v>44</v>
      </c>
      <c r="AB1587" s="163" t="str">
        <f>+IF(Tabla2[[#This Row],[dias de credito]]&gt;=Tabla2[[#This Row],[PLAZO Días]],"venc", "No venc")</f>
        <v>venc</v>
      </c>
      <c r="AC1587" s="163" t="str">
        <f>+IF(Tabla2[[#This Row],[FECHA DE PAGO]]&gt;0,"pagada","por pagar")</f>
        <v>pagada</v>
      </c>
      <c r="AD1587" s="164" t="str">
        <f>+IF(AND(Tabla2[[#This Row],[venc]]="venc",Tabla2[[#This Row],[estado pago]]="por pagar"),"vencida","no")</f>
        <v>no</v>
      </c>
    </row>
    <row r="1588" spans="1:30" ht="19.5" customHeight="1" x14ac:dyDescent="0.25">
      <c r="A1588" s="8" t="s">
        <v>1850</v>
      </c>
      <c r="B1588" s="8" t="b">
        <v>0</v>
      </c>
      <c r="C1588" s="8">
        <v>30</v>
      </c>
      <c r="D1588" s="151">
        <v>4466504.835</v>
      </c>
      <c r="E1588" s="151"/>
      <c r="F1588" s="24" t="s">
        <v>1553</v>
      </c>
      <c r="G1588" s="30"/>
      <c r="H1588" s="81" t="s">
        <v>18</v>
      </c>
      <c r="I1588" s="30">
        <v>45408</v>
      </c>
      <c r="J1588" s="16" t="s">
        <v>1781</v>
      </c>
      <c r="K1588" s="9" t="s">
        <v>504</v>
      </c>
      <c r="L1588" s="9"/>
      <c r="M1588" s="152">
        <v>1206027</v>
      </c>
      <c r="N1588" s="153">
        <v>229145.13</v>
      </c>
      <c r="O1588" s="152">
        <v>0</v>
      </c>
      <c r="P1588" s="154">
        <v>0</v>
      </c>
      <c r="Q1588" s="152">
        <v>0</v>
      </c>
      <c r="R1588" s="9">
        <v>1435172.13</v>
      </c>
      <c r="S1588" s="21" t="s">
        <v>1853</v>
      </c>
      <c r="T1588" s="117">
        <v>6</v>
      </c>
      <c r="U1588" s="117" t="s">
        <v>347</v>
      </c>
      <c r="V1588" s="117">
        <v>2024</v>
      </c>
      <c r="W1588" s="117">
        <v>7</v>
      </c>
      <c r="X1588" s="117">
        <v>1271000</v>
      </c>
      <c r="Y1588" s="117">
        <v>2.5000000000000001E-2</v>
      </c>
      <c r="Z1588" s="21" t="b">
        <v>0</v>
      </c>
      <c r="AA1588" s="162">
        <f>+$AD$5-Tabla2[[#This Row],[FECHA DE FACTURACIÓN]]</f>
        <v>35</v>
      </c>
      <c r="AB1588" s="163" t="str">
        <f>+IF(Tabla2[[#This Row],[dias de credito]]&gt;=Tabla2[[#This Row],[PLAZO Días]],"venc", "No venc")</f>
        <v>venc</v>
      </c>
      <c r="AC1588" s="163" t="str">
        <f>+IF(Tabla2[[#This Row],[FECHA DE PAGO]]&gt;0,"pagada","por pagar")</f>
        <v>por pagar</v>
      </c>
      <c r="AD1588" s="164" t="str">
        <f>+IF(AND(Tabla2[[#This Row],[venc]]="venc",Tabla2[[#This Row],[estado pago]]="por pagar"),"vencida","no")</f>
        <v>vencida</v>
      </c>
    </row>
    <row r="1589" spans="1:30" ht="19.5" customHeight="1" x14ac:dyDescent="0.25">
      <c r="A1589" s="8" t="s">
        <v>1850</v>
      </c>
      <c r="B1589" s="8" t="b">
        <v>0</v>
      </c>
      <c r="C1589" s="8">
        <v>30</v>
      </c>
      <c r="D1589" s="151">
        <v>4466504.835</v>
      </c>
      <c r="E1589" s="151"/>
      <c r="F1589" s="24" t="s">
        <v>1553</v>
      </c>
      <c r="G1589" s="30"/>
      <c r="H1589" s="81" t="s">
        <v>18</v>
      </c>
      <c r="I1589" s="30">
        <v>45412</v>
      </c>
      <c r="J1589" s="16" t="s">
        <v>1788</v>
      </c>
      <c r="K1589" s="9" t="s">
        <v>504</v>
      </c>
      <c r="L1589" s="9"/>
      <c r="M1589" s="152">
        <v>1606195</v>
      </c>
      <c r="N1589" s="153">
        <v>305177.05</v>
      </c>
      <c r="O1589" s="152">
        <v>0</v>
      </c>
      <c r="P1589" s="154">
        <v>2.5000000000000001E-2</v>
      </c>
      <c r="Q1589" s="152">
        <v>40154.875</v>
      </c>
      <c r="R1589" s="9">
        <v>1871217.175</v>
      </c>
      <c r="S1589" s="21" t="s">
        <v>1853</v>
      </c>
      <c r="T1589" s="117">
        <v>2</v>
      </c>
      <c r="U1589" s="117" t="s">
        <v>347</v>
      </c>
      <c r="V1589" s="117">
        <v>2024</v>
      </c>
      <c r="W1589" s="117">
        <v>7</v>
      </c>
      <c r="X1589" s="117">
        <v>1271000</v>
      </c>
      <c r="Y1589" s="117">
        <v>2.5000000000000001E-2</v>
      </c>
      <c r="Z1589" s="21" t="b">
        <v>0</v>
      </c>
      <c r="AA1589" s="162">
        <f>+$AD$5-Tabla2[[#This Row],[FECHA DE FACTURACIÓN]]</f>
        <v>31</v>
      </c>
      <c r="AB1589" s="163" t="str">
        <f>+IF(Tabla2[[#This Row],[dias de credito]]&gt;=Tabla2[[#This Row],[PLAZO Días]],"venc", "No venc")</f>
        <v>venc</v>
      </c>
      <c r="AC1589" s="163" t="str">
        <f>+IF(Tabla2[[#This Row],[FECHA DE PAGO]]&gt;0,"pagada","por pagar")</f>
        <v>por pagar</v>
      </c>
      <c r="AD1589" s="164" t="str">
        <f>+IF(AND(Tabla2[[#This Row],[venc]]="venc",Tabla2[[#This Row],[estado pago]]="por pagar"),"vencida","no")</f>
        <v>vencida</v>
      </c>
    </row>
    <row r="1590" spans="1:30" ht="19.5" customHeight="1" x14ac:dyDescent="0.25">
      <c r="A1590" s="8" t="s">
        <v>1850</v>
      </c>
      <c r="B1590" s="8" t="b">
        <v>0</v>
      </c>
      <c r="C1590" s="8">
        <v>30</v>
      </c>
      <c r="D1590" s="151">
        <v>5581100</v>
      </c>
      <c r="E1590" s="151"/>
      <c r="F1590" s="24" t="s">
        <v>150</v>
      </c>
      <c r="G1590" s="30"/>
      <c r="H1590" s="81" t="s">
        <v>446</v>
      </c>
      <c r="I1590" s="30">
        <v>45421</v>
      </c>
      <c r="J1590" s="16" t="s">
        <v>1892</v>
      </c>
      <c r="K1590" s="9" t="s">
        <v>504</v>
      </c>
      <c r="L1590" s="9"/>
      <c r="M1590" s="152">
        <v>4690000</v>
      </c>
      <c r="N1590" s="153">
        <v>891100</v>
      </c>
      <c r="O1590" s="152">
        <v>0</v>
      </c>
      <c r="P1590" s="154">
        <v>0</v>
      </c>
      <c r="Q1590" s="152">
        <v>0</v>
      </c>
      <c r="R1590" s="9">
        <v>5581100</v>
      </c>
      <c r="S1590" s="21" t="s">
        <v>1854</v>
      </c>
      <c r="T1590" s="117">
        <v>-7</v>
      </c>
      <c r="U1590" s="117">
        <v>0</v>
      </c>
      <c r="V1590" s="117">
        <v>2024</v>
      </c>
      <c r="W1590" s="117">
        <v>7</v>
      </c>
      <c r="X1590" s="117">
        <v>0</v>
      </c>
      <c r="Y1590" s="117">
        <v>0</v>
      </c>
      <c r="Z1590" s="21" t="b">
        <v>0</v>
      </c>
      <c r="AA1590" s="162">
        <f>+$AD$5-Tabla2[[#This Row],[FECHA DE FACTURACIÓN]]</f>
        <v>22</v>
      </c>
      <c r="AB1590" s="163" t="str">
        <f>+IF(Tabla2[[#This Row],[dias de credito]]&gt;=Tabla2[[#This Row],[PLAZO Días]],"venc", "No venc")</f>
        <v>No venc</v>
      </c>
      <c r="AC1590" s="163" t="str">
        <f>+IF(Tabla2[[#This Row],[FECHA DE PAGO]]&gt;0,"pagada","por pagar")</f>
        <v>por pagar</v>
      </c>
      <c r="AD1590" s="164" t="str">
        <f>+IF(AND(Tabla2[[#This Row],[venc]]="venc",Tabla2[[#This Row],[estado pago]]="por pagar"),"vencida","no")</f>
        <v>no</v>
      </c>
    </row>
    <row r="1591" spans="1:30" ht="19.5" customHeight="1" x14ac:dyDescent="0.25">
      <c r="A1591" s="8" t="s">
        <v>1850</v>
      </c>
      <c r="B1591" s="8" t="b">
        <v>0</v>
      </c>
      <c r="C1591" s="8">
        <v>30</v>
      </c>
      <c r="D1591" s="151">
        <v>2028306.6264000002</v>
      </c>
      <c r="E1591" s="151"/>
      <c r="F1591" s="24" t="s">
        <v>1475</v>
      </c>
      <c r="G1591" s="30"/>
      <c r="H1591" s="81" t="s">
        <v>218</v>
      </c>
      <c r="I1591" s="30">
        <v>45315</v>
      </c>
      <c r="J1591" s="16" t="s">
        <v>1782</v>
      </c>
      <c r="K1591" s="9" t="s">
        <v>1530</v>
      </c>
      <c r="L1591" s="9"/>
      <c r="M1591" s="152">
        <v>-84873.94</v>
      </c>
      <c r="N1591" s="153">
        <v>-16126.0486</v>
      </c>
      <c r="O1591" s="152">
        <v>0</v>
      </c>
      <c r="P1591" s="154">
        <v>0</v>
      </c>
      <c r="Q1591" s="152">
        <v>0</v>
      </c>
      <c r="R1591" s="9">
        <v>-100999.9886</v>
      </c>
      <c r="S1591" s="21" t="s">
        <v>1853</v>
      </c>
      <c r="T1591" s="117">
        <v>99</v>
      </c>
      <c r="U1591" s="117" t="s">
        <v>347</v>
      </c>
      <c r="V1591" s="117">
        <v>2024</v>
      </c>
      <c r="W1591" s="117">
        <v>7</v>
      </c>
      <c r="X1591" s="117">
        <v>1271000</v>
      </c>
      <c r="Y1591" s="117">
        <v>2.5000000000000001E-2</v>
      </c>
      <c r="Z1591" s="21" t="b">
        <v>0</v>
      </c>
      <c r="AA1591" s="162">
        <f>+$AD$5-Tabla2[[#This Row],[FECHA DE FACTURACIÓN]]</f>
        <v>128</v>
      </c>
      <c r="AB1591" s="163" t="str">
        <f>+IF(Tabla2[[#This Row],[dias de credito]]&gt;=Tabla2[[#This Row],[PLAZO Días]],"venc", "No venc")</f>
        <v>venc</v>
      </c>
      <c r="AC1591" s="163" t="str">
        <f>+IF(Tabla2[[#This Row],[FECHA DE PAGO]]&gt;0,"pagada","por pagar")</f>
        <v>por pagar</v>
      </c>
      <c r="AD1591" s="164" t="str">
        <f>+IF(AND(Tabla2[[#This Row],[venc]]="venc",Tabla2[[#This Row],[estado pago]]="por pagar"),"vencida","no")</f>
        <v>vencida</v>
      </c>
    </row>
    <row r="1592" spans="1:30" ht="19.5" customHeight="1" x14ac:dyDescent="0.25">
      <c r="A1592" s="8" t="s">
        <v>1850</v>
      </c>
      <c r="B1592" s="8" t="b">
        <v>0</v>
      </c>
      <c r="C1592" s="8">
        <v>30</v>
      </c>
      <c r="D1592" s="151">
        <v>2028306.6264000002</v>
      </c>
      <c r="E1592" s="151"/>
      <c r="F1592" s="24" t="s">
        <v>1475</v>
      </c>
      <c r="G1592" s="30"/>
      <c r="H1592" s="81" t="s">
        <v>218</v>
      </c>
      <c r="I1592" s="30">
        <v>45401</v>
      </c>
      <c r="J1592" s="16" t="s">
        <v>1771</v>
      </c>
      <c r="K1592" s="9" t="s">
        <v>1530</v>
      </c>
      <c r="L1592" s="9"/>
      <c r="M1592" s="152">
        <v>1827731</v>
      </c>
      <c r="N1592" s="153">
        <v>347268.89</v>
      </c>
      <c r="O1592" s="152">
        <v>0</v>
      </c>
      <c r="P1592" s="154">
        <v>2.5000000000000001E-2</v>
      </c>
      <c r="Q1592" s="152">
        <v>45693.275000000001</v>
      </c>
      <c r="R1592" s="9">
        <v>2129306.6150000002</v>
      </c>
      <c r="S1592" s="21" t="s">
        <v>1853</v>
      </c>
      <c r="T1592" s="117">
        <v>13</v>
      </c>
      <c r="U1592" s="117" t="s">
        <v>347</v>
      </c>
      <c r="V1592" s="117">
        <v>2024</v>
      </c>
      <c r="W1592" s="117">
        <v>7</v>
      </c>
      <c r="X1592" s="117">
        <v>1271000</v>
      </c>
      <c r="Y1592" s="117">
        <v>2.5000000000000001E-2</v>
      </c>
      <c r="Z1592" s="21" t="b">
        <v>0</v>
      </c>
      <c r="AA1592" s="162">
        <f>+$AD$5-Tabla2[[#This Row],[FECHA DE FACTURACIÓN]]</f>
        <v>42</v>
      </c>
      <c r="AB1592" s="163" t="str">
        <f>+IF(Tabla2[[#This Row],[dias de credito]]&gt;=Tabla2[[#This Row],[PLAZO Días]],"venc", "No venc")</f>
        <v>venc</v>
      </c>
      <c r="AC1592" s="163" t="str">
        <f>+IF(Tabla2[[#This Row],[FECHA DE PAGO]]&gt;0,"pagada","por pagar")</f>
        <v>por pagar</v>
      </c>
      <c r="AD1592" s="164" t="str">
        <f>+IF(AND(Tabla2[[#This Row],[venc]]="venc",Tabla2[[#This Row],[estado pago]]="por pagar"),"vencida","no")</f>
        <v>vencida</v>
      </c>
    </row>
    <row r="1593" spans="1:30" ht="19.5" customHeight="1" x14ac:dyDescent="0.25">
      <c r="A1593" s="8" t="s">
        <v>1850</v>
      </c>
      <c r="B1593" s="8" t="b">
        <v>0</v>
      </c>
      <c r="C1593" s="8">
        <v>60</v>
      </c>
      <c r="D1593" s="151">
        <v>19124998.199999999</v>
      </c>
      <c r="E1593" s="151"/>
      <c r="F1593" s="24" t="s">
        <v>184</v>
      </c>
      <c r="G1593" s="30"/>
      <c r="H1593" s="81" t="s">
        <v>30</v>
      </c>
      <c r="I1593" s="30">
        <v>45379</v>
      </c>
      <c r="J1593" s="16">
        <v>82119</v>
      </c>
      <c r="K1593" s="9" t="s">
        <v>1530</v>
      </c>
      <c r="L1593" s="9"/>
      <c r="M1593" s="152">
        <v>19124998.199999999</v>
      </c>
      <c r="N1593" s="153">
        <v>0</v>
      </c>
      <c r="O1593" s="152">
        <v>0</v>
      </c>
      <c r="P1593" s="154">
        <v>0</v>
      </c>
      <c r="Q1593" s="152">
        <v>0</v>
      </c>
      <c r="R1593" s="9">
        <v>19124998.199999999</v>
      </c>
      <c r="S1593" s="21" t="s">
        <v>1853</v>
      </c>
      <c r="T1593" s="117">
        <v>5</v>
      </c>
      <c r="U1593" s="117">
        <v>0</v>
      </c>
      <c r="V1593" s="117">
        <v>2024</v>
      </c>
      <c r="W1593" s="117">
        <v>7</v>
      </c>
      <c r="X1593" s="117">
        <v>0</v>
      </c>
      <c r="Y1593" s="117">
        <v>0</v>
      </c>
      <c r="Z1593" s="21" t="b">
        <v>0</v>
      </c>
      <c r="AA1593" s="162">
        <f>+$AD$5-Tabla2[[#This Row],[FECHA DE FACTURACIÓN]]</f>
        <v>64</v>
      </c>
      <c r="AB1593" s="163" t="str">
        <f>+IF(Tabla2[[#This Row],[dias de credito]]&gt;=Tabla2[[#This Row],[PLAZO Días]],"venc", "No venc")</f>
        <v>venc</v>
      </c>
      <c r="AC1593" s="163" t="str">
        <f>+IF(Tabla2[[#This Row],[FECHA DE PAGO]]&gt;0,"pagada","por pagar")</f>
        <v>por pagar</v>
      </c>
      <c r="AD1593" s="164" t="str">
        <f>+IF(AND(Tabla2[[#This Row],[venc]]="venc",Tabla2[[#This Row],[estado pago]]="por pagar"),"vencida","no")</f>
        <v>vencida</v>
      </c>
    </row>
    <row r="1594" spans="1:30" ht="19.5" customHeight="1" x14ac:dyDescent="0.25">
      <c r="A1594" s="8" t="s">
        <v>1850</v>
      </c>
      <c r="B1594" s="8" t="s">
        <v>1851</v>
      </c>
      <c r="C1594" s="8">
        <v>45</v>
      </c>
      <c r="D1594" s="151">
        <v>22186260.039999999</v>
      </c>
      <c r="E1594" s="151"/>
      <c r="F1594" s="24" t="s">
        <v>357</v>
      </c>
      <c r="G1594" s="30">
        <v>45432</v>
      </c>
      <c r="H1594" s="81" t="s">
        <v>19</v>
      </c>
      <c r="I1594" s="30">
        <v>45369</v>
      </c>
      <c r="J1594" s="16" t="s">
        <v>1684</v>
      </c>
      <c r="K1594" s="9" t="s">
        <v>504</v>
      </c>
      <c r="L1594" s="9" t="s">
        <v>1534</v>
      </c>
      <c r="M1594" s="152">
        <v>813510</v>
      </c>
      <c r="N1594" s="153">
        <v>154566.9</v>
      </c>
      <c r="O1594" s="152">
        <v>0</v>
      </c>
      <c r="P1594" s="154">
        <v>0</v>
      </c>
      <c r="Q1594" s="152">
        <v>0</v>
      </c>
      <c r="R1594" s="9">
        <v>968076.9</v>
      </c>
      <c r="S1594" s="21" t="s">
        <v>1846</v>
      </c>
      <c r="T1594" s="117">
        <v>0</v>
      </c>
      <c r="U1594" s="117">
        <v>0</v>
      </c>
      <c r="V1594" s="117">
        <v>2024</v>
      </c>
      <c r="W1594" s="117">
        <v>7</v>
      </c>
      <c r="X1594" s="117">
        <v>0</v>
      </c>
      <c r="Y1594" s="117">
        <v>0</v>
      </c>
      <c r="Z1594" s="21" t="b">
        <v>0</v>
      </c>
      <c r="AA1594" s="162">
        <f>+$AD$5-Tabla2[[#This Row],[FECHA DE FACTURACIÓN]]</f>
        <v>74</v>
      </c>
      <c r="AB1594" s="163" t="str">
        <f>+IF(Tabla2[[#This Row],[dias de credito]]&gt;=Tabla2[[#This Row],[PLAZO Días]],"venc", "No venc")</f>
        <v>venc</v>
      </c>
      <c r="AC1594" s="163" t="str">
        <f>+IF(Tabla2[[#This Row],[FECHA DE PAGO]]&gt;0,"pagada","por pagar")</f>
        <v>pagada</v>
      </c>
      <c r="AD1594" s="164" t="str">
        <f>+IF(AND(Tabla2[[#This Row],[venc]]="venc",Tabla2[[#This Row],[estado pago]]="por pagar"),"vencida","no")</f>
        <v>no</v>
      </c>
    </row>
    <row r="1595" spans="1:30" ht="19.5" customHeight="1" x14ac:dyDescent="0.25">
      <c r="A1595" s="8" t="s">
        <v>1850</v>
      </c>
      <c r="B1595" s="8" t="s">
        <v>1851</v>
      </c>
      <c r="C1595" s="8">
        <v>45</v>
      </c>
      <c r="D1595" s="151">
        <v>22186260.039999999</v>
      </c>
      <c r="E1595" s="151"/>
      <c r="F1595" s="24" t="s">
        <v>357</v>
      </c>
      <c r="G1595" s="30">
        <v>45432</v>
      </c>
      <c r="H1595" s="81" t="s">
        <v>19</v>
      </c>
      <c r="I1595" s="30">
        <v>45378</v>
      </c>
      <c r="J1595" s="16" t="s">
        <v>1688</v>
      </c>
      <c r="K1595" s="9" t="s">
        <v>504</v>
      </c>
      <c r="L1595" s="9" t="s">
        <v>1534</v>
      </c>
      <c r="M1595" s="152">
        <v>3479680</v>
      </c>
      <c r="N1595" s="153">
        <v>661139.19999999995</v>
      </c>
      <c r="O1595" s="152">
        <v>0</v>
      </c>
      <c r="P1595" s="154">
        <v>0</v>
      </c>
      <c r="Q1595" s="152">
        <v>0</v>
      </c>
      <c r="R1595" s="9">
        <v>4140819.2</v>
      </c>
      <c r="S1595" s="21" t="s">
        <v>1846</v>
      </c>
      <c r="T1595" s="117">
        <v>0</v>
      </c>
      <c r="U1595" s="117">
        <v>0</v>
      </c>
      <c r="V1595" s="117">
        <v>2024</v>
      </c>
      <c r="W1595" s="117">
        <v>7</v>
      </c>
      <c r="X1595" s="117">
        <v>0</v>
      </c>
      <c r="Y1595" s="117">
        <v>0</v>
      </c>
      <c r="Z1595" s="21" t="b">
        <v>0</v>
      </c>
      <c r="AA1595" s="162">
        <f>+$AD$5-Tabla2[[#This Row],[FECHA DE FACTURACIÓN]]</f>
        <v>65</v>
      </c>
      <c r="AB1595" s="163" t="str">
        <f>+IF(Tabla2[[#This Row],[dias de credito]]&gt;=Tabla2[[#This Row],[PLAZO Días]],"venc", "No venc")</f>
        <v>venc</v>
      </c>
      <c r="AC1595" s="163" t="str">
        <f>+IF(Tabla2[[#This Row],[FECHA DE PAGO]]&gt;0,"pagada","por pagar")</f>
        <v>pagada</v>
      </c>
      <c r="AD1595" s="164" t="str">
        <f>+IF(AND(Tabla2[[#This Row],[venc]]="venc",Tabla2[[#This Row],[estado pago]]="por pagar"),"vencida","no")</f>
        <v>no</v>
      </c>
    </row>
    <row r="1596" spans="1:30" ht="19.5" customHeight="1" x14ac:dyDescent="0.25">
      <c r="A1596" s="8" t="s">
        <v>1850</v>
      </c>
      <c r="B1596" s="8" t="s">
        <v>1851</v>
      </c>
      <c r="C1596" s="8">
        <v>45</v>
      </c>
      <c r="D1596" s="151">
        <v>22186260.039999999</v>
      </c>
      <c r="E1596" s="151"/>
      <c r="F1596" s="24" t="s">
        <v>357</v>
      </c>
      <c r="G1596" s="30">
        <v>45432</v>
      </c>
      <c r="H1596" s="81" t="s">
        <v>19</v>
      </c>
      <c r="I1596" s="30">
        <v>45384</v>
      </c>
      <c r="J1596" s="16" t="s">
        <v>1717</v>
      </c>
      <c r="K1596" s="9" t="s">
        <v>504</v>
      </c>
      <c r="L1596" s="9" t="s">
        <v>1534</v>
      </c>
      <c r="M1596" s="152">
        <v>1505580</v>
      </c>
      <c r="N1596" s="153">
        <v>286060.2</v>
      </c>
      <c r="O1596" s="152">
        <v>0</v>
      </c>
      <c r="P1596" s="154">
        <v>0</v>
      </c>
      <c r="Q1596" s="152">
        <v>0</v>
      </c>
      <c r="R1596" s="9">
        <v>1791640.2</v>
      </c>
      <c r="S1596" s="21" t="s">
        <v>1846</v>
      </c>
      <c r="T1596" s="117">
        <v>0</v>
      </c>
      <c r="U1596" s="117">
        <v>0</v>
      </c>
      <c r="V1596" s="117">
        <v>2024</v>
      </c>
      <c r="W1596" s="117">
        <v>7</v>
      </c>
      <c r="X1596" s="117">
        <v>0</v>
      </c>
      <c r="Y1596" s="117">
        <v>0</v>
      </c>
      <c r="Z1596" s="21" t="b">
        <v>0</v>
      </c>
      <c r="AA1596" s="162">
        <f>+$AD$5-Tabla2[[#This Row],[FECHA DE FACTURACIÓN]]</f>
        <v>59</v>
      </c>
      <c r="AB1596" s="163" t="str">
        <f>+IF(Tabla2[[#This Row],[dias de credito]]&gt;=Tabla2[[#This Row],[PLAZO Días]],"venc", "No venc")</f>
        <v>venc</v>
      </c>
      <c r="AC1596" s="163" t="str">
        <f>+IF(Tabla2[[#This Row],[FECHA DE PAGO]]&gt;0,"pagada","por pagar")</f>
        <v>pagada</v>
      </c>
      <c r="AD1596" s="164" t="str">
        <f>+IF(AND(Tabla2[[#This Row],[venc]]="venc",Tabla2[[#This Row],[estado pago]]="por pagar"),"vencida","no")</f>
        <v>no</v>
      </c>
    </row>
    <row r="1597" spans="1:30" ht="19.5" customHeight="1" x14ac:dyDescent="0.25">
      <c r="A1597" s="8" t="s">
        <v>1850</v>
      </c>
      <c r="B1597" s="8" t="s">
        <v>1851</v>
      </c>
      <c r="C1597" s="8">
        <v>45</v>
      </c>
      <c r="D1597" s="151">
        <v>22186260.039999999</v>
      </c>
      <c r="E1597" s="151"/>
      <c r="F1597" s="24" t="s">
        <v>357</v>
      </c>
      <c r="G1597" s="30">
        <v>45432</v>
      </c>
      <c r="H1597" s="81" t="s">
        <v>19</v>
      </c>
      <c r="I1597" s="30">
        <v>45385</v>
      </c>
      <c r="J1597" s="16" t="s">
        <v>1716</v>
      </c>
      <c r="K1597" s="9" t="s">
        <v>504</v>
      </c>
      <c r="L1597" s="9" t="s">
        <v>1534</v>
      </c>
      <c r="M1597" s="152">
        <v>2190060</v>
      </c>
      <c r="N1597" s="153">
        <v>416111.4</v>
      </c>
      <c r="O1597" s="152">
        <v>0</v>
      </c>
      <c r="P1597" s="154">
        <v>0</v>
      </c>
      <c r="Q1597" s="152">
        <v>0</v>
      </c>
      <c r="R1597" s="9">
        <v>2606171.4</v>
      </c>
      <c r="S1597" s="21" t="s">
        <v>1846</v>
      </c>
      <c r="T1597" s="117">
        <v>0</v>
      </c>
      <c r="U1597" s="117">
        <v>0</v>
      </c>
      <c r="V1597" s="117">
        <v>2024</v>
      </c>
      <c r="W1597" s="117">
        <v>7</v>
      </c>
      <c r="X1597" s="117">
        <v>0</v>
      </c>
      <c r="Y1597" s="117">
        <v>0</v>
      </c>
      <c r="Z1597" s="21" t="b">
        <v>0</v>
      </c>
      <c r="AA1597" s="162">
        <f>+$AD$5-Tabla2[[#This Row],[FECHA DE FACTURACIÓN]]</f>
        <v>58</v>
      </c>
      <c r="AB1597" s="163" t="str">
        <f>+IF(Tabla2[[#This Row],[dias de credito]]&gt;=Tabla2[[#This Row],[PLAZO Días]],"venc", "No venc")</f>
        <v>venc</v>
      </c>
      <c r="AC1597" s="163" t="str">
        <f>+IF(Tabla2[[#This Row],[FECHA DE PAGO]]&gt;0,"pagada","por pagar")</f>
        <v>pagada</v>
      </c>
      <c r="AD1597" s="164" t="str">
        <f>+IF(AND(Tabla2[[#This Row],[venc]]="venc",Tabla2[[#This Row],[estado pago]]="por pagar"),"vencida","no")</f>
        <v>no</v>
      </c>
    </row>
    <row r="1598" spans="1:30" ht="19.5" customHeight="1" x14ac:dyDescent="0.25">
      <c r="A1598" s="8" t="s">
        <v>1850</v>
      </c>
      <c r="B1598" s="8" t="s">
        <v>1851</v>
      </c>
      <c r="C1598" s="8">
        <v>45</v>
      </c>
      <c r="D1598" s="151">
        <v>22186260.039999999</v>
      </c>
      <c r="E1598" s="151"/>
      <c r="F1598" s="24" t="s">
        <v>357</v>
      </c>
      <c r="G1598" s="30">
        <v>45432</v>
      </c>
      <c r="H1598" s="81" t="s">
        <v>19</v>
      </c>
      <c r="I1598" s="30">
        <v>45385</v>
      </c>
      <c r="J1598" s="16" t="s">
        <v>1723</v>
      </c>
      <c r="K1598" s="9" t="s">
        <v>504</v>
      </c>
      <c r="L1598" s="9" t="s">
        <v>1534</v>
      </c>
      <c r="M1598" s="152">
        <v>2351244</v>
      </c>
      <c r="N1598" s="153">
        <v>446736.36</v>
      </c>
      <c r="O1598" s="152">
        <v>0</v>
      </c>
      <c r="P1598" s="154">
        <v>0</v>
      </c>
      <c r="Q1598" s="152">
        <v>0</v>
      </c>
      <c r="R1598" s="9">
        <v>2797980.36</v>
      </c>
      <c r="S1598" s="21" t="s">
        <v>1846</v>
      </c>
      <c r="T1598" s="117">
        <v>0</v>
      </c>
      <c r="U1598" s="117">
        <v>0</v>
      </c>
      <c r="V1598" s="117">
        <v>2024</v>
      </c>
      <c r="W1598" s="117">
        <v>7</v>
      </c>
      <c r="X1598" s="117">
        <v>0</v>
      </c>
      <c r="Y1598" s="117">
        <v>0</v>
      </c>
      <c r="Z1598" s="21" t="b">
        <v>0</v>
      </c>
      <c r="AA1598" s="162">
        <f>+$AD$5-Tabla2[[#This Row],[FECHA DE FACTURACIÓN]]</f>
        <v>58</v>
      </c>
      <c r="AB1598" s="163" t="str">
        <f>+IF(Tabla2[[#This Row],[dias de credito]]&gt;=Tabla2[[#This Row],[PLAZO Días]],"venc", "No venc")</f>
        <v>venc</v>
      </c>
      <c r="AC1598" s="163" t="str">
        <f>+IF(Tabla2[[#This Row],[FECHA DE PAGO]]&gt;0,"pagada","por pagar")</f>
        <v>pagada</v>
      </c>
      <c r="AD1598" s="164" t="str">
        <f>+IF(AND(Tabla2[[#This Row],[venc]]="venc",Tabla2[[#This Row],[estado pago]]="por pagar"),"vencida","no")</f>
        <v>no</v>
      </c>
    </row>
    <row r="1599" spans="1:30" ht="19.5" customHeight="1" x14ac:dyDescent="0.25">
      <c r="A1599" s="8" t="s">
        <v>1850</v>
      </c>
      <c r="B1599" s="8" t="b">
        <v>0</v>
      </c>
      <c r="C1599" s="8">
        <v>30</v>
      </c>
      <c r="D1599" s="151">
        <v>0</v>
      </c>
      <c r="E1599" s="151"/>
      <c r="F1599" s="24" t="s">
        <v>1497</v>
      </c>
      <c r="G1599" s="30">
        <v>45442</v>
      </c>
      <c r="H1599" s="81" t="s">
        <v>1862</v>
      </c>
      <c r="I1599" s="30">
        <v>45440</v>
      </c>
      <c r="J1599" s="16" t="s">
        <v>1924</v>
      </c>
      <c r="K1599" s="9" t="s">
        <v>504</v>
      </c>
      <c r="L1599" s="9"/>
      <c r="M1599" s="152">
        <v>126589</v>
      </c>
      <c r="N1599" s="153">
        <v>0</v>
      </c>
      <c r="O1599" s="152">
        <v>0</v>
      </c>
      <c r="P1599" s="154">
        <v>0</v>
      </c>
      <c r="Q1599" s="152">
        <v>0</v>
      </c>
      <c r="R1599" s="9">
        <v>126589</v>
      </c>
      <c r="S1599" s="21" t="s">
        <v>1846</v>
      </c>
      <c r="T1599" s="117">
        <v>0</v>
      </c>
      <c r="U1599" s="117">
        <v>0</v>
      </c>
      <c r="V1599" s="117">
        <v>2024</v>
      </c>
      <c r="W1599" s="117">
        <v>7</v>
      </c>
      <c r="X1599" s="117">
        <v>0</v>
      </c>
      <c r="Y1599" s="117">
        <v>0</v>
      </c>
      <c r="Z1599" s="21" t="b">
        <v>0</v>
      </c>
      <c r="AA1599" s="162">
        <f>+$AD$5-Tabla2[[#This Row],[FECHA DE FACTURACIÓN]]</f>
        <v>3</v>
      </c>
      <c r="AB1599" s="163" t="str">
        <f>+IF(Tabla2[[#This Row],[dias de credito]]&gt;=Tabla2[[#This Row],[PLAZO Días]],"venc", "No venc")</f>
        <v>No venc</v>
      </c>
      <c r="AC1599" s="163" t="str">
        <f>+IF(Tabla2[[#This Row],[FECHA DE PAGO]]&gt;0,"pagada","por pagar")</f>
        <v>pagada</v>
      </c>
      <c r="AD1599" s="164" t="str">
        <f>+IF(AND(Tabla2[[#This Row],[venc]]="venc",Tabla2[[#This Row],[estado pago]]="por pagar"),"vencida","no")</f>
        <v>no</v>
      </c>
    </row>
    <row r="1600" spans="1:30" ht="19.5" customHeight="1" x14ac:dyDescent="0.25">
      <c r="A1600" s="8" t="s">
        <v>1850</v>
      </c>
      <c r="B1600" s="8" t="b">
        <v>0</v>
      </c>
      <c r="C1600" s="8">
        <v>30</v>
      </c>
      <c r="D1600" s="151">
        <v>11973060.324999999</v>
      </c>
      <c r="E1600" s="151"/>
      <c r="F1600" s="24" t="s">
        <v>146</v>
      </c>
      <c r="G1600" s="30"/>
      <c r="H1600" s="81" t="s">
        <v>64</v>
      </c>
      <c r="I1600" s="30">
        <v>45378</v>
      </c>
      <c r="J1600" s="16" t="s">
        <v>1687</v>
      </c>
      <c r="K1600" s="9" t="s">
        <v>1530</v>
      </c>
      <c r="L1600" s="9"/>
      <c r="M1600" s="152">
        <v>10277305</v>
      </c>
      <c r="N1600" s="153">
        <v>1952687.95</v>
      </c>
      <c r="O1600" s="152">
        <v>0</v>
      </c>
      <c r="P1600" s="154">
        <v>2.5000000000000001E-2</v>
      </c>
      <c r="Q1600" s="152">
        <v>256932.625</v>
      </c>
      <c r="R1600" s="9">
        <v>11973060.324999999</v>
      </c>
      <c r="S1600" s="21" t="s">
        <v>1853</v>
      </c>
      <c r="T1600" s="117">
        <v>36</v>
      </c>
      <c r="U1600" s="117" t="s">
        <v>347</v>
      </c>
      <c r="V1600" s="117">
        <v>2024</v>
      </c>
      <c r="W1600" s="117">
        <v>7</v>
      </c>
      <c r="X1600" s="117">
        <v>1271000</v>
      </c>
      <c r="Y1600" s="117">
        <v>2.5000000000000001E-2</v>
      </c>
      <c r="Z1600" s="21" t="b">
        <v>0</v>
      </c>
      <c r="AA1600" s="162">
        <f>+$AD$5-Tabla2[[#This Row],[FECHA DE FACTURACIÓN]]</f>
        <v>65</v>
      </c>
      <c r="AB1600" s="163" t="str">
        <f>+IF(Tabla2[[#This Row],[dias de credito]]&gt;=Tabla2[[#This Row],[PLAZO Días]],"venc", "No venc")</f>
        <v>venc</v>
      </c>
      <c r="AC1600" s="163" t="str">
        <f>+IF(Tabla2[[#This Row],[FECHA DE PAGO]]&gt;0,"pagada","por pagar")</f>
        <v>por pagar</v>
      </c>
      <c r="AD1600" s="164" t="str">
        <f>+IF(AND(Tabla2[[#This Row],[venc]]="venc",Tabla2[[#This Row],[estado pago]]="por pagar"),"vencida","no")</f>
        <v>vencida</v>
      </c>
    </row>
    <row r="1601" spans="1:30" ht="19.5" customHeight="1" x14ac:dyDescent="0.25">
      <c r="A1601" s="8" t="s">
        <v>1850</v>
      </c>
      <c r="B1601" s="8" t="s">
        <v>1851</v>
      </c>
      <c r="C1601" s="8">
        <v>30</v>
      </c>
      <c r="D1601" s="151">
        <v>1776037.21</v>
      </c>
      <c r="E1601" s="151"/>
      <c r="F1601" s="24" t="s">
        <v>148</v>
      </c>
      <c r="G1601" s="30">
        <v>45439</v>
      </c>
      <c r="H1601" s="81" t="s">
        <v>17</v>
      </c>
      <c r="I1601" s="30">
        <v>45407</v>
      </c>
      <c r="J1601" s="16" t="s">
        <v>1779</v>
      </c>
      <c r="K1601" s="9" t="s">
        <v>1530</v>
      </c>
      <c r="L1601" s="9" t="s">
        <v>1533</v>
      </c>
      <c r="M1601" s="152">
        <v>406000</v>
      </c>
      <c r="N1601" s="153">
        <v>77140</v>
      </c>
      <c r="O1601" s="152">
        <v>0</v>
      </c>
      <c r="P1601" s="154">
        <v>0</v>
      </c>
      <c r="Q1601" s="152">
        <v>0</v>
      </c>
      <c r="R1601" s="9">
        <v>483140</v>
      </c>
      <c r="S1601" s="21" t="s">
        <v>1846</v>
      </c>
      <c r="T1601" s="117">
        <v>0</v>
      </c>
      <c r="U1601" s="117">
        <v>0</v>
      </c>
      <c r="V1601" s="117">
        <v>2024</v>
      </c>
      <c r="W1601" s="117">
        <v>7</v>
      </c>
      <c r="X1601" s="117">
        <v>0</v>
      </c>
      <c r="Y1601" s="117">
        <v>0</v>
      </c>
      <c r="Z1601" s="21" t="b">
        <v>0</v>
      </c>
      <c r="AA1601" s="162">
        <f>+$AD$5-Tabla2[[#This Row],[FECHA DE FACTURACIÓN]]</f>
        <v>36</v>
      </c>
      <c r="AB1601" s="163" t="str">
        <f>+IF(Tabla2[[#This Row],[dias de credito]]&gt;=Tabla2[[#This Row],[PLAZO Días]],"venc", "No venc")</f>
        <v>venc</v>
      </c>
      <c r="AC1601" s="163" t="str">
        <f>+IF(Tabla2[[#This Row],[FECHA DE PAGO]]&gt;0,"pagada","por pagar")</f>
        <v>pagada</v>
      </c>
      <c r="AD1601" s="164" t="str">
        <f>+IF(AND(Tabla2[[#This Row],[venc]]="venc",Tabla2[[#This Row],[estado pago]]="por pagar"),"vencida","no")</f>
        <v>no</v>
      </c>
    </row>
    <row r="1602" spans="1:30" ht="19.5" customHeight="1" x14ac:dyDescent="0.25">
      <c r="A1602" s="8" t="s">
        <v>1850</v>
      </c>
      <c r="B1602" s="8" t="s">
        <v>1851</v>
      </c>
      <c r="C1602" s="8">
        <v>30</v>
      </c>
      <c r="D1602" s="151">
        <v>1776037.21</v>
      </c>
      <c r="E1602" s="151"/>
      <c r="F1602" s="24" t="s">
        <v>148</v>
      </c>
      <c r="G1602" s="30">
        <v>45439</v>
      </c>
      <c r="H1602" s="81" t="s">
        <v>17</v>
      </c>
      <c r="I1602" s="30">
        <v>45407</v>
      </c>
      <c r="J1602" s="16" t="s">
        <v>1799</v>
      </c>
      <c r="K1602" s="9" t="s">
        <v>1530</v>
      </c>
      <c r="L1602" s="9" t="s">
        <v>1533</v>
      </c>
      <c r="M1602" s="152">
        <v>1453340</v>
      </c>
      <c r="N1602" s="153">
        <v>0</v>
      </c>
      <c r="O1602" s="152">
        <v>0</v>
      </c>
      <c r="P1602" s="154">
        <v>0</v>
      </c>
      <c r="Q1602" s="152">
        <v>0</v>
      </c>
      <c r="R1602" s="9">
        <v>1453340</v>
      </c>
      <c r="S1602" s="21" t="s">
        <v>1846</v>
      </c>
      <c r="T1602" s="117">
        <v>0</v>
      </c>
      <c r="U1602" s="117">
        <v>0</v>
      </c>
      <c r="V1602" s="117">
        <v>2024</v>
      </c>
      <c r="W1602" s="117">
        <v>7</v>
      </c>
      <c r="X1602" s="117">
        <v>0</v>
      </c>
      <c r="Y1602" s="117">
        <v>0</v>
      </c>
      <c r="Z1602" s="21" t="b">
        <v>0</v>
      </c>
      <c r="AA1602" s="162">
        <f>+$AD$5-Tabla2[[#This Row],[FECHA DE FACTURACIÓN]]</f>
        <v>36</v>
      </c>
      <c r="AB1602" s="163" t="str">
        <f>+IF(Tabla2[[#This Row],[dias de credito]]&gt;=Tabla2[[#This Row],[PLAZO Días]],"venc", "No venc")</f>
        <v>venc</v>
      </c>
      <c r="AC1602" s="163" t="str">
        <f>+IF(Tabla2[[#This Row],[FECHA DE PAGO]]&gt;0,"pagada","por pagar")</f>
        <v>pagada</v>
      </c>
      <c r="AD1602" s="164" t="str">
        <f>+IF(AND(Tabla2[[#This Row],[venc]]="venc",Tabla2[[#This Row],[estado pago]]="por pagar"),"vencida","no")</f>
        <v>no</v>
      </c>
    </row>
    <row r="1603" spans="1:30" ht="19.5" customHeight="1" x14ac:dyDescent="0.25">
      <c r="A1603" s="8" t="s">
        <v>1850</v>
      </c>
      <c r="B1603" s="8" t="b">
        <v>0</v>
      </c>
      <c r="C1603" s="8">
        <v>30</v>
      </c>
      <c r="D1603" s="151">
        <v>1776037.21</v>
      </c>
      <c r="E1603" s="151"/>
      <c r="F1603" s="24" t="s">
        <v>148</v>
      </c>
      <c r="G1603" s="30">
        <v>45439</v>
      </c>
      <c r="H1603" s="81" t="s">
        <v>17</v>
      </c>
      <c r="I1603" s="30">
        <v>45414</v>
      </c>
      <c r="J1603" s="16" t="s">
        <v>1839</v>
      </c>
      <c r="K1603" s="9" t="s">
        <v>1530</v>
      </c>
      <c r="L1603" s="9" t="s">
        <v>1533</v>
      </c>
      <c r="M1603" s="152">
        <v>231275</v>
      </c>
      <c r="N1603" s="153">
        <v>43942.25</v>
      </c>
      <c r="O1603" s="152">
        <v>0</v>
      </c>
      <c r="P1603" s="154">
        <v>0</v>
      </c>
      <c r="Q1603" s="152">
        <v>0</v>
      </c>
      <c r="R1603" s="9">
        <v>275217.25</v>
      </c>
      <c r="S1603" s="21" t="s">
        <v>1846</v>
      </c>
      <c r="T1603" s="117">
        <v>0</v>
      </c>
      <c r="U1603" s="117">
        <v>0</v>
      </c>
      <c r="V1603" s="117">
        <v>2024</v>
      </c>
      <c r="W1603" s="117">
        <v>7</v>
      </c>
      <c r="X1603" s="117">
        <v>0</v>
      </c>
      <c r="Y1603" s="117">
        <v>0</v>
      </c>
      <c r="Z1603" s="21" t="b">
        <v>0</v>
      </c>
      <c r="AA1603" s="162">
        <f>+$AD$5-Tabla2[[#This Row],[FECHA DE FACTURACIÓN]]</f>
        <v>29</v>
      </c>
      <c r="AB1603" s="163" t="str">
        <f>+IF(Tabla2[[#This Row],[dias de credito]]&gt;=Tabla2[[#This Row],[PLAZO Días]],"venc", "No venc")</f>
        <v>No venc</v>
      </c>
      <c r="AC1603" s="163" t="str">
        <f>+IF(Tabla2[[#This Row],[FECHA DE PAGO]]&gt;0,"pagada","por pagar")</f>
        <v>pagada</v>
      </c>
      <c r="AD1603" s="164" t="str">
        <f>+IF(AND(Tabla2[[#This Row],[venc]]="venc",Tabla2[[#This Row],[estado pago]]="por pagar"),"vencida","no")</f>
        <v>no</v>
      </c>
    </row>
    <row r="1604" spans="1:30" ht="19.5" customHeight="1" x14ac:dyDescent="0.25">
      <c r="A1604" s="8" t="s">
        <v>1850</v>
      </c>
      <c r="B1604" s="8" t="b">
        <v>0</v>
      </c>
      <c r="C1604" s="8">
        <v>30</v>
      </c>
      <c r="D1604" s="151">
        <v>1776037.21</v>
      </c>
      <c r="E1604" s="151"/>
      <c r="F1604" s="24" t="s">
        <v>148</v>
      </c>
      <c r="G1604" s="30">
        <v>45439</v>
      </c>
      <c r="H1604" s="81" t="s">
        <v>17</v>
      </c>
      <c r="I1604" s="30">
        <v>45414</v>
      </c>
      <c r="J1604" s="16" t="s">
        <v>1840</v>
      </c>
      <c r="K1604" s="9" t="s">
        <v>1530</v>
      </c>
      <c r="L1604" s="9" t="s">
        <v>1533</v>
      </c>
      <c r="M1604" s="152">
        <v>231275</v>
      </c>
      <c r="N1604" s="153">
        <v>43942.25</v>
      </c>
      <c r="O1604" s="152">
        <v>0</v>
      </c>
      <c r="P1604" s="154">
        <v>0</v>
      </c>
      <c r="Q1604" s="152">
        <v>0</v>
      </c>
      <c r="R1604" s="9">
        <v>275217.25</v>
      </c>
      <c r="S1604" s="21" t="s">
        <v>1846</v>
      </c>
      <c r="T1604" s="117">
        <v>0</v>
      </c>
      <c r="U1604" s="117">
        <v>0</v>
      </c>
      <c r="V1604" s="117">
        <v>2024</v>
      </c>
      <c r="W1604" s="117">
        <v>7</v>
      </c>
      <c r="X1604" s="117">
        <v>0</v>
      </c>
      <c r="Y1604" s="117">
        <v>0</v>
      </c>
      <c r="Z1604" s="21" t="b">
        <v>0</v>
      </c>
      <c r="AA1604" s="162">
        <f>+$AD$5-Tabla2[[#This Row],[FECHA DE FACTURACIÓN]]</f>
        <v>29</v>
      </c>
      <c r="AB1604" s="163" t="str">
        <f>+IF(Tabla2[[#This Row],[dias de credito]]&gt;=Tabla2[[#This Row],[PLAZO Días]],"venc", "No venc")</f>
        <v>No venc</v>
      </c>
      <c r="AC1604" s="163" t="str">
        <f>+IF(Tabla2[[#This Row],[FECHA DE PAGO]]&gt;0,"pagada","por pagar")</f>
        <v>pagada</v>
      </c>
      <c r="AD1604" s="164" t="str">
        <f>+IF(AND(Tabla2[[#This Row],[venc]]="venc",Tabla2[[#This Row],[estado pago]]="por pagar"),"vencida","no")</f>
        <v>no</v>
      </c>
    </row>
    <row r="1605" spans="1:30" ht="19.5" customHeight="1" x14ac:dyDescent="0.25">
      <c r="A1605" s="8" t="s">
        <v>1850</v>
      </c>
      <c r="B1605" s="8" t="b">
        <v>0</v>
      </c>
      <c r="C1605" s="8">
        <v>30</v>
      </c>
      <c r="D1605" s="151">
        <v>12628497</v>
      </c>
      <c r="E1605" s="151"/>
      <c r="F1605" s="24" t="s">
        <v>149</v>
      </c>
      <c r="G1605" s="30"/>
      <c r="H1605" s="81" t="s">
        <v>451</v>
      </c>
      <c r="I1605" s="30">
        <v>45358</v>
      </c>
      <c r="J1605" s="16">
        <v>34018</v>
      </c>
      <c r="K1605" s="9" t="s">
        <v>1530</v>
      </c>
      <c r="L1605" s="9"/>
      <c r="M1605" s="152">
        <v>545000</v>
      </c>
      <c r="N1605" s="153">
        <v>103550</v>
      </c>
      <c r="O1605" s="152">
        <v>0</v>
      </c>
      <c r="P1605" s="154">
        <v>0</v>
      </c>
      <c r="Q1605" s="152">
        <v>0</v>
      </c>
      <c r="R1605" s="9">
        <v>648550</v>
      </c>
      <c r="S1605" s="21" t="s">
        <v>1853</v>
      </c>
      <c r="T1605" s="117">
        <v>56</v>
      </c>
      <c r="U1605" s="117" t="s">
        <v>347</v>
      </c>
      <c r="V1605" s="117">
        <v>2024</v>
      </c>
      <c r="W1605" s="117">
        <v>7</v>
      </c>
      <c r="X1605" s="117">
        <v>1271000</v>
      </c>
      <c r="Y1605" s="117">
        <v>2.5000000000000001E-2</v>
      </c>
      <c r="Z1605" s="21" t="b">
        <v>0</v>
      </c>
      <c r="AA1605" s="162">
        <f>+$AD$5-Tabla2[[#This Row],[FECHA DE FACTURACIÓN]]</f>
        <v>85</v>
      </c>
      <c r="AB1605" s="163" t="str">
        <f>+IF(Tabla2[[#This Row],[dias de credito]]&gt;=Tabla2[[#This Row],[PLAZO Días]],"venc", "No venc")</f>
        <v>venc</v>
      </c>
      <c r="AC1605" s="163" t="str">
        <f>+IF(Tabla2[[#This Row],[FECHA DE PAGO]]&gt;0,"pagada","por pagar")</f>
        <v>por pagar</v>
      </c>
      <c r="AD1605" s="164" t="str">
        <f>+IF(AND(Tabla2[[#This Row],[venc]]="venc",Tabla2[[#This Row],[estado pago]]="por pagar"),"vencida","no")</f>
        <v>vencida</v>
      </c>
    </row>
    <row r="1606" spans="1:30" ht="19.5" customHeight="1" x14ac:dyDescent="0.25">
      <c r="A1606" s="8" t="s">
        <v>1850</v>
      </c>
      <c r="B1606" s="8" t="b">
        <v>0</v>
      </c>
      <c r="C1606" s="8">
        <v>30</v>
      </c>
      <c r="D1606" s="151">
        <v>12628497</v>
      </c>
      <c r="E1606" s="151"/>
      <c r="F1606" s="24" t="s">
        <v>149</v>
      </c>
      <c r="G1606" s="30"/>
      <c r="H1606" s="81" t="s">
        <v>451</v>
      </c>
      <c r="I1606" s="30">
        <v>45383</v>
      </c>
      <c r="J1606" s="16">
        <v>34477</v>
      </c>
      <c r="K1606" s="9" t="s">
        <v>1530</v>
      </c>
      <c r="L1606" s="9"/>
      <c r="M1606" s="152">
        <v>2560000</v>
      </c>
      <c r="N1606" s="153">
        <v>486400</v>
      </c>
      <c r="O1606" s="152">
        <v>0</v>
      </c>
      <c r="P1606" s="154">
        <v>2.5000000000000001E-2</v>
      </c>
      <c r="Q1606" s="152">
        <v>64000</v>
      </c>
      <c r="R1606" s="9">
        <v>2982400</v>
      </c>
      <c r="S1606" s="21" t="s">
        <v>1853</v>
      </c>
      <c r="T1606" s="117">
        <v>31</v>
      </c>
      <c r="U1606" s="117" t="s">
        <v>347</v>
      </c>
      <c r="V1606" s="117">
        <v>2024</v>
      </c>
      <c r="W1606" s="117">
        <v>7</v>
      </c>
      <c r="X1606" s="117">
        <v>1271000</v>
      </c>
      <c r="Y1606" s="117">
        <v>2.5000000000000001E-2</v>
      </c>
      <c r="Z1606" s="21" t="b">
        <v>0</v>
      </c>
      <c r="AA1606" s="162">
        <f>+$AD$5-Tabla2[[#This Row],[FECHA DE FACTURACIÓN]]</f>
        <v>60</v>
      </c>
      <c r="AB1606" s="163" t="str">
        <f>+IF(Tabla2[[#This Row],[dias de credito]]&gt;=Tabla2[[#This Row],[PLAZO Días]],"venc", "No venc")</f>
        <v>venc</v>
      </c>
      <c r="AC1606" s="163" t="str">
        <f>+IF(Tabla2[[#This Row],[FECHA DE PAGO]]&gt;0,"pagada","por pagar")</f>
        <v>por pagar</v>
      </c>
      <c r="AD1606" s="164" t="str">
        <f>+IF(AND(Tabla2[[#This Row],[venc]]="venc",Tabla2[[#This Row],[estado pago]]="por pagar"),"vencida","no")</f>
        <v>vencida</v>
      </c>
    </row>
    <row r="1607" spans="1:30" ht="19.5" customHeight="1" x14ac:dyDescent="0.25">
      <c r="A1607" s="8" t="s">
        <v>1850</v>
      </c>
      <c r="B1607" s="8" t="b">
        <v>0</v>
      </c>
      <c r="C1607" s="8">
        <v>30</v>
      </c>
      <c r="D1607" s="151">
        <v>12628497</v>
      </c>
      <c r="E1607" s="151"/>
      <c r="F1607" s="24" t="s">
        <v>149</v>
      </c>
      <c r="G1607" s="30"/>
      <c r="H1607" s="81" t="s">
        <v>451</v>
      </c>
      <c r="I1607" s="30">
        <v>45384</v>
      </c>
      <c r="J1607" s="16">
        <v>34237</v>
      </c>
      <c r="K1607" s="9" t="s">
        <v>1530</v>
      </c>
      <c r="L1607" s="9"/>
      <c r="M1607" s="152">
        <v>1080000</v>
      </c>
      <c r="N1607" s="153">
        <v>205200</v>
      </c>
      <c r="O1607" s="152">
        <v>0</v>
      </c>
      <c r="P1607" s="154">
        <v>0</v>
      </c>
      <c r="Q1607" s="152">
        <v>0</v>
      </c>
      <c r="R1607" s="9">
        <v>1285200</v>
      </c>
      <c r="S1607" s="21" t="s">
        <v>1853</v>
      </c>
      <c r="T1607" s="117">
        <v>30</v>
      </c>
      <c r="U1607" s="117" t="s">
        <v>347</v>
      </c>
      <c r="V1607" s="117">
        <v>2024</v>
      </c>
      <c r="W1607" s="117">
        <v>7</v>
      </c>
      <c r="X1607" s="117">
        <v>1271000</v>
      </c>
      <c r="Y1607" s="117">
        <v>2.5000000000000001E-2</v>
      </c>
      <c r="Z1607" s="21" t="b">
        <v>0</v>
      </c>
      <c r="AA1607" s="162">
        <f>+$AD$5-Tabla2[[#This Row],[FECHA DE FACTURACIÓN]]</f>
        <v>59</v>
      </c>
      <c r="AB1607" s="163" t="str">
        <f>+IF(Tabla2[[#This Row],[dias de credito]]&gt;=Tabla2[[#This Row],[PLAZO Días]],"venc", "No venc")</f>
        <v>venc</v>
      </c>
      <c r="AC1607" s="163" t="str">
        <f>+IF(Tabla2[[#This Row],[FECHA DE PAGO]]&gt;0,"pagada","por pagar")</f>
        <v>por pagar</v>
      </c>
      <c r="AD1607" s="164" t="str">
        <f>+IF(AND(Tabla2[[#This Row],[venc]]="venc",Tabla2[[#This Row],[estado pago]]="por pagar"),"vencida","no")</f>
        <v>vencida</v>
      </c>
    </row>
    <row r="1608" spans="1:30" ht="19.5" customHeight="1" x14ac:dyDescent="0.25">
      <c r="A1608" s="8" t="s">
        <v>1850</v>
      </c>
      <c r="B1608" s="8" t="b">
        <v>0</v>
      </c>
      <c r="C1608" s="8">
        <v>30</v>
      </c>
      <c r="D1608" s="151">
        <v>12628497</v>
      </c>
      <c r="E1608" s="151"/>
      <c r="F1608" s="24" t="s">
        <v>149</v>
      </c>
      <c r="G1608" s="30"/>
      <c r="H1608" s="81" t="s">
        <v>451</v>
      </c>
      <c r="I1608" s="30">
        <v>45411</v>
      </c>
      <c r="J1608" s="16">
        <v>34578</v>
      </c>
      <c r="K1608" s="9" t="s">
        <v>1530</v>
      </c>
      <c r="L1608" s="9"/>
      <c r="M1608" s="152">
        <v>4116710</v>
      </c>
      <c r="N1608" s="153">
        <v>722008</v>
      </c>
      <c r="O1608" s="152">
        <v>316670</v>
      </c>
      <c r="P1608" s="154">
        <v>2.5000000000000001E-2</v>
      </c>
      <c r="Q1608" s="152">
        <v>95001</v>
      </c>
      <c r="R1608" s="9">
        <v>4427047</v>
      </c>
      <c r="S1608" s="21" t="s">
        <v>1853</v>
      </c>
      <c r="T1608" s="117">
        <v>3</v>
      </c>
      <c r="U1608" s="117" t="s">
        <v>347</v>
      </c>
      <c r="V1608" s="117">
        <v>2024</v>
      </c>
      <c r="W1608" s="117">
        <v>7</v>
      </c>
      <c r="X1608" s="117">
        <v>1271000</v>
      </c>
      <c r="Y1608" s="117">
        <v>2.5000000000000001E-2</v>
      </c>
      <c r="Z1608" s="21" t="b">
        <v>0</v>
      </c>
      <c r="AA1608" s="162">
        <f>+$AD$5-Tabla2[[#This Row],[FECHA DE FACTURACIÓN]]</f>
        <v>32</v>
      </c>
      <c r="AB1608" s="163" t="str">
        <f>+IF(Tabla2[[#This Row],[dias de credito]]&gt;=Tabla2[[#This Row],[PLAZO Días]],"venc", "No venc")</f>
        <v>venc</v>
      </c>
      <c r="AC1608" s="163" t="str">
        <f>+IF(Tabla2[[#This Row],[FECHA DE PAGO]]&gt;0,"pagada","por pagar")</f>
        <v>por pagar</v>
      </c>
      <c r="AD1608" s="164" t="str">
        <f>+IF(AND(Tabla2[[#This Row],[venc]]="venc",Tabla2[[#This Row],[estado pago]]="por pagar"),"vencida","no")</f>
        <v>vencida</v>
      </c>
    </row>
    <row r="1609" spans="1:30" ht="19.5" hidden="1" customHeight="1" x14ac:dyDescent="0.25">
      <c r="A1609" s="8" t="s">
        <v>1850</v>
      </c>
      <c r="B1609" s="8" t="s">
        <v>1851</v>
      </c>
      <c r="C1609" s="8">
        <v>45</v>
      </c>
      <c r="D1609" s="151">
        <v>2446500</v>
      </c>
      <c r="E1609" s="151"/>
      <c r="F1609" s="24" t="s">
        <v>158</v>
      </c>
      <c r="G1609" s="30">
        <v>45432</v>
      </c>
      <c r="H1609" s="81" t="s">
        <v>10</v>
      </c>
      <c r="I1609" s="30">
        <v>45266</v>
      </c>
      <c r="J1609" s="16" t="s">
        <v>1759</v>
      </c>
      <c r="K1609" s="9"/>
      <c r="L1609" s="9" t="s">
        <v>1534</v>
      </c>
      <c r="M1609" s="152">
        <v>169600</v>
      </c>
      <c r="N1609" s="153">
        <v>0</v>
      </c>
      <c r="O1609" s="152">
        <v>0</v>
      </c>
      <c r="P1609" s="154">
        <v>0</v>
      </c>
      <c r="Q1609" s="152">
        <v>0</v>
      </c>
      <c r="R1609" s="9">
        <v>169600</v>
      </c>
      <c r="S1609" s="21" t="s">
        <v>1846</v>
      </c>
      <c r="T1609" s="117">
        <v>0</v>
      </c>
      <c r="U1609" s="117" t="s">
        <v>347</v>
      </c>
      <c r="V1609" s="117">
        <v>2023</v>
      </c>
      <c r="W1609" s="117">
        <v>6</v>
      </c>
      <c r="X1609" s="117">
        <v>1145000</v>
      </c>
      <c r="Y1609" s="117">
        <v>2.5000000000000001E-2</v>
      </c>
      <c r="Z1609" s="21" t="b">
        <v>0</v>
      </c>
      <c r="AA1609" s="162">
        <f>+$AD$5-Tabla2[[#This Row],[FECHA DE FACTURACIÓN]]</f>
        <v>177</v>
      </c>
      <c r="AB1609" s="163" t="str">
        <f>+IF(Tabla2[[#This Row],[dias de credito]]&gt;=Tabla2[[#This Row],[PLAZO Días]],"venc", "No venc")</f>
        <v>venc</v>
      </c>
      <c r="AC1609" s="163" t="str">
        <f>+IF(Tabla2[[#This Row],[FECHA DE PAGO]]&gt;0,"pagada","por pagar")</f>
        <v>pagada</v>
      </c>
      <c r="AD1609" s="164" t="str">
        <f>+IF(AND(Tabla2[[#This Row],[venc]]="venc",Tabla2[[#This Row],[estado pago]]="por pagar"),"vencida","no")</f>
        <v>no</v>
      </c>
    </row>
    <row r="1610" spans="1:30" ht="19.5" customHeight="1" x14ac:dyDescent="0.25">
      <c r="A1610" s="8" t="s">
        <v>1850</v>
      </c>
      <c r="B1610" s="8" t="s">
        <v>1851</v>
      </c>
      <c r="C1610" s="8">
        <v>45</v>
      </c>
      <c r="D1610" s="151">
        <v>2446500</v>
      </c>
      <c r="E1610" s="151"/>
      <c r="F1610" s="24" t="s">
        <v>158</v>
      </c>
      <c r="G1610" s="30">
        <v>45432</v>
      </c>
      <c r="H1610" s="81" t="s">
        <v>10</v>
      </c>
      <c r="I1610" s="30">
        <v>45372</v>
      </c>
      <c r="J1610" s="16" t="s">
        <v>1679</v>
      </c>
      <c r="K1610" s="9" t="s">
        <v>504</v>
      </c>
      <c r="L1610" s="9" t="s">
        <v>1534</v>
      </c>
      <c r="M1610" s="152">
        <v>2000000</v>
      </c>
      <c r="N1610" s="153">
        <v>380000</v>
      </c>
      <c r="O1610" s="152">
        <v>0</v>
      </c>
      <c r="P1610" s="154">
        <v>2.5000000000000001E-2</v>
      </c>
      <c r="Q1610" s="152">
        <v>50000</v>
      </c>
      <c r="R1610" s="9">
        <v>2330000</v>
      </c>
      <c r="S1610" s="21" t="s">
        <v>1846</v>
      </c>
      <c r="T1610" s="117">
        <v>0</v>
      </c>
      <c r="U1610" s="117" t="s">
        <v>347</v>
      </c>
      <c r="V1610" s="117">
        <v>2024</v>
      </c>
      <c r="W1610" s="117">
        <v>7</v>
      </c>
      <c r="X1610" s="117">
        <v>1271000</v>
      </c>
      <c r="Y1610" s="117">
        <v>2.5000000000000001E-2</v>
      </c>
      <c r="Z1610" s="21" t="b">
        <v>0</v>
      </c>
      <c r="AA1610" s="162">
        <f>+$AD$5-Tabla2[[#This Row],[FECHA DE FACTURACIÓN]]</f>
        <v>71</v>
      </c>
      <c r="AB1610" s="163" t="str">
        <f>+IF(Tabla2[[#This Row],[dias de credito]]&gt;=Tabla2[[#This Row],[PLAZO Días]],"venc", "No venc")</f>
        <v>venc</v>
      </c>
      <c r="AC1610" s="163" t="str">
        <f>+IF(Tabla2[[#This Row],[FECHA DE PAGO]]&gt;0,"pagada","por pagar")</f>
        <v>pagada</v>
      </c>
      <c r="AD1610" s="164" t="str">
        <f>+IF(AND(Tabla2[[#This Row],[venc]]="venc",Tabla2[[#This Row],[estado pago]]="por pagar"),"vencida","no")</f>
        <v>no</v>
      </c>
    </row>
    <row r="1611" spans="1:30" ht="19.5" customHeight="1" x14ac:dyDescent="0.25">
      <c r="A1611" s="8" t="s">
        <v>1850</v>
      </c>
      <c r="B1611" s="8" t="b">
        <v>0</v>
      </c>
      <c r="C1611" s="8">
        <v>45</v>
      </c>
      <c r="D1611" s="151">
        <v>2446500</v>
      </c>
      <c r="E1611" s="151"/>
      <c r="F1611" s="24" t="s">
        <v>158</v>
      </c>
      <c r="G1611" s="30">
        <v>45432</v>
      </c>
      <c r="H1611" s="81" t="s">
        <v>10</v>
      </c>
      <c r="I1611" s="30">
        <v>45397</v>
      </c>
      <c r="J1611" s="16" t="s">
        <v>1737</v>
      </c>
      <c r="K1611" s="9" t="s">
        <v>1530</v>
      </c>
      <c r="L1611" s="9" t="s">
        <v>1534</v>
      </c>
      <c r="M1611" s="152">
        <v>808000</v>
      </c>
      <c r="N1611" s="153">
        <v>153520</v>
      </c>
      <c r="O1611" s="152">
        <v>0</v>
      </c>
      <c r="P1611" s="154">
        <v>0</v>
      </c>
      <c r="Q1611" s="152">
        <v>0</v>
      </c>
      <c r="R1611" s="9">
        <v>961520</v>
      </c>
      <c r="S1611" s="21" t="s">
        <v>1846</v>
      </c>
      <c r="T1611" s="117">
        <v>0</v>
      </c>
      <c r="U1611" s="117" t="s">
        <v>347</v>
      </c>
      <c r="V1611" s="117">
        <v>2024</v>
      </c>
      <c r="W1611" s="117">
        <v>7</v>
      </c>
      <c r="X1611" s="117">
        <v>1271000</v>
      </c>
      <c r="Y1611" s="117">
        <v>2.5000000000000001E-2</v>
      </c>
      <c r="Z1611" s="21" t="b">
        <v>0</v>
      </c>
      <c r="AA1611" s="162">
        <f>+$AD$5-Tabla2[[#This Row],[FECHA DE FACTURACIÓN]]</f>
        <v>46</v>
      </c>
      <c r="AB1611" s="163" t="str">
        <f>+IF(Tabla2[[#This Row],[dias de credito]]&gt;=Tabla2[[#This Row],[PLAZO Días]],"venc", "No venc")</f>
        <v>venc</v>
      </c>
      <c r="AC1611" s="163" t="str">
        <f>+IF(Tabla2[[#This Row],[FECHA DE PAGO]]&gt;0,"pagada","por pagar")</f>
        <v>pagada</v>
      </c>
      <c r="AD1611" s="164" t="str">
        <f>+IF(AND(Tabla2[[#This Row],[venc]]="venc",Tabla2[[#This Row],[estado pago]]="por pagar"),"vencida","no")</f>
        <v>no</v>
      </c>
    </row>
    <row r="1612" spans="1:30" ht="19.5" customHeight="1" x14ac:dyDescent="0.25">
      <c r="A1612" s="8" t="s">
        <v>1850</v>
      </c>
      <c r="B1612" s="8" t="b">
        <v>0</v>
      </c>
      <c r="C1612" s="8">
        <v>45</v>
      </c>
      <c r="D1612" s="151">
        <v>22186260.039999999</v>
      </c>
      <c r="E1612" s="151"/>
      <c r="F1612" s="24" t="s">
        <v>357</v>
      </c>
      <c r="G1612" s="30"/>
      <c r="H1612" s="81" t="s">
        <v>19</v>
      </c>
      <c r="I1612" s="30">
        <v>45405</v>
      </c>
      <c r="J1612" s="16" t="s">
        <v>1776</v>
      </c>
      <c r="K1612" s="9" t="s">
        <v>504</v>
      </c>
      <c r="L1612" s="9"/>
      <c r="M1612" s="152">
        <v>7337100</v>
      </c>
      <c r="N1612" s="153">
        <v>1394049</v>
      </c>
      <c r="O1612" s="152">
        <v>0</v>
      </c>
      <c r="P1612" s="154">
        <v>0</v>
      </c>
      <c r="Q1612" s="152">
        <v>0</v>
      </c>
      <c r="R1612" s="9">
        <v>8731149</v>
      </c>
      <c r="S1612" s="21" t="s">
        <v>1854</v>
      </c>
      <c r="T1612" s="117">
        <v>-6</v>
      </c>
      <c r="U1612" s="117">
        <v>0</v>
      </c>
      <c r="V1612" s="117">
        <v>2024</v>
      </c>
      <c r="W1612" s="117">
        <v>7</v>
      </c>
      <c r="X1612" s="117">
        <v>0</v>
      </c>
      <c r="Y1612" s="117">
        <v>0</v>
      </c>
      <c r="Z1612" s="21" t="b">
        <v>0</v>
      </c>
      <c r="AA1612" s="162">
        <f>+$AD$5-Tabla2[[#This Row],[FECHA DE FACTURACIÓN]]</f>
        <v>38</v>
      </c>
      <c r="AB1612" s="163" t="str">
        <f>+IF(Tabla2[[#This Row],[dias de credito]]&gt;=Tabla2[[#This Row],[PLAZO Días]],"venc", "No venc")</f>
        <v>No venc</v>
      </c>
      <c r="AC1612" s="163" t="str">
        <f>+IF(Tabla2[[#This Row],[FECHA DE PAGO]]&gt;0,"pagada","por pagar")</f>
        <v>por pagar</v>
      </c>
      <c r="AD1612" s="164" t="str">
        <f>+IF(AND(Tabla2[[#This Row],[venc]]="venc",Tabla2[[#This Row],[estado pago]]="por pagar"),"vencida","no")</f>
        <v>no</v>
      </c>
    </row>
    <row r="1613" spans="1:30" ht="19.5" customHeight="1" x14ac:dyDescent="0.25">
      <c r="A1613" s="8" t="s">
        <v>1850</v>
      </c>
      <c r="B1613" s="8" t="b">
        <v>0</v>
      </c>
      <c r="C1613" s="8">
        <v>60</v>
      </c>
      <c r="D1613" s="151">
        <v>1730482</v>
      </c>
      <c r="E1613" s="151"/>
      <c r="F1613" s="24" t="s">
        <v>603</v>
      </c>
      <c r="G1613" s="30">
        <v>45435</v>
      </c>
      <c r="H1613" s="81" t="s">
        <v>222</v>
      </c>
      <c r="I1613" s="30">
        <v>45427</v>
      </c>
      <c r="J1613" s="16">
        <v>2029</v>
      </c>
      <c r="K1613" s="9" t="s">
        <v>504</v>
      </c>
      <c r="L1613" s="9" t="s">
        <v>1534</v>
      </c>
      <c r="M1613" s="152">
        <v>307990.40000000002</v>
      </c>
      <c r="N1613" s="153">
        <v>0</v>
      </c>
      <c r="O1613" s="152">
        <v>0</v>
      </c>
      <c r="P1613" s="154">
        <v>0</v>
      </c>
      <c r="Q1613" s="152">
        <v>0</v>
      </c>
      <c r="R1613" s="9">
        <v>307990.40000000002</v>
      </c>
      <c r="S1613" s="21" t="s">
        <v>1846</v>
      </c>
      <c r="T1613" s="117">
        <v>0</v>
      </c>
      <c r="U1613" s="117">
        <v>0</v>
      </c>
      <c r="V1613" s="117">
        <v>2024</v>
      </c>
      <c r="W1613" s="117">
        <v>7</v>
      </c>
      <c r="X1613" s="117">
        <v>0</v>
      </c>
      <c r="Y1613" s="117">
        <v>0</v>
      </c>
      <c r="Z1613" s="21" t="b">
        <v>0</v>
      </c>
      <c r="AA1613" s="162">
        <f>+$AD$5-Tabla2[[#This Row],[FECHA DE FACTURACIÓN]]</f>
        <v>16</v>
      </c>
      <c r="AB1613" s="163" t="str">
        <f>+IF(Tabla2[[#This Row],[dias de credito]]&gt;=Tabla2[[#This Row],[PLAZO Días]],"venc", "No venc")</f>
        <v>No venc</v>
      </c>
      <c r="AC1613" s="163" t="str">
        <f>+IF(Tabla2[[#This Row],[FECHA DE PAGO]]&gt;0,"pagada","por pagar")</f>
        <v>pagada</v>
      </c>
      <c r="AD1613" s="164" t="str">
        <f>+IF(AND(Tabla2[[#This Row],[venc]]="venc",Tabla2[[#This Row],[estado pago]]="por pagar"),"vencida","no")</f>
        <v>no</v>
      </c>
    </row>
    <row r="1614" spans="1:30" ht="19.5" customHeight="1" x14ac:dyDescent="0.25">
      <c r="A1614" s="8" t="s">
        <v>1850</v>
      </c>
      <c r="B1614" s="8" t="b">
        <v>0</v>
      </c>
      <c r="C1614" s="8">
        <v>45</v>
      </c>
      <c r="D1614" s="151">
        <v>22186260.039999999</v>
      </c>
      <c r="E1614" s="151"/>
      <c r="F1614" s="24" t="s">
        <v>357</v>
      </c>
      <c r="G1614" s="30"/>
      <c r="H1614" s="81" t="s">
        <v>19</v>
      </c>
      <c r="I1614" s="30">
        <v>45412</v>
      </c>
      <c r="J1614" s="16" t="s">
        <v>1789</v>
      </c>
      <c r="K1614" s="9" t="s">
        <v>504</v>
      </c>
      <c r="L1614" s="9"/>
      <c r="M1614" s="152">
        <v>6003200</v>
      </c>
      <c r="N1614" s="153">
        <v>1140608</v>
      </c>
      <c r="O1614" s="152">
        <v>0</v>
      </c>
      <c r="P1614" s="154">
        <v>0</v>
      </c>
      <c r="Q1614" s="152">
        <v>0</v>
      </c>
      <c r="R1614" s="9">
        <v>7143808</v>
      </c>
      <c r="S1614" s="21" t="s">
        <v>1854</v>
      </c>
      <c r="T1614" s="117">
        <v>-13</v>
      </c>
      <c r="U1614" s="117">
        <v>0</v>
      </c>
      <c r="V1614" s="117">
        <v>2024</v>
      </c>
      <c r="W1614" s="117">
        <v>7</v>
      </c>
      <c r="X1614" s="117">
        <v>0</v>
      </c>
      <c r="Y1614" s="117">
        <v>0</v>
      </c>
      <c r="Z1614" s="21" t="b">
        <v>0</v>
      </c>
      <c r="AA1614" s="162">
        <f>+$AD$5-Tabla2[[#This Row],[FECHA DE FACTURACIÓN]]</f>
        <v>31</v>
      </c>
      <c r="AB1614" s="163" t="str">
        <f>+IF(Tabla2[[#This Row],[dias de credito]]&gt;=Tabla2[[#This Row],[PLAZO Días]],"venc", "No venc")</f>
        <v>No venc</v>
      </c>
      <c r="AC1614" s="163" t="str">
        <f>+IF(Tabla2[[#This Row],[FECHA DE PAGO]]&gt;0,"pagada","por pagar")</f>
        <v>por pagar</v>
      </c>
      <c r="AD1614" s="164" t="str">
        <f>+IF(AND(Tabla2[[#This Row],[venc]]="venc",Tabla2[[#This Row],[estado pago]]="por pagar"),"vencida","no")</f>
        <v>no</v>
      </c>
    </row>
    <row r="1615" spans="1:30" ht="19.5" customHeight="1" x14ac:dyDescent="0.25">
      <c r="A1615" s="8" t="s">
        <v>1850</v>
      </c>
      <c r="B1615" s="8" t="b">
        <v>0</v>
      </c>
      <c r="C1615" s="8">
        <v>30</v>
      </c>
      <c r="D1615" s="151">
        <v>1695707.16</v>
      </c>
      <c r="E1615" s="151"/>
      <c r="F1615" s="24" t="s">
        <v>217</v>
      </c>
      <c r="G1615" s="30"/>
      <c r="H1615" s="81" t="s">
        <v>194</v>
      </c>
      <c r="I1615" s="30">
        <v>45407</v>
      </c>
      <c r="J1615" s="16" t="s">
        <v>1778</v>
      </c>
      <c r="K1615" s="9" t="s">
        <v>504</v>
      </c>
      <c r="L1615" s="9"/>
      <c r="M1615" s="152">
        <v>719484</v>
      </c>
      <c r="N1615" s="153">
        <v>136701.96</v>
      </c>
      <c r="O1615" s="152">
        <v>0</v>
      </c>
      <c r="P1615" s="154">
        <v>0</v>
      </c>
      <c r="Q1615" s="152">
        <v>0</v>
      </c>
      <c r="R1615" s="9">
        <v>856185.96</v>
      </c>
      <c r="S1615" s="21" t="s">
        <v>1853</v>
      </c>
      <c r="T1615" s="117">
        <v>7</v>
      </c>
      <c r="U1615" s="117">
        <v>0</v>
      </c>
      <c r="V1615" s="117">
        <v>2024</v>
      </c>
      <c r="W1615" s="117">
        <v>7</v>
      </c>
      <c r="X1615" s="117">
        <v>0</v>
      </c>
      <c r="Y1615" s="117">
        <v>0</v>
      </c>
      <c r="Z1615" s="21" t="b">
        <v>0</v>
      </c>
      <c r="AA1615" s="162">
        <f>+$AD$5-Tabla2[[#This Row],[FECHA DE FACTURACIÓN]]</f>
        <v>36</v>
      </c>
      <c r="AB1615" s="163" t="str">
        <f>+IF(Tabla2[[#This Row],[dias de credito]]&gt;=Tabla2[[#This Row],[PLAZO Días]],"venc", "No venc")</f>
        <v>venc</v>
      </c>
      <c r="AC1615" s="163" t="str">
        <f>+IF(Tabla2[[#This Row],[FECHA DE PAGO]]&gt;0,"pagada","por pagar")</f>
        <v>por pagar</v>
      </c>
      <c r="AD1615" s="164" t="str">
        <f>+IF(AND(Tabla2[[#This Row],[venc]]="venc",Tabla2[[#This Row],[estado pago]]="por pagar"),"vencida","no")</f>
        <v>vencida</v>
      </c>
    </row>
    <row r="1616" spans="1:30" ht="19.5" customHeight="1" x14ac:dyDescent="0.25">
      <c r="A1616" s="8" t="s">
        <v>1850</v>
      </c>
      <c r="B1616" s="8" t="b">
        <v>0</v>
      </c>
      <c r="C1616" s="8">
        <v>30</v>
      </c>
      <c r="D1616" s="151">
        <v>9349257.8100000005</v>
      </c>
      <c r="E1616" s="151"/>
      <c r="F1616" s="24" t="s">
        <v>277</v>
      </c>
      <c r="G1616" s="30"/>
      <c r="H1616" s="81" t="s">
        <v>226</v>
      </c>
      <c r="I1616" s="30">
        <v>45385</v>
      </c>
      <c r="J1616" s="16" t="s">
        <v>1720</v>
      </c>
      <c r="K1616" s="9" t="s">
        <v>1530</v>
      </c>
      <c r="L1616" s="9"/>
      <c r="M1616" s="152">
        <v>8025114</v>
      </c>
      <c r="N1616" s="153">
        <v>1524771.66</v>
      </c>
      <c r="O1616" s="152">
        <v>0</v>
      </c>
      <c r="P1616" s="154">
        <v>2.5000000000000001E-2</v>
      </c>
      <c r="Q1616" s="152">
        <v>200627.85</v>
      </c>
      <c r="R1616" s="9">
        <v>9349257.8100000005</v>
      </c>
      <c r="S1616" s="21" t="s">
        <v>1853</v>
      </c>
      <c r="T1616" s="117">
        <v>29</v>
      </c>
      <c r="U1616" s="117" t="s">
        <v>347</v>
      </c>
      <c r="V1616" s="117">
        <v>2024</v>
      </c>
      <c r="W1616" s="117">
        <v>7</v>
      </c>
      <c r="X1616" s="117">
        <v>1271000</v>
      </c>
      <c r="Y1616" s="117">
        <v>2.5000000000000001E-2</v>
      </c>
      <c r="Z1616" s="21" t="b">
        <v>0</v>
      </c>
      <c r="AA1616" s="162">
        <f>+$AD$5-Tabla2[[#This Row],[FECHA DE FACTURACIÓN]]</f>
        <v>58</v>
      </c>
      <c r="AB1616" s="163" t="str">
        <f>+IF(Tabla2[[#This Row],[dias de credito]]&gt;=Tabla2[[#This Row],[PLAZO Días]],"venc", "No venc")</f>
        <v>venc</v>
      </c>
      <c r="AC1616" s="163" t="str">
        <f>+IF(Tabla2[[#This Row],[FECHA DE PAGO]]&gt;0,"pagada","por pagar")</f>
        <v>por pagar</v>
      </c>
      <c r="AD1616" s="164" t="str">
        <f>+IF(AND(Tabla2[[#This Row],[venc]]="venc",Tabla2[[#This Row],[estado pago]]="por pagar"),"vencida","no")</f>
        <v>vencida</v>
      </c>
    </row>
    <row r="1617" spans="1:30" ht="19.5" customHeight="1" x14ac:dyDescent="0.25">
      <c r="A1617" s="8" t="s">
        <v>1850</v>
      </c>
      <c r="B1617" s="8" t="b">
        <v>0</v>
      </c>
      <c r="C1617" s="8">
        <v>10</v>
      </c>
      <c r="D1617" s="151">
        <v>-3510</v>
      </c>
      <c r="E1617" s="151"/>
      <c r="F1617" s="24" t="s">
        <v>1540</v>
      </c>
      <c r="G1617" s="30"/>
      <c r="H1617" s="81" t="s">
        <v>1452</v>
      </c>
      <c r="I1617" s="30">
        <v>45432</v>
      </c>
      <c r="J1617" s="16" t="s">
        <v>1906</v>
      </c>
      <c r="K1617" s="9" t="s">
        <v>1530</v>
      </c>
      <c r="L1617" s="9"/>
      <c r="M1617" s="152">
        <v>-3510</v>
      </c>
      <c r="N1617" s="153"/>
      <c r="O1617" s="152">
        <v>0</v>
      </c>
      <c r="P1617" s="154">
        <v>0</v>
      </c>
      <c r="Q1617" s="152">
        <v>0</v>
      </c>
      <c r="R1617" s="9">
        <v>-3510</v>
      </c>
      <c r="S1617" s="21" t="s">
        <v>1853</v>
      </c>
      <c r="T1617" s="117">
        <v>2</v>
      </c>
      <c r="U1617" s="117" t="s">
        <v>348</v>
      </c>
      <c r="V1617" s="117">
        <v>2024</v>
      </c>
      <c r="W1617" s="117">
        <v>7</v>
      </c>
      <c r="X1617" s="117">
        <v>0</v>
      </c>
      <c r="Y1617" s="117">
        <v>3.5000000000000003E-2</v>
      </c>
      <c r="Z1617" s="21" t="b">
        <v>1</v>
      </c>
      <c r="AA1617" s="162">
        <f>+$AD$5-Tabla2[[#This Row],[FECHA DE FACTURACIÓN]]</f>
        <v>11</v>
      </c>
      <c r="AB1617" s="163" t="str">
        <f>+IF(Tabla2[[#This Row],[dias de credito]]&gt;=Tabla2[[#This Row],[PLAZO Días]],"venc", "No venc")</f>
        <v>venc</v>
      </c>
      <c r="AC1617" s="163" t="str">
        <f>+IF(Tabla2[[#This Row],[FECHA DE PAGO]]&gt;0,"pagada","por pagar")</f>
        <v>por pagar</v>
      </c>
      <c r="AD1617" s="164" t="str">
        <f>+IF(AND(Tabla2[[#This Row],[venc]]="venc",Tabla2[[#This Row],[estado pago]]="por pagar"),"vencida","no")</f>
        <v>vencida</v>
      </c>
    </row>
    <row r="1618" spans="1:30" ht="19.5" customHeight="1" x14ac:dyDescent="0.25">
      <c r="A1618" s="8" t="s">
        <v>1852</v>
      </c>
      <c r="B1618" s="8" t="b">
        <v>0</v>
      </c>
      <c r="C1618" s="8">
        <v>30</v>
      </c>
      <c r="D1618" s="151">
        <v>0</v>
      </c>
      <c r="E1618" s="151"/>
      <c r="F1618" s="24" t="s">
        <v>84</v>
      </c>
      <c r="G1618" s="30">
        <v>45427</v>
      </c>
      <c r="H1618" s="81" t="s">
        <v>1824</v>
      </c>
      <c r="I1618" s="30">
        <v>45427</v>
      </c>
      <c r="J1618" s="16" t="s">
        <v>1893</v>
      </c>
      <c r="K1618" s="9" t="s">
        <v>1530</v>
      </c>
      <c r="L1618" s="9" t="s">
        <v>1395</v>
      </c>
      <c r="M1618" s="152">
        <v>1300000</v>
      </c>
      <c r="N1618" s="153">
        <v>0</v>
      </c>
      <c r="O1618" s="152">
        <v>0</v>
      </c>
      <c r="P1618" s="154">
        <v>0</v>
      </c>
      <c r="Q1618" s="152">
        <v>0</v>
      </c>
      <c r="R1618" s="9">
        <v>1300000</v>
      </c>
      <c r="S1618" s="21" t="s">
        <v>1846</v>
      </c>
      <c r="T1618" s="117">
        <v>0</v>
      </c>
      <c r="U1618" s="117">
        <v>0</v>
      </c>
      <c r="V1618" s="117">
        <v>2024</v>
      </c>
      <c r="W1618" s="117">
        <v>7</v>
      </c>
      <c r="X1618" s="117">
        <v>0</v>
      </c>
      <c r="Y1618" s="117">
        <v>0</v>
      </c>
      <c r="Z1618" s="21" t="b">
        <v>0</v>
      </c>
      <c r="AA1618" s="162">
        <f>+$AD$5-Tabla2[[#This Row],[FECHA DE FACTURACIÓN]]</f>
        <v>16</v>
      </c>
      <c r="AB1618" s="163" t="str">
        <f>+IF(Tabla2[[#This Row],[dias de credito]]&gt;=Tabla2[[#This Row],[PLAZO Días]],"venc", "No venc")</f>
        <v>No venc</v>
      </c>
      <c r="AC1618" s="163" t="str">
        <f>+IF(Tabla2[[#This Row],[FECHA DE PAGO]]&gt;0,"pagada","por pagar")</f>
        <v>pagada</v>
      </c>
      <c r="AD1618" s="164" t="str">
        <f>+IF(AND(Tabla2[[#This Row],[venc]]="venc",Tabla2[[#This Row],[estado pago]]="por pagar"),"vencida","no")</f>
        <v>no</v>
      </c>
    </row>
    <row r="1619" spans="1:30" ht="19.5" customHeight="1" x14ac:dyDescent="0.25">
      <c r="A1619" s="8" t="s">
        <v>1850</v>
      </c>
      <c r="B1619" s="8" t="b">
        <v>0</v>
      </c>
      <c r="C1619" s="8">
        <v>30</v>
      </c>
      <c r="D1619" s="151">
        <v>1460000.29</v>
      </c>
      <c r="E1619" s="151"/>
      <c r="F1619" s="24" t="s">
        <v>139</v>
      </c>
      <c r="G1619" s="30"/>
      <c r="H1619" s="81" t="s">
        <v>131</v>
      </c>
      <c r="I1619" s="30">
        <v>45404</v>
      </c>
      <c r="J1619" s="16" t="s">
        <v>1772</v>
      </c>
      <c r="K1619" s="9" t="s">
        <v>1530</v>
      </c>
      <c r="L1619" s="9"/>
      <c r="M1619" s="152">
        <v>1226891</v>
      </c>
      <c r="N1619" s="153">
        <v>233109.29</v>
      </c>
      <c r="O1619" s="152">
        <v>0</v>
      </c>
      <c r="P1619" s="154">
        <v>0</v>
      </c>
      <c r="Q1619" s="152">
        <v>0</v>
      </c>
      <c r="R1619" s="9">
        <v>1460000.29</v>
      </c>
      <c r="S1619" s="21" t="s">
        <v>1853</v>
      </c>
      <c r="T1619" s="117">
        <v>10</v>
      </c>
      <c r="U1619" s="117" t="s">
        <v>347</v>
      </c>
      <c r="V1619" s="117">
        <v>2024</v>
      </c>
      <c r="W1619" s="117">
        <v>7</v>
      </c>
      <c r="X1619" s="117">
        <v>1271000</v>
      </c>
      <c r="Y1619" s="117">
        <v>2.5000000000000001E-2</v>
      </c>
      <c r="Z1619" s="21" t="b">
        <v>0</v>
      </c>
      <c r="AA1619" s="162">
        <f>+$AD$5-Tabla2[[#This Row],[FECHA DE FACTURACIÓN]]</f>
        <v>39</v>
      </c>
      <c r="AB1619" s="163" t="str">
        <f>+IF(Tabla2[[#This Row],[dias de credito]]&gt;=Tabla2[[#This Row],[PLAZO Días]],"venc", "No venc")</f>
        <v>venc</v>
      </c>
      <c r="AC1619" s="163" t="str">
        <f>+IF(Tabla2[[#This Row],[FECHA DE PAGO]]&gt;0,"pagada","por pagar")</f>
        <v>por pagar</v>
      </c>
      <c r="AD1619" s="164" t="str">
        <f>+IF(AND(Tabla2[[#This Row],[venc]]="venc",Tabla2[[#This Row],[estado pago]]="por pagar"),"vencida","no")</f>
        <v>vencida</v>
      </c>
    </row>
    <row r="1620" spans="1:30" ht="19.5" customHeight="1" x14ac:dyDescent="0.25">
      <c r="A1620" s="8" t="s">
        <v>1850</v>
      </c>
      <c r="B1620" s="8" t="b">
        <v>0</v>
      </c>
      <c r="C1620" s="8">
        <v>60</v>
      </c>
      <c r="D1620" s="151">
        <v>1730482</v>
      </c>
      <c r="E1620" s="151"/>
      <c r="F1620" s="24" t="s">
        <v>603</v>
      </c>
      <c r="G1620" s="30"/>
      <c r="H1620" s="81" t="s">
        <v>222</v>
      </c>
      <c r="I1620" s="30">
        <v>45427</v>
      </c>
      <c r="J1620" s="16">
        <v>2035</v>
      </c>
      <c r="K1620" s="9" t="s">
        <v>504</v>
      </c>
      <c r="L1620" s="9"/>
      <c r="M1620" s="152">
        <v>643188</v>
      </c>
      <c r="N1620" s="153">
        <v>0</v>
      </c>
      <c r="O1620" s="152">
        <v>0</v>
      </c>
      <c r="P1620" s="154">
        <v>0</v>
      </c>
      <c r="Q1620" s="152">
        <v>0</v>
      </c>
      <c r="R1620" s="9">
        <v>643188</v>
      </c>
      <c r="S1620" s="21" t="s">
        <v>1854</v>
      </c>
      <c r="T1620" s="117">
        <v>-43</v>
      </c>
      <c r="U1620" s="117">
        <v>0</v>
      </c>
      <c r="V1620" s="117">
        <v>2024</v>
      </c>
      <c r="W1620" s="117">
        <v>7</v>
      </c>
      <c r="X1620" s="117">
        <v>0</v>
      </c>
      <c r="Y1620" s="117">
        <v>0</v>
      </c>
      <c r="Z1620" s="21" t="b">
        <v>0</v>
      </c>
      <c r="AA1620" s="162">
        <f>+$AD$5-Tabla2[[#This Row],[FECHA DE FACTURACIÓN]]</f>
        <v>16</v>
      </c>
      <c r="AB1620" s="163" t="str">
        <f>+IF(Tabla2[[#This Row],[dias de credito]]&gt;=Tabla2[[#This Row],[PLAZO Días]],"venc", "No venc")</f>
        <v>No venc</v>
      </c>
      <c r="AC1620" s="163" t="str">
        <f>+IF(Tabla2[[#This Row],[FECHA DE PAGO]]&gt;0,"pagada","por pagar")</f>
        <v>por pagar</v>
      </c>
      <c r="AD1620" s="164" t="str">
        <f>+IF(AND(Tabla2[[#This Row],[venc]]="venc",Tabla2[[#This Row],[estado pago]]="por pagar"),"vencida","no")</f>
        <v>no</v>
      </c>
    </row>
    <row r="1621" spans="1:30" ht="19.5" customHeight="1" x14ac:dyDescent="0.25">
      <c r="A1621" s="8" t="s">
        <v>1850</v>
      </c>
      <c r="B1621" s="8" t="b">
        <v>0</v>
      </c>
      <c r="C1621" s="8">
        <v>30</v>
      </c>
      <c r="D1621" s="151">
        <v>0</v>
      </c>
      <c r="E1621" s="151"/>
      <c r="F1621" s="24">
        <v>0</v>
      </c>
      <c r="G1621" s="30">
        <v>45415</v>
      </c>
      <c r="H1621" s="81" t="s">
        <v>836</v>
      </c>
      <c r="I1621" s="30">
        <v>45412</v>
      </c>
      <c r="J1621" s="16" t="s">
        <v>1895</v>
      </c>
      <c r="K1621" s="9" t="s">
        <v>504</v>
      </c>
      <c r="L1621" s="9" t="s">
        <v>1395</v>
      </c>
      <c r="M1621" s="152">
        <v>521000</v>
      </c>
      <c r="N1621" s="153">
        <v>0</v>
      </c>
      <c r="O1621" s="152">
        <v>0</v>
      </c>
      <c r="P1621" s="154">
        <v>0</v>
      </c>
      <c r="Q1621" s="152">
        <v>0</v>
      </c>
      <c r="R1621" s="9">
        <v>521000</v>
      </c>
      <c r="S1621" s="21" t="s">
        <v>1846</v>
      </c>
      <c r="T1621" s="117">
        <v>0</v>
      </c>
      <c r="U1621" s="117">
        <v>0</v>
      </c>
      <c r="V1621" s="117">
        <v>2024</v>
      </c>
      <c r="W1621" s="117">
        <v>7</v>
      </c>
      <c r="X1621" s="117">
        <v>0</v>
      </c>
      <c r="Y1621" s="117">
        <v>0</v>
      </c>
      <c r="Z1621" s="21" t="b">
        <v>0</v>
      </c>
      <c r="AA1621" s="162">
        <f>+$AD$5-Tabla2[[#This Row],[FECHA DE FACTURACIÓN]]</f>
        <v>31</v>
      </c>
      <c r="AB1621" s="163" t="str">
        <f>+IF(Tabla2[[#This Row],[dias de credito]]&gt;=Tabla2[[#This Row],[PLAZO Días]],"venc", "No venc")</f>
        <v>venc</v>
      </c>
      <c r="AC1621" s="163" t="str">
        <f>+IF(Tabla2[[#This Row],[FECHA DE PAGO]]&gt;0,"pagada","por pagar")</f>
        <v>pagada</v>
      </c>
      <c r="AD1621" s="164" t="str">
        <f>+IF(AND(Tabla2[[#This Row],[venc]]="venc",Tabla2[[#This Row],[estado pago]]="por pagar"),"vencida","no")</f>
        <v>no</v>
      </c>
    </row>
    <row r="1622" spans="1:30" ht="19.5" customHeight="1" x14ac:dyDescent="0.25">
      <c r="A1622" s="8" t="s">
        <v>1850</v>
      </c>
      <c r="B1622" s="8" t="s">
        <v>1851</v>
      </c>
      <c r="C1622" s="8">
        <v>0</v>
      </c>
      <c r="D1622" s="151">
        <v>0</v>
      </c>
      <c r="E1622" s="151"/>
      <c r="F1622" s="24">
        <v>0</v>
      </c>
      <c r="G1622" s="30">
        <v>45415</v>
      </c>
      <c r="H1622" s="81" t="s">
        <v>456</v>
      </c>
      <c r="I1622" s="30">
        <v>45384</v>
      </c>
      <c r="J1622" s="16" t="s">
        <v>1293</v>
      </c>
      <c r="K1622" s="9" t="s">
        <v>1530</v>
      </c>
      <c r="L1622" s="9" t="s">
        <v>1395</v>
      </c>
      <c r="M1622" s="152">
        <v>175000</v>
      </c>
      <c r="N1622" s="153">
        <v>0</v>
      </c>
      <c r="O1622" s="152">
        <v>0</v>
      </c>
      <c r="P1622" s="154">
        <v>0</v>
      </c>
      <c r="Q1622" s="152">
        <v>0</v>
      </c>
      <c r="R1622" s="9">
        <v>175000</v>
      </c>
      <c r="S1622" s="21" t="s">
        <v>1846</v>
      </c>
      <c r="T1622" s="117">
        <v>0</v>
      </c>
      <c r="U1622" s="117">
        <v>0</v>
      </c>
      <c r="V1622" s="117">
        <v>2024</v>
      </c>
      <c r="W1622" s="117">
        <v>7</v>
      </c>
      <c r="X1622" s="117">
        <v>0</v>
      </c>
      <c r="Y1622" s="117">
        <v>0</v>
      </c>
      <c r="Z1622" s="21" t="b">
        <v>1</v>
      </c>
      <c r="AA1622" s="162">
        <f>+$AD$5-Tabla2[[#This Row],[FECHA DE FACTURACIÓN]]</f>
        <v>59</v>
      </c>
      <c r="AB1622" s="163" t="str">
        <f>+IF(Tabla2[[#This Row],[dias de credito]]&gt;=Tabla2[[#This Row],[PLAZO Días]],"venc", "No venc")</f>
        <v>venc</v>
      </c>
      <c r="AC1622" s="163" t="str">
        <f>+IF(Tabla2[[#This Row],[FECHA DE PAGO]]&gt;0,"pagada","por pagar")</f>
        <v>pagada</v>
      </c>
      <c r="AD1622" s="164" t="str">
        <f>+IF(AND(Tabla2[[#This Row],[venc]]="venc",Tabla2[[#This Row],[estado pago]]="por pagar"),"vencida","no")</f>
        <v>no</v>
      </c>
    </row>
    <row r="1623" spans="1:30" ht="19.5" customHeight="1" x14ac:dyDescent="0.25">
      <c r="A1623" s="8" t="s">
        <v>1852</v>
      </c>
      <c r="B1623" s="8" t="b">
        <v>0</v>
      </c>
      <c r="C1623" s="8">
        <v>30</v>
      </c>
      <c r="D1623" s="151">
        <v>0</v>
      </c>
      <c r="E1623" s="151"/>
      <c r="F1623" s="24" t="s">
        <v>1614</v>
      </c>
      <c r="G1623" s="30">
        <v>45428</v>
      </c>
      <c r="H1623" s="81" t="s">
        <v>1863</v>
      </c>
      <c r="I1623" s="30">
        <v>45428</v>
      </c>
      <c r="J1623" s="16" t="s">
        <v>1896</v>
      </c>
      <c r="K1623" s="9" t="s">
        <v>1530</v>
      </c>
      <c r="L1623" s="9" t="s">
        <v>1534</v>
      </c>
      <c r="M1623" s="152">
        <v>2706500</v>
      </c>
      <c r="N1623" s="153">
        <v>0</v>
      </c>
      <c r="O1623" s="152">
        <v>0</v>
      </c>
      <c r="P1623" s="154">
        <v>0</v>
      </c>
      <c r="Q1623" s="152">
        <v>0</v>
      </c>
      <c r="R1623" s="9">
        <v>2706500</v>
      </c>
      <c r="S1623" s="21" t="s">
        <v>1846</v>
      </c>
      <c r="T1623" s="117">
        <v>0</v>
      </c>
      <c r="U1623" s="117">
        <v>0</v>
      </c>
      <c r="V1623" s="117">
        <v>2024</v>
      </c>
      <c r="W1623" s="117">
        <v>7</v>
      </c>
      <c r="X1623" s="117">
        <v>0</v>
      </c>
      <c r="Y1623" s="117">
        <v>0</v>
      </c>
      <c r="Z1623" s="21" t="b">
        <v>0</v>
      </c>
      <c r="AA1623" s="162">
        <f>+$AD$5-Tabla2[[#This Row],[FECHA DE FACTURACIÓN]]</f>
        <v>15</v>
      </c>
      <c r="AB1623" s="163" t="str">
        <f>+IF(Tabla2[[#This Row],[dias de credito]]&gt;=Tabla2[[#This Row],[PLAZO Días]],"venc", "No venc")</f>
        <v>No venc</v>
      </c>
      <c r="AC1623" s="163" t="str">
        <f>+IF(Tabla2[[#This Row],[FECHA DE PAGO]]&gt;0,"pagada","por pagar")</f>
        <v>pagada</v>
      </c>
      <c r="AD1623" s="164" t="str">
        <f>+IF(AND(Tabla2[[#This Row],[venc]]="venc",Tabla2[[#This Row],[estado pago]]="por pagar"),"vencida","no")</f>
        <v>no</v>
      </c>
    </row>
    <row r="1624" spans="1:30" ht="19.5" customHeight="1" x14ac:dyDescent="0.25">
      <c r="A1624" s="8" t="s">
        <v>1850</v>
      </c>
      <c r="B1624" s="8" t="b">
        <v>0</v>
      </c>
      <c r="C1624" s="8">
        <v>60</v>
      </c>
      <c r="D1624" s="151">
        <v>50353355.590000004</v>
      </c>
      <c r="E1624" s="151"/>
      <c r="F1624" s="24" t="s">
        <v>157</v>
      </c>
      <c r="G1624" s="30"/>
      <c r="H1624" s="81" t="s">
        <v>9</v>
      </c>
      <c r="I1624" s="30">
        <v>45412</v>
      </c>
      <c r="J1624" s="16">
        <v>88665</v>
      </c>
      <c r="K1624" s="9" t="s">
        <v>1530</v>
      </c>
      <c r="L1624" s="9"/>
      <c r="M1624" s="152">
        <v>59226912</v>
      </c>
      <c r="N1624" s="153">
        <v>11253113.279999999</v>
      </c>
      <c r="O1624" s="152">
        <v>0</v>
      </c>
      <c r="P1624" s="154">
        <v>2.5000000000000001E-2</v>
      </c>
      <c r="Q1624" s="152">
        <v>1480672.8</v>
      </c>
      <c r="R1624" s="9">
        <v>48016708.480000004</v>
      </c>
      <c r="S1624" s="21" t="s">
        <v>1854</v>
      </c>
      <c r="T1624" s="117">
        <v>-28</v>
      </c>
      <c r="U1624" s="117" t="s">
        <v>347</v>
      </c>
      <c r="V1624" s="117">
        <v>2024</v>
      </c>
      <c r="W1624" s="117">
        <v>7</v>
      </c>
      <c r="X1624" s="117">
        <v>1271000</v>
      </c>
      <c r="Y1624" s="117">
        <v>2.5000000000000001E-2</v>
      </c>
      <c r="Z1624" s="21" t="b">
        <v>0</v>
      </c>
      <c r="AA1624" s="162">
        <f>+$AD$5-Tabla2[[#This Row],[FECHA DE FACTURACIÓN]]</f>
        <v>31</v>
      </c>
      <c r="AB1624" s="163" t="str">
        <f>+IF(Tabla2[[#This Row],[dias de credito]]&gt;=Tabla2[[#This Row],[PLAZO Días]],"venc", "No venc")</f>
        <v>No venc</v>
      </c>
      <c r="AC1624" s="163" t="str">
        <f>+IF(Tabla2[[#This Row],[FECHA DE PAGO]]&gt;0,"pagada","por pagar")</f>
        <v>por pagar</v>
      </c>
      <c r="AD1624" s="164" t="str">
        <f>+IF(AND(Tabla2[[#This Row],[venc]]="venc",Tabla2[[#This Row],[estado pago]]="por pagar"),"vencida","no")</f>
        <v>no</v>
      </c>
    </row>
    <row r="1625" spans="1:30" ht="19.5" customHeight="1" x14ac:dyDescent="0.25">
      <c r="A1625" s="8" t="s">
        <v>1852</v>
      </c>
      <c r="B1625" s="8" t="b">
        <v>0</v>
      </c>
      <c r="C1625" s="8">
        <v>30</v>
      </c>
      <c r="D1625" s="151">
        <v>0</v>
      </c>
      <c r="E1625" s="151"/>
      <c r="F1625" s="24" t="s">
        <v>84</v>
      </c>
      <c r="G1625" s="30">
        <v>45428</v>
      </c>
      <c r="H1625" s="81" t="s">
        <v>1872</v>
      </c>
      <c r="I1625" s="30">
        <v>45428</v>
      </c>
      <c r="J1625" s="16" t="s">
        <v>1898</v>
      </c>
      <c r="K1625" s="9" t="s">
        <v>504</v>
      </c>
      <c r="L1625" s="9" t="s">
        <v>1533</v>
      </c>
      <c r="M1625" s="152">
        <v>19738000</v>
      </c>
      <c r="N1625" s="153">
        <v>0</v>
      </c>
      <c r="O1625" s="152">
        <v>0</v>
      </c>
      <c r="P1625" s="154">
        <v>0</v>
      </c>
      <c r="Q1625" s="152">
        <v>0</v>
      </c>
      <c r="R1625" s="9">
        <v>19738000</v>
      </c>
      <c r="S1625" s="21" t="s">
        <v>1846</v>
      </c>
      <c r="T1625" s="117">
        <v>0</v>
      </c>
      <c r="U1625" s="117">
        <v>0</v>
      </c>
      <c r="V1625" s="117">
        <v>2024</v>
      </c>
      <c r="W1625" s="117">
        <v>7</v>
      </c>
      <c r="X1625" s="117">
        <v>0</v>
      </c>
      <c r="Y1625" s="117">
        <v>0</v>
      </c>
      <c r="Z1625" s="21" t="b">
        <v>0</v>
      </c>
      <c r="AA1625" s="162">
        <f>+$AD$5-Tabla2[[#This Row],[FECHA DE FACTURACIÓN]]</f>
        <v>15</v>
      </c>
      <c r="AB1625" s="163" t="str">
        <f>+IF(Tabla2[[#This Row],[dias de credito]]&gt;=Tabla2[[#This Row],[PLAZO Días]],"venc", "No venc")</f>
        <v>No venc</v>
      </c>
      <c r="AC1625" s="163" t="str">
        <f>+IF(Tabla2[[#This Row],[FECHA DE PAGO]]&gt;0,"pagada","por pagar")</f>
        <v>pagada</v>
      </c>
      <c r="AD1625" s="164" t="str">
        <f>+IF(AND(Tabla2[[#This Row],[venc]]="venc",Tabla2[[#This Row],[estado pago]]="por pagar"),"vencida","no")</f>
        <v>no</v>
      </c>
    </row>
    <row r="1626" spans="1:30" ht="19.5" customHeight="1" x14ac:dyDescent="0.25">
      <c r="A1626" s="8" t="s">
        <v>1850</v>
      </c>
      <c r="B1626" s="8" t="b">
        <v>0</v>
      </c>
      <c r="C1626" s="8">
        <v>60</v>
      </c>
      <c r="D1626" s="151">
        <v>50353355.590000004</v>
      </c>
      <c r="E1626" s="151"/>
      <c r="F1626" s="24" t="s">
        <v>157</v>
      </c>
      <c r="G1626" s="30"/>
      <c r="H1626" s="81" t="s">
        <v>9</v>
      </c>
      <c r="I1626" s="30">
        <v>45412</v>
      </c>
      <c r="J1626" s="16">
        <v>88666</v>
      </c>
      <c r="K1626" s="9" t="s">
        <v>1530</v>
      </c>
      <c r="L1626" s="9"/>
      <c r="M1626" s="152">
        <v>792272</v>
      </c>
      <c r="N1626" s="153">
        <v>150531.68</v>
      </c>
      <c r="O1626" s="152">
        <v>0</v>
      </c>
      <c r="P1626" s="154">
        <v>0</v>
      </c>
      <c r="Q1626" s="152">
        <v>0</v>
      </c>
      <c r="R1626" s="9">
        <v>942803.67999999993</v>
      </c>
      <c r="S1626" s="21" t="s">
        <v>1854</v>
      </c>
      <c r="T1626" s="117">
        <v>-28</v>
      </c>
      <c r="U1626" s="117" t="s">
        <v>347</v>
      </c>
      <c r="V1626" s="117">
        <v>2024</v>
      </c>
      <c r="W1626" s="117">
        <v>7</v>
      </c>
      <c r="X1626" s="117">
        <v>1271000</v>
      </c>
      <c r="Y1626" s="117">
        <v>2.5000000000000001E-2</v>
      </c>
      <c r="Z1626" s="21" t="b">
        <v>0</v>
      </c>
      <c r="AA1626" s="162">
        <f>+$AD$5-Tabla2[[#This Row],[FECHA DE FACTURACIÓN]]</f>
        <v>31</v>
      </c>
      <c r="AB1626" s="163" t="str">
        <f>+IF(Tabla2[[#This Row],[dias de credito]]&gt;=Tabla2[[#This Row],[PLAZO Días]],"venc", "No venc")</f>
        <v>No venc</v>
      </c>
      <c r="AC1626" s="163" t="str">
        <f>+IF(Tabla2[[#This Row],[FECHA DE PAGO]]&gt;0,"pagada","por pagar")</f>
        <v>por pagar</v>
      </c>
      <c r="AD1626" s="164" t="str">
        <f>+IF(AND(Tabla2[[#This Row],[venc]]="venc",Tabla2[[#This Row],[estado pago]]="por pagar"),"vencida","no")</f>
        <v>no</v>
      </c>
    </row>
    <row r="1627" spans="1:30" ht="19.5" customHeight="1" x14ac:dyDescent="0.25">
      <c r="A1627" s="8" t="s">
        <v>1850</v>
      </c>
      <c r="B1627" s="8" t="b">
        <v>0</v>
      </c>
      <c r="C1627" s="8">
        <v>60</v>
      </c>
      <c r="D1627" s="151">
        <v>50353355.590000004</v>
      </c>
      <c r="E1627" s="151"/>
      <c r="F1627" s="24" t="s">
        <v>157</v>
      </c>
      <c r="G1627" s="30"/>
      <c r="H1627" s="81" t="s">
        <v>9</v>
      </c>
      <c r="I1627" s="30">
        <v>45420</v>
      </c>
      <c r="J1627" s="16" t="s">
        <v>1879</v>
      </c>
      <c r="K1627" s="9" t="s">
        <v>1530</v>
      </c>
      <c r="L1627" s="9"/>
      <c r="M1627" s="152">
        <v>1134453</v>
      </c>
      <c r="N1627" s="153">
        <v>215546.07</v>
      </c>
      <c r="O1627" s="152">
        <v>0</v>
      </c>
      <c r="P1627" s="154">
        <v>0</v>
      </c>
      <c r="Q1627" s="152">
        <v>0</v>
      </c>
      <c r="R1627" s="9">
        <v>1349999.07</v>
      </c>
      <c r="S1627" s="21" t="s">
        <v>1854</v>
      </c>
      <c r="T1627" s="117">
        <v>-36</v>
      </c>
      <c r="U1627" s="117" t="s">
        <v>347</v>
      </c>
      <c r="V1627" s="117">
        <v>2024</v>
      </c>
      <c r="W1627" s="117">
        <v>7</v>
      </c>
      <c r="X1627" s="117">
        <v>1271000</v>
      </c>
      <c r="Y1627" s="117">
        <v>2.5000000000000001E-2</v>
      </c>
      <c r="Z1627" s="21" t="b">
        <v>0</v>
      </c>
      <c r="AA1627" s="162">
        <f>+$AD$5-Tabla2[[#This Row],[FECHA DE FACTURACIÓN]]</f>
        <v>23</v>
      </c>
      <c r="AB1627" s="163" t="str">
        <f>+IF(Tabla2[[#This Row],[dias de credito]]&gt;=Tabla2[[#This Row],[PLAZO Días]],"venc", "No venc")</f>
        <v>No venc</v>
      </c>
      <c r="AC1627" s="163" t="str">
        <f>+IF(Tabla2[[#This Row],[FECHA DE PAGO]]&gt;0,"pagada","por pagar")</f>
        <v>por pagar</v>
      </c>
      <c r="AD1627" s="164" t="str">
        <f>+IF(AND(Tabla2[[#This Row],[venc]]="venc",Tabla2[[#This Row],[estado pago]]="por pagar"),"vencida","no")</f>
        <v>no</v>
      </c>
    </row>
    <row r="1628" spans="1:30" ht="19.5" customHeight="1" x14ac:dyDescent="0.25">
      <c r="A1628" s="8" t="s">
        <v>1850</v>
      </c>
      <c r="B1628" s="8" t="b">
        <v>0</v>
      </c>
      <c r="C1628" s="8">
        <v>60</v>
      </c>
      <c r="D1628" s="151">
        <v>50353355.590000004</v>
      </c>
      <c r="E1628" s="151"/>
      <c r="F1628" s="24" t="s">
        <v>157</v>
      </c>
      <c r="G1628" s="30"/>
      <c r="H1628" s="81" t="s">
        <v>9</v>
      </c>
      <c r="I1628" s="30">
        <v>45420</v>
      </c>
      <c r="J1628" s="16" t="s">
        <v>1880</v>
      </c>
      <c r="K1628" s="9" t="s">
        <v>1530</v>
      </c>
      <c r="L1628" s="9"/>
      <c r="M1628" s="152">
        <v>18422</v>
      </c>
      <c r="N1628" s="153">
        <v>3500.18</v>
      </c>
      <c r="O1628" s="152">
        <v>0</v>
      </c>
      <c r="P1628" s="154">
        <v>0</v>
      </c>
      <c r="Q1628" s="152">
        <v>0</v>
      </c>
      <c r="R1628" s="9">
        <v>21922.18</v>
      </c>
      <c r="S1628" s="21" t="s">
        <v>1854</v>
      </c>
      <c r="T1628" s="117">
        <v>-36</v>
      </c>
      <c r="U1628" s="117" t="s">
        <v>347</v>
      </c>
      <c r="V1628" s="117">
        <v>2024</v>
      </c>
      <c r="W1628" s="117">
        <v>7</v>
      </c>
      <c r="X1628" s="117">
        <v>1271000</v>
      </c>
      <c r="Y1628" s="117">
        <v>2.5000000000000001E-2</v>
      </c>
      <c r="Z1628" s="21" t="b">
        <v>0</v>
      </c>
      <c r="AA1628" s="162">
        <f>+$AD$5-Tabla2[[#This Row],[FECHA DE FACTURACIÓN]]</f>
        <v>23</v>
      </c>
      <c r="AB1628" s="163" t="str">
        <f>+IF(Tabla2[[#This Row],[dias de credito]]&gt;=Tabla2[[#This Row],[PLAZO Días]],"venc", "No venc")</f>
        <v>No venc</v>
      </c>
      <c r="AC1628" s="163" t="str">
        <f>+IF(Tabla2[[#This Row],[FECHA DE PAGO]]&gt;0,"pagada","por pagar")</f>
        <v>por pagar</v>
      </c>
      <c r="AD1628" s="164" t="str">
        <f>+IF(AND(Tabla2[[#This Row],[venc]]="venc",Tabla2[[#This Row],[estado pago]]="por pagar"),"vencida","no")</f>
        <v>no</v>
      </c>
    </row>
    <row r="1629" spans="1:30" ht="19.5" customHeight="1" x14ac:dyDescent="0.25">
      <c r="A1629" s="8" t="s">
        <v>1850</v>
      </c>
      <c r="B1629" s="8" t="b">
        <v>0</v>
      </c>
      <c r="C1629" s="8">
        <v>30</v>
      </c>
      <c r="D1629" s="151">
        <v>0</v>
      </c>
      <c r="E1629" s="151"/>
      <c r="F1629" s="24" t="s">
        <v>153</v>
      </c>
      <c r="G1629" s="30">
        <v>45429</v>
      </c>
      <c r="H1629" s="81" t="s">
        <v>394</v>
      </c>
      <c r="I1629" s="30">
        <v>45414</v>
      </c>
      <c r="J1629" s="16" t="s">
        <v>1902</v>
      </c>
      <c r="K1629" s="9" t="s">
        <v>1530</v>
      </c>
      <c r="L1629" s="9"/>
      <c r="M1629" s="152">
        <v>266218</v>
      </c>
      <c r="N1629" s="153">
        <v>50581.42</v>
      </c>
      <c r="O1629" s="152">
        <v>0</v>
      </c>
      <c r="P1629" s="154">
        <v>3.5000000000000003E-2</v>
      </c>
      <c r="Q1629" s="152">
        <v>9317.630000000001</v>
      </c>
      <c r="R1629" s="9">
        <v>307481.78999999998</v>
      </c>
      <c r="S1629" s="21" t="s">
        <v>1846</v>
      </c>
      <c r="T1629" s="117">
        <v>0</v>
      </c>
      <c r="U1629" s="117" t="s">
        <v>348</v>
      </c>
      <c r="V1629" s="117">
        <v>2024</v>
      </c>
      <c r="W1629" s="117">
        <v>7</v>
      </c>
      <c r="X1629" s="117">
        <v>0</v>
      </c>
      <c r="Y1629" s="117">
        <v>3.5000000000000003E-2</v>
      </c>
      <c r="Z1629" s="21" t="b">
        <v>1</v>
      </c>
      <c r="AA1629" s="162">
        <f>+$AD$5-Tabla2[[#This Row],[FECHA DE FACTURACIÓN]]</f>
        <v>29</v>
      </c>
      <c r="AB1629" s="163" t="str">
        <f>+IF(Tabla2[[#This Row],[dias de credito]]&gt;=Tabla2[[#This Row],[PLAZO Días]],"venc", "No venc")</f>
        <v>No venc</v>
      </c>
      <c r="AC1629" s="163" t="str">
        <f>+IF(Tabla2[[#This Row],[FECHA DE PAGO]]&gt;0,"pagada","por pagar")</f>
        <v>pagada</v>
      </c>
      <c r="AD1629" s="164" t="str">
        <f>+IF(AND(Tabla2[[#This Row],[venc]]="venc",Tabla2[[#This Row],[estado pago]]="por pagar"),"vencida","no")</f>
        <v>no</v>
      </c>
    </row>
    <row r="1630" spans="1:30" ht="19.5" customHeight="1" x14ac:dyDescent="0.25">
      <c r="A1630" s="8" t="s">
        <v>1850</v>
      </c>
      <c r="B1630" s="8" t="s">
        <v>1851</v>
      </c>
      <c r="C1630" s="8">
        <v>13</v>
      </c>
      <c r="D1630" s="151">
        <v>0</v>
      </c>
      <c r="E1630" s="151"/>
      <c r="F1630" s="24">
        <v>0</v>
      </c>
      <c r="G1630" s="30">
        <v>45429</v>
      </c>
      <c r="H1630" s="81" t="s">
        <v>389</v>
      </c>
      <c r="I1630" s="30">
        <v>45413</v>
      </c>
      <c r="J1630" s="16"/>
      <c r="K1630" s="9" t="s">
        <v>1530</v>
      </c>
      <c r="L1630" s="9"/>
      <c r="M1630" s="152">
        <v>858511</v>
      </c>
      <c r="N1630" s="153">
        <v>0</v>
      </c>
      <c r="O1630" s="152">
        <v>0</v>
      </c>
      <c r="P1630" s="154">
        <v>0</v>
      </c>
      <c r="Q1630" s="152">
        <v>0</v>
      </c>
      <c r="R1630" s="9">
        <v>858511</v>
      </c>
      <c r="S1630" s="21" t="s">
        <v>1846</v>
      </c>
      <c r="T1630" s="117">
        <v>0</v>
      </c>
      <c r="U1630" s="117">
        <v>0</v>
      </c>
      <c r="V1630" s="117">
        <v>2024</v>
      </c>
      <c r="W1630" s="117">
        <v>7</v>
      </c>
      <c r="X1630" s="117">
        <v>0</v>
      </c>
      <c r="Y1630" s="117">
        <v>0</v>
      </c>
      <c r="Z1630" s="21" t="b">
        <v>1</v>
      </c>
      <c r="AA1630" s="162">
        <f>+$AD$5-Tabla2[[#This Row],[FECHA DE FACTURACIÓN]]</f>
        <v>30</v>
      </c>
      <c r="AB1630" s="163" t="str">
        <f>+IF(Tabla2[[#This Row],[dias de credito]]&gt;=Tabla2[[#This Row],[PLAZO Días]],"venc", "No venc")</f>
        <v>venc</v>
      </c>
      <c r="AC1630" s="163" t="str">
        <f>+IF(Tabla2[[#This Row],[FECHA DE PAGO]]&gt;0,"pagada","por pagar")</f>
        <v>pagada</v>
      </c>
      <c r="AD1630" s="164" t="str">
        <f>+IF(AND(Tabla2[[#This Row],[venc]]="venc",Tabla2[[#This Row],[estado pago]]="por pagar"),"vencida","no")</f>
        <v>no</v>
      </c>
    </row>
    <row r="1631" spans="1:30" ht="19.5" customHeight="1" x14ac:dyDescent="0.25">
      <c r="A1631" s="8" t="s">
        <v>1850</v>
      </c>
      <c r="B1631" s="8" t="b">
        <v>0</v>
      </c>
      <c r="C1631" s="8">
        <v>30</v>
      </c>
      <c r="D1631" s="151">
        <v>0</v>
      </c>
      <c r="E1631" s="151"/>
      <c r="F1631" s="24" t="s">
        <v>268</v>
      </c>
      <c r="G1631" s="30">
        <v>45429</v>
      </c>
      <c r="H1631" s="81" t="s">
        <v>376</v>
      </c>
      <c r="I1631" s="30">
        <v>45413</v>
      </c>
      <c r="J1631" s="16" t="s">
        <v>1903</v>
      </c>
      <c r="K1631" s="9" t="s">
        <v>1530</v>
      </c>
      <c r="L1631" s="9" t="s">
        <v>1533</v>
      </c>
      <c r="M1631" s="152">
        <v>350768</v>
      </c>
      <c r="N1631" s="153">
        <v>0</v>
      </c>
      <c r="O1631" s="152">
        <v>10335</v>
      </c>
      <c r="P1631" s="154">
        <v>0</v>
      </c>
      <c r="Q1631" s="152">
        <v>0</v>
      </c>
      <c r="R1631" s="9">
        <v>340433</v>
      </c>
      <c r="S1631" s="21" t="s">
        <v>1846</v>
      </c>
      <c r="T1631" s="117">
        <v>0</v>
      </c>
      <c r="U1631" s="117">
        <v>0</v>
      </c>
      <c r="V1631" s="117">
        <v>2024</v>
      </c>
      <c r="W1631" s="117">
        <v>7</v>
      </c>
      <c r="X1631" s="117">
        <v>0</v>
      </c>
      <c r="Y1631" s="117">
        <v>0</v>
      </c>
      <c r="Z1631" s="21" t="b">
        <v>1</v>
      </c>
      <c r="AA1631" s="162">
        <f>+$AD$5-Tabla2[[#This Row],[FECHA DE FACTURACIÓN]]</f>
        <v>30</v>
      </c>
      <c r="AB1631" s="163" t="str">
        <f>+IF(Tabla2[[#This Row],[dias de credito]]&gt;=Tabla2[[#This Row],[PLAZO Días]],"venc", "No venc")</f>
        <v>venc</v>
      </c>
      <c r="AC1631" s="163" t="str">
        <f>+IF(Tabla2[[#This Row],[FECHA DE PAGO]]&gt;0,"pagada","por pagar")</f>
        <v>pagada</v>
      </c>
      <c r="AD1631" s="164" t="str">
        <f>+IF(AND(Tabla2[[#This Row],[venc]]="venc",Tabla2[[#This Row],[estado pago]]="por pagar"),"vencida","no")</f>
        <v>no</v>
      </c>
    </row>
    <row r="1632" spans="1:30" ht="19.5" customHeight="1" x14ac:dyDescent="0.25">
      <c r="A1632" s="8" t="s">
        <v>1850</v>
      </c>
      <c r="B1632" s="8" t="b">
        <v>0</v>
      </c>
      <c r="C1632" s="8">
        <v>30</v>
      </c>
      <c r="D1632" s="151">
        <v>0</v>
      </c>
      <c r="E1632" s="151"/>
      <c r="F1632" s="24">
        <v>0</v>
      </c>
      <c r="G1632" s="30">
        <v>45429</v>
      </c>
      <c r="H1632" s="81" t="s">
        <v>836</v>
      </c>
      <c r="I1632" s="30">
        <v>45428</v>
      </c>
      <c r="J1632" s="16" t="s">
        <v>1904</v>
      </c>
      <c r="K1632" s="9" t="s">
        <v>504</v>
      </c>
      <c r="L1632" s="9" t="s">
        <v>1395</v>
      </c>
      <c r="M1632" s="152">
        <v>477000</v>
      </c>
      <c r="N1632" s="153">
        <v>0</v>
      </c>
      <c r="O1632" s="152">
        <v>0</v>
      </c>
      <c r="P1632" s="154">
        <v>0</v>
      </c>
      <c r="Q1632" s="152">
        <v>0</v>
      </c>
      <c r="R1632" s="9">
        <v>477000</v>
      </c>
      <c r="S1632" s="21" t="s">
        <v>1846</v>
      </c>
      <c r="T1632" s="117">
        <v>0</v>
      </c>
      <c r="U1632" s="117">
        <v>0</v>
      </c>
      <c r="V1632" s="117">
        <v>2024</v>
      </c>
      <c r="W1632" s="117">
        <v>7</v>
      </c>
      <c r="X1632" s="117">
        <v>0</v>
      </c>
      <c r="Y1632" s="117">
        <v>0</v>
      </c>
      <c r="Z1632" s="21" t="b">
        <v>0</v>
      </c>
      <c r="AA1632" s="162">
        <f>+$AD$5-Tabla2[[#This Row],[FECHA DE FACTURACIÓN]]</f>
        <v>15</v>
      </c>
      <c r="AB1632" s="163" t="str">
        <f>+IF(Tabla2[[#This Row],[dias de credito]]&gt;=Tabla2[[#This Row],[PLAZO Días]],"venc", "No venc")</f>
        <v>No venc</v>
      </c>
      <c r="AC1632" s="163" t="str">
        <f>+IF(Tabla2[[#This Row],[FECHA DE PAGO]]&gt;0,"pagada","por pagar")</f>
        <v>pagada</v>
      </c>
      <c r="AD1632" s="164" t="str">
        <f>+IF(AND(Tabla2[[#This Row],[venc]]="venc",Tabla2[[#This Row],[estado pago]]="por pagar"),"vencida","no")</f>
        <v>no</v>
      </c>
    </row>
    <row r="1633" spans="1:30" ht="19.5" customHeight="1" x14ac:dyDescent="0.25">
      <c r="A1633" s="8" t="s">
        <v>1850</v>
      </c>
      <c r="B1633" s="8" t="b">
        <v>0</v>
      </c>
      <c r="C1633" s="8">
        <v>30</v>
      </c>
      <c r="D1633" s="151">
        <v>0</v>
      </c>
      <c r="E1633" s="151"/>
      <c r="F1633" s="24" t="s">
        <v>1447</v>
      </c>
      <c r="G1633" s="30">
        <v>45429</v>
      </c>
      <c r="H1633" s="81" t="s">
        <v>373</v>
      </c>
      <c r="I1633" s="30">
        <v>45415</v>
      </c>
      <c r="J1633" s="16" t="s">
        <v>1905</v>
      </c>
      <c r="K1633" s="9" t="s">
        <v>1530</v>
      </c>
      <c r="L1633" s="9" t="s">
        <v>1534</v>
      </c>
      <c r="M1633" s="152">
        <v>2202761</v>
      </c>
      <c r="N1633" s="153">
        <v>0</v>
      </c>
      <c r="O1633" s="152">
        <v>311056</v>
      </c>
      <c r="P1633" s="154">
        <v>0</v>
      </c>
      <c r="Q1633" s="152">
        <v>0</v>
      </c>
      <c r="R1633" s="9">
        <v>1891705</v>
      </c>
      <c r="S1633" s="21" t="s">
        <v>1846</v>
      </c>
      <c r="T1633" s="117">
        <v>0</v>
      </c>
      <c r="U1633" s="117">
        <v>0</v>
      </c>
      <c r="V1633" s="117">
        <v>2024</v>
      </c>
      <c r="W1633" s="117">
        <v>7</v>
      </c>
      <c r="X1633" s="117">
        <v>0</v>
      </c>
      <c r="Y1633" s="117">
        <v>0</v>
      </c>
      <c r="Z1633" s="21" t="b">
        <v>1</v>
      </c>
      <c r="AA1633" s="162">
        <f>+$AD$5-Tabla2[[#This Row],[FECHA DE FACTURACIÓN]]</f>
        <v>28</v>
      </c>
      <c r="AB1633" s="163" t="str">
        <f>+IF(Tabla2[[#This Row],[dias de credito]]&gt;=Tabla2[[#This Row],[PLAZO Días]],"venc", "No venc")</f>
        <v>No venc</v>
      </c>
      <c r="AC1633" s="163" t="str">
        <f>+IF(Tabla2[[#This Row],[FECHA DE PAGO]]&gt;0,"pagada","por pagar")</f>
        <v>pagada</v>
      </c>
      <c r="AD1633" s="164" t="str">
        <f>+IF(AND(Tabla2[[#This Row],[venc]]="venc",Tabla2[[#This Row],[estado pago]]="por pagar"),"vencida","no")</f>
        <v>no</v>
      </c>
    </row>
    <row r="1634" spans="1:30" ht="19.5" customHeight="1" x14ac:dyDescent="0.25">
      <c r="A1634" s="8" t="s">
        <v>1850</v>
      </c>
      <c r="B1634" s="8" t="b">
        <v>0</v>
      </c>
      <c r="C1634" s="8">
        <v>60</v>
      </c>
      <c r="D1634" s="151">
        <v>50353355.590000004</v>
      </c>
      <c r="E1634" s="151"/>
      <c r="F1634" s="24" t="s">
        <v>157</v>
      </c>
      <c r="G1634" s="30"/>
      <c r="H1634" s="81" t="s">
        <v>9</v>
      </c>
      <c r="I1634" s="30">
        <v>45420</v>
      </c>
      <c r="J1634" s="16" t="s">
        <v>1881</v>
      </c>
      <c r="K1634" s="9" t="s">
        <v>1530</v>
      </c>
      <c r="L1634" s="9"/>
      <c r="M1634" s="152">
        <v>18422</v>
      </c>
      <c r="N1634" s="153">
        <v>3500.18</v>
      </c>
      <c r="O1634" s="152">
        <v>0</v>
      </c>
      <c r="P1634" s="154">
        <v>0</v>
      </c>
      <c r="Q1634" s="152">
        <v>0</v>
      </c>
      <c r="R1634" s="9">
        <v>21922.18</v>
      </c>
      <c r="S1634" s="21" t="s">
        <v>1854</v>
      </c>
      <c r="T1634" s="117">
        <v>-36</v>
      </c>
      <c r="U1634" s="117" t="s">
        <v>347</v>
      </c>
      <c r="V1634" s="117">
        <v>2024</v>
      </c>
      <c r="W1634" s="117">
        <v>7</v>
      </c>
      <c r="X1634" s="117">
        <v>1271000</v>
      </c>
      <c r="Y1634" s="117">
        <v>2.5000000000000001E-2</v>
      </c>
      <c r="Z1634" s="21" t="b">
        <v>0</v>
      </c>
      <c r="AA1634" s="162">
        <f>+$AD$5-Tabla2[[#This Row],[FECHA DE FACTURACIÓN]]</f>
        <v>23</v>
      </c>
      <c r="AB1634" s="163" t="str">
        <f>+IF(Tabla2[[#This Row],[dias de credito]]&gt;=Tabla2[[#This Row],[PLAZO Días]],"venc", "No venc")</f>
        <v>No venc</v>
      </c>
      <c r="AC1634" s="163" t="str">
        <f>+IF(Tabla2[[#This Row],[FECHA DE PAGO]]&gt;0,"pagada","por pagar")</f>
        <v>por pagar</v>
      </c>
      <c r="AD1634" s="164" t="str">
        <f>+IF(AND(Tabla2[[#This Row],[venc]]="venc",Tabla2[[#This Row],[estado pago]]="por pagar"),"vencida","no")</f>
        <v>no</v>
      </c>
    </row>
    <row r="1635" spans="1:30" ht="19.5" customHeight="1" x14ac:dyDescent="0.25">
      <c r="A1635" s="8" t="s">
        <v>1850</v>
      </c>
      <c r="B1635" s="8" t="b">
        <v>0</v>
      </c>
      <c r="C1635" s="8">
        <v>30</v>
      </c>
      <c r="D1635" s="151">
        <v>0</v>
      </c>
      <c r="E1635" s="151"/>
      <c r="F1635" s="24" t="s">
        <v>414</v>
      </c>
      <c r="G1635" s="30">
        <v>45432</v>
      </c>
      <c r="H1635" s="81" t="s">
        <v>382</v>
      </c>
      <c r="I1635" s="30">
        <v>45413</v>
      </c>
      <c r="J1635" s="16" t="s">
        <v>1908</v>
      </c>
      <c r="K1635" s="9" t="s">
        <v>1530</v>
      </c>
      <c r="L1635" s="9" t="s">
        <v>1533</v>
      </c>
      <c r="M1635" s="152">
        <v>1030415</v>
      </c>
      <c r="N1635" s="153">
        <v>0</v>
      </c>
      <c r="O1635" s="152">
        <v>0</v>
      </c>
      <c r="P1635" s="154">
        <v>0</v>
      </c>
      <c r="Q1635" s="152">
        <v>0</v>
      </c>
      <c r="R1635" s="9">
        <v>1030415</v>
      </c>
      <c r="S1635" s="21" t="s">
        <v>1846</v>
      </c>
      <c r="T1635" s="117">
        <v>0</v>
      </c>
      <c r="U1635" s="117">
        <v>0</v>
      </c>
      <c r="V1635" s="117">
        <v>2024</v>
      </c>
      <c r="W1635" s="117">
        <v>7</v>
      </c>
      <c r="X1635" s="117">
        <v>0</v>
      </c>
      <c r="Y1635" s="117">
        <v>0</v>
      </c>
      <c r="Z1635" s="21" t="b">
        <v>1</v>
      </c>
      <c r="AA1635" s="162">
        <f>+$AD$5-Tabla2[[#This Row],[FECHA DE FACTURACIÓN]]</f>
        <v>30</v>
      </c>
      <c r="AB1635" s="163" t="str">
        <f>+IF(Tabla2[[#This Row],[dias de credito]]&gt;=Tabla2[[#This Row],[PLAZO Días]],"venc", "No venc")</f>
        <v>venc</v>
      </c>
      <c r="AC1635" s="163" t="str">
        <f>+IF(Tabla2[[#This Row],[FECHA DE PAGO]]&gt;0,"pagada","por pagar")</f>
        <v>pagada</v>
      </c>
      <c r="AD1635" s="164" t="str">
        <f>+IF(AND(Tabla2[[#This Row],[venc]]="venc",Tabla2[[#This Row],[estado pago]]="por pagar"),"vencida","no")</f>
        <v>no</v>
      </c>
    </row>
    <row r="1636" spans="1:30" ht="19.5" customHeight="1" x14ac:dyDescent="0.25">
      <c r="A1636" s="8" t="s">
        <v>1850</v>
      </c>
      <c r="B1636" s="8" t="b">
        <v>0</v>
      </c>
      <c r="C1636" s="8">
        <v>30</v>
      </c>
      <c r="D1636" s="151">
        <v>0</v>
      </c>
      <c r="E1636" s="151"/>
      <c r="F1636" s="24" t="s">
        <v>414</v>
      </c>
      <c r="G1636" s="30">
        <v>45432</v>
      </c>
      <c r="H1636" s="81" t="s">
        <v>382</v>
      </c>
      <c r="I1636" s="30">
        <v>45413</v>
      </c>
      <c r="J1636" s="16" t="s">
        <v>1909</v>
      </c>
      <c r="K1636" s="9" t="s">
        <v>1530</v>
      </c>
      <c r="L1636" s="9" t="s">
        <v>1533</v>
      </c>
      <c r="M1636" s="152">
        <v>1007984</v>
      </c>
      <c r="N1636" s="153">
        <v>0</v>
      </c>
      <c r="O1636" s="152">
        <v>0</v>
      </c>
      <c r="P1636" s="154">
        <v>0</v>
      </c>
      <c r="Q1636" s="152">
        <v>0</v>
      </c>
      <c r="R1636" s="9">
        <v>1007984</v>
      </c>
      <c r="S1636" s="21" t="s">
        <v>1846</v>
      </c>
      <c r="T1636" s="117">
        <v>0</v>
      </c>
      <c r="U1636" s="117">
        <v>0</v>
      </c>
      <c r="V1636" s="117">
        <v>2024</v>
      </c>
      <c r="W1636" s="117">
        <v>7</v>
      </c>
      <c r="X1636" s="117">
        <v>0</v>
      </c>
      <c r="Y1636" s="117">
        <v>0</v>
      </c>
      <c r="Z1636" s="21" t="b">
        <v>1</v>
      </c>
      <c r="AA1636" s="162">
        <f>+$AD$5-Tabla2[[#This Row],[FECHA DE FACTURACIÓN]]</f>
        <v>30</v>
      </c>
      <c r="AB1636" s="163" t="str">
        <f>+IF(Tabla2[[#This Row],[dias de credito]]&gt;=Tabla2[[#This Row],[PLAZO Días]],"venc", "No venc")</f>
        <v>venc</v>
      </c>
      <c r="AC1636" s="163" t="str">
        <f>+IF(Tabla2[[#This Row],[FECHA DE PAGO]]&gt;0,"pagada","por pagar")</f>
        <v>pagada</v>
      </c>
      <c r="AD1636" s="164" t="str">
        <f>+IF(AND(Tabla2[[#This Row],[venc]]="venc",Tabla2[[#This Row],[estado pago]]="por pagar"),"vencida","no")</f>
        <v>no</v>
      </c>
    </row>
    <row r="1637" spans="1:30" ht="19.5" customHeight="1" x14ac:dyDescent="0.25">
      <c r="A1637" s="8" t="s">
        <v>1850</v>
      </c>
      <c r="B1637" s="8" t="b">
        <v>0</v>
      </c>
      <c r="C1637" s="8">
        <v>30</v>
      </c>
      <c r="D1637" s="151">
        <v>0</v>
      </c>
      <c r="E1637" s="151"/>
      <c r="F1637" s="24" t="s">
        <v>206</v>
      </c>
      <c r="G1637" s="30">
        <v>45432</v>
      </c>
      <c r="H1637" s="81" t="s">
        <v>380</v>
      </c>
      <c r="I1637" s="30">
        <v>45413</v>
      </c>
      <c r="J1637" s="16" t="s">
        <v>1910</v>
      </c>
      <c r="K1637" s="9" t="s">
        <v>504</v>
      </c>
      <c r="L1637" s="9" t="s">
        <v>1534</v>
      </c>
      <c r="M1637" s="152">
        <v>3847000</v>
      </c>
      <c r="N1637" s="153">
        <v>0</v>
      </c>
      <c r="O1637" s="152">
        <v>0</v>
      </c>
      <c r="P1637" s="154">
        <v>3.5000000000000003E-2</v>
      </c>
      <c r="Q1637" s="152">
        <v>134645</v>
      </c>
      <c r="R1637" s="9">
        <v>3712355</v>
      </c>
      <c r="S1637" s="21" t="s">
        <v>1846</v>
      </c>
      <c r="T1637" s="117">
        <v>0</v>
      </c>
      <c r="U1637" s="117" t="s">
        <v>348</v>
      </c>
      <c r="V1637" s="117">
        <v>2024</v>
      </c>
      <c r="W1637" s="117">
        <v>7</v>
      </c>
      <c r="X1637" s="117">
        <v>0</v>
      </c>
      <c r="Y1637" s="117">
        <v>3.5000000000000003E-2</v>
      </c>
      <c r="Z1637" s="21" t="b">
        <v>1</v>
      </c>
      <c r="AA1637" s="162">
        <f>+$AD$5-Tabla2[[#This Row],[FECHA DE FACTURACIÓN]]</f>
        <v>30</v>
      </c>
      <c r="AB1637" s="163" t="str">
        <f>+IF(Tabla2[[#This Row],[dias de credito]]&gt;=Tabla2[[#This Row],[PLAZO Días]],"venc", "No venc")</f>
        <v>venc</v>
      </c>
      <c r="AC1637" s="163" t="str">
        <f>+IF(Tabla2[[#This Row],[FECHA DE PAGO]]&gt;0,"pagada","por pagar")</f>
        <v>pagada</v>
      </c>
      <c r="AD1637" s="164" t="str">
        <f>+IF(AND(Tabla2[[#This Row],[venc]]="venc",Tabla2[[#This Row],[estado pago]]="por pagar"),"vencida","no")</f>
        <v>no</v>
      </c>
    </row>
    <row r="1638" spans="1:30" ht="19.5" customHeight="1" x14ac:dyDescent="0.25">
      <c r="A1638" s="8" t="s">
        <v>1850</v>
      </c>
      <c r="B1638" s="8" t="b">
        <v>0</v>
      </c>
      <c r="C1638" s="8">
        <v>30</v>
      </c>
      <c r="D1638" s="151">
        <v>9950488.6799999997</v>
      </c>
      <c r="E1638" s="151"/>
      <c r="F1638" s="24" t="s">
        <v>410</v>
      </c>
      <c r="G1638" s="30"/>
      <c r="H1638" s="81" t="s">
        <v>11</v>
      </c>
      <c r="I1638" s="30">
        <v>45394</v>
      </c>
      <c r="J1638" s="16" t="s">
        <v>1736</v>
      </c>
      <c r="K1638" s="9" t="s">
        <v>1530</v>
      </c>
      <c r="L1638" s="9"/>
      <c r="M1638" s="152">
        <v>3882360</v>
      </c>
      <c r="N1638" s="153">
        <v>737648.4</v>
      </c>
      <c r="O1638" s="152">
        <v>0</v>
      </c>
      <c r="P1638" s="154">
        <v>2.5000000000000001E-2</v>
      </c>
      <c r="Q1638" s="152">
        <v>97059</v>
      </c>
      <c r="R1638" s="9">
        <v>4522949.4000000004</v>
      </c>
      <c r="S1638" s="21" t="s">
        <v>1853</v>
      </c>
      <c r="T1638" s="117">
        <v>20</v>
      </c>
      <c r="U1638" s="117" t="s">
        <v>347</v>
      </c>
      <c r="V1638" s="117">
        <v>2024</v>
      </c>
      <c r="W1638" s="117">
        <v>7</v>
      </c>
      <c r="X1638" s="117">
        <v>1271000</v>
      </c>
      <c r="Y1638" s="117">
        <v>2.5000000000000001E-2</v>
      </c>
      <c r="Z1638" s="21" t="b">
        <v>0</v>
      </c>
      <c r="AA1638" s="162">
        <f>+$AD$5-Tabla2[[#This Row],[FECHA DE FACTURACIÓN]]</f>
        <v>49</v>
      </c>
      <c r="AB1638" s="163" t="str">
        <f>+IF(Tabla2[[#This Row],[dias de credito]]&gt;=Tabla2[[#This Row],[PLAZO Días]],"venc", "No venc")</f>
        <v>venc</v>
      </c>
      <c r="AC1638" s="163" t="str">
        <f>+IF(Tabla2[[#This Row],[FECHA DE PAGO]]&gt;0,"pagada","por pagar")</f>
        <v>por pagar</v>
      </c>
      <c r="AD1638" s="164" t="str">
        <f>+IF(AND(Tabla2[[#This Row],[venc]]="venc",Tabla2[[#This Row],[estado pago]]="por pagar"),"vencida","no")</f>
        <v>vencida</v>
      </c>
    </row>
    <row r="1639" spans="1:30" ht="19.5" customHeight="1" x14ac:dyDescent="0.25">
      <c r="A1639" s="8" t="s">
        <v>1850</v>
      </c>
      <c r="B1639" s="8" t="b">
        <v>0</v>
      </c>
      <c r="C1639" s="8">
        <v>30</v>
      </c>
      <c r="D1639" s="151">
        <v>9950488.6799999997</v>
      </c>
      <c r="E1639" s="151"/>
      <c r="F1639" s="24" t="s">
        <v>410</v>
      </c>
      <c r="G1639" s="30"/>
      <c r="H1639" s="81" t="s">
        <v>11</v>
      </c>
      <c r="I1639" s="30">
        <v>45422</v>
      </c>
      <c r="J1639" s="16" t="s">
        <v>1894</v>
      </c>
      <c r="K1639" s="9" t="s">
        <v>1530</v>
      </c>
      <c r="L1639" s="9"/>
      <c r="M1639" s="152">
        <v>4658832</v>
      </c>
      <c r="N1639" s="153">
        <v>885178.08</v>
      </c>
      <c r="O1639" s="152">
        <v>0</v>
      </c>
      <c r="P1639" s="154">
        <v>2.5000000000000001E-2</v>
      </c>
      <c r="Q1639" s="152">
        <v>116470.8</v>
      </c>
      <c r="R1639" s="9">
        <v>5427539.2800000003</v>
      </c>
      <c r="S1639" s="21" t="s">
        <v>1854</v>
      </c>
      <c r="T1639" s="117">
        <v>-8</v>
      </c>
      <c r="U1639" s="117" t="s">
        <v>347</v>
      </c>
      <c r="V1639" s="117">
        <v>2024</v>
      </c>
      <c r="W1639" s="117">
        <v>7</v>
      </c>
      <c r="X1639" s="117">
        <v>1271000</v>
      </c>
      <c r="Y1639" s="117">
        <v>2.5000000000000001E-2</v>
      </c>
      <c r="Z1639" s="21" t="b">
        <v>0</v>
      </c>
      <c r="AA1639" s="162">
        <f>+$AD$5-Tabla2[[#This Row],[FECHA DE FACTURACIÓN]]</f>
        <v>21</v>
      </c>
      <c r="AB1639" s="163" t="str">
        <f>+IF(Tabla2[[#This Row],[dias de credito]]&gt;=Tabla2[[#This Row],[PLAZO Días]],"venc", "No venc")</f>
        <v>No venc</v>
      </c>
      <c r="AC1639" s="163" t="str">
        <f>+IF(Tabla2[[#This Row],[FECHA DE PAGO]]&gt;0,"pagada","por pagar")</f>
        <v>por pagar</v>
      </c>
      <c r="AD1639" s="164" t="str">
        <f>+IF(AND(Tabla2[[#This Row],[venc]]="venc",Tabla2[[#This Row],[estado pago]]="por pagar"),"vencida","no")</f>
        <v>no</v>
      </c>
    </row>
    <row r="1640" spans="1:30" ht="19.5" customHeight="1" x14ac:dyDescent="0.25">
      <c r="A1640" s="8" t="s">
        <v>1850</v>
      </c>
      <c r="B1640" s="8" t="b">
        <v>0</v>
      </c>
      <c r="C1640" s="8">
        <v>0</v>
      </c>
      <c r="D1640" s="151">
        <v>2530000</v>
      </c>
      <c r="E1640" s="151"/>
      <c r="F1640" s="24" t="s">
        <v>1732</v>
      </c>
      <c r="G1640" s="30"/>
      <c r="H1640" s="81" t="s">
        <v>1731</v>
      </c>
      <c r="I1640" s="30">
        <v>45428</v>
      </c>
      <c r="J1640" s="16" t="s">
        <v>1912</v>
      </c>
      <c r="K1640" s="9" t="s">
        <v>1530</v>
      </c>
      <c r="L1640" s="9"/>
      <c r="M1640" s="152">
        <v>2200000</v>
      </c>
      <c r="N1640" s="153">
        <v>418000</v>
      </c>
      <c r="O1640" s="152">
        <v>0</v>
      </c>
      <c r="P1640" s="154">
        <v>0.04</v>
      </c>
      <c r="Q1640" s="152">
        <v>88000</v>
      </c>
      <c r="R1640" s="9">
        <v>2530000</v>
      </c>
      <c r="S1640" s="21" t="s">
        <v>1853</v>
      </c>
      <c r="T1640" s="117">
        <v>16</v>
      </c>
      <c r="U1640" s="117" t="s">
        <v>443</v>
      </c>
      <c r="V1640" s="117">
        <v>2024</v>
      </c>
      <c r="W1640" s="117">
        <v>7</v>
      </c>
      <c r="X1640" s="117">
        <v>188000</v>
      </c>
      <c r="Y1640" s="117">
        <v>0.04</v>
      </c>
      <c r="Z1640" s="21" t="b">
        <v>0</v>
      </c>
      <c r="AA1640" s="162">
        <f>+$AD$5-Tabla2[[#This Row],[FECHA DE FACTURACIÓN]]</f>
        <v>15</v>
      </c>
      <c r="AB1640" s="163" t="str">
        <f>+IF(Tabla2[[#This Row],[dias de credito]]&gt;=Tabla2[[#This Row],[PLAZO Días]],"venc", "No venc")</f>
        <v>venc</v>
      </c>
      <c r="AC1640" s="163" t="str">
        <f>+IF(Tabla2[[#This Row],[FECHA DE PAGO]]&gt;0,"pagada","por pagar")</f>
        <v>por pagar</v>
      </c>
      <c r="AD1640" s="164" t="str">
        <f>+IF(AND(Tabla2[[#This Row],[venc]]="venc",Tabla2[[#This Row],[estado pago]]="por pagar"),"vencida","no")</f>
        <v>vencida</v>
      </c>
    </row>
    <row r="1641" spans="1:30" ht="19.5" customHeight="1" x14ac:dyDescent="0.25">
      <c r="A1641" s="8" t="s">
        <v>1852</v>
      </c>
      <c r="B1641" s="8" t="b">
        <v>0</v>
      </c>
      <c r="C1641" s="8">
        <v>30</v>
      </c>
      <c r="D1641" s="151">
        <v>0</v>
      </c>
      <c r="E1641" s="151"/>
      <c r="F1641" s="24" t="s">
        <v>84</v>
      </c>
      <c r="G1641" s="30">
        <v>45437</v>
      </c>
      <c r="H1641" s="81" t="s">
        <v>1824</v>
      </c>
      <c r="I1641" s="30">
        <v>45437</v>
      </c>
      <c r="J1641" s="16" t="s">
        <v>1914</v>
      </c>
      <c r="K1641" s="9" t="s">
        <v>1530</v>
      </c>
      <c r="L1641" s="9" t="s">
        <v>1395</v>
      </c>
      <c r="M1641" s="152">
        <v>906000</v>
      </c>
      <c r="N1641" s="153">
        <v>0</v>
      </c>
      <c r="O1641" s="152">
        <v>0</v>
      </c>
      <c r="P1641" s="154">
        <v>0</v>
      </c>
      <c r="Q1641" s="152">
        <v>0</v>
      </c>
      <c r="R1641" s="9">
        <v>906000</v>
      </c>
      <c r="S1641" s="21" t="s">
        <v>1846</v>
      </c>
      <c r="T1641" s="117">
        <v>0</v>
      </c>
      <c r="U1641" s="117">
        <v>0</v>
      </c>
      <c r="V1641" s="117">
        <v>2024</v>
      </c>
      <c r="W1641" s="117">
        <v>7</v>
      </c>
      <c r="X1641" s="117">
        <v>0</v>
      </c>
      <c r="Y1641" s="117">
        <v>0</v>
      </c>
      <c r="Z1641" s="21" t="b">
        <v>0</v>
      </c>
      <c r="AA1641" s="162">
        <f>+$AD$5-Tabla2[[#This Row],[FECHA DE FACTURACIÓN]]</f>
        <v>6</v>
      </c>
      <c r="AB1641" s="163" t="str">
        <f>+IF(Tabla2[[#This Row],[dias de credito]]&gt;=Tabla2[[#This Row],[PLAZO Días]],"venc", "No venc")</f>
        <v>No venc</v>
      </c>
      <c r="AC1641" s="163" t="str">
        <f>+IF(Tabla2[[#This Row],[FECHA DE PAGO]]&gt;0,"pagada","por pagar")</f>
        <v>pagada</v>
      </c>
      <c r="AD1641" s="164" t="str">
        <f>+IF(AND(Tabla2[[#This Row],[venc]]="venc",Tabla2[[#This Row],[estado pago]]="por pagar"),"vencida","no")</f>
        <v>no</v>
      </c>
    </row>
    <row r="1642" spans="1:30" ht="19.5" customHeight="1" x14ac:dyDescent="0.25">
      <c r="A1642" s="8" t="s">
        <v>1850</v>
      </c>
      <c r="B1642" s="8" t="b">
        <v>0</v>
      </c>
      <c r="C1642" s="8">
        <v>30</v>
      </c>
      <c r="D1642" s="151">
        <v>0</v>
      </c>
      <c r="E1642" s="151"/>
      <c r="F1642" s="24" t="s">
        <v>1916</v>
      </c>
      <c r="G1642" s="30">
        <v>45440</v>
      </c>
      <c r="H1642" s="81" t="s">
        <v>1016</v>
      </c>
      <c r="I1642" s="30">
        <v>45428</v>
      </c>
      <c r="J1642" s="16" t="s">
        <v>1915</v>
      </c>
      <c r="K1642" s="9" t="s">
        <v>1530</v>
      </c>
      <c r="L1642" s="9"/>
      <c r="M1642" s="152">
        <v>1059736</v>
      </c>
      <c r="N1642" s="153">
        <v>45664</v>
      </c>
      <c r="O1642" s="152">
        <v>0</v>
      </c>
      <c r="P1642" s="154">
        <v>0</v>
      </c>
      <c r="Q1642" s="152">
        <v>0</v>
      </c>
      <c r="R1642" s="9">
        <v>1105400</v>
      </c>
      <c r="S1642" s="21" t="s">
        <v>1846</v>
      </c>
      <c r="T1642" s="117">
        <v>0</v>
      </c>
      <c r="U1642" s="117" t="s">
        <v>347</v>
      </c>
      <c r="V1642" s="117">
        <v>2024</v>
      </c>
      <c r="W1642" s="117">
        <v>7</v>
      </c>
      <c r="X1642" s="117">
        <v>1271000</v>
      </c>
      <c r="Y1642" s="117">
        <v>2.5000000000000001E-2</v>
      </c>
      <c r="Z1642" s="21" t="b">
        <v>0</v>
      </c>
      <c r="AA1642" s="162">
        <f>+$AD$5-Tabla2[[#This Row],[FECHA DE FACTURACIÓN]]</f>
        <v>15</v>
      </c>
      <c r="AB1642" s="163" t="str">
        <f>+IF(Tabla2[[#This Row],[dias de credito]]&gt;=Tabla2[[#This Row],[PLAZO Días]],"venc", "No venc")</f>
        <v>No venc</v>
      </c>
      <c r="AC1642" s="163" t="str">
        <f>+IF(Tabla2[[#This Row],[FECHA DE PAGO]]&gt;0,"pagada","por pagar")</f>
        <v>pagada</v>
      </c>
      <c r="AD1642" s="164" t="str">
        <f>+IF(AND(Tabla2[[#This Row],[venc]]="venc",Tabla2[[#This Row],[estado pago]]="por pagar"),"vencida","no")</f>
        <v>no</v>
      </c>
    </row>
    <row r="1643" spans="1:30" ht="19.5" customHeight="1" x14ac:dyDescent="0.25">
      <c r="A1643" s="8" t="s">
        <v>1850</v>
      </c>
      <c r="B1643" s="8" t="b">
        <v>0</v>
      </c>
      <c r="C1643" s="8">
        <v>30</v>
      </c>
      <c r="D1643" s="151">
        <v>1350000</v>
      </c>
      <c r="E1643" s="151"/>
      <c r="F1643" s="24" t="s">
        <v>84</v>
      </c>
      <c r="G1643" s="30"/>
      <c r="H1643" s="81" t="s">
        <v>1807</v>
      </c>
      <c r="I1643" s="30">
        <v>45440</v>
      </c>
      <c r="J1643" s="16" t="s">
        <v>1917</v>
      </c>
      <c r="K1643" s="9" t="s">
        <v>1530</v>
      </c>
      <c r="L1643" s="9"/>
      <c r="M1643" s="152">
        <v>1350000</v>
      </c>
      <c r="N1643" s="153">
        <v>0</v>
      </c>
      <c r="O1643" s="152">
        <v>0</v>
      </c>
      <c r="P1643" s="154">
        <v>0</v>
      </c>
      <c r="Q1643" s="152">
        <v>0</v>
      </c>
      <c r="R1643" s="9">
        <v>1350000</v>
      </c>
      <c r="S1643" s="21" t="s">
        <v>1854</v>
      </c>
      <c r="T1643" s="117">
        <v>-26</v>
      </c>
      <c r="U1643" s="117">
        <v>0</v>
      </c>
      <c r="V1643" s="117">
        <v>2024</v>
      </c>
      <c r="W1643" s="117">
        <v>7</v>
      </c>
      <c r="X1643" s="117">
        <v>0</v>
      </c>
      <c r="Y1643" s="117">
        <v>0</v>
      </c>
      <c r="Z1643" s="21" t="b">
        <v>0</v>
      </c>
      <c r="AA1643" s="162">
        <f>+$AD$5-Tabla2[[#This Row],[FECHA DE FACTURACIÓN]]</f>
        <v>3</v>
      </c>
      <c r="AB1643" s="163" t="str">
        <f>+IF(Tabla2[[#This Row],[dias de credito]]&gt;=Tabla2[[#This Row],[PLAZO Días]],"venc", "No venc")</f>
        <v>No venc</v>
      </c>
      <c r="AC1643" s="163" t="str">
        <f>+IF(Tabla2[[#This Row],[FECHA DE PAGO]]&gt;0,"pagada","por pagar")</f>
        <v>por pagar</v>
      </c>
      <c r="AD1643" s="164" t="str">
        <f>+IF(AND(Tabla2[[#This Row],[venc]]="venc",Tabla2[[#This Row],[estado pago]]="por pagar"),"vencida","no")</f>
        <v>no</v>
      </c>
    </row>
    <row r="1644" spans="1:30" ht="19.5" customHeight="1" x14ac:dyDescent="0.25">
      <c r="A1644" s="8" t="s">
        <v>1850</v>
      </c>
      <c r="B1644" s="8" t="b">
        <v>0</v>
      </c>
      <c r="C1644" s="8">
        <v>30</v>
      </c>
      <c r="D1644" s="151">
        <v>4316000</v>
      </c>
      <c r="E1644" s="151"/>
      <c r="F1644" s="24" t="s">
        <v>84</v>
      </c>
      <c r="G1644" s="30"/>
      <c r="H1644" s="81" t="s">
        <v>1812</v>
      </c>
      <c r="I1644" s="30">
        <v>45433</v>
      </c>
      <c r="J1644" s="16" t="s">
        <v>1918</v>
      </c>
      <c r="K1644" s="9" t="s">
        <v>1530</v>
      </c>
      <c r="L1644" s="9"/>
      <c r="M1644" s="152">
        <v>2063000</v>
      </c>
      <c r="N1644" s="153">
        <v>0</v>
      </c>
      <c r="O1644" s="152">
        <v>0</v>
      </c>
      <c r="P1644" s="154">
        <v>0</v>
      </c>
      <c r="Q1644" s="152">
        <v>0</v>
      </c>
      <c r="R1644" s="9">
        <v>2063000</v>
      </c>
      <c r="S1644" s="21" t="s">
        <v>1854</v>
      </c>
      <c r="T1644" s="117">
        <v>-19</v>
      </c>
      <c r="U1644" s="117">
        <v>0</v>
      </c>
      <c r="V1644" s="117">
        <v>2024</v>
      </c>
      <c r="W1644" s="117">
        <v>7</v>
      </c>
      <c r="X1644" s="117">
        <v>0</v>
      </c>
      <c r="Y1644" s="117">
        <v>0</v>
      </c>
      <c r="Z1644" s="21" t="b">
        <v>0</v>
      </c>
      <c r="AA1644" s="162">
        <f>+$AD$5-Tabla2[[#This Row],[FECHA DE FACTURACIÓN]]</f>
        <v>10</v>
      </c>
      <c r="AB1644" s="163" t="str">
        <f>+IF(Tabla2[[#This Row],[dias de credito]]&gt;=Tabla2[[#This Row],[PLAZO Días]],"venc", "No venc")</f>
        <v>No venc</v>
      </c>
      <c r="AC1644" s="163" t="str">
        <f>+IF(Tabla2[[#This Row],[FECHA DE PAGO]]&gt;0,"pagada","por pagar")</f>
        <v>por pagar</v>
      </c>
      <c r="AD1644" s="164" t="str">
        <f>+IF(AND(Tabla2[[#This Row],[venc]]="venc",Tabla2[[#This Row],[estado pago]]="por pagar"),"vencida","no")</f>
        <v>no</v>
      </c>
    </row>
    <row r="1645" spans="1:30" ht="19.5" customHeight="1" x14ac:dyDescent="0.25">
      <c r="A1645" s="8" t="s">
        <v>1850</v>
      </c>
      <c r="B1645" s="8" t="b">
        <v>0</v>
      </c>
      <c r="C1645" s="8">
        <v>30</v>
      </c>
      <c r="D1645" s="151">
        <v>2080356.81</v>
      </c>
      <c r="E1645" s="151"/>
      <c r="F1645" s="24" t="s">
        <v>409</v>
      </c>
      <c r="G1645" s="30"/>
      <c r="H1645" s="81" t="s">
        <v>31</v>
      </c>
      <c r="I1645" s="30">
        <v>45427</v>
      </c>
      <c r="J1645" s="16" t="s">
        <v>1919</v>
      </c>
      <c r="K1645" s="9" t="s">
        <v>1530</v>
      </c>
      <c r="L1645" s="9"/>
      <c r="M1645" s="152">
        <v>1785714</v>
      </c>
      <c r="N1645" s="153">
        <v>339285.66000000003</v>
      </c>
      <c r="O1645" s="152">
        <v>0</v>
      </c>
      <c r="P1645" s="154">
        <v>2.5000000000000001E-2</v>
      </c>
      <c r="Q1645" s="152">
        <v>44642.850000000006</v>
      </c>
      <c r="R1645" s="9">
        <v>2080356.81</v>
      </c>
      <c r="S1645" s="21" t="s">
        <v>1854</v>
      </c>
      <c r="T1645" s="117">
        <v>-13</v>
      </c>
      <c r="U1645" s="117" t="s">
        <v>347</v>
      </c>
      <c r="V1645" s="117">
        <v>2024</v>
      </c>
      <c r="W1645" s="117">
        <v>7</v>
      </c>
      <c r="X1645" s="117">
        <v>1271000</v>
      </c>
      <c r="Y1645" s="117">
        <v>2.5000000000000001E-2</v>
      </c>
      <c r="Z1645" s="21" t="b">
        <v>0</v>
      </c>
      <c r="AA1645" s="162">
        <f>+$AD$5-Tabla2[[#This Row],[FECHA DE FACTURACIÓN]]</f>
        <v>16</v>
      </c>
      <c r="AB1645" s="163" t="str">
        <f>+IF(Tabla2[[#This Row],[dias de credito]]&gt;=Tabla2[[#This Row],[PLAZO Días]],"venc", "No venc")</f>
        <v>No venc</v>
      </c>
      <c r="AC1645" s="163" t="str">
        <f>+IF(Tabla2[[#This Row],[FECHA DE PAGO]]&gt;0,"pagada","por pagar")</f>
        <v>por pagar</v>
      </c>
      <c r="AD1645" s="164" t="str">
        <f>+IF(AND(Tabla2[[#This Row],[venc]]="venc",Tabla2[[#This Row],[estado pago]]="por pagar"),"vencida","no")</f>
        <v>no</v>
      </c>
    </row>
    <row r="1646" spans="1:30" ht="19.5" customHeight="1" x14ac:dyDescent="0.25">
      <c r="A1646" s="8" t="s">
        <v>1850</v>
      </c>
      <c r="B1646" s="8" t="b">
        <v>0</v>
      </c>
      <c r="C1646" s="8">
        <v>30</v>
      </c>
      <c r="D1646" s="151">
        <v>1695707.16</v>
      </c>
      <c r="E1646" s="151"/>
      <c r="F1646" s="24" t="s">
        <v>217</v>
      </c>
      <c r="G1646" s="30"/>
      <c r="H1646" s="81" t="s">
        <v>194</v>
      </c>
      <c r="I1646" s="30">
        <v>45420</v>
      </c>
      <c r="J1646" s="16" t="s">
        <v>1920</v>
      </c>
      <c r="K1646" s="9" t="s">
        <v>1530</v>
      </c>
      <c r="L1646" s="9"/>
      <c r="M1646" s="152">
        <v>705480</v>
      </c>
      <c r="N1646" s="153">
        <v>134041.20000000001</v>
      </c>
      <c r="O1646" s="152">
        <v>0</v>
      </c>
      <c r="P1646" s="154">
        <v>0</v>
      </c>
      <c r="Q1646" s="152">
        <v>0</v>
      </c>
      <c r="R1646" s="9">
        <v>839521.2</v>
      </c>
      <c r="S1646" s="21" t="s">
        <v>1854</v>
      </c>
      <c r="T1646" s="117">
        <v>-6</v>
      </c>
      <c r="U1646" s="117">
        <v>0</v>
      </c>
      <c r="V1646" s="117">
        <v>2024</v>
      </c>
      <c r="W1646" s="117">
        <v>7</v>
      </c>
      <c r="X1646" s="117">
        <v>0</v>
      </c>
      <c r="Y1646" s="117">
        <v>0</v>
      </c>
      <c r="Z1646" s="21" t="b">
        <v>0</v>
      </c>
      <c r="AA1646" s="162">
        <f>+$AD$5-Tabla2[[#This Row],[FECHA DE FACTURACIÓN]]</f>
        <v>23</v>
      </c>
      <c r="AB1646" s="163" t="str">
        <f>+IF(Tabla2[[#This Row],[dias de credito]]&gt;=Tabla2[[#This Row],[PLAZO Días]],"venc", "No venc")</f>
        <v>No venc</v>
      </c>
      <c r="AC1646" s="163" t="str">
        <f>+IF(Tabla2[[#This Row],[FECHA DE PAGO]]&gt;0,"pagada","por pagar")</f>
        <v>por pagar</v>
      </c>
      <c r="AD1646" s="164" t="str">
        <f>+IF(AND(Tabla2[[#This Row],[venc]]="venc",Tabla2[[#This Row],[estado pago]]="por pagar"),"vencida","no")</f>
        <v>no</v>
      </c>
    </row>
    <row r="1647" spans="1:30" ht="19.5" customHeight="1" x14ac:dyDescent="0.25">
      <c r="A1647" s="8" t="s">
        <v>1850</v>
      </c>
      <c r="B1647" s="8" t="b">
        <v>0</v>
      </c>
      <c r="C1647" s="8">
        <v>30</v>
      </c>
      <c r="D1647" s="151">
        <v>1443796.06</v>
      </c>
      <c r="E1647" s="151"/>
      <c r="F1647" s="24" t="s">
        <v>1922</v>
      </c>
      <c r="G1647" s="30"/>
      <c r="H1647" s="81" t="s">
        <v>1921</v>
      </c>
      <c r="I1647" s="30">
        <v>45433</v>
      </c>
      <c r="J1647" s="16" t="s">
        <v>1923</v>
      </c>
      <c r="K1647" s="9" t="s">
        <v>1530</v>
      </c>
      <c r="L1647" s="9"/>
      <c r="M1647" s="152">
        <v>1213274</v>
      </c>
      <c r="N1647" s="153">
        <v>230522.06</v>
      </c>
      <c r="O1647" s="152">
        <v>0</v>
      </c>
      <c r="P1647" s="154">
        <v>0</v>
      </c>
      <c r="Q1647" s="152">
        <v>0</v>
      </c>
      <c r="R1647" s="9">
        <v>1443796.06</v>
      </c>
      <c r="S1647" s="21" t="s">
        <v>1854</v>
      </c>
      <c r="T1647" s="117">
        <v>-19</v>
      </c>
      <c r="U1647" s="117" t="s">
        <v>347</v>
      </c>
      <c r="V1647" s="117">
        <v>2024</v>
      </c>
      <c r="W1647" s="117">
        <v>7</v>
      </c>
      <c r="X1647" s="117">
        <v>1271000</v>
      </c>
      <c r="Y1647" s="117">
        <v>2.5000000000000001E-2</v>
      </c>
      <c r="Z1647" s="21" t="b">
        <v>0</v>
      </c>
      <c r="AA1647" s="162">
        <f>+$AD$5-Tabla2[[#This Row],[FECHA DE FACTURACIÓN]]</f>
        <v>10</v>
      </c>
      <c r="AB1647" s="163" t="str">
        <f>+IF(Tabla2[[#This Row],[dias de credito]]&gt;=Tabla2[[#This Row],[PLAZO Días]],"venc", "No venc")</f>
        <v>No venc</v>
      </c>
      <c r="AC1647" s="163" t="str">
        <f>+IF(Tabla2[[#This Row],[FECHA DE PAGO]]&gt;0,"pagada","por pagar")</f>
        <v>por pagar</v>
      </c>
      <c r="AD1647" s="164" t="str">
        <f>+IF(AND(Tabla2[[#This Row],[venc]]="venc",Tabla2[[#This Row],[estado pago]]="por pagar"),"vencida","no")</f>
        <v>no</v>
      </c>
    </row>
    <row r="1648" spans="1:30" ht="19.5" customHeight="1" x14ac:dyDescent="0.25">
      <c r="A1648" s="8" t="s">
        <v>1850</v>
      </c>
      <c r="B1648" s="8" t="b">
        <v>0</v>
      </c>
      <c r="C1648" s="8">
        <v>30</v>
      </c>
      <c r="D1648" s="151">
        <v>12628497</v>
      </c>
      <c r="E1648" s="151"/>
      <c r="F1648" s="24" t="s">
        <v>149</v>
      </c>
      <c r="G1648" s="30"/>
      <c r="H1648" s="81" t="s">
        <v>451</v>
      </c>
      <c r="I1648" s="30">
        <v>45429</v>
      </c>
      <c r="J1648" s="16">
        <v>34763</v>
      </c>
      <c r="K1648" s="9" t="s">
        <v>1530</v>
      </c>
      <c r="L1648" s="9"/>
      <c r="M1648" s="152">
        <v>2820000</v>
      </c>
      <c r="N1648" s="153">
        <v>535800</v>
      </c>
      <c r="O1648" s="152">
        <v>0</v>
      </c>
      <c r="P1648" s="154">
        <v>2.5000000000000001E-2</v>
      </c>
      <c r="Q1648" s="152">
        <v>70500</v>
      </c>
      <c r="R1648" s="9">
        <v>3285300</v>
      </c>
      <c r="S1648" s="21" t="s">
        <v>1854</v>
      </c>
      <c r="T1648" s="117">
        <v>-15</v>
      </c>
      <c r="U1648" s="117" t="s">
        <v>347</v>
      </c>
      <c r="V1648" s="117">
        <v>2024</v>
      </c>
      <c r="W1648" s="117">
        <v>7</v>
      </c>
      <c r="X1648" s="117">
        <v>1271000</v>
      </c>
      <c r="Y1648" s="117">
        <v>2.5000000000000001E-2</v>
      </c>
      <c r="Z1648" s="21" t="b">
        <v>0</v>
      </c>
      <c r="AA1648" s="162">
        <f>+$AD$5-Tabla2[[#This Row],[FECHA DE FACTURACIÓN]]</f>
        <v>14</v>
      </c>
      <c r="AB1648" s="163" t="str">
        <f>+IF(Tabla2[[#This Row],[dias de credito]]&gt;=Tabla2[[#This Row],[PLAZO Días]],"venc", "No venc")</f>
        <v>No venc</v>
      </c>
      <c r="AC1648" s="163" t="str">
        <f>+IF(Tabla2[[#This Row],[FECHA DE PAGO]]&gt;0,"pagada","por pagar")</f>
        <v>por pagar</v>
      </c>
      <c r="AD1648" s="164" t="str">
        <f>+IF(AND(Tabla2[[#This Row],[venc]]="venc",Tabla2[[#This Row],[estado pago]]="por pagar"),"vencida","no")</f>
        <v>no</v>
      </c>
    </row>
    <row r="1649" spans="1:30" ht="19.5" customHeight="1" x14ac:dyDescent="0.25">
      <c r="A1649" s="8" t="s">
        <v>1850</v>
      </c>
      <c r="B1649" s="8" t="b">
        <v>0</v>
      </c>
      <c r="C1649" s="8">
        <v>30</v>
      </c>
      <c r="D1649" s="151">
        <v>0</v>
      </c>
      <c r="E1649" s="151"/>
      <c r="F1649" s="24" t="s">
        <v>1614</v>
      </c>
      <c r="G1649" s="30">
        <v>45442</v>
      </c>
      <c r="H1649" s="81" t="s">
        <v>1863</v>
      </c>
      <c r="I1649" s="30">
        <v>45440</v>
      </c>
      <c r="J1649" s="16" t="s">
        <v>1926</v>
      </c>
      <c r="K1649" s="9" t="s">
        <v>1530</v>
      </c>
      <c r="L1649" s="9"/>
      <c r="M1649" s="152">
        <v>230424</v>
      </c>
      <c r="N1649" s="153">
        <v>0</v>
      </c>
      <c r="O1649" s="152">
        <v>0</v>
      </c>
      <c r="P1649" s="154">
        <v>0</v>
      </c>
      <c r="Q1649" s="152">
        <v>0</v>
      </c>
      <c r="R1649" s="9">
        <v>230424</v>
      </c>
      <c r="S1649" s="21" t="s">
        <v>1846</v>
      </c>
      <c r="T1649" s="117">
        <v>0</v>
      </c>
      <c r="U1649" s="117">
        <v>0</v>
      </c>
      <c r="V1649" s="117">
        <v>2024</v>
      </c>
      <c r="W1649" s="117">
        <v>7</v>
      </c>
      <c r="X1649" s="117">
        <v>0</v>
      </c>
      <c r="Y1649" s="117">
        <v>0</v>
      </c>
      <c r="Z1649" s="21" t="b">
        <v>0</v>
      </c>
      <c r="AA1649" s="162">
        <f>+$AD$5-Tabla2[[#This Row],[FECHA DE FACTURACIÓN]]</f>
        <v>3</v>
      </c>
      <c r="AB1649" s="163" t="str">
        <f>+IF(Tabla2[[#This Row],[dias de credito]]&gt;=Tabla2[[#This Row],[PLAZO Días]],"venc", "No venc")</f>
        <v>No venc</v>
      </c>
      <c r="AC1649" s="163" t="str">
        <f>+IF(Tabla2[[#This Row],[FECHA DE PAGO]]&gt;0,"pagada","por pagar")</f>
        <v>pagada</v>
      </c>
      <c r="AD1649" s="164" t="str">
        <f>+IF(AND(Tabla2[[#This Row],[venc]]="venc",Tabla2[[#This Row],[estado pago]]="por pagar"),"vencida","no")</f>
        <v>no</v>
      </c>
    </row>
    <row r="1650" spans="1:30" ht="19.5" customHeight="1" x14ac:dyDescent="0.25">
      <c r="A1650" s="8" t="s">
        <v>1850</v>
      </c>
      <c r="B1650" s="8" t="b">
        <v>0</v>
      </c>
      <c r="C1650" s="8">
        <v>60</v>
      </c>
      <c r="D1650" s="151">
        <v>1730482</v>
      </c>
      <c r="E1650" s="151"/>
      <c r="F1650" s="24" t="s">
        <v>603</v>
      </c>
      <c r="G1650" s="30"/>
      <c r="H1650" s="81" t="s">
        <v>222</v>
      </c>
      <c r="I1650" s="30">
        <v>45442</v>
      </c>
      <c r="J1650" s="16">
        <v>2043</v>
      </c>
      <c r="K1650" s="9" t="s">
        <v>504</v>
      </c>
      <c r="L1650" s="9"/>
      <c r="M1650" s="152">
        <v>581932</v>
      </c>
      <c r="N1650" s="153">
        <v>0</v>
      </c>
      <c r="O1650" s="152">
        <v>0</v>
      </c>
      <c r="P1650" s="154">
        <v>0</v>
      </c>
      <c r="Q1650" s="152">
        <v>0</v>
      </c>
      <c r="R1650" s="9">
        <v>581932</v>
      </c>
      <c r="S1650" s="21" t="s">
        <v>1854</v>
      </c>
      <c r="T1650" s="117">
        <v>-58</v>
      </c>
      <c r="U1650" s="117">
        <v>0</v>
      </c>
      <c r="V1650" s="117">
        <v>2024</v>
      </c>
      <c r="W1650" s="117">
        <v>7</v>
      </c>
      <c r="X1650" s="117">
        <v>0</v>
      </c>
      <c r="Y1650" s="117">
        <v>0</v>
      </c>
      <c r="Z1650" s="21" t="b">
        <v>0</v>
      </c>
      <c r="AA1650" s="162">
        <f>+$AD$5-Tabla2[[#This Row],[FECHA DE FACTURACIÓN]]</f>
        <v>1</v>
      </c>
      <c r="AB1650" s="163" t="str">
        <f>+IF(Tabla2[[#This Row],[dias de credito]]&gt;=Tabla2[[#This Row],[PLAZO Días]],"venc", "No venc")</f>
        <v>No venc</v>
      </c>
      <c r="AC1650" s="163" t="str">
        <f>+IF(Tabla2[[#This Row],[FECHA DE PAGO]]&gt;0,"pagada","por pagar")</f>
        <v>por pagar</v>
      </c>
      <c r="AD1650" s="164" t="str">
        <f>+IF(AND(Tabla2[[#This Row],[venc]]="venc",Tabla2[[#This Row],[estado pago]]="por pagar"),"vencida","no")</f>
        <v>no</v>
      </c>
    </row>
    <row r="1651" spans="1:30" ht="19.5" customHeight="1" x14ac:dyDescent="0.25">
      <c r="A1651" s="8" t="s">
        <v>1850</v>
      </c>
      <c r="B1651" s="8" t="b">
        <v>0</v>
      </c>
      <c r="C1651" s="8">
        <v>60</v>
      </c>
      <c r="D1651" s="151">
        <v>1730482</v>
      </c>
      <c r="E1651" s="151"/>
      <c r="F1651" s="24" t="s">
        <v>603</v>
      </c>
      <c r="G1651" s="30"/>
      <c r="H1651" s="81" t="s">
        <v>222</v>
      </c>
      <c r="I1651" s="30">
        <v>45442</v>
      </c>
      <c r="J1651" s="16">
        <v>2044</v>
      </c>
      <c r="K1651" s="9" t="s">
        <v>504</v>
      </c>
      <c r="L1651" s="9"/>
      <c r="M1651" s="152">
        <v>505362</v>
      </c>
      <c r="N1651" s="153">
        <v>0</v>
      </c>
      <c r="O1651" s="152">
        <v>0</v>
      </c>
      <c r="P1651" s="154">
        <v>0</v>
      </c>
      <c r="Q1651" s="152">
        <v>0</v>
      </c>
      <c r="R1651" s="9">
        <v>505362</v>
      </c>
      <c r="S1651" s="21" t="s">
        <v>1854</v>
      </c>
      <c r="T1651" s="117">
        <v>-58</v>
      </c>
      <c r="U1651" s="117">
        <v>0</v>
      </c>
      <c r="V1651" s="117">
        <v>2024</v>
      </c>
      <c r="W1651" s="117">
        <v>7</v>
      </c>
      <c r="X1651" s="117">
        <v>0</v>
      </c>
      <c r="Y1651" s="117">
        <v>0</v>
      </c>
      <c r="Z1651" s="21" t="b">
        <v>0</v>
      </c>
      <c r="AA1651" s="162">
        <f>+$AD$5-Tabla2[[#This Row],[FECHA DE FACTURACIÓN]]</f>
        <v>1</v>
      </c>
      <c r="AB1651" s="163" t="str">
        <f>+IF(Tabla2[[#This Row],[dias de credito]]&gt;=Tabla2[[#This Row],[PLAZO Días]],"venc", "No venc")</f>
        <v>No venc</v>
      </c>
      <c r="AC1651" s="163" t="str">
        <f>+IF(Tabla2[[#This Row],[FECHA DE PAGO]]&gt;0,"pagada","por pagar")</f>
        <v>por pagar</v>
      </c>
      <c r="AD1651" s="164" t="str">
        <f>+IF(AND(Tabla2[[#This Row],[venc]]="venc",Tabla2[[#This Row],[estado pago]]="por pagar"),"vencida","no")</f>
        <v>no</v>
      </c>
    </row>
    <row r="1652" spans="1:30" ht="19.5" customHeight="1" x14ac:dyDescent="0.25">
      <c r="A1652" s="8" t="s">
        <v>1850</v>
      </c>
      <c r="B1652" s="8" t="b">
        <v>0</v>
      </c>
      <c r="C1652" s="8">
        <v>30</v>
      </c>
      <c r="D1652" s="151">
        <v>1149500</v>
      </c>
      <c r="E1652" s="151"/>
      <c r="F1652" s="24" t="s">
        <v>84</v>
      </c>
      <c r="G1652" s="30"/>
      <c r="H1652" s="81" t="s">
        <v>1822</v>
      </c>
      <c r="I1652" s="30">
        <v>45441</v>
      </c>
      <c r="J1652" s="16"/>
      <c r="K1652" s="9" t="s">
        <v>1530</v>
      </c>
      <c r="L1652" s="9"/>
      <c r="M1652" s="152">
        <v>1149500</v>
      </c>
      <c r="N1652" s="153">
        <v>0</v>
      </c>
      <c r="O1652" s="152">
        <v>0</v>
      </c>
      <c r="P1652" s="154">
        <v>0</v>
      </c>
      <c r="Q1652" s="152">
        <v>0</v>
      </c>
      <c r="R1652" s="9">
        <v>1149500</v>
      </c>
      <c r="S1652" s="21" t="s">
        <v>1854</v>
      </c>
      <c r="T1652" s="117">
        <v>-27</v>
      </c>
      <c r="U1652" s="117">
        <v>0</v>
      </c>
      <c r="V1652" s="117">
        <v>2024</v>
      </c>
      <c r="W1652" s="117">
        <v>7</v>
      </c>
      <c r="X1652" s="117">
        <v>0</v>
      </c>
      <c r="Y1652" s="117">
        <v>0</v>
      </c>
      <c r="Z1652" s="21" t="b">
        <v>0</v>
      </c>
      <c r="AA1652" s="162">
        <f>+$AD$5-Tabla2[[#This Row],[FECHA DE FACTURACIÓN]]</f>
        <v>2</v>
      </c>
      <c r="AB1652" s="163" t="str">
        <f>+IF(Tabla2[[#This Row],[dias de credito]]&gt;=Tabla2[[#This Row],[PLAZO Días]],"venc", "No venc")</f>
        <v>No venc</v>
      </c>
      <c r="AC1652" s="163" t="str">
        <f>+IF(Tabla2[[#This Row],[FECHA DE PAGO]]&gt;0,"pagada","por pagar")</f>
        <v>por pagar</v>
      </c>
      <c r="AD1652" s="164" t="str">
        <f>+IF(AND(Tabla2[[#This Row],[venc]]="venc",Tabla2[[#This Row],[estado pago]]="por pagar"),"vencida","no")</f>
        <v>no</v>
      </c>
    </row>
    <row r="1653" spans="1:30" ht="19.5" customHeight="1" x14ac:dyDescent="0.25">
      <c r="A1653" s="8" t="s">
        <v>1850</v>
      </c>
      <c r="B1653" s="8" t="b">
        <v>0</v>
      </c>
      <c r="C1653" s="8">
        <v>30</v>
      </c>
      <c r="D1653" s="151">
        <v>4466504.835</v>
      </c>
      <c r="E1653" s="151"/>
      <c r="F1653" s="24" t="s">
        <v>1553</v>
      </c>
      <c r="G1653" s="30"/>
      <c r="H1653" s="81" t="s">
        <v>18</v>
      </c>
      <c r="I1653" s="30">
        <v>45440</v>
      </c>
      <c r="J1653" s="16" t="s">
        <v>1928</v>
      </c>
      <c r="K1653" s="9" t="s">
        <v>1530</v>
      </c>
      <c r="L1653" s="9"/>
      <c r="M1653" s="152">
        <v>974887</v>
      </c>
      <c r="N1653" s="153">
        <v>185228.53</v>
      </c>
      <c r="O1653" s="152">
        <v>0</v>
      </c>
      <c r="P1653" s="154">
        <v>0</v>
      </c>
      <c r="Q1653" s="152">
        <v>0</v>
      </c>
      <c r="R1653" s="9">
        <v>1160115.53</v>
      </c>
      <c r="S1653" s="21" t="s">
        <v>1854</v>
      </c>
      <c r="T1653" s="117">
        <v>-26</v>
      </c>
      <c r="U1653" s="117" t="s">
        <v>347</v>
      </c>
      <c r="V1653" s="117">
        <v>2024</v>
      </c>
      <c r="W1653" s="117">
        <v>7</v>
      </c>
      <c r="X1653" s="117">
        <v>1271000</v>
      </c>
      <c r="Y1653" s="117">
        <v>2.5000000000000001E-2</v>
      </c>
      <c r="Z1653" s="21" t="b">
        <v>0</v>
      </c>
      <c r="AA1653" s="162">
        <f>+$AD$5-Tabla2[[#This Row],[FECHA DE FACTURACIÓN]]</f>
        <v>3</v>
      </c>
      <c r="AB1653" s="163" t="str">
        <f>+IF(Tabla2[[#This Row],[dias de credito]]&gt;=Tabla2[[#This Row],[PLAZO Días]],"venc", "No venc")</f>
        <v>No venc</v>
      </c>
      <c r="AC1653" s="163" t="str">
        <f>+IF(Tabla2[[#This Row],[FECHA DE PAGO]]&gt;0,"pagada","por pagar")</f>
        <v>por pagar</v>
      </c>
      <c r="AD1653" s="164" t="str">
        <f>+IF(AND(Tabla2[[#This Row],[venc]]="venc",Tabla2[[#This Row],[estado pago]]="por pagar"),"vencida","no")</f>
        <v>no</v>
      </c>
    </row>
    <row r="1654" spans="1:30" ht="19.5" customHeight="1" x14ac:dyDescent="0.25">
      <c r="A1654" s="8" t="s">
        <v>1850</v>
      </c>
      <c r="B1654" s="8" t="b">
        <v>0</v>
      </c>
      <c r="C1654" s="8">
        <v>30</v>
      </c>
      <c r="D1654" s="151">
        <v>4316000</v>
      </c>
      <c r="E1654" s="151"/>
      <c r="F1654" s="24" t="s">
        <v>84</v>
      </c>
      <c r="G1654" s="30"/>
      <c r="H1654" s="81" t="s">
        <v>1812</v>
      </c>
      <c r="I1654" s="30">
        <v>45398</v>
      </c>
      <c r="J1654" s="16" t="s">
        <v>1929</v>
      </c>
      <c r="K1654" s="9" t="s">
        <v>1530</v>
      </c>
      <c r="L1654" s="9"/>
      <c r="M1654" s="152">
        <v>1185000</v>
      </c>
      <c r="N1654" s="153">
        <v>0</v>
      </c>
      <c r="O1654" s="152">
        <v>0</v>
      </c>
      <c r="P1654" s="154">
        <v>0</v>
      </c>
      <c r="Q1654" s="152">
        <v>0</v>
      </c>
      <c r="R1654" s="9">
        <v>1185000</v>
      </c>
      <c r="S1654" s="21" t="s">
        <v>1853</v>
      </c>
      <c r="T1654" s="117">
        <v>16</v>
      </c>
      <c r="U1654" s="117">
        <v>0</v>
      </c>
      <c r="V1654" s="117">
        <v>2024</v>
      </c>
      <c r="W1654" s="117">
        <v>7</v>
      </c>
      <c r="X1654" s="117">
        <v>0</v>
      </c>
      <c r="Y1654" s="117">
        <v>0</v>
      </c>
      <c r="Z1654" s="21" t="b">
        <v>0</v>
      </c>
      <c r="AA1654" s="162">
        <f>+$AD$5-Tabla2[[#This Row],[FECHA DE FACTURACIÓN]]</f>
        <v>45</v>
      </c>
      <c r="AB1654" s="163" t="str">
        <f>+IF(Tabla2[[#This Row],[dias de credito]]&gt;=Tabla2[[#This Row],[PLAZO Días]],"venc", "No venc")</f>
        <v>venc</v>
      </c>
      <c r="AC1654" s="163" t="str">
        <f>+IF(Tabla2[[#This Row],[FECHA DE PAGO]]&gt;0,"pagada","por pagar")</f>
        <v>por pagar</v>
      </c>
      <c r="AD1654" s="164" t="str">
        <f>+IF(AND(Tabla2[[#This Row],[venc]]="venc",Tabla2[[#This Row],[estado pago]]="por pagar"),"vencida","no")</f>
        <v>vencida</v>
      </c>
    </row>
    <row r="1655" spans="1:30" ht="19.5" customHeight="1" x14ac:dyDescent="0.25">
      <c r="A1655" s="8" t="s">
        <v>1850</v>
      </c>
      <c r="B1655" s="8" t="b">
        <v>0</v>
      </c>
      <c r="C1655" s="8">
        <v>45</v>
      </c>
      <c r="D1655" s="151">
        <v>2446500</v>
      </c>
      <c r="E1655" s="151"/>
      <c r="F1655" s="24" t="s">
        <v>158</v>
      </c>
      <c r="G1655" s="30"/>
      <c r="H1655" s="81" t="s">
        <v>10</v>
      </c>
      <c r="I1655" s="30">
        <v>45442</v>
      </c>
      <c r="J1655" s="16" t="s">
        <v>1930</v>
      </c>
      <c r="K1655" s="9" t="s">
        <v>504</v>
      </c>
      <c r="L1655" s="9"/>
      <c r="M1655" s="152">
        <v>2100000</v>
      </c>
      <c r="N1655" s="153">
        <v>399000</v>
      </c>
      <c r="O1655" s="152">
        <v>0</v>
      </c>
      <c r="P1655" s="154">
        <v>2.5000000000000001E-2</v>
      </c>
      <c r="Q1655" s="152">
        <v>52500</v>
      </c>
      <c r="R1655" s="9">
        <v>2446500</v>
      </c>
      <c r="S1655" s="21" t="s">
        <v>1854</v>
      </c>
      <c r="T1655" s="117">
        <v>-43</v>
      </c>
      <c r="U1655" s="117" t="s">
        <v>347</v>
      </c>
      <c r="V1655" s="117">
        <v>2024</v>
      </c>
      <c r="W1655" s="117">
        <v>7</v>
      </c>
      <c r="X1655" s="117">
        <v>1271000</v>
      </c>
      <c r="Y1655" s="117">
        <v>2.5000000000000001E-2</v>
      </c>
      <c r="Z1655" s="21" t="b">
        <v>0</v>
      </c>
      <c r="AA1655" s="162">
        <f>+$AD$5-Tabla2[[#This Row],[FECHA DE FACTURACIÓN]]</f>
        <v>1</v>
      </c>
      <c r="AB1655" s="163" t="str">
        <f>+IF(Tabla2[[#This Row],[dias de credito]]&gt;=Tabla2[[#This Row],[PLAZO Días]],"venc", "No venc")</f>
        <v>No venc</v>
      </c>
      <c r="AC1655" s="163" t="str">
        <f>+IF(Tabla2[[#This Row],[FECHA DE PAGO]]&gt;0,"pagada","por pagar")</f>
        <v>por pagar</v>
      </c>
      <c r="AD1655" s="164" t="str">
        <f>+IF(AND(Tabla2[[#This Row],[venc]]="venc",Tabla2[[#This Row],[estado pago]]="por pagar"),"vencida","no")</f>
        <v>no</v>
      </c>
    </row>
    <row r="1656" spans="1:30" ht="19.5" customHeight="1" x14ac:dyDescent="0.25">
      <c r="A1656" s="8" t="s">
        <v>1850</v>
      </c>
      <c r="B1656" s="8" t="b">
        <v>0</v>
      </c>
      <c r="C1656" s="8">
        <v>30</v>
      </c>
      <c r="D1656" s="151">
        <v>1391998.93</v>
      </c>
      <c r="E1656" s="151"/>
      <c r="F1656" s="24" t="s">
        <v>1185</v>
      </c>
      <c r="G1656" s="30"/>
      <c r="H1656" s="81" t="s">
        <v>1186</v>
      </c>
      <c r="I1656" s="30">
        <v>45436</v>
      </c>
      <c r="J1656" s="16" t="s">
        <v>1931</v>
      </c>
      <c r="K1656" s="9" t="s">
        <v>1530</v>
      </c>
      <c r="L1656" s="9"/>
      <c r="M1656" s="152">
        <v>1169747</v>
      </c>
      <c r="N1656" s="153">
        <v>222251.93</v>
      </c>
      <c r="O1656" s="152">
        <v>0</v>
      </c>
      <c r="P1656" s="154">
        <v>0</v>
      </c>
      <c r="Q1656" s="152">
        <v>0</v>
      </c>
      <c r="R1656" s="9">
        <v>1391998.93</v>
      </c>
      <c r="S1656" s="21" t="s">
        <v>1854</v>
      </c>
      <c r="T1656" s="117">
        <v>-22</v>
      </c>
      <c r="U1656" s="117" t="s">
        <v>347</v>
      </c>
      <c r="V1656" s="117">
        <v>2024</v>
      </c>
      <c r="W1656" s="117">
        <v>7</v>
      </c>
      <c r="X1656" s="117">
        <v>1271000</v>
      </c>
      <c r="Y1656" s="117">
        <v>2.5000000000000001E-2</v>
      </c>
      <c r="Z1656" s="21" t="b">
        <v>0</v>
      </c>
      <c r="AA1656" s="162">
        <f>+$AD$5-Tabla2[[#This Row],[FECHA DE FACTURACIÓN]]</f>
        <v>7</v>
      </c>
      <c r="AB1656" s="163" t="str">
        <f>+IF(Tabla2[[#This Row],[dias de credito]]&gt;=Tabla2[[#This Row],[PLAZO Días]],"venc", "No venc")</f>
        <v>No venc</v>
      </c>
      <c r="AC1656" s="163" t="str">
        <f>+IF(Tabla2[[#This Row],[FECHA DE PAGO]]&gt;0,"pagada","por pagar")</f>
        <v>por pagar</v>
      </c>
      <c r="AD1656" s="164" t="str">
        <f>+IF(AND(Tabla2[[#This Row],[venc]]="venc",Tabla2[[#This Row],[estado pago]]="por pagar"),"vencida","no")</f>
        <v>no</v>
      </c>
    </row>
    <row r="1657" spans="1:30" ht="19.5" customHeight="1" x14ac:dyDescent="0.25">
      <c r="A1657" s="8" t="s">
        <v>1850</v>
      </c>
      <c r="B1657" s="8" t="b">
        <v>0</v>
      </c>
      <c r="C1657" s="8">
        <v>30</v>
      </c>
      <c r="D1657" s="151">
        <v>134000</v>
      </c>
      <c r="E1657" s="151"/>
      <c r="F1657" s="24" t="s">
        <v>192</v>
      </c>
      <c r="G1657" s="30"/>
      <c r="H1657" s="81" t="s">
        <v>1808</v>
      </c>
      <c r="I1657" s="30">
        <v>45429</v>
      </c>
      <c r="J1657" s="16" t="s">
        <v>1932</v>
      </c>
      <c r="K1657" s="9" t="s">
        <v>1530</v>
      </c>
      <c r="L1657" s="9"/>
      <c r="M1657" s="152">
        <v>66000</v>
      </c>
      <c r="N1657" s="153">
        <v>0</v>
      </c>
      <c r="O1657" s="152">
        <v>0</v>
      </c>
      <c r="P1657" s="154">
        <v>0</v>
      </c>
      <c r="Q1657" s="152">
        <v>0</v>
      </c>
      <c r="R1657" s="9">
        <v>66000</v>
      </c>
      <c r="S1657" s="21" t="s">
        <v>1854</v>
      </c>
      <c r="T1657" s="117">
        <v>-15</v>
      </c>
      <c r="U1657" s="117">
        <v>0</v>
      </c>
      <c r="V1657" s="117">
        <v>2024</v>
      </c>
      <c r="W1657" s="117">
        <v>7</v>
      </c>
      <c r="X1657" s="117">
        <v>0</v>
      </c>
      <c r="Y1657" s="117">
        <v>0</v>
      </c>
      <c r="Z1657" s="21" t="b">
        <v>0</v>
      </c>
      <c r="AA1657" s="162">
        <f>+$AD$5-Tabla2[[#This Row],[FECHA DE FACTURACIÓN]]</f>
        <v>14</v>
      </c>
      <c r="AB1657" s="163" t="str">
        <f>+IF(Tabla2[[#This Row],[dias de credito]]&gt;=Tabla2[[#This Row],[PLAZO Días]],"venc", "No venc")</f>
        <v>No venc</v>
      </c>
      <c r="AC1657" s="163" t="str">
        <f>+IF(Tabla2[[#This Row],[FECHA DE PAGO]]&gt;0,"pagada","por pagar")</f>
        <v>por pagar</v>
      </c>
      <c r="AD1657" s="164" t="str">
        <f>+IF(AND(Tabla2[[#This Row],[venc]]="venc",Tabla2[[#This Row],[estado pago]]="por pagar"),"vencida","no")</f>
        <v>no</v>
      </c>
    </row>
    <row r="1658" spans="1:30" ht="19.5" customHeight="1" x14ac:dyDescent="0.25">
      <c r="A1658" s="8" t="s">
        <v>1850</v>
      </c>
      <c r="B1658" s="8" t="b">
        <v>0</v>
      </c>
      <c r="C1658" s="8">
        <v>30</v>
      </c>
      <c r="D1658" s="151">
        <v>134000</v>
      </c>
      <c r="E1658" s="151"/>
      <c r="F1658" s="24" t="s">
        <v>192</v>
      </c>
      <c r="G1658" s="30"/>
      <c r="H1658" s="81" t="s">
        <v>1808</v>
      </c>
      <c r="I1658" s="30">
        <v>45433</v>
      </c>
      <c r="J1658" s="16" t="s">
        <v>1933</v>
      </c>
      <c r="K1658" s="9" t="s">
        <v>1530</v>
      </c>
      <c r="L1658" s="9"/>
      <c r="M1658" s="152">
        <v>68000</v>
      </c>
      <c r="N1658" s="153">
        <v>0</v>
      </c>
      <c r="O1658" s="152">
        <v>0</v>
      </c>
      <c r="P1658" s="154">
        <v>0</v>
      </c>
      <c r="Q1658" s="152">
        <v>0</v>
      </c>
      <c r="R1658" s="9">
        <v>68000</v>
      </c>
      <c r="S1658" s="21" t="s">
        <v>1854</v>
      </c>
      <c r="T1658" s="117">
        <v>-19</v>
      </c>
      <c r="U1658" s="117">
        <v>0</v>
      </c>
      <c r="V1658" s="117">
        <v>2024</v>
      </c>
      <c r="W1658" s="117">
        <v>7</v>
      </c>
      <c r="X1658" s="117">
        <v>0</v>
      </c>
      <c r="Y1658" s="117">
        <v>0</v>
      </c>
      <c r="Z1658" s="21" t="b">
        <v>0</v>
      </c>
      <c r="AA1658" s="162">
        <f>+$AD$5-Tabla2[[#This Row],[FECHA DE FACTURACIÓN]]</f>
        <v>10</v>
      </c>
      <c r="AB1658" s="163" t="str">
        <f>+IF(Tabla2[[#This Row],[dias de credito]]&gt;=Tabla2[[#This Row],[PLAZO Días]],"venc", "No venc")</f>
        <v>No venc</v>
      </c>
      <c r="AC1658" s="163" t="str">
        <f>+IF(Tabla2[[#This Row],[FECHA DE PAGO]]&gt;0,"pagada","por pagar")</f>
        <v>por pagar</v>
      </c>
      <c r="AD1658" s="164" t="str">
        <f>+IF(AND(Tabla2[[#This Row],[venc]]="venc",Tabla2[[#This Row],[estado pago]]="por pagar"),"vencida","no")</f>
        <v>no</v>
      </c>
    </row>
    <row r="1659" spans="1:30" ht="19.5" customHeight="1" x14ac:dyDescent="0.25">
      <c r="A1659" s="8" t="s">
        <v>1850</v>
      </c>
      <c r="B1659" s="8" t="b">
        <v>0</v>
      </c>
      <c r="C1659" s="8">
        <v>30</v>
      </c>
      <c r="D1659" s="151">
        <v>1776037.21</v>
      </c>
      <c r="E1659" s="151"/>
      <c r="F1659" s="24" t="s">
        <v>148</v>
      </c>
      <c r="G1659" s="30"/>
      <c r="H1659" s="81" t="s">
        <v>17</v>
      </c>
      <c r="I1659" s="30">
        <v>45436</v>
      </c>
      <c r="J1659" s="16" t="s">
        <v>1934</v>
      </c>
      <c r="K1659" s="9" t="s">
        <v>1530</v>
      </c>
      <c r="L1659" s="9"/>
      <c r="M1659" s="152">
        <v>69959</v>
      </c>
      <c r="N1659" s="153">
        <v>13292.210000000001</v>
      </c>
      <c r="O1659" s="152">
        <v>0</v>
      </c>
      <c r="P1659" s="154">
        <v>0</v>
      </c>
      <c r="Q1659" s="152">
        <v>0</v>
      </c>
      <c r="R1659" s="9">
        <v>83251.210000000006</v>
      </c>
      <c r="S1659" s="21" t="s">
        <v>1854</v>
      </c>
      <c r="T1659" s="117">
        <v>-22</v>
      </c>
      <c r="U1659" s="117">
        <v>0</v>
      </c>
      <c r="V1659" s="117">
        <v>2024</v>
      </c>
      <c r="W1659" s="117">
        <v>7</v>
      </c>
      <c r="X1659" s="117">
        <v>0</v>
      </c>
      <c r="Y1659" s="117">
        <v>0</v>
      </c>
      <c r="Z1659" s="21" t="b">
        <v>0</v>
      </c>
      <c r="AA1659" s="162">
        <f>+$AD$5-Tabla2[[#This Row],[FECHA DE FACTURACIÓN]]</f>
        <v>7</v>
      </c>
      <c r="AB1659" s="163" t="str">
        <f>+IF(Tabla2[[#This Row],[dias de credito]]&gt;=Tabla2[[#This Row],[PLAZO Días]],"venc", "No venc")</f>
        <v>No venc</v>
      </c>
      <c r="AC1659" s="163" t="str">
        <f>+IF(Tabla2[[#This Row],[FECHA DE PAGO]]&gt;0,"pagada","por pagar")</f>
        <v>por pagar</v>
      </c>
      <c r="AD1659" s="164" t="str">
        <f>+IF(AND(Tabla2[[#This Row],[venc]]="venc",Tabla2[[#This Row],[estado pago]]="por pagar"),"vencida","no")</f>
        <v>no</v>
      </c>
    </row>
    <row r="1660" spans="1:30" ht="19.5" customHeight="1" x14ac:dyDescent="0.25">
      <c r="A1660" s="8" t="s">
        <v>1850</v>
      </c>
      <c r="B1660" s="8" t="b">
        <v>0</v>
      </c>
      <c r="C1660" s="8">
        <v>30</v>
      </c>
      <c r="D1660" s="151">
        <v>1776037.21</v>
      </c>
      <c r="E1660" s="151"/>
      <c r="F1660" s="24" t="s">
        <v>148</v>
      </c>
      <c r="G1660" s="30"/>
      <c r="H1660" s="81" t="s">
        <v>17</v>
      </c>
      <c r="I1660" s="30">
        <v>45434</v>
      </c>
      <c r="J1660" s="16" t="s">
        <v>1935</v>
      </c>
      <c r="K1660" s="9" t="s">
        <v>1530</v>
      </c>
      <c r="L1660" s="9"/>
      <c r="M1660" s="152">
        <v>1675630</v>
      </c>
      <c r="N1660" s="153">
        <v>17156</v>
      </c>
      <c r="O1660" s="152">
        <v>0</v>
      </c>
      <c r="P1660" s="154">
        <v>0</v>
      </c>
      <c r="Q1660" s="152">
        <v>0</v>
      </c>
      <c r="R1660" s="9">
        <v>1692786</v>
      </c>
      <c r="S1660" s="21" t="s">
        <v>1854</v>
      </c>
      <c r="T1660" s="117">
        <v>-20</v>
      </c>
      <c r="U1660" s="117">
        <v>0</v>
      </c>
      <c r="V1660" s="117">
        <v>2024</v>
      </c>
      <c r="W1660" s="117">
        <v>7</v>
      </c>
      <c r="X1660" s="117">
        <v>0</v>
      </c>
      <c r="Y1660" s="117">
        <v>0</v>
      </c>
      <c r="Z1660" s="21" t="b">
        <v>0</v>
      </c>
      <c r="AA1660" s="162">
        <f>+$AD$5-Tabla2[[#This Row],[FECHA DE FACTURACIÓN]]</f>
        <v>9</v>
      </c>
      <c r="AB1660" s="163" t="str">
        <f>+IF(Tabla2[[#This Row],[dias de credito]]&gt;=Tabla2[[#This Row],[PLAZO Días]],"venc", "No venc")</f>
        <v>No venc</v>
      </c>
      <c r="AC1660" s="163" t="str">
        <f>+IF(Tabla2[[#This Row],[FECHA DE PAGO]]&gt;0,"pagada","por pagar")</f>
        <v>por pagar</v>
      </c>
      <c r="AD1660" s="164" t="str">
        <f>+IF(AND(Tabla2[[#This Row],[venc]]="venc",Tabla2[[#This Row],[estado pago]]="por pagar"),"vencida","no")</f>
        <v>no</v>
      </c>
    </row>
    <row r="1661" spans="1:30" ht="19.5" customHeight="1" x14ac:dyDescent="0.25">
      <c r="A1661" s="8" t="s">
        <v>1850</v>
      </c>
      <c r="B1661" s="8" t="b">
        <v>0</v>
      </c>
      <c r="C1661" s="8">
        <v>45</v>
      </c>
      <c r="D1661" s="151">
        <v>22186260.039999999</v>
      </c>
      <c r="E1661" s="151"/>
      <c r="F1661" s="24" t="s">
        <v>357</v>
      </c>
      <c r="G1661" s="30"/>
      <c r="H1661" s="81" t="s">
        <v>19</v>
      </c>
      <c r="I1661" s="30">
        <v>45441</v>
      </c>
      <c r="J1661" s="16" t="s">
        <v>1936</v>
      </c>
      <c r="K1661" s="9" t="s">
        <v>504</v>
      </c>
      <c r="L1661" s="9"/>
      <c r="M1661" s="152">
        <v>5303616</v>
      </c>
      <c r="N1661" s="153">
        <v>1007687.04</v>
      </c>
      <c r="O1661" s="152">
        <v>0</v>
      </c>
      <c r="P1661" s="154">
        <v>0</v>
      </c>
      <c r="Q1661" s="152">
        <v>0</v>
      </c>
      <c r="R1661" s="9">
        <v>6311303.04</v>
      </c>
      <c r="S1661" s="21" t="s">
        <v>1854</v>
      </c>
      <c r="T1661" s="117">
        <v>-42</v>
      </c>
      <c r="U1661" s="117">
        <v>0</v>
      </c>
      <c r="V1661" s="117">
        <v>2024</v>
      </c>
      <c r="W1661" s="117">
        <v>7</v>
      </c>
      <c r="X1661" s="117">
        <v>0</v>
      </c>
      <c r="Y1661" s="117">
        <v>0</v>
      </c>
      <c r="Z1661" s="21" t="b">
        <v>0</v>
      </c>
      <c r="AA1661" s="162">
        <f>+$AD$5-Tabla2[[#This Row],[FECHA DE FACTURACIÓN]]</f>
        <v>2</v>
      </c>
      <c r="AB1661" s="163" t="str">
        <f>+IF(Tabla2[[#This Row],[dias de credito]]&gt;=Tabla2[[#This Row],[PLAZO Días]],"venc", "No venc")</f>
        <v>No venc</v>
      </c>
      <c r="AC1661" s="163" t="str">
        <f>+IF(Tabla2[[#This Row],[FECHA DE PAGO]]&gt;0,"pagada","por pagar")</f>
        <v>por pagar</v>
      </c>
      <c r="AD1661" s="164" t="str">
        <f>+IF(AND(Tabla2[[#This Row],[venc]]="venc",Tabla2[[#This Row],[estado pago]]="por pagar"),"vencida","no")</f>
        <v>no</v>
      </c>
    </row>
    <row r="1662" spans="1:30" ht="19.5" customHeight="1" x14ac:dyDescent="0.25">
      <c r="A1662" s="8" t="s">
        <v>1850</v>
      </c>
      <c r="B1662" s="8" t="b">
        <v>0</v>
      </c>
      <c r="C1662" s="8">
        <v>0</v>
      </c>
      <c r="D1662" s="151">
        <v>3014437.5</v>
      </c>
      <c r="E1662" s="151"/>
      <c r="F1662" s="24">
        <v>0</v>
      </c>
      <c r="G1662" s="30"/>
      <c r="H1662" s="81" t="s">
        <v>1937</v>
      </c>
      <c r="I1662" s="30">
        <v>45428</v>
      </c>
      <c r="J1662" s="16" t="s">
        <v>1938</v>
      </c>
      <c r="K1662" s="9"/>
      <c r="L1662" s="9"/>
      <c r="M1662" s="152">
        <v>2587500</v>
      </c>
      <c r="N1662" s="153">
        <v>491625</v>
      </c>
      <c r="O1662" s="152">
        <v>0</v>
      </c>
      <c r="P1662" s="154">
        <v>2.5000000000000001E-2</v>
      </c>
      <c r="Q1662" s="152">
        <v>64687.5</v>
      </c>
      <c r="R1662" s="9">
        <v>3014437.5</v>
      </c>
      <c r="S1662" s="21" t="s">
        <v>1853</v>
      </c>
      <c r="T1662" s="117">
        <v>16</v>
      </c>
      <c r="U1662" s="117" t="s">
        <v>347</v>
      </c>
      <c r="V1662" s="117">
        <v>2024</v>
      </c>
      <c r="W1662" s="117">
        <v>7</v>
      </c>
      <c r="X1662" s="117">
        <v>1271000</v>
      </c>
      <c r="Y1662" s="117">
        <v>2.5000000000000001E-2</v>
      </c>
      <c r="Z1662" s="21" t="b">
        <v>0</v>
      </c>
      <c r="AA1662" s="162">
        <f>+$AD$5-Tabla2[[#This Row],[FECHA DE FACTURACIÓN]]</f>
        <v>15</v>
      </c>
      <c r="AB1662" s="163" t="str">
        <f>+IF(Tabla2[[#This Row],[dias de credito]]&gt;=Tabla2[[#This Row],[PLAZO Días]],"venc", "No venc")</f>
        <v>venc</v>
      </c>
      <c r="AC1662" s="163" t="str">
        <f>+IF(Tabla2[[#This Row],[FECHA DE PAGO]]&gt;0,"pagada","por pagar")</f>
        <v>por pagar</v>
      </c>
      <c r="AD1662" s="164" t="str">
        <f>+IF(AND(Tabla2[[#This Row],[venc]]="venc",Tabla2[[#This Row],[estado pago]]="por pagar"),"vencida","no")</f>
        <v>vencida</v>
      </c>
    </row>
    <row r="1663" spans="1:30" ht="19.5" hidden="1" customHeight="1" x14ac:dyDescent="0.25">
      <c r="A1663" s="8"/>
      <c r="B1663" s="8"/>
      <c r="C1663" s="8"/>
      <c r="D1663" s="151"/>
      <c r="E1663" s="151"/>
      <c r="F1663" s="24"/>
      <c r="G1663" s="30"/>
      <c r="H1663" s="81"/>
      <c r="I1663" s="30"/>
      <c r="J1663" s="16"/>
      <c r="K1663" s="9"/>
      <c r="L1663" s="9"/>
      <c r="M1663" s="152"/>
      <c r="N1663" s="153"/>
      <c r="O1663" s="152"/>
      <c r="P1663" s="154"/>
      <c r="Q1663" s="152"/>
      <c r="R1663" s="9"/>
      <c r="Z1663" s="21"/>
      <c r="AA1663" s="162">
        <f>+$AD$5-Tabla2[[#This Row],[FECHA DE FACTURACIÓN]]</f>
        <v>45443</v>
      </c>
      <c r="AB1663" s="163" t="str">
        <f>+IF(Tabla2[[#This Row],[dias de credito]]&gt;=Tabla2[[#This Row],[PLAZO Días]],"venc", "No venc")</f>
        <v>venc</v>
      </c>
      <c r="AC1663" s="163" t="str">
        <f>+IF(Tabla2[[#This Row],[FECHA DE PAGO]]&gt;0,"pagada","por pagar")</f>
        <v>por pagar</v>
      </c>
      <c r="AD1663" s="164" t="str">
        <f>+IF(AND(Tabla2[[#This Row],[venc]]="venc",Tabla2[[#This Row],[estado pago]]="por pagar"),"vencida","no")</f>
        <v>vencida</v>
      </c>
    </row>
    <row r="1664" spans="1:30" ht="19.5" hidden="1" customHeight="1" x14ac:dyDescent="0.25">
      <c r="A1664" s="8"/>
      <c r="B1664" s="8"/>
      <c r="C1664" s="8"/>
      <c r="D1664" s="151"/>
      <c r="E1664" s="151"/>
      <c r="F1664" s="24"/>
      <c r="G1664" s="30"/>
      <c r="H1664" s="81"/>
      <c r="I1664" s="30"/>
      <c r="J1664" s="16"/>
      <c r="K1664" s="9"/>
      <c r="L1664" s="9"/>
      <c r="M1664" s="152"/>
      <c r="N1664" s="153"/>
      <c r="O1664" s="152"/>
      <c r="P1664" s="154"/>
      <c r="Q1664" s="152"/>
      <c r="R1664" s="9"/>
      <c r="Z1664" s="21"/>
      <c r="AA1664" s="162">
        <f>+$AD$5-Tabla2[[#This Row],[FECHA DE FACTURACIÓN]]</f>
        <v>45443</v>
      </c>
      <c r="AB1664" s="163" t="str">
        <f>+IF(Tabla2[[#This Row],[dias de credito]]&gt;=Tabla2[[#This Row],[PLAZO Días]],"venc", "No venc")</f>
        <v>venc</v>
      </c>
      <c r="AC1664" s="163" t="str">
        <f>+IF(Tabla2[[#This Row],[FECHA DE PAGO]]&gt;0,"pagada","por pagar")</f>
        <v>por pagar</v>
      </c>
      <c r="AD1664" s="164" t="str">
        <f>+IF(AND(Tabla2[[#This Row],[venc]]="venc",Tabla2[[#This Row],[estado pago]]="por pagar"),"vencida","no")</f>
        <v>vencida</v>
      </c>
    </row>
    <row r="1665" spans="1:30" ht="19.5" hidden="1" customHeight="1" x14ac:dyDescent="0.25">
      <c r="A1665" s="8"/>
      <c r="B1665" s="8"/>
      <c r="C1665" s="8"/>
      <c r="D1665" s="151"/>
      <c r="E1665" s="151"/>
      <c r="F1665" s="24"/>
      <c r="G1665" s="30"/>
      <c r="H1665" s="81"/>
      <c r="I1665" s="30"/>
      <c r="J1665" s="16"/>
      <c r="K1665" s="9"/>
      <c r="L1665" s="9"/>
      <c r="M1665" s="152"/>
      <c r="N1665" s="153"/>
      <c r="O1665" s="152"/>
      <c r="P1665" s="154"/>
      <c r="Q1665" s="152"/>
      <c r="R1665" s="9"/>
      <c r="Z1665" s="21"/>
      <c r="AA1665" s="162">
        <f>+$AD$5-Tabla2[[#This Row],[FECHA DE FACTURACIÓN]]</f>
        <v>45443</v>
      </c>
      <c r="AB1665" s="163" t="str">
        <f>+IF(Tabla2[[#This Row],[dias de credito]]&gt;=Tabla2[[#This Row],[PLAZO Días]],"venc", "No venc")</f>
        <v>venc</v>
      </c>
      <c r="AC1665" s="163" t="str">
        <f>+IF(Tabla2[[#This Row],[FECHA DE PAGO]]&gt;0,"pagada","por pagar")</f>
        <v>por pagar</v>
      </c>
      <c r="AD1665" s="164" t="str">
        <f>+IF(AND(Tabla2[[#This Row],[venc]]="venc",Tabla2[[#This Row],[estado pago]]="por pagar"),"vencida","no")</f>
        <v>vencida</v>
      </c>
    </row>
    <row r="1666" spans="1:30" ht="19.5" hidden="1" customHeight="1" x14ac:dyDescent="0.25">
      <c r="A1666" s="8"/>
      <c r="B1666" s="8"/>
      <c r="C1666" s="8"/>
      <c r="D1666" s="151"/>
      <c r="E1666" s="151"/>
      <c r="F1666" s="24"/>
      <c r="G1666" s="30"/>
      <c r="H1666" s="81"/>
      <c r="I1666" s="30"/>
      <c r="J1666" s="16"/>
      <c r="K1666" s="9"/>
      <c r="L1666" s="9"/>
      <c r="M1666" s="152"/>
      <c r="N1666" s="153"/>
      <c r="O1666" s="152"/>
      <c r="P1666" s="154"/>
      <c r="Q1666" s="152"/>
      <c r="R1666" s="9"/>
      <c r="Z1666" s="21"/>
      <c r="AA1666" s="162">
        <f>+$AD$5-Tabla2[[#This Row],[FECHA DE FACTURACIÓN]]</f>
        <v>45443</v>
      </c>
      <c r="AB1666" s="163" t="str">
        <f>+IF(Tabla2[[#This Row],[dias de credito]]&gt;=Tabla2[[#This Row],[PLAZO Días]],"venc", "No venc")</f>
        <v>venc</v>
      </c>
      <c r="AC1666" s="163" t="str">
        <f>+IF(Tabla2[[#This Row],[FECHA DE PAGO]]&gt;0,"pagada","por pagar")</f>
        <v>por pagar</v>
      </c>
      <c r="AD1666" s="164" t="str">
        <f>+IF(AND(Tabla2[[#This Row],[venc]]="venc",Tabla2[[#This Row],[estado pago]]="por pagar"),"vencida","no")</f>
        <v>vencida</v>
      </c>
    </row>
    <row r="1667" spans="1:30" ht="19.5" hidden="1" customHeight="1" x14ac:dyDescent="0.25">
      <c r="A1667" s="8"/>
      <c r="B1667" s="8"/>
      <c r="C1667" s="8"/>
      <c r="D1667" s="151"/>
      <c r="E1667" s="151"/>
      <c r="F1667" s="24"/>
      <c r="G1667" s="30"/>
      <c r="H1667" s="81"/>
      <c r="I1667" s="30"/>
      <c r="J1667" s="16"/>
      <c r="K1667" s="9"/>
      <c r="L1667" s="9"/>
      <c r="M1667" s="152"/>
      <c r="N1667" s="153"/>
      <c r="O1667" s="152"/>
      <c r="P1667" s="154"/>
      <c r="Q1667" s="152"/>
      <c r="R1667" s="9"/>
      <c r="Z1667" s="21"/>
      <c r="AA1667" s="162">
        <f>+$AD$5-Tabla2[[#This Row],[FECHA DE FACTURACIÓN]]</f>
        <v>45443</v>
      </c>
      <c r="AB1667" s="163" t="str">
        <f>+IF(Tabla2[[#This Row],[dias de credito]]&gt;=Tabla2[[#This Row],[PLAZO Días]],"venc", "No venc")</f>
        <v>venc</v>
      </c>
      <c r="AC1667" s="163" t="str">
        <f>+IF(Tabla2[[#This Row],[FECHA DE PAGO]]&gt;0,"pagada","por pagar")</f>
        <v>por pagar</v>
      </c>
      <c r="AD1667" s="164" t="str">
        <f>+IF(AND(Tabla2[[#This Row],[venc]]="venc",Tabla2[[#This Row],[estado pago]]="por pagar"),"vencida","no")</f>
        <v>vencida</v>
      </c>
    </row>
    <row r="1668" spans="1:30" ht="19.5" hidden="1" customHeight="1" x14ac:dyDescent="0.25">
      <c r="A1668" s="8"/>
      <c r="B1668" s="8"/>
      <c r="C1668" s="8"/>
      <c r="D1668" s="151"/>
      <c r="E1668" s="151"/>
      <c r="F1668" s="24"/>
      <c r="G1668" s="30"/>
      <c r="H1668" s="81"/>
      <c r="I1668" s="30"/>
      <c r="J1668" s="16"/>
      <c r="K1668" s="9"/>
      <c r="L1668" s="9"/>
      <c r="M1668" s="152"/>
      <c r="N1668" s="153"/>
      <c r="O1668" s="152"/>
      <c r="P1668" s="154"/>
      <c r="Q1668" s="152"/>
      <c r="R1668" s="9"/>
      <c r="Z1668" s="21"/>
      <c r="AA1668" s="162">
        <f>+$AD$5-Tabla2[[#This Row],[FECHA DE FACTURACIÓN]]</f>
        <v>45443</v>
      </c>
      <c r="AB1668" s="163" t="str">
        <f>+IF(Tabla2[[#This Row],[dias de credito]]&gt;=Tabla2[[#This Row],[PLAZO Días]],"venc", "No venc")</f>
        <v>venc</v>
      </c>
      <c r="AC1668" s="163" t="str">
        <f>+IF(Tabla2[[#This Row],[FECHA DE PAGO]]&gt;0,"pagada","por pagar")</f>
        <v>por pagar</v>
      </c>
      <c r="AD1668" s="164" t="str">
        <f>+IF(AND(Tabla2[[#This Row],[venc]]="venc",Tabla2[[#This Row],[estado pago]]="por pagar"),"vencida","no")</f>
        <v>vencida</v>
      </c>
    </row>
    <row r="1669" spans="1:30" ht="19.5" hidden="1" customHeight="1" x14ac:dyDescent="0.25">
      <c r="A1669" s="8"/>
      <c r="B1669" s="8"/>
      <c r="C1669" s="8"/>
      <c r="D1669" s="151"/>
      <c r="E1669" s="151"/>
      <c r="F1669" s="24"/>
      <c r="G1669" s="30"/>
      <c r="H1669" s="81"/>
      <c r="I1669" s="30"/>
      <c r="J1669" s="16"/>
      <c r="K1669" s="9"/>
      <c r="L1669" s="9"/>
      <c r="M1669" s="152"/>
      <c r="N1669" s="153"/>
      <c r="O1669" s="152"/>
      <c r="P1669" s="154"/>
      <c r="Q1669" s="152"/>
      <c r="R1669" s="9"/>
      <c r="Z1669" s="21"/>
      <c r="AA1669" s="162">
        <f>+$AD$5-Tabla2[[#This Row],[FECHA DE FACTURACIÓN]]</f>
        <v>45443</v>
      </c>
      <c r="AB1669" s="163" t="str">
        <f>+IF(Tabla2[[#This Row],[dias de credito]]&gt;=Tabla2[[#This Row],[PLAZO Días]],"venc", "No venc")</f>
        <v>venc</v>
      </c>
      <c r="AC1669" s="163" t="str">
        <f>+IF(Tabla2[[#This Row],[FECHA DE PAGO]]&gt;0,"pagada","por pagar")</f>
        <v>por pagar</v>
      </c>
      <c r="AD1669" s="164" t="str">
        <f>+IF(AND(Tabla2[[#This Row],[venc]]="venc",Tabla2[[#This Row],[estado pago]]="por pagar"),"vencida","no")</f>
        <v>vencida</v>
      </c>
    </row>
    <row r="1670" spans="1:30" ht="19.5" hidden="1" customHeight="1" x14ac:dyDescent="0.25">
      <c r="A1670" s="8"/>
      <c r="B1670" s="8"/>
      <c r="C1670" s="8"/>
      <c r="D1670" s="151"/>
      <c r="E1670" s="151"/>
      <c r="F1670" s="24"/>
      <c r="G1670" s="30"/>
      <c r="H1670" s="81"/>
      <c r="I1670" s="30"/>
      <c r="J1670" s="16"/>
      <c r="K1670" s="9"/>
      <c r="L1670" s="9"/>
      <c r="M1670" s="152"/>
      <c r="N1670" s="153"/>
      <c r="O1670" s="152"/>
      <c r="P1670" s="154"/>
      <c r="Q1670" s="152"/>
      <c r="R1670" s="9"/>
      <c r="Z1670" s="21"/>
      <c r="AA1670" s="162">
        <f>+$AD$5-Tabla2[[#This Row],[FECHA DE FACTURACIÓN]]</f>
        <v>45443</v>
      </c>
      <c r="AB1670" s="163" t="str">
        <f>+IF(Tabla2[[#This Row],[dias de credito]]&gt;=Tabla2[[#This Row],[PLAZO Días]],"venc", "No venc")</f>
        <v>venc</v>
      </c>
      <c r="AC1670" s="163" t="str">
        <f>+IF(Tabla2[[#This Row],[FECHA DE PAGO]]&gt;0,"pagada","por pagar")</f>
        <v>por pagar</v>
      </c>
      <c r="AD1670" s="164" t="str">
        <f>+IF(AND(Tabla2[[#This Row],[venc]]="venc",Tabla2[[#This Row],[estado pago]]="por pagar"),"vencida","no")</f>
        <v>vencida</v>
      </c>
    </row>
    <row r="1671" spans="1:30" ht="19.5" hidden="1" customHeight="1" x14ac:dyDescent="0.25">
      <c r="A1671" s="8"/>
      <c r="B1671" s="8"/>
      <c r="C1671" s="8"/>
      <c r="D1671" s="151"/>
      <c r="E1671" s="151"/>
      <c r="F1671" s="24"/>
      <c r="G1671" s="30"/>
      <c r="H1671" s="81"/>
      <c r="I1671" s="30"/>
      <c r="J1671" s="16"/>
      <c r="K1671" s="9"/>
      <c r="L1671" s="9"/>
      <c r="M1671" s="152"/>
      <c r="N1671" s="153"/>
      <c r="O1671" s="152"/>
      <c r="P1671" s="154"/>
      <c r="Q1671" s="152"/>
      <c r="R1671" s="9"/>
      <c r="Z1671" s="21"/>
      <c r="AA1671" s="162">
        <f>+$AD$5-Tabla2[[#This Row],[FECHA DE FACTURACIÓN]]</f>
        <v>45443</v>
      </c>
      <c r="AB1671" s="163" t="str">
        <f>+IF(Tabla2[[#This Row],[dias de credito]]&gt;=Tabla2[[#This Row],[PLAZO Días]],"venc", "No venc")</f>
        <v>venc</v>
      </c>
      <c r="AC1671" s="163" t="str">
        <f>+IF(Tabla2[[#This Row],[FECHA DE PAGO]]&gt;0,"pagada","por pagar")</f>
        <v>por pagar</v>
      </c>
      <c r="AD1671" s="164" t="str">
        <f>+IF(AND(Tabla2[[#This Row],[venc]]="venc",Tabla2[[#This Row],[estado pago]]="por pagar"),"vencida","no")</f>
        <v>vencida</v>
      </c>
    </row>
    <row r="1672" spans="1:30" ht="19.5" hidden="1" customHeight="1" x14ac:dyDescent="0.25">
      <c r="A1672" s="8"/>
      <c r="B1672" s="8"/>
      <c r="C1672" s="8"/>
      <c r="D1672" s="151"/>
      <c r="E1672" s="151"/>
      <c r="F1672" s="24"/>
      <c r="G1672" s="30"/>
      <c r="H1672" s="81"/>
      <c r="I1672" s="30"/>
      <c r="J1672" s="16"/>
      <c r="K1672" s="9"/>
      <c r="L1672" s="9"/>
      <c r="M1672" s="152"/>
      <c r="N1672" s="153"/>
      <c r="O1672" s="152"/>
      <c r="P1672" s="154"/>
      <c r="Q1672" s="152"/>
      <c r="R1672" s="9"/>
      <c r="Z1672" s="21"/>
      <c r="AA1672" s="162">
        <f>+$AD$5-Tabla2[[#This Row],[FECHA DE FACTURACIÓN]]</f>
        <v>45443</v>
      </c>
      <c r="AB1672" s="163" t="str">
        <f>+IF(Tabla2[[#This Row],[dias de credito]]&gt;=Tabla2[[#This Row],[PLAZO Días]],"venc", "No venc")</f>
        <v>venc</v>
      </c>
      <c r="AC1672" s="163" t="str">
        <f>+IF(Tabla2[[#This Row],[FECHA DE PAGO]]&gt;0,"pagada","por pagar")</f>
        <v>por pagar</v>
      </c>
      <c r="AD1672" s="164" t="str">
        <f>+IF(AND(Tabla2[[#This Row],[venc]]="venc",Tabla2[[#This Row],[estado pago]]="por pagar"),"vencida","no")</f>
        <v>vencida</v>
      </c>
    </row>
    <row r="1673" spans="1:30" ht="19.5" hidden="1" customHeight="1" x14ac:dyDescent="0.25">
      <c r="A1673" s="8"/>
      <c r="B1673" s="8"/>
      <c r="C1673" s="8"/>
      <c r="D1673" s="151"/>
      <c r="E1673" s="151"/>
      <c r="F1673" s="24"/>
      <c r="G1673" s="30"/>
      <c r="H1673" s="81"/>
      <c r="I1673" s="30"/>
      <c r="J1673" s="16"/>
      <c r="K1673" s="9"/>
      <c r="L1673" s="9"/>
      <c r="M1673" s="152"/>
      <c r="N1673" s="153"/>
      <c r="O1673" s="152"/>
      <c r="P1673" s="154"/>
      <c r="Q1673" s="152"/>
      <c r="R1673" s="9"/>
      <c r="Z1673" s="21"/>
      <c r="AA1673" s="162">
        <f>+$AD$5-Tabla2[[#This Row],[FECHA DE FACTURACIÓN]]</f>
        <v>45443</v>
      </c>
      <c r="AB1673" s="163" t="str">
        <f>+IF(Tabla2[[#This Row],[dias de credito]]&gt;=Tabla2[[#This Row],[PLAZO Días]],"venc", "No venc")</f>
        <v>venc</v>
      </c>
      <c r="AC1673" s="163" t="str">
        <f>+IF(Tabla2[[#This Row],[FECHA DE PAGO]]&gt;0,"pagada","por pagar")</f>
        <v>por pagar</v>
      </c>
      <c r="AD1673" s="164" t="str">
        <f>+IF(AND(Tabla2[[#This Row],[venc]]="venc",Tabla2[[#This Row],[estado pago]]="por pagar"),"vencida","no")</f>
        <v>vencida</v>
      </c>
    </row>
    <row r="1674" spans="1:30" ht="19.5" hidden="1" customHeight="1" x14ac:dyDescent="0.25">
      <c r="A1674" s="8"/>
      <c r="B1674" s="8"/>
      <c r="C1674" s="8"/>
      <c r="D1674" s="151"/>
      <c r="E1674" s="151"/>
      <c r="F1674" s="24"/>
      <c r="G1674" s="30"/>
      <c r="H1674" s="81"/>
      <c r="I1674" s="30"/>
      <c r="J1674" s="16"/>
      <c r="K1674" s="9"/>
      <c r="L1674" s="9"/>
      <c r="M1674" s="152"/>
      <c r="N1674" s="153"/>
      <c r="O1674" s="152"/>
      <c r="P1674" s="154"/>
      <c r="Q1674" s="152"/>
      <c r="R1674" s="9"/>
      <c r="Z1674" s="21"/>
      <c r="AA1674" s="162">
        <f>+$AD$5-Tabla2[[#This Row],[FECHA DE FACTURACIÓN]]</f>
        <v>45443</v>
      </c>
      <c r="AB1674" s="163" t="str">
        <f>+IF(Tabla2[[#This Row],[dias de credito]]&gt;=Tabla2[[#This Row],[PLAZO Días]],"venc", "No venc")</f>
        <v>venc</v>
      </c>
      <c r="AC1674" s="163" t="str">
        <f>+IF(Tabla2[[#This Row],[FECHA DE PAGO]]&gt;0,"pagada","por pagar")</f>
        <v>por pagar</v>
      </c>
      <c r="AD1674" s="164" t="str">
        <f>+IF(AND(Tabla2[[#This Row],[venc]]="venc",Tabla2[[#This Row],[estado pago]]="por pagar"),"vencida","no")</f>
        <v>vencida</v>
      </c>
    </row>
    <row r="1675" spans="1:30" ht="19.5" hidden="1" customHeight="1" x14ac:dyDescent="0.25">
      <c r="A1675" s="8"/>
      <c r="B1675" s="8"/>
      <c r="C1675" s="8"/>
      <c r="D1675" s="151"/>
      <c r="E1675" s="151"/>
      <c r="F1675" s="24"/>
      <c r="G1675" s="30"/>
      <c r="H1675" s="81"/>
      <c r="I1675" s="30"/>
      <c r="J1675" s="16"/>
      <c r="K1675" s="9"/>
      <c r="L1675" s="9"/>
      <c r="M1675" s="152"/>
      <c r="N1675" s="153"/>
      <c r="O1675" s="152"/>
      <c r="P1675" s="154"/>
      <c r="Q1675" s="152"/>
      <c r="R1675" s="9"/>
      <c r="Z1675" s="21"/>
      <c r="AA1675" s="162">
        <f>+$AD$5-Tabla2[[#This Row],[FECHA DE FACTURACIÓN]]</f>
        <v>45443</v>
      </c>
      <c r="AB1675" s="163" t="str">
        <f>+IF(Tabla2[[#This Row],[dias de credito]]&gt;=Tabla2[[#This Row],[PLAZO Días]],"venc", "No venc")</f>
        <v>venc</v>
      </c>
      <c r="AC1675" s="163" t="str">
        <f>+IF(Tabla2[[#This Row],[FECHA DE PAGO]]&gt;0,"pagada","por pagar")</f>
        <v>por pagar</v>
      </c>
      <c r="AD1675" s="164" t="str">
        <f>+IF(AND(Tabla2[[#This Row],[venc]]="venc",Tabla2[[#This Row],[estado pago]]="por pagar"),"vencida","no")</f>
        <v>vencida</v>
      </c>
    </row>
    <row r="1676" spans="1:30" ht="19.5" hidden="1" customHeight="1" x14ac:dyDescent="0.25">
      <c r="A1676" s="8"/>
      <c r="B1676" s="8"/>
      <c r="C1676" s="8"/>
      <c r="D1676" s="151"/>
      <c r="E1676" s="151"/>
      <c r="F1676" s="24"/>
      <c r="G1676" s="30"/>
      <c r="H1676" s="81"/>
      <c r="I1676" s="30"/>
      <c r="J1676" s="16"/>
      <c r="K1676" s="9"/>
      <c r="L1676" s="9"/>
      <c r="M1676" s="152"/>
      <c r="N1676" s="153"/>
      <c r="O1676" s="152"/>
      <c r="P1676" s="154"/>
      <c r="Q1676" s="152"/>
      <c r="R1676" s="9"/>
      <c r="Z1676" s="21"/>
      <c r="AA1676" s="162">
        <f>+$AD$5-Tabla2[[#This Row],[FECHA DE FACTURACIÓN]]</f>
        <v>45443</v>
      </c>
      <c r="AB1676" s="163" t="str">
        <f>+IF(Tabla2[[#This Row],[dias de credito]]&gt;=Tabla2[[#This Row],[PLAZO Días]],"venc", "No venc")</f>
        <v>venc</v>
      </c>
      <c r="AC1676" s="163" t="str">
        <f>+IF(Tabla2[[#This Row],[FECHA DE PAGO]]&gt;0,"pagada","por pagar")</f>
        <v>por pagar</v>
      </c>
      <c r="AD1676" s="164" t="str">
        <f>+IF(AND(Tabla2[[#This Row],[venc]]="venc",Tabla2[[#This Row],[estado pago]]="por pagar"),"vencida","no")</f>
        <v>vencida</v>
      </c>
    </row>
    <row r="1677" spans="1:30" ht="19.5" hidden="1" customHeight="1" x14ac:dyDescent="0.25">
      <c r="A1677" s="8"/>
      <c r="B1677" s="8"/>
      <c r="C1677" s="8"/>
      <c r="D1677" s="151"/>
      <c r="E1677" s="151"/>
      <c r="F1677" s="24"/>
      <c r="G1677" s="30"/>
      <c r="H1677" s="81"/>
      <c r="I1677" s="30"/>
      <c r="J1677" s="16"/>
      <c r="K1677" s="9"/>
      <c r="L1677" s="9"/>
      <c r="M1677" s="152"/>
      <c r="N1677" s="153"/>
      <c r="O1677" s="152"/>
      <c r="P1677" s="154"/>
      <c r="Q1677" s="152"/>
      <c r="R1677" s="9"/>
      <c r="Z1677" s="21"/>
      <c r="AA1677" s="162">
        <f>+$AD$5-Tabla2[[#This Row],[FECHA DE FACTURACIÓN]]</f>
        <v>45443</v>
      </c>
      <c r="AB1677" s="163" t="str">
        <f>+IF(Tabla2[[#This Row],[dias de credito]]&gt;=Tabla2[[#This Row],[PLAZO Días]],"venc", "No venc")</f>
        <v>venc</v>
      </c>
      <c r="AC1677" s="163" t="str">
        <f>+IF(Tabla2[[#This Row],[FECHA DE PAGO]]&gt;0,"pagada","por pagar")</f>
        <v>por pagar</v>
      </c>
      <c r="AD1677" s="164" t="str">
        <f>+IF(AND(Tabla2[[#This Row],[venc]]="venc",Tabla2[[#This Row],[estado pago]]="por pagar"),"vencida","no")</f>
        <v>vencida</v>
      </c>
    </row>
    <row r="1678" spans="1:30" ht="19.5" hidden="1" customHeight="1" x14ac:dyDescent="0.25">
      <c r="A1678" s="8"/>
      <c r="B1678" s="8"/>
      <c r="C1678" s="8"/>
      <c r="D1678" s="151"/>
      <c r="E1678" s="151"/>
      <c r="F1678" s="24"/>
      <c r="G1678" s="30"/>
      <c r="H1678" s="81"/>
      <c r="I1678" s="30"/>
      <c r="J1678" s="16"/>
      <c r="K1678" s="9"/>
      <c r="L1678" s="9"/>
      <c r="M1678" s="152"/>
      <c r="N1678" s="153"/>
      <c r="O1678" s="152"/>
      <c r="P1678" s="154"/>
      <c r="Q1678" s="152"/>
      <c r="R1678" s="9"/>
      <c r="Z1678" s="21"/>
      <c r="AA1678" s="162">
        <f>+$AD$5-Tabla2[[#This Row],[FECHA DE FACTURACIÓN]]</f>
        <v>45443</v>
      </c>
      <c r="AB1678" s="163" t="str">
        <f>+IF(Tabla2[[#This Row],[dias de credito]]&gt;=Tabla2[[#This Row],[PLAZO Días]],"venc", "No venc")</f>
        <v>venc</v>
      </c>
      <c r="AC1678" s="163" t="str">
        <f>+IF(Tabla2[[#This Row],[FECHA DE PAGO]]&gt;0,"pagada","por pagar")</f>
        <v>por pagar</v>
      </c>
      <c r="AD1678" s="164" t="str">
        <f>+IF(AND(Tabla2[[#This Row],[venc]]="venc",Tabla2[[#This Row],[estado pago]]="por pagar"),"vencida","no")</f>
        <v>vencida</v>
      </c>
    </row>
    <row r="1679" spans="1:30" ht="19.5" hidden="1" customHeight="1" x14ac:dyDescent="0.25">
      <c r="A1679" s="8"/>
      <c r="B1679" s="8"/>
      <c r="C1679" s="8"/>
      <c r="D1679" s="151"/>
      <c r="E1679" s="151"/>
      <c r="F1679" s="24"/>
      <c r="G1679" s="30"/>
      <c r="H1679" s="81"/>
      <c r="I1679" s="30"/>
      <c r="J1679" s="16"/>
      <c r="K1679" s="9"/>
      <c r="L1679" s="9"/>
      <c r="M1679" s="152"/>
      <c r="N1679" s="153"/>
      <c r="O1679" s="152"/>
      <c r="P1679" s="154"/>
      <c r="Q1679" s="152"/>
      <c r="R1679" s="9"/>
      <c r="Z1679" s="21"/>
      <c r="AA1679" s="162">
        <f>+$AD$5-Tabla2[[#This Row],[FECHA DE FACTURACIÓN]]</f>
        <v>45443</v>
      </c>
      <c r="AB1679" s="163" t="str">
        <f>+IF(Tabla2[[#This Row],[dias de credito]]&gt;=Tabla2[[#This Row],[PLAZO Días]],"venc", "No venc")</f>
        <v>venc</v>
      </c>
      <c r="AC1679" s="163" t="str">
        <f>+IF(Tabla2[[#This Row],[FECHA DE PAGO]]&gt;0,"pagada","por pagar")</f>
        <v>por pagar</v>
      </c>
      <c r="AD1679" s="164" t="str">
        <f>+IF(AND(Tabla2[[#This Row],[venc]]="venc",Tabla2[[#This Row],[estado pago]]="por pagar"),"vencida","no")</f>
        <v>vencida</v>
      </c>
    </row>
    <row r="1680" spans="1:30" ht="19.5" hidden="1" customHeight="1" x14ac:dyDescent="0.25">
      <c r="A1680" s="8"/>
      <c r="B1680" s="8"/>
      <c r="C1680" s="8"/>
      <c r="D1680" s="151"/>
      <c r="E1680" s="151"/>
      <c r="F1680" s="24"/>
      <c r="G1680" s="30"/>
      <c r="H1680" s="81"/>
      <c r="I1680" s="30"/>
      <c r="J1680" s="16"/>
      <c r="K1680" s="9"/>
      <c r="L1680" s="9"/>
      <c r="M1680" s="152"/>
      <c r="N1680" s="153"/>
      <c r="O1680" s="152"/>
      <c r="P1680" s="154"/>
      <c r="Q1680" s="152"/>
      <c r="R1680" s="9"/>
      <c r="Z1680" s="21"/>
      <c r="AA1680" s="162">
        <f>+$AD$5-Tabla2[[#This Row],[FECHA DE FACTURACIÓN]]</f>
        <v>45443</v>
      </c>
      <c r="AB1680" s="163" t="str">
        <f>+IF(Tabla2[[#This Row],[dias de credito]]&gt;=Tabla2[[#This Row],[PLAZO Días]],"venc", "No venc")</f>
        <v>venc</v>
      </c>
      <c r="AC1680" s="163" t="str">
        <f>+IF(Tabla2[[#This Row],[FECHA DE PAGO]]&gt;0,"pagada","por pagar")</f>
        <v>por pagar</v>
      </c>
      <c r="AD1680" s="164" t="str">
        <f>+IF(AND(Tabla2[[#This Row],[venc]]="venc",Tabla2[[#This Row],[estado pago]]="por pagar"),"vencida","no")</f>
        <v>vencida</v>
      </c>
    </row>
    <row r="1681" spans="1:30" ht="19.5" hidden="1" customHeight="1" x14ac:dyDescent="0.25">
      <c r="A1681" s="8"/>
      <c r="B1681" s="8"/>
      <c r="C1681" s="8"/>
      <c r="D1681" s="151"/>
      <c r="E1681" s="151"/>
      <c r="F1681" s="24"/>
      <c r="G1681" s="30"/>
      <c r="H1681" s="81"/>
      <c r="I1681" s="30"/>
      <c r="J1681" s="16"/>
      <c r="K1681" s="9"/>
      <c r="L1681" s="9"/>
      <c r="M1681" s="152"/>
      <c r="N1681" s="153"/>
      <c r="O1681" s="152"/>
      <c r="P1681" s="154"/>
      <c r="Q1681" s="152"/>
      <c r="R1681" s="9"/>
      <c r="Z1681" s="21"/>
      <c r="AA1681" s="162">
        <f>+$AD$5-Tabla2[[#This Row],[FECHA DE FACTURACIÓN]]</f>
        <v>45443</v>
      </c>
      <c r="AB1681" s="163" t="str">
        <f>+IF(Tabla2[[#This Row],[dias de credito]]&gt;=Tabla2[[#This Row],[PLAZO Días]],"venc", "No venc")</f>
        <v>venc</v>
      </c>
      <c r="AC1681" s="163" t="str">
        <f>+IF(Tabla2[[#This Row],[FECHA DE PAGO]]&gt;0,"pagada","por pagar")</f>
        <v>por pagar</v>
      </c>
      <c r="AD1681" s="164" t="str">
        <f>+IF(AND(Tabla2[[#This Row],[venc]]="venc",Tabla2[[#This Row],[estado pago]]="por pagar"),"vencida","no")</f>
        <v>vencida</v>
      </c>
    </row>
    <row r="1682" spans="1:30" ht="19.5" hidden="1" customHeight="1" x14ac:dyDescent="0.25">
      <c r="A1682" s="8"/>
      <c r="B1682" s="8"/>
      <c r="C1682" s="8"/>
      <c r="D1682" s="151"/>
      <c r="E1682" s="151"/>
      <c r="F1682" s="24"/>
      <c r="G1682" s="30"/>
      <c r="H1682" s="81"/>
      <c r="I1682" s="30"/>
      <c r="J1682" s="16"/>
      <c r="K1682" s="9"/>
      <c r="L1682" s="9"/>
      <c r="M1682" s="152"/>
      <c r="N1682" s="153"/>
      <c r="O1682" s="152"/>
      <c r="P1682" s="154"/>
      <c r="Q1682" s="152"/>
      <c r="R1682" s="9"/>
      <c r="Z1682" s="21"/>
      <c r="AA1682" s="162">
        <f>+$AD$5-Tabla2[[#This Row],[FECHA DE FACTURACIÓN]]</f>
        <v>45443</v>
      </c>
      <c r="AB1682" s="163" t="str">
        <f>+IF(Tabla2[[#This Row],[dias de credito]]&gt;=Tabla2[[#This Row],[PLAZO Días]],"venc", "No venc")</f>
        <v>venc</v>
      </c>
      <c r="AC1682" s="163" t="str">
        <f>+IF(Tabla2[[#This Row],[FECHA DE PAGO]]&gt;0,"pagada","por pagar")</f>
        <v>por pagar</v>
      </c>
      <c r="AD1682" s="164" t="str">
        <f>+IF(AND(Tabla2[[#This Row],[venc]]="venc",Tabla2[[#This Row],[estado pago]]="por pagar"),"vencida","no")</f>
        <v>vencida</v>
      </c>
    </row>
    <row r="1683" spans="1:30" ht="19.5" hidden="1" customHeight="1" x14ac:dyDescent="0.25">
      <c r="A1683" s="8"/>
      <c r="B1683" s="8"/>
      <c r="C1683" s="8"/>
      <c r="D1683" s="151"/>
      <c r="E1683" s="151"/>
      <c r="F1683" s="24"/>
      <c r="G1683" s="30"/>
      <c r="H1683" s="81"/>
      <c r="I1683" s="30"/>
      <c r="J1683" s="16"/>
      <c r="K1683" s="9"/>
      <c r="L1683" s="9"/>
      <c r="M1683" s="152"/>
      <c r="N1683" s="153"/>
      <c r="O1683" s="152"/>
      <c r="P1683" s="154"/>
      <c r="Q1683" s="152"/>
      <c r="R1683" s="9"/>
      <c r="Z1683" s="21"/>
      <c r="AA1683" s="162">
        <f>+$AD$5-Tabla2[[#This Row],[FECHA DE FACTURACIÓN]]</f>
        <v>45443</v>
      </c>
      <c r="AB1683" s="163" t="str">
        <f>+IF(Tabla2[[#This Row],[dias de credito]]&gt;=Tabla2[[#This Row],[PLAZO Días]],"venc", "No venc")</f>
        <v>venc</v>
      </c>
      <c r="AC1683" s="163" t="str">
        <f>+IF(Tabla2[[#This Row],[FECHA DE PAGO]]&gt;0,"pagada","por pagar")</f>
        <v>por pagar</v>
      </c>
      <c r="AD1683" s="164" t="str">
        <f>+IF(AND(Tabla2[[#This Row],[venc]]="venc",Tabla2[[#This Row],[estado pago]]="por pagar"),"vencida","no")</f>
        <v>vencida</v>
      </c>
    </row>
    <row r="1684" spans="1:30" ht="19.5" hidden="1" customHeight="1" x14ac:dyDescent="0.25">
      <c r="A1684" s="8"/>
      <c r="B1684" s="8"/>
      <c r="C1684" s="8"/>
      <c r="D1684" s="151"/>
      <c r="E1684" s="151"/>
      <c r="F1684" s="24"/>
      <c r="G1684" s="30"/>
      <c r="H1684" s="81"/>
      <c r="I1684" s="30"/>
      <c r="J1684" s="16"/>
      <c r="K1684" s="9"/>
      <c r="L1684" s="9"/>
      <c r="M1684" s="152"/>
      <c r="N1684" s="153"/>
      <c r="O1684" s="152"/>
      <c r="P1684" s="154"/>
      <c r="Q1684" s="152"/>
      <c r="R1684" s="9"/>
      <c r="Z1684" s="21"/>
      <c r="AA1684" s="162">
        <f>+$AD$5-Tabla2[[#This Row],[FECHA DE FACTURACIÓN]]</f>
        <v>45443</v>
      </c>
      <c r="AB1684" s="163" t="str">
        <f>+IF(Tabla2[[#This Row],[dias de credito]]&gt;=Tabla2[[#This Row],[PLAZO Días]],"venc", "No venc")</f>
        <v>venc</v>
      </c>
      <c r="AC1684" s="163" t="str">
        <f>+IF(Tabla2[[#This Row],[FECHA DE PAGO]]&gt;0,"pagada","por pagar")</f>
        <v>por pagar</v>
      </c>
      <c r="AD1684" s="164" t="str">
        <f>+IF(AND(Tabla2[[#This Row],[venc]]="venc",Tabla2[[#This Row],[estado pago]]="por pagar"),"vencida","no")</f>
        <v>vencida</v>
      </c>
    </row>
    <row r="1685" spans="1:30" ht="19.5" hidden="1" customHeight="1" x14ac:dyDescent="0.25">
      <c r="A1685" s="8"/>
      <c r="B1685" s="8"/>
      <c r="C1685" s="8"/>
      <c r="D1685" s="151"/>
      <c r="E1685" s="151"/>
      <c r="F1685" s="24"/>
      <c r="G1685" s="30"/>
      <c r="H1685" s="81"/>
      <c r="I1685" s="30"/>
      <c r="J1685" s="16"/>
      <c r="K1685" s="9"/>
      <c r="L1685" s="9"/>
      <c r="M1685" s="152"/>
      <c r="N1685" s="153"/>
      <c r="O1685" s="152"/>
      <c r="P1685" s="154"/>
      <c r="Q1685" s="152"/>
      <c r="R1685" s="9"/>
      <c r="Z1685" s="21"/>
      <c r="AA1685" s="162">
        <f>+$AD$5-Tabla2[[#This Row],[FECHA DE FACTURACIÓN]]</f>
        <v>45443</v>
      </c>
      <c r="AB1685" s="163" t="str">
        <f>+IF(Tabla2[[#This Row],[dias de credito]]&gt;=Tabla2[[#This Row],[PLAZO Días]],"venc", "No venc")</f>
        <v>venc</v>
      </c>
      <c r="AC1685" s="163" t="str">
        <f>+IF(Tabla2[[#This Row],[FECHA DE PAGO]]&gt;0,"pagada","por pagar")</f>
        <v>por pagar</v>
      </c>
      <c r="AD1685" s="164" t="str">
        <f>+IF(AND(Tabla2[[#This Row],[venc]]="venc",Tabla2[[#This Row],[estado pago]]="por pagar"),"vencida","no")</f>
        <v>vencida</v>
      </c>
    </row>
    <row r="1686" spans="1:30" ht="19.5" hidden="1" customHeight="1" x14ac:dyDescent="0.25">
      <c r="A1686" s="8"/>
      <c r="B1686" s="8"/>
      <c r="C1686" s="8"/>
      <c r="D1686" s="151"/>
      <c r="E1686" s="151"/>
      <c r="F1686" s="24"/>
      <c r="G1686" s="30"/>
      <c r="H1686" s="81"/>
      <c r="I1686" s="30"/>
      <c r="J1686" s="16"/>
      <c r="K1686" s="9"/>
      <c r="L1686" s="9"/>
      <c r="M1686" s="152"/>
      <c r="N1686" s="153"/>
      <c r="O1686" s="152"/>
      <c r="P1686" s="154"/>
      <c r="Q1686" s="152"/>
      <c r="R1686" s="9"/>
      <c r="Z1686" s="21"/>
      <c r="AA1686" s="162">
        <f>+$AD$5-Tabla2[[#This Row],[FECHA DE FACTURACIÓN]]</f>
        <v>45443</v>
      </c>
      <c r="AB1686" s="163" t="str">
        <f>+IF(Tabla2[[#This Row],[dias de credito]]&gt;=Tabla2[[#This Row],[PLAZO Días]],"venc", "No venc")</f>
        <v>venc</v>
      </c>
      <c r="AC1686" s="163" t="str">
        <f>+IF(Tabla2[[#This Row],[FECHA DE PAGO]]&gt;0,"pagada","por pagar")</f>
        <v>por pagar</v>
      </c>
      <c r="AD1686" s="164" t="str">
        <f>+IF(AND(Tabla2[[#This Row],[venc]]="venc",Tabla2[[#This Row],[estado pago]]="por pagar"),"vencida","no")</f>
        <v>vencida</v>
      </c>
    </row>
    <row r="1687" spans="1:30" ht="19.5" hidden="1" customHeight="1" x14ac:dyDescent="0.25">
      <c r="A1687" s="8"/>
      <c r="B1687" s="8"/>
      <c r="C1687" s="8"/>
      <c r="D1687" s="151"/>
      <c r="E1687" s="151"/>
      <c r="F1687" s="24"/>
      <c r="G1687" s="30"/>
      <c r="H1687" s="81"/>
      <c r="I1687" s="30"/>
      <c r="J1687" s="16"/>
      <c r="K1687" s="9"/>
      <c r="L1687" s="9"/>
      <c r="M1687" s="152"/>
      <c r="N1687" s="153"/>
      <c r="O1687" s="152"/>
      <c r="P1687" s="154"/>
      <c r="Q1687" s="152"/>
      <c r="R1687" s="9"/>
      <c r="Z1687" s="21"/>
      <c r="AA1687" s="162">
        <f>+$AD$5-Tabla2[[#This Row],[FECHA DE FACTURACIÓN]]</f>
        <v>45443</v>
      </c>
      <c r="AB1687" s="163" t="str">
        <f>+IF(Tabla2[[#This Row],[dias de credito]]&gt;=Tabla2[[#This Row],[PLAZO Días]],"venc", "No venc")</f>
        <v>venc</v>
      </c>
      <c r="AC1687" s="163" t="str">
        <f>+IF(Tabla2[[#This Row],[FECHA DE PAGO]]&gt;0,"pagada","por pagar")</f>
        <v>por pagar</v>
      </c>
      <c r="AD1687" s="164" t="str">
        <f>+IF(AND(Tabla2[[#This Row],[venc]]="venc",Tabla2[[#This Row],[estado pago]]="por pagar"),"vencida","no")</f>
        <v>vencida</v>
      </c>
    </row>
    <row r="1688" spans="1:30" ht="19.5" hidden="1" customHeight="1" x14ac:dyDescent="0.25">
      <c r="A1688" s="8"/>
      <c r="B1688" s="8"/>
      <c r="C1688" s="8"/>
      <c r="D1688" s="151"/>
      <c r="E1688" s="151"/>
      <c r="F1688" s="24"/>
      <c r="G1688" s="30"/>
      <c r="H1688" s="81"/>
      <c r="I1688" s="30"/>
      <c r="J1688" s="16"/>
      <c r="K1688" s="9"/>
      <c r="L1688" s="9"/>
      <c r="M1688" s="152"/>
      <c r="N1688" s="153"/>
      <c r="O1688" s="152"/>
      <c r="P1688" s="154"/>
      <c r="Q1688" s="152"/>
      <c r="R1688" s="9"/>
      <c r="Z1688" s="21"/>
      <c r="AA1688" s="162">
        <f>+$AD$5-Tabla2[[#This Row],[FECHA DE FACTURACIÓN]]</f>
        <v>45443</v>
      </c>
      <c r="AB1688" s="163" t="str">
        <f>+IF(Tabla2[[#This Row],[dias de credito]]&gt;=Tabla2[[#This Row],[PLAZO Días]],"venc", "No venc")</f>
        <v>venc</v>
      </c>
      <c r="AC1688" s="163" t="str">
        <f>+IF(Tabla2[[#This Row],[FECHA DE PAGO]]&gt;0,"pagada","por pagar")</f>
        <v>por pagar</v>
      </c>
      <c r="AD1688" s="164" t="str">
        <f>+IF(AND(Tabla2[[#This Row],[venc]]="venc",Tabla2[[#This Row],[estado pago]]="por pagar"),"vencida","no")</f>
        <v>vencida</v>
      </c>
    </row>
    <row r="1689" spans="1:30" ht="19.5" hidden="1" customHeight="1" x14ac:dyDescent="0.25">
      <c r="A1689" s="8"/>
      <c r="B1689" s="8"/>
      <c r="C1689" s="8"/>
      <c r="D1689" s="151"/>
      <c r="E1689" s="151"/>
      <c r="F1689" s="24"/>
      <c r="G1689" s="30"/>
      <c r="H1689" s="81"/>
      <c r="I1689" s="30"/>
      <c r="J1689" s="16"/>
      <c r="K1689" s="9"/>
      <c r="L1689" s="9"/>
      <c r="M1689" s="152"/>
      <c r="N1689" s="153"/>
      <c r="O1689" s="152"/>
      <c r="P1689" s="154"/>
      <c r="Q1689" s="152"/>
      <c r="R1689" s="9"/>
      <c r="Z1689" s="21"/>
      <c r="AA1689" s="162">
        <f>+$AD$5-Tabla2[[#This Row],[FECHA DE FACTURACIÓN]]</f>
        <v>45443</v>
      </c>
      <c r="AB1689" s="163" t="str">
        <f>+IF(Tabla2[[#This Row],[dias de credito]]&gt;=Tabla2[[#This Row],[PLAZO Días]],"venc", "No venc")</f>
        <v>venc</v>
      </c>
      <c r="AC1689" s="163" t="str">
        <f>+IF(Tabla2[[#This Row],[FECHA DE PAGO]]&gt;0,"pagada","por pagar")</f>
        <v>por pagar</v>
      </c>
      <c r="AD1689" s="164" t="str">
        <f>+IF(AND(Tabla2[[#This Row],[venc]]="venc",Tabla2[[#This Row],[estado pago]]="por pagar"),"vencida","no")</f>
        <v>vencida</v>
      </c>
    </row>
    <row r="1690" spans="1:30" ht="19.5" hidden="1" customHeight="1" x14ac:dyDescent="0.25">
      <c r="A1690" s="8"/>
      <c r="B1690" s="8"/>
      <c r="C1690" s="8"/>
      <c r="D1690" s="151"/>
      <c r="E1690" s="151"/>
      <c r="F1690" s="24"/>
      <c r="G1690" s="30"/>
      <c r="H1690" s="81"/>
      <c r="I1690" s="30"/>
      <c r="J1690" s="16"/>
      <c r="K1690" s="9"/>
      <c r="L1690" s="9"/>
      <c r="M1690" s="152"/>
      <c r="N1690" s="153"/>
      <c r="O1690" s="152"/>
      <c r="P1690" s="154"/>
      <c r="Q1690" s="152"/>
      <c r="R1690" s="9"/>
      <c r="Z1690" s="21"/>
      <c r="AA1690" s="162">
        <f>+$AD$5-Tabla2[[#This Row],[FECHA DE FACTURACIÓN]]</f>
        <v>45443</v>
      </c>
      <c r="AB1690" s="163" t="str">
        <f>+IF(Tabla2[[#This Row],[dias de credito]]&gt;=Tabla2[[#This Row],[PLAZO Días]],"venc", "No venc")</f>
        <v>venc</v>
      </c>
      <c r="AC1690" s="163" t="str">
        <f>+IF(Tabla2[[#This Row],[FECHA DE PAGO]]&gt;0,"pagada","por pagar")</f>
        <v>por pagar</v>
      </c>
      <c r="AD1690" s="164" t="str">
        <f>+IF(AND(Tabla2[[#This Row],[venc]]="venc",Tabla2[[#This Row],[estado pago]]="por pagar"),"vencida","no")</f>
        <v>vencida</v>
      </c>
    </row>
    <row r="1691" spans="1:30" ht="19.5" hidden="1" customHeight="1" x14ac:dyDescent="0.25">
      <c r="A1691" s="8"/>
      <c r="B1691" s="8"/>
      <c r="C1691" s="8"/>
      <c r="D1691" s="151"/>
      <c r="E1691" s="151"/>
      <c r="F1691" s="24"/>
      <c r="G1691" s="30"/>
      <c r="H1691" s="81"/>
      <c r="I1691" s="30"/>
      <c r="J1691" s="16"/>
      <c r="K1691" s="9"/>
      <c r="L1691" s="9"/>
      <c r="M1691" s="152"/>
      <c r="N1691" s="153"/>
      <c r="O1691" s="152"/>
      <c r="P1691" s="154"/>
      <c r="Q1691" s="152"/>
      <c r="R1691" s="9"/>
      <c r="Z1691" s="21"/>
      <c r="AA1691" s="162">
        <f>+$AD$5-Tabla2[[#This Row],[FECHA DE FACTURACIÓN]]</f>
        <v>45443</v>
      </c>
      <c r="AB1691" s="163" t="str">
        <f>+IF(Tabla2[[#This Row],[dias de credito]]&gt;=Tabla2[[#This Row],[PLAZO Días]],"venc", "No venc")</f>
        <v>venc</v>
      </c>
      <c r="AC1691" s="163" t="str">
        <f>+IF(Tabla2[[#This Row],[FECHA DE PAGO]]&gt;0,"pagada","por pagar")</f>
        <v>por pagar</v>
      </c>
      <c r="AD1691" s="164" t="str">
        <f>+IF(AND(Tabla2[[#This Row],[venc]]="venc",Tabla2[[#This Row],[estado pago]]="por pagar"),"vencida","no")</f>
        <v>vencida</v>
      </c>
    </row>
    <row r="1692" spans="1:30" ht="19.5" hidden="1" customHeight="1" x14ac:dyDescent="0.25">
      <c r="A1692" s="8"/>
      <c r="B1692" s="8"/>
      <c r="C1692" s="8"/>
      <c r="D1692" s="151"/>
      <c r="E1692" s="151"/>
      <c r="F1692" s="24"/>
      <c r="G1692" s="30"/>
      <c r="H1692" s="81"/>
      <c r="I1692" s="30"/>
      <c r="J1692" s="16"/>
      <c r="K1692" s="9"/>
      <c r="L1692" s="9"/>
      <c r="M1692" s="152"/>
      <c r="N1692" s="153"/>
      <c r="O1692" s="152"/>
      <c r="P1692" s="154"/>
      <c r="Q1692" s="152"/>
      <c r="R1692" s="9"/>
      <c r="Z1692" s="21"/>
      <c r="AA1692" s="162">
        <f>+$AD$5-Tabla2[[#This Row],[FECHA DE FACTURACIÓN]]</f>
        <v>45443</v>
      </c>
      <c r="AB1692" s="163" t="str">
        <f>+IF(Tabla2[[#This Row],[dias de credito]]&gt;=Tabla2[[#This Row],[PLAZO Días]],"venc", "No venc")</f>
        <v>venc</v>
      </c>
      <c r="AC1692" s="163" t="str">
        <f>+IF(Tabla2[[#This Row],[FECHA DE PAGO]]&gt;0,"pagada","por pagar")</f>
        <v>por pagar</v>
      </c>
      <c r="AD1692" s="164" t="str">
        <f>+IF(AND(Tabla2[[#This Row],[venc]]="venc",Tabla2[[#This Row],[estado pago]]="por pagar"),"vencida","no")</f>
        <v>vencida</v>
      </c>
    </row>
    <row r="1693" spans="1:30" ht="19.5" hidden="1" customHeight="1" x14ac:dyDescent="0.25">
      <c r="A1693" s="8"/>
      <c r="B1693" s="8"/>
      <c r="C1693" s="8"/>
      <c r="D1693" s="151"/>
      <c r="E1693" s="151"/>
      <c r="F1693" s="24"/>
      <c r="G1693" s="30"/>
      <c r="H1693" s="81"/>
      <c r="I1693" s="30"/>
      <c r="J1693" s="16"/>
      <c r="K1693" s="9"/>
      <c r="L1693" s="9"/>
      <c r="M1693" s="152"/>
      <c r="N1693" s="153"/>
      <c r="O1693" s="152"/>
      <c r="P1693" s="154"/>
      <c r="Q1693" s="152"/>
      <c r="R1693" s="9"/>
      <c r="Z1693" s="21"/>
      <c r="AA1693" s="162">
        <f>+$AD$5-Tabla2[[#This Row],[FECHA DE FACTURACIÓN]]</f>
        <v>45443</v>
      </c>
      <c r="AB1693" s="163" t="str">
        <f>+IF(Tabla2[[#This Row],[dias de credito]]&gt;=Tabla2[[#This Row],[PLAZO Días]],"venc", "No venc")</f>
        <v>venc</v>
      </c>
      <c r="AC1693" s="163" t="str">
        <f>+IF(Tabla2[[#This Row],[FECHA DE PAGO]]&gt;0,"pagada","por pagar")</f>
        <v>por pagar</v>
      </c>
      <c r="AD1693" s="164" t="str">
        <f>+IF(AND(Tabla2[[#This Row],[venc]]="venc",Tabla2[[#This Row],[estado pago]]="por pagar"),"vencida","no")</f>
        <v>vencida</v>
      </c>
    </row>
    <row r="1694" spans="1:30" ht="19.5" hidden="1" customHeight="1" x14ac:dyDescent="0.25">
      <c r="A1694" s="8"/>
      <c r="B1694" s="8"/>
      <c r="C1694" s="8"/>
      <c r="D1694" s="151"/>
      <c r="E1694" s="151"/>
      <c r="F1694" s="24"/>
      <c r="G1694" s="30"/>
      <c r="H1694" s="81"/>
      <c r="I1694" s="30"/>
      <c r="J1694" s="16"/>
      <c r="K1694" s="9"/>
      <c r="L1694" s="9"/>
      <c r="M1694" s="152"/>
      <c r="N1694" s="153"/>
      <c r="O1694" s="152"/>
      <c r="P1694" s="154"/>
      <c r="Q1694" s="152"/>
      <c r="R1694" s="9"/>
      <c r="Z1694" s="21"/>
      <c r="AA1694" s="162">
        <f>+$AD$5-Tabla2[[#This Row],[FECHA DE FACTURACIÓN]]</f>
        <v>45443</v>
      </c>
      <c r="AB1694" s="163" t="str">
        <f>+IF(Tabla2[[#This Row],[dias de credito]]&gt;=Tabla2[[#This Row],[PLAZO Días]],"venc", "No venc")</f>
        <v>venc</v>
      </c>
      <c r="AC1694" s="163" t="str">
        <f>+IF(Tabla2[[#This Row],[FECHA DE PAGO]]&gt;0,"pagada","por pagar")</f>
        <v>por pagar</v>
      </c>
      <c r="AD1694" s="164" t="str">
        <f>+IF(AND(Tabla2[[#This Row],[venc]]="venc",Tabla2[[#This Row],[estado pago]]="por pagar"),"vencida","no")</f>
        <v>vencida</v>
      </c>
    </row>
    <row r="1695" spans="1:30" ht="19.5" hidden="1" customHeight="1" x14ac:dyDescent="0.25">
      <c r="A1695" s="8"/>
      <c r="B1695" s="8"/>
      <c r="C1695" s="8"/>
      <c r="D1695" s="151"/>
      <c r="E1695" s="151"/>
      <c r="F1695" s="24"/>
      <c r="G1695" s="30"/>
      <c r="H1695" s="81"/>
      <c r="I1695" s="30"/>
      <c r="J1695" s="16"/>
      <c r="K1695" s="9"/>
      <c r="L1695" s="9"/>
      <c r="M1695" s="152"/>
      <c r="N1695" s="153"/>
      <c r="O1695" s="152"/>
      <c r="P1695" s="154"/>
      <c r="Q1695" s="152"/>
      <c r="R1695" s="9"/>
      <c r="Z1695" s="21"/>
      <c r="AA1695" s="162">
        <f>+$AD$5-Tabla2[[#This Row],[FECHA DE FACTURACIÓN]]</f>
        <v>45443</v>
      </c>
      <c r="AB1695" s="163" t="str">
        <f>+IF(Tabla2[[#This Row],[dias de credito]]&gt;=Tabla2[[#This Row],[PLAZO Días]],"venc", "No venc")</f>
        <v>venc</v>
      </c>
      <c r="AC1695" s="163" t="str">
        <f>+IF(Tabla2[[#This Row],[FECHA DE PAGO]]&gt;0,"pagada","por pagar")</f>
        <v>por pagar</v>
      </c>
      <c r="AD1695" s="164" t="str">
        <f>+IF(AND(Tabla2[[#This Row],[venc]]="venc",Tabla2[[#This Row],[estado pago]]="por pagar"),"vencida","no")</f>
        <v>vencida</v>
      </c>
    </row>
    <row r="1696" spans="1:30" ht="19.5" hidden="1" customHeight="1" x14ac:dyDescent="0.25">
      <c r="A1696" s="8"/>
      <c r="B1696" s="8"/>
      <c r="C1696" s="8"/>
      <c r="D1696" s="151"/>
      <c r="E1696" s="151"/>
      <c r="F1696" s="24"/>
      <c r="G1696" s="30"/>
      <c r="H1696" s="81"/>
      <c r="I1696" s="30"/>
      <c r="J1696" s="16"/>
      <c r="K1696" s="9"/>
      <c r="L1696" s="9"/>
      <c r="M1696" s="152"/>
      <c r="N1696" s="153"/>
      <c r="O1696" s="152"/>
      <c r="P1696" s="154"/>
      <c r="Q1696" s="152"/>
      <c r="R1696" s="9"/>
      <c r="Z1696" s="21"/>
      <c r="AA1696" s="162">
        <f>+$AD$5-Tabla2[[#This Row],[FECHA DE FACTURACIÓN]]</f>
        <v>45443</v>
      </c>
      <c r="AB1696" s="163" t="str">
        <f>+IF(Tabla2[[#This Row],[dias de credito]]&gt;=Tabla2[[#This Row],[PLAZO Días]],"venc", "No venc")</f>
        <v>venc</v>
      </c>
      <c r="AC1696" s="163" t="str">
        <f>+IF(Tabla2[[#This Row],[FECHA DE PAGO]]&gt;0,"pagada","por pagar")</f>
        <v>por pagar</v>
      </c>
      <c r="AD1696" s="164" t="str">
        <f>+IF(AND(Tabla2[[#This Row],[venc]]="venc",Tabla2[[#This Row],[estado pago]]="por pagar"),"vencida","no")</f>
        <v>vencida</v>
      </c>
    </row>
    <row r="1697" spans="1:30" ht="19.5" hidden="1" customHeight="1" x14ac:dyDescent="0.25">
      <c r="A1697" s="8"/>
      <c r="B1697" s="8"/>
      <c r="C1697" s="8"/>
      <c r="D1697" s="151"/>
      <c r="E1697" s="151"/>
      <c r="F1697" s="24"/>
      <c r="G1697" s="30"/>
      <c r="H1697" s="81"/>
      <c r="I1697" s="30"/>
      <c r="J1697" s="16"/>
      <c r="K1697" s="9"/>
      <c r="L1697" s="9"/>
      <c r="M1697" s="152"/>
      <c r="N1697" s="153"/>
      <c r="O1697" s="152"/>
      <c r="P1697" s="154"/>
      <c r="Q1697" s="152"/>
      <c r="R1697" s="9"/>
      <c r="Z1697" s="21"/>
      <c r="AA1697" s="162">
        <f>+$AD$5-Tabla2[[#This Row],[FECHA DE FACTURACIÓN]]</f>
        <v>45443</v>
      </c>
      <c r="AB1697" s="163" t="str">
        <f>+IF(Tabla2[[#This Row],[dias de credito]]&gt;=Tabla2[[#This Row],[PLAZO Días]],"venc", "No venc")</f>
        <v>venc</v>
      </c>
      <c r="AC1697" s="163" t="str">
        <f>+IF(Tabla2[[#This Row],[FECHA DE PAGO]]&gt;0,"pagada","por pagar")</f>
        <v>por pagar</v>
      </c>
      <c r="AD1697" s="164" t="str">
        <f>+IF(AND(Tabla2[[#This Row],[venc]]="venc",Tabla2[[#This Row],[estado pago]]="por pagar"),"vencida","no")</f>
        <v>vencida</v>
      </c>
    </row>
    <row r="1698" spans="1:30" ht="19.5" hidden="1" customHeight="1" x14ac:dyDescent="0.25">
      <c r="A1698" s="8"/>
      <c r="B1698" s="8"/>
      <c r="C1698" s="8"/>
      <c r="D1698" s="151"/>
      <c r="E1698" s="151"/>
      <c r="F1698" s="24"/>
      <c r="G1698" s="30"/>
      <c r="H1698" s="81"/>
      <c r="I1698" s="30"/>
      <c r="J1698" s="16"/>
      <c r="K1698" s="9"/>
      <c r="L1698" s="9"/>
      <c r="M1698" s="152"/>
      <c r="N1698" s="153"/>
      <c r="O1698" s="152"/>
      <c r="P1698" s="154"/>
      <c r="Q1698" s="152"/>
      <c r="R1698" s="9"/>
      <c r="Z1698" s="21"/>
      <c r="AA1698" s="162">
        <f>+$AD$5-Tabla2[[#This Row],[FECHA DE FACTURACIÓN]]</f>
        <v>45443</v>
      </c>
      <c r="AB1698" s="163" t="str">
        <f>+IF(Tabla2[[#This Row],[dias de credito]]&gt;=Tabla2[[#This Row],[PLAZO Días]],"venc", "No venc")</f>
        <v>venc</v>
      </c>
      <c r="AC1698" s="163" t="str">
        <f>+IF(Tabla2[[#This Row],[FECHA DE PAGO]]&gt;0,"pagada","por pagar")</f>
        <v>por pagar</v>
      </c>
      <c r="AD1698" s="164" t="str">
        <f>+IF(AND(Tabla2[[#This Row],[venc]]="venc",Tabla2[[#This Row],[estado pago]]="por pagar"),"vencida","no")</f>
        <v>vencida</v>
      </c>
    </row>
    <row r="1699" spans="1:30" ht="19.5" hidden="1" customHeight="1" x14ac:dyDescent="0.25">
      <c r="A1699" s="8"/>
      <c r="B1699" s="8"/>
      <c r="C1699" s="8"/>
      <c r="D1699" s="151"/>
      <c r="E1699" s="151"/>
      <c r="F1699" s="24"/>
      <c r="G1699" s="30"/>
      <c r="H1699" s="81"/>
      <c r="I1699" s="30"/>
      <c r="J1699" s="16"/>
      <c r="K1699" s="9"/>
      <c r="L1699" s="9"/>
      <c r="M1699" s="152"/>
      <c r="N1699" s="153"/>
      <c r="O1699" s="152"/>
      <c r="P1699" s="154"/>
      <c r="Q1699" s="152"/>
      <c r="R1699" s="9"/>
      <c r="Z1699" s="21"/>
      <c r="AA1699" s="162">
        <f>+$AD$5-Tabla2[[#This Row],[FECHA DE FACTURACIÓN]]</f>
        <v>45443</v>
      </c>
      <c r="AB1699" s="163" t="str">
        <f>+IF(Tabla2[[#This Row],[dias de credito]]&gt;=Tabla2[[#This Row],[PLAZO Días]],"venc", "No venc")</f>
        <v>venc</v>
      </c>
      <c r="AC1699" s="163" t="str">
        <f>+IF(Tabla2[[#This Row],[FECHA DE PAGO]]&gt;0,"pagada","por pagar")</f>
        <v>por pagar</v>
      </c>
      <c r="AD1699" s="164" t="str">
        <f>+IF(AND(Tabla2[[#This Row],[venc]]="venc",Tabla2[[#This Row],[estado pago]]="por pagar"),"vencida","no")</f>
        <v>vencida</v>
      </c>
    </row>
    <row r="1700" spans="1:30" ht="19.5" hidden="1" customHeight="1" x14ac:dyDescent="0.25">
      <c r="A1700" s="8"/>
      <c r="B1700" s="8"/>
      <c r="C1700" s="8"/>
      <c r="D1700" s="151"/>
      <c r="E1700" s="151"/>
      <c r="F1700" s="24"/>
      <c r="G1700" s="30"/>
      <c r="H1700" s="81"/>
      <c r="I1700" s="30"/>
      <c r="J1700" s="16"/>
      <c r="K1700" s="9"/>
      <c r="L1700" s="9"/>
      <c r="M1700" s="152"/>
      <c r="N1700" s="153"/>
      <c r="O1700" s="152"/>
      <c r="P1700" s="154"/>
      <c r="Q1700" s="152"/>
      <c r="R1700" s="9"/>
      <c r="Z1700" s="21"/>
      <c r="AA1700" s="162">
        <f>+$AD$5-Tabla2[[#This Row],[FECHA DE FACTURACIÓN]]</f>
        <v>45443</v>
      </c>
      <c r="AB1700" s="163" t="str">
        <f>+IF(Tabla2[[#This Row],[dias de credito]]&gt;=Tabla2[[#This Row],[PLAZO Días]],"venc", "No venc")</f>
        <v>venc</v>
      </c>
      <c r="AC1700" s="163" t="str">
        <f>+IF(Tabla2[[#This Row],[FECHA DE PAGO]]&gt;0,"pagada","por pagar")</f>
        <v>por pagar</v>
      </c>
      <c r="AD1700" s="164" t="str">
        <f>+IF(AND(Tabla2[[#This Row],[venc]]="venc",Tabla2[[#This Row],[estado pago]]="por pagar"),"vencida","no")</f>
        <v>vencida</v>
      </c>
    </row>
    <row r="1701" spans="1:30" ht="19.5" hidden="1" customHeight="1" x14ac:dyDescent="0.25">
      <c r="A1701" s="8"/>
      <c r="B1701" s="8"/>
      <c r="C1701" s="8"/>
      <c r="D1701" s="151"/>
      <c r="E1701" s="151"/>
      <c r="F1701" s="24"/>
      <c r="G1701" s="30"/>
      <c r="H1701" s="81"/>
      <c r="I1701" s="30"/>
      <c r="J1701" s="16"/>
      <c r="K1701" s="9"/>
      <c r="L1701" s="9"/>
      <c r="M1701" s="152"/>
      <c r="N1701" s="153"/>
      <c r="O1701" s="152"/>
      <c r="P1701" s="154"/>
      <c r="Q1701" s="152"/>
      <c r="R1701" s="9"/>
      <c r="Z1701" s="21"/>
      <c r="AA1701" s="162">
        <f>+$AD$5-Tabla2[[#This Row],[FECHA DE FACTURACIÓN]]</f>
        <v>45443</v>
      </c>
      <c r="AB1701" s="163" t="str">
        <f>+IF(Tabla2[[#This Row],[dias de credito]]&gt;=Tabla2[[#This Row],[PLAZO Días]],"venc", "No venc")</f>
        <v>venc</v>
      </c>
      <c r="AC1701" s="163" t="str">
        <f>+IF(Tabla2[[#This Row],[FECHA DE PAGO]]&gt;0,"pagada","por pagar")</f>
        <v>por pagar</v>
      </c>
      <c r="AD1701" s="164" t="str">
        <f>+IF(AND(Tabla2[[#This Row],[venc]]="venc",Tabla2[[#This Row],[estado pago]]="por pagar"),"vencida","no")</f>
        <v>vencida</v>
      </c>
    </row>
    <row r="1702" spans="1:30" ht="19.5" hidden="1" customHeight="1" x14ac:dyDescent="0.25">
      <c r="A1702" s="8"/>
      <c r="B1702" s="8"/>
      <c r="C1702" s="8"/>
      <c r="D1702" s="151"/>
      <c r="E1702" s="151"/>
      <c r="F1702" s="24"/>
      <c r="G1702" s="30"/>
      <c r="H1702" s="81"/>
      <c r="I1702" s="30"/>
      <c r="J1702" s="16"/>
      <c r="K1702" s="9"/>
      <c r="L1702" s="9"/>
      <c r="M1702" s="152"/>
      <c r="N1702" s="153"/>
      <c r="O1702" s="152"/>
      <c r="P1702" s="154"/>
      <c r="Q1702" s="152"/>
      <c r="R1702" s="9"/>
      <c r="Z1702" s="21"/>
      <c r="AA1702" s="162">
        <f>+$AD$5-Tabla2[[#This Row],[FECHA DE FACTURACIÓN]]</f>
        <v>45443</v>
      </c>
      <c r="AB1702" s="163" t="str">
        <f>+IF(Tabla2[[#This Row],[dias de credito]]&gt;=Tabla2[[#This Row],[PLAZO Días]],"venc", "No venc")</f>
        <v>venc</v>
      </c>
      <c r="AC1702" s="163" t="str">
        <f>+IF(Tabla2[[#This Row],[FECHA DE PAGO]]&gt;0,"pagada","por pagar")</f>
        <v>por pagar</v>
      </c>
      <c r="AD1702" s="164" t="str">
        <f>+IF(AND(Tabla2[[#This Row],[venc]]="venc",Tabla2[[#This Row],[estado pago]]="por pagar"),"vencida","no")</f>
        <v>vencida</v>
      </c>
    </row>
    <row r="1703" spans="1:30" ht="19.5" hidden="1" customHeight="1" x14ac:dyDescent="0.25">
      <c r="A1703" s="8"/>
      <c r="B1703" s="8"/>
      <c r="C1703" s="8"/>
      <c r="D1703" s="151"/>
      <c r="E1703" s="151"/>
      <c r="F1703" s="24"/>
      <c r="G1703" s="30"/>
      <c r="H1703" s="81"/>
      <c r="I1703" s="30"/>
      <c r="J1703" s="16"/>
      <c r="K1703" s="9"/>
      <c r="L1703" s="9"/>
      <c r="M1703" s="152"/>
      <c r="N1703" s="153"/>
      <c r="O1703" s="152"/>
      <c r="P1703" s="154"/>
      <c r="Q1703" s="152"/>
      <c r="R1703" s="9"/>
      <c r="Z1703" s="21"/>
      <c r="AA1703" s="162">
        <f>+$AD$5-Tabla2[[#This Row],[FECHA DE FACTURACIÓN]]</f>
        <v>45443</v>
      </c>
      <c r="AB1703" s="163" t="str">
        <f>+IF(Tabla2[[#This Row],[dias de credito]]&gt;=Tabla2[[#This Row],[PLAZO Días]],"venc", "No venc")</f>
        <v>venc</v>
      </c>
      <c r="AC1703" s="163" t="str">
        <f>+IF(Tabla2[[#This Row],[FECHA DE PAGO]]&gt;0,"pagada","por pagar")</f>
        <v>por pagar</v>
      </c>
      <c r="AD1703" s="164" t="str">
        <f>+IF(AND(Tabla2[[#This Row],[venc]]="venc",Tabla2[[#This Row],[estado pago]]="por pagar"),"vencida","no")</f>
        <v>vencida</v>
      </c>
    </row>
    <row r="1704" spans="1:30" ht="19.5" hidden="1" customHeight="1" x14ac:dyDescent="0.25">
      <c r="A1704" s="8"/>
      <c r="B1704" s="8"/>
      <c r="C1704" s="8"/>
      <c r="D1704" s="151"/>
      <c r="E1704" s="151"/>
      <c r="F1704" s="24"/>
      <c r="G1704" s="30"/>
      <c r="H1704" s="81"/>
      <c r="I1704" s="30"/>
      <c r="J1704" s="16"/>
      <c r="K1704" s="9"/>
      <c r="L1704" s="9"/>
      <c r="M1704" s="152"/>
      <c r="N1704" s="153"/>
      <c r="O1704" s="152"/>
      <c r="P1704" s="154"/>
      <c r="Q1704" s="152"/>
      <c r="R1704" s="9"/>
      <c r="Z1704" s="21"/>
      <c r="AA1704" s="162">
        <f>+$AD$5-Tabla2[[#This Row],[FECHA DE FACTURACIÓN]]</f>
        <v>45443</v>
      </c>
      <c r="AB1704" s="163" t="str">
        <f>+IF(Tabla2[[#This Row],[dias de credito]]&gt;=Tabla2[[#This Row],[PLAZO Días]],"venc", "No venc")</f>
        <v>venc</v>
      </c>
      <c r="AC1704" s="163" t="str">
        <f>+IF(Tabla2[[#This Row],[FECHA DE PAGO]]&gt;0,"pagada","por pagar")</f>
        <v>por pagar</v>
      </c>
      <c r="AD1704" s="164" t="str">
        <f>+IF(AND(Tabla2[[#This Row],[venc]]="venc",Tabla2[[#This Row],[estado pago]]="por pagar"),"vencida","no")</f>
        <v>vencida</v>
      </c>
    </row>
    <row r="1705" spans="1:30" ht="19.5" hidden="1" customHeight="1" x14ac:dyDescent="0.25">
      <c r="A1705" s="8"/>
      <c r="B1705" s="8"/>
      <c r="C1705" s="8"/>
      <c r="D1705" s="151"/>
      <c r="E1705" s="151"/>
      <c r="F1705" s="24"/>
      <c r="G1705" s="30"/>
      <c r="H1705" s="81"/>
      <c r="I1705" s="30"/>
      <c r="J1705" s="16"/>
      <c r="K1705" s="9"/>
      <c r="L1705" s="9"/>
      <c r="M1705" s="152"/>
      <c r="N1705" s="153"/>
      <c r="O1705" s="152"/>
      <c r="P1705" s="154"/>
      <c r="Q1705" s="152"/>
      <c r="R1705" s="9"/>
      <c r="Z1705" s="21"/>
      <c r="AA1705" s="162">
        <f>+$AD$5-Tabla2[[#This Row],[FECHA DE FACTURACIÓN]]</f>
        <v>45443</v>
      </c>
      <c r="AB1705" s="163" t="str">
        <f>+IF(Tabla2[[#This Row],[dias de credito]]&gt;=Tabla2[[#This Row],[PLAZO Días]],"venc", "No venc")</f>
        <v>venc</v>
      </c>
      <c r="AC1705" s="163" t="str">
        <f>+IF(Tabla2[[#This Row],[FECHA DE PAGO]]&gt;0,"pagada","por pagar")</f>
        <v>por pagar</v>
      </c>
      <c r="AD1705" s="164" t="str">
        <f>+IF(AND(Tabla2[[#This Row],[venc]]="venc",Tabla2[[#This Row],[estado pago]]="por pagar"),"vencida","no")</f>
        <v>vencida</v>
      </c>
    </row>
    <row r="1706" spans="1:30" ht="19.5" hidden="1" customHeight="1" x14ac:dyDescent="0.25">
      <c r="A1706" s="8"/>
      <c r="B1706" s="8"/>
      <c r="C1706" s="8"/>
      <c r="D1706" s="151"/>
      <c r="E1706" s="151"/>
      <c r="F1706" s="24"/>
      <c r="G1706" s="30"/>
      <c r="H1706" s="81"/>
      <c r="I1706" s="30"/>
      <c r="J1706" s="16"/>
      <c r="K1706" s="9"/>
      <c r="L1706" s="9"/>
      <c r="M1706" s="152"/>
      <c r="N1706" s="153"/>
      <c r="O1706" s="152"/>
      <c r="P1706" s="154"/>
      <c r="Q1706" s="152"/>
      <c r="R1706" s="9"/>
      <c r="Z1706" s="21"/>
      <c r="AA1706" s="162">
        <f>+$AD$5-Tabla2[[#This Row],[FECHA DE FACTURACIÓN]]</f>
        <v>45443</v>
      </c>
      <c r="AB1706" s="163" t="str">
        <f>+IF(Tabla2[[#This Row],[dias de credito]]&gt;=Tabla2[[#This Row],[PLAZO Días]],"venc", "No venc")</f>
        <v>venc</v>
      </c>
      <c r="AC1706" s="163" t="str">
        <f>+IF(Tabla2[[#This Row],[FECHA DE PAGO]]&gt;0,"pagada","por pagar")</f>
        <v>por pagar</v>
      </c>
      <c r="AD1706" s="164" t="str">
        <f>+IF(AND(Tabla2[[#This Row],[venc]]="venc",Tabla2[[#This Row],[estado pago]]="por pagar"),"vencida","no")</f>
        <v>vencida</v>
      </c>
    </row>
    <row r="1707" spans="1:30" ht="19.5" hidden="1" customHeight="1" x14ac:dyDescent="0.25">
      <c r="A1707" s="8"/>
      <c r="B1707" s="8"/>
      <c r="C1707" s="8"/>
      <c r="D1707" s="151"/>
      <c r="E1707" s="151"/>
      <c r="F1707" s="24"/>
      <c r="G1707" s="30"/>
      <c r="H1707" s="81"/>
      <c r="I1707" s="30"/>
      <c r="J1707" s="16"/>
      <c r="K1707" s="9"/>
      <c r="L1707" s="9"/>
      <c r="M1707" s="152"/>
      <c r="N1707" s="153"/>
      <c r="O1707" s="152"/>
      <c r="P1707" s="154"/>
      <c r="Q1707" s="152"/>
      <c r="R1707" s="9"/>
      <c r="Z1707" s="21"/>
      <c r="AA1707" s="162">
        <f>+$AD$5-Tabla2[[#This Row],[FECHA DE FACTURACIÓN]]</f>
        <v>45443</v>
      </c>
      <c r="AB1707" s="163" t="str">
        <f>+IF(Tabla2[[#This Row],[dias de credito]]&gt;=Tabla2[[#This Row],[PLAZO Días]],"venc", "No venc")</f>
        <v>venc</v>
      </c>
      <c r="AC1707" s="163" t="str">
        <f>+IF(Tabla2[[#This Row],[FECHA DE PAGO]]&gt;0,"pagada","por pagar")</f>
        <v>por pagar</v>
      </c>
      <c r="AD1707" s="164" t="str">
        <f>+IF(AND(Tabla2[[#This Row],[venc]]="venc",Tabla2[[#This Row],[estado pago]]="por pagar"),"vencida","no")</f>
        <v>vencida</v>
      </c>
    </row>
    <row r="1708" spans="1:30" ht="19.5" hidden="1" customHeight="1" x14ac:dyDescent="0.25">
      <c r="A1708" s="8"/>
      <c r="B1708" s="8"/>
      <c r="C1708" s="8"/>
      <c r="D1708" s="151"/>
      <c r="E1708" s="151"/>
      <c r="F1708" s="24"/>
      <c r="G1708" s="30"/>
      <c r="H1708" s="81"/>
      <c r="I1708" s="30"/>
      <c r="J1708" s="16"/>
      <c r="K1708" s="9"/>
      <c r="L1708" s="9"/>
      <c r="M1708" s="152"/>
      <c r="N1708" s="153"/>
      <c r="O1708" s="152"/>
      <c r="P1708" s="154"/>
      <c r="Q1708" s="152"/>
      <c r="R1708" s="9"/>
      <c r="Z1708" s="21"/>
      <c r="AA1708" s="162">
        <f>+$AD$5-Tabla2[[#This Row],[FECHA DE FACTURACIÓN]]</f>
        <v>45443</v>
      </c>
      <c r="AB1708" s="163" t="str">
        <f>+IF(Tabla2[[#This Row],[dias de credito]]&gt;=Tabla2[[#This Row],[PLAZO Días]],"venc", "No venc")</f>
        <v>venc</v>
      </c>
      <c r="AC1708" s="163" t="str">
        <f>+IF(Tabla2[[#This Row],[FECHA DE PAGO]]&gt;0,"pagada","por pagar")</f>
        <v>por pagar</v>
      </c>
      <c r="AD1708" s="164" t="str">
        <f>+IF(AND(Tabla2[[#This Row],[venc]]="venc",Tabla2[[#This Row],[estado pago]]="por pagar"),"vencida","no")</f>
        <v>vencida</v>
      </c>
    </row>
    <row r="1709" spans="1:30" ht="19.5" hidden="1" customHeight="1" x14ac:dyDescent="0.25">
      <c r="A1709" s="8"/>
      <c r="B1709" s="8"/>
      <c r="C1709" s="8"/>
      <c r="D1709" s="151"/>
      <c r="E1709" s="151"/>
      <c r="F1709" s="24"/>
      <c r="G1709" s="30"/>
      <c r="H1709" s="81"/>
      <c r="I1709" s="30"/>
      <c r="J1709" s="16"/>
      <c r="K1709" s="9"/>
      <c r="L1709" s="9"/>
      <c r="M1709" s="152"/>
      <c r="N1709" s="153"/>
      <c r="O1709" s="152"/>
      <c r="P1709" s="154"/>
      <c r="Q1709" s="152"/>
      <c r="R1709" s="9"/>
      <c r="Z1709" s="21"/>
      <c r="AA1709" s="162">
        <f>+$AD$5-Tabla2[[#This Row],[FECHA DE FACTURACIÓN]]</f>
        <v>45443</v>
      </c>
      <c r="AB1709" s="163" t="str">
        <f>+IF(Tabla2[[#This Row],[dias de credito]]&gt;=Tabla2[[#This Row],[PLAZO Días]],"venc", "No venc")</f>
        <v>venc</v>
      </c>
      <c r="AC1709" s="163" t="str">
        <f>+IF(Tabla2[[#This Row],[FECHA DE PAGO]]&gt;0,"pagada","por pagar")</f>
        <v>por pagar</v>
      </c>
      <c r="AD1709" s="164" t="str">
        <f>+IF(AND(Tabla2[[#This Row],[venc]]="venc",Tabla2[[#This Row],[estado pago]]="por pagar"),"vencida","no")</f>
        <v>vencida</v>
      </c>
    </row>
    <row r="1710" spans="1:30" ht="19.5" hidden="1" customHeight="1" x14ac:dyDescent="0.25">
      <c r="A1710" s="8"/>
      <c r="B1710" s="8"/>
      <c r="C1710" s="8"/>
      <c r="D1710" s="151"/>
      <c r="E1710" s="151"/>
      <c r="F1710" s="24"/>
      <c r="G1710" s="30"/>
      <c r="H1710" s="81"/>
      <c r="I1710" s="30"/>
      <c r="J1710" s="16"/>
      <c r="K1710" s="9"/>
      <c r="L1710" s="9"/>
      <c r="M1710" s="152"/>
      <c r="N1710" s="153"/>
      <c r="O1710" s="152"/>
      <c r="P1710" s="154"/>
      <c r="Q1710" s="152"/>
      <c r="R1710" s="9"/>
      <c r="Z1710" s="21"/>
      <c r="AA1710" s="162">
        <f>+$AD$5-Tabla2[[#This Row],[FECHA DE FACTURACIÓN]]</f>
        <v>45443</v>
      </c>
      <c r="AB1710" s="163" t="str">
        <f>+IF(Tabla2[[#This Row],[dias de credito]]&gt;=Tabla2[[#This Row],[PLAZO Días]],"venc", "No venc")</f>
        <v>venc</v>
      </c>
      <c r="AC1710" s="163" t="str">
        <f>+IF(Tabla2[[#This Row],[FECHA DE PAGO]]&gt;0,"pagada","por pagar")</f>
        <v>por pagar</v>
      </c>
      <c r="AD1710" s="164" t="str">
        <f>+IF(AND(Tabla2[[#This Row],[venc]]="venc",Tabla2[[#This Row],[estado pago]]="por pagar"),"vencida","no")</f>
        <v>vencida</v>
      </c>
    </row>
    <row r="1711" spans="1:30" ht="19.5" hidden="1" customHeight="1" x14ac:dyDescent="0.25">
      <c r="A1711" s="8"/>
      <c r="B1711" s="8"/>
      <c r="C1711" s="8"/>
      <c r="D1711" s="151"/>
      <c r="E1711" s="151"/>
      <c r="F1711" s="24"/>
      <c r="G1711" s="30"/>
      <c r="H1711" s="81"/>
      <c r="I1711" s="30"/>
      <c r="J1711" s="16"/>
      <c r="K1711" s="9"/>
      <c r="L1711" s="9"/>
      <c r="M1711" s="152"/>
      <c r="N1711" s="153"/>
      <c r="O1711" s="152"/>
      <c r="P1711" s="154"/>
      <c r="Q1711" s="152"/>
      <c r="R1711" s="9"/>
      <c r="Z1711" s="21"/>
      <c r="AA1711" s="162">
        <f>+$AD$5-Tabla2[[#This Row],[FECHA DE FACTURACIÓN]]</f>
        <v>45443</v>
      </c>
      <c r="AB1711" s="163" t="str">
        <f>+IF(Tabla2[[#This Row],[dias de credito]]&gt;=Tabla2[[#This Row],[PLAZO Días]],"venc", "No venc")</f>
        <v>venc</v>
      </c>
      <c r="AC1711" s="163" t="str">
        <f>+IF(Tabla2[[#This Row],[FECHA DE PAGO]]&gt;0,"pagada","por pagar")</f>
        <v>por pagar</v>
      </c>
      <c r="AD1711" s="164" t="str">
        <f>+IF(AND(Tabla2[[#This Row],[venc]]="venc",Tabla2[[#This Row],[estado pago]]="por pagar"),"vencida","no")</f>
        <v>vencida</v>
      </c>
    </row>
    <row r="1712" spans="1:30" ht="19.5" hidden="1" customHeight="1" x14ac:dyDescent="0.25">
      <c r="A1712" s="8"/>
      <c r="B1712" s="8"/>
      <c r="C1712" s="8"/>
      <c r="D1712" s="151"/>
      <c r="E1712" s="151"/>
      <c r="F1712" s="24"/>
      <c r="G1712" s="30"/>
      <c r="H1712" s="81"/>
      <c r="I1712" s="30"/>
      <c r="J1712" s="16"/>
      <c r="K1712" s="9"/>
      <c r="L1712" s="9"/>
      <c r="M1712" s="152"/>
      <c r="N1712" s="153"/>
      <c r="O1712" s="152"/>
      <c r="P1712" s="154"/>
      <c r="Q1712" s="152"/>
      <c r="R1712" s="9"/>
      <c r="Z1712" s="21"/>
      <c r="AA1712" s="162">
        <f>+$AD$5-Tabla2[[#This Row],[FECHA DE FACTURACIÓN]]</f>
        <v>45443</v>
      </c>
      <c r="AB1712" s="163" t="str">
        <f>+IF(Tabla2[[#This Row],[dias de credito]]&gt;=Tabla2[[#This Row],[PLAZO Días]],"venc", "No venc")</f>
        <v>venc</v>
      </c>
      <c r="AC1712" s="163" t="str">
        <f>+IF(Tabla2[[#This Row],[FECHA DE PAGO]]&gt;0,"pagada","por pagar")</f>
        <v>por pagar</v>
      </c>
      <c r="AD1712" s="164" t="str">
        <f>+IF(AND(Tabla2[[#This Row],[venc]]="venc",Tabla2[[#This Row],[estado pago]]="por pagar"),"vencida","no")</f>
        <v>vencida</v>
      </c>
    </row>
    <row r="1713" spans="1:30" ht="19.5" hidden="1" customHeight="1" x14ac:dyDescent="0.25">
      <c r="A1713" s="8"/>
      <c r="B1713" s="8"/>
      <c r="C1713" s="8"/>
      <c r="D1713" s="151"/>
      <c r="E1713" s="151"/>
      <c r="F1713" s="24"/>
      <c r="G1713" s="30"/>
      <c r="H1713" s="81"/>
      <c r="I1713" s="30"/>
      <c r="J1713" s="16"/>
      <c r="K1713" s="9"/>
      <c r="L1713" s="9"/>
      <c r="M1713" s="152"/>
      <c r="N1713" s="153"/>
      <c r="O1713" s="152"/>
      <c r="P1713" s="154"/>
      <c r="Q1713" s="152"/>
      <c r="R1713" s="9"/>
      <c r="Z1713" s="21"/>
      <c r="AA1713" s="162">
        <f>+$AD$5-Tabla2[[#This Row],[FECHA DE FACTURACIÓN]]</f>
        <v>45443</v>
      </c>
      <c r="AB1713" s="163" t="str">
        <f>+IF(Tabla2[[#This Row],[dias de credito]]&gt;=Tabla2[[#This Row],[PLAZO Días]],"venc", "No venc")</f>
        <v>venc</v>
      </c>
      <c r="AC1713" s="163" t="str">
        <f>+IF(Tabla2[[#This Row],[FECHA DE PAGO]]&gt;0,"pagada","por pagar")</f>
        <v>por pagar</v>
      </c>
      <c r="AD1713" s="164" t="str">
        <f>+IF(AND(Tabla2[[#This Row],[venc]]="venc",Tabla2[[#This Row],[estado pago]]="por pagar"),"vencida","no")</f>
        <v>vencida</v>
      </c>
    </row>
    <row r="1714" spans="1:30" ht="19.5" hidden="1" customHeight="1" x14ac:dyDescent="0.25">
      <c r="A1714" s="8"/>
      <c r="B1714" s="8"/>
      <c r="C1714" s="8"/>
      <c r="D1714" s="151"/>
      <c r="E1714" s="151"/>
      <c r="F1714" s="24"/>
      <c r="G1714" s="30"/>
      <c r="H1714" s="81"/>
      <c r="I1714" s="30"/>
      <c r="J1714" s="16"/>
      <c r="K1714" s="9"/>
      <c r="L1714" s="9"/>
      <c r="M1714" s="152"/>
      <c r="N1714" s="153"/>
      <c r="O1714" s="152"/>
      <c r="P1714" s="154"/>
      <c r="Q1714" s="152"/>
      <c r="R1714" s="9"/>
      <c r="Z1714" s="21"/>
      <c r="AA1714" s="162">
        <f>+$AD$5-Tabla2[[#This Row],[FECHA DE FACTURACIÓN]]</f>
        <v>45443</v>
      </c>
      <c r="AB1714" s="163" t="str">
        <f>+IF(Tabla2[[#This Row],[dias de credito]]&gt;=Tabla2[[#This Row],[PLAZO Días]],"venc", "No venc")</f>
        <v>venc</v>
      </c>
      <c r="AC1714" s="163" t="str">
        <f>+IF(Tabla2[[#This Row],[FECHA DE PAGO]]&gt;0,"pagada","por pagar")</f>
        <v>por pagar</v>
      </c>
      <c r="AD1714" s="164" t="str">
        <f>+IF(AND(Tabla2[[#This Row],[venc]]="venc",Tabla2[[#This Row],[estado pago]]="por pagar"),"vencida","no")</f>
        <v>vencida</v>
      </c>
    </row>
    <row r="1715" spans="1:30" ht="19.5" hidden="1" customHeight="1" x14ac:dyDescent="0.25">
      <c r="A1715" s="8"/>
      <c r="B1715" s="8"/>
      <c r="C1715" s="8"/>
      <c r="D1715" s="151"/>
      <c r="E1715" s="151"/>
      <c r="F1715" s="24"/>
      <c r="G1715" s="30"/>
      <c r="H1715" s="81"/>
      <c r="I1715" s="30"/>
      <c r="J1715" s="16"/>
      <c r="K1715" s="9"/>
      <c r="L1715" s="9"/>
      <c r="M1715" s="152"/>
      <c r="N1715" s="153"/>
      <c r="O1715" s="152"/>
      <c r="P1715" s="154"/>
      <c r="Q1715" s="152"/>
      <c r="R1715" s="9"/>
      <c r="Z1715" s="21"/>
      <c r="AA1715" s="162">
        <f>+$AD$5-Tabla2[[#This Row],[FECHA DE FACTURACIÓN]]</f>
        <v>45443</v>
      </c>
      <c r="AB1715" s="163" t="str">
        <f>+IF(Tabla2[[#This Row],[dias de credito]]&gt;=Tabla2[[#This Row],[PLAZO Días]],"venc", "No venc")</f>
        <v>venc</v>
      </c>
      <c r="AC1715" s="163" t="str">
        <f>+IF(Tabla2[[#This Row],[FECHA DE PAGO]]&gt;0,"pagada","por pagar")</f>
        <v>por pagar</v>
      </c>
      <c r="AD1715" s="164" t="str">
        <f>+IF(AND(Tabla2[[#This Row],[venc]]="venc",Tabla2[[#This Row],[estado pago]]="por pagar"),"vencida","no")</f>
        <v>vencida</v>
      </c>
    </row>
    <row r="1716" spans="1:30" ht="19.5" hidden="1" customHeight="1" x14ac:dyDescent="0.25">
      <c r="A1716" s="8"/>
      <c r="B1716" s="8"/>
      <c r="C1716" s="8"/>
      <c r="D1716" s="151"/>
      <c r="E1716" s="151"/>
      <c r="F1716" s="24"/>
      <c r="G1716" s="30"/>
      <c r="H1716" s="81"/>
      <c r="I1716" s="30"/>
      <c r="J1716" s="16"/>
      <c r="K1716" s="9"/>
      <c r="L1716" s="9"/>
      <c r="M1716" s="152"/>
      <c r="N1716" s="153"/>
      <c r="O1716" s="152"/>
      <c r="P1716" s="154"/>
      <c r="Q1716" s="152"/>
      <c r="R1716" s="9"/>
      <c r="Z1716" s="21"/>
      <c r="AA1716" s="162">
        <f>+$AD$5-Tabla2[[#This Row],[FECHA DE FACTURACIÓN]]</f>
        <v>45443</v>
      </c>
      <c r="AB1716" s="163" t="str">
        <f>+IF(Tabla2[[#This Row],[dias de credito]]&gt;=Tabla2[[#This Row],[PLAZO Días]],"venc", "No venc")</f>
        <v>venc</v>
      </c>
      <c r="AC1716" s="163" t="str">
        <f>+IF(Tabla2[[#This Row],[FECHA DE PAGO]]&gt;0,"pagada","por pagar")</f>
        <v>por pagar</v>
      </c>
      <c r="AD1716" s="164" t="str">
        <f>+IF(AND(Tabla2[[#This Row],[venc]]="venc",Tabla2[[#This Row],[estado pago]]="por pagar"),"vencida","no")</f>
        <v>vencida</v>
      </c>
    </row>
    <row r="1717" spans="1:30" ht="19.5" hidden="1" customHeight="1" x14ac:dyDescent="0.25">
      <c r="A1717" s="8"/>
      <c r="B1717" s="8"/>
      <c r="C1717" s="8"/>
      <c r="D1717" s="151"/>
      <c r="E1717" s="151"/>
      <c r="F1717" s="24"/>
      <c r="G1717" s="30"/>
      <c r="H1717" s="81"/>
      <c r="I1717" s="30"/>
      <c r="J1717" s="16"/>
      <c r="K1717" s="9"/>
      <c r="L1717" s="9"/>
      <c r="M1717" s="152"/>
      <c r="N1717" s="153"/>
      <c r="O1717" s="152"/>
      <c r="P1717" s="154"/>
      <c r="Q1717" s="152"/>
      <c r="R1717" s="9"/>
      <c r="Z1717" s="21"/>
      <c r="AA1717" s="162">
        <f>+$AD$5-Tabla2[[#This Row],[FECHA DE FACTURACIÓN]]</f>
        <v>45443</v>
      </c>
      <c r="AB1717" s="163" t="str">
        <f>+IF(Tabla2[[#This Row],[dias de credito]]&gt;=Tabla2[[#This Row],[PLAZO Días]],"venc", "No venc")</f>
        <v>venc</v>
      </c>
      <c r="AC1717" s="163" t="str">
        <f>+IF(Tabla2[[#This Row],[FECHA DE PAGO]]&gt;0,"pagada","por pagar")</f>
        <v>por pagar</v>
      </c>
      <c r="AD1717" s="164" t="str">
        <f>+IF(AND(Tabla2[[#This Row],[venc]]="venc",Tabla2[[#This Row],[estado pago]]="por pagar"),"vencida","no")</f>
        <v>vencida</v>
      </c>
    </row>
    <row r="1718" spans="1:30" ht="19.5" hidden="1" customHeight="1" x14ac:dyDescent="0.25">
      <c r="A1718" s="8"/>
      <c r="B1718" s="8"/>
      <c r="C1718" s="8"/>
      <c r="D1718" s="151"/>
      <c r="E1718" s="151"/>
      <c r="F1718" s="24"/>
      <c r="G1718" s="30"/>
      <c r="H1718" s="81"/>
      <c r="I1718" s="30"/>
      <c r="J1718" s="16"/>
      <c r="K1718" s="9"/>
      <c r="L1718" s="9"/>
      <c r="M1718" s="152"/>
      <c r="N1718" s="153"/>
      <c r="O1718" s="152"/>
      <c r="P1718" s="154"/>
      <c r="Q1718" s="152"/>
      <c r="R1718" s="9"/>
      <c r="Z1718" s="21"/>
      <c r="AA1718" s="162">
        <f>+$AD$5-Tabla2[[#This Row],[FECHA DE FACTURACIÓN]]</f>
        <v>45443</v>
      </c>
      <c r="AB1718" s="163" t="str">
        <f>+IF(Tabla2[[#This Row],[dias de credito]]&gt;=Tabla2[[#This Row],[PLAZO Días]],"venc", "No venc")</f>
        <v>venc</v>
      </c>
      <c r="AC1718" s="163" t="str">
        <f>+IF(Tabla2[[#This Row],[FECHA DE PAGO]]&gt;0,"pagada","por pagar")</f>
        <v>por pagar</v>
      </c>
      <c r="AD1718" s="164" t="str">
        <f>+IF(AND(Tabla2[[#This Row],[venc]]="venc",Tabla2[[#This Row],[estado pago]]="por pagar"),"vencida","no")</f>
        <v>vencida</v>
      </c>
    </row>
    <row r="1719" spans="1:30" ht="19.5" hidden="1" customHeight="1" x14ac:dyDescent="0.25">
      <c r="A1719" s="8"/>
      <c r="B1719" s="8"/>
      <c r="C1719" s="8"/>
      <c r="D1719" s="151"/>
      <c r="E1719" s="151"/>
      <c r="F1719" s="24"/>
      <c r="G1719" s="30"/>
      <c r="H1719" s="81"/>
      <c r="I1719" s="30"/>
      <c r="J1719" s="16"/>
      <c r="K1719" s="9"/>
      <c r="L1719" s="9"/>
      <c r="M1719" s="152"/>
      <c r="N1719" s="153"/>
      <c r="O1719" s="152"/>
      <c r="P1719" s="154"/>
      <c r="Q1719" s="152"/>
      <c r="R1719" s="9"/>
      <c r="Z1719" s="21"/>
      <c r="AA1719" s="162">
        <f>+$AD$5-Tabla2[[#This Row],[FECHA DE FACTURACIÓN]]</f>
        <v>45443</v>
      </c>
      <c r="AB1719" s="163" t="str">
        <f>+IF(Tabla2[[#This Row],[dias de credito]]&gt;=Tabla2[[#This Row],[PLAZO Días]],"venc", "No venc")</f>
        <v>venc</v>
      </c>
      <c r="AC1719" s="163" t="str">
        <f>+IF(Tabla2[[#This Row],[FECHA DE PAGO]]&gt;0,"pagada","por pagar")</f>
        <v>por pagar</v>
      </c>
      <c r="AD1719" s="164" t="str">
        <f>+IF(AND(Tabla2[[#This Row],[venc]]="venc",Tabla2[[#This Row],[estado pago]]="por pagar"),"vencida","no")</f>
        <v>vencida</v>
      </c>
    </row>
    <row r="1720" spans="1:30" ht="19.5" hidden="1" customHeight="1" x14ac:dyDescent="0.25">
      <c r="A1720" s="8"/>
      <c r="B1720" s="8"/>
      <c r="C1720" s="8"/>
      <c r="D1720" s="151"/>
      <c r="E1720" s="151"/>
      <c r="F1720" s="24"/>
      <c r="G1720" s="30"/>
      <c r="H1720" s="81"/>
      <c r="I1720" s="30"/>
      <c r="J1720" s="16"/>
      <c r="K1720" s="9"/>
      <c r="L1720" s="9"/>
      <c r="M1720" s="152"/>
      <c r="N1720" s="153"/>
      <c r="O1720" s="152"/>
      <c r="P1720" s="154"/>
      <c r="Q1720" s="152"/>
      <c r="R1720" s="9"/>
      <c r="Z1720" s="21"/>
      <c r="AA1720" s="162">
        <f>+$AD$5-Tabla2[[#This Row],[FECHA DE FACTURACIÓN]]</f>
        <v>45443</v>
      </c>
      <c r="AB1720" s="163" t="str">
        <f>+IF(Tabla2[[#This Row],[dias de credito]]&gt;=Tabla2[[#This Row],[PLAZO Días]],"venc", "No venc")</f>
        <v>venc</v>
      </c>
      <c r="AC1720" s="163" t="str">
        <f>+IF(Tabla2[[#This Row],[FECHA DE PAGO]]&gt;0,"pagada","por pagar")</f>
        <v>por pagar</v>
      </c>
      <c r="AD1720" s="164" t="str">
        <f>+IF(AND(Tabla2[[#This Row],[venc]]="venc",Tabla2[[#This Row],[estado pago]]="por pagar"),"vencida","no")</f>
        <v>vencida</v>
      </c>
    </row>
    <row r="1721" spans="1:30" ht="19.5" hidden="1" customHeight="1" x14ac:dyDescent="0.25">
      <c r="A1721" s="8"/>
      <c r="B1721" s="8"/>
      <c r="C1721" s="8"/>
      <c r="D1721" s="151"/>
      <c r="E1721" s="151"/>
      <c r="F1721" s="24"/>
      <c r="G1721" s="30"/>
      <c r="H1721" s="81"/>
      <c r="I1721" s="30"/>
      <c r="J1721" s="16"/>
      <c r="K1721" s="9"/>
      <c r="L1721" s="9"/>
      <c r="M1721" s="152"/>
      <c r="N1721" s="153"/>
      <c r="O1721" s="152"/>
      <c r="P1721" s="154"/>
      <c r="Q1721" s="152"/>
      <c r="R1721" s="9"/>
      <c r="Z1721" s="21"/>
      <c r="AA1721" s="162">
        <f>+$AD$5-Tabla2[[#This Row],[FECHA DE FACTURACIÓN]]</f>
        <v>45443</v>
      </c>
      <c r="AB1721" s="163" t="str">
        <f>+IF(Tabla2[[#This Row],[dias de credito]]&gt;=Tabla2[[#This Row],[PLAZO Días]],"venc", "No venc")</f>
        <v>venc</v>
      </c>
      <c r="AC1721" s="163" t="str">
        <f>+IF(Tabla2[[#This Row],[FECHA DE PAGO]]&gt;0,"pagada","por pagar")</f>
        <v>por pagar</v>
      </c>
      <c r="AD1721" s="164" t="str">
        <f>+IF(AND(Tabla2[[#This Row],[venc]]="venc",Tabla2[[#This Row],[estado pago]]="por pagar"),"vencida","no")</f>
        <v>vencida</v>
      </c>
    </row>
    <row r="1722" spans="1:30" ht="19.5" hidden="1" customHeight="1" x14ac:dyDescent="0.25">
      <c r="A1722" s="8"/>
      <c r="B1722" s="8"/>
      <c r="C1722" s="8"/>
      <c r="D1722" s="151"/>
      <c r="E1722" s="151"/>
      <c r="F1722" s="24"/>
      <c r="G1722" s="30"/>
      <c r="H1722" s="81"/>
      <c r="I1722" s="30"/>
      <c r="J1722" s="16"/>
      <c r="K1722" s="9"/>
      <c r="L1722" s="9"/>
      <c r="M1722" s="152"/>
      <c r="N1722" s="153"/>
      <c r="O1722" s="152"/>
      <c r="P1722" s="154"/>
      <c r="Q1722" s="152"/>
      <c r="R1722" s="9"/>
      <c r="Z1722" s="21"/>
      <c r="AA1722" s="162">
        <f>+$AD$5-Tabla2[[#This Row],[FECHA DE FACTURACIÓN]]</f>
        <v>45443</v>
      </c>
      <c r="AB1722" s="163" t="str">
        <f>+IF(Tabla2[[#This Row],[dias de credito]]&gt;=Tabla2[[#This Row],[PLAZO Días]],"venc", "No venc")</f>
        <v>venc</v>
      </c>
      <c r="AC1722" s="163" t="str">
        <f>+IF(Tabla2[[#This Row],[FECHA DE PAGO]]&gt;0,"pagada","por pagar")</f>
        <v>por pagar</v>
      </c>
      <c r="AD1722" s="164" t="str">
        <f>+IF(AND(Tabla2[[#This Row],[venc]]="venc",Tabla2[[#This Row],[estado pago]]="por pagar"),"vencida","no")</f>
        <v>vencida</v>
      </c>
    </row>
    <row r="1723" spans="1:30" ht="19.5" hidden="1" customHeight="1" x14ac:dyDescent="0.25">
      <c r="A1723" s="8"/>
      <c r="B1723" s="8"/>
      <c r="C1723" s="8"/>
      <c r="D1723" s="151"/>
      <c r="E1723" s="151"/>
      <c r="F1723" s="24"/>
      <c r="G1723" s="30"/>
      <c r="H1723" s="81"/>
      <c r="I1723" s="30"/>
      <c r="J1723" s="16"/>
      <c r="K1723" s="9"/>
      <c r="L1723" s="9"/>
      <c r="M1723" s="152"/>
      <c r="N1723" s="153"/>
      <c r="O1723" s="152"/>
      <c r="P1723" s="154"/>
      <c r="Q1723" s="152"/>
      <c r="R1723" s="9"/>
      <c r="Z1723" s="21"/>
      <c r="AA1723" s="162">
        <f>+$AD$5-Tabla2[[#This Row],[FECHA DE FACTURACIÓN]]</f>
        <v>45443</v>
      </c>
      <c r="AB1723" s="163" t="str">
        <f>+IF(Tabla2[[#This Row],[dias de credito]]&gt;=Tabla2[[#This Row],[PLAZO Días]],"venc", "No venc")</f>
        <v>venc</v>
      </c>
      <c r="AC1723" s="163" t="str">
        <f>+IF(Tabla2[[#This Row],[FECHA DE PAGO]]&gt;0,"pagada","por pagar")</f>
        <v>por pagar</v>
      </c>
      <c r="AD1723" s="164" t="str">
        <f>+IF(AND(Tabla2[[#This Row],[venc]]="venc",Tabla2[[#This Row],[estado pago]]="por pagar"),"vencida","no")</f>
        <v>vencida</v>
      </c>
    </row>
    <row r="1724" spans="1:30" ht="19.5" hidden="1" customHeight="1" x14ac:dyDescent="0.25">
      <c r="A1724" s="8"/>
      <c r="B1724" s="8"/>
      <c r="C1724" s="8"/>
      <c r="D1724" s="151"/>
      <c r="E1724" s="151"/>
      <c r="F1724" s="24"/>
      <c r="G1724" s="30"/>
      <c r="H1724" s="81"/>
      <c r="I1724" s="30"/>
      <c r="J1724" s="16"/>
      <c r="K1724" s="9"/>
      <c r="L1724" s="9"/>
      <c r="M1724" s="152"/>
      <c r="N1724" s="153"/>
      <c r="O1724" s="152"/>
      <c r="P1724" s="154"/>
      <c r="Q1724" s="152"/>
      <c r="R1724" s="9"/>
      <c r="Z1724" s="21"/>
      <c r="AA1724" s="162">
        <f>+$AD$5-Tabla2[[#This Row],[FECHA DE FACTURACIÓN]]</f>
        <v>45443</v>
      </c>
      <c r="AB1724" s="163" t="str">
        <f>+IF(Tabla2[[#This Row],[dias de credito]]&gt;=Tabla2[[#This Row],[PLAZO Días]],"venc", "No venc")</f>
        <v>venc</v>
      </c>
      <c r="AC1724" s="163" t="str">
        <f>+IF(Tabla2[[#This Row],[FECHA DE PAGO]]&gt;0,"pagada","por pagar")</f>
        <v>por pagar</v>
      </c>
      <c r="AD1724" s="164" t="str">
        <f>+IF(AND(Tabla2[[#This Row],[venc]]="venc",Tabla2[[#This Row],[estado pago]]="por pagar"),"vencida","no")</f>
        <v>vencida</v>
      </c>
    </row>
    <row r="1725" spans="1:30" ht="19.5" hidden="1" customHeight="1" x14ac:dyDescent="0.25">
      <c r="A1725" s="8"/>
      <c r="B1725" s="8"/>
      <c r="C1725" s="8"/>
      <c r="D1725" s="151"/>
      <c r="E1725" s="151"/>
      <c r="F1725" s="24"/>
      <c r="G1725" s="30"/>
      <c r="H1725" s="81"/>
      <c r="I1725" s="30"/>
      <c r="J1725" s="16"/>
      <c r="K1725" s="9"/>
      <c r="L1725" s="9"/>
      <c r="M1725" s="152"/>
      <c r="N1725" s="153"/>
      <c r="O1725" s="152"/>
      <c r="P1725" s="154"/>
      <c r="Q1725" s="152"/>
      <c r="R1725" s="9"/>
      <c r="Z1725" s="21"/>
      <c r="AA1725" s="162">
        <f>+$AD$5-Tabla2[[#This Row],[FECHA DE FACTURACIÓN]]</f>
        <v>45443</v>
      </c>
      <c r="AB1725" s="163" t="str">
        <f>+IF(Tabla2[[#This Row],[dias de credito]]&gt;=Tabla2[[#This Row],[PLAZO Días]],"venc", "No venc")</f>
        <v>venc</v>
      </c>
      <c r="AC1725" s="163" t="str">
        <f>+IF(Tabla2[[#This Row],[FECHA DE PAGO]]&gt;0,"pagada","por pagar")</f>
        <v>por pagar</v>
      </c>
      <c r="AD1725" s="164" t="str">
        <f>+IF(AND(Tabla2[[#This Row],[venc]]="venc",Tabla2[[#This Row],[estado pago]]="por pagar"),"vencida","no")</f>
        <v>vencida</v>
      </c>
    </row>
    <row r="1726" spans="1:30" ht="19.5" hidden="1" customHeight="1" x14ac:dyDescent="0.25">
      <c r="A1726" s="8"/>
      <c r="B1726" s="8"/>
      <c r="C1726" s="8"/>
      <c r="D1726" s="151"/>
      <c r="E1726" s="151"/>
      <c r="F1726" s="24"/>
      <c r="G1726" s="30"/>
      <c r="H1726" s="81"/>
      <c r="I1726" s="30"/>
      <c r="J1726" s="16"/>
      <c r="K1726" s="9"/>
      <c r="L1726" s="9"/>
      <c r="M1726" s="152"/>
      <c r="N1726" s="153"/>
      <c r="O1726" s="152"/>
      <c r="P1726" s="154"/>
      <c r="Q1726" s="152"/>
      <c r="R1726" s="9"/>
      <c r="Z1726" s="21"/>
      <c r="AA1726" s="162">
        <f>+$AD$5-Tabla2[[#This Row],[FECHA DE FACTURACIÓN]]</f>
        <v>45443</v>
      </c>
      <c r="AB1726" s="163" t="str">
        <f>+IF(Tabla2[[#This Row],[dias de credito]]&gt;=Tabla2[[#This Row],[PLAZO Días]],"venc", "No venc")</f>
        <v>venc</v>
      </c>
      <c r="AC1726" s="163" t="str">
        <f>+IF(Tabla2[[#This Row],[FECHA DE PAGO]]&gt;0,"pagada","por pagar")</f>
        <v>por pagar</v>
      </c>
      <c r="AD1726" s="164" t="str">
        <f>+IF(AND(Tabla2[[#This Row],[venc]]="venc",Tabla2[[#This Row],[estado pago]]="por pagar"),"vencida","no")</f>
        <v>vencida</v>
      </c>
    </row>
    <row r="1727" spans="1:30" ht="19.5" hidden="1" customHeight="1" x14ac:dyDescent="0.25">
      <c r="A1727" s="8"/>
      <c r="B1727" s="8"/>
      <c r="C1727" s="8"/>
      <c r="D1727" s="151"/>
      <c r="E1727" s="151"/>
      <c r="F1727" s="24"/>
      <c r="G1727" s="30"/>
      <c r="H1727" s="81"/>
      <c r="I1727" s="30"/>
      <c r="J1727" s="16"/>
      <c r="K1727" s="9"/>
      <c r="L1727" s="9"/>
      <c r="M1727" s="152"/>
      <c r="N1727" s="153"/>
      <c r="O1727" s="152"/>
      <c r="P1727" s="154"/>
      <c r="Q1727" s="152"/>
      <c r="R1727" s="9"/>
      <c r="Z1727" s="21"/>
      <c r="AA1727" s="162">
        <f>+$AD$5-Tabla2[[#This Row],[FECHA DE FACTURACIÓN]]</f>
        <v>45443</v>
      </c>
      <c r="AB1727" s="163" t="str">
        <f>+IF(Tabla2[[#This Row],[dias de credito]]&gt;=Tabla2[[#This Row],[PLAZO Días]],"venc", "No venc")</f>
        <v>venc</v>
      </c>
      <c r="AC1727" s="163" t="str">
        <f>+IF(Tabla2[[#This Row],[FECHA DE PAGO]]&gt;0,"pagada","por pagar")</f>
        <v>por pagar</v>
      </c>
      <c r="AD1727" s="164" t="str">
        <f>+IF(AND(Tabla2[[#This Row],[venc]]="venc",Tabla2[[#This Row],[estado pago]]="por pagar"),"vencida","no")</f>
        <v>vencida</v>
      </c>
    </row>
    <row r="1728" spans="1:30" ht="19.5" hidden="1" customHeight="1" x14ac:dyDescent="0.25">
      <c r="A1728" s="8"/>
      <c r="B1728" s="8"/>
      <c r="C1728" s="8"/>
      <c r="D1728" s="151"/>
      <c r="E1728" s="151"/>
      <c r="F1728" s="24"/>
      <c r="G1728" s="30"/>
      <c r="H1728" s="81"/>
      <c r="I1728" s="30"/>
      <c r="J1728" s="16"/>
      <c r="K1728" s="9"/>
      <c r="L1728" s="9"/>
      <c r="M1728" s="152"/>
      <c r="N1728" s="153"/>
      <c r="O1728" s="152"/>
      <c r="P1728" s="154"/>
      <c r="Q1728" s="152"/>
      <c r="R1728" s="9"/>
      <c r="Z1728" s="21"/>
      <c r="AA1728" s="162">
        <f>+$AD$5-Tabla2[[#This Row],[FECHA DE FACTURACIÓN]]</f>
        <v>45443</v>
      </c>
      <c r="AB1728" s="163" t="str">
        <f>+IF(Tabla2[[#This Row],[dias de credito]]&gt;=Tabla2[[#This Row],[PLAZO Días]],"venc", "No venc")</f>
        <v>venc</v>
      </c>
      <c r="AC1728" s="163" t="str">
        <f>+IF(Tabla2[[#This Row],[FECHA DE PAGO]]&gt;0,"pagada","por pagar")</f>
        <v>por pagar</v>
      </c>
      <c r="AD1728" s="164" t="str">
        <f>+IF(AND(Tabla2[[#This Row],[venc]]="venc",Tabla2[[#This Row],[estado pago]]="por pagar"),"vencida","no")</f>
        <v>vencida</v>
      </c>
    </row>
    <row r="1729" spans="1:30" ht="19.5" hidden="1" customHeight="1" x14ac:dyDescent="0.25">
      <c r="A1729" s="8"/>
      <c r="B1729" s="8"/>
      <c r="C1729" s="8"/>
      <c r="D1729" s="151"/>
      <c r="E1729" s="151"/>
      <c r="F1729" s="24"/>
      <c r="G1729" s="30"/>
      <c r="H1729" s="81"/>
      <c r="I1729" s="30"/>
      <c r="J1729" s="16"/>
      <c r="K1729" s="9"/>
      <c r="L1729" s="9"/>
      <c r="M1729" s="152"/>
      <c r="N1729" s="153"/>
      <c r="O1729" s="152"/>
      <c r="P1729" s="154"/>
      <c r="Q1729" s="152"/>
      <c r="R1729" s="9"/>
      <c r="Z1729" s="21"/>
      <c r="AA1729" s="162">
        <f>+$AD$5-Tabla2[[#This Row],[FECHA DE FACTURACIÓN]]</f>
        <v>45443</v>
      </c>
      <c r="AB1729" s="163" t="str">
        <f>+IF(Tabla2[[#This Row],[dias de credito]]&gt;=Tabla2[[#This Row],[PLAZO Días]],"venc", "No venc")</f>
        <v>venc</v>
      </c>
      <c r="AC1729" s="163" t="str">
        <f>+IF(Tabla2[[#This Row],[FECHA DE PAGO]]&gt;0,"pagada","por pagar")</f>
        <v>por pagar</v>
      </c>
      <c r="AD1729" s="164" t="str">
        <f>+IF(AND(Tabla2[[#This Row],[venc]]="venc",Tabla2[[#This Row],[estado pago]]="por pagar"),"vencida","no")</f>
        <v>vencida</v>
      </c>
    </row>
    <row r="1730" spans="1:30" ht="19.5" hidden="1" customHeight="1" x14ac:dyDescent="0.25">
      <c r="A1730" s="8"/>
      <c r="B1730" s="8"/>
      <c r="C1730" s="8"/>
      <c r="D1730" s="151"/>
      <c r="E1730" s="151"/>
      <c r="F1730" s="24"/>
      <c r="G1730" s="30"/>
      <c r="H1730" s="81"/>
      <c r="I1730" s="30"/>
      <c r="J1730" s="16"/>
      <c r="K1730" s="9"/>
      <c r="L1730" s="9"/>
      <c r="M1730" s="152"/>
      <c r="N1730" s="153"/>
      <c r="O1730" s="152"/>
      <c r="P1730" s="154"/>
      <c r="Q1730" s="152"/>
      <c r="R1730" s="9"/>
      <c r="Z1730" s="21"/>
      <c r="AA1730" s="162">
        <f>+$AD$5-Tabla2[[#This Row],[FECHA DE FACTURACIÓN]]</f>
        <v>45443</v>
      </c>
      <c r="AB1730" s="163" t="str">
        <f>+IF(Tabla2[[#This Row],[dias de credito]]&gt;=Tabla2[[#This Row],[PLAZO Días]],"venc", "No venc")</f>
        <v>venc</v>
      </c>
      <c r="AC1730" s="163" t="str">
        <f>+IF(Tabla2[[#This Row],[FECHA DE PAGO]]&gt;0,"pagada","por pagar")</f>
        <v>por pagar</v>
      </c>
      <c r="AD1730" s="164" t="str">
        <f>+IF(AND(Tabla2[[#This Row],[venc]]="venc",Tabla2[[#This Row],[estado pago]]="por pagar"),"vencida","no")</f>
        <v>vencida</v>
      </c>
    </row>
    <row r="1731" spans="1:30" ht="19.5" hidden="1" customHeight="1" x14ac:dyDescent="0.25">
      <c r="A1731" s="8"/>
      <c r="B1731" s="8"/>
      <c r="C1731" s="8"/>
      <c r="D1731" s="151"/>
      <c r="E1731" s="151"/>
      <c r="F1731" s="24"/>
      <c r="G1731" s="30"/>
      <c r="H1731" s="81"/>
      <c r="I1731" s="30"/>
      <c r="J1731" s="16"/>
      <c r="K1731" s="9"/>
      <c r="L1731" s="9"/>
      <c r="M1731" s="152"/>
      <c r="N1731" s="153"/>
      <c r="O1731" s="152"/>
      <c r="P1731" s="154"/>
      <c r="Q1731" s="152"/>
      <c r="R1731" s="9"/>
      <c r="Z1731" s="21"/>
      <c r="AA1731" s="162">
        <f>+$AD$5-Tabla2[[#This Row],[FECHA DE FACTURACIÓN]]</f>
        <v>45443</v>
      </c>
      <c r="AB1731" s="163" t="str">
        <f>+IF(Tabla2[[#This Row],[dias de credito]]&gt;=Tabla2[[#This Row],[PLAZO Días]],"venc", "No venc")</f>
        <v>venc</v>
      </c>
      <c r="AC1731" s="163" t="str">
        <f>+IF(Tabla2[[#This Row],[FECHA DE PAGO]]&gt;0,"pagada","por pagar")</f>
        <v>por pagar</v>
      </c>
      <c r="AD1731" s="164" t="str">
        <f>+IF(AND(Tabla2[[#This Row],[venc]]="venc",Tabla2[[#This Row],[estado pago]]="por pagar"),"vencida","no")</f>
        <v>vencida</v>
      </c>
    </row>
    <row r="1732" spans="1:30" ht="19.5" hidden="1" customHeight="1" x14ac:dyDescent="0.25">
      <c r="A1732" s="8"/>
      <c r="B1732" s="8"/>
      <c r="C1732" s="8"/>
      <c r="D1732" s="151"/>
      <c r="E1732" s="151"/>
      <c r="F1732" s="24"/>
      <c r="G1732" s="30"/>
      <c r="H1732" s="81"/>
      <c r="I1732" s="30"/>
      <c r="J1732" s="16"/>
      <c r="K1732" s="9"/>
      <c r="L1732" s="9"/>
      <c r="M1732" s="152"/>
      <c r="N1732" s="153"/>
      <c r="O1732" s="152"/>
      <c r="P1732" s="154"/>
      <c r="Q1732" s="152"/>
      <c r="R1732" s="9"/>
      <c r="Z1732" s="21"/>
      <c r="AA1732" s="162">
        <f>+$AD$5-Tabla2[[#This Row],[FECHA DE FACTURACIÓN]]</f>
        <v>45443</v>
      </c>
      <c r="AB1732" s="163" t="str">
        <f>+IF(Tabla2[[#This Row],[dias de credito]]&gt;=Tabla2[[#This Row],[PLAZO Días]],"venc", "No venc")</f>
        <v>venc</v>
      </c>
      <c r="AC1732" s="163" t="str">
        <f>+IF(Tabla2[[#This Row],[FECHA DE PAGO]]&gt;0,"pagada","por pagar")</f>
        <v>por pagar</v>
      </c>
      <c r="AD1732" s="164" t="str">
        <f>+IF(AND(Tabla2[[#This Row],[venc]]="venc",Tabla2[[#This Row],[estado pago]]="por pagar"),"vencida","no")</f>
        <v>vencida</v>
      </c>
    </row>
    <row r="1733" spans="1:30" ht="19.5" hidden="1" customHeight="1" x14ac:dyDescent="0.25">
      <c r="A1733" s="8"/>
      <c r="B1733" s="8"/>
      <c r="C1733" s="8"/>
      <c r="D1733" s="151"/>
      <c r="E1733" s="151"/>
      <c r="F1733" s="24"/>
      <c r="G1733" s="30"/>
      <c r="H1733" s="81"/>
      <c r="I1733" s="30"/>
      <c r="J1733" s="16"/>
      <c r="K1733" s="9"/>
      <c r="L1733" s="9"/>
      <c r="M1733" s="152"/>
      <c r="N1733" s="153"/>
      <c r="O1733" s="152"/>
      <c r="P1733" s="154"/>
      <c r="Q1733" s="152"/>
      <c r="R1733" s="9"/>
      <c r="Z1733" s="21"/>
      <c r="AA1733" s="162">
        <f>+$AD$5-Tabla2[[#This Row],[FECHA DE FACTURACIÓN]]</f>
        <v>45443</v>
      </c>
      <c r="AB1733" s="163" t="str">
        <f>+IF(Tabla2[[#This Row],[dias de credito]]&gt;=Tabla2[[#This Row],[PLAZO Días]],"venc", "No venc")</f>
        <v>venc</v>
      </c>
      <c r="AC1733" s="163" t="str">
        <f>+IF(Tabla2[[#This Row],[FECHA DE PAGO]]&gt;0,"pagada","por pagar")</f>
        <v>por pagar</v>
      </c>
      <c r="AD1733" s="164" t="str">
        <f>+IF(AND(Tabla2[[#This Row],[venc]]="venc",Tabla2[[#This Row],[estado pago]]="por pagar"),"vencida","no")</f>
        <v>vencida</v>
      </c>
    </row>
    <row r="1734" spans="1:30" ht="19.5" hidden="1" customHeight="1" x14ac:dyDescent="0.25">
      <c r="A1734" s="8"/>
      <c r="B1734" s="8"/>
      <c r="C1734" s="8"/>
      <c r="D1734" s="151"/>
      <c r="E1734" s="151"/>
      <c r="F1734" s="24"/>
      <c r="G1734" s="30"/>
      <c r="H1734" s="81"/>
      <c r="I1734" s="30"/>
      <c r="J1734" s="16"/>
      <c r="K1734" s="9"/>
      <c r="L1734" s="9"/>
      <c r="M1734" s="152"/>
      <c r="N1734" s="153"/>
      <c r="O1734" s="152"/>
      <c r="P1734" s="154"/>
      <c r="Q1734" s="152"/>
      <c r="R1734" s="9"/>
      <c r="Z1734" s="21"/>
      <c r="AA1734" s="162">
        <f>+$AD$5-Tabla2[[#This Row],[FECHA DE FACTURACIÓN]]</f>
        <v>45443</v>
      </c>
      <c r="AB1734" s="163" t="str">
        <f>+IF(Tabla2[[#This Row],[dias de credito]]&gt;=Tabla2[[#This Row],[PLAZO Días]],"venc", "No venc")</f>
        <v>venc</v>
      </c>
      <c r="AC1734" s="163" t="str">
        <f>+IF(Tabla2[[#This Row],[FECHA DE PAGO]]&gt;0,"pagada","por pagar")</f>
        <v>por pagar</v>
      </c>
      <c r="AD1734" s="164" t="str">
        <f>+IF(AND(Tabla2[[#This Row],[venc]]="venc",Tabla2[[#This Row],[estado pago]]="por pagar"),"vencida","no")</f>
        <v>vencida</v>
      </c>
    </row>
    <row r="1735" spans="1:30" ht="19.5" hidden="1" customHeight="1" x14ac:dyDescent="0.25">
      <c r="A1735" s="8"/>
      <c r="B1735" s="8"/>
      <c r="C1735" s="8"/>
      <c r="D1735" s="151"/>
      <c r="E1735" s="151"/>
      <c r="F1735" s="24"/>
      <c r="G1735" s="30"/>
      <c r="H1735" s="81"/>
      <c r="I1735" s="30"/>
      <c r="J1735" s="16"/>
      <c r="K1735" s="9"/>
      <c r="L1735" s="9"/>
      <c r="M1735" s="152"/>
      <c r="N1735" s="153"/>
      <c r="O1735" s="152"/>
      <c r="P1735" s="154"/>
      <c r="Q1735" s="152"/>
      <c r="R1735" s="9"/>
      <c r="Z1735" s="21"/>
      <c r="AA1735" s="162">
        <f>+$AD$5-Tabla2[[#This Row],[FECHA DE FACTURACIÓN]]</f>
        <v>45443</v>
      </c>
      <c r="AB1735" s="163" t="str">
        <f>+IF(Tabla2[[#This Row],[dias de credito]]&gt;=Tabla2[[#This Row],[PLAZO Días]],"venc", "No venc")</f>
        <v>venc</v>
      </c>
      <c r="AC1735" s="163" t="str">
        <f>+IF(Tabla2[[#This Row],[FECHA DE PAGO]]&gt;0,"pagada","por pagar")</f>
        <v>por pagar</v>
      </c>
      <c r="AD1735" s="164" t="str">
        <f>+IF(AND(Tabla2[[#This Row],[venc]]="venc",Tabla2[[#This Row],[estado pago]]="por pagar"),"vencida","no")</f>
        <v>vencida</v>
      </c>
    </row>
    <row r="1736" spans="1:30" ht="19.5" hidden="1" customHeight="1" x14ac:dyDescent="0.25">
      <c r="A1736" s="8"/>
      <c r="B1736" s="8"/>
      <c r="C1736" s="8"/>
      <c r="D1736" s="151"/>
      <c r="E1736" s="151"/>
      <c r="F1736" s="24"/>
      <c r="G1736" s="30"/>
      <c r="H1736" s="81"/>
      <c r="I1736" s="30"/>
      <c r="J1736" s="16"/>
      <c r="K1736" s="9"/>
      <c r="L1736" s="9"/>
      <c r="M1736" s="152"/>
      <c r="N1736" s="153"/>
      <c r="O1736" s="152"/>
      <c r="P1736" s="154"/>
      <c r="Q1736" s="152"/>
      <c r="R1736" s="9"/>
      <c r="Z1736" s="21"/>
      <c r="AA1736" s="162">
        <f>+$AD$5-Tabla2[[#This Row],[FECHA DE FACTURACIÓN]]</f>
        <v>45443</v>
      </c>
      <c r="AB1736" s="163" t="str">
        <f>+IF(Tabla2[[#This Row],[dias de credito]]&gt;=Tabla2[[#This Row],[PLAZO Días]],"venc", "No venc")</f>
        <v>venc</v>
      </c>
      <c r="AC1736" s="163" t="str">
        <f>+IF(Tabla2[[#This Row],[FECHA DE PAGO]]&gt;0,"pagada","por pagar")</f>
        <v>por pagar</v>
      </c>
      <c r="AD1736" s="164" t="str">
        <f>+IF(AND(Tabla2[[#This Row],[venc]]="venc",Tabla2[[#This Row],[estado pago]]="por pagar"),"vencida","no")</f>
        <v>vencida</v>
      </c>
    </row>
    <row r="1737" spans="1:30" ht="19.5" hidden="1" customHeight="1" x14ac:dyDescent="0.25">
      <c r="A1737" s="8"/>
      <c r="B1737" s="8"/>
      <c r="C1737" s="8"/>
      <c r="D1737" s="151"/>
      <c r="E1737" s="151"/>
      <c r="F1737" s="24"/>
      <c r="G1737" s="30"/>
      <c r="H1737" s="81"/>
      <c r="I1737" s="30"/>
      <c r="J1737" s="16"/>
      <c r="K1737" s="9"/>
      <c r="L1737" s="9"/>
      <c r="M1737" s="152"/>
      <c r="N1737" s="153"/>
      <c r="O1737" s="152"/>
      <c r="P1737" s="154"/>
      <c r="Q1737" s="152"/>
      <c r="R1737" s="9"/>
      <c r="Z1737" s="21"/>
      <c r="AA1737" s="162">
        <f>+$AD$5-Tabla2[[#This Row],[FECHA DE FACTURACIÓN]]</f>
        <v>45443</v>
      </c>
      <c r="AB1737" s="163" t="str">
        <f>+IF(Tabla2[[#This Row],[dias de credito]]&gt;=Tabla2[[#This Row],[PLAZO Días]],"venc", "No venc")</f>
        <v>venc</v>
      </c>
      <c r="AC1737" s="163" t="str">
        <f>+IF(Tabla2[[#This Row],[FECHA DE PAGO]]&gt;0,"pagada","por pagar")</f>
        <v>por pagar</v>
      </c>
      <c r="AD1737" s="164" t="str">
        <f>+IF(AND(Tabla2[[#This Row],[venc]]="venc",Tabla2[[#This Row],[estado pago]]="por pagar"),"vencida","no")</f>
        <v>vencida</v>
      </c>
    </row>
    <row r="1738" spans="1:30" ht="19.5" hidden="1" customHeight="1" x14ac:dyDescent="0.25">
      <c r="A1738" s="8"/>
      <c r="B1738" s="8"/>
      <c r="C1738" s="8"/>
      <c r="D1738" s="151"/>
      <c r="E1738" s="151"/>
      <c r="F1738" s="24"/>
      <c r="G1738" s="30"/>
      <c r="H1738" s="81"/>
      <c r="I1738" s="30"/>
      <c r="J1738" s="16"/>
      <c r="K1738" s="9"/>
      <c r="L1738" s="9"/>
      <c r="M1738" s="152"/>
      <c r="N1738" s="153"/>
      <c r="O1738" s="152"/>
      <c r="P1738" s="154"/>
      <c r="Q1738" s="152"/>
      <c r="R1738" s="9"/>
      <c r="Z1738" s="21"/>
      <c r="AA1738" s="162">
        <f>+$AD$5-Tabla2[[#This Row],[FECHA DE FACTURACIÓN]]</f>
        <v>45443</v>
      </c>
      <c r="AB1738" s="163" t="str">
        <f>+IF(Tabla2[[#This Row],[dias de credito]]&gt;=Tabla2[[#This Row],[PLAZO Días]],"venc", "No venc")</f>
        <v>venc</v>
      </c>
      <c r="AC1738" s="163" t="str">
        <f>+IF(Tabla2[[#This Row],[FECHA DE PAGO]]&gt;0,"pagada","por pagar")</f>
        <v>por pagar</v>
      </c>
      <c r="AD1738" s="164" t="str">
        <f>+IF(AND(Tabla2[[#This Row],[venc]]="venc",Tabla2[[#This Row],[estado pago]]="por pagar"),"vencida","no")</f>
        <v>vencida</v>
      </c>
    </row>
    <row r="1739" spans="1:30" ht="19.5" hidden="1" customHeight="1" x14ac:dyDescent="0.25">
      <c r="A1739" s="8"/>
      <c r="B1739" s="8"/>
      <c r="C1739" s="8"/>
      <c r="D1739" s="151"/>
      <c r="E1739" s="151"/>
      <c r="F1739" s="24"/>
      <c r="G1739" s="30"/>
      <c r="H1739" s="81"/>
      <c r="I1739" s="30"/>
      <c r="J1739" s="16"/>
      <c r="K1739" s="9"/>
      <c r="L1739" s="9"/>
      <c r="M1739" s="152"/>
      <c r="N1739" s="153"/>
      <c r="O1739" s="152"/>
      <c r="P1739" s="154"/>
      <c r="Q1739" s="152"/>
      <c r="R1739" s="9"/>
      <c r="Z1739" s="21"/>
      <c r="AA1739" s="162">
        <f>+$AD$5-Tabla2[[#This Row],[FECHA DE FACTURACIÓN]]</f>
        <v>45443</v>
      </c>
      <c r="AB1739" s="163" t="str">
        <f>+IF(Tabla2[[#This Row],[dias de credito]]&gt;=Tabla2[[#This Row],[PLAZO Días]],"venc", "No venc")</f>
        <v>venc</v>
      </c>
      <c r="AC1739" s="163" t="str">
        <f>+IF(Tabla2[[#This Row],[FECHA DE PAGO]]&gt;0,"pagada","por pagar")</f>
        <v>por pagar</v>
      </c>
      <c r="AD1739" s="164" t="str">
        <f>+IF(AND(Tabla2[[#This Row],[venc]]="venc",Tabla2[[#This Row],[estado pago]]="por pagar"),"vencida","no")</f>
        <v>vencida</v>
      </c>
    </row>
    <row r="1740" spans="1:30" ht="19.5" hidden="1" customHeight="1" x14ac:dyDescent="0.25">
      <c r="A1740" s="8"/>
      <c r="B1740" s="8"/>
      <c r="C1740" s="8"/>
      <c r="D1740" s="151"/>
      <c r="E1740" s="151"/>
      <c r="F1740" s="24"/>
      <c r="G1740" s="30"/>
      <c r="H1740" s="81"/>
      <c r="I1740" s="30"/>
      <c r="J1740" s="16"/>
      <c r="K1740" s="9"/>
      <c r="L1740" s="9"/>
      <c r="M1740" s="152"/>
      <c r="N1740" s="153"/>
      <c r="O1740" s="152"/>
      <c r="P1740" s="154"/>
      <c r="Q1740" s="152"/>
      <c r="R1740" s="9"/>
      <c r="Z1740" s="21"/>
      <c r="AA1740" s="162">
        <f>+$AD$5-Tabla2[[#This Row],[FECHA DE FACTURACIÓN]]</f>
        <v>45443</v>
      </c>
      <c r="AB1740" s="163" t="str">
        <f>+IF(Tabla2[[#This Row],[dias de credito]]&gt;=Tabla2[[#This Row],[PLAZO Días]],"venc", "No venc")</f>
        <v>venc</v>
      </c>
      <c r="AC1740" s="163" t="str">
        <f>+IF(Tabla2[[#This Row],[FECHA DE PAGO]]&gt;0,"pagada","por pagar")</f>
        <v>por pagar</v>
      </c>
      <c r="AD1740" s="164" t="str">
        <f>+IF(AND(Tabla2[[#This Row],[venc]]="venc",Tabla2[[#This Row],[estado pago]]="por pagar"),"vencida","no")</f>
        <v>vencida</v>
      </c>
    </row>
    <row r="1741" spans="1:30" ht="19.5" hidden="1" customHeight="1" x14ac:dyDescent="0.25">
      <c r="A1741" s="8"/>
      <c r="B1741" s="8"/>
      <c r="C1741" s="8"/>
      <c r="D1741" s="151"/>
      <c r="E1741" s="151"/>
      <c r="F1741" s="24"/>
      <c r="G1741" s="30"/>
      <c r="H1741" s="81"/>
      <c r="I1741" s="30"/>
      <c r="J1741" s="16"/>
      <c r="K1741" s="9"/>
      <c r="L1741" s="9"/>
      <c r="M1741" s="152"/>
      <c r="N1741" s="153"/>
      <c r="O1741" s="152"/>
      <c r="P1741" s="154"/>
      <c r="Q1741" s="152"/>
      <c r="R1741" s="9"/>
      <c r="Z1741" s="21"/>
      <c r="AA1741" s="162">
        <f>+$AD$5-Tabla2[[#This Row],[FECHA DE FACTURACIÓN]]</f>
        <v>45443</v>
      </c>
      <c r="AB1741" s="163" t="str">
        <f>+IF(Tabla2[[#This Row],[dias de credito]]&gt;=Tabla2[[#This Row],[PLAZO Días]],"venc", "No venc")</f>
        <v>venc</v>
      </c>
      <c r="AC1741" s="163" t="str">
        <f>+IF(Tabla2[[#This Row],[FECHA DE PAGO]]&gt;0,"pagada","por pagar")</f>
        <v>por pagar</v>
      </c>
      <c r="AD1741" s="164" t="str">
        <f>+IF(AND(Tabla2[[#This Row],[venc]]="venc",Tabla2[[#This Row],[estado pago]]="por pagar"),"vencida","no")</f>
        <v>vencida</v>
      </c>
    </row>
    <row r="1742" spans="1:30" ht="19.5" hidden="1" customHeight="1" x14ac:dyDescent="0.25">
      <c r="A1742" s="8"/>
      <c r="B1742" s="8"/>
      <c r="C1742" s="8"/>
      <c r="D1742" s="151"/>
      <c r="E1742" s="151"/>
      <c r="F1742" s="24"/>
      <c r="G1742" s="30"/>
      <c r="H1742" s="81"/>
      <c r="I1742" s="30"/>
      <c r="J1742" s="16"/>
      <c r="K1742" s="9"/>
      <c r="L1742" s="9"/>
      <c r="M1742" s="152"/>
      <c r="N1742" s="153"/>
      <c r="O1742" s="152"/>
      <c r="P1742" s="154"/>
      <c r="Q1742" s="152"/>
      <c r="R1742" s="9"/>
      <c r="Z1742" s="21"/>
      <c r="AA1742" s="162">
        <f>+$AD$5-Tabla2[[#This Row],[FECHA DE FACTURACIÓN]]</f>
        <v>45443</v>
      </c>
      <c r="AB1742" s="163" t="str">
        <f>+IF(Tabla2[[#This Row],[dias de credito]]&gt;=Tabla2[[#This Row],[PLAZO Días]],"venc", "No venc")</f>
        <v>venc</v>
      </c>
      <c r="AC1742" s="163" t="str">
        <f>+IF(Tabla2[[#This Row],[FECHA DE PAGO]]&gt;0,"pagada","por pagar")</f>
        <v>por pagar</v>
      </c>
      <c r="AD1742" s="164" t="str">
        <f>+IF(AND(Tabla2[[#This Row],[venc]]="venc",Tabla2[[#This Row],[estado pago]]="por pagar"),"vencida","no")</f>
        <v>vencida</v>
      </c>
    </row>
    <row r="1743" spans="1:30" ht="19.5" hidden="1" customHeight="1" x14ac:dyDescent="0.25">
      <c r="A1743" s="8"/>
      <c r="B1743" s="8"/>
      <c r="C1743" s="8"/>
      <c r="D1743" s="151"/>
      <c r="E1743" s="151"/>
      <c r="F1743" s="24"/>
      <c r="G1743" s="30"/>
      <c r="H1743" s="81"/>
      <c r="I1743" s="30"/>
      <c r="J1743" s="16"/>
      <c r="K1743" s="9"/>
      <c r="L1743" s="9"/>
      <c r="M1743" s="152"/>
      <c r="N1743" s="153"/>
      <c r="O1743" s="152"/>
      <c r="P1743" s="154"/>
      <c r="Q1743" s="152"/>
      <c r="R1743" s="9"/>
      <c r="Z1743" s="21"/>
      <c r="AA1743" s="162">
        <f>+$AD$5-Tabla2[[#This Row],[FECHA DE FACTURACIÓN]]</f>
        <v>45443</v>
      </c>
      <c r="AB1743" s="163" t="str">
        <f>+IF(Tabla2[[#This Row],[dias de credito]]&gt;=Tabla2[[#This Row],[PLAZO Días]],"venc", "No venc")</f>
        <v>venc</v>
      </c>
      <c r="AC1743" s="163" t="str">
        <f>+IF(Tabla2[[#This Row],[FECHA DE PAGO]]&gt;0,"pagada","por pagar")</f>
        <v>por pagar</v>
      </c>
      <c r="AD1743" s="164" t="str">
        <f>+IF(AND(Tabla2[[#This Row],[venc]]="venc",Tabla2[[#This Row],[estado pago]]="por pagar"),"vencida","no")</f>
        <v>vencida</v>
      </c>
    </row>
    <row r="1744" spans="1:30" ht="19.5" hidden="1" customHeight="1" x14ac:dyDescent="0.25">
      <c r="A1744" s="8"/>
      <c r="B1744" s="8"/>
      <c r="C1744" s="8"/>
      <c r="D1744" s="151"/>
      <c r="E1744" s="151"/>
      <c r="F1744" s="24"/>
      <c r="G1744" s="30"/>
      <c r="H1744" s="81"/>
      <c r="I1744" s="30"/>
      <c r="J1744" s="16"/>
      <c r="K1744" s="9"/>
      <c r="L1744" s="9"/>
      <c r="M1744" s="152"/>
      <c r="N1744" s="153"/>
      <c r="O1744" s="152"/>
      <c r="P1744" s="154"/>
      <c r="Q1744" s="152"/>
      <c r="R1744" s="9"/>
      <c r="Z1744" s="21"/>
      <c r="AA1744" s="162">
        <f>+$AD$5-Tabla2[[#This Row],[FECHA DE FACTURACIÓN]]</f>
        <v>45443</v>
      </c>
      <c r="AB1744" s="163" t="str">
        <f>+IF(Tabla2[[#This Row],[dias de credito]]&gt;=Tabla2[[#This Row],[PLAZO Días]],"venc", "No venc")</f>
        <v>venc</v>
      </c>
      <c r="AC1744" s="163" t="str">
        <f>+IF(Tabla2[[#This Row],[FECHA DE PAGO]]&gt;0,"pagada","por pagar")</f>
        <v>por pagar</v>
      </c>
      <c r="AD1744" s="164" t="str">
        <f>+IF(AND(Tabla2[[#This Row],[venc]]="venc",Tabla2[[#This Row],[estado pago]]="por pagar"),"vencida","no")</f>
        <v>vencida</v>
      </c>
    </row>
    <row r="1745" spans="1:30" ht="19.5" hidden="1" customHeight="1" x14ac:dyDescent="0.25">
      <c r="A1745" s="8"/>
      <c r="B1745" s="8"/>
      <c r="C1745" s="8"/>
      <c r="D1745" s="151"/>
      <c r="E1745" s="151"/>
      <c r="F1745" s="24"/>
      <c r="G1745" s="30"/>
      <c r="H1745" s="81"/>
      <c r="I1745" s="30"/>
      <c r="J1745" s="16"/>
      <c r="K1745" s="9"/>
      <c r="L1745" s="9"/>
      <c r="M1745" s="152"/>
      <c r="N1745" s="153"/>
      <c r="O1745" s="152"/>
      <c r="P1745" s="154"/>
      <c r="Q1745" s="152"/>
      <c r="R1745" s="9"/>
      <c r="Z1745" s="21"/>
      <c r="AA1745" s="162">
        <f>+$AD$5-Tabla2[[#This Row],[FECHA DE FACTURACIÓN]]</f>
        <v>45443</v>
      </c>
      <c r="AB1745" s="163" t="str">
        <f>+IF(Tabla2[[#This Row],[dias de credito]]&gt;=Tabla2[[#This Row],[PLAZO Días]],"venc", "No venc")</f>
        <v>venc</v>
      </c>
      <c r="AC1745" s="163" t="str">
        <f>+IF(Tabla2[[#This Row],[FECHA DE PAGO]]&gt;0,"pagada","por pagar")</f>
        <v>por pagar</v>
      </c>
      <c r="AD1745" s="164" t="str">
        <f>+IF(AND(Tabla2[[#This Row],[venc]]="venc",Tabla2[[#This Row],[estado pago]]="por pagar"),"vencida","no")</f>
        <v>vencida</v>
      </c>
    </row>
    <row r="1746" spans="1:30" ht="19.5" hidden="1" customHeight="1" x14ac:dyDescent="0.25">
      <c r="A1746" s="8"/>
      <c r="B1746" s="8"/>
      <c r="C1746" s="8"/>
      <c r="D1746" s="151"/>
      <c r="E1746" s="151"/>
      <c r="F1746" s="24"/>
      <c r="G1746" s="30"/>
      <c r="H1746" s="81"/>
      <c r="I1746" s="30"/>
      <c r="J1746" s="16"/>
      <c r="K1746" s="9"/>
      <c r="L1746" s="9"/>
      <c r="M1746" s="152"/>
      <c r="N1746" s="153"/>
      <c r="O1746" s="152"/>
      <c r="P1746" s="154"/>
      <c r="Q1746" s="152"/>
      <c r="R1746" s="9"/>
      <c r="Z1746" s="21"/>
      <c r="AA1746" s="162">
        <f>+$AD$5-Tabla2[[#This Row],[FECHA DE FACTURACIÓN]]</f>
        <v>45443</v>
      </c>
      <c r="AB1746" s="163" t="str">
        <f>+IF(Tabla2[[#This Row],[dias de credito]]&gt;=Tabla2[[#This Row],[PLAZO Días]],"venc", "No venc")</f>
        <v>venc</v>
      </c>
      <c r="AC1746" s="163" t="str">
        <f>+IF(Tabla2[[#This Row],[FECHA DE PAGO]]&gt;0,"pagada","por pagar")</f>
        <v>por pagar</v>
      </c>
      <c r="AD1746" s="164" t="str">
        <f>+IF(AND(Tabla2[[#This Row],[venc]]="venc",Tabla2[[#This Row],[estado pago]]="por pagar"),"vencida","no")</f>
        <v>vencida</v>
      </c>
    </row>
    <row r="1747" spans="1:30" ht="19.5" hidden="1" customHeight="1" x14ac:dyDescent="0.25">
      <c r="A1747" s="8"/>
      <c r="B1747" s="8"/>
      <c r="C1747" s="8"/>
      <c r="D1747" s="151"/>
      <c r="E1747" s="151"/>
      <c r="F1747" s="24"/>
      <c r="G1747" s="30"/>
      <c r="H1747" s="81"/>
      <c r="I1747" s="30"/>
      <c r="J1747" s="16"/>
      <c r="K1747" s="9"/>
      <c r="L1747" s="9"/>
      <c r="M1747" s="152"/>
      <c r="N1747" s="153"/>
      <c r="O1747" s="152"/>
      <c r="P1747" s="154"/>
      <c r="Q1747" s="152"/>
      <c r="R1747" s="9"/>
      <c r="Z1747" s="21"/>
      <c r="AA1747" s="162">
        <f>+$AD$5-Tabla2[[#This Row],[FECHA DE FACTURACIÓN]]</f>
        <v>45443</v>
      </c>
      <c r="AB1747" s="163" t="str">
        <f>+IF(Tabla2[[#This Row],[dias de credito]]&gt;=Tabla2[[#This Row],[PLAZO Días]],"venc", "No venc")</f>
        <v>venc</v>
      </c>
      <c r="AC1747" s="163" t="str">
        <f>+IF(Tabla2[[#This Row],[FECHA DE PAGO]]&gt;0,"pagada","por pagar")</f>
        <v>por pagar</v>
      </c>
      <c r="AD1747" s="164" t="str">
        <f>+IF(AND(Tabla2[[#This Row],[venc]]="venc",Tabla2[[#This Row],[estado pago]]="por pagar"),"vencida","no")</f>
        <v>vencida</v>
      </c>
    </row>
    <row r="1748" spans="1:30" ht="19.5" hidden="1" customHeight="1" x14ac:dyDescent="0.25">
      <c r="A1748" s="8"/>
      <c r="B1748" s="8"/>
      <c r="C1748" s="8"/>
      <c r="D1748" s="151"/>
      <c r="E1748" s="151"/>
      <c r="F1748" s="24"/>
      <c r="G1748" s="30"/>
      <c r="H1748" s="81"/>
      <c r="I1748" s="30"/>
      <c r="J1748" s="16"/>
      <c r="K1748" s="9"/>
      <c r="L1748" s="9"/>
      <c r="M1748" s="152"/>
      <c r="N1748" s="153"/>
      <c r="O1748" s="152"/>
      <c r="P1748" s="154"/>
      <c r="Q1748" s="152"/>
      <c r="R1748" s="9"/>
      <c r="Z1748" s="21"/>
      <c r="AA1748" s="162">
        <f>+$AD$5-Tabla2[[#This Row],[FECHA DE FACTURACIÓN]]</f>
        <v>45443</v>
      </c>
      <c r="AB1748" s="163" t="str">
        <f>+IF(Tabla2[[#This Row],[dias de credito]]&gt;=Tabla2[[#This Row],[PLAZO Días]],"venc", "No venc")</f>
        <v>venc</v>
      </c>
      <c r="AC1748" s="163" t="str">
        <f>+IF(Tabla2[[#This Row],[FECHA DE PAGO]]&gt;0,"pagada","por pagar")</f>
        <v>por pagar</v>
      </c>
      <c r="AD1748" s="164" t="str">
        <f>+IF(AND(Tabla2[[#This Row],[venc]]="venc",Tabla2[[#This Row],[estado pago]]="por pagar"),"vencida","no")</f>
        <v>vencida</v>
      </c>
    </row>
    <row r="1749" spans="1:30" ht="19.5" hidden="1" customHeight="1" x14ac:dyDescent="0.25">
      <c r="A1749" s="8"/>
      <c r="B1749" s="8"/>
      <c r="C1749" s="8"/>
      <c r="D1749" s="151"/>
      <c r="E1749" s="151"/>
      <c r="F1749" s="24"/>
      <c r="G1749" s="30"/>
      <c r="H1749" s="81"/>
      <c r="I1749" s="30"/>
      <c r="J1749" s="16"/>
      <c r="K1749" s="9"/>
      <c r="L1749" s="9"/>
      <c r="M1749" s="152"/>
      <c r="N1749" s="153"/>
      <c r="O1749" s="152"/>
      <c r="P1749" s="154"/>
      <c r="Q1749" s="152"/>
      <c r="R1749" s="9"/>
      <c r="Z1749" s="21"/>
      <c r="AA1749" s="162">
        <f>+$AD$5-Tabla2[[#This Row],[FECHA DE FACTURACIÓN]]</f>
        <v>45443</v>
      </c>
      <c r="AB1749" s="163" t="str">
        <f>+IF(Tabla2[[#This Row],[dias de credito]]&gt;=Tabla2[[#This Row],[PLAZO Días]],"venc", "No venc")</f>
        <v>venc</v>
      </c>
      <c r="AC1749" s="163" t="str">
        <f>+IF(Tabla2[[#This Row],[FECHA DE PAGO]]&gt;0,"pagada","por pagar")</f>
        <v>por pagar</v>
      </c>
      <c r="AD1749" s="164" t="str">
        <f>+IF(AND(Tabla2[[#This Row],[venc]]="venc",Tabla2[[#This Row],[estado pago]]="por pagar"),"vencida","no")</f>
        <v>vencida</v>
      </c>
    </row>
    <row r="1750" spans="1:30" ht="19.5" hidden="1" customHeight="1" x14ac:dyDescent="0.25">
      <c r="A1750" s="8"/>
      <c r="B1750" s="8"/>
      <c r="C1750" s="8"/>
      <c r="D1750" s="151"/>
      <c r="E1750" s="151"/>
      <c r="F1750" s="24"/>
      <c r="G1750" s="30"/>
      <c r="H1750" s="81"/>
      <c r="I1750" s="30"/>
      <c r="J1750" s="16"/>
      <c r="K1750" s="9"/>
      <c r="L1750" s="9"/>
      <c r="M1750" s="152"/>
      <c r="N1750" s="153"/>
      <c r="O1750" s="152"/>
      <c r="P1750" s="154"/>
      <c r="Q1750" s="152"/>
      <c r="R1750" s="9"/>
      <c r="Z1750" s="21"/>
      <c r="AA1750" s="162">
        <f>+$AD$5-Tabla2[[#This Row],[FECHA DE FACTURACIÓN]]</f>
        <v>45443</v>
      </c>
      <c r="AB1750" s="163" t="str">
        <f>+IF(Tabla2[[#This Row],[dias de credito]]&gt;=Tabla2[[#This Row],[PLAZO Días]],"venc", "No venc")</f>
        <v>venc</v>
      </c>
      <c r="AC1750" s="163" t="str">
        <f>+IF(Tabla2[[#This Row],[FECHA DE PAGO]]&gt;0,"pagada","por pagar")</f>
        <v>por pagar</v>
      </c>
      <c r="AD1750" s="164" t="str">
        <f>+IF(AND(Tabla2[[#This Row],[venc]]="venc",Tabla2[[#This Row],[estado pago]]="por pagar"),"vencida","no")</f>
        <v>vencida</v>
      </c>
    </row>
    <row r="1751" spans="1:30" ht="19.5" hidden="1" customHeight="1" x14ac:dyDescent="0.25">
      <c r="A1751" s="8"/>
      <c r="B1751" s="8"/>
      <c r="C1751" s="8"/>
      <c r="D1751" s="151"/>
      <c r="E1751" s="151"/>
      <c r="F1751" s="24"/>
      <c r="G1751" s="30"/>
      <c r="H1751" s="81"/>
      <c r="I1751" s="30"/>
      <c r="J1751" s="16"/>
      <c r="K1751" s="9"/>
      <c r="L1751" s="9"/>
      <c r="M1751" s="152"/>
      <c r="N1751" s="153"/>
      <c r="O1751" s="152"/>
      <c r="P1751" s="154"/>
      <c r="Q1751" s="152"/>
      <c r="R1751" s="9"/>
      <c r="Z1751" s="21"/>
      <c r="AA1751" s="162">
        <f>+$AD$5-Tabla2[[#This Row],[FECHA DE FACTURACIÓN]]</f>
        <v>45443</v>
      </c>
      <c r="AB1751" s="163" t="str">
        <f>+IF(Tabla2[[#This Row],[dias de credito]]&gt;=Tabla2[[#This Row],[PLAZO Días]],"venc", "No venc")</f>
        <v>venc</v>
      </c>
      <c r="AC1751" s="163" t="str">
        <f>+IF(Tabla2[[#This Row],[FECHA DE PAGO]]&gt;0,"pagada","por pagar")</f>
        <v>por pagar</v>
      </c>
      <c r="AD1751" s="164" t="str">
        <f>+IF(AND(Tabla2[[#This Row],[venc]]="venc",Tabla2[[#This Row],[estado pago]]="por pagar"),"vencida","no")</f>
        <v>vencida</v>
      </c>
    </row>
    <row r="1752" spans="1:30" ht="19.5" hidden="1" customHeight="1" x14ac:dyDescent="0.25">
      <c r="A1752" s="8"/>
      <c r="B1752" s="8"/>
      <c r="C1752" s="8"/>
      <c r="D1752" s="151"/>
      <c r="E1752" s="151"/>
      <c r="F1752" s="24"/>
      <c r="G1752" s="30"/>
      <c r="H1752" s="81"/>
      <c r="I1752" s="30"/>
      <c r="J1752" s="16"/>
      <c r="K1752" s="9"/>
      <c r="L1752" s="9"/>
      <c r="M1752" s="152"/>
      <c r="N1752" s="153"/>
      <c r="O1752" s="152"/>
      <c r="P1752" s="154"/>
      <c r="Q1752" s="152"/>
      <c r="R1752" s="9"/>
      <c r="Z1752" s="21"/>
      <c r="AA1752" s="162">
        <f>+$AD$5-Tabla2[[#This Row],[FECHA DE FACTURACIÓN]]</f>
        <v>45443</v>
      </c>
      <c r="AB1752" s="163" t="str">
        <f>+IF(Tabla2[[#This Row],[dias de credito]]&gt;=Tabla2[[#This Row],[PLAZO Días]],"venc", "No venc")</f>
        <v>venc</v>
      </c>
      <c r="AC1752" s="163" t="str">
        <f>+IF(Tabla2[[#This Row],[FECHA DE PAGO]]&gt;0,"pagada","por pagar")</f>
        <v>por pagar</v>
      </c>
      <c r="AD1752" s="164" t="str">
        <f>+IF(AND(Tabla2[[#This Row],[venc]]="venc",Tabla2[[#This Row],[estado pago]]="por pagar"),"vencida","no")</f>
        <v>vencida</v>
      </c>
    </row>
    <row r="1753" spans="1:30" ht="19.5" hidden="1" customHeight="1" x14ac:dyDescent="0.25">
      <c r="A1753" s="8"/>
      <c r="B1753" s="8"/>
      <c r="C1753" s="8"/>
      <c r="D1753" s="151"/>
      <c r="E1753" s="151"/>
      <c r="F1753" s="24"/>
      <c r="G1753" s="30"/>
      <c r="H1753" s="81"/>
      <c r="I1753" s="30"/>
      <c r="J1753" s="16"/>
      <c r="K1753" s="9"/>
      <c r="L1753" s="9"/>
      <c r="M1753" s="152"/>
      <c r="N1753" s="153"/>
      <c r="O1753" s="152"/>
      <c r="P1753" s="154"/>
      <c r="Q1753" s="152"/>
      <c r="R1753" s="9"/>
      <c r="Z1753" s="21"/>
      <c r="AA1753" s="162">
        <f>+$AD$5-Tabla2[[#This Row],[FECHA DE FACTURACIÓN]]</f>
        <v>45443</v>
      </c>
      <c r="AB1753" s="163" t="str">
        <f>+IF(Tabla2[[#This Row],[dias de credito]]&gt;=Tabla2[[#This Row],[PLAZO Días]],"venc", "No venc")</f>
        <v>venc</v>
      </c>
      <c r="AC1753" s="163" t="str">
        <f>+IF(Tabla2[[#This Row],[FECHA DE PAGO]]&gt;0,"pagada","por pagar")</f>
        <v>por pagar</v>
      </c>
      <c r="AD1753" s="164" t="str">
        <f>+IF(AND(Tabla2[[#This Row],[venc]]="venc",Tabla2[[#This Row],[estado pago]]="por pagar"),"vencida","no")</f>
        <v>vencida</v>
      </c>
    </row>
    <row r="1754" spans="1:30" ht="19.5" hidden="1" customHeight="1" x14ac:dyDescent="0.25">
      <c r="A1754" s="8"/>
      <c r="B1754" s="8"/>
      <c r="C1754" s="8"/>
      <c r="D1754" s="151"/>
      <c r="E1754" s="151"/>
      <c r="F1754" s="24"/>
      <c r="G1754" s="30"/>
      <c r="H1754" s="81"/>
      <c r="I1754" s="30"/>
      <c r="J1754" s="16"/>
      <c r="K1754" s="9"/>
      <c r="L1754" s="9"/>
      <c r="M1754" s="152"/>
      <c r="N1754" s="153"/>
      <c r="O1754" s="152"/>
      <c r="P1754" s="154"/>
      <c r="Q1754" s="152"/>
      <c r="R1754" s="9"/>
      <c r="Z1754" s="21"/>
      <c r="AA1754" s="162">
        <f>+$AD$5-Tabla2[[#This Row],[FECHA DE FACTURACIÓN]]</f>
        <v>45443</v>
      </c>
      <c r="AB1754" s="163" t="str">
        <f>+IF(Tabla2[[#This Row],[dias de credito]]&gt;=Tabla2[[#This Row],[PLAZO Días]],"venc", "No venc")</f>
        <v>venc</v>
      </c>
      <c r="AC1754" s="163" t="str">
        <f>+IF(Tabla2[[#This Row],[FECHA DE PAGO]]&gt;0,"pagada","por pagar")</f>
        <v>por pagar</v>
      </c>
      <c r="AD1754" s="164" t="str">
        <f>+IF(AND(Tabla2[[#This Row],[venc]]="venc",Tabla2[[#This Row],[estado pago]]="por pagar"),"vencida","no")</f>
        <v>vencida</v>
      </c>
    </row>
    <row r="1755" spans="1:30" ht="19.5" hidden="1" customHeight="1" x14ac:dyDescent="0.25">
      <c r="A1755" s="8"/>
      <c r="B1755" s="8"/>
      <c r="C1755" s="8"/>
      <c r="D1755" s="151"/>
      <c r="E1755" s="151"/>
      <c r="F1755" s="24"/>
      <c r="G1755" s="30"/>
      <c r="H1755" s="81"/>
      <c r="I1755" s="30"/>
      <c r="J1755" s="16"/>
      <c r="K1755" s="9"/>
      <c r="L1755" s="9"/>
      <c r="M1755" s="152"/>
      <c r="N1755" s="153"/>
      <c r="O1755" s="152"/>
      <c r="P1755" s="154"/>
      <c r="Q1755" s="152"/>
      <c r="R1755" s="9"/>
      <c r="Z1755" s="21"/>
      <c r="AA1755" s="162">
        <f>+$AD$5-Tabla2[[#This Row],[FECHA DE FACTURACIÓN]]</f>
        <v>45443</v>
      </c>
      <c r="AB1755" s="163" t="str">
        <f>+IF(Tabla2[[#This Row],[dias de credito]]&gt;=Tabla2[[#This Row],[PLAZO Días]],"venc", "No venc")</f>
        <v>venc</v>
      </c>
      <c r="AC1755" s="163" t="str">
        <f>+IF(Tabla2[[#This Row],[FECHA DE PAGO]]&gt;0,"pagada","por pagar")</f>
        <v>por pagar</v>
      </c>
      <c r="AD1755" s="164" t="str">
        <f>+IF(AND(Tabla2[[#This Row],[venc]]="venc",Tabla2[[#This Row],[estado pago]]="por pagar"),"vencida","no")</f>
        <v>vencida</v>
      </c>
    </row>
    <row r="1756" spans="1:30" ht="19.5" hidden="1" customHeight="1" x14ac:dyDescent="0.25">
      <c r="A1756" s="8"/>
      <c r="B1756" s="8"/>
      <c r="C1756" s="8"/>
      <c r="D1756" s="151"/>
      <c r="E1756" s="151"/>
      <c r="F1756" s="24"/>
      <c r="G1756" s="30"/>
      <c r="H1756" s="81"/>
      <c r="I1756" s="30"/>
      <c r="J1756" s="16"/>
      <c r="K1756" s="9"/>
      <c r="L1756" s="9"/>
      <c r="M1756" s="152"/>
      <c r="N1756" s="153"/>
      <c r="O1756" s="152"/>
      <c r="P1756" s="154"/>
      <c r="Q1756" s="152"/>
      <c r="R1756" s="9"/>
      <c r="Z1756" s="21"/>
      <c r="AA1756" s="162">
        <f>+$AD$5-Tabla2[[#This Row],[FECHA DE FACTURACIÓN]]</f>
        <v>45443</v>
      </c>
      <c r="AB1756" s="163" t="str">
        <f>+IF(Tabla2[[#This Row],[dias de credito]]&gt;=Tabla2[[#This Row],[PLAZO Días]],"venc", "No venc")</f>
        <v>venc</v>
      </c>
      <c r="AC1756" s="163" t="str">
        <f>+IF(Tabla2[[#This Row],[FECHA DE PAGO]]&gt;0,"pagada","por pagar")</f>
        <v>por pagar</v>
      </c>
      <c r="AD1756" s="164" t="str">
        <f>+IF(AND(Tabla2[[#This Row],[venc]]="venc",Tabla2[[#This Row],[estado pago]]="por pagar"),"vencida","no")</f>
        <v>vencida</v>
      </c>
    </row>
    <row r="1757" spans="1:30" ht="19.5" hidden="1" customHeight="1" x14ac:dyDescent="0.25">
      <c r="A1757" s="8"/>
      <c r="B1757" s="8"/>
      <c r="C1757" s="8"/>
      <c r="D1757" s="151"/>
      <c r="E1757" s="151"/>
      <c r="F1757" s="24"/>
      <c r="G1757" s="30"/>
      <c r="H1757" s="81"/>
      <c r="I1757" s="30"/>
      <c r="J1757" s="16"/>
      <c r="K1757" s="9"/>
      <c r="L1757" s="9"/>
      <c r="M1757" s="152"/>
      <c r="N1757" s="153"/>
      <c r="O1757" s="152"/>
      <c r="P1757" s="154"/>
      <c r="Q1757" s="152"/>
      <c r="R1757" s="9"/>
      <c r="Z1757" s="21"/>
      <c r="AA1757" s="162">
        <f>+$AD$5-Tabla2[[#This Row],[FECHA DE FACTURACIÓN]]</f>
        <v>45443</v>
      </c>
      <c r="AB1757" s="163" t="str">
        <f>+IF(Tabla2[[#This Row],[dias de credito]]&gt;=Tabla2[[#This Row],[PLAZO Días]],"venc", "No venc")</f>
        <v>venc</v>
      </c>
      <c r="AC1757" s="163" t="str">
        <f>+IF(Tabla2[[#This Row],[FECHA DE PAGO]]&gt;0,"pagada","por pagar")</f>
        <v>por pagar</v>
      </c>
      <c r="AD1757" s="164" t="str">
        <f>+IF(AND(Tabla2[[#This Row],[venc]]="venc",Tabla2[[#This Row],[estado pago]]="por pagar"),"vencida","no")</f>
        <v>vencida</v>
      </c>
    </row>
    <row r="1758" spans="1:30" ht="19.5" hidden="1" customHeight="1" x14ac:dyDescent="0.25">
      <c r="A1758" s="8"/>
      <c r="B1758" s="8"/>
      <c r="C1758" s="8"/>
      <c r="D1758" s="151"/>
      <c r="E1758" s="151"/>
      <c r="F1758" s="24"/>
      <c r="G1758" s="30"/>
      <c r="H1758" s="81"/>
      <c r="I1758" s="30"/>
      <c r="J1758" s="16"/>
      <c r="K1758" s="9"/>
      <c r="L1758" s="9"/>
      <c r="M1758" s="152"/>
      <c r="N1758" s="153"/>
      <c r="O1758" s="152"/>
      <c r="P1758" s="154"/>
      <c r="Q1758" s="152"/>
      <c r="R1758" s="9"/>
      <c r="Z1758" s="21"/>
      <c r="AA1758" s="162">
        <f>+$AD$5-Tabla2[[#This Row],[FECHA DE FACTURACIÓN]]</f>
        <v>45443</v>
      </c>
      <c r="AB1758" s="163" t="str">
        <f>+IF(Tabla2[[#This Row],[dias de credito]]&gt;=Tabla2[[#This Row],[PLAZO Días]],"venc", "No venc")</f>
        <v>venc</v>
      </c>
      <c r="AC1758" s="163" t="str">
        <f>+IF(Tabla2[[#This Row],[FECHA DE PAGO]]&gt;0,"pagada","por pagar")</f>
        <v>por pagar</v>
      </c>
      <c r="AD1758" s="164" t="str">
        <f>+IF(AND(Tabla2[[#This Row],[venc]]="venc",Tabla2[[#This Row],[estado pago]]="por pagar"),"vencida","no")</f>
        <v>vencida</v>
      </c>
    </row>
    <row r="1759" spans="1:30" ht="19.5" hidden="1" customHeight="1" x14ac:dyDescent="0.25">
      <c r="A1759" s="8"/>
      <c r="B1759" s="8"/>
      <c r="C1759" s="8"/>
      <c r="D1759" s="151"/>
      <c r="E1759" s="151"/>
      <c r="F1759" s="24"/>
      <c r="G1759" s="30"/>
      <c r="H1759" s="81"/>
      <c r="I1759" s="30"/>
      <c r="J1759" s="16"/>
      <c r="K1759" s="9"/>
      <c r="L1759" s="9"/>
      <c r="M1759" s="152"/>
      <c r="N1759" s="153"/>
      <c r="O1759" s="152"/>
      <c r="P1759" s="154"/>
      <c r="Q1759" s="152"/>
      <c r="R1759" s="9"/>
      <c r="Z1759" s="21"/>
      <c r="AA1759" s="162">
        <f>+$AD$5-Tabla2[[#This Row],[FECHA DE FACTURACIÓN]]</f>
        <v>45443</v>
      </c>
      <c r="AB1759" s="163" t="str">
        <f>+IF(Tabla2[[#This Row],[dias de credito]]&gt;=Tabla2[[#This Row],[PLAZO Días]],"venc", "No venc")</f>
        <v>venc</v>
      </c>
      <c r="AC1759" s="163" t="str">
        <f>+IF(Tabla2[[#This Row],[FECHA DE PAGO]]&gt;0,"pagada","por pagar")</f>
        <v>por pagar</v>
      </c>
      <c r="AD1759" s="164" t="str">
        <f>+IF(AND(Tabla2[[#This Row],[venc]]="venc",Tabla2[[#This Row],[estado pago]]="por pagar"),"vencida","no")</f>
        <v>vencida</v>
      </c>
    </row>
    <row r="1760" spans="1:30" ht="19.5" hidden="1" customHeight="1" x14ac:dyDescent="0.25">
      <c r="A1760" s="8"/>
      <c r="B1760" s="8"/>
      <c r="C1760" s="8"/>
      <c r="D1760" s="151"/>
      <c r="E1760" s="151"/>
      <c r="F1760" s="24"/>
      <c r="G1760" s="30"/>
      <c r="H1760" s="81"/>
      <c r="I1760" s="30"/>
      <c r="J1760" s="16"/>
      <c r="K1760" s="9"/>
      <c r="L1760" s="9"/>
      <c r="M1760" s="152"/>
      <c r="N1760" s="153"/>
      <c r="O1760" s="152"/>
      <c r="P1760" s="154"/>
      <c r="Q1760" s="152"/>
      <c r="R1760" s="9"/>
      <c r="Z1760" s="21"/>
      <c r="AA1760" s="162">
        <f>+$AD$5-Tabla2[[#This Row],[FECHA DE FACTURACIÓN]]</f>
        <v>45443</v>
      </c>
      <c r="AB1760" s="163" t="str">
        <f>+IF(Tabla2[[#This Row],[dias de credito]]&gt;=Tabla2[[#This Row],[PLAZO Días]],"venc", "No venc")</f>
        <v>venc</v>
      </c>
      <c r="AC1760" s="163" t="str">
        <f>+IF(Tabla2[[#This Row],[FECHA DE PAGO]]&gt;0,"pagada","por pagar")</f>
        <v>por pagar</v>
      </c>
      <c r="AD1760" s="164" t="str">
        <f>+IF(AND(Tabla2[[#This Row],[venc]]="venc",Tabla2[[#This Row],[estado pago]]="por pagar"),"vencida","no")</f>
        <v>vencida</v>
      </c>
    </row>
    <row r="1761" spans="1:30" ht="19.5" hidden="1" customHeight="1" x14ac:dyDescent="0.25">
      <c r="A1761" s="8"/>
      <c r="B1761" s="8"/>
      <c r="C1761" s="8"/>
      <c r="D1761" s="151"/>
      <c r="E1761" s="151"/>
      <c r="F1761" s="24"/>
      <c r="G1761" s="30"/>
      <c r="H1761" s="81"/>
      <c r="I1761" s="30"/>
      <c r="J1761" s="16"/>
      <c r="K1761" s="9"/>
      <c r="L1761" s="9"/>
      <c r="M1761" s="152"/>
      <c r="N1761" s="153"/>
      <c r="O1761" s="152"/>
      <c r="P1761" s="154"/>
      <c r="Q1761" s="152"/>
      <c r="R1761" s="9"/>
      <c r="Z1761" s="21"/>
      <c r="AA1761" s="162">
        <f>+$AD$5-Tabla2[[#This Row],[FECHA DE FACTURACIÓN]]</f>
        <v>45443</v>
      </c>
      <c r="AB1761" s="163" t="str">
        <f>+IF(Tabla2[[#This Row],[dias de credito]]&gt;=Tabla2[[#This Row],[PLAZO Días]],"venc", "No venc")</f>
        <v>venc</v>
      </c>
      <c r="AC1761" s="163" t="str">
        <f>+IF(Tabla2[[#This Row],[FECHA DE PAGO]]&gt;0,"pagada","por pagar")</f>
        <v>por pagar</v>
      </c>
      <c r="AD1761" s="164" t="str">
        <f>+IF(AND(Tabla2[[#This Row],[venc]]="venc",Tabla2[[#This Row],[estado pago]]="por pagar"),"vencida","no")</f>
        <v>vencida</v>
      </c>
    </row>
    <row r="1762" spans="1:30" ht="19.5" hidden="1" customHeight="1" x14ac:dyDescent="0.25">
      <c r="A1762" s="8"/>
      <c r="B1762" s="8"/>
      <c r="C1762" s="8"/>
      <c r="D1762" s="151"/>
      <c r="E1762" s="151"/>
      <c r="F1762" s="24"/>
      <c r="G1762" s="30"/>
      <c r="H1762" s="81"/>
      <c r="I1762" s="30"/>
      <c r="J1762" s="16"/>
      <c r="K1762" s="9"/>
      <c r="L1762" s="9"/>
      <c r="M1762" s="152"/>
      <c r="N1762" s="153"/>
      <c r="O1762" s="152"/>
      <c r="P1762" s="154"/>
      <c r="Q1762" s="152"/>
      <c r="R1762" s="9"/>
      <c r="Z1762" s="21"/>
      <c r="AA1762" s="162">
        <f>+$AD$5-Tabla2[[#This Row],[FECHA DE FACTURACIÓN]]</f>
        <v>45443</v>
      </c>
      <c r="AB1762" s="163" t="str">
        <f>+IF(Tabla2[[#This Row],[dias de credito]]&gt;=Tabla2[[#This Row],[PLAZO Días]],"venc", "No venc")</f>
        <v>venc</v>
      </c>
      <c r="AC1762" s="163" t="str">
        <f>+IF(Tabla2[[#This Row],[FECHA DE PAGO]]&gt;0,"pagada","por pagar")</f>
        <v>por pagar</v>
      </c>
      <c r="AD1762" s="164" t="str">
        <f>+IF(AND(Tabla2[[#This Row],[venc]]="venc",Tabla2[[#This Row],[estado pago]]="por pagar"),"vencida","no")</f>
        <v>vencida</v>
      </c>
    </row>
    <row r="1763" spans="1:30" ht="19.5" hidden="1" customHeight="1" x14ac:dyDescent="0.25">
      <c r="A1763" s="8"/>
      <c r="B1763" s="8"/>
      <c r="C1763" s="8"/>
      <c r="D1763" s="151"/>
      <c r="E1763" s="151"/>
      <c r="F1763" s="24"/>
      <c r="G1763" s="30"/>
      <c r="H1763" s="81"/>
      <c r="I1763" s="30"/>
      <c r="J1763" s="16"/>
      <c r="K1763" s="9"/>
      <c r="L1763" s="9"/>
      <c r="M1763" s="152"/>
      <c r="N1763" s="153"/>
      <c r="O1763" s="152"/>
      <c r="P1763" s="154"/>
      <c r="Q1763" s="152"/>
      <c r="R1763" s="9"/>
      <c r="Z1763" s="21"/>
      <c r="AA1763" s="162">
        <f>+$AD$5-Tabla2[[#This Row],[FECHA DE FACTURACIÓN]]</f>
        <v>45443</v>
      </c>
      <c r="AB1763" s="163" t="str">
        <f>+IF(Tabla2[[#This Row],[dias de credito]]&gt;=Tabla2[[#This Row],[PLAZO Días]],"venc", "No venc")</f>
        <v>venc</v>
      </c>
      <c r="AC1763" s="163" t="str">
        <f>+IF(Tabla2[[#This Row],[FECHA DE PAGO]]&gt;0,"pagada","por pagar")</f>
        <v>por pagar</v>
      </c>
      <c r="AD1763" s="164" t="str">
        <f>+IF(AND(Tabla2[[#This Row],[venc]]="venc",Tabla2[[#This Row],[estado pago]]="por pagar"),"vencida","no")</f>
        <v>vencida</v>
      </c>
    </row>
    <row r="1764" spans="1:30" ht="19.5" hidden="1" customHeight="1" x14ac:dyDescent="0.25">
      <c r="A1764" s="8"/>
      <c r="B1764" s="8"/>
      <c r="C1764" s="8"/>
      <c r="D1764" s="151"/>
      <c r="E1764" s="151"/>
      <c r="F1764" s="24"/>
      <c r="G1764" s="30"/>
      <c r="H1764" s="81"/>
      <c r="I1764" s="30"/>
      <c r="J1764" s="16"/>
      <c r="K1764" s="9"/>
      <c r="L1764" s="9"/>
      <c r="M1764" s="152"/>
      <c r="N1764" s="153"/>
      <c r="O1764" s="152"/>
      <c r="P1764" s="154"/>
      <c r="Q1764" s="152"/>
      <c r="R1764" s="9"/>
      <c r="Z1764" s="21"/>
      <c r="AA1764" s="162">
        <f>+$AD$5-Tabla2[[#This Row],[FECHA DE FACTURACIÓN]]</f>
        <v>45443</v>
      </c>
      <c r="AB1764" s="163" t="str">
        <f>+IF(Tabla2[[#This Row],[dias de credito]]&gt;=Tabla2[[#This Row],[PLAZO Días]],"venc", "No venc")</f>
        <v>venc</v>
      </c>
      <c r="AC1764" s="163" t="str">
        <f>+IF(Tabla2[[#This Row],[FECHA DE PAGO]]&gt;0,"pagada","por pagar")</f>
        <v>por pagar</v>
      </c>
      <c r="AD1764" s="164" t="str">
        <f>+IF(AND(Tabla2[[#This Row],[venc]]="venc",Tabla2[[#This Row],[estado pago]]="por pagar"),"vencida","no")</f>
        <v>vencida</v>
      </c>
    </row>
    <row r="1765" spans="1:30" ht="19.5" hidden="1" customHeight="1" x14ac:dyDescent="0.25">
      <c r="A1765" s="8"/>
      <c r="B1765" s="8"/>
      <c r="C1765" s="8"/>
      <c r="D1765" s="151"/>
      <c r="E1765" s="151"/>
      <c r="F1765" s="24"/>
      <c r="G1765" s="30"/>
      <c r="H1765" s="81"/>
      <c r="I1765" s="30"/>
      <c r="J1765" s="16"/>
      <c r="K1765" s="9"/>
      <c r="L1765" s="9"/>
      <c r="M1765" s="152"/>
      <c r="N1765" s="153"/>
      <c r="O1765" s="152"/>
      <c r="P1765" s="154"/>
      <c r="Q1765" s="152"/>
      <c r="R1765" s="9"/>
      <c r="Z1765" s="21"/>
      <c r="AA1765" s="162">
        <f>+$AD$5-Tabla2[[#This Row],[FECHA DE FACTURACIÓN]]</f>
        <v>45443</v>
      </c>
      <c r="AB1765" s="163" t="str">
        <f>+IF(Tabla2[[#This Row],[dias de credito]]&gt;=Tabla2[[#This Row],[PLAZO Días]],"venc", "No venc")</f>
        <v>venc</v>
      </c>
      <c r="AC1765" s="163" t="str">
        <f>+IF(Tabla2[[#This Row],[FECHA DE PAGO]]&gt;0,"pagada","por pagar")</f>
        <v>por pagar</v>
      </c>
      <c r="AD1765" s="164" t="str">
        <f>+IF(AND(Tabla2[[#This Row],[venc]]="venc",Tabla2[[#This Row],[estado pago]]="por pagar"),"vencida","no")</f>
        <v>vencida</v>
      </c>
    </row>
    <row r="1766" spans="1:30" ht="19.5" hidden="1" customHeight="1" x14ac:dyDescent="0.25">
      <c r="A1766" s="8"/>
      <c r="B1766" s="8"/>
      <c r="C1766" s="8"/>
      <c r="D1766" s="151"/>
      <c r="E1766" s="151"/>
      <c r="F1766" s="24"/>
      <c r="G1766" s="30"/>
      <c r="H1766" s="81"/>
      <c r="I1766" s="30"/>
      <c r="J1766" s="16"/>
      <c r="K1766" s="9"/>
      <c r="L1766" s="9"/>
      <c r="M1766" s="152"/>
      <c r="N1766" s="153"/>
      <c r="O1766" s="152"/>
      <c r="P1766" s="154"/>
      <c r="Q1766" s="152"/>
      <c r="R1766" s="9"/>
      <c r="Z1766" s="21"/>
      <c r="AA1766" s="162">
        <f>+$AD$5-Tabla2[[#This Row],[FECHA DE FACTURACIÓN]]</f>
        <v>45443</v>
      </c>
      <c r="AB1766" s="163" t="str">
        <f>+IF(Tabla2[[#This Row],[dias de credito]]&gt;=Tabla2[[#This Row],[PLAZO Días]],"venc", "No venc")</f>
        <v>venc</v>
      </c>
      <c r="AC1766" s="163" t="str">
        <f>+IF(Tabla2[[#This Row],[FECHA DE PAGO]]&gt;0,"pagada","por pagar")</f>
        <v>por pagar</v>
      </c>
      <c r="AD1766" s="164" t="str">
        <f>+IF(AND(Tabla2[[#This Row],[venc]]="venc",Tabla2[[#This Row],[estado pago]]="por pagar"),"vencida","no")</f>
        <v>vencida</v>
      </c>
    </row>
    <row r="1767" spans="1:30" ht="19.5" hidden="1" customHeight="1" x14ac:dyDescent="0.25">
      <c r="A1767" s="8"/>
      <c r="B1767" s="8"/>
      <c r="C1767" s="8"/>
      <c r="D1767" s="151"/>
      <c r="E1767" s="151"/>
      <c r="F1767" s="24"/>
      <c r="G1767" s="30"/>
      <c r="H1767" s="81"/>
      <c r="I1767" s="30"/>
      <c r="J1767" s="16"/>
      <c r="K1767" s="9"/>
      <c r="L1767" s="9"/>
      <c r="M1767" s="152"/>
      <c r="N1767" s="153"/>
      <c r="O1767" s="152"/>
      <c r="P1767" s="154"/>
      <c r="Q1767" s="152"/>
      <c r="R1767" s="9"/>
      <c r="Z1767" s="21"/>
      <c r="AA1767" s="162">
        <f>+$AD$5-Tabla2[[#This Row],[FECHA DE FACTURACIÓN]]</f>
        <v>45443</v>
      </c>
      <c r="AB1767" s="163" t="str">
        <f>+IF(Tabla2[[#This Row],[dias de credito]]&gt;=Tabla2[[#This Row],[PLAZO Días]],"venc", "No venc")</f>
        <v>venc</v>
      </c>
      <c r="AC1767" s="163" t="str">
        <f>+IF(Tabla2[[#This Row],[FECHA DE PAGO]]&gt;0,"pagada","por pagar")</f>
        <v>por pagar</v>
      </c>
      <c r="AD1767" s="164" t="str">
        <f>+IF(AND(Tabla2[[#This Row],[venc]]="venc",Tabla2[[#This Row],[estado pago]]="por pagar"),"vencida","no")</f>
        <v>vencida</v>
      </c>
    </row>
    <row r="1768" spans="1:30" ht="19.5" hidden="1" customHeight="1" x14ac:dyDescent="0.25">
      <c r="A1768" s="8"/>
      <c r="B1768" s="8"/>
      <c r="C1768" s="8"/>
      <c r="D1768" s="151"/>
      <c r="E1768" s="151"/>
      <c r="F1768" s="24"/>
      <c r="G1768" s="30"/>
      <c r="H1768" s="81"/>
      <c r="I1768" s="30"/>
      <c r="J1768" s="16"/>
      <c r="K1768" s="9"/>
      <c r="L1768" s="9"/>
      <c r="M1768" s="152"/>
      <c r="N1768" s="153"/>
      <c r="O1768" s="152"/>
      <c r="P1768" s="154"/>
      <c r="Q1768" s="152"/>
      <c r="R1768" s="9"/>
      <c r="Z1768" s="21"/>
      <c r="AA1768" s="162">
        <f>+$AD$5-Tabla2[[#This Row],[FECHA DE FACTURACIÓN]]</f>
        <v>45443</v>
      </c>
      <c r="AB1768" s="163" t="str">
        <f>+IF(Tabla2[[#This Row],[dias de credito]]&gt;=Tabla2[[#This Row],[PLAZO Días]],"venc", "No venc")</f>
        <v>venc</v>
      </c>
      <c r="AC1768" s="163" t="str">
        <f>+IF(Tabla2[[#This Row],[FECHA DE PAGO]]&gt;0,"pagada","por pagar")</f>
        <v>por pagar</v>
      </c>
      <c r="AD1768" s="164" t="str">
        <f>+IF(AND(Tabla2[[#This Row],[venc]]="venc",Tabla2[[#This Row],[estado pago]]="por pagar"),"vencida","no")</f>
        <v>vencida</v>
      </c>
    </row>
    <row r="1769" spans="1:30" ht="19.5" hidden="1" customHeight="1" x14ac:dyDescent="0.25">
      <c r="A1769" s="8"/>
      <c r="B1769" s="8"/>
      <c r="C1769" s="8"/>
      <c r="D1769" s="151"/>
      <c r="E1769" s="151"/>
      <c r="F1769" s="24"/>
      <c r="G1769" s="30"/>
      <c r="H1769" s="81"/>
      <c r="I1769" s="30"/>
      <c r="J1769" s="16"/>
      <c r="K1769" s="9"/>
      <c r="L1769" s="9"/>
      <c r="M1769" s="152"/>
      <c r="N1769" s="153"/>
      <c r="O1769" s="152"/>
      <c r="P1769" s="154"/>
      <c r="Q1769" s="152"/>
      <c r="R1769" s="9"/>
      <c r="Z1769" s="21"/>
      <c r="AA1769" s="162">
        <f>+$AD$5-Tabla2[[#This Row],[FECHA DE FACTURACIÓN]]</f>
        <v>45443</v>
      </c>
      <c r="AB1769" s="163" t="str">
        <f>+IF(Tabla2[[#This Row],[dias de credito]]&gt;=Tabla2[[#This Row],[PLAZO Días]],"venc", "No venc")</f>
        <v>venc</v>
      </c>
      <c r="AC1769" s="163" t="str">
        <f>+IF(Tabla2[[#This Row],[FECHA DE PAGO]]&gt;0,"pagada","por pagar")</f>
        <v>por pagar</v>
      </c>
      <c r="AD1769" s="164" t="str">
        <f>+IF(AND(Tabla2[[#This Row],[venc]]="venc",Tabla2[[#This Row],[estado pago]]="por pagar"),"vencida","no")</f>
        <v>vencida</v>
      </c>
    </row>
    <row r="1770" spans="1:30" ht="19.5" hidden="1" customHeight="1" x14ac:dyDescent="0.25">
      <c r="A1770" s="8"/>
      <c r="B1770" s="8"/>
      <c r="C1770" s="8"/>
      <c r="D1770" s="151"/>
      <c r="E1770" s="151"/>
      <c r="F1770" s="24"/>
      <c r="G1770" s="30"/>
      <c r="H1770" s="81"/>
      <c r="I1770" s="30"/>
      <c r="J1770" s="16"/>
      <c r="K1770" s="9"/>
      <c r="L1770" s="9"/>
      <c r="M1770" s="152"/>
      <c r="N1770" s="153"/>
      <c r="O1770" s="152"/>
      <c r="P1770" s="154"/>
      <c r="Q1770" s="152"/>
      <c r="R1770" s="9"/>
      <c r="Z1770" s="21"/>
      <c r="AA1770" s="162">
        <f>+$AD$5-Tabla2[[#This Row],[FECHA DE FACTURACIÓN]]</f>
        <v>45443</v>
      </c>
      <c r="AB1770" s="163" t="str">
        <f>+IF(Tabla2[[#This Row],[dias de credito]]&gt;=Tabla2[[#This Row],[PLAZO Días]],"venc", "No venc")</f>
        <v>venc</v>
      </c>
      <c r="AC1770" s="163" t="str">
        <f>+IF(Tabla2[[#This Row],[FECHA DE PAGO]]&gt;0,"pagada","por pagar")</f>
        <v>por pagar</v>
      </c>
      <c r="AD1770" s="164" t="str">
        <f>+IF(AND(Tabla2[[#This Row],[venc]]="venc",Tabla2[[#This Row],[estado pago]]="por pagar"),"vencida","no")</f>
        <v>vencida</v>
      </c>
    </row>
    <row r="1771" spans="1:30" ht="19.5" hidden="1" customHeight="1" x14ac:dyDescent="0.25">
      <c r="A1771" s="8"/>
      <c r="B1771" s="8"/>
      <c r="C1771" s="8"/>
      <c r="D1771" s="151"/>
      <c r="E1771" s="151"/>
      <c r="F1771" s="24"/>
      <c r="G1771" s="30"/>
      <c r="H1771" s="81"/>
      <c r="I1771" s="30"/>
      <c r="J1771" s="16"/>
      <c r="K1771" s="9"/>
      <c r="L1771" s="9"/>
      <c r="M1771" s="152"/>
      <c r="N1771" s="153"/>
      <c r="O1771" s="152"/>
      <c r="P1771" s="154"/>
      <c r="Q1771" s="152"/>
      <c r="R1771" s="9"/>
      <c r="Z1771" s="21"/>
      <c r="AA1771" s="162">
        <f>+$AD$5-Tabla2[[#This Row],[FECHA DE FACTURACIÓN]]</f>
        <v>45443</v>
      </c>
      <c r="AB1771" s="163" t="str">
        <f>+IF(Tabla2[[#This Row],[dias de credito]]&gt;=Tabla2[[#This Row],[PLAZO Días]],"venc", "No venc")</f>
        <v>venc</v>
      </c>
      <c r="AC1771" s="163" t="str">
        <f>+IF(Tabla2[[#This Row],[FECHA DE PAGO]]&gt;0,"pagada","por pagar")</f>
        <v>por pagar</v>
      </c>
      <c r="AD1771" s="164" t="str">
        <f>+IF(AND(Tabla2[[#This Row],[venc]]="venc",Tabla2[[#This Row],[estado pago]]="por pagar"),"vencida","no")</f>
        <v>vencida</v>
      </c>
    </row>
    <row r="1772" spans="1:30" ht="19.5" hidden="1" customHeight="1" x14ac:dyDescent="0.25">
      <c r="A1772" s="8"/>
      <c r="B1772" s="8"/>
      <c r="C1772" s="8"/>
      <c r="D1772" s="151"/>
      <c r="E1772" s="151"/>
      <c r="F1772" s="24"/>
      <c r="G1772" s="30"/>
      <c r="H1772" s="81"/>
      <c r="I1772" s="30"/>
      <c r="J1772" s="16"/>
      <c r="K1772" s="9"/>
      <c r="L1772" s="9"/>
      <c r="M1772" s="152"/>
      <c r="N1772" s="153"/>
      <c r="O1772" s="152"/>
      <c r="P1772" s="154"/>
      <c r="Q1772" s="152"/>
      <c r="R1772" s="9"/>
      <c r="Z1772" s="21"/>
      <c r="AA1772" s="162">
        <f>+$AD$5-Tabla2[[#This Row],[FECHA DE FACTURACIÓN]]</f>
        <v>45443</v>
      </c>
      <c r="AB1772" s="163" t="str">
        <f>+IF(Tabla2[[#This Row],[dias de credito]]&gt;=Tabla2[[#This Row],[PLAZO Días]],"venc", "No venc")</f>
        <v>venc</v>
      </c>
      <c r="AC1772" s="163" t="str">
        <f>+IF(Tabla2[[#This Row],[FECHA DE PAGO]]&gt;0,"pagada","por pagar")</f>
        <v>por pagar</v>
      </c>
      <c r="AD1772" s="164" t="str">
        <f>+IF(AND(Tabla2[[#This Row],[venc]]="venc",Tabla2[[#This Row],[estado pago]]="por pagar"),"vencida","no")</f>
        <v>vencida</v>
      </c>
    </row>
    <row r="1773" spans="1:30" ht="19.5" hidden="1" customHeight="1" x14ac:dyDescent="0.25">
      <c r="A1773" s="8"/>
      <c r="B1773" s="8"/>
      <c r="C1773" s="8"/>
      <c r="D1773" s="151"/>
      <c r="E1773" s="151"/>
      <c r="F1773" s="24"/>
      <c r="G1773" s="30"/>
      <c r="H1773" s="81"/>
      <c r="I1773" s="30"/>
      <c r="J1773" s="16"/>
      <c r="K1773" s="9"/>
      <c r="L1773" s="9"/>
      <c r="M1773" s="152"/>
      <c r="N1773" s="153"/>
      <c r="O1773" s="152"/>
      <c r="P1773" s="154"/>
      <c r="Q1773" s="152"/>
      <c r="R1773" s="9"/>
      <c r="Z1773" s="21"/>
      <c r="AA1773" s="162">
        <f>+$AD$5-Tabla2[[#This Row],[FECHA DE FACTURACIÓN]]</f>
        <v>45443</v>
      </c>
      <c r="AB1773" s="163" t="str">
        <f>+IF(Tabla2[[#This Row],[dias de credito]]&gt;=Tabla2[[#This Row],[PLAZO Días]],"venc", "No venc")</f>
        <v>venc</v>
      </c>
      <c r="AC1773" s="163" t="str">
        <f>+IF(Tabla2[[#This Row],[FECHA DE PAGO]]&gt;0,"pagada","por pagar")</f>
        <v>por pagar</v>
      </c>
      <c r="AD1773" s="164" t="str">
        <f>+IF(AND(Tabla2[[#This Row],[venc]]="venc",Tabla2[[#This Row],[estado pago]]="por pagar"),"vencida","no")</f>
        <v>vencida</v>
      </c>
    </row>
    <row r="1774" spans="1:30" ht="19.5" hidden="1" customHeight="1" x14ac:dyDescent="0.25">
      <c r="A1774" s="8"/>
      <c r="B1774" s="8"/>
      <c r="C1774" s="8"/>
      <c r="D1774" s="151"/>
      <c r="E1774" s="151"/>
      <c r="F1774" s="24"/>
      <c r="G1774" s="30"/>
      <c r="H1774" s="81"/>
      <c r="I1774" s="30"/>
      <c r="J1774" s="16"/>
      <c r="K1774" s="9"/>
      <c r="L1774" s="9"/>
      <c r="M1774" s="152"/>
      <c r="N1774" s="153"/>
      <c r="O1774" s="152"/>
      <c r="P1774" s="154"/>
      <c r="Q1774" s="152"/>
      <c r="R1774" s="9"/>
      <c r="Z1774" s="21"/>
      <c r="AA1774" s="162">
        <f>+$AD$5-Tabla2[[#This Row],[FECHA DE FACTURACIÓN]]</f>
        <v>45443</v>
      </c>
      <c r="AB1774" s="163" t="str">
        <f>+IF(Tabla2[[#This Row],[dias de credito]]&gt;=Tabla2[[#This Row],[PLAZO Días]],"venc", "No venc")</f>
        <v>venc</v>
      </c>
      <c r="AC1774" s="163" t="str">
        <f>+IF(Tabla2[[#This Row],[FECHA DE PAGO]]&gt;0,"pagada","por pagar")</f>
        <v>por pagar</v>
      </c>
      <c r="AD1774" s="164" t="str">
        <f>+IF(AND(Tabla2[[#This Row],[venc]]="venc",Tabla2[[#This Row],[estado pago]]="por pagar"),"vencida","no")</f>
        <v>vencida</v>
      </c>
    </row>
    <row r="1775" spans="1:30" ht="19.5" hidden="1" customHeight="1" x14ac:dyDescent="0.25">
      <c r="A1775" s="8"/>
      <c r="B1775" s="8"/>
      <c r="C1775" s="8"/>
      <c r="D1775" s="151"/>
      <c r="E1775" s="151"/>
      <c r="F1775" s="24"/>
      <c r="G1775" s="30"/>
      <c r="H1775" s="81"/>
      <c r="I1775" s="30"/>
      <c r="J1775" s="16"/>
      <c r="K1775" s="9"/>
      <c r="L1775" s="9"/>
      <c r="M1775" s="152"/>
      <c r="N1775" s="153"/>
      <c r="O1775" s="152"/>
      <c r="P1775" s="154"/>
      <c r="Q1775" s="152"/>
      <c r="R1775" s="9"/>
      <c r="Z1775" s="21"/>
      <c r="AA1775" s="162">
        <f>+$AD$5-Tabla2[[#This Row],[FECHA DE FACTURACIÓN]]</f>
        <v>45443</v>
      </c>
      <c r="AB1775" s="163" t="str">
        <f>+IF(Tabla2[[#This Row],[dias de credito]]&gt;=Tabla2[[#This Row],[PLAZO Días]],"venc", "No venc")</f>
        <v>venc</v>
      </c>
      <c r="AC1775" s="163" t="str">
        <f>+IF(Tabla2[[#This Row],[FECHA DE PAGO]]&gt;0,"pagada","por pagar")</f>
        <v>por pagar</v>
      </c>
      <c r="AD1775" s="164" t="str">
        <f>+IF(AND(Tabla2[[#This Row],[venc]]="venc",Tabla2[[#This Row],[estado pago]]="por pagar"),"vencida","no")</f>
        <v>vencida</v>
      </c>
    </row>
    <row r="1776" spans="1:30" ht="19.5" hidden="1" customHeight="1" x14ac:dyDescent="0.25">
      <c r="A1776" s="8"/>
      <c r="B1776" s="8"/>
      <c r="C1776" s="8"/>
      <c r="D1776" s="151"/>
      <c r="E1776" s="151"/>
      <c r="F1776" s="24"/>
      <c r="G1776" s="30"/>
      <c r="H1776" s="81"/>
      <c r="I1776" s="30"/>
      <c r="J1776" s="16"/>
      <c r="K1776" s="9"/>
      <c r="L1776" s="9"/>
      <c r="M1776" s="152"/>
      <c r="N1776" s="153"/>
      <c r="O1776" s="152"/>
      <c r="P1776" s="154"/>
      <c r="Q1776" s="152"/>
      <c r="R1776" s="9"/>
      <c r="Z1776" s="21"/>
      <c r="AA1776" s="162">
        <f>+$AD$5-Tabla2[[#This Row],[FECHA DE FACTURACIÓN]]</f>
        <v>45443</v>
      </c>
      <c r="AB1776" s="163" t="str">
        <f>+IF(Tabla2[[#This Row],[dias de credito]]&gt;=Tabla2[[#This Row],[PLAZO Días]],"venc", "No venc")</f>
        <v>venc</v>
      </c>
      <c r="AC1776" s="163" t="str">
        <f>+IF(Tabla2[[#This Row],[FECHA DE PAGO]]&gt;0,"pagada","por pagar")</f>
        <v>por pagar</v>
      </c>
      <c r="AD1776" s="164" t="str">
        <f>+IF(AND(Tabla2[[#This Row],[venc]]="venc",Tabla2[[#This Row],[estado pago]]="por pagar"),"vencida","no")</f>
        <v>vencida</v>
      </c>
    </row>
    <row r="1777" spans="1:30" ht="19.5" hidden="1" customHeight="1" x14ac:dyDescent="0.25">
      <c r="A1777" s="8"/>
      <c r="B1777" s="8"/>
      <c r="C1777" s="8"/>
      <c r="D1777" s="151"/>
      <c r="E1777" s="151"/>
      <c r="F1777" s="24"/>
      <c r="G1777" s="30"/>
      <c r="H1777" s="81"/>
      <c r="I1777" s="30"/>
      <c r="J1777" s="16"/>
      <c r="K1777" s="9"/>
      <c r="L1777" s="9"/>
      <c r="M1777" s="152"/>
      <c r="N1777" s="153"/>
      <c r="O1777" s="152"/>
      <c r="P1777" s="154"/>
      <c r="Q1777" s="152"/>
      <c r="R1777" s="9"/>
      <c r="Z1777" s="21"/>
      <c r="AA1777" s="162">
        <f>+$AD$5-Tabla2[[#This Row],[FECHA DE FACTURACIÓN]]</f>
        <v>45443</v>
      </c>
      <c r="AB1777" s="163" t="str">
        <f>+IF(Tabla2[[#This Row],[dias de credito]]&gt;=Tabla2[[#This Row],[PLAZO Días]],"venc", "No venc")</f>
        <v>venc</v>
      </c>
      <c r="AC1777" s="163" t="str">
        <f>+IF(Tabla2[[#This Row],[FECHA DE PAGO]]&gt;0,"pagada","por pagar")</f>
        <v>por pagar</v>
      </c>
      <c r="AD1777" s="164" t="str">
        <f>+IF(AND(Tabla2[[#This Row],[venc]]="venc",Tabla2[[#This Row],[estado pago]]="por pagar"),"vencida","no")</f>
        <v>vencida</v>
      </c>
    </row>
    <row r="1778" spans="1:30" ht="19.5" hidden="1" customHeight="1" x14ac:dyDescent="0.25">
      <c r="A1778" s="8"/>
      <c r="B1778" s="8"/>
      <c r="C1778" s="8"/>
      <c r="D1778" s="151"/>
      <c r="E1778" s="151"/>
      <c r="F1778" s="24"/>
      <c r="G1778" s="30"/>
      <c r="H1778" s="81"/>
      <c r="I1778" s="30"/>
      <c r="J1778" s="16"/>
      <c r="K1778" s="9"/>
      <c r="L1778" s="9"/>
      <c r="M1778" s="152"/>
      <c r="N1778" s="153"/>
      <c r="O1778" s="152"/>
      <c r="P1778" s="154"/>
      <c r="Q1778" s="152"/>
      <c r="R1778" s="9"/>
      <c r="Z1778" s="21"/>
      <c r="AA1778" s="162">
        <f>+$AD$5-Tabla2[[#This Row],[FECHA DE FACTURACIÓN]]</f>
        <v>45443</v>
      </c>
      <c r="AB1778" s="163" t="str">
        <f>+IF(Tabla2[[#This Row],[dias de credito]]&gt;=Tabla2[[#This Row],[PLAZO Días]],"venc", "No venc")</f>
        <v>venc</v>
      </c>
      <c r="AC1778" s="163" t="str">
        <f>+IF(Tabla2[[#This Row],[FECHA DE PAGO]]&gt;0,"pagada","por pagar")</f>
        <v>por pagar</v>
      </c>
      <c r="AD1778" s="164" t="str">
        <f>+IF(AND(Tabla2[[#This Row],[venc]]="venc",Tabla2[[#This Row],[estado pago]]="por pagar"),"vencida","no")</f>
        <v>vencida</v>
      </c>
    </row>
    <row r="1779" spans="1:30" ht="19.5" hidden="1" customHeight="1" x14ac:dyDescent="0.25">
      <c r="A1779" s="8"/>
      <c r="B1779" s="8"/>
      <c r="C1779" s="8"/>
      <c r="D1779" s="151"/>
      <c r="E1779" s="151"/>
      <c r="F1779" s="24"/>
      <c r="G1779" s="30"/>
      <c r="H1779" s="81"/>
      <c r="I1779" s="30"/>
      <c r="J1779" s="16"/>
      <c r="K1779" s="9"/>
      <c r="L1779" s="9"/>
      <c r="M1779" s="152"/>
      <c r="N1779" s="153"/>
      <c r="O1779" s="152"/>
      <c r="P1779" s="154"/>
      <c r="Q1779" s="152"/>
      <c r="R1779" s="9"/>
      <c r="Z1779" s="21"/>
      <c r="AA1779" s="162">
        <f>+$AD$5-Tabla2[[#This Row],[FECHA DE FACTURACIÓN]]</f>
        <v>45443</v>
      </c>
      <c r="AB1779" s="163" t="str">
        <f>+IF(Tabla2[[#This Row],[dias de credito]]&gt;=Tabla2[[#This Row],[PLAZO Días]],"venc", "No venc")</f>
        <v>venc</v>
      </c>
      <c r="AC1779" s="163" t="str">
        <f>+IF(Tabla2[[#This Row],[FECHA DE PAGO]]&gt;0,"pagada","por pagar")</f>
        <v>por pagar</v>
      </c>
      <c r="AD1779" s="164" t="str">
        <f>+IF(AND(Tabla2[[#This Row],[venc]]="venc",Tabla2[[#This Row],[estado pago]]="por pagar"),"vencida","no")</f>
        <v>vencida</v>
      </c>
    </row>
    <row r="1780" spans="1:30" ht="19.5" hidden="1" customHeight="1" x14ac:dyDescent="0.25">
      <c r="A1780" s="8"/>
      <c r="B1780" s="8"/>
      <c r="C1780" s="8"/>
      <c r="D1780" s="151"/>
      <c r="E1780" s="151"/>
      <c r="F1780" s="24"/>
      <c r="G1780" s="30"/>
      <c r="H1780" s="81"/>
      <c r="I1780" s="30"/>
      <c r="J1780" s="16"/>
      <c r="K1780" s="9"/>
      <c r="L1780" s="9"/>
      <c r="M1780" s="152"/>
      <c r="N1780" s="153"/>
      <c r="O1780" s="152"/>
      <c r="P1780" s="154"/>
      <c r="Q1780" s="152"/>
      <c r="R1780" s="9"/>
      <c r="Z1780" s="21"/>
      <c r="AA1780" s="162">
        <f>+$AD$5-Tabla2[[#This Row],[FECHA DE FACTURACIÓN]]</f>
        <v>45443</v>
      </c>
      <c r="AB1780" s="163" t="str">
        <f>+IF(Tabla2[[#This Row],[dias de credito]]&gt;=Tabla2[[#This Row],[PLAZO Días]],"venc", "No venc")</f>
        <v>venc</v>
      </c>
      <c r="AC1780" s="163" t="str">
        <f>+IF(Tabla2[[#This Row],[FECHA DE PAGO]]&gt;0,"pagada","por pagar")</f>
        <v>por pagar</v>
      </c>
      <c r="AD1780" s="164" t="str">
        <f>+IF(AND(Tabla2[[#This Row],[venc]]="venc",Tabla2[[#This Row],[estado pago]]="por pagar"),"vencida","no")</f>
        <v>vencida</v>
      </c>
    </row>
    <row r="1781" spans="1:30" ht="19.5" hidden="1" customHeight="1" x14ac:dyDescent="0.25">
      <c r="A1781" s="8"/>
      <c r="B1781" s="8"/>
      <c r="C1781" s="8"/>
      <c r="D1781" s="151"/>
      <c r="E1781" s="151"/>
      <c r="F1781" s="24"/>
      <c r="G1781" s="30"/>
      <c r="H1781" s="81"/>
      <c r="I1781" s="30"/>
      <c r="J1781" s="16"/>
      <c r="K1781" s="9"/>
      <c r="L1781" s="9"/>
      <c r="M1781" s="152"/>
      <c r="N1781" s="153"/>
      <c r="O1781" s="152"/>
      <c r="P1781" s="154"/>
      <c r="Q1781" s="152"/>
      <c r="R1781" s="9"/>
      <c r="Z1781" s="21"/>
      <c r="AA1781" s="162">
        <f>+$AD$5-Tabla2[[#This Row],[FECHA DE FACTURACIÓN]]</f>
        <v>45443</v>
      </c>
      <c r="AB1781" s="163" t="str">
        <f>+IF(Tabla2[[#This Row],[dias de credito]]&gt;=Tabla2[[#This Row],[PLAZO Días]],"venc", "No venc")</f>
        <v>venc</v>
      </c>
      <c r="AC1781" s="163" t="str">
        <f>+IF(Tabla2[[#This Row],[FECHA DE PAGO]]&gt;0,"pagada","por pagar")</f>
        <v>por pagar</v>
      </c>
      <c r="AD1781" s="164" t="str">
        <f>+IF(AND(Tabla2[[#This Row],[venc]]="venc",Tabla2[[#This Row],[estado pago]]="por pagar"),"vencida","no")</f>
        <v>vencida</v>
      </c>
    </row>
    <row r="1782" spans="1:30" ht="19.5" hidden="1" customHeight="1" x14ac:dyDescent="0.25">
      <c r="A1782" s="8"/>
      <c r="B1782" s="8"/>
      <c r="C1782" s="8"/>
      <c r="D1782" s="151"/>
      <c r="E1782" s="151"/>
      <c r="F1782" s="24"/>
      <c r="G1782" s="30"/>
      <c r="H1782" s="81"/>
      <c r="I1782" s="30"/>
      <c r="J1782" s="16"/>
      <c r="K1782" s="9"/>
      <c r="L1782" s="9"/>
      <c r="M1782" s="152"/>
      <c r="N1782" s="153"/>
      <c r="O1782" s="152"/>
      <c r="P1782" s="154"/>
      <c r="Q1782" s="152"/>
      <c r="R1782" s="9"/>
      <c r="Z1782" s="21"/>
      <c r="AA1782" s="162">
        <f>+$AD$5-Tabla2[[#This Row],[FECHA DE FACTURACIÓN]]</f>
        <v>45443</v>
      </c>
      <c r="AB1782" s="163" t="str">
        <f>+IF(Tabla2[[#This Row],[dias de credito]]&gt;=Tabla2[[#This Row],[PLAZO Días]],"venc", "No venc")</f>
        <v>venc</v>
      </c>
      <c r="AC1782" s="163" t="str">
        <f>+IF(Tabla2[[#This Row],[FECHA DE PAGO]]&gt;0,"pagada","por pagar")</f>
        <v>por pagar</v>
      </c>
      <c r="AD1782" s="164" t="str">
        <f>+IF(AND(Tabla2[[#This Row],[venc]]="venc",Tabla2[[#This Row],[estado pago]]="por pagar"),"vencida","no")</f>
        <v>vencida</v>
      </c>
    </row>
    <row r="1783" spans="1:30" ht="19.5" hidden="1" customHeight="1" x14ac:dyDescent="0.25">
      <c r="A1783" s="8"/>
      <c r="B1783" s="8"/>
      <c r="C1783" s="8"/>
      <c r="D1783" s="151"/>
      <c r="E1783" s="151"/>
      <c r="F1783" s="24"/>
      <c r="G1783" s="30"/>
      <c r="H1783" s="81"/>
      <c r="I1783" s="30"/>
      <c r="J1783" s="16"/>
      <c r="K1783" s="9"/>
      <c r="L1783" s="9"/>
      <c r="M1783" s="152"/>
      <c r="N1783" s="153"/>
      <c r="O1783" s="152"/>
      <c r="P1783" s="154"/>
      <c r="Q1783" s="152"/>
      <c r="R1783" s="9"/>
      <c r="Z1783" s="21"/>
      <c r="AA1783" s="162">
        <f>+$AD$5-Tabla2[[#This Row],[FECHA DE FACTURACIÓN]]</f>
        <v>45443</v>
      </c>
      <c r="AB1783" s="163" t="str">
        <f>+IF(Tabla2[[#This Row],[dias de credito]]&gt;=Tabla2[[#This Row],[PLAZO Días]],"venc", "No venc")</f>
        <v>venc</v>
      </c>
      <c r="AC1783" s="163" t="str">
        <f>+IF(Tabla2[[#This Row],[FECHA DE PAGO]]&gt;0,"pagada","por pagar")</f>
        <v>por pagar</v>
      </c>
      <c r="AD1783" s="164" t="str">
        <f>+IF(AND(Tabla2[[#This Row],[venc]]="venc",Tabla2[[#This Row],[estado pago]]="por pagar"),"vencida","no")</f>
        <v>vencida</v>
      </c>
    </row>
    <row r="1784" spans="1:30" ht="19.5" hidden="1" customHeight="1" x14ac:dyDescent="0.25">
      <c r="A1784" s="8"/>
      <c r="B1784" s="8"/>
      <c r="C1784" s="8"/>
      <c r="D1784" s="151"/>
      <c r="E1784" s="151"/>
      <c r="F1784" s="24"/>
      <c r="G1784" s="30"/>
      <c r="H1784" s="81"/>
      <c r="I1784" s="30"/>
      <c r="J1784" s="16"/>
      <c r="K1784" s="9"/>
      <c r="L1784" s="9"/>
      <c r="M1784" s="152"/>
      <c r="N1784" s="153"/>
      <c r="O1784" s="152"/>
      <c r="P1784" s="154"/>
      <c r="Q1784" s="152"/>
      <c r="R1784" s="9"/>
      <c r="Z1784" s="21"/>
      <c r="AA1784" s="162">
        <f>+$AD$5-Tabla2[[#This Row],[FECHA DE FACTURACIÓN]]</f>
        <v>45443</v>
      </c>
      <c r="AB1784" s="163" t="str">
        <f>+IF(Tabla2[[#This Row],[dias de credito]]&gt;=Tabla2[[#This Row],[PLAZO Días]],"venc", "No venc")</f>
        <v>venc</v>
      </c>
      <c r="AC1784" s="163" t="str">
        <f>+IF(Tabla2[[#This Row],[FECHA DE PAGO]]&gt;0,"pagada","por pagar")</f>
        <v>por pagar</v>
      </c>
      <c r="AD1784" s="164" t="str">
        <f>+IF(AND(Tabla2[[#This Row],[venc]]="venc",Tabla2[[#This Row],[estado pago]]="por pagar"),"vencida","no")</f>
        <v>vencida</v>
      </c>
    </row>
    <row r="1785" spans="1:30" ht="19.5" hidden="1" customHeight="1" x14ac:dyDescent="0.25">
      <c r="A1785" s="8"/>
      <c r="B1785" s="8"/>
      <c r="C1785" s="8"/>
      <c r="D1785" s="151"/>
      <c r="E1785" s="151"/>
      <c r="F1785" s="24"/>
      <c r="G1785" s="30"/>
      <c r="H1785" s="81"/>
      <c r="I1785" s="30"/>
      <c r="J1785" s="16"/>
      <c r="K1785" s="9"/>
      <c r="L1785" s="9"/>
      <c r="M1785" s="152"/>
      <c r="N1785" s="153"/>
      <c r="O1785" s="152"/>
      <c r="P1785" s="154"/>
      <c r="Q1785" s="152"/>
      <c r="R1785" s="9"/>
      <c r="Z1785" s="21"/>
      <c r="AA1785" s="162">
        <f>+$AD$5-Tabla2[[#This Row],[FECHA DE FACTURACIÓN]]</f>
        <v>45443</v>
      </c>
      <c r="AB1785" s="163" t="str">
        <f>+IF(Tabla2[[#This Row],[dias de credito]]&gt;=Tabla2[[#This Row],[PLAZO Días]],"venc", "No venc")</f>
        <v>venc</v>
      </c>
      <c r="AC1785" s="163" t="str">
        <f>+IF(Tabla2[[#This Row],[FECHA DE PAGO]]&gt;0,"pagada","por pagar")</f>
        <v>por pagar</v>
      </c>
      <c r="AD1785" s="164" t="str">
        <f>+IF(AND(Tabla2[[#This Row],[venc]]="venc",Tabla2[[#This Row],[estado pago]]="por pagar"),"vencida","no")</f>
        <v>vencida</v>
      </c>
    </row>
    <row r="1786" spans="1:30" ht="19.5" hidden="1" customHeight="1" x14ac:dyDescent="0.25">
      <c r="A1786" s="8"/>
      <c r="B1786" s="8"/>
      <c r="C1786" s="8"/>
      <c r="D1786" s="151"/>
      <c r="E1786" s="151"/>
      <c r="F1786" s="24"/>
      <c r="G1786" s="30"/>
      <c r="H1786" s="81"/>
      <c r="I1786" s="30"/>
      <c r="J1786" s="16"/>
      <c r="K1786" s="9"/>
      <c r="L1786" s="9"/>
      <c r="M1786" s="152"/>
      <c r="N1786" s="153"/>
      <c r="O1786" s="152"/>
      <c r="P1786" s="154"/>
      <c r="Q1786" s="152"/>
      <c r="R1786" s="9"/>
      <c r="Z1786" s="21"/>
      <c r="AA1786" s="162">
        <f>+$AD$5-Tabla2[[#This Row],[FECHA DE FACTURACIÓN]]</f>
        <v>45443</v>
      </c>
      <c r="AB1786" s="163" t="str">
        <f>+IF(Tabla2[[#This Row],[dias de credito]]&gt;=Tabla2[[#This Row],[PLAZO Días]],"venc", "No venc")</f>
        <v>venc</v>
      </c>
      <c r="AC1786" s="163" t="str">
        <f>+IF(Tabla2[[#This Row],[FECHA DE PAGO]]&gt;0,"pagada","por pagar")</f>
        <v>por pagar</v>
      </c>
      <c r="AD1786" s="164" t="str">
        <f>+IF(AND(Tabla2[[#This Row],[venc]]="venc",Tabla2[[#This Row],[estado pago]]="por pagar"),"vencida","no")</f>
        <v>vencida</v>
      </c>
    </row>
    <row r="1787" spans="1:30" ht="19.5" hidden="1" customHeight="1" x14ac:dyDescent="0.25">
      <c r="A1787" s="8"/>
      <c r="B1787" s="8"/>
      <c r="C1787" s="8"/>
      <c r="D1787" s="151"/>
      <c r="E1787" s="151"/>
      <c r="F1787" s="24"/>
      <c r="G1787" s="30"/>
      <c r="H1787" s="81"/>
      <c r="I1787" s="30"/>
      <c r="J1787" s="16"/>
      <c r="K1787" s="9"/>
      <c r="L1787" s="9"/>
      <c r="M1787" s="152"/>
      <c r="N1787" s="153"/>
      <c r="O1787" s="152"/>
      <c r="P1787" s="154"/>
      <c r="Q1787" s="152"/>
      <c r="R1787" s="9"/>
      <c r="Z1787" s="21"/>
      <c r="AA1787" s="162">
        <f>+$AD$5-Tabla2[[#This Row],[FECHA DE FACTURACIÓN]]</f>
        <v>45443</v>
      </c>
      <c r="AB1787" s="163" t="str">
        <f>+IF(Tabla2[[#This Row],[dias de credito]]&gt;=Tabla2[[#This Row],[PLAZO Días]],"venc", "No venc")</f>
        <v>venc</v>
      </c>
      <c r="AC1787" s="163" t="str">
        <f>+IF(Tabla2[[#This Row],[FECHA DE PAGO]]&gt;0,"pagada","por pagar")</f>
        <v>por pagar</v>
      </c>
      <c r="AD1787" s="164" t="str">
        <f>+IF(AND(Tabla2[[#This Row],[venc]]="venc",Tabla2[[#This Row],[estado pago]]="por pagar"),"vencida","no")</f>
        <v>vencida</v>
      </c>
    </row>
    <row r="1788" spans="1:30" ht="19.5" hidden="1" customHeight="1" x14ac:dyDescent="0.25">
      <c r="A1788" s="8"/>
      <c r="B1788" s="8"/>
      <c r="C1788" s="8"/>
      <c r="D1788" s="151"/>
      <c r="E1788" s="151"/>
      <c r="F1788" s="24"/>
      <c r="G1788" s="30"/>
      <c r="H1788" s="81"/>
      <c r="I1788" s="30"/>
      <c r="J1788" s="16"/>
      <c r="K1788" s="9"/>
      <c r="L1788" s="9"/>
      <c r="M1788" s="152"/>
      <c r="N1788" s="153"/>
      <c r="O1788" s="152"/>
      <c r="P1788" s="154"/>
      <c r="Q1788" s="152"/>
      <c r="R1788" s="9"/>
      <c r="Z1788" s="21"/>
      <c r="AA1788" s="162">
        <f>+$AD$5-Tabla2[[#This Row],[FECHA DE FACTURACIÓN]]</f>
        <v>45443</v>
      </c>
      <c r="AB1788" s="163" t="str">
        <f>+IF(Tabla2[[#This Row],[dias de credito]]&gt;=Tabla2[[#This Row],[PLAZO Días]],"venc", "No venc")</f>
        <v>venc</v>
      </c>
      <c r="AC1788" s="163" t="str">
        <f>+IF(Tabla2[[#This Row],[FECHA DE PAGO]]&gt;0,"pagada","por pagar")</f>
        <v>por pagar</v>
      </c>
      <c r="AD1788" s="164" t="str">
        <f>+IF(AND(Tabla2[[#This Row],[venc]]="venc",Tabla2[[#This Row],[estado pago]]="por pagar"),"vencida","no")</f>
        <v>vencida</v>
      </c>
    </row>
    <row r="1789" spans="1:30" ht="19.5" hidden="1" customHeight="1" x14ac:dyDescent="0.25">
      <c r="A1789" s="8"/>
      <c r="B1789" s="8"/>
      <c r="C1789" s="8"/>
      <c r="D1789" s="151"/>
      <c r="E1789" s="151"/>
      <c r="F1789" s="24"/>
      <c r="G1789" s="30"/>
      <c r="H1789" s="81"/>
      <c r="I1789" s="30"/>
      <c r="J1789" s="16"/>
      <c r="K1789" s="9"/>
      <c r="L1789" s="9"/>
      <c r="M1789" s="152"/>
      <c r="N1789" s="153"/>
      <c r="O1789" s="152"/>
      <c r="P1789" s="154"/>
      <c r="Q1789" s="152"/>
      <c r="R1789" s="9"/>
      <c r="Z1789" s="21"/>
      <c r="AA1789" s="162">
        <f>+$AD$5-Tabla2[[#This Row],[FECHA DE FACTURACIÓN]]</f>
        <v>45443</v>
      </c>
      <c r="AB1789" s="163" t="str">
        <f>+IF(Tabla2[[#This Row],[dias de credito]]&gt;=Tabla2[[#This Row],[PLAZO Días]],"venc", "No venc")</f>
        <v>venc</v>
      </c>
      <c r="AC1789" s="163" t="str">
        <f>+IF(Tabla2[[#This Row],[FECHA DE PAGO]]&gt;0,"pagada","por pagar")</f>
        <v>por pagar</v>
      </c>
      <c r="AD1789" s="164" t="str">
        <f>+IF(AND(Tabla2[[#This Row],[venc]]="venc",Tabla2[[#This Row],[estado pago]]="por pagar"),"vencida","no")</f>
        <v>vencida</v>
      </c>
    </row>
    <row r="1790" spans="1:30" ht="19.5" hidden="1" customHeight="1" x14ac:dyDescent="0.25">
      <c r="A1790" s="8"/>
      <c r="B1790" s="8"/>
      <c r="C1790" s="8"/>
      <c r="D1790" s="151"/>
      <c r="E1790" s="151"/>
      <c r="F1790" s="24"/>
      <c r="G1790" s="30"/>
      <c r="H1790" s="81"/>
      <c r="I1790" s="30"/>
      <c r="J1790" s="16"/>
      <c r="K1790" s="9"/>
      <c r="L1790" s="9"/>
      <c r="M1790" s="152"/>
      <c r="N1790" s="153"/>
      <c r="O1790" s="152"/>
      <c r="P1790" s="154"/>
      <c r="Q1790" s="152"/>
      <c r="R1790" s="9"/>
      <c r="Z1790" s="21"/>
      <c r="AA1790" s="162">
        <f>+$AD$5-Tabla2[[#This Row],[FECHA DE FACTURACIÓN]]</f>
        <v>45443</v>
      </c>
      <c r="AB1790" s="163" t="str">
        <f>+IF(Tabla2[[#This Row],[dias de credito]]&gt;=Tabla2[[#This Row],[PLAZO Días]],"venc", "No venc")</f>
        <v>venc</v>
      </c>
      <c r="AC1790" s="163" t="str">
        <f>+IF(Tabla2[[#This Row],[FECHA DE PAGO]]&gt;0,"pagada","por pagar")</f>
        <v>por pagar</v>
      </c>
      <c r="AD1790" s="164" t="str">
        <f>+IF(AND(Tabla2[[#This Row],[venc]]="venc",Tabla2[[#This Row],[estado pago]]="por pagar"),"vencida","no")</f>
        <v>vencida</v>
      </c>
    </row>
    <row r="1791" spans="1:30" ht="19.5" hidden="1" customHeight="1" x14ac:dyDescent="0.25">
      <c r="A1791" s="8"/>
      <c r="B1791" s="8"/>
      <c r="C1791" s="8"/>
      <c r="D1791" s="151"/>
      <c r="E1791" s="151"/>
      <c r="F1791" s="24"/>
      <c r="G1791" s="30"/>
      <c r="H1791" s="81"/>
      <c r="I1791" s="30"/>
      <c r="J1791" s="16"/>
      <c r="K1791" s="9"/>
      <c r="L1791" s="9"/>
      <c r="M1791" s="152"/>
      <c r="N1791" s="153"/>
      <c r="O1791" s="152"/>
      <c r="P1791" s="154"/>
      <c r="Q1791" s="152"/>
      <c r="R1791" s="9"/>
      <c r="Z1791" s="21"/>
      <c r="AA1791" s="162">
        <f>+$AD$5-Tabla2[[#This Row],[FECHA DE FACTURACIÓN]]</f>
        <v>45443</v>
      </c>
      <c r="AB1791" s="163" t="str">
        <f>+IF(Tabla2[[#This Row],[dias de credito]]&gt;=Tabla2[[#This Row],[PLAZO Días]],"venc", "No venc")</f>
        <v>venc</v>
      </c>
      <c r="AC1791" s="163" t="str">
        <f>+IF(Tabla2[[#This Row],[FECHA DE PAGO]]&gt;0,"pagada","por pagar")</f>
        <v>por pagar</v>
      </c>
      <c r="AD1791" s="164" t="str">
        <f>+IF(AND(Tabla2[[#This Row],[venc]]="venc",Tabla2[[#This Row],[estado pago]]="por pagar"),"vencida","no")</f>
        <v>vencida</v>
      </c>
    </row>
    <row r="1792" spans="1:30" ht="19.5" hidden="1" customHeight="1" x14ac:dyDescent="0.25">
      <c r="A1792" s="8"/>
      <c r="B1792" s="8"/>
      <c r="C1792" s="8"/>
      <c r="D1792" s="151"/>
      <c r="E1792" s="151"/>
      <c r="F1792" s="24"/>
      <c r="G1792" s="30"/>
      <c r="H1792" s="81"/>
      <c r="I1792" s="30"/>
      <c r="J1792" s="16"/>
      <c r="K1792" s="9"/>
      <c r="L1792" s="9"/>
      <c r="M1792" s="152"/>
      <c r="N1792" s="153"/>
      <c r="O1792" s="152"/>
      <c r="P1792" s="154"/>
      <c r="Q1792" s="152"/>
      <c r="R1792" s="9"/>
      <c r="Z1792" s="21"/>
      <c r="AA1792" s="162">
        <f>+$AD$5-Tabla2[[#This Row],[FECHA DE FACTURACIÓN]]</f>
        <v>45443</v>
      </c>
      <c r="AB1792" s="163" t="str">
        <f>+IF(Tabla2[[#This Row],[dias de credito]]&gt;=Tabla2[[#This Row],[PLAZO Días]],"venc", "No venc")</f>
        <v>venc</v>
      </c>
      <c r="AC1792" s="163" t="str">
        <f>+IF(Tabla2[[#This Row],[FECHA DE PAGO]]&gt;0,"pagada","por pagar")</f>
        <v>por pagar</v>
      </c>
      <c r="AD1792" s="164" t="str">
        <f>+IF(AND(Tabla2[[#This Row],[venc]]="venc",Tabla2[[#This Row],[estado pago]]="por pagar"),"vencida","no")</f>
        <v>vencida</v>
      </c>
    </row>
    <row r="1793" spans="1:30" ht="19.5" hidden="1" customHeight="1" x14ac:dyDescent="0.25">
      <c r="A1793" s="8"/>
      <c r="B1793" s="8"/>
      <c r="C1793" s="8"/>
      <c r="D1793" s="151"/>
      <c r="E1793" s="151"/>
      <c r="F1793" s="24"/>
      <c r="G1793" s="30"/>
      <c r="H1793" s="81"/>
      <c r="I1793" s="30"/>
      <c r="J1793" s="16"/>
      <c r="K1793" s="9"/>
      <c r="L1793" s="9"/>
      <c r="M1793" s="152"/>
      <c r="N1793" s="153"/>
      <c r="O1793" s="152"/>
      <c r="P1793" s="154"/>
      <c r="Q1793" s="152"/>
      <c r="R1793" s="9"/>
      <c r="Z1793" s="21"/>
      <c r="AA1793" s="162">
        <f>+$AD$5-Tabla2[[#This Row],[FECHA DE FACTURACIÓN]]</f>
        <v>45443</v>
      </c>
      <c r="AB1793" s="163" t="str">
        <f>+IF(Tabla2[[#This Row],[dias de credito]]&gt;=Tabla2[[#This Row],[PLAZO Días]],"venc", "No venc")</f>
        <v>venc</v>
      </c>
      <c r="AC1793" s="163" t="str">
        <f>+IF(Tabla2[[#This Row],[FECHA DE PAGO]]&gt;0,"pagada","por pagar")</f>
        <v>por pagar</v>
      </c>
      <c r="AD1793" s="164" t="str">
        <f>+IF(AND(Tabla2[[#This Row],[venc]]="venc",Tabla2[[#This Row],[estado pago]]="por pagar"),"vencida","no")</f>
        <v>vencida</v>
      </c>
    </row>
    <row r="1794" spans="1:30" ht="19.5" hidden="1" customHeight="1" x14ac:dyDescent="0.25">
      <c r="A1794" s="8"/>
      <c r="B1794" s="8"/>
      <c r="C1794" s="8"/>
      <c r="D1794" s="151"/>
      <c r="E1794" s="151"/>
      <c r="F1794" s="24"/>
      <c r="G1794" s="30"/>
      <c r="H1794" s="81"/>
      <c r="I1794" s="30"/>
      <c r="J1794" s="16"/>
      <c r="K1794" s="9"/>
      <c r="L1794" s="9"/>
      <c r="M1794" s="152"/>
      <c r="N1794" s="153"/>
      <c r="O1794" s="152"/>
      <c r="P1794" s="154"/>
      <c r="Q1794" s="152"/>
      <c r="R1794" s="9"/>
      <c r="Z1794" s="21"/>
      <c r="AA1794" s="162">
        <f>+$AD$5-Tabla2[[#This Row],[FECHA DE FACTURACIÓN]]</f>
        <v>45443</v>
      </c>
      <c r="AB1794" s="163" t="str">
        <f>+IF(Tabla2[[#This Row],[dias de credito]]&gt;=Tabla2[[#This Row],[PLAZO Días]],"venc", "No venc")</f>
        <v>venc</v>
      </c>
      <c r="AC1794" s="163" t="str">
        <f>+IF(Tabla2[[#This Row],[FECHA DE PAGO]]&gt;0,"pagada","por pagar")</f>
        <v>por pagar</v>
      </c>
      <c r="AD1794" s="164" t="str">
        <f>+IF(AND(Tabla2[[#This Row],[venc]]="venc",Tabla2[[#This Row],[estado pago]]="por pagar"),"vencida","no")</f>
        <v>vencida</v>
      </c>
    </row>
    <row r="1795" spans="1:30" ht="19.5" hidden="1" customHeight="1" x14ac:dyDescent="0.25">
      <c r="A1795" s="8"/>
      <c r="B1795" s="8"/>
      <c r="C1795" s="8"/>
      <c r="D1795" s="151"/>
      <c r="E1795" s="151"/>
      <c r="F1795" s="24"/>
      <c r="G1795" s="30"/>
      <c r="H1795" s="81"/>
      <c r="I1795" s="30"/>
      <c r="J1795" s="16"/>
      <c r="K1795" s="9"/>
      <c r="L1795" s="9"/>
      <c r="M1795" s="152"/>
      <c r="N1795" s="153"/>
      <c r="O1795" s="152"/>
      <c r="P1795" s="154"/>
      <c r="Q1795" s="152"/>
      <c r="R1795" s="9"/>
      <c r="Z1795" s="21"/>
      <c r="AA1795" s="162">
        <f>+$AD$5-Tabla2[[#This Row],[FECHA DE FACTURACIÓN]]</f>
        <v>45443</v>
      </c>
      <c r="AB1795" s="163" t="str">
        <f>+IF(Tabla2[[#This Row],[dias de credito]]&gt;=Tabla2[[#This Row],[PLAZO Días]],"venc", "No venc")</f>
        <v>venc</v>
      </c>
      <c r="AC1795" s="163" t="str">
        <f>+IF(Tabla2[[#This Row],[FECHA DE PAGO]]&gt;0,"pagada","por pagar")</f>
        <v>por pagar</v>
      </c>
      <c r="AD1795" s="164" t="str">
        <f>+IF(AND(Tabla2[[#This Row],[venc]]="venc",Tabla2[[#This Row],[estado pago]]="por pagar"),"vencida","no")</f>
        <v>vencida</v>
      </c>
    </row>
    <row r="1796" spans="1:30" ht="19.5" hidden="1" customHeight="1" x14ac:dyDescent="0.25">
      <c r="A1796" s="8"/>
      <c r="B1796" s="8"/>
      <c r="C1796" s="8"/>
      <c r="D1796" s="151"/>
      <c r="E1796" s="151"/>
      <c r="F1796" s="24"/>
      <c r="G1796" s="30"/>
      <c r="H1796" s="81"/>
      <c r="I1796" s="30"/>
      <c r="J1796" s="16"/>
      <c r="K1796" s="9"/>
      <c r="L1796" s="9"/>
      <c r="M1796" s="152"/>
      <c r="N1796" s="153"/>
      <c r="O1796" s="152"/>
      <c r="P1796" s="154"/>
      <c r="Q1796" s="152"/>
      <c r="R1796" s="9"/>
      <c r="Z1796" s="21"/>
      <c r="AA1796" s="162">
        <f>+$AD$5-Tabla2[[#This Row],[FECHA DE FACTURACIÓN]]</f>
        <v>45443</v>
      </c>
      <c r="AB1796" s="163" t="str">
        <f>+IF(Tabla2[[#This Row],[dias de credito]]&gt;=Tabla2[[#This Row],[PLAZO Días]],"venc", "No venc")</f>
        <v>venc</v>
      </c>
      <c r="AC1796" s="163" t="str">
        <f>+IF(Tabla2[[#This Row],[FECHA DE PAGO]]&gt;0,"pagada","por pagar")</f>
        <v>por pagar</v>
      </c>
      <c r="AD1796" s="164" t="str">
        <f>+IF(AND(Tabla2[[#This Row],[venc]]="venc",Tabla2[[#This Row],[estado pago]]="por pagar"),"vencida","no")</f>
        <v>vencida</v>
      </c>
    </row>
    <row r="1797" spans="1:30" ht="19.5" hidden="1" customHeight="1" x14ac:dyDescent="0.25">
      <c r="A1797" s="8"/>
      <c r="B1797" s="8"/>
      <c r="C1797" s="8"/>
      <c r="D1797" s="151"/>
      <c r="E1797" s="151"/>
      <c r="F1797" s="24"/>
      <c r="G1797" s="30"/>
      <c r="H1797" s="81"/>
      <c r="I1797" s="30"/>
      <c r="J1797" s="16"/>
      <c r="K1797" s="9"/>
      <c r="L1797" s="9"/>
      <c r="M1797" s="152"/>
      <c r="N1797" s="153"/>
      <c r="O1797" s="152"/>
      <c r="P1797" s="154"/>
      <c r="Q1797" s="152"/>
      <c r="R1797" s="9"/>
      <c r="Z1797" s="21"/>
      <c r="AA1797" s="162">
        <f>+$AD$5-Tabla2[[#This Row],[FECHA DE FACTURACIÓN]]</f>
        <v>45443</v>
      </c>
      <c r="AB1797" s="163" t="str">
        <f>+IF(Tabla2[[#This Row],[dias de credito]]&gt;=Tabla2[[#This Row],[PLAZO Días]],"venc", "No venc")</f>
        <v>venc</v>
      </c>
      <c r="AC1797" s="163" t="str">
        <f>+IF(Tabla2[[#This Row],[FECHA DE PAGO]]&gt;0,"pagada","por pagar")</f>
        <v>por pagar</v>
      </c>
      <c r="AD1797" s="164" t="str">
        <f>+IF(AND(Tabla2[[#This Row],[venc]]="venc",Tabla2[[#This Row],[estado pago]]="por pagar"),"vencida","no")</f>
        <v>vencida</v>
      </c>
    </row>
    <row r="1798" spans="1:30" ht="19.5" hidden="1" customHeight="1" x14ac:dyDescent="0.25">
      <c r="A1798" s="8"/>
      <c r="B1798" s="8"/>
      <c r="C1798" s="8"/>
      <c r="D1798" s="151"/>
      <c r="E1798" s="151"/>
      <c r="F1798" s="24"/>
      <c r="G1798" s="30"/>
      <c r="H1798" s="81"/>
      <c r="I1798" s="30"/>
      <c r="J1798" s="16"/>
      <c r="K1798" s="9"/>
      <c r="L1798" s="9"/>
      <c r="M1798" s="152"/>
      <c r="N1798" s="153"/>
      <c r="O1798" s="152"/>
      <c r="P1798" s="154"/>
      <c r="Q1798" s="152"/>
      <c r="R1798" s="9"/>
      <c r="Z1798" s="21"/>
      <c r="AA1798" s="162">
        <f>+$AD$5-Tabla2[[#This Row],[FECHA DE FACTURACIÓN]]</f>
        <v>45443</v>
      </c>
      <c r="AB1798" s="163" t="str">
        <f>+IF(Tabla2[[#This Row],[dias de credito]]&gt;=Tabla2[[#This Row],[PLAZO Días]],"venc", "No venc")</f>
        <v>venc</v>
      </c>
      <c r="AC1798" s="163" t="str">
        <f>+IF(Tabla2[[#This Row],[FECHA DE PAGO]]&gt;0,"pagada","por pagar")</f>
        <v>por pagar</v>
      </c>
      <c r="AD1798" s="164" t="str">
        <f>+IF(AND(Tabla2[[#This Row],[venc]]="venc",Tabla2[[#This Row],[estado pago]]="por pagar"),"vencida","no")</f>
        <v>vencida</v>
      </c>
    </row>
    <row r="1799" spans="1:30" ht="19.5" hidden="1" customHeight="1" x14ac:dyDescent="0.25">
      <c r="A1799" s="8"/>
      <c r="B1799" s="8"/>
      <c r="C1799" s="8"/>
      <c r="D1799" s="151"/>
      <c r="E1799" s="151"/>
      <c r="F1799" s="24"/>
      <c r="G1799" s="30"/>
      <c r="H1799" s="81"/>
      <c r="I1799" s="30"/>
      <c r="J1799" s="16"/>
      <c r="K1799" s="9"/>
      <c r="L1799" s="9"/>
      <c r="M1799" s="152"/>
      <c r="N1799" s="153"/>
      <c r="O1799" s="152"/>
      <c r="P1799" s="154"/>
      <c r="Q1799" s="152"/>
      <c r="R1799" s="9"/>
      <c r="Z1799" s="21"/>
      <c r="AA1799" s="162">
        <f>+$AD$5-Tabla2[[#This Row],[FECHA DE FACTURACIÓN]]</f>
        <v>45443</v>
      </c>
      <c r="AB1799" s="163" t="str">
        <f>+IF(Tabla2[[#This Row],[dias de credito]]&gt;=Tabla2[[#This Row],[PLAZO Días]],"venc", "No venc")</f>
        <v>venc</v>
      </c>
      <c r="AC1799" s="163" t="str">
        <f>+IF(Tabla2[[#This Row],[FECHA DE PAGO]]&gt;0,"pagada","por pagar")</f>
        <v>por pagar</v>
      </c>
      <c r="AD1799" s="164" t="str">
        <f>+IF(AND(Tabla2[[#This Row],[venc]]="venc",Tabla2[[#This Row],[estado pago]]="por pagar"),"vencida","no")</f>
        <v>vencida</v>
      </c>
    </row>
    <row r="1800" spans="1:30" ht="19.5" hidden="1" customHeight="1" x14ac:dyDescent="0.25">
      <c r="A1800" s="8"/>
      <c r="B1800" s="8"/>
      <c r="C1800" s="8"/>
      <c r="D1800" s="151"/>
      <c r="E1800" s="151"/>
      <c r="F1800" s="24"/>
      <c r="G1800" s="30"/>
      <c r="H1800" s="81"/>
      <c r="I1800" s="30"/>
      <c r="J1800" s="16"/>
      <c r="K1800" s="9"/>
      <c r="L1800" s="9"/>
      <c r="M1800" s="152"/>
      <c r="N1800" s="153"/>
      <c r="O1800" s="152"/>
      <c r="P1800" s="154"/>
      <c r="Q1800" s="152"/>
      <c r="R1800" s="9"/>
      <c r="Z1800" s="21"/>
      <c r="AA1800" s="162">
        <f>+$AD$5-Tabla2[[#This Row],[FECHA DE FACTURACIÓN]]</f>
        <v>45443</v>
      </c>
      <c r="AB1800" s="163" t="str">
        <f>+IF(Tabla2[[#This Row],[dias de credito]]&gt;=Tabla2[[#This Row],[PLAZO Días]],"venc", "No venc")</f>
        <v>venc</v>
      </c>
      <c r="AC1800" s="163" t="str">
        <f>+IF(Tabla2[[#This Row],[FECHA DE PAGO]]&gt;0,"pagada","por pagar")</f>
        <v>por pagar</v>
      </c>
      <c r="AD1800" s="164" t="str">
        <f>+IF(AND(Tabla2[[#This Row],[venc]]="venc",Tabla2[[#This Row],[estado pago]]="por pagar"),"vencida","no")</f>
        <v>vencida</v>
      </c>
    </row>
    <row r="1801" spans="1:30" ht="19.5" hidden="1" customHeight="1" x14ac:dyDescent="0.25">
      <c r="A1801" s="8"/>
      <c r="B1801" s="8"/>
      <c r="C1801" s="8"/>
      <c r="D1801" s="151"/>
      <c r="E1801" s="151"/>
      <c r="F1801" s="24"/>
      <c r="G1801" s="30"/>
      <c r="H1801" s="81"/>
      <c r="I1801" s="30"/>
      <c r="J1801" s="16"/>
      <c r="K1801" s="9"/>
      <c r="L1801" s="9"/>
      <c r="M1801" s="152"/>
      <c r="N1801" s="153"/>
      <c r="O1801" s="152"/>
      <c r="P1801" s="154"/>
      <c r="Q1801" s="152"/>
      <c r="R1801" s="9"/>
      <c r="Z1801" s="21"/>
      <c r="AA1801" s="162">
        <f>+$AD$5-Tabla2[[#This Row],[FECHA DE FACTURACIÓN]]</f>
        <v>45443</v>
      </c>
      <c r="AB1801" s="163" t="str">
        <f>+IF(Tabla2[[#This Row],[dias de credito]]&gt;=Tabla2[[#This Row],[PLAZO Días]],"venc", "No venc")</f>
        <v>venc</v>
      </c>
      <c r="AC1801" s="163" t="str">
        <f>+IF(Tabla2[[#This Row],[FECHA DE PAGO]]&gt;0,"pagada","por pagar")</f>
        <v>por pagar</v>
      </c>
      <c r="AD1801" s="164" t="str">
        <f>+IF(AND(Tabla2[[#This Row],[venc]]="venc",Tabla2[[#This Row],[estado pago]]="por pagar"),"vencida","no")</f>
        <v>vencida</v>
      </c>
    </row>
    <row r="1802" spans="1:30" ht="19.5" hidden="1" customHeight="1" x14ac:dyDescent="0.25">
      <c r="A1802" s="8"/>
      <c r="B1802" s="8"/>
      <c r="C1802" s="8"/>
      <c r="D1802" s="151"/>
      <c r="E1802" s="151"/>
      <c r="F1802" s="24"/>
      <c r="G1802" s="30"/>
      <c r="H1802" s="81"/>
      <c r="I1802" s="30"/>
      <c r="J1802" s="16"/>
      <c r="K1802" s="9"/>
      <c r="L1802" s="9"/>
      <c r="M1802" s="152"/>
      <c r="N1802" s="153"/>
      <c r="O1802" s="152"/>
      <c r="P1802" s="154"/>
      <c r="Q1802" s="152"/>
      <c r="R1802" s="9"/>
      <c r="Z1802" s="21"/>
      <c r="AA1802" s="162">
        <f>+$AD$5-Tabla2[[#This Row],[FECHA DE FACTURACIÓN]]</f>
        <v>45443</v>
      </c>
      <c r="AB1802" s="163" t="str">
        <f>+IF(Tabla2[[#This Row],[dias de credito]]&gt;=Tabla2[[#This Row],[PLAZO Días]],"venc", "No venc")</f>
        <v>venc</v>
      </c>
      <c r="AC1802" s="163" t="str">
        <f>+IF(Tabla2[[#This Row],[FECHA DE PAGO]]&gt;0,"pagada","por pagar")</f>
        <v>por pagar</v>
      </c>
      <c r="AD1802" s="164" t="str">
        <f>+IF(AND(Tabla2[[#This Row],[venc]]="venc",Tabla2[[#This Row],[estado pago]]="por pagar"),"vencida","no")</f>
        <v>vencida</v>
      </c>
    </row>
    <row r="1803" spans="1:30" ht="19.5" hidden="1" customHeight="1" x14ac:dyDescent="0.25">
      <c r="A1803" s="8"/>
      <c r="B1803" s="8"/>
      <c r="C1803" s="8"/>
      <c r="D1803" s="151"/>
      <c r="E1803" s="151"/>
      <c r="F1803" s="24"/>
      <c r="G1803" s="30"/>
      <c r="H1803" s="81"/>
      <c r="I1803" s="30"/>
      <c r="J1803" s="16"/>
      <c r="K1803" s="9"/>
      <c r="L1803" s="9"/>
      <c r="M1803" s="152"/>
      <c r="N1803" s="153"/>
      <c r="O1803" s="152"/>
      <c r="P1803" s="154"/>
      <c r="Q1803" s="152"/>
      <c r="R1803" s="9"/>
      <c r="Z1803" s="21"/>
      <c r="AA1803" s="162">
        <f>+$AD$5-Tabla2[[#This Row],[FECHA DE FACTURACIÓN]]</f>
        <v>45443</v>
      </c>
      <c r="AB1803" s="163" t="str">
        <f>+IF(Tabla2[[#This Row],[dias de credito]]&gt;=Tabla2[[#This Row],[PLAZO Días]],"venc", "No venc")</f>
        <v>venc</v>
      </c>
      <c r="AC1803" s="163" t="str">
        <f>+IF(Tabla2[[#This Row],[FECHA DE PAGO]]&gt;0,"pagada","por pagar")</f>
        <v>por pagar</v>
      </c>
      <c r="AD1803" s="164" t="str">
        <f>+IF(AND(Tabla2[[#This Row],[venc]]="venc",Tabla2[[#This Row],[estado pago]]="por pagar"),"vencida","no")</f>
        <v>vencida</v>
      </c>
    </row>
    <row r="1804" spans="1:30" ht="19.5" hidden="1" customHeight="1" x14ac:dyDescent="0.25">
      <c r="A1804" s="8"/>
      <c r="B1804" s="8"/>
      <c r="C1804" s="8"/>
      <c r="D1804" s="151"/>
      <c r="E1804" s="151"/>
      <c r="F1804" s="24"/>
      <c r="G1804" s="30"/>
      <c r="H1804" s="81"/>
      <c r="I1804" s="30"/>
      <c r="J1804" s="16"/>
      <c r="K1804" s="9"/>
      <c r="L1804" s="9"/>
      <c r="M1804" s="152"/>
      <c r="N1804" s="153"/>
      <c r="O1804" s="152"/>
      <c r="P1804" s="154"/>
      <c r="Q1804" s="152"/>
      <c r="R1804" s="9"/>
      <c r="Z1804" s="21"/>
      <c r="AA1804" s="162">
        <f>+$AD$5-Tabla2[[#This Row],[FECHA DE FACTURACIÓN]]</f>
        <v>45443</v>
      </c>
      <c r="AB1804" s="163" t="str">
        <f>+IF(Tabla2[[#This Row],[dias de credito]]&gt;=Tabla2[[#This Row],[PLAZO Días]],"venc", "No venc")</f>
        <v>venc</v>
      </c>
      <c r="AC1804" s="163" t="str">
        <f>+IF(Tabla2[[#This Row],[FECHA DE PAGO]]&gt;0,"pagada","por pagar")</f>
        <v>por pagar</v>
      </c>
      <c r="AD1804" s="164" t="str">
        <f>+IF(AND(Tabla2[[#This Row],[venc]]="venc",Tabla2[[#This Row],[estado pago]]="por pagar"),"vencida","no")</f>
        <v>vencida</v>
      </c>
    </row>
    <row r="1805" spans="1:30" ht="19.5" hidden="1" customHeight="1" x14ac:dyDescent="0.25">
      <c r="A1805" s="8"/>
      <c r="B1805" s="8"/>
      <c r="C1805" s="8"/>
      <c r="D1805" s="151"/>
      <c r="E1805" s="151"/>
      <c r="F1805" s="24"/>
      <c r="G1805" s="30"/>
      <c r="H1805" s="81"/>
      <c r="I1805" s="30"/>
      <c r="J1805" s="16"/>
      <c r="K1805" s="9"/>
      <c r="L1805" s="9"/>
      <c r="M1805" s="152"/>
      <c r="N1805" s="153"/>
      <c r="O1805" s="152"/>
      <c r="P1805" s="154"/>
      <c r="Q1805" s="152"/>
      <c r="R1805" s="9"/>
      <c r="Z1805" s="21"/>
      <c r="AA1805" s="162">
        <f>+$AD$5-Tabla2[[#This Row],[FECHA DE FACTURACIÓN]]</f>
        <v>45443</v>
      </c>
      <c r="AB1805" s="163" t="str">
        <f>+IF(Tabla2[[#This Row],[dias de credito]]&gt;=Tabla2[[#This Row],[PLAZO Días]],"venc", "No venc")</f>
        <v>venc</v>
      </c>
      <c r="AC1805" s="163" t="str">
        <f>+IF(Tabla2[[#This Row],[FECHA DE PAGO]]&gt;0,"pagada","por pagar")</f>
        <v>por pagar</v>
      </c>
      <c r="AD1805" s="164" t="str">
        <f>+IF(AND(Tabla2[[#This Row],[venc]]="venc",Tabla2[[#This Row],[estado pago]]="por pagar"),"vencida","no")</f>
        <v>vencida</v>
      </c>
    </row>
    <row r="1806" spans="1:30" ht="19.5" hidden="1" customHeight="1" x14ac:dyDescent="0.25">
      <c r="A1806" s="8"/>
      <c r="B1806" s="8"/>
      <c r="C1806" s="8"/>
      <c r="D1806" s="151"/>
      <c r="E1806" s="151"/>
      <c r="F1806" s="24"/>
      <c r="G1806" s="30"/>
      <c r="H1806" s="81"/>
      <c r="I1806" s="30"/>
      <c r="J1806" s="16"/>
      <c r="K1806" s="9"/>
      <c r="L1806" s="9"/>
      <c r="M1806" s="152"/>
      <c r="N1806" s="153"/>
      <c r="O1806" s="152"/>
      <c r="P1806" s="154"/>
      <c r="Q1806" s="152"/>
      <c r="R1806" s="9"/>
      <c r="Z1806" s="21"/>
      <c r="AA1806" s="162">
        <f>+$AD$5-Tabla2[[#This Row],[FECHA DE FACTURACIÓN]]</f>
        <v>45443</v>
      </c>
      <c r="AB1806" s="163" t="str">
        <f>+IF(Tabla2[[#This Row],[dias de credito]]&gt;=Tabla2[[#This Row],[PLAZO Días]],"venc", "No venc")</f>
        <v>venc</v>
      </c>
      <c r="AC1806" s="163" t="str">
        <f>+IF(Tabla2[[#This Row],[FECHA DE PAGO]]&gt;0,"pagada","por pagar")</f>
        <v>por pagar</v>
      </c>
      <c r="AD1806" s="164" t="str">
        <f>+IF(AND(Tabla2[[#This Row],[venc]]="venc",Tabla2[[#This Row],[estado pago]]="por pagar"),"vencida","no")</f>
        <v>vencida</v>
      </c>
    </row>
    <row r="1807" spans="1:30" ht="19.5" hidden="1" customHeight="1" x14ac:dyDescent="0.25">
      <c r="A1807" s="8"/>
      <c r="B1807" s="8"/>
      <c r="C1807" s="8"/>
      <c r="D1807" s="151"/>
      <c r="E1807" s="151"/>
      <c r="F1807" s="24"/>
      <c r="G1807" s="30"/>
      <c r="H1807" s="81"/>
      <c r="I1807" s="30"/>
      <c r="J1807" s="16"/>
      <c r="K1807" s="9"/>
      <c r="L1807" s="9"/>
      <c r="M1807" s="152"/>
      <c r="N1807" s="153"/>
      <c r="O1807" s="152"/>
      <c r="P1807" s="154"/>
      <c r="Q1807" s="152"/>
      <c r="R1807" s="9"/>
      <c r="Z1807" s="21"/>
      <c r="AA1807" s="162">
        <f>+$AD$5-Tabla2[[#This Row],[FECHA DE FACTURACIÓN]]</f>
        <v>45443</v>
      </c>
      <c r="AB1807" s="163" t="str">
        <f>+IF(Tabla2[[#This Row],[dias de credito]]&gt;=Tabla2[[#This Row],[PLAZO Días]],"venc", "No venc")</f>
        <v>venc</v>
      </c>
      <c r="AC1807" s="163" t="str">
        <f>+IF(Tabla2[[#This Row],[FECHA DE PAGO]]&gt;0,"pagada","por pagar")</f>
        <v>por pagar</v>
      </c>
      <c r="AD1807" s="164" t="str">
        <f>+IF(AND(Tabla2[[#This Row],[venc]]="venc",Tabla2[[#This Row],[estado pago]]="por pagar"),"vencida","no")</f>
        <v>vencida</v>
      </c>
    </row>
    <row r="1808" spans="1:30" ht="19.5" hidden="1" customHeight="1" x14ac:dyDescent="0.25">
      <c r="A1808" s="8"/>
      <c r="B1808" s="8"/>
      <c r="C1808" s="8"/>
      <c r="D1808" s="151"/>
      <c r="E1808" s="151"/>
      <c r="F1808" s="24"/>
      <c r="G1808" s="30"/>
      <c r="H1808" s="81"/>
      <c r="I1808" s="30"/>
      <c r="J1808" s="16"/>
      <c r="K1808" s="9"/>
      <c r="L1808" s="9"/>
      <c r="M1808" s="152"/>
      <c r="N1808" s="153"/>
      <c r="O1808" s="152"/>
      <c r="P1808" s="154"/>
      <c r="Q1808" s="152"/>
      <c r="R1808" s="9"/>
      <c r="Z1808" s="21"/>
      <c r="AA1808" s="162">
        <f>+$AD$5-Tabla2[[#This Row],[FECHA DE FACTURACIÓN]]</f>
        <v>45443</v>
      </c>
      <c r="AB1808" s="163" t="str">
        <f>+IF(Tabla2[[#This Row],[dias de credito]]&gt;=Tabla2[[#This Row],[PLAZO Días]],"venc", "No venc")</f>
        <v>venc</v>
      </c>
      <c r="AC1808" s="163" t="str">
        <f>+IF(Tabla2[[#This Row],[FECHA DE PAGO]]&gt;0,"pagada","por pagar")</f>
        <v>por pagar</v>
      </c>
      <c r="AD1808" s="164" t="str">
        <f>+IF(AND(Tabla2[[#This Row],[venc]]="venc",Tabla2[[#This Row],[estado pago]]="por pagar"),"vencida","no")</f>
        <v>vencida</v>
      </c>
    </row>
    <row r="1809" spans="1:30" ht="19.5" hidden="1" customHeight="1" x14ac:dyDescent="0.25">
      <c r="A1809" s="8"/>
      <c r="B1809" s="8"/>
      <c r="C1809" s="8"/>
      <c r="D1809" s="151"/>
      <c r="E1809" s="151"/>
      <c r="F1809" s="24"/>
      <c r="G1809" s="30"/>
      <c r="H1809" s="81"/>
      <c r="I1809" s="30"/>
      <c r="J1809" s="16"/>
      <c r="K1809" s="9"/>
      <c r="L1809" s="9"/>
      <c r="M1809" s="152"/>
      <c r="N1809" s="153"/>
      <c r="O1809" s="152"/>
      <c r="P1809" s="154"/>
      <c r="Q1809" s="152"/>
      <c r="R1809" s="9"/>
      <c r="Z1809" s="21"/>
      <c r="AA1809" s="162">
        <f>+$AD$5-Tabla2[[#This Row],[FECHA DE FACTURACIÓN]]</f>
        <v>45443</v>
      </c>
      <c r="AB1809" s="163" t="str">
        <f>+IF(Tabla2[[#This Row],[dias de credito]]&gt;=Tabla2[[#This Row],[PLAZO Días]],"venc", "No venc")</f>
        <v>venc</v>
      </c>
      <c r="AC1809" s="163" t="str">
        <f>+IF(Tabla2[[#This Row],[FECHA DE PAGO]]&gt;0,"pagada","por pagar")</f>
        <v>por pagar</v>
      </c>
      <c r="AD1809" s="164" t="str">
        <f>+IF(AND(Tabla2[[#This Row],[venc]]="venc",Tabla2[[#This Row],[estado pago]]="por pagar"),"vencida","no")</f>
        <v>vencida</v>
      </c>
    </row>
    <row r="1810" spans="1:30" ht="19.5" hidden="1" customHeight="1" x14ac:dyDescent="0.25">
      <c r="A1810" s="8"/>
      <c r="B1810" s="8"/>
      <c r="C1810" s="8"/>
      <c r="D1810" s="151"/>
      <c r="E1810" s="151"/>
      <c r="F1810" s="24"/>
      <c r="G1810" s="30"/>
      <c r="H1810" s="81"/>
      <c r="I1810" s="30"/>
      <c r="J1810" s="16"/>
      <c r="K1810" s="9"/>
      <c r="L1810" s="9"/>
      <c r="M1810" s="152"/>
      <c r="N1810" s="153"/>
      <c r="O1810" s="152"/>
      <c r="P1810" s="154"/>
      <c r="Q1810" s="152"/>
      <c r="R1810" s="9"/>
      <c r="Z1810" s="21"/>
      <c r="AA1810" s="162">
        <f>+$AD$5-Tabla2[[#This Row],[FECHA DE FACTURACIÓN]]</f>
        <v>45443</v>
      </c>
      <c r="AB1810" s="163" t="str">
        <f>+IF(Tabla2[[#This Row],[dias de credito]]&gt;=Tabla2[[#This Row],[PLAZO Días]],"venc", "No venc")</f>
        <v>venc</v>
      </c>
      <c r="AC1810" s="163" t="str">
        <f>+IF(Tabla2[[#This Row],[FECHA DE PAGO]]&gt;0,"pagada","por pagar")</f>
        <v>por pagar</v>
      </c>
      <c r="AD1810" s="164" t="str">
        <f>+IF(AND(Tabla2[[#This Row],[venc]]="venc",Tabla2[[#This Row],[estado pago]]="por pagar"),"vencida","no")</f>
        <v>vencida</v>
      </c>
    </row>
    <row r="1811" spans="1:30" ht="19.5" hidden="1" customHeight="1" x14ac:dyDescent="0.25">
      <c r="A1811" s="8"/>
      <c r="B1811" s="8"/>
      <c r="C1811" s="8"/>
      <c r="D1811" s="151"/>
      <c r="E1811" s="151"/>
      <c r="F1811" s="24"/>
      <c r="G1811" s="30"/>
      <c r="H1811" s="81"/>
      <c r="I1811" s="30"/>
      <c r="J1811" s="16"/>
      <c r="K1811" s="9"/>
      <c r="L1811" s="9"/>
      <c r="M1811" s="152"/>
      <c r="N1811" s="153"/>
      <c r="O1811" s="152"/>
      <c r="P1811" s="154"/>
      <c r="Q1811" s="152"/>
      <c r="R1811" s="9"/>
      <c r="Z1811" s="21"/>
      <c r="AA1811" s="162">
        <f>+$AD$5-Tabla2[[#This Row],[FECHA DE FACTURACIÓN]]</f>
        <v>45443</v>
      </c>
      <c r="AB1811" s="163" t="str">
        <f>+IF(Tabla2[[#This Row],[dias de credito]]&gt;=Tabla2[[#This Row],[PLAZO Días]],"venc", "No venc")</f>
        <v>venc</v>
      </c>
      <c r="AC1811" s="163" t="str">
        <f>+IF(Tabla2[[#This Row],[FECHA DE PAGO]]&gt;0,"pagada","por pagar")</f>
        <v>por pagar</v>
      </c>
      <c r="AD1811" s="164" t="str">
        <f>+IF(AND(Tabla2[[#This Row],[venc]]="venc",Tabla2[[#This Row],[estado pago]]="por pagar"),"vencida","no")</f>
        <v>vencida</v>
      </c>
    </row>
    <row r="1812" spans="1:30" ht="19.5" hidden="1" customHeight="1" x14ac:dyDescent="0.25">
      <c r="A1812" s="8"/>
      <c r="B1812" s="8"/>
      <c r="C1812" s="8"/>
      <c r="D1812" s="151"/>
      <c r="E1812" s="151"/>
      <c r="F1812" s="24"/>
      <c r="G1812" s="30"/>
      <c r="H1812" s="81"/>
      <c r="I1812" s="30"/>
      <c r="J1812" s="16"/>
      <c r="K1812" s="9"/>
      <c r="L1812" s="9"/>
      <c r="M1812" s="152"/>
      <c r="N1812" s="153"/>
      <c r="O1812" s="152"/>
      <c r="P1812" s="154"/>
      <c r="Q1812" s="152"/>
      <c r="R1812" s="9"/>
      <c r="Z1812" s="21"/>
      <c r="AA1812" s="162">
        <f>+$AD$5-Tabla2[[#This Row],[FECHA DE FACTURACIÓN]]</f>
        <v>45443</v>
      </c>
      <c r="AB1812" s="163" t="str">
        <f>+IF(Tabla2[[#This Row],[dias de credito]]&gt;=Tabla2[[#This Row],[PLAZO Días]],"venc", "No venc")</f>
        <v>venc</v>
      </c>
      <c r="AC1812" s="163" t="str">
        <f>+IF(Tabla2[[#This Row],[FECHA DE PAGO]]&gt;0,"pagada","por pagar")</f>
        <v>por pagar</v>
      </c>
      <c r="AD1812" s="164" t="str">
        <f>+IF(AND(Tabla2[[#This Row],[venc]]="venc",Tabla2[[#This Row],[estado pago]]="por pagar"),"vencida","no")</f>
        <v>vencida</v>
      </c>
    </row>
    <row r="1813" spans="1:30" ht="19.5" hidden="1" customHeight="1" x14ac:dyDescent="0.25">
      <c r="A1813" s="8"/>
      <c r="B1813" s="8"/>
      <c r="C1813" s="8"/>
      <c r="D1813" s="151"/>
      <c r="E1813" s="151"/>
      <c r="F1813" s="24"/>
      <c r="G1813" s="30"/>
      <c r="H1813" s="81"/>
      <c r="I1813" s="30"/>
      <c r="J1813" s="16"/>
      <c r="K1813" s="9"/>
      <c r="L1813" s="9"/>
      <c r="M1813" s="152"/>
      <c r="N1813" s="153"/>
      <c r="O1813" s="152"/>
      <c r="P1813" s="154"/>
      <c r="Q1813" s="152"/>
      <c r="R1813" s="9"/>
      <c r="Z1813" s="21"/>
      <c r="AA1813" s="162">
        <f>+$AD$5-Tabla2[[#This Row],[FECHA DE FACTURACIÓN]]</f>
        <v>45443</v>
      </c>
      <c r="AB1813" s="163" t="str">
        <f>+IF(Tabla2[[#This Row],[dias de credito]]&gt;=Tabla2[[#This Row],[PLAZO Días]],"venc", "No venc")</f>
        <v>venc</v>
      </c>
      <c r="AC1813" s="163" t="str">
        <f>+IF(Tabla2[[#This Row],[FECHA DE PAGO]]&gt;0,"pagada","por pagar")</f>
        <v>por pagar</v>
      </c>
      <c r="AD1813" s="164" t="str">
        <f>+IF(AND(Tabla2[[#This Row],[venc]]="venc",Tabla2[[#This Row],[estado pago]]="por pagar"),"vencida","no")</f>
        <v>vencida</v>
      </c>
    </row>
    <row r="1814" spans="1:30" ht="19.5" hidden="1" customHeight="1" x14ac:dyDescent="0.25">
      <c r="A1814" s="8"/>
      <c r="B1814" s="8"/>
      <c r="C1814" s="8"/>
      <c r="D1814" s="151"/>
      <c r="E1814" s="151"/>
      <c r="F1814" s="24"/>
      <c r="G1814" s="30"/>
      <c r="H1814" s="81"/>
      <c r="I1814" s="30"/>
      <c r="J1814" s="16"/>
      <c r="K1814" s="9"/>
      <c r="L1814" s="9"/>
      <c r="M1814" s="152"/>
      <c r="N1814" s="153"/>
      <c r="O1814" s="152"/>
      <c r="P1814" s="154"/>
      <c r="Q1814" s="152"/>
      <c r="R1814" s="9"/>
      <c r="Z1814" s="21"/>
      <c r="AA1814" s="162">
        <f>+$AD$5-Tabla2[[#This Row],[FECHA DE FACTURACIÓN]]</f>
        <v>45443</v>
      </c>
      <c r="AB1814" s="163" t="str">
        <f>+IF(Tabla2[[#This Row],[dias de credito]]&gt;=Tabla2[[#This Row],[PLAZO Días]],"venc", "No venc")</f>
        <v>venc</v>
      </c>
      <c r="AC1814" s="163" t="str">
        <f>+IF(Tabla2[[#This Row],[FECHA DE PAGO]]&gt;0,"pagada","por pagar")</f>
        <v>por pagar</v>
      </c>
      <c r="AD1814" s="164" t="str">
        <f>+IF(AND(Tabla2[[#This Row],[venc]]="venc",Tabla2[[#This Row],[estado pago]]="por pagar"),"vencida","no")</f>
        <v>vencida</v>
      </c>
    </row>
    <row r="1815" spans="1:30" ht="19.5" hidden="1" customHeight="1" x14ac:dyDescent="0.25">
      <c r="A1815" s="8"/>
      <c r="B1815" s="8"/>
      <c r="C1815" s="8"/>
      <c r="D1815" s="151"/>
      <c r="E1815" s="151"/>
      <c r="F1815" s="24"/>
      <c r="G1815" s="30"/>
      <c r="H1815" s="81"/>
      <c r="I1815" s="30"/>
      <c r="J1815" s="16"/>
      <c r="K1815" s="9"/>
      <c r="L1815" s="9"/>
      <c r="M1815" s="152"/>
      <c r="N1815" s="153"/>
      <c r="O1815" s="152"/>
      <c r="P1815" s="154"/>
      <c r="Q1815" s="152"/>
      <c r="R1815" s="9"/>
      <c r="Z1815" s="21"/>
      <c r="AA1815" s="162">
        <f>+$AD$5-Tabla2[[#This Row],[FECHA DE FACTURACIÓN]]</f>
        <v>45443</v>
      </c>
      <c r="AB1815" s="163" t="str">
        <f>+IF(Tabla2[[#This Row],[dias de credito]]&gt;=Tabla2[[#This Row],[PLAZO Días]],"venc", "No venc")</f>
        <v>venc</v>
      </c>
      <c r="AC1815" s="163" t="str">
        <f>+IF(Tabla2[[#This Row],[FECHA DE PAGO]]&gt;0,"pagada","por pagar")</f>
        <v>por pagar</v>
      </c>
      <c r="AD1815" s="164" t="str">
        <f>+IF(AND(Tabla2[[#This Row],[venc]]="venc",Tabla2[[#This Row],[estado pago]]="por pagar"),"vencida","no")</f>
        <v>vencida</v>
      </c>
    </row>
    <row r="1816" spans="1:30" ht="19.5" hidden="1" customHeight="1" x14ac:dyDescent="0.25">
      <c r="A1816" s="8"/>
      <c r="B1816" s="8"/>
      <c r="C1816" s="8"/>
      <c r="D1816" s="151"/>
      <c r="E1816" s="151"/>
      <c r="F1816" s="24"/>
      <c r="G1816" s="30"/>
      <c r="H1816" s="81"/>
      <c r="I1816" s="30"/>
      <c r="J1816" s="16"/>
      <c r="K1816" s="9"/>
      <c r="L1816" s="9"/>
      <c r="M1816" s="152"/>
      <c r="N1816" s="153"/>
      <c r="O1816" s="152"/>
      <c r="P1816" s="154"/>
      <c r="Q1816" s="152"/>
      <c r="R1816" s="9"/>
      <c r="Z1816" s="21"/>
      <c r="AA1816" s="162">
        <f>+$AD$5-Tabla2[[#This Row],[FECHA DE FACTURACIÓN]]</f>
        <v>45443</v>
      </c>
      <c r="AB1816" s="163" t="str">
        <f>+IF(Tabla2[[#This Row],[dias de credito]]&gt;=Tabla2[[#This Row],[PLAZO Días]],"venc", "No venc")</f>
        <v>venc</v>
      </c>
      <c r="AC1816" s="163" t="str">
        <f>+IF(Tabla2[[#This Row],[FECHA DE PAGO]]&gt;0,"pagada","por pagar")</f>
        <v>por pagar</v>
      </c>
      <c r="AD1816" s="164" t="str">
        <f>+IF(AND(Tabla2[[#This Row],[venc]]="venc",Tabla2[[#This Row],[estado pago]]="por pagar"),"vencida","no")</f>
        <v>vencida</v>
      </c>
    </row>
    <row r="1817" spans="1:30" ht="19.5" hidden="1" customHeight="1" x14ac:dyDescent="0.25">
      <c r="A1817" s="8"/>
      <c r="B1817" s="8"/>
      <c r="C1817" s="8"/>
      <c r="D1817" s="151"/>
      <c r="E1817" s="151"/>
      <c r="F1817" s="24"/>
      <c r="G1817" s="30"/>
      <c r="H1817" s="81"/>
      <c r="I1817" s="30"/>
      <c r="J1817" s="16"/>
      <c r="K1817" s="9"/>
      <c r="L1817" s="9"/>
      <c r="M1817" s="152"/>
      <c r="N1817" s="153"/>
      <c r="O1817" s="152"/>
      <c r="P1817" s="154"/>
      <c r="Q1817" s="152"/>
      <c r="R1817" s="9"/>
      <c r="Z1817" s="21"/>
      <c r="AA1817" s="162">
        <f>+$AD$5-Tabla2[[#This Row],[FECHA DE FACTURACIÓN]]</f>
        <v>45443</v>
      </c>
      <c r="AB1817" s="163" t="str">
        <f>+IF(Tabla2[[#This Row],[dias de credito]]&gt;=Tabla2[[#This Row],[PLAZO Días]],"venc", "No venc")</f>
        <v>venc</v>
      </c>
      <c r="AC1817" s="163" t="str">
        <f>+IF(Tabla2[[#This Row],[FECHA DE PAGO]]&gt;0,"pagada","por pagar")</f>
        <v>por pagar</v>
      </c>
      <c r="AD1817" s="164" t="str">
        <f>+IF(AND(Tabla2[[#This Row],[venc]]="venc",Tabla2[[#This Row],[estado pago]]="por pagar"),"vencida","no")</f>
        <v>vencida</v>
      </c>
    </row>
    <row r="1818" spans="1:30" ht="19.5" hidden="1" customHeight="1" x14ac:dyDescent="0.25">
      <c r="A1818" s="8"/>
      <c r="B1818" s="8"/>
      <c r="C1818" s="8"/>
      <c r="D1818" s="151"/>
      <c r="E1818" s="151"/>
      <c r="F1818" s="24"/>
      <c r="G1818" s="30"/>
      <c r="H1818" s="81"/>
      <c r="I1818" s="30"/>
      <c r="J1818" s="16"/>
      <c r="K1818" s="9"/>
      <c r="L1818" s="9"/>
      <c r="M1818" s="152"/>
      <c r="N1818" s="153"/>
      <c r="O1818" s="152"/>
      <c r="P1818" s="154"/>
      <c r="Q1818" s="152"/>
      <c r="R1818" s="9"/>
      <c r="Z1818" s="21"/>
      <c r="AA1818" s="162">
        <f>+$AD$5-Tabla2[[#This Row],[FECHA DE FACTURACIÓN]]</f>
        <v>45443</v>
      </c>
      <c r="AB1818" s="163" t="str">
        <f>+IF(Tabla2[[#This Row],[dias de credito]]&gt;=Tabla2[[#This Row],[PLAZO Días]],"venc", "No venc")</f>
        <v>venc</v>
      </c>
      <c r="AC1818" s="163" t="str">
        <f>+IF(Tabla2[[#This Row],[FECHA DE PAGO]]&gt;0,"pagada","por pagar")</f>
        <v>por pagar</v>
      </c>
      <c r="AD1818" s="164" t="str">
        <f>+IF(AND(Tabla2[[#This Row],[venc]]="venc",Tabla2[[#This Row],[estado pago]]="por pagar"),"vencida","no")</f>
        <v>vencida</v>
      </c>
    </row>
    <row r="1819" spans="1:30" ht="19.5" hidden="1" customHeight="1" x14ac:dyDescent="0.25">
      <c r="A1819" s="8"/>
      <c r="B1819" s="8"/>
      <c r="C1819" s="8"/>
      <c r="D1819" s="151"/>
      <c r="E1819" s="151"/>
      <c r="F1819" s="24"/>
      <c r="G1819" s="30"/>
      <c r="H1819" s="81"/>
      <c r="I1819" s="30"/>
      <c r="J1819" s="16"/>
      <c r="K1819" s="9"/>
      <c r="L1819" s="9"/>
      <c r="M1819" s="152"/>
      <c r="N1819" s="153"/>
      <c r="O1819" s="152"/>
      <c r="P1819" s="154"/>
      <c r="Q1819" s="152"/>
      <c r="R1819" s="9"/>
      <c r="Z1819" s="21"/>
      <c r="AA1819" s="162">
        <f>+$AD$5-Tabla2[[#This Row],[FECHA DE FACTURACIÓN]]</f>
        <v>45443</v>
      </c>
      <c r="AB1819" s="163" t="str">
        <f>+IF(Tabla2[[#This Row],[dias de credito]]&gt;=Tabla2[[#This Row],[PLAZO Días]],"venc", "No venc")</f>
        <v>venc</v>
      </c>
      <c r="AC1819" s="163" t="str">
        <f>+IF(Tabla2[[#This Row],[FECHA DE PAGO]]&gt;0,"pagada","por pagar")</f>
        <v>por pagar</v>
      </c>
      <c r="AD1819" s="164" t="str">
        <f>+IF(AND(Tabla2[[#This Row],[venc]]="venc",Tabla2[[#This Row],[estado pago]]="por pagar"),"vencida","no")</f>
        <v>vencida</v>
      </c>
    </row>
    <row r="1820" spans="1:30" ht="19.5" hidden="1" customHeight="1" x14ac:dyDescent="0.25">
      <c r="A1820" s="8"/>
      <c r="B1820" s="8"/>
      <c r="C1820" s="8"/>
      <c r="D1820" s="151"/>
      <c r="E1820" s="151"/>
      <c r="F1820" s="24"/>
      <c r="G1820" s="30"/>
      <c r="H1820" s="81"/>
      <c r="I1820" s="30"/>
      <c r="J1820" s="16"/>
      <c r="K1820" s="9"/>
      <c r="L1820" s="9"/>
      <c r="M1820" s="152"/>
      <c r="N1820" s="153"/>
      <c r="O1820" s="152"/>
      <c r="P1820" s="154"/>
      <c r="Q1820" s="152"/>
      <c r="R1820" s="9"/>
      <c r="Z1820" s="21"/>
      <c r="AA1820" s="162">
        <f>+$AD$5-Tabla2[[#This Row],[FECHA DE FACTURACIÓN]]</f>
        <v>45443</v>
      </c>
      <c r="AB1820" s="163" t="str">
        <f>+IF(Tabla2[[#This Row],[dias de credito]]&gt;=Tabla2[[#This Row],[PLAZO Días]],"venc", "No venc")</f>
        <v>venc</v>
      </c>
      <c r="AC1820" s="163" t="str">
        <f>+IF(Tabla2[[#This Row],[FECHA DE PAGO]]&gt;0,"pagada","por pagar")</f>
        <v>por pagar</v>
      </c>
      <c r="AD1820" s="164" t="str">
        <f>+IF(AND(Tabla2[[#This Row],[venc]]="venc",Tabla2[[#This Row],[estado pago]]="por pagar"),"vencida","no")</f>
        <v>vencida</v>
      </c>
    </row>
    <row r="1821" spans="1:30" ht="19.5" hidden="1" customHeight="1" x14ac:dyDescent="0.25">
      <c r="A1821" s="8"/>
      <c r="B1821" s="8"/>
      <c r="C1821" s="8"/>
      <c r="D1821" s="151"/>
      <c r="E1821" s="151"/>
      <c r="F1821" s="24"/>
      <c r="G1821" s="30"/>
      <c r="H1821" s="81"/>
      <c r="I1821" s="30"/>
      <c r="J1821" s="16"/>
      <c r="K1821" s="9"/>
      <c r="L1821" s="9"/>
      <c r="M1821" s="152"/>
      <c r="N1821" s="153"/>
      <c r="O1821" s="152"/>
      <c r="P1821" s="154"/>
      <c r="Q1821" s="152"/>
      <c r="R1821" s="9"/>
      <c r="Z1821" s="21"/>
      <c r="AA1821" s="162">
        <f>+$AD$5-Tabla2[[#This Row],[FECHA DE FACTURACIÓN]]</f>
        <v>45443</v>
      </c>
      <c r="AB1821" s="163" t="str">
        <f>+IF(Tabla2[[#This Row],[dias de credito]]&gt;=Tabla2[[#This Row],[PLAZO Días]],"venc", "No venc")</f>
        <v>venc</v>
      </c>
      <c r="AC1821" s="163" t="str">
        <f>+IF(Tabla2[[#This Row],[FECHA DE PAGO]]&gt;0,"pagada","por pagar")</f>
        <v>por pagar</v>
      </c>
      <c r="AD1821" s="164" t="str">
        <f>+IF(AND(Tabla2[[#This Row],[venc]]="venc",Tabla2[[#This Row],[estado pago]]="por pagar"),"vencida","no")</f>
        <v>vencida</v>
      </c>
    </row>
    <row r="1822" spans="1:30" ht="19.5" hidden="1" customHeight="1" x14ac:dyDescent="0.25">
      <c r="A1822" s="8"/>
      <c r="B1822" s="8"/>
      <c r="C1822" s="8"/>
      <c r="D1822" s="151"/>
      <c r="E1822" s="151"/>
      <c r="F1822" s="24"/>
      <c r="G1822" s="30"/>
      <c r="H1822" s="81"/>
      <c r="I1822" s="30"/>
      <c r="J1822" s="16"/>
      <c r="K1822" s="9"/>
      <c r="L1822" s="9"/>
      <c r="M1822" s="152"/>
      <c r="N1822" s="153"/>
      <c r="O1822" s="152"/>
      <c r="P1822" s="154"/>
      <c r="Q1822" s="152"/>
      <c r="R1822" s="9"/>
      <c r="Z1822" s="21"/>
      <c r="AA1822" s="162">
        <f>+$AD$5-Tabla2[[#This Row],[FECHA DE FACTURACIÓN]]</f>
        <v>45443</v>
      </c>
      <c r="AB1822" s="163" t="str">
        <f>+IF(Tabla2[[#This Row],[dias de credito]]&gt;=Tabla2[[#This Row],[PLAZO Días]],"venc", "No venc")</f>
        <v>venc</v>
      </c>
      <c r="AC1822" s="163" t="str">
        <f>+IF(Tabla2[[#This Row],[FECHA DE PAGO]]&gt;0,"pagada","por pagar")</f>
        <v>por pagar</v>
      </c>
      <c r="AD1822" s="164" t="str">
        <f>+IF(AND(Tabla2[[#This Row],[venc]]="venc",Tabla2[[#This Row],[estado pago]]="por pagar"),"vencida","no")</f>
        <v>vencida</v>
      </c>
    </row>
    <row r="1823" spans="1:30" ht="19.5" hidden="1" customHeight="1" x14ac:dyDescent="0.25">
      <c r="A1823" s="8"/>
      <c r="B1823" s="8"/>
      <c r="C1823" s="8"/>
      <c r="D1823" s="151"/>
      <c r="E1823" s="151"/>
      <c r="F1823" s="24"/>
      <c r="G1823" s="30"/>
      <c r="H1823" s="81"/>
      <c r="I1823" s="30"/>
      <c r="J1823" s="16"/>
      <c r="K1823" s="9"/>
      <c r="L1823" s="9"/>
      <c r="M1823" s="152"/>
      <c r="N1823" s="153"/>
      <c r="O1823" s="152"/>
      <c r="P1823" s="154"/>
      <c r="Q1823" s="152"/>
      <c r="R1823" s="9"/>
      <c r="Z1823" s="21"/>
      <c r="AA1823" s="162">
        <f>+$AD$5-Tabla2[[#This Row],[FECHA DE FACTURACIÓN]]</f>
        <v>45443</v>
      </c>
      <c r="AB1823" s="163" t="str">
        <f>+IF(Tabla2[[#This Row],[dias de credito]]&gt;=Tabla2[[#This Row],[PLAZO Días]],"venc", "No venc")</f>
        <v>venc</v>
      </c>
      <c r="AC1823" s="163" t="str">
        <f>+IF(Tabla2[[#This Row],[FECHA DE PAGO]]&gt;0,"pagada","por pagar")</f>
        <v>por pagar</v>
      </c>
      <c r="AD1823" s="164" t="str">
        <f>+IF(AND(Tabla2[[#This Row],[venc]]="venc",Tabla2[[#This Row],[estado pago]]="por pagar"),"vencida","no")</f>
        <v>vencida</v>
      </c>
    </row>
    <row r="1824" spans="1:30" ht="19.5" hidden="1" customHeight="1" x14ac:dyDescent="0.25">
      <c r="A1824" s="8"/>
      <c r="B1824" s="8"/>
      <c r="C1824" s="8"/>
      <c r="D1824" s="151"/>
      <c r="E1824" s="151"/>
      <c r="F1824" s="24"/>
      <c r="G1824" s="30"/>
      <c r="H1824" s="81"/>
      <c r="I1824" s="30"/>
      <c r="J1824" s="16"/>
      <c r="K1824" s="9"/>
      <c r="L1824" s="9"/>
      <c r="M1824" s="152"/>
      <c r="N1824" s="153"/>
      <c r="O1824" s="152"/>
      <c r="P1824" s="154"/>
      <c r="Q1824" s="152"/>
      <c r="R1824" s="9"/>
      <c r="Z1824" s="21"/>
      <c r="AA1824" s="162">
        <f>+$AD$5-Tabla2[[#This Row],[FECHA DE FACTURACIÓN]]</f>
        <v>45443</v>
      </c>
      <c r="AB1824" s="163" t="str">
        <f>+IF(Tabla2[[#This Row],[dias de credito]]&gt;=Tabla2[[#This Row],[PLAZO Días]],"venc", "No venc")</f>
        <v>venc</v>
      </c>
      <c r="AC1824" s="163" t="str">
        <f>+IF(Tabla2[[#This Row],[FECHA DE PAGO]]&gt;0,"pagada","por pagar")</f>
        <v>por pagar</v>
      </c>
      <c r="AD1824" s="164" t="str">
        <f>+IF(AND(Tabla2[[#This Row],[venc]]="venc",Tabla2[[#This Row],[estado pago]]="por pagar"),"vencida","no")</f>
        <v>vencida</v>
      </c>
    </row>
    <row r="1825" spans="1:30" ht="19.5" hidden="1" customHeight="1" x14ac:dyDescent="0.25">
      <c r="A1825" s="8"/>
      <c r="B1825" s="8"/>
      <c r="C1825" s="8"/>
      <c r="D1825" s="151"/>
      <c r="E1825" s="151"/>
      <c r="F1825" s="24"/>
      <c r="G1825" s="30"/>
      <c r="H1825" s="81"/>
      <c r="I1825" s="30"/>
      <c r="J1825" s="16"/>
      <c r="K1825" s="9"/>
      <c r="L1825" s="9"/>
      <c r="M1825" s="152"/>
      <c r="N1825" s="153"/>
      <c r="O1825" s="152"/>
      <c r="P1825" s="154"/>
      <c r="Q1825" s="152"/>
      <c r="R1825" s="9"/>
      <c r="Z1825" s="21"/>
      <c r="AA1825" s="162">
        <f>+$AD$5-Tabla2[[#This Row],[FECHA DE FACTURACIÓN]]</f>
        <v>45443</v>
      </c>
      <c r="AB1825" s="163" t="str">
        <f>+IF(Tabla2[[#This Row],[dias de credito]]&gt;=Tabla2[[#This Row],[PLAZO Días]],"venc", "No venc")</f>
        <v>venc</v>
      </c>
      <c r="AC1825" s="163" t="str">
        <f>+IF(Tabla2[[#This Row],[FECHA DE PAGO]]&gt;0,"pagada","por pagar")</f>
        <v>por pagar</v>
      </c>
      <c r="AD1825" s="164" t="str">
        <f>+IF(AND(Tabla2[[#This Row],[venc]]="venc",Tabla2[[#This Row],[estado pago]]="por pagar"),"vencida","no")</f>
        <v>vencida</v>
      </c>
    </row>
    <row r="1826" spans="1:30" ht="19.5" hidden="1" customHeight="1" x14ac:dyDescent="0.25">
      <c r="A1826" s="8"/>
      <c r="B1826" s="8"/>
      <c r="C1826" s="8"/>
      <c r="D1826" s="151"/>
      <c r="E1826" s="151"/>
      <c r="F1826" s="24"/>
      <c r="G1826" s="30"/>
      <c r="H1826" s="81"/>
      <c r="I1826" s="30"/>
      <c r="J1826" s="16"/>
      <c r="K1826" s="9"/>
      <c r="L1826" s="9"/>
      <c r="M1826" s="152"/>
      <c r="N1826" s="153"/>
      <c r="O1826" s="152"/>
      <c r="P1826" s="154"/>
      <c r="Q1826" s="152"/>
      <c r="R1826" s="9"/>
      <c r="Z1826" s="21"/>
      <c r="AA1826" s="162">
        <f>+$AD$5-Tabla2[[#This Row],[FECHA DE FACTURACIÓN]]</f>
        <v>45443</v>
      </c>
      <c r="AB1826" s="163" t="str">
        <f>+IF(Tabla2[[#This Row],[dias de credito]]&gt;=Tabla2[[#This Row],[PLAZO Días]],"venc", "No venc")</f>
        <v>venc</v>
      </c>
      <c r="AC1826" s="163" t="str">
        <f>+IF(Tabla2[[#This Row],[FECHA DE PAGO]]&gt;0,"pagada","por pagar")</f>
        <v>por pagar</v>
      </c>
      <c r="AD1826" s="164" t="str">
        <f>+IF(AND(Tabla2[[#This Row],[venc]]="venc",Tabla2[[#This Row],[estado pago]]="por pagar"),"vencida","no")</f>
        <v>vencida</v>
      </c>
    </row>
    <row r="1827" spans="1:30" ht="19.5" hidden="1" customHeight="1" x14ac:dyDescent="0.25">
      <c r="A1827" s="8"/>
      <c r="B1827" s="8"/>
      <c r="C1827" s="8"/>
      <c r="D1827" s="151"/>
      <c r="E1827" s="151"/>
      <c r="F1827" s="24"/>
      <c r="G1827" s="30"/>
      <c r="H1827" s="81"/>
      <c r="I1827" s="30"/>
      <c r="J1827" s="16"/>
      <c r="K1827" s="9"/>
      <c r="L1827" s="9"/>
      <c r="M1827" s="152"/>
      <c r="N1827" s="153"/>
      <c r="O1827" s="152"/>
      <c r="P1827" s="154"/>
      <c r="Q1827" s="152"/>
      <c r="R1827" s="9"/>
      <c r="Z1827" s="21"/>
      <c r="AA1827" s="162">
        <f>+$AD$5-Tabla2[[#This Row],[FECHA DE FACTURACIÓN]]</f>
        <v>45443</v>
      </c>
      <c r="AB1827" s="163" t="str">
        <f>+IF(Tabla2[[#This Row],[dias de credito]]&gt;=Tabla2[[#This Row],[PLAZO Días]],"venc", "No venc")</f>
        <v>venc</v>
      </c>
      <c r="AC1827" s="163" t="str">
        <f>+IF(Tabla2[[#This Row],[FECHA DE PAGO]]&gt;0,"pagada","por pagar")</f>
        <v>por pagar</v>
      </c>
      <c r="AD1827" s="164" t="str">
        <f>+IF(AND(Tabla2[[#This Row],[venc]]="venc",Tabla2[[#This Row],[estado pago]]="por pagar"),"vencida","no")</f>
        <v>vencida</v>
      </c>
    </row>
    <row r="1828" spans="1:30" ht="19.5" hidden="1" customHeight="1" x14ac:dyDescent="0.25">
      <c r="A1828" s="8"/>
      <c r="B1828" s="8"/>
      <c r="C1828" s="8"/>
      <c r="D1828" s="151"/>
      <c r="E1828" s="151"/>
      <c r="F1828" s="24"/>
      <c r="G1828" s="30"/>
      <c r="H1828" s="81"/>
      <c r="I1828" s="30"/>
      <c r="J1828" s="16"/>
      <c r="K1828" s="9"/>
      <c r="L1828" s="9"/>
      <c r="M1828" s="152"/>
      <c r="N1828" s="153"/>
      <c r="O1828" s="152"/>
      <c r="P1828" s="154"/>
      <c r="Q1828" s="152"/>
      <c r="R1828" s="9"/>
      <c r="Z1828" s="21"/>
      <c r="AA1828" s="162">
        <f>+$AD$5-Tabla2[[#This Row],[FECHA DE FACTURACIÓN]]</f>
        <v>45443</v>
      </c>
      <c r="AB1828" s="163" t="str">
        <f>+IF(Tabla2[[#This Row],[dias de credito]]&gt;=Tabla2[[#This Row],[PLAZO Días]],"venc", "No venc")</f>
        <v>venc</v>
      </c>
      <c r="AC1828" s="163" t="str">
        <f>+IF(Tabla2[[#This Row],[FECHA DE PAGO]]&gt;0,"pagada","por pagar")</f>
        <v>por pagar</v>
      </c>
      <c r="AD1828" s="164" t="str">
        <f>+IF(AND(Tabla2[[#This Row],[venc]]="venc",Tabla2[[#This Row],[estado pago]]="por pagar"),"vencida","no")</f>
        <v>vencida</v>
      </c>
    </row>
    <row r="1829" spans="1:30" ht="19.5" hidden="1" customHeight="1" x14ac:dyDescent="0.25">
      <c r="A1829" s="8"/>
      <c r="B1829" s="8"/>
      <c r="C1829" s="8"/>
      <c r="D1829" s="151"/>
      <c r="E1829" s="151"/>
      <c r="F1829" s="24"/>
      <c r="G1829" s="30"/>
      <c r="H1829" s="81"/>
      <c r="I1829" s="30"/>
      <c r="J1829" s="16"/>
      <c r="K1829" s="9"/>
      <c r="L1829" s="9"/>
      <c r="M1829" s="152"/>
      <c r="N1829" s="153"/>
      <c r="O1829" s="152"/>
      <c r="P1829" s="154"/>
      <c r="Q1829" s="152"/>
      <c r="R1829" s="9"/>
      <c r="Z1829" s="21"/>
      <c r="AA1829" s="162">
        <f>+$AD$5-Tabla2[[#This Row],[FECHA DE FACTURACIÓN]]</f>
        <v>45443</v>
      </c>
      <c r="AB1829" s="163" t="str">
        <f>+IF(Tabla2[[#This Row],[dias de credito]]&gt;=Tabla2[[#This Row],[PLAZO Días]],"venc", "No venc")</f>
        <v>venc</v>
      </c>
      <c r="AC1829" s="163" t="str">
        <f>+IF(Tabla2[[#This Row],[FECHA DE PAGO]]&gt;0,"pagada","por pagar")</f>
        <v>por pagar</v>
      </c>
      <c r="AD1829" s="164" t="str">
        <f>+IF(AND(Tabla2[[#This Row],[venc]]="venc",Tabla2[[#This Row],[estado pago]]="por pagar"),"vencida","no")</f>
        <v>vencida</v>
      </c>
    </row>
    <row r="1830" spans="1:30" ht="19.5" hidden="1" customHeight="1" x14ac:dyDescent="0.25">
      <c r="A1830" s="8"/>
      <c r="B1830" s="8"/>
      <c r="C1830" s="8"/>
      <c r="D1830" s="151"/>
      <c r="E1830" s="151"/>
      <c r="F1830" s="24"/>
      <c r="G1830" s="30"/>
      <c r="H1830" s="81"/>
      <c r="I1830" s="30"/>
      <c r="J1830" s="16"/>
      <c r="K1830" s="9"/>
      <c r="L1830" s="9"/>
      <c r="M1830" s="152"/>
      <c r="N1830" s="153"/>
      <c r="O1830" s="152"/>
      <c r="P1830" s="154"/>
      <c r="Q1830" s="152"/>
      <c r="R1830" s="9"/>
      <c r="Z1830" s="21"/>
      <c r="AA1830" s="162">
        <f>+$AD$5-Tabla2[[#This Row],[FECHA DE FACTURACIÓN]]</f>
        <v>45443</v>
      </c>
      <c r="AB1830" s="163" t="str">
        <f>+IF(Tabla2[[#This Row],[dias de credito]]&gt;=Tabla2[[#This Row],[PLAZO Días]],"venc", "No venc")</f>
        <v>venc</v>
      </c>
      <c r="AC1830" s="163" t="str">
        <f>+IF(Tabla2[[#This Row],[FECHA DE PAGO]]&gt;0,"pagada","por pagar")</f>
        <v>por pagar</v>
      </c>
      <c r="AD1830" s="164" t="str">
        <f>+IF(AND(Tabla2[[#This Row],[venc]]="venc",Tabla2[[#This Row],[estado pago]]="por pagar"),"vencida","no")</f>
        <v>vencida</v>
      </c>
    </row>
    <row r="1831" spans="1:30" ht="19.5" hidden="1" customHeight="1" x14ac:dyDescent="0.25">
      <c r="A1831" s="8"/>
      <c r="B1831" s="8"/>
      <c r="C1831" s="8"/>
      <c r="D1831" s="151"/>
      <c r="E1831" s="151"/>
      <c r="F1831" s="24"/>
      <c r="G1831" s="30"/>
      <c r="H1831" s="81"/>
      <c r="I1831" s="30"/>
      <c r="J1831" s="16"/>
      <c r="K1831" s="9"/>
      <c r="L1831" s="9"/>
      <c r="M1831" s="152"/>
      <c r="N1831" s="153"/>
      <c r="O1831" s="152"/>
      <c r="P1831" s="154"/>
      <c r="Q1831" s="152"/>
      <c r="R1831" s="9"/>
      <c r="Z1831" s="21"/>
      <c r="AA1831" s="162">
        <f>+$AD$5-Tabla2[[#This Row],[FECHA DE FACTURACIÓN]]</f>
        <v>45443</v>
      </c>
      <c r="AB1831" s="163" t="str">
        <f>+IF(Tabla2[[#This Row],[dias de credito]]&gt;=Tabla2[[#This Row],[PLAZO Días]],"venc", "No venc")</f>
        <v>venc</v>
      </c>
      <c r="AC1831" s="163" t="str">
        <f>+IF(Tabla2[[#This Row],[FECHA DE PAGO]]&gt;0,"pagada","por pagar")</f>
        <v>por pagar</v>
      </c>
      <c r="AD1831" s="164" t="str">
        <f>+IF(AND(Tabla2[[#This Row],[venc]]="venc",Tabla2[[#This Row],[estado pago]]="por pagar"),"vencida","no")</f>
        <v>vencida</v>
      </c>
    </row>
    <row r="1832" spans="1:30" ht="19.5" hidden="1" customHeight="1" x14ac:dyDescent="0.25">
      <c r="A1832" s="8"/>
      <c r="B1832" s="8"/>
      <c r="C1832" s="8"/>
      <c r="D1832" s="151"/>
      <c r="E1832" s="151"/>
      <c r="F1832" s="24"/>
      <c r="G1832" s="30"/>
      <c r="H1832" s="81"/>
      <c r="I1832" s="30"/>
      <c r="J1832" s="16"/>
      <c r="K1832" s="9"/>
      <c r="L1832" s="9"/>
      <c r="M1832" s="152"/>
      <c r="N1832" s="153"/>
      <c r="O1832" s="152"/>
      <c r="P1832" s="154"/>
      <c r="Q1832" s="152"/>
      <c r="R1832" s="9"/>
      <c r="Z1832" s="21"/>
      <c r="AA1832" s="162">
        <f>+$AD$5-Tabla2[[#This Row],[FECHA DE FACTURACIÓN]]</f>
        <v>45443</v>
      </c>
      <c r="AB1832" s="163" t="str">
        <f>+IF(Tabla2[[#This Row],[dias de credito]]&gt;=Tabla2[[#This Row],[PLAZO Días]],"venc", "No venc")</f>
        <v>venc</v>
      </c>
      <c r="AC1832" s="163" t="str">
        <f>+IF(Tabla2[[#This Row],[FECHA DE PAGO]]&gt;0,"pagada","por pagar")</f>
        <v>por pagar</v>
      </c>
      <c r="AD1832" s="164" t="str">
        <f>+IF(AND(Tabla2[[#This Row],[venc]]="venc",Tabla2[[#This Row],[estado pago]]="por pagar"),"vencida","no")</f>
        <v>vencida</v>
      </c>
    </row>
    <row r="1833" spans="1:30" ht="19.5" hidden="1" customHeight="1" x14ac:dyDescent="0.25">
      <c r="A1833" s="8"/>
      <c r="B1833" s="8"/>
      <c r="C1833" s="8"/>
      <c r="D1833" s="151"/>
      <c r="E1833" s="151"/>
      <c r="F1833" s="24"/>
      <c r="G1833" s="30"/>
      <c r="H1833" s="81"/>
      <c r="I1833" s="30"/>
      <c r="J1833" s="16"/>
      <c r="K1833" s="9"/>
      <c r="L1833" s="9"/>
      <c r="M1833" s="152"/>
      <c r="N1833" s="153"/>
      <c r="O1833" s="152"/>
      <c r="P1833" s="154"/>
      <c r="Q1833" s="152"/>
      <c r="R1833" s="9"/>
      <c r="Z1833" s="21"/>
      <c r="AA1833" s="162">
        <f>+$AD$5-Tabla2[[#This Row],[FECHA DE FACTURACIÓN]]</f>
        <v>45443</v>
      </c>
      <c r="AB1833" s="163" t="str">
        <f>+IF(Tabla2[[#This Row],[dias de credito]]&gt;=Tabla2[[#This Row],[PLAZO Días]],"venc", "No venc")</f>
        <v>venc</v>
      </c>
      <c r="AC1833" s="163" t="str">
        <f>+IF(Tabla2[[#This Row],[FECHA DE PAGO]]&gt;0,"pagada","por pagar")</f>
        <v>por pagar</v>
      </c>
      <c r="AD1833" s="164" t="str">
        <f>+IF(AND(Tabla2[[#This Row],[venc]]="venc",Tabla2[[#This Row],[estado pago]]="por pagar"),"vencida","no")</f>
        <v>vencida</v>
      </c>
    </row>
    <row r="1834" spans="1:30" ht="19.5" hidden="1" customHeight="1" x14ac:dyDescent="0.25">
      <c r="A1834" s="8"/>
      <c r="B1834" s="8"/>
      <c r="C1834" s="8"/>
      <c r="D1834" s="151"/>
      <c r="E1834" s="151"/>
      <c r="F1834" s="24"/>
      <c r="G1834" s="30"/>
      <c r="H1834" s="81"/>
      <c r="I1834" s="30"/>
      <c r="J1834" s="16"/>
      <c r="K1834" s="9"/>
      <c r="L1834" s="9"/>
      <c r="M1834" s="152"/>
      <c r="N1834" s="153"/>
      <c r="O1834" s="152"/>
      <c r="P1834" s="154"/>
      <c r="Q1834" s="152"/>
      <c r="R1834" s="9"/>
      <c r="Z1834" s="21"/>
      <c r="AA1834" s="162">
        <f>+$AD$5-Tabla2[[#This Row],[FECHA DE FACTURACIÓN]]</f>
        <v>45443</v>
      </c>
      <c r="AB1834" s="163" t="str">
        <f>+IF(Tabla2[[#This Row],[dias de credito]]&gt;=Tabla2[[#This Row],[PLAZO Días]],"venc", "No venc")</f>
        <v>venc</v>
      </c>
      <c r="AC1834" s="163" t="str">
        <f>+IF(Tabla2[[#This Row],[FECHA DE PAGO]]&gt;0,"pagada","por pagar")</f>
        <v>por pagar</v>
      </c>
      <c r="AD1834" s="164" t="str">
        <f>+IF(AND(Tabla2[[#This Row],[venc]]="venc",Tabla2[[#This Row],[estado pago]]="por pagar"),"vencida","no")</f>
        <v>vencida</v>
      </c>
    </row>
    <row r="1835" spans="1:30" ht="19.5" hidden="1" customHeight="1" x14ac:dyDescent="0.25">
      <c r="A1835" s="8"/>
      <c r="B1835" s="8"/>
      <c r="C1835" s="8"/>
      <c r="D1835" s="151"/>
      <c r="E1835" s="151"/>
      <c r="F1835" s="24"/>
      <c r="G1835" s="30"/>
      <c r="H1835" s="81"/>
      <c r="I1835" s="30"/>
      <c r="J1835" s="16"/>
      <c r="K1835" s="9"/>
      <c r="L1835" s="9"/>
      <c r="M1835" s="152"/>
      <c r="N1835" s="153"/>
      <c r="O1835" s="152"/>
      <c r="P1835" s="154"/>
      <c r="Q1835" s="152"/>
      <c r="R1835" s="9"/>
      <c r="Z1835" s="21"/>
      <c r="AA1835" s="162">
        <f>+$AD$5-Tabla2[[#This Row],[FECHA DE FACTURACIÓN]]</f>
        <v>45443</v>
      </c>
      <c r="AB1835" s="163" t="str">
        <f>+IF(Tabla2[[#This Row],[dias de credito]]&gt;=Tabla2[[#This Row],[PLAZO Días]],"venc", "No venc")</f>
        <v>venc</v>
      </c>
      <c r="AC1835" s="163" t="str">
        <f>+IF(Tabla2[[#This Row],[FECHA DE PAGO]]&gt;0,"pagada","por pagar")</f>
        <v>por pagar</v>
      </c>
      <c r="AD1835" s="164" t="str">
        <f>+IF(AND(Tabla2[[#This Row],[venc]]="venc",Tabla2[[#This Row],[estado pago]]="por pagar"),"vencida","no")</f>
        <v>vencida</v>
      </c>
    </row>
    <row r="1836" spans="1:30" ht="19.5" hidden="1" customHeight="1" x14ac:dyDescent="0.25">
      <c r="A1836" s="8"/>
      <c r="B1836" s="8"/>
      <c r="C1836" s="8"/>
      <c r="D1836" s="151"/>
      <c r="E1836" s="151"/>
      <c r="F1836" s="24"/>
      <c r="G1836" s="30"/>
      <c r="H1836" s="81"/>
      <c r="I1836" s="30"/>
      <c r="J1836" s="16"/>
      <c r="K1836" s="9"/>
      <c r="L1836" s="9"/>
      <c r="M1836" s="152"/>
      <c r="N1836" s="153"/>
      <c r="O1836" s="152"/>
      <c r="P1836" s="154"/>
      <c r="Q1836" s="152"/>
      <c r="R1836" s="9"/>
      <c r="Z1836" s="21"/>
      <c r="AA1836" s="162">
        <f>+$AD$5-Tabla2[[#This Row],[FECHA DE FACTURACIÓN]]</f>
        <v>45443</v>
      </c>
      <c r="AB1836" s="163" t="str">
        <f>+IF(Tabla2[[#This Row],[dias de credito]]&gt;=Tabla2[[#This Row],[PLAZO Días]],"venc", "No venc")</f>
        <v>venc</v>
      </c>
      <c r="AC1836" s="163" t="str">
        <f>+IF(Tabla2[[#This Row],[FECHA DE PAGO]]&gt;0,"pagada","por pagar")</f>
        <v>por pagar</v>
      </c>
      <c r="AD1836" s="164" t="str">
        <f>+IF(AND(Tabla2[[#This Row],[venc]]="venc",Tabla2[[#This Row],[estado pago]]="por pagar"),"vencida","no")</f>
        <v>vencida</v>
      </c>
    </row>
    <row r="1837" spans="1:30" ht="19.5" hidden="1" customHeight="1" x14ac:dyDescent="0.25">
      <c r="A1837" s="8"/>
      <c r="B1837" s="8"/>
      <c r="C1837" s="8"/>
      <c r="D1837" s="151"/>
      <c r="E1837" s="151"/>
      <c r="F1837" s="24"/>
      <c r="G1837" s="30"/>
      <c r="H1837" s="81"/>
      <c r="I1837" s="30"/>
      <c r="J1837" s="16"/>
      <c r="K1837" s="9"/>
      <c r="L1837" s="9"/>
      <c r="M1837" s="152"/>
      <c r="N1837" s="153"/>
      <c r="O1837" s="152"/>
      <c r="P1837" s="154"/>
      <c r="Q1837" s="152"/>
      <c r="R1837" s="9"/>
      <c r="Z1837" s="21"/>
      <c r="AA1837" s="162">
        <f>+$AD$5-Tabla2[[#This Row],[FECHA DE FACTURACIÓN]]</f>
        <v>45443</v>
      </c>
      <c r="AB1837" s="163" t="str">
        <f>+IF(Tabla2[[#This Row],[dias de credito]]&gt;=Tabla2[[#This Row],[PLAZO Días]],"venc", "No venc")</f>
        <v>venc</v>
      </c>
      <c r="AC1837" s="163" t="str">
        <f>+IF(Tabla2[[#This Row],[FECHA DE PAGO]]&gt;0,"pagada","por pagar")</f>
        <v>por pagar</v>
      </c>
      <c r="AD1837" s="164" t="str">
        <f>+IF(AND(Tabla2[[#This Row],[venc]]="venc",Tabla2[[#This Row],[estado pago]]="por pagar"),"vencida","no")</f>
        <v>vencida</v>
      </c>
    </row>
    <row r="1838" spans="1:30" ht="19.5" hidden="1" customHeight="1" x14ac:dyDescent="0.25">
      <c r="A1838" s="8"/>
      <c r="B1838" s="8"/>
      <c r="C1838" s="8"/>
      <c r="D1838" s="151"/>
      <c r="E1838" s="151"/>
      <c r="F1838" s="24"/>
      <c r="G1838" s="30"/>
      <c r="H1838" s="81"/>
      <c r="I1838" s="30"/>
      <c r="J1838" s="16"/>
      <c r="K1838" s="9"/>
      <c r="L1838" s="9"/>
      <c r="M1838" s="152"/>
      <c r="N1838" s="153"/>
      <c r="O1838" s="152"/>
      <c r="P1838" s="154"/>
      <c r="Q1838" s="152"/>
      <c r="R1838" s="9"/>
      <c r="Z1838" s="21"/>
      <c r="AA1838" s="162">
        <f>+$AD$5-Tabla2[[#This Row],[FECHA DE FACTURACIÓN]]</f>
        <v>45443</v>
      </c>
      <c r="AB1838" s="163" t="str">
        <f>+IF(Tabla2[[#This Row],[dias de credito]]&gt;=Tabla2[[#This Row],[PLAZO Días]],"venc", "No venc")</f>
        <v>venc</v>
      </c>
      <c r="AC1838" s="163" t="str">
        <f>+IF(Tabla2[[#This Row],[FECHA DE PAGO]]&gt;0,"pagada","por pagar")</f>
        <v>por pagar</v>
      </c>
      <c r="AD1838" s="164" t="str">
        <f>+IF(AND(Tabla2[[#This Row],[venc]]="venc",Tabla2[[#This Row],[estado pago]]="por pagar"),"vencida","no")</f>
        <v>vencida</v>
      </c>
    </row>
    <row r="1839" spans="1:30" ht="19.5" hidden="1" customHeight="1" x14ac:dyDescent="0.25">
      <c r="A1839" s="8"/>
      <c r="B1839" s="8"/>
      <c r="C1839" s="8"/>
      <c r="D1839" s="151"/>
      <c r="E1839" s="151"/>
      <c r="F1839" s="24"/>
      <c r="G1839" s="30"/>
      <c r="H1839" s="81"/>
      <c r="I1839" s="30"/>
      <c r="J1839" s="16"/>
      <c r="K1839" s="9"/>
      <c r="L1839" s="9"/>
      <c r="M1839" s="152"/>
      <c r="N1839" s="153"/>
      <c r="O1839" s="152"/>
      <c r="P1839" s="154"/>
      <c r="Q1839" s="152"/>
      <c r="R1839" s="9"/>
      <c r="Z1839" s="21"/>
      <c r="AA1839" s="162">
        <f>+$AD$5-Tabla2[[#This Row],[FECHA DE FACTURACIÓN]]</f>
        <v>45443</v>
      </c>
      <c r="AB1839" s="163" t="str">
        <f>+IF(Tabla2[[#This Row],[dias de credito]]&gt;=Tabla2[[#This Row],[PLAZO Días]],"venc", "No venc")</f>
        <v>venc</v>
      </c>
      <c r="AC1839" s="163" t="str">
        <f>+IF(Tabla2[[#This Row],[FECHA DE PAGO]]&gt;0,"pagada","por pagar")</f>
        <v>por pagar</v>
      </c>
      <c r="AD1839" s="164" t="str">
        <f>+IF(AND(Tabla2[[#This Row],[venc]]="venc",Tabla2[[#This Row],[estado pago]]="por pagar"),"vencida","no")</f>
        <v>vencida</v>
      </c>
    </row>
    <row r="1840" spans="1:30" ht="19.5" hidden="1" customHeight="1" x14ac:dyDescent="0.25">
      <c r="A1840" s="8"/>
      <c r="B1840" s="8"/>
      <c r="C1840" s="8"/>
      <c r="D1840" s="151"/>
      <c r="E1840" s="151"/>
      <c r="F1840" s="24"/>
      <c r="G1840" s="30"/>
      <c r="H1840" s="81"/>
      <c r="I1840" s="30"/>
      <c r="J1840" s="16"/>
      <c r="K1840" s="9"/>
      <c r="L1840" s="9"/>
      <c r="M1840" s="152"/>
      <c r="N1840" s="153"/>
      <c r="O1840" s="152"/>
      <c r="P1840" s="154"/>
      <c r="Q1840" s="152"/>
      <c r="R1840" s="9"/>
      <c r="Z1840" s="21"/>
      <c r="AA1840" s="162">
        <f>+$AD$5-Tabla2[[#This Row],[FECHA DE FACTURACIÓN]]</f>
        <v>45443</v>
      </c>
      <c r="AB1840" s="163" t="str">
        <f>+IF(Tabla2[[#This Row],[dias de credito]]&gt;=Tabla2[[#This Row],[PLAZO Días]],"venc", "No venc")</f>
        <v>venc</v>
      </c>
      <c r="AC1840" s="163" t="str">
        <f>+IF(Tabla2[[#This Row],[FECHA DE PAGO]]&gt;0,"pagada","por pagar")</f>
        <v>por pagar</v>
      </c>
      <c r="AD1840" s="164" t="str">
        <f>+IF(AND(Tabla2[[#This Row],[venc]]="venc",Tabla2[[#This Row],[estado pago]]="por pagar"),"vencida","no")</f>
        <v>vencida</v>
      </c>
    </row>
    <row r="1841" spans="1:30" ht="19.5" hidden="1" customHeight="1" x14ac:dyDescent="0.25">
      <c r="A1841" s="8"/>
      <c r="B1841" s="8"/>
      <c r="C1841" s="8"/>
      <c r="D1841" s="151"/>
      <c r="E1841" s="151"/>
      <c r="F1841" s="24"/>
      <c r="G1841" s="30"/>
      <c r="H1841" s="81"/>
      <c r="I1841" s="30"/>
      <c r="J1841" s="16"/>
      <c r="K1841" s="9"/>
      <c r="L1841" s="9"/>
      <c r="M1841" s="152"/>
      <c r="N1841" s="153"/>
      <c r="O1841" s="152"/>
      <c r="P1841" s="154"/>
      <c r="Q1841" s="152"/>
      <c r="R1841" s="9"/>
      <c r="Z1841" s="21"/>
      <c r="AA1841" s="162">
        <f>+$AD$5-Tabla2[[#This Row],[FECHA DE FACTURACIÓN]]</f>
        <v>45443</v>
      </c>
      <c r="AB1841" s="163" t="str">
        <f>+IF(Tabla2[[#This Row],[dias de credito]]&gt;=Tabla2[[#This Row],[PLAZO Días]],"venc", "No venc")</f>
        <v>venc</v>
      </c>
      <c r="AC1841" s="163" t="str">
        <f>+IF(Tabla2[[#This Row],[FECHA DE PAGO]]&gt;0,"pagada","por pagar")</f>
        <v>por pagar</v>
      </c>
      <c r="AD1841" s="164" t="str">
        <f>+IF(AND(Tabla2[[#This Row],[venc]]="venc",Tabla2[[#This Row],[estado pago]]="por pagar"),"vencida","no")</f>
        <v>vencida</v>
      </c>
    </row>
    <row r="1842" spans="1:30" ht="19.5" hidden="1" customHeight="1" x14ac:dyDescent="0.25">
      <c r="A1842" s="8"/>
      <c r="B1842" s="8"/>
      <c r="C1842" s="8"/>
      <c r="D1842" s="151"/>
      <c r="E1842" s="151"/>
      <c r="F1842" s="24"/>
      <c r="G1842" s="30"/>
      <c r="H1842" s="81"/>
      <c r="I1842" s="30"/>
      <c r="J1842" s="16"/>
      <c r="K1842" s="9"/>
      <c r="L1842" s="9"/>
      <c r="M1842" s="152"/>
      <c r="N1842" s="153"/>
      <c r="O1842" s="152"/>
      <c r="P1842" s="154"/>
      <c r="Q1842" s="152"/>
      <c r="R1842" s="9"/>
      <c r="Z1842" s="21"/>
      <c r="AA1842" s="162">
        <f>+$AD$5-Tabla2[[#This Row],[FECHA DE FACTURACIÓN]]</f>
        <v>45443</v>
      </c>
      <c r="AB1842" s="163" t="str">
        <f>+IF(Tabla2[[#This Row],[dias de credito]]&gt;=Tabla2[[#This Row],[PLAZO Días]],"venc", "No venc")</f>
        <v>venc</v>
      </c>
      <c r="AC1842" s="163" t="str">
        <f>+IF(Tabla2[[#This Row],[FECHA DE PAGO]]&gt;0,"pagada","por pagar")</f>
        <v>por pagar</v>
      </c>
      <c r="AD1842" s="164" t="str">
        <f>+IF(AND(Tabla2[[#This Row],[venc]]="venc",Tabla2[[#This Row],[estado pago]]="por pagar"),"vencida","no")</f>
        <v>vencida</v>
      </c>
    </row>
    <row r="1843" spans="1:30" ht="19.5" hidden="1" customHeight="1" x14ac:dyDescent="0.25">
      <c r="A1843" s="8"/>
      <c r="B1843" s="8"/>
      <c r="C1843" s="8"/>
      <c r="D1843" s="151"/>
      <c r="E1843" s="151"/>
      <c r="F1843" s="24"/>
      <c r="G1843" s="30"/>
      <c r="H1843" s="81"/>
      <c r="I1843" s="30"/>
      <c r="J1843" s="16"/>
      <c r="K1843" s="9"/>
      <c r="L1843" s="9"/>
      <c r="M1843" s="152"/>
      <c r="N1843" s="153"/>
      <c r="O1843" s="152"/>
      <c r="P1843" s="154"/>
      <c r="Q1843" s="152"/>
      <c r="R1843" s="9"/>
      <c r="Z1843" s="21"/>
      <c r="AA1843" s="162">
        <f>+$AD$5-Tabla2[[#This Row],[FECHA DE FACTURACIÓN]]</f>
        <v>45443</v>
      </c>
      <c r="AB1843" s="163" t="str">
        <f>+IF(Tabla2[[#This Row],[dias de credito]]&gt;=Tabla2[[#This Row],[PLAZO Días]],"venc", "No venc")</f>
        <v>venc</v>
      </c>
      <c r="AC1843" s="163" t="str">
        <f>+IF(Tabla2[[#This Row],[FECHA DE PAGO]]&gt;0,"pagada","por pagar")</f>
        <v>por pagar</v>
      </c>
      <c r="AD1843" s="164" t="str">
        <f>+IF(AND(Tabla2[[#This Row],[venc]]="venc",Tabla2[[#This Row],[estado pago]]="por pagar"),"vencida","no")</f>
        <v>vencida</v>
      </c>
    </row>
    <row r="1844" spans="1:30" ht="19.5" hidden="1" customHeight="1" x14ac:dyDescent="0.25">
      <c r="A1844" s="8"/>
      <c r="B1844" s="8"/>
      <c r="C1844" s="8"/>
      <c r="D1844" s="151"/>
      <c r="E1844" s="151"/>
      <c r="F1844" s="24"/>
      <c r="G1844" s="30"/>
      <c r="H1844" s="81"/>
      <c r="I1844" s="30"/>
      <c r="J1844" s="16"/>
      <c r="K1844" s="9"/>
      <c r="L1844" s="9"/>
      <c r="M1844" s="152"/>
      <c r="N1844" s="153"/>
      <c r="O1844" s="152"/>
      <c r="P1844" s="154"/>
      <c r="Q1844" s="152"/>
      <c r="R1844" s="9"/>
      <c r="Z1844" s="21"/>
      <c r="AA1844" s="162">
        <f>+$AD$5-Tabla2[[#This Row],[FECHA DE FACTURACIÓN]]</f>
        <v>45443</v>
      </c>
      <c r="AB1844" s="163" t="str">
        <f>+IF(Tabla2[[#This Row],[dias de credito]]&gt;=Tabla2[[#This Row],[PLAZO Días]],"venc", "No venc")</f>
        <v>venc</v>
      </c>
      <c r="AC1844" s="163" t="str">
        <f>+IF(Tabla2[[#This Row],[FECHA DE PAGO]]&gt;0,"pagada","por pagar")</f>
        <v>por pagar</v>
      </c>
      <c r="AD1844" s="164" t="str">
        <f>+IF(AND(Tabla2[[#This Row],[venc]]="venc",Tabla2[[#This Row],[estado pago]]="por pagar"),"vencida","no")</f>
        <v>vencida</v>
      </c>
    </row>
    <row r="1845" spans="1:30" ht="19.5" hidden="1" customHeight="1" x14ac:dyDescent="0.25">
      <c r="A1845" s="8"/>
      <c r="B1845" s="8"/>
      <c r="C1845" s="8"/>
      <c r="D1845" s="151"/>
      <c r="E1845" s="151"/>
      <c r="F1845" s="24"/>
      <c r="G1845" s="30"/>
      <c r="H1845" s="81"/>
      <c r="I1845" s="30"/>
      <c r="J1845" s="16"/>
      <c r="K1845" s="9"/>
      <c r="L1845" s="9"/>
      <c r="M1845" s="152"/>
      <c r="N1845" s="153"/>
      <c r="O1845" s="152"/>
      <c r="P1845" s="154"/>
      <c r="Q1845" s="152"/>
      <c r="R1845" s="9"/>
      <c r="Z1845" s="21"/>
      <c r="AA1845" s="162">
        <f>+$AD$5-Tabla2[[#This Row],[FECHA DE FACTURACIÓN]]</f>
        <v>45443</v>
      </c>
      <c r="AB1845" s="163" t="str">
        <f>+IF(Tabla2[[#This Row],[dias de credito]]&gt;=Tabla2[[#This Row],[PLAZO Días]],"venc", "No venc")</f>
        <v>venc</v>
      </c>
      <c r="AC1845" s="163" t="str">
        <f>+IF(Tabla2[[#This Row],[FECHA DE PAGO]]&gt;0,"pagada","por pagar")</f>
        <v>por pagar</v>
      </c>
      <c r="AD1845" s="164" t="str">
        <f>+IF(AND(Tabla2[[#This Row],[venc]]="venc",Tabla2[[#This Row],[estado pago]]="por pagar"),"vencida","no")</f>
        <v>vencida</v>
      </c>
    </row>
    <row r="1846" spans="1:30" ht="19.5" hidden="1" customHeight="1" x14ac:dyDescent="0.25">
      <c r="A1846" s="8"/>
      <c r="B1846" s="8"/>
      <c r="C1846" s="8"/>
      <c r="D1846" s="151"/>
      <c r="E1846" s="151"/>
      <c r="F1846" s="24"/>
      <c r="G1846" s="30"/>
      <c r="H1846" s="81"/>
      <c r="I1846" s="30"/>
      <c r="J1846" s="16"/>
      <c r="K1846" s="9"/>
      <c r="L1846" s="9"/>
      <c r="M1846" s="152"/>
      <c r="N1846" s="153"/>
      <c r="O1846" s="152"/>
      <c r="P1846" s="154"/>
      <c r="Q1846" s="152"/>
      <c r="R1846" s="9"/>
      <c r="Z1846" s="21"/>
      <c r="AA1846" s="162">
        <f>+$AD$5-Tabla2[[#This Row],[FECHA DE FACTURACIÓN]]</f>
        <v>45443</v>
      </c>
      <c r="AB1846" s="163" t="str">
        <f>+IF(Tabla2[[#This Row],[dias de credito]]&gt;=Tabla2[[#This Row],[PLAZO Días]],"venc", "No venc")</f>
        <v>venc</v>
      </c>
      <c r="AC1846" s="163" t="str">
        <f>+IF(Tabla2[[#This Row],[FECHA DE PAGO]]&gt;0,"pagada","por pagar")</f>
        <v>por pagar</v>
      </c>
      <c r="AD1846" s="164" t="str">
        <f>+IF(AND(Tabla2[[#This Row],[venc]]="venc",Tabla2[[#This Row],[estado pago]]="por pagar"),"vencida","no")</f>
        <v>vencida</v>
      </c>
    </row>
    <row r="1847" spans="1:30" ht="19.5" hidden="1" customHeight="1" x14ac:dyDescent="0.25">
      <c r="A1847" s="8"/>
      <c r="B1847" s="8"/>
      <c r="C1847" s="8"/>
      <c r="D1847" s="151"/>
      <c r="E1847" s="151"/>
      <c r="F1847" s="24"/>
      <c r="G1847" s="30"/>
      <c r="H1847" s="81"/>
      <c r="I1847" s="30"/>
      <c r="J1847" s="16"/>
      <c r="K1847" s="9"/>
      <c r="L1847" s="9"/>
      <c r="M1847" s="152"/>
      <c r="N1847" s="153"/>
      <c r="O1847" s="152"/>
      <c r="P1847" s="154"/>
      <c r="Q1847" s="152"/>
      <c r="R1847" s="9"/>
      <c r="Z1847" s="21"/>
      <c r="AA1847" s="162">
        <f>+$AD$5-Tabla2[[#This Row],[FECHA DE FACTURACIÓN]]</f>
        <v>45443</v>
      </c>
      <c r="AB1847" s="163" t="str">
        <f>+IF(Tabla2[[#This Row],[dias de credito]]&gt;=Tabla2[[#This Row],[PLAZO Días]],"venc", "No venc")</f>
        <v>venc</v>
      </c>
      <c r="AC1847" s="163" t="str">
        <f>+IF(Tabla2[[#This Row],[FECHA DE PAGO]]&gt;0,"pagada","por pagar")</f>
        <v>por pagar</v>
      </c>
      <c r="AD1847" s="164" t="str">
        <f>+IF(AND(Tabla2[[#This Row],[venc]]="venc",Tabla2[[#This Row],[estado pago]]="por pagar"),"vencida","no")</f>
        <v>vencida</v>
      </c>
    </row>
    <row r="1848" spans="1:30" ht="19.5" hidden="1" customHeight="1" x14ac:dyDescent="0.25">
      <c r="A1848" s="8"/>
      <c r="B1848" s="8"/>
      <c r="C1848" s="8"/>
      <c r="D1848" s="151"/>
      <c r="E1848" s="151"/>
      <c r="F1848" s="24"/>
      <c r="G1848" s="30"/>
      <c r="H1848" s="81"/>
      <c r="I1848" s="30"/>
      <c r="J1848" s="16"/>
      <c r="K1848" s="9"/>
      <c r="L1848" s="9"/>
      <c r="M1848" s="152"/>
      <c r="N1848" s="153"/>
      <c r="O1848" s="152"/>
      <c r="P1848" s="154"/>
      <c r="Q1848" s="152"/>
      <c r="R1848" s="9"/>
      <c r="Z1848" s="21"/>
      <c r="AA1848" s="162">
        <f>+$AD$5-Tabla2[[#This Row],[FECHA DE FACTURACIÓN]]</f>
        <v>45443</v>
      </c>
      <c r="AB1848" s="163" t="str">
        <f>+IF(Tabla2[[#This Row],[dias de credito]]&gt;=Tabla2[[#This Row],[PLAZO Días]],"venc", "No venc")</f>
        <v>venc</v>
      </c>
      <c r="AC1848" s="163" t="str">
        <f>+IF(Tabla2[[#This Row],[FECHA DE PAGO]]&gt;0,"pagada","por pagar")</f>
        <v>por pagar</v>
      </c>
      <c r="AD1848" s="164" t="str">
        <f>+IF(AND(Tabla2[[#This Row],[venc]]="venc",Tabla2[[#This Row],[estado pago]]="por pagar"),"vencida","no")</f>
        <v>vencida</v>
      </c>
    </row>
    <row r="1849" spans="1:30" ht="19.5" hidden="1" customHeight="1" x14ac:dyDescent="0.25">
      <c r="A1849" s="8"/>
      <c r="B1849" s="8"/>
      <c r="C1849" s="8"/>
      <c r="D1849" s="151"/>
      <c r="E1849" s="151"/>
      <c r="F1849" s="24"/>
      <c r="G1849" s="30"/>
      <c r="H1849" s="81"/>
      <c r="I1849" s="30"/>
      <c r="J1849" s="16"/>
      <c r="K1849" s="9"/>
      <c r="L1849" s="9"/>
      <c r="M1849" s="152"/>
      <c r="N1849" s="153"/>
      <c r="O1849" s="152"/>
      <c r="P1849" s="154"/>
      <c r="Q1849" s="152"/>
      <c r="R1849" s="9"/>
      <c r="Z1849" s="21"/>
      <c r="AA1849" s="162">
        <f>+$AD$5-Tabla2[[#This Row],[FECHA DE FACTURACIÓN]]</f>
        <v>45443</v>
      </c>
      <c r="AB1849" s="163" t="str">
        <f>+IF(Tabla2[[#This Row],[dias de credito]]&gt;=Tabla2[[#This Row],[PLAZO Días]],"venc", "No venc")</f>
        <v>venc</v>
      </c>
      <c r="AC1849" s="163" t="str">
        <f>+IF(Tabla2[[#This Row],[FECHA DE PAGO]]&gt;0,"pagada","por pagar")</f>
        <v>por pagar</v>
      </c>
      <c r="AD1849" s="164" t="str">
        <f>+IF(AND(Tabla2[[#This Row],[venc]]="venc",Tabla2[[#This Row],[estado pago]]="por pagar"),"vencida","no")</f>
        <v>vencida</v>
      </c>
    </row>
    <row r="1850" spans="1:30" ht="19.5" hidden="1" customHeight="1" x14ac:dyDescent="0.25">
      <c r="A1850" s="8"/>
      <c r="B1850" s="8"/>
      <c r="C1850" s="8"/>
      <c r="D1850" s="151"/>
      <c r="E1850" s="151"/>
      <c r="F1850" s="24"/>
      <c r="G1850" s="30"/>
      <c r="H1850" s="81"/>
      <c r="I1850" s="30"/>
      <c r="J1850" s="16"/>
      <c r="K1850" s="9"/>
      <c r="L1850" s="9"/>
      <c r="M1850" s="152"/>
      <c r="N1850" s="153"/>
      <c r="O1850" s="152"/>
      <c r="P1850" s="154"/>
      <c r="Q1850" s="152"/>
      <c r="R1850" s="9"/>
      <c r="Z1850" s="21"/>
      <c r="AA1850" s="162">
        <f>+$AD$5-Tabla2[[#This Row],[FECHA DE FACTURACIÓN]]</f>
        <v>45443</v>
      </c>
      <c r="AB1850" s="163" t="str">
        <f>+IF(Tabla2[[#This Row],[dias de credito]]&gt;=Tabla2[[#This Row],[PLAZO Días]],"venc", "No venc")</f>
        <v>venc</v>
      </c>
      <c r="AC1850" s="163" t="str">
        <f>+IF(Tabla2[[#This Row],[FECHA DE PAGO]]&gt;0,"pagada","por pagar")</f>
        <v>por pagar</v>
      </c>
      <c r="AD1850" s="164" t="str">
        <f>+IF(AND(Tabla2[[#This Row],[venc]]="venc",Tabla2[[#This Row],[estado pago]]="por pagar"),"vencida","no")</f>
        <v>vencida</v>
      </c>
    </row>
    <row r="1851" spans="1:30" ht="19.5" hidden="1" customHeight="1" x14ac:dyDescent="0.25">
      <c r="A1851" s="8"/>
      <c r="B1851" s="8"/>
      <c r="C1851" s="8"/>
      <c r="D1851" s="151"/>
      <c r="E1851" s="151"/>
      <c r="F1851" s="24"/>
      <c r="G1851" s="30"/>
      <c r="H1851" s="81"/>
      <c r="I1851" s="30"/>
      <c r="J1851" s="16"/>
      <c r="K1851" s="9"/>
      <c r="L1851" s="9"/>
      <c r="M1851" s="152"/>
      <c r="N1851" s="153"/>
      <c r="O1851" s="152"/>
      <c r="P1851" s="154"/>
      <c r="Q1851" s="152"/>
      <c r="R1851" s="9"/>
      <c r="Z1851" s="21"/>
      <c r="AA1851" s="162">
        <f>+$AD$5-Tabla2[[#This Row],[FECHA DE FACTURACIÓN]]</f>
        <v>45443</v>
      </c>
      <c r="AB1851" s="163" t="str">
        <f>+IF(Tabla2[[#This Row],[dias de credito]]&gt;=Tabla2[[#This Row],[PLAZO Días]],"venc", "No venc")</f>
        <v>venc</v>
      </c>
      <c r="AC1851" s="163" t="str">
        <f>+IF(Tabla2[[#This Row],[FECHA DE PAGO]]&gt;0,"pagada","por pagar")</f>
        <v>por pagar</v>
      </c>
      <c r="AD1851" s="164" t="str">
        <f>+IF(AND(Tabla2[[#This Row],[venc]]="venc",Tabla2[[#This Row],[estado pago]]="por pagar"),"vencida","no")</f>
        <v>vencida</v>
      </c>
    </row>
    <row r="1852" spans="1:30" ht="19.5" hidden="1" customHeight="1" x14ac:dyDescent="0.25">
      <c r="A1852" s="8"/>
      <c r="B1852" s="8"/>
      <c r="C1852" s="8"/>
      <c r="D1852" s="151"/>
      <c r="E1852" s="151"/>
      <c r="F1852" s="24"/>
      <c r="G1852" s="30"/>
      <c r="H1852" s="81"/>
      <c r="I1852" s="30"/>
      <c r="J1852" s="16"/>
      <c r="K1852" s="9"/>
      <c r="L1852" s="9"/>
      <c r="M1852" s="152"/>
      <c r="N1852" s="153"/>
      <c r="O1852" s="152"/>
      <c r="P1852" s="154"/>
      <c r="Q1852" s="152"/>
      <c r="R1852" s="9"/>
      <c r="Z1852" s="21"/>
      <c r="AA1852" s="162">
        <f>+$AD$5-Tabla2[[#This Row],[FECHA DE FACTURACIÓN]]</f>
        <v>45443</v>
      </c>
      <c r="AB1852" s="163" t="str">
        <f>+IF(Tabla2[[#This Row],[dias de credito]]&gt;=Tabla2[[#This Row],[PLAZO Días]],"venc", "No venc")</f>
        <v>venc</v>
      </c>
      <c r="AC1852" s="163" t="str">
        <f>+IF(Tabla2[[#This Row],[FECHA DE PAGO]]&gt;0,"pagada","por pagar")</f>
        <v>por pagar</v>
      </c>
      <c r="AD1852" s="164" t="str">
        <f>+IF(AND(Tabla2[[#This Row],[venc]]="venc",Tabla2[[#This Row],[estado pago]]="por pagar"),"vencida","no")</f>
        <v>vencida</v>
      </c>
    </row>
    <row r="1853" spans="1:30" ht="19.5" hidden="1" customHeight="1" x14ac:dyDescent="0.25">
      <c r="A1853" s="8"/>
      <c r="B1853" s="8"/>
      <c r="C1853" s="8"/>
      <c r="D1853" s="151"/>
      <c r="E1853" s="151"/>
      <c r="F1853" s="24"/>
      <c r="G1853" s="30"/>
      <c r="H1853" s="81"/>
      <c r="I1853" s="30"/>
      <c r="J1853" s="16"/>
      <c r="K1853" s="9"/>
      <c r="L1853" s="9"/>
      <c r="M1853" s="152"/>
      <c r="N1853" s="153"/>
      <c r="O1853" s="152"/>
      <c r="P1853" s="154"/>
      <c r="Q1853" s="152"/>
      <c r="R1853" s="9"/>
      <c r="Z1853" s="21"/>
      <c r="AA1853" s="162">
        <f>+$AD$5-Tabla2[[#This Row],[FECHA DE FACTURACIÓN]]</f>
        <v>45443</v>
      </c>
      <c r="AB1853" s="163" t="str">
        <f>+IF(Tabla2[[#This Row],[dias de credito]]&gt;=Tabla2[[#This Row],[PLAZO Días]],"venc", "No venc")</f>
        <v>venc</v>
      </c>
      <c r="AC1853" s="163" t="str">
        <f>+IF(Tabla2[[#This Row],[FECHA DE PAGO]]&gt;0,"pagada","por pagar")</f>
        <v>por pagar</v>
      </c>
      <c r="AD1853" s="164" t="str">
        <f>+IF(AND(Tabla2[[#This Row],[venc]]="venc",Tabla2[[#This Row],[estado pago]]="por pagar"),"vencida","no")</f>
        <v>vencida</v>
      </c>
    </row>
    <row r="1854" spans="1:30" ht="19.5" hidden="1" customHeight="1" x14ac:dyDescent="0.25">
      <c r="A1854" s="8"/>
      <c r="B1854" s="8"/>
      <c r="C1854" s="8"/>
      <c r="D1854" s="151"/>
      <c r="E1854" s="151"/>
      <c r="F1854" s="24"/>
      <c r="G1854" s="30"/>
      <c r="H1854" s="81"/>
      <c r="I1854" s="30"/>
      <c r="J1854" s="16"/>
      <c r="K1854" s="9"/>
      <c r="L1854" s="9"/>
      <c r="M1854" s="152"/>
      <c r="N1854" s="153"/>
      <c r="O1854" s="152"/>
      <c r="P1854" s="154"/>
      <c r="Q1854" s="152"/>
      <c r="R1854" s="9"/>
      <c r="Z1854" s="21"/>
      <c r="AA1854" s="162">
        <f>+$AD$5-Tabla2[[#This Row],[FECHA DE FACTURACIÓN]]</f>
        <v>45443</v>
      </c>
      <c r="AB1854" s="163" t="str">
        <f>+IF(Tabla2[[#This Row],[dias de credito]]&gt;=Tabla2[[#This Row],[PLAZO Días]],"venc", "No venc")</f>
        <v>venc</v>
      </c>
      <c r="AC1854" s="163" t="str">
        <f>+IF(Tabla2[[#This Row],[FECHA DE PAGO]]&gt;0,"pagada","por pagar")</f>
        <v>por pagar</v>
      </c>
      <c r="AD1854" s="164" t="str">
        <f>+IF(AND(Tabla2[[#This Row],[venc]]="venc",Tabla2[[#This Row],[estado pago]]="por pagar"),"vencida","no")</f>
        <v>vencida</v>
      </c>
    </row>
    <row r="1855" spans="1:30" ht="19.5" hidden="1" customHeight="1" x14ac:dyDescent="0.25">
      <c r="A1855" s="8"/>
      <c r="B1855" s="8"/>
      <c r="C1855" s="8"/>
      <c r="D1855" s="151"/>
      <c r="E1855" s="151"/>
      <c r="F1855" s="24"/>
      <c r="G1855" s="30"/>
      <c r="H1855" s="81"/>
      <c r="I1855" s="30"/>
      <c r="J1855" s="16"/>
      <c r="K1855" s="9"/>
      <c r="L1855" s="9"/>
      <c r="M1855" s="152"/>
      <c r="N1855" s="153"/>
      <c r="O1855" s="152"/>
      <c r="P1855" s="154"/>
      <c r="Q1855" s="152"/>
      <c r="R1855" s="9"/>
      <c r="Z1855" s="21"/>
      <c r="AA1855" s="162">
        <f>+$AD$5-Tabla2[[#This Row],[FECHA DE FACTURACIÓN]]</f>
        <v>45443</v>
      </c>
      <c r="AB1855" s="163" t="str">
        <f>+IF(Tabla2[[#This Row],[dias de credito]]&gt;=Tabla2[[#This Row],[PLAZO Días]],"venc", "No venc")</f>
        <v>venc</v>
      </c>
      <c r="AC1855" s="163" t="str">
        <f>+IF(Tabla2[[#This Row],[FECHA DE PAGO]]&gt;0,"pagada","por pagar")</f>
        <v>por pagar</v>
      </c>
      <c r="AD1855" s="164" t="str">
        <f>+IF(AND(Tabla2[[#This Row],[venc]]="venc",Tabla2[[#This Row],[estado pago]]="por pagar"),"vencida","no")</f>
        <v>vencida</v>
      </c>
    </row>
    <row r="1856" spans="1:30" ht="19.5" hidden="1" customHeight="1" x14ac:dyDescent="0.25">
      <c r="A1856" s="8"/>
      <c r="B1856" s="8"/>
      <c r="C1856" s="8"/>
      <c r="D1856" s="151"/>
      <c r="E1856" s="151"/>
      <c r="F1856" s="24"/>
      <c r="G1856" s="30"/>
      <c r="H1856" s="81"/>
      <c r="I1856" s="30"/>
      <c r="J1856" s="16"/>
      <c r="K1856" s="9"/>
      <c r="L1856" s="9"/>
      <c r="M1856" s="152"/>
      <c r="N1856" s="153"/>
      <c r="O1856" s="152"/>
      <c r="P1856" s="154"/>
      <c r="Q1856" s="152"/>
      <c r="R1856" s="9"/>
      <c r="Z1856" s="21"/>
      <c r="AA1856" s="162">
        <f>+$AD$5-Tabla2[[#This Row],[FECHA DE FACTURACIÓN]]</f>
        <v>45443</v>
      </c>
      <c r="AB1856" s="163" t="str">
        <f>+IF(Tabla2[[#This Row],[dias de credito]]&gt;=Tabla2[[#This Row],[PLAZO Días]],"venc", "No venc")</f>
        <v>venc</v>
      </c>
      <c r="AC1856" s="163" t="str">
        <f>+IF(Tabla2[[#This Row],[FECHA DE PAGO]]&gt;0,"pagada","por pagar")</f>
        <v>por pagar</v>
      </c>
      <c r="AD1856" s="164" t="str">
        <f>+IF(AND(Tabla2[[#This Row],[venc]]="venc",Tabla2[[#This Row],[estado pago]]="por pagar"),"vencida","no")</f>
        <v>vencida</v>
      </c>
    </row>
    <row r="1857" spans="1:30" ht="19.5" hidden="1" customHeight="1" x14ac:dyDescent="0.25">
      <c r="A1857" s="8"/>
      <c r="B1857" s="8"/>
      <c r="C1857" s="8"/>
      <c r="D1857" s="151"/>
      <c r="E1857" s="151"/>
      <c r="F1857" s="24"/>
      <c r="G1857" s="30"/>
      <c r="H1857" s="81"/>
      <c r="I1857" s="30"/>
      <c r="J1857" s="16"/>
      <c r="K1857" s="9"/>
      <c r="L1857" s="9"/>
      <c r="M1857" s="152"/>
      <c r="N1857" s="153"/>
      <c r="O1857" s="152"/>
      <c r="P1857" s="154"/>
      <c r="Q1857" s="152"/>
      <c r="R1857" s="9"/>
      <c r="Z1857" s="21"/>
      <c r="AA1857" s="162">
        <f>+$AD$5-Tabla2[[#This Row],[FECHA DE FACTURACIÓN]]</f>
        <v>45443</v>
      </c>
      <c r="AB1857" s="163" t="str">
        <f>+IF(Tabla2[[#This Row],[dias de credito]]&gt;=Tabla2[[#This Row],[PLAZO Días]],"venc", "No venc")</f>
        <v>venc</v>
      </c>
      <c r="AC1857" s="163" t="str">
        <f>+IF(Tabla2[[#This Row],[FECHA DE PAGO]]&gt;0,"pagada","por pagar")</f>
        <v>por pagar</v>
      </c>
      <c r="AD1857" s="164" t="str">
        <f>+IF(AND(Tabla2[[#This Row],[venc]]="venc",Tabla2[[#This Row],[estado pago]]="por pagar"),"vencida","no")</f>
        <v>vencida</v>
      </c>
    </row>
    <row r="1858" spans="1:30" ht="19.5" hidden="1" customHeight="1" x14ac:dyDescent="0.25">
      <c r="A1858" s="8"/>
      <c r="B1858" s="8"/>
      <c r="C1858" s="8"/>
      <c r="D1858" s="151"/>
      <c r="E1858" s="151"/>
      <c r="F1858" s="24"/>
      <c r="G1858" s="30"/>
      <c r="H1858" s="81"/>
      <c r="I1858" s="30"/>
      <c r="J1858" s="16"/>
      <c r="K1858" s="9"/>
      <c r="L1858" s="9"/>
      <c r="M1858" s="152"/>
      <c r="N1858" s="153"/>
      <c r="O1858" s="152"/>
      <c r="P1858" s="154"/>
      <c r="Q1858" s="152"/>
      <c r="R1858" s="9"/>
      <c r="Z1858" s="21"/>
      <c r="AA1858" s="162">
        <f>+$AD$5-Tabla2[[#This Row],[FECHA DE FACTURACIÓN]]</f>
        <v>45443</v>
      </c>
      <c r="AB1858" s="163" t="str">
        <f>+IF(Tabla2[[#This Row],[dias de credito]]&gt;=Tabla2[[#This Row],[PLAZO Días]],"venc", "No venc")</f>
        <v>venc</v>
      </c>
      <c r="AC1858" s="163" t="str">
        <f>+IF(Tabla2[[#This Row],[FECHA DE PAGO]]&gt;0,"pagada","por pagar")</f>
        <v>por pagar</v>
      </c>
      <c r="AD1858" s="164" t="str">
        <f>+IF(AND(Tabla2[[#This Row],[venc]]="venc",Tabla2[[#This Row],[estado pago]]="por pagar"),"vencida","no")</f>
        <v>vencida</v>
      </c>
    </row>
    <row r="1859" spans="1:30" ht="19.5" hidden="1" customHeight="1" x14ac:dyDescent="0.25">
      <c r="A1859" s="8"/>
      <c r="B1859" s="8"/>
      <c r="C1859" s="8"/>
      <c r="D1859" s="151"/>
      <c r="E1859" s="151"/>
      <c r="F1859" s="24"/>
      <c r="G1859" s="30"/>
      <c r="H1859" s="81"/>
      <c r="I1859" s="30"/>
      <c r="J1859" s="16"/>
      <c r="K1859" s="9"/>
      <c r="L1859" s="9"/>
      <c r="M1859" s="152"/>
      <c r="N1859" s="153"/>
      <c r="O1859" s="152"/>
      <c r="P1859" s="154"/>
      <c r="Q1859" s="152"/>
      <c r="R1859" s="9"/>
      <c r="Z1859" s="21"/>
      <c r="AA1859" s="162">
        <f>+$AD$5-Tabla2[[#This Row],[FECHA DE FACTURACIÓN]]</f>
        <v>45443</v>
      </c>
      <c r="AB1859" s="163" t="str">
        <f>+IF(Tabla2[[#This Row],[dias de credito]]&gt;=Tabla2[[#This Row],[PLAZO Días]],"venc", "No venc")</f>
        <v>venc</v>
      </c>
      <c r="AC1859" s="163" t="str">
        <f>+IF(Tabla2[[#This Row],[FECHA DE PAGO]]&gt;0,"pagada","por pagar")</f>
        <v>por pagar</v>
      </c>
      <c r="AD1859" s="164" t="str">
        <f>+IF(AND(Tabla2[[#This Row],[venc]]="venc",Tabla2[[#This Row],[estado pago]]="por pagar"),"vencida","no")</f>
        <v>vencida</v>
      </c>
    </row>
    <row r="1860" spans="1:30" ht="19.5" hidden="1" customHeight="1" x14ac:dyDescent="0.25">
      <c r="A1860" s="8"/>
      <c r="B1860" s="8"/>
      <c r="C1860" s="8"/>
      <c r="D1860" s="151"/>
      <c r="E1860" s="151"/>
      <c r="F1860" s="24"/>
      <c r="G1860" s="30"/>
      <c r="H1860" s="81"/>
      <c r="I1860" s="30"/>
      <c r="J1860" s="16"/>
      <c r="K1860" s="9"/>
      <c r="L1860" s="9"/>
      <c r="M1860" s="152"/>
      <c r="N1860" s="153"/>
      <c r="O1860" s="152"/>
      <c r="P1860" s="154"/>
      <c r="Q1860" s="152"/>
      <c r="R1860" s="9"/>
      <c r="Z1860" s="21"/>
      <c r="AA1860" s="162">
        <f>+$AD$5-Tabla2[[#This Row],[FECHA DE FACTURACIÓN]]</f>
        <v>45443</v>
      </c>
      <c r="AB1860" s="163" t="str">
        <f>+IF(Tabla2[[#This Row],[dias de credito]]&gt;=Tabla2[[#This Row],[PLAZO Días]],"venc", "No venc")</f>
        <v>venc</v>
      </c>
      <c r="AC1860" s="163" t="str">
        <f>+IF(Tabla2[[#This Row],[FECHA DE PAGO]]&gt;0,"pagada","por pagar")</f>
        <v>por pagar</v>
      </c>
      <c r="AD1860" s="164" t="str">
        <f>+IF(AND(Tabla2[[#This Row],[venc]]="venc",Tabla2[[#This Row],[estado pago]]="por pagar"),"vencida","no")</f>
        <v>vencida</v>
      </c>
    </row>
    <row r="1861" spans="1:30" ht="19.5" hidden="1" customHeight="1" x14ac:dyDescent="0.25">
      <c r="A1861" s="8"/>
      <c r="B1861" s="8"/>
      <c r="C1861" s="8"/>
      <c r="D1861" s="151"/>
      <c r="E1861" s="151"/>
      <c r="F1861" s="24"/>
      <c r="G1861" s="30"/>
      <c r="H1861" s="81"/>
      <c r="I1861" s="30"/>
      <c r="J1861" s="16"/>
      <c r="K1861" s="9"/>
      <c r="L1861" s="9"/>
      <c r="M1861" s="152"/>
      <c r="N1861" s="153"/>
      <c r="O1861" s="152"/>
      <c r="P1861" s="154"/>
      <c r="Q1861" s="152"/>
      <c r="R1861" s="9"/>
      <c r="Z1861" s="21"/>
      <c r="AA1861" s="162">
        <f>+$AD$5-Tabla2[[#This Row],[FECHA DE FACTURACIÓN]]</f>
        <v>45443</v>
      </c>
      <c r="AB1861" s="163" t="str">
        <f>+IF(Tabla2[[#This Row],[dias de credito]]&gt;=Tabla2[[#This Row],[PLAZO Días]],"venc", "No venc")</f>
        <v>venc</v>
      </c>
      <c r="AC1861" s="163" t="str">
        <f>+IF(Tabla2[[#This Row],[FECHA DE PAGO]]&gt;0,"pagada","por pagar")</f>
        <v>por pagar</v>
      </c>
      <c r="AD1861" s="164" t="str">
        <f>+IF(AND(Tabla2[[#This Row],[venc]]="venc",Tabla2[[#This Row],[estado pago]]="por pagar"),"vencida","no")</f>
        <v>vencida</v>
      </c>
    </row>
    <row r="1862" spans="1:30" ht="19.5" hidden="1" customHeight="1" x14ac:dyDescent="0.25">
      <c r="A1862" s="8"/>
      <c r="B1862" s="8"/>
      <c r="C1862" s="8"/>
      <c r="D1862" s="151"/>
      <c r="E1862" s="151"/>
      <c r="F1862" s="24"/>
      <c r="G1862" s="30"/>
      <c r="H1862" s="81"/>
      <c r="I1862" s="30"/>
      <c r="J1862" s="16"/>
      <c r="K1862" s="9"/>
      <c r="L1862" s="9"/>
      <c r="M1862" s="152"/>
      <c r="N1862" s="153"/>
      <c r="O1862" s="152"/>
      <c r="P1862" s="154"/>
      <c r="Q1862" s="152"/>
      <c r="R1862" s="9"/>
      <c r="Z1862" s="21"/>
      <c r="AA1862" s="162">
        <f>+$AD$5-Tabla2[[#This Row],[FECHA DE FACTURACIÓN]]</f>
        <v>45443</v>
      </c>
      <c r="AB1862" s="163" t="str">
        <f>+IF(Tabla2[[#This Row],[dias de credito]]&gt;=Tabla2[[#This Row],[PLAZO Días]],"venc", "No venc")</f>
        <v>venc</v>
      </c>
      <c r="AC1862" s="163" t="str">
        <f>+IF(Tabla2[[#This Row],[FECHA DE PAGO]]&gt;0,"pagada","por pagar")</f>
        <v>por pagar</v>
      </c>
      <c r="AD1862" s="164" t="str">
        <f>+IF(AND(Tabla2[[#This Row],[venc]]="venc",Tabla2[[#This Row],[estado pago]]="por pagar"),"vencida","no")</f>
        <v>vencida</v>
      </c>
    </row>
    <row r="1863" spans="1:30" ht="19.5" hidden="1" customHeight="1" x14ac:dyDescent="0.25">
      <c r="A1863" s="8"/>
      <c r="B1863" s="8"/>
      <c r="C1863" s="8"/>
      <c r="D1863" s="151"/>
      <c r="E1863" s="151"/>
      <c r="F1863" s="24"/>
      <c r="G1863" s="30"/>
      <c r="H1863" s="81"/>
      <c r="I1863" s="30"/>
      <c r="J1863" s="16"/>
      <c r="K1863" s="9"/>
      <c r="L1863" s="9"/>
      <c r="M1863" s="152"/>
      <c r="N1863" s="153"/>
      <c r="O1863" s="152"/>
      <c r="P1863" s="154"/>
      <c r="Q1863" s="152"/>
      <c r="R1863" s="9"/>
      <c r="Z1863" s="21"/>
      <c r="AA1863" s="162">
        <f>+$AD$5-Tabla2[[#This Row],[FECHA DE FACTURACIÓN]]</f>
        <v>45443</v>
      </c>
      <c r="AB1863" s="163" t="str">
        <f>+IF(Tabla2[[#This Row],[dias de credito]]&gt;=Tabla2[[#This Row],[PLAZO Días]],"venc", "No venc")</f>
        <v>venc</v>
      </c>
      <c r="AC1863" s="163" t="str">
        <f>+IF(Tabla2[[#This Row],[FECHA DE PAGO]]&gt;0,"pagada","por pagar")</f>
        <v>por pagar</v>
      </c>
      <c r="AD1863" s="164" t="str">
        <f>+IF(AND(Tabla2[[#This Row],[venc]]="venc",Tabla2[[#This Row],[estado pago]]="por pagar"),"vencida","no")</f>
        <v>vencida</v>
      </c>
    </row>
    <row r="1864" spans="1:30" ht="19.5" hidden="1" customHeight="1" x14ac:dyDescent="0.25">
      <c r="A1864" s="8"/>
      <c r="B1864" s="8"/>
      <c r="C1864" s="8"/>
      <c r="D1864" s="151"/>
      <c r="E1864" s="151"/>
      <c r="F1864" s="24"/>
      <c r="G1864" s="30"/>
      <c r="H1864" s="81"/>
      <c r="I1864" s="30"/>
      <c r="J1864" s="16"/>
      <c r="K1864" s="9"/>
      <c r="L1864" s="9"/>
      <c r="M1864" s="152"/>
      <c r="N1864" s="153"/>
      <c r="O1864" s="152"/>
      <c r="P1864" s="154"/>
      <c r="Q1864" s="152"/>
      <c r="R1864" s="9"/>
      <c r="Z1864" s="21"/>
      <c r="AA1864" s="162">
        <f>+$AD$5-Tabla2[[#This Row],[FECHA DE FACTURACIÓN]]</f>
        <v>45443</v>
      </c>
      <c r="AB1864" s="163" t="str">
        <f>+IF(Tabla2[[#This Row],[dias de credito]]&gt;=Tabla2[[#This Row],[PLAZO Días]],"venc", "No venc")</f>
        <v>venc</v>
      </c>
      <c r="AC1864" s="163" t="str">
        <f>+IF(Tabla2[[#This Row],[FECHA DE PAGO]]&gt;0,"pagada","por pagar")</f>
        <v>por pagar</v>
      </c>
      <c r="AD1864" s="164" t="str">
        <f>+IF(AND(Tabla2[[#This Row],[venc]]="venc",Tabla2[[#This Row],[estado pago]]="por pagar"),"vencida","no")</f>
        <v>vencida</v>
      </c>
    </row>
    <row r="1865" spans="1:30" ht="19.5" hidden="1" customHeight="1" x14ac:dyDescent="0.25">
      <c r="A1865" s="8"/>
      <c r="B1865" s="8"/>
      <c r="C1865" s="8"/>
      <c r="D1865" s="151"/>
      <c r="E1865" s="151"/>
      <c r="F1865" s="24"/>
      <c r="G1865" s="30"/>
      <c r="H1865" s="81"/>
      <c r="I1865" s="30"/>
      <c r="J1865" s="16"/>
      <c r="K1865" s="9"/>
      <c r="L1865" s="9"/>
      <c r="M1865" s="152"/>
      <c r="N1865" s="153"/>
      <c r="O1865" s="152"/>
      <c r="P1865" s="154"/>
      <c r="Q1865" s="152"/>
      <c r="R1865" s="9"/>
      <c r="Z1865" s="21"/>
      <c r="AA1865" s="162">
        <f>+$AD$5-Tabla2[[#This Row],[FECHA DE FACTURACIÓN]]</f>
        <v>45443</v>
      </c>
      <c r="AB1865" s="163" t="str">
        <f>+IF(Tabla2[[#This Row],[dias de credito]]&gt;=Tabla2[[#This Row],[PLAZO Días]],"venc", "No venc")</f>
        <v>venc</v>
      </c>
      <c r="AC1865" s="163" t="str">
        <f>+IF(Tabla2[[#This Row],[FECHA DE PAGO]]&gt;0,"pagada","por pagar")</f>
        <v>por pagar</v>
      </c>
      <c r="AD1865" s="164" t="str">
        <f>+IF(AND(Tabla2[[#This Row],[venc]]="venc",Tabla2[[#This Row],[estado pago]]="por pagar"),"vencida","no")</f>
        <v>vencida</v>
      </c>
    </row>
    <row r="1866" spans="1:30" ht="19.5" hidden="1" customHeight="1" x14ac:dyDescent="0.25">
      <c r="A1866" s="8"/>
      <c r="B1866" s="8"/>
      <c r="C1866" s="8"/>
      <c r="D1866" s="151"/>
      <c r="E1866" s="151"/>
      <c r="F1866" s="24"/>
      <c r="G1866" s="30"/>
      <c r="H1866" s="81"/>
      <c r="I1866" s="30"/>
      <c r="J1866" s="16"/>
      <c r="K1866" s="9"/>
      <c r="L1866" s="9"/>
      <c r="M1866" s="152"/>
      <c r="N1866" s="153"/>
      <c r="O1866" s="152"/>
      <c r="P1866" s="154"/>
      <c r="Q1866" s="152"/>
      <c r="R1866" s="9"/>
      <c r="Z1866" s="21"/>
      <c r="AA1866" s="162">
        <f>+$AD$5-Tabla2[[#This Row],[FECHA DE FACTURACIÓN]]</f>
        <v>45443</v>
      </c>
      <c r="AB1866" s="163" t="str">
        <f>+IF(Tabla2[[#This Row],[dias de credito]]&gt;=Tabla2[[#This Row],[PLAZO Días]],"venc", "No venc")</f>
        <v>venc</v>
      </c>
      <c r="AC1866" s="163" t="str">
        <f>+IF(Tabla2[[#This Row],[FECHA DE PAGO]]&gt;0,"pagada","por pagar")</f>
        <v>por pagar</v>
      </c>
      <c r="AD1866" s="164" t="str">
        <f>+IF(AND(Tabla2[[#This Row],[venc]]="venc",Tabla2[[#This Row],[estado pago]]="por pagar"),"vencida","no")</f>
        <v>vencida</v>
      </c>
    </row>
    <row r="1867" spans="1:30" ht="19.5" hidden="1" customHeight="1" x14ac:dyDescent="0.25">
      <c r="A1867" s="8"/>
      <c r="B1867" s="8"/>
      <c r="C1867" s="8"/>
      <c r="D1867" s="151"/>
      <c r="E1867" s="151"/>
      <c r="F1867" s="24"/>
      <c r="G1867" s="30"/>
      <c r="H1867" s="81"/>
      <c r="I1867" s="30"/>
      <c r="J1867" s="16"/>
      <c r="K1867" s="9"/>
      <c r="L1867" s="9"/>
      <c r="M1867" s="152"/>
      <c r="N1867" s="153"/>
      <c r="O1867" s="152"/>
      <c r="P1867" s="154"/>
      <c r="Q1867" s="152"/>
      <c r="R1867" s="9"/>
      <c r="Z1867" s="21"/>
      <c r="AA1867" s="162">
        <f>+$AD$5-Tabla2[[#This Row],[FECHA DE FACTURACIÓN]]</f>
        <v>45443</v>
      </c>
      <c r="AB1867" s="163" t="str">
        <f>+IF(Tabla2[[#This Row],[dias de credito]]&gt;=Tabla2[[#This Row],[PLAZO Días]],"venc", "No venc")</f>
        <v>venc</v>
      </c>
      <c r="AC1867" s="163" t="str">
        <f>+IF(Tabla2[[#This Row],[FECHA DE PAGO]]&gt;0,"pagada","por pagar")</f>
        <v>por pagar</v>
      </c>
      <c r="AD1867" s="164" t="str">
        <f>+IF(AND(Tabla2[[#This Row],[venc]]="venc",Tabla2[[#This Row],[estado pago]]="por pagar"),"vencida","no")</f>
        <v>vencida</v>
      </c>
    </row>
    <row r="1868" spans="1:30" ht="19.5" hidden="1" customHeight="1" x14ac:dyDescent="0.25">
      <c r="A1868" s="8"/>
      <c r="B1868" s="8"/>
      <c r="C1868" s="8"/>
      <c r="D1868" s="151"/>
      <c r="E1868" s="151"/>
      <c r="F1868" s="24"/>
      <c r="G1868" s="30"/>
      <c r="H1868" s="81"/>
      <c r="I1868" s="30"/>
      <c r="J1868" s="16"/>
      <c r="K1868" s="9"/>
      <c r="L1868" s="9"/>
      <c r="M1868" s="152"/>
      <c r="N1868" s="153"/>
      <c r="O1868" s="152"/>
      <c r="P1868" s="154"/>
      <c r="Q1868" s="152"/>
      <c r="R1868" s="9"/>
      <c r="Z1868" s="21"/>
      <c r="AA1868" s="162">
        <f>+$AD$5-Tabla2[[#This Row],[FECHA DE FACTURACIÓN]]</f>
        <v>45443</v>
      </c>
      <c r="AB1868" s="163" t="str">
        <f>+IF(Tabla2[[#This Row],[dias de credito]]&gt;=Tabla2[[#This Row],[PLAZO Días]],"venc", "No venc")</f>
        <v>venc</v>
      </c>
      <c r="AC1868" s="163" t="str">
        <f>+IF(Tabla2[[#This Row],[FECHA DE PAGO]]&gt;0,"pagada","por pagar")</f>
        <v>por pagar</v>
      </c>
      <c r="AD1868" s="164" t="str">
        <f>+IF(AND(Tabla2[[#This Row],[venc]]="venc",Tabla2[[#This Row],[estado pago]]="por pagar"),"vencida","no")</f>
        <v>vencida</v>
      </c>
    </row>
    <row r="1869" spans="1:30" ht="19.5" hidden="1" customHeight="1" x14ac:dyDescent="0.25">
      <c r="A1869" s="8"/>
      <c r="B1869" s="8"/>
      <c r="C1869" s="8"/>
      <c r="D1869" s="151"/>
      <c r="E1869" s="151"/>
      <c r="F1869" s="24"/>
      <c r="G1869" s="30"/>
      <c r="H1869" s="81"/>
      <c r="I1869" s="30"/>
      <c r="J1869" s="16"/>
      <c r="K1869" s="9"/>
      <c r="L1869" s="9"/>
      <c r="M1869" s="152"/>
      <c r="N1869" s="153"/>
      <c r="O1869" s="152"/>
      <c r="P1869" s="154"/>
      <c r="Q1869" s="152"/>
      <c r="R1869" s="9"/>
      <c r="Z1869" s="21"/>
      <c r="AA1869" s="162">
        <f>+$AD$5-Tabla2[[#This Row],[FECHA DE FACTURACIÓN]]</f>
        <v>45443</v>
      </c>
      <c r="AB1869" s="163" t="str">
        <f>+IF(Tabla2[[#This Row],[dias de credito]]&gt;=Tabla2[[#This Row],[PLAZO Días]],"venc", "No venc")</f>
        <v>venc</v>
      </c>
      <c r="AC1869" s="163" t="str">
        <f>+IF(Tabla2[[#This Row],[FECHA DE PAGO]]&gt;0,"pagada","por pagar")</f>
        <v>por pagar</v>
      </c>
      <c r="AD1869" s="164" t="str">
        <f>+IF(AND(Tabla2[[#This Row],[venc]]="venc",Tabla2[[#This Row],[estado pago]]="por pagar"),"vencida","no")</f>
        <v>vencida</v>
      </c>
    </row>
    <row r="1870" spans="1:30" ht="19.5" hidden="1" customHeight="1" x14ac:dyDescent="0.25">
      <c r="A1870" s="8"/>
      <c r="B1870" s="8"/>
      <c r="C1870" s="8"/>
      <c r="D1870" s="151"/>
      <c r="E1870" s="151"/>
      <c r="F1870" s="24"/>
      <c r="G1870" s="30"/>
      <c r="H1870" s="81"/>
      <c r="I1870" s="30"/>
      <c r="J1870" s="16"/>
      <c r="K1870" s="9"/>
      <c r="L1870" s="9"/>
      <c r="M1870" s="152"/>
      <c r="N1870" s="153"/>
      <c r="O1870" s="152"/>
      <c r="P1870" s="154"/>
      <c r="Q1870" s="152"/>
      <c r="R1870" s="9"/>
      <c r="Z1870" s="21"/>
      <c r="AA1870" s="162">
        <f>+$AD$5-Tabla2[[#This Row],[FECHA DE FACTURACIÓN]]</f>
        <v>45443</v>
      </c>
      <c r="AB1870" s="163" t="str">
        <f>+IF(Tabla2[[#This Row],[dias de credito]]&gt;=Tabla2[[#This Row],[PLAZO Días]],"venc", "No venc")</f>
        <v>venc</v>
      </c>
      <c r="AC1870" s="163" t="str">
        <f>+IF(Tabla2[[#This Row],[FECHA DE PAGO]]&gt;0,"pagada","por pagar")</f>
        <v>por pagar</v>
      </c>
      <c r="AD1870" s="164" t="str">
        <f>+IF(AND(Tabla2[[#This Row],[venc]]="venc",Tabla2[[#This Row],[estado pago]]="por pagar"),"vencida","no")</f>
        <v>vencida</v>
      </c>
    </row>
    <row r="1871" spans="1:30" ht="19.5" hidden="1" customHeight="1" x14ac:dyDescent="0.25">
      <c r="A1871" s="8"/>
      <c r="B1871" s="8"/>
      <c r="C1871" s="8"/>
      <c r="D1871" s="151"/>
      <c r="E1871" s="151"/>
      <c r="F1871" s="24"/>
      <c r="G1871" s="30"/>
      <c r="H1871" s="81"/>
      <c r="I1871" s="30"/>
      <c r="J1871" s="16"/>
      <c r="K1871" s="9"/>
      <c r="L1871" s="9"/>
      <c r="M1871" s="152"/>
      <c r="N1871" s="153"/>
      <c r="O1871" s="152"/>
      <c r="P1871" s="154"/>
      <c r="Q1871" s="152"/>
      <c r="R1871" s="9"/>
      <c r="Z1871" s="21"/>
      <c r="AA1871" s="162">
        <f>+$AD$5-Tabla2[[#This Row],[FECHA DE FACTURACIÓN]]</f>
        <v>45443</v>
      </c>
      <c r="AB1871" s="163" t="str">
        <f>+IF(Tabla2[[#This Row],[dias de credito]]&gt;=Tabla2[[#This Row],[PLAZO Días]],"venc", "No venc")</f>
        <v>venc</v>
      </c>
      <c r="AC1871" s="163" t="str">
        <f>+IF(Tabla2[[#This Row],[FECHA DE PAGO]]&gt;0,"pagada","por pagar")</f>
        <v>por pagar</v>
      </c>
      <c r="AD1871" s="164" t="str">
        <f>+IF(AND(Tabla2[[#This Row],[venc]]="venc",Tabla2[[#This Row],[estado pago]]="por pagar"),"vencida","no")</f>
        <v>vencida</v>
      </c>
    </row>
    <row r="1872" spans="1:30" ht="19.5" hidden="1" customHeight="1" x14ac:dyDescent="0.25">
      <c r="A1872" s="8"/>
      <c r="B1872" s="8"/>
      <c r="C1872" s="8"/>
      <c r="D1872" s="151"/>
      <c r="E1872" s="151"/>
      <c r="F1872" s="24"/>
      <c r="G1872" s="30"/>
      <c r="H1872" s="81"/>
      <c r="I1872" s="30"/>
      <c r="J1872" s="16"/>
      <c r="K1872" s="9"/>
      <c r="L1872" s="9"/>
      <c r="M1872" s="152"/>
      <c r="N1872" s="153"/>
      <c r="O1872" s="152"/>
      <c r="P1872" s="154"/>
      <c r="Q1872" s="152"/>
      <c r="R1872" s="9"/>
      <c r="Z1872" s="21"/>
      <c r="AA1872" s="162">
        <f>+$AD$5-Tabla2[[#This Row],[FECHA DE FACTURACIÓN]]</f>
        <v>45443</v>
      </c>
      <c r="AB1872" s="163" t="str">
        <f>+IF(Tabla2[[#This Row],[dias de credito]]&gt;=Tabla2[[#This Row],[PLAZO Días]],"venc", "No venc")</f>
        <v>venc</v>
      </c>
      <c r="AC1872" s="163" t="str">
        <f>+IF(Tabla2[[#This Row],[FECHA DE PAGO]]&gt;0,"pagada","por pagar")</f>
        <v>por pagar</v>
      </c>
      <c r="AD1872" s="164" t="str">
        <f>+IF(AND(Tabla2[[#This Row],[venc]]="venc",Tabla2[[#This Row],[estado pago]]="por pagar"),"vencida","no")</f>
        <v>vencida</v>
      </c>
    </row>
    <row r="1873" spans="1:30" ht="19.5" hidden="1" customHeight="1" x14ac:dyDescent="0.25">
      <c r="A1873" s="8"/>
      <c r="B1873" s="8"/>
      <c r="C1873" s="8"/>
      <c r="D1873" s="151"/>
      <c r="E1873" s="151"/>
      <c r="F1873" s="24"/>
      <c r="G1873" s="30"/>
      <c r="H1873" s="81"/>
      <c r="I1873" s="30"/>
      <c r="J1873" s="16"/>
      <c r="K1873" s="9"/>
      <c r="L1873" s="9"/>
      <c r="M1873" s="152"/>
      <c r="N1873" s="153"/>
      <c r="O1873" s="152"/>
      <c r="P1873" s="154"/>
      <c r="Q1873" s="152"/>
      <c r="R1873" s="9"/>
      <c r="Z1873" s="21"/>
      <c r="AA1873" s="162">
        <f>+$AD$5-Tabla2[[#This Row],[FECHA DE FACTURACIÓN]]</f>
        <v>45443</v>
      </c>
      <c r="AB1873" s="163" t="str">
        <f>+IF(Tabla2[[#This Row],[dias de credito]]&gt;=Tabla2[[#This Row],[PLAZO Días]],"venc", "No venc")</f>
        <v>venc</v>
      </c>
      <c r="AC1873" s="163" t="str">
        <f>+IF(Tabla2[[#This Row],[FECHA DE PAGO]]&gt;0,"pagada","por pagar")</f>
        <v>por pagar</v>
      </c>
      <c r="AD1873" s="164" t="str">
        <f>+IF(AND(Tabla2[[#This Row],[venc]]="venc",Tabla2[[#This Row],[estado pago]]="por pagar"),"vencida","no")</f>
        <v>vencida</v>
      </c>
    </row>
    <row r="1874" spans="1:30" ht="19.5" hidden="1" customHeight="1" x14ac:dyDescent="0.25">
      <c r="A1874" s="8"/>
      <c r="B1874" s="8"/>
      <c r="C1874" s="8"/>
      <c r="D1874" s="151"/>
      <c r="E1874" s="151"/>
      <c r="F1874" s="24"/>
      <c r="G1874" s="30"/>
      <c r="H1874" s="81"/>
      <c r="I1874" s="30"/>
      <c r="J1874" s="16"/>
      <c r="K1874" s="9"/>
      <c r="L1874" s="9"/>
      <c r="M1874" s="152"/>
      <c r="N1874" s="153"/>
      <c r="O1874" s="152"/>
      <c r="P1874" s="154"/>
      <c r="Q1874" s="152"/>
      <c r="R1874" s="9"/>
      <c r="Z1874" s="21"/>
      <c r="AA1874" s="162">
        <f>+$AD$5-Tabla2[[#This Row],[FECHA DE FACTURACIÓN]]</f>
        <v>45443</v>
      </c>
      <c r="AB1874" s="163" t="str">
        <f>+IF(Tabla2[[#This Row],[dias de credito]]&gt;=Tabla2[[#This Row],[PLAZO Días]],"venc", "No venc")</f>
        <v>venc</v>
      </c>
      <c r="AC1874" s="163" t="str">
        <f>+IF(Tabla2[[#This Row],[FECHA DE PAGO]]&gt;0,"pagada","por pagar")</f>
        <v>por pagar</v>
      </c>
      <c r="AD1874" s="164" t="str">
        <f>+IF(AND(Tabla2[[#This Row],[venc]]="venc",Tabla2[[#This Row],[estado pago]]="por pagar"),"vencida","no")</f>
        <v>vencida</v>
      </c>
    </row>
    <row r="1875" spans="1:30" ht="19.5" hidden="1" customHeight="1" x14ac:dyDescent="0.25">
      <c r="A1875" s="8"/>
      <c r="B1875" s="8"/>
      <c r="C1875" s="8"/>
      <c r="D1875" s="151"/>
      <c r="E1875" s="151"/>
      <c r="F1875" s="24"/>
      <c r="G1875" s="30"/>
      <c r="H1875" s="81"/>
      <c r="I1875" s="30"/>
      <c r="J1875" s="16"/>
      <c r="K1875" s="9"/>
      <c r="L1875" s="9"/>
      <c r="M1875" s="152"/>
      <c r="N1875" s="153"/>
      <c r="O1875" s="152"/>
      <c r="P1875" s="154"/>
      <c r="Q1875" s="152"/>
      <c r="R1875" s="9"/>
      <c r="Z1875" s="21"/>
      <c r="AA1875" s="162">
        <f>+$AD$5-Tabla2[[#This Row],[FECHA DE FACTURACIÓN]]</f>
        <v>45443</v>
      </c>
      <c r="AB1875" s="163" t="str">
        <f>+IF(Tabla2[[#This Row],[dias de credito]]&gt;=Tabla2[[#This Row],[PLAZO Días]],"venc", "No venc")</f>
        <v>venc</v>
      </c>
      <c r="AC1875" s="163" t="str">
        <f>+IF(Tabla2[[#This Row],[FECHA DE PAGO]]&gt;0,"pagada","por pagar")</f>
        <v>por pagar</v>
      </c>
      <c r="AD1875" s="164" t="str">
        <f>+IF(AND(Tabla2[[#This Row],[venc]]="venc",Tabla2[[#This Row],[estado pago]]="por pagar"),"vencida","no")</f>
        <v>vencida</v>
      </c>
    </row>
    <row r="1876" spans="1:30" ht="19.5" hidden="1" customHeight="1" x14ac:dyDescent="0.25">
      <c r="A1876" s="8"/>
      <c r="B1876" s="8"/>
      <c r="C1876" s="8"/>
      <c r="D1876" s="151"/>
      <c r="E1876" s="151"/>
      <c r="F1876" s="24"/>
      <c r="G1876" s="30"/>
      <c r="H1876" s="81"/>
      <c r="I1876" s="30"/>
      <c r="J1876" s="16"/>
      <c r="K1876" s="9"/>
      <c r="L1876" s="9"/>
      <c r="M1876" s="152"/>
      <c r="N1876" s="153"/>
      <c r="O1876" s="152"/>
      <c r="P1876" s="154"/>
      <c r="Q1876" s="152"/>
      <c r="R1876" s="9"/>
      <c r="Z1876" s="21"/>
      <c r="AA1876" s="162">
        <f>+$AD$5-Tabla2[[#This Row],[FECHA DE FACTURACIÓN]]</f>
        <v>45443</v>
      </c>
      <c r="AB1876" s="163" t="str">
        <f>+IF(Tabla2[[#This Row],[dias de credito]]&gt;=Tabla2[[#This Row],[PLAZO Días]],"venc", "No venc")</f>
        <v>venc</v>
      </c>
      <c r="AC1876" s="163" t="str">
        <f>+IF(Tabla2[[#This Row],[FECHA DE PAGO]]&gt;0,"pagada","por pagar")</f>
        <v>por pagar</v>
      </c>
      <c r="AD1876" s="164" t="str">
        <f>+IF(AND(Tabla2[[#This Row],[venc]]="venc",Tabla2[[#This Row],[estado pago]]="por pagar"),"vencida","no")</f>
        <v>vencida</v>
      </c>
    </row>
    <row r="1877" spans="1:30" ht="19.5" hidden="1" customHeight="1" x14ac:dyDescent="0.25">
      <c r="A1877" s="8"/>
      <c r="B1877" s="8"/>
      <c r="C1877" s="8"/>
      <c r="D1877" s="151"/>
      <c r="E1877" s="151"/>
      <c r="F1877" s="24"/>
      <c r="G1877" s="30"/>
      <c r="H1877" s="81"/>
      <c r="I1877" s="30"/>
      <c r="J1877" s="16"/>
      <c r="K1877" s="9"/>
      <c r="L1877" s="9"/>
      <c r="M1877" s="152"/>
      <c r="N1877" s="153"/>
      <c r="O1877" s="152"/>
      <c r="P1877" s="154"/>
      <c r="Q1877" s="152"/>
      <c r="R1877" s="9"/>
      <c r="Z1877" s="21"/>
      <c r="AA1877" s="162">
        <f>+$AD$5-Tabla2[[#This Row],[FECHA DE FACTURACIÓN]]</f>
        <v>45443</v>
      </c>
      <c r="AB1877" s="163" t="str">
        <f>+IF(Tabla2[[#This Row],[dias de credito]]&gt;=Tabla2[[#This Row],[PLAZO Días]],"venc", "No venc")</f>
        <v>venc</v>
      </c>
      <c r="AC1877" s="163" t="str">
        <f>+IF(Tabla2[[#This Row],[FECHA DE PAGO]]&gt;0,"pagada","por pagar")</f>
        <v>por pagar</v>
      </c>
      <c r="AD1877" s="164" t="str">
        <f>+IF(AND(Tabla2[[#This Row],[venc]]="venc",Tabla2[[#This Row],[estado pago]]="por pagar"),"vencida","no")</f>
        <v>vencida</v>
      </c>
    </row>
    <row r="1878" spans="1:30" ht="19.5" hidden="1" customHeight="1" x14ac:dyDescent="0.25">
      <c r="A1878" s="8"/>
      <c r="B1878" s="8"/>
      <c r="C1878" s="8"/>
      <c r="D1878" s="151"/>
      <c r="E1878" s="151"/>
      <c r="F1878" s="24"/>
      <c r="G1878" s="30"/>
      <c r="H1878" s="81"/>
      <c r="I1878" s="30"/>
      <c r="J1878" s="16"/>
      <c r="K1878" s="9"/>
      <c r="L1878" s="9"/>
      <c r="M1878" s="152"/>
      <c r="N1878" s="153"/>
      <c r="O1878" s="152"/>
      <c r="P1878" s="154"/>
      <c r="Q1878" s="152"/>
      <c r="R1878" s="9"/>
      <c r="Z1878" s="21"/>
      <c r="AA1878" s="162">
        <f>+$AD$5-Tabla2[[#This Row],[FECHA DE FACTURACIÓN]]</f>
        <v>45443</v>
      </c>
      <c r="AB1878" s="163" t="str">
        <f>+IF(Tabla2[[#This Row],[dias de credito]]&gt;=Tabla2[[#This Row],[PLAZO Días]],"venc", "No venc")</f>
        <v>venc</v>
      </c>
      <c r="AC1878" s="163" t="str">
        <f>+IF(Tabla2[[#This Row],[FECHA DE PAGO]]&gt;0,"pagada","por pagar")</f>
        <v>por pagar</v>
      </c>
      <c r="AD1878" s="164" t="str">
        <f>+IF(AND(Tabla2[[#This Row],[venc]]="venc",Tabla2[[#This Row],[estado pago]]="por pagar"),"vencida","no")</f>
        <v>vencida</v>
      </c>
    </row>
    <row r="1879" spans="1:30" ht="19.5" hidden="1" customHeight="1" x14ac:dyDescent="0.25">
      <c r="A1879" s="8"/>
      <c r="B1879" s="8"/>
      <c r="C1879" s="8"/>
      <c r="D1879" s="151"/>
      <c r="E1879" s="151"/>
      <c r="F1879" s="24"/>
      <c r="G1879" s="30"/>
      <c r="H1879" s="81"/>
      <c r="I1879" s="30"/>
      <c r="J1879" s="16"/>
      <c r="K1879" s="9"/>
      <c r="L1879" s="9"/>
      <c r="M1879" s="152"/>
      <c r="N1879" s="153"/>
      <c r="O1879" s="152"/>
      <c r="P1879" s="154"/>
      <c r="Q1879" s="152"/>
      <c r="R1879" s="9"/>
      <c r="Z1879" s="21"/>
      <c r="AA1879" s="162">
        <f>+$AD$5-Tabla2[[#This Row],[FECHA DE FACTURACIÓN]]</f>
        <v>45443</v>
      </c>
      <c r="AB1879" s="163" t="str">
        <f>+IF(Tabla2[[#This Row],[dias de credito]]&gt;=Tabla2[[#This Row],[PLAZO Días]],"venc", "No venc")</f>
        <v>venc</v>
      </c>
      <c r="AC1879" s="163" t="str">
        <f>+IF(Tabla2[[#This Row],[FECHA DE PAGO]]&gt;0,"pagada","por pagar")</f>
        <v>por pagar</v>
      </c>
      <c r="AD1879" s="164" t="str">
        <f>+IF(AND(Tabla2[[#This Row],[venc]]="venc",Tabla2[[#This Row],[estado pago]]="por pagar"),"vencida","no")</f>
        <v>vencida</v>
      </c>
    </row>
    <row r="1880" spans="1:30" ht="19.5" hidden="1" customHeight="1" x14ac:dyDescent="0.25">
      <c r="A1880" s="8"/>
      <c r="B1880" s="8"/>
      <c r="C1880" s="8"/>
      <c r="D1880" s="151"/>
      <c r="E1880" s="151"/>
      <c r="F1880" s="24"/>
      <c r="G1880" s="30"/>
      <c r="H1880" s="81"/>
      <c r="I1880" s="30"/>
      <c r="J1880" s="16"/>
      <c r="K1880" s="9"/>
      <c r="L1880" s="9"/>
      <c r="M1880" s="152"/>
      <c r="N1880" s="153"/>
      <c r="O1880" s="152"/>
      <c r="P1880" s="154"/>
      <c r="Q1880" s="152"/>
      <c r="R1880" s="9"/>
      <c r="Z1880" s="21"/>
      <c r="AA1880" s="162">
        <f>+$AD$5-Tabla2[[#This Row],[FECHA DE FACTURACIÓN]]</f>
        <v>45443</v>
      </c>
      <c r="AB1880" s="163" t="str">
        <f>+IF(Tabla2[[#This Row],[dias de credito]]&gt;=Tabla2[[#This Row],[PLAZO Días]],"venc", "No venc")</f>
        <v>venc</v>
      </c>
      <c r="AC1880" s="163" t="str">
        <f>+IF(Tabla2[[#This Row],[FECHA DE PAGO]]&gt;0,"pagada","por pagar")</f>
        <v>por pagar</v>
      </c>
      <c r="AD1880" s="164" t="str">
        <f>+IF(AND(Tabla2[[#This Row],[venc]]="venc",Tabla2[[#This Row],[estado pago]]="por pagar"),"vencida","no")</f>
        <v>vencida</v>
      </c>
    </row>
    <row r="1881" spans="1:30" ht="19.5" hidden="1" customHeight="1" x14ac:dyDescent="0.25">
      <c r="A1881" s="8"/>
      <c r="B1881" s="8"/>
      <c r="C1881" s="8"/>
      <c r="D1881" s="151"/>
      <c r="E1881" s="151"/>
      <c r="F1881" s="24"/>
      <c r="G1881" s="30"/>
      <c r="H1881" s="81"/>
      <c r="I1881" s="30"/>
      <c r="J1881" s="16"/>
      <c r="K1881" s="9"/>
      <c r="L1881" s="9"/>
      <c r="M1881" s="152"/>
      <c r="N1881" s="153"/>
      <c r="O1881" s="152"/>
      <c r="P1881" s="154"/>
      <c r="Q1881" s="152"/>
      <c r="R1881" s="9"/>
      <c r="Z1881" s="21"/>
      <c r="AA1881" s="162">
        <f>+$AD$5-Tabla2[[#This Row],[FECHA DE FACTURACIÓN]]</f>
        <v>45443</v>
      </c>
      <c r="AB1881" s="163" t="str">
        <f>+IF(Tabla2[[#This Row],[dias de credito]]&gt;=Tabla2[[#This Row],[PLAZO Días]],"venc", "No venc")</f>
        <v>venc</v>
      </c>
      <c r="AC1881" s="163" t="str">
        <f>+IF(Tabla2[[#This Row],[FECHA DE PAGO]]&gt;0,"pagada","por pagar")</f>
        <v>por pagar</v>
      </c>
      <c r="AD1881" s="164" t="str">
        <f>+IF(AND(Tabla2[[#This Row],[venc]]="venc",Tabla2[[#This Row],[estado pago]]="por pagar"),"vencida","no")</f>
        <v>vencida</v>
      </c>
    </row>
    <row r="1882" spans="1:30" ht="19.5" hidden="1" customHeight="1" x14ac:dyDescent="0.25">
      <c r="A1882" s="8"/>
      <c r="B1882" s="8"/>
      <c r="C1882" s="8"/>
      <c r="D1882" s="151"/>
      <c r="E1882" s="151"/>
      <c r="F1882" s="24"/>
      <c r="G1882" s="30"/>
      <c r="H1882" s="81"/>
      <c r="I1882" s="30"/>
      <c r="J1882" s="16"/>
      <c r="K1882" s="9"/>
      <c r="L1882" s="9"/>
      <c r="M1882" s="152"/>
      <c r="N1882" s="153"/>
      <c r="O1882" s="152"/>
      <c r="P1882" s="154"/>
      <c r="Q1882" s="152"/>
      <c r="R1882" s="9"/>
      <c r="Z1882" s="21"/>
      <c r="AA1882" s="162">
        <f>+$AD$5-Tabla2[[#This Row],[FECHA DE FACTURACIÓN]]</f>
        <v>45443</v>
      </c>
      <c r="AB1882" s="163" t="str">
        <f>+IF(Tabla2[[#This Row],[dias de credito]]&gt;=Tabla2[[#This Row],[PLAZO Días]],"venc", "No venc")</f>
        <v>venc</v>
      </c>
      <c r="AC1882" s="163" t="str">
        <f>+IF(Tabla2[[#This Row],[FECHA DE PAGO]]&gt;0,"pagada","por pagar")</f>
        <v>por pagar</v>
      </c>
      <c r="AD1882" s="164" t="str">
        <f>+IF(AND(Tabla2[[#This Row],[venc]]="venc",Tabla2[[#This Row],[estado pago]]="por pagar"),"vencida","no")</f>
        <v>vencida</v>
      </c>
    </row>
    <row r="1883" spans="1:30" ht="19.5" hidden="1" customHeight="1" x14ac:dyDescent="0.25">
      <c r="A1883" s="8"/>
      <c r="B1883" s="8"/>
      <c r="C1883" s="8"/>
      <c r="D1883" s="151"/>
      <c r="E1883" s="151"/>
      <c r="F1883" s="24"/>
      <c r="G1883" s="30"/>
      <c r="H1883" s="81"/>
      <c r="I1883" s="30"/>
      <c r="J1883" s="16"/>
      <c r="K1883" s="9"/>
      <c r="L1883" s="9"/>
      <c r="M1883" s="152"/>
      <c r="N1883" s="153"/>
      <c r="O1883" s="152"/>
      <c r="P1883" s="154"/>
      <c r="Q1883" s="152"/>
      <c r="R1883" s="9"/>
      <c r="Z1883" s="21"/>
      <c r="AA1883" s="162">
        <f>+$AD$5-Tabla2[[#This Row],[FECHA DE FACTURACIÓN]]</f>
        <v>45443</v>
      </c>
      <c r="AB1883" s="163" t="str">
        <f>+IF(Tabla2[[#This Row],[dias de credito]]&gt;=Tabla2[[#This Row],[PLAZO Días]],"venc", "No venc")</f>
        <v>venc</v>
      </c>
      <c r="AC1883" s="163" t="str">
        <f>+IF(Tabla2[[#This Row],[FECHA DE PAGO]]&gt;0,"pagada","por pagar")</f>
        <v>por pagar</v>
      </c>
      <c r="AD1883" s="164" t="str">
        <f>+IF(AND(Tabla2[[#This Row],[venc]]="venc",Tabla2[[#This Row],[estado pago]]="por pagar"),"vencida","no")</f>
        <v>vencida</v>
      </c>
    </row>
    <row r="1884" spans="1:30" ht="19.5" hidden="1" customHeight="1" x14ac:dyDescent="0.25">
      <c r="A1884" s="8"/>
      <c r="B1884" s="8"/>
      <c r="C1884" s="8"/>
      <c r="D1884" s="151"/>
      <c r="E1884" s="151"/>
      <c r="F1884" s="24"/>
      <c r="G1884" s="30"/>
      <c r="H1884" s="81"/>
      <c r="I1884" s="30"/>
      <c r="J1884" s="16"/>
      <c r="K1884" s="9"/>
      <c r="L1884" s="9"/>
      <c r="M1884" s="152"/>
      <c r="N1884" s="153"/>
      <c r="O1884" s="152"/>
      <c r="P1884" s="154"/>
      <c r="Q1884" s="152"/>
      <c r="R1884" s="9"/>
      <c r="Z1884" s="21"/>
      <c r="AA1884" s="162">
        <f>+$AD$5-Tabla2[[#This Row],[FECHA DE FACTURACIÓN]]</f>
        <v>45443</v>
      </c>
      <c r="AB1884" s="163" t="str">
        <f>+IF(Tabla2[[#This Row],[dias de credito]]&gt;=Tabla2[[#This Row],[PLAZO Días]],"venc", "No venc")</f>
        <v>venc</v>
      </c>
      <c r="AC1884" s="163" t="str">
        <f>+IF(Tabla2[[#This Row],[FECHA DE PAGO]]&gt;0,"pagada","por pagar")</f>
        <v>por pagar</v>
      </c>
      <c r="AD1884" s="164" t="str">
        <f>+IF(AND(Tabla2[[#This Row],[venc]]="venc",Tabla2[[#This Row],[estado pago]]="por pagar"),"vencida","no")</f>
        <v>vencida</v>
      </c>
    </row>
    <row r="1885" spans="1:30" ht="19.5" hidden="1" customHeight="1" x14ac:dyDescent="0.25">
      <c r="A1885" s="8"/>
      <c r="B1885" s="8"/>
      <c r="C1885" s="8"/>
      <c r="D1885" s="151"/>
      <c r="E1885" s="151"/>
      <c r="F1885" s="24"/>
      <c r="G1885" s="30"/>
      <c r="H1885" s="81"/>
      <c r="I1885" s="30"/>
      <c r="J1885" s="16"/>
      <c r="K1885" s="9"/>
      <c r="L1885" s="9"/>
      <c r="M1885" s="152"/>
      <c r="N1885" s="153"/>
      <c r="O1885" s="152"/>
      <c r="P1885" s="154"/>
      <c r="Q1885" s="152"/>
      <c r="R1885" s="9"/>
      <c r="Z1885" s="21"/>
      <c r="AA1885" s="162">
        <f>+$AD$5-Tabla2[[#This Row],[FECHA DE FACTURACIÓN]]</f>
        <v>45443</v>
      </c>
      <c r="AB1885" s="163" t="str">
        <f>+IF(Tabla2[[#This Row],[dias de credito]]&gt;=Tabla2[[#This Row],[PLAZO Días]],"venc", "No venc")</f>
        <v>venc</v>
      </c>
      <c r="AC1885" s="163" t="str">
        <f>+IF(Tabla2[[#This Row],[FECHA DE PAGO]]&gt;0,"pagada","por pagar")</f>
        <v>por pagar</v>
      </c>
      <c r="AD1885" s="164" t="str">
        <f>+IF(AND(Tabla2[[#This Row],[venc]]="venc",Tabla2[[#This Row],[estado pago]]="por pagar"),"vencida","no")</f>
        <v>vencida</v>
      </c>
    </row>
    <row r="1886" spans="1:30" ht="19.5" hidden="1" customHeight="1" x14ac:dyDescent="0.25">
      <c r="A1886" s="8"/>
      <c r="B1886" s="8"/>
      <c r="C1886" s="8"/>
      <c r="D1886" s="151"/>
      <c r="E1886" s="151"/>
      <c r="F1886" s="24"/>
      <c r="G1886" s="30"/>
      <c r="H1886" s="81"/>
      <c r="I1886" s="30"/>
      <c r="J1886" s="16"/>
      <c r="K1886" s="9"/>
      <c r="L1886" s="9"/>
      <c r="M1886" s="152"/>
      <c r="N1886" s="153"/>
      <c r="O1886" s="152"/>
      <c r="P1886" s="154"/>
      <c r="Q1886" s="152"/>
      <c r="R1886" s="9"/>
      <c r="Z1886" s="21"/>
      <c r="AA1886" s="162">
        <f>+$AD$5-Tabla2[[#This Row],[FECHA DE FACTURACIÓN]]</f>
        <v>45443</v>
      </c>
      <c r="AB1886" s="163" t="str">
        <f>+IF(Tabla2[[#This Row],[dias de credito]]&gt;=Tabla2[[#This Row],[PLAZO Días]],"venc", "No venc")</f>
        <v>venc</v>
      </c>
      <c r="AC1886" s="163" t="str">
        <f>+IF(Tabla2[[#This Row],[FECHA DE PAGO]]&gt;0,"pagada","por pagar")</f>
        <v>por pagar</v>
      </c>
      <c r="AD1886" s="164" t="str">
        <f>+IF(AND(Tabla2[[#This Row],[venc]]="venc",Tabla2[[#This Row],[estado pago]]="por pagar"),"vencida","no")</f>
        <v>vencida</v>
      </c>
    </row>
    <row r="1887" spans="1:30" ht="19.5" hidden="1" customHeight="1" x14ac:dyDescent="0.25">
      <c r="A1887" s="8"/>
      <c r="B1887" s="8"/>
      <c r="C1887" s="8"/>
      <c r="D1887" s="151"/>
      <c r="E1887" s="151"/>
      <c r="F1887" s="24"/>
      <c r="G1887" s="30"/>
      <c r="H1887" s="81"/>
      <c r="I1887" s="30"/>
      <c r="J1887" s="16"/>
      <c r="K1887" s="9"/>
      <c r="L1887" s="9"/>
      <c r="M1887" s="152"/>
      <c r="N1887" s="153"/>
      <c r="O1887" s="152"/>
      <c r="P1887" s="154"/>
      <c r="Q1887" s="152"/>
      <c r="R1887" s="9"/>
      <c r="Z1887" s="21"/>
      <c r="AA1887" s="162">
        <f>+$AD$5-Tabla2[[#This Row],[FECHA DE FACTURACIÓN]]</f>
        <v>45443</v>
      </c>
      <c r="AB1887" s="163" t="str">
        <f>+IF(Tabla2[[#This Row],[dias de credito]]&gt;=Tabla2[[#This Row],[PLAZO Días]],"venc", "No venc")</f>
        <v>venc</v>
      </c>
      <c r="AC1887" s="163" t="str">
        <f>+IF(Tabla2[[#This Row],[FECHA DE PAGO]]&gt;0,"pagada","por pagar")</f>
        <v>por pagar</v>
      </c>
      <c r="AD1887" s="164" t="str">
        <f>+IF(AND(Tabla2[[#This Row],[venc]]="venc",Tabla2[[#This Row],[estado pago]]="por pagar"),"vencida","no")</f>
        <v>vencida</v>
      </c>
    </row>
    <row r="1888" spans="1:30" ht="19.5" hidden="1" customHeight="1" x14ac:dyDescent="0.25">
      <c r="A1888" s="8"/>
      <c r="B1888" s="8"/>
      <c r="C1888" s="8"/>
      <c r="D1888" s="151"/>
      <c r="E1888" s="151"/>
      <c r="F1888" s="24"/>
      <c r="G1888" s="30"/>
      <c r="H1888" s="81"/>
      <c r="I1888" s="30"/>
      <c r="J1888" s="16"/>
      <c r="K1888" s="9"/>
      <c r="L1888" s="9"/>
      <c r="M1888" s="152"/>
      <c r="N1888" s="153"/>
      <c r="O1888" s="152"/>
      <c r="P1888" s="154"/>
      <c r="Q1888" s="152"/>
      <c r="R1888" s="9"/>
      <c r="Z1888" s="21"/>
      <c r="AA1888" s="162">
        <f>+$AD$5-Tabla2[[#This Row],[FECHA DE FACTURACIÓN]]</f>
        <v>45443</v>
      </c>
      <c r="AB1888" s="163" t="str">
        <f>+IF(Tabla2[[#This Row],[dias de credito]]&gt;=Tabla2[[#This Row],[PLAZO Días]],"venc", "No venc")</f>
        <v>venc</v>
      </c>
      <c r="AC1888" s="163" t="str">
        <f>+IF(Tabla2[[#This Row],[FECHA DE PAGO]]&gt;0,"pagada","por pagar")</f>
        <v>por pagar</v>
      </c>
      <c r="AD1888" s="164" t="str">
        <f>+IF(AND(Tabla2[[#This Row],[venc]]="venc",Tabla2[[#This Row],[estado pago]]="por pagar"),"vencida","no")</f>
        <v>vencida</v>
      </c>
    </row>
    <row r="1889" spans="1:30" ht="19.5" hidden="1" customHeight="1" x14ac:dyDescent="0.25">
      <c r="A1889" s="8"/>
      <c r="B1889" s="8"/>
      <c r="C1889" s="8"/>
      <c r="D1889" s="151"/>
      <c r="E1889" s="151"/>
      <c r="F1889" s="24"/>
      <c r="G1889" s="30"/>
      <c r="H1889" s="81"/>
      <c r="I1889" s="30"/>
      <c r="J1889" s="16"/>
      <c r="K1889" s="9"/>
      <c r="L1889" s="9"/>
      <c r="M1889" s="152"/>
      <c r="N1889" s="153"/>
      <c r="O1889" s="152"/>
      <c r="P1889" s="154"/>
      <c r="Q1889" s="152"/>
      <c r="R1889" s="9"/>
      <c r="Z1889" s="21"/>
      <c r="AA1889" s="162">
        <f>+$AD$5-Tabla2[[#This Row],[FECHA DE FACTURACIÓN]]</f>
        <v>45443</v>
      </c>
      <c r="AB1889" s="163" t="str">
        <f>+IF(Tabla2[[#This Row],[dias de credito]]&gt;=Tabla2[[#This Row],[PLAZO Días]],"venc", "No venc")</f>
        <v>venc</v>
      </c>
      <c r="AC1889" s="163" t="str">
        <f>+IF(Tabla2[[#This Row],[FECHA DE PAGO]]&gt;0,"pagada","por pagar")</f>
        <v>por pagar</v>
      </c>
      <c r="AD1889" s="164" t="str">
        <f>+IF(AND(Tabla2[[#This Row],[venc]]="venc",Tabla2[[#This Row],[estado pago]]="por pagar"),"vencida","no")</f>
        <v>vencida</v>
      </c>
    </row>
    <row r="1890" spans="1:30" ht="19.5" hidden="1" customHeight="1" x14ac:dyDescent="0.25">
      <c r="A1890" s="8"/>
      <c r="B1890" s="8"/>
      <c r="C1890" s="8"/>
      <c r="D1890" s="151"/>
      <c r="E1890" s="151"/>
      <c r="F1890" s="24"/>
      <c r="G1890" s="30"/>
      <c r="H1890" s="81"/>
      <c r="I1890" s="30"/>
      <c r="J1890" s="16"/>
      <c r="K1890" s="9"/>
      <c r="L1890" s="9"/>
      <c r="M1890" s="152"/>
      <c r="N1890" s="153"/>
      <c r="O1890" s="152"/>
      <c r="P1890" s="154"/>
      <c r="Q1890" s="152"/>
      <c r="R1890" s="9"/>
      <c r="Z1890" s="21"/>
      <c r="AA1890" s="162">
        <f>+$AD$5-Tabla2[[#This Row],[FECHA DE FACTURACIÓN]]</f>
        <v>45443</v>
      </c>
      <c r="AB1890" s="163" t="str">
        <f>+IF(Tabla2[[#This Row],[dias de credito]]&gt;=Tabla2[[#This Row],[PLAZO Días]],"venc", "No venc")</f>
        <v>venc</v>
      </c>
      <c r="AC1890" s="163" t="str">
        <f>+IF(Tabla2[[#This Row],[FECHA DE PAGO]]&gt;0,"pagada","por pagar")</f>
        <v>por pagar</v>
      </c>
      <c r="AD1890" s="164" t="str">
        <f>+IF(AND(Tabla2[[#This Row],[venc]]="venc",Tabla2[[#This Row],[estado pago]]="por pagar"),"vencida","no")</f>
        <v>vencida</v>
      </c>
    </row>
    <row r="1891" spans="1:30" ht="19.5" hidden="1" customHeight="1" x14ac:dyDescent="0.25">
      <c r="A1891" s="8"/>
      <c r="B1891" s="8"/>
      <c r="C1891" s="8"/>
      <c r="D1891" s="151"/>
      <c r="E1891" s="151"/>
      <c r="F1891" s="24"/>
      <c r="G1891" s="30"/>
      <c r="H1891" s="81"/>
      <c r="I1891" s="30"/>
      <c r="J1891" s="16"/>
      <c r="K1891" s="9"/>
      <c r="L1891" s="9"/>
      <c r="M1891" s="152"/>
      <c r="N1891" s="153"/>
      <c r="O1891" s="152"/>
      <c r="P1891" s="154"/>
      <c r="Q1891" s="152"/>
      <c r="R1891" s="9"/>
      <c r="Z1891" s="21"/>
      <c r="AA1891" s="162">
        <f>+$AD$5-Tabla2[[#This Row],[FECHA DE FACTURACIÓN]]</f>
        <v>45443</v>
      </c>
      <c r="AB1891" s="163" t="str">
        <f>+IF(Tabla2[[#This Row],[dias de credito]]&gt;=Tabla2[[#This Row],[PLAZO Días]],"venc", "No venc")</f>
        <v>venc</v>
      </c>
      <c r="AC1891" s="163" t="str">
        <f>+IF(Tabla2[[#This Row],[FECHA DE PAGO]]&gt;0,"pagada","por pagar")</f>
        <v>por pagar</v>
      </c>
      <c r="AD1891" s="164" t="str">
        <f>+IF(AND(Tabla2[[#This Row],[venc]]="venc",Tabla2[[#This Row],[estado pago]]="por pagar"),"vencida","no")</f>
        <v>vencida</v>
      </c>
    </row>
    <row r="1892" spans="1:30" ht="19.5" hidden="1" customHeight="1" x14ac:dyDescent="0.25">
      <c r="A1892" s="8"/>
      <c r="B1892" s="8"/>
      <c r="C1892" s="8"/>
      <c r="D1892" s="151"/>
      <c r="E1892" s="151"/>
      <c r="F1892" s="24"/>
      <c r="G1892" s="30"/>
      <c r="H1892" s="81"/>
      <c r="I1892" s="30"/>
      <c r="J1892" s="16"/>
      <c r="K1892" s="9"/>
      <c r="L1892" s="9"/>
      <c r="M1892" s="152"/>
      <c r="N1892" s="153"/>
      <c r="O1892" s="152"/>
      <c r="P1892" s="154"/>
      <c r="Q1892" s="152"/>
      <c r="R1892" s="9"/>
      <c r="Z1892" s="21"/>
      <c r="AA1892" s="162">
        <f>+$AD$5-Tabla2[[#This Row],[FECHA DE FACTURACIÓN]]</f>
        <v>45443</v>
      </c>
      <c r="AB1892" s="163" t="str">
        <f>+IF(Tabla2[[#This Row],[dias de credito]]&gt;=Tabla2[[#This Row],[PLAZO Días]],"venc", "No venc")</f>
        <v>venc</v>
      </c>
      <c r="AC1892" s="163" t="str">
        <f>+IF(Tabla2[[#This Row],[FECHA DE PAGO]]&gt;0,"pagada","por pagar")</f>
        <v>por pagar</v>
      </c>
      <c r="AD1892" s="164" t="str">
        <f>+IF(AND(Tabla2[[#This Row],[venc]]="venc",Tabla2[[#This Row],[estado pago]]="por pagar"),"vencida","no")</f>
        <v>vencida</v>
      </c>
    </row>
    <row r="1893" spans="1:30" ht="19.5" hidden="1" customHeight="1" x14ac:dyDescent="0.25">
      <c r="A1893" s="8"/>
      <c r="B1893" s="8"/>
      <c r="C1893" s="8"/>
      <c r="D1893" s="151"/>
      <c r="E1893" s="151"/>
      <c r="F1893" s="24"/>
      <c r="G1893" s="30"/>
      <c r="H1893" s="81"/>
      <c r="I1893" s="30"/>
      <c r="J1893" s="16"/>
      <c r="K1893" s="9"/>
      <c r="L1893" s="9"/>
      <c r="M1893" s="152"/>
      <c r="N1893" s="153"/>
      <c r="O1893" s="152"/>
      <c r="P1893" s="154"/>
      <c r="Q1893" s="152"/>
      <c r="R1893" s="9"/>
      <c r="Z1893" s="21"/>
      <c r="AA1893" s="162">
        <f>+$AD$5-Tabla2[[#This Row],[FECHA DE FACTURACIÓN]]</f>
        <v>45443</v>
      </c>
      <c r="AB1893" s="163" t="str">
        <f>+IF(Tabla2[[#This Row],[dias de credito]]&gt;=Tabla2[[#This Row],[PLAZO Días]],"venc", "No venc")</f>
        <v>venc</v>
      </c>
      <c r="AC1893" s="163" t="str">
        <f>+IF(Tabla2[[#This Row],[FECHA DE PAGO]]&gt;0,"pagada","por pagar")</f>
        <v>por pagar</v>
      </c>
      <c r="AD1893" s="164" t="str">
        <f>+IF(AND(Tabla2[[#This Row],[venc]]="venc",Tabla2[[#This Row],[estado pago]]="por pagar"),"vencida","no")</f>
        <v>vencida</v>
      </c>
    </row>
    <row r="1894" spans="1:30" ht="19.5" hidden="1" customHeight="1" x14ac:dyDescent="0.25">
      <c r="A1894" s="8"/>
      <c r="B1894" s="8"/>
      <c r="C1894" s="8"/>
      <c r="D1894" s="151"/>
      <c r="E1894" s="151"/>
      <c r="F1894" s="24"/>
      <c r="G1894" s="30"/>
      <c r="H1894" s="81"/>
      <c r="I1894" s="30"/>
      <c r="J1894" s="16"/>
      <c r="K1894" s="9"/>
      <c r="L1894" s="9"/>
      <c r="M1894" s="152"/>
      <c r="N1894" s="153"/>
      <c r="O1894" s="152"/>
      <c r="P1894" s="154"/>
      <c r="Q1894" s="152"/>
      <c r="R1894" s="9"/>
      <c r="Z1894" s="21"/>
      <c r="AA1894" s="162">
        <f>+$AD$5-Tabla2[[#This Row],[FECHA DE FACTURACIÓN]]</f>
        <v>45443</v>
      </c>
      <c r="AB1894" s="163" t="str">
        <f>+IF(Tabla2[[#This Row],[dias de credito]]&gt;=Tabla2[[#This Row],[PLAZO Días]],"venc", "No venc")</f>
        <v>venc</v>
      </c>
      <c r="AC1894" s="163" t="str">
        <f>+IF(Tabla2[[#This Row],[FECHA DE PAGO]]&gt;0,"pagada","por pagar")</f>
        <v>por pagar</v>
      </c>
      <c r="AD1894" s="164" t="str">
        <f>+IF(AND(Tabla2[[#This Row],[venc]]="venc",Tabla2[[#This Row],[estado pago]]="por pagar"),"vencida","no")</f>
        <v>vencida</v>
      </c>
    </row>
    <row r="1895" spans="1:30" ht="19.5" hidden="1" customHeight="1" x14ac:dyDescent="0.25">
      <c r="A1895" s="8"/>
      <c r="B1895" s="8"/>
      <c r="C1895" s="8"/>
      <c r="D1895" s="151"/>
      <c r="E1895" s="151"/>
      <c r="F1895" s="24"/>
      <c r="G1895" s="30"/>
      <c r="H1895" s="81"/>
      <c r="I1895" s="30"/>
      <c r="J1895" s="16"/>
      <c r="K1895" s="9"/>
      <c r="L1895" s="9"/>
      <c r="M1895" s="152"/>
      <c r="N1895" s="153"/>
      <c r="O1895" s="152"/>
      <c r="P1895" s="154"/>
      <c r="Q1895" s="152"/>
      <c r="R1895" s="9"/>
      <c r="Z1895" s="21"/>
      <c r="AA1895" s="162">
        <f>+$AD$5-Tabla2[[#This Row],[FECHA DE FACTURACIÓN]]</f>
        <v>45443</v>
      </c>
      <c r="AB1895" s="163" t="str">
        <f>+IF(Tabla2[[#This Row],[dias de credito]]&gt;=Tabla2[[#This Row],[PLAZO Días]],"venc", "No venc")</f>
        <v>venc</v>
      </c>
      <c r="AC1895" s="163" t="str">
        <f>+IF(Tabla2[[#This Row],[FECHA DE PAGO]]&gt;0,"pagada","por pagar")</f>
        <v>por pagar</v>
      </c>
      <c r="AD1895" s="164" t="str">
        <f>+IF(AND(Tabla2[[#This Row],[venc]]="venc",Tabla2[[#This Row],[estado pago]]="por pagar"),"vencida","no")</f>
        <v>vencida</v>
      </c>
    </row>
    <row r="1896" spans="1:30" ht="19.5" hidden="1" customHeight="1" x14ac:dyDescent="0.25">
      <c r="A1896" s="8"/>
      <c r="B1896" s="8"/>
      <c r="C1896" s="8"/>
      <c r="D1896" s="151"/>
      <c r="E1896" s="151"/>
      <c r="F1896" s="24"/>
      <c r="G1896" s="30"/>
      <c r="H1896" s="81"/>
      <c r="I1896" s="30"/>
      <c r="J1896" s="16"/>
      <c r="K1896" s="9"/>
      <c r="L1896" s="9"/>
      <c r="M1896" s="152"/>
      <c r="N1896" s="153"/>
      <c r="O1896" s="152"/>
      <c r="P1896" s="154"/>
      <c r="Q1896" s="152"/>
      <c r="R1896" s="9"/>
      <c r="Z1896" s="21"/>
      <c r="AA1896" s="162">
        <f>+$AD$5-Tabla2[[#This Row],[FECHA DE FACTURACIÓN]]</f>
        <v>45443</v>
      </c>
      <c r="AB1896" s="163" t="str">
        <f>+IF(Tabla2[[#This Row],[dias de credito]]&gt;=Tabla2[[#This Row],[PLAZO Días]],"venc", "No venc")</f>
        <v>venc</v>
      </c>
      <c r="AC1896" s="163" t="str">
        <f>+IF(Tabla2[[#This Row],[FECHA DE PAGO]]&gt;0,"pagada","por pagar")</f>
        <v>por pagar</v>
      </c>
      <c r="AD1896" s="164" t="str">
        <f>+IF(AND(Tabla2[[#This Row],[venc]]="venc",Tabla2[[#This Row],[estado pago]]="por pagar"),"vencida","no")</f>
        <v>vencida</v>
      </c>
    </row>
    <row r="1897" spans="1:30" ht="19.5" hidden="1" customHeight="1" x14ac:dyDescent="0.25">
      <c r="A1897" s="8"/>
      <c r="B1897" s="8"/>
      <c r="C1897" s="8"/>
      <c r="D1897" s="151"/>
      <c r="E1897" s="151"/>
      <c r="F1897" s="24"/>
      <c r="G1897" s="30"/>
      <c r="H1897" s="81"/>
      <c r="I1897" s="30"/>
      <c r="J1897" s="16"/>
      <c r="K1897" s="9"/>
      <c r="L1897" s="9"/>
      <c r="M1897" s="152"/>
      <c r="N1897" s="153"/>
      <c r="O1897" s="152"/>
      <c r="P1897" s="154"/>
      <c r="Q1897" s="152"/>
      <c r="R1897" s="9"/>
      <c r="Z1897" s="21"/>
      <c r="AA1897" s="162">
        <f>+$AD$5-Tabla2[[#This Row],[FECHA DE FACTURACIÓN]]</f>
        <v>45443</v>
      </c>
      <c r="AB1897" s="163" t="str">
        <f>+IF(Tabla2[[#This Row],[dias de credito]]&gt;=Tabla2[[#This Row],[PLAZO Días]],"venc", "No venc")</f>
        <v>venc</v>
      </c>
      <c r="AC1897" s="163" t="str">
        <f>+IF(Tabla2[[#This Row],[FECHA DE PAGO]]&gt;0,"pagada","por pagar")</f>
        <v>por pagar</v>
      </c>
      <c r="AD1897" s="164" t="str">
        <f>+IF(AND(Tabla2[[#This Row],[venc]]="venc",Tabla2[[#This Row],[estado pago]]="por pagar"),"vencida","no")</f>
        <v>vencida</v>
      </c>
    </row>
    <row r="1898" spans="1:30" ht="19.5" hidden="1" customHeight="1" x14ac:dyDescent="0.25">
      <c r="A1898" s="8"/>
      <c r="B1898" s="8"/>
      <c r="C1898" s="8"/>
      <c r="D1898" s="151"/>
      <c r="E1898" s="151"/>
      <c r="F1898" s="24"/>
      <c r="G1898" s="30"/>
      <c r="H1898" s="81"/>
      <c r="I1898" s="30"/>
      <c r="J1898" s="16"/>
      <c r="K1898" s="9"/>
      <c r="L1898" s="9"/>
      <c r="M1898" s="152"/>
      <c r="N1898" s="153"/>
      <c r="O1898" s="152"/>
      <c r="P1898" s="154"/>
      <c r="Q1898" s="152"/>
      <c r="R1898" s="9"/>
      <c r="Z1898" s="21"/>
      <c r="AA1898" s="162">
        <f>+$AD$5-Tabla2[[#This Row],[FECHA DE FACTURACIÓN]]</f>
        <v>45443</v>
      </c>
      <c r="AB1898" s="163" t="str">
        <f>+IF(Tabla2[[#This Row],[dias de credito]]&gt;=Tabla2[[#This Row],[PLAZO Días]],"venc", "No venc")</f>
        <v>venc</v>
      </c>
      <c r="AC1898" s="163" t="str">
        <f>+IF(Tabla2[[#This Row],[FECHA DE PAGO]]&gt;0,"pagada","por pagar")</f>
        <v>por pagar</v>
      </c>
      <c r="AD1898" s="164" t="str">
        <f>+IF(AND(Tabla2[[#This Row],[venc]]="venc",Tabla2[[#This Row],[estado pago]]="por pagar"),"vencida","no")</f>
        <v>vencida</v>
      </c>
    </row>
    <row r="1899" spans="1:30" ht="19.5" hidden="1" customHeight="1" x14ac:dyDescent="0.25">
      <c r="A1899" s="8"/>
      <c r="B1899" s="8"/>
      <c r="C1899" s="8"/>
      <c r="D1899" s="151"/>
      <c r="E1899" s="151"/>
      <c r="F1899" s="24"/>
      <c r="G1899" s="30"/>
      <c r="H1899" s="81"/>
      <c r="I1899" s="30"/>
      <c r="J1899" s="16"/>
      <c r="K1899" s="9"/>
      <c r="L1899" s="9"/>
      <c r="M1899" s="152"/>
      <c r="N1899" s="153"/>
      <c r="O1899" s="152"/>
      <c r="P1899" s="154"/>
      <c r="Q1899" s="152"/>
      <c r="R1899" s="9"/>
      <c r="Z1899" s="21"/>
      <c r="AA1899" s="162">
        <f>+$AD$5-Tabla2[[#This Row],[FECHA DE FACTURACIÓN]]</f>
        <v>45443</v>
      </c>
      <c r="AB1899" s="163" t="str">
        <f>+IF(Tabla2[[#This Row],[dias de credito]]&gt;=Tabla2[[#This Row],[PLAZO Días]],"venc", "No venc")</f>
        <v>venc</v>
      </c>
      <c r="AC1899" s="163" t="str">
        <f>+IF(Tabla2[[#This Row],[FECHA DE PAGO]]&gt;0,"pagada","por pagar")</f>
        <v>por pagar</v>
      </c>
      <c r="AD1899" s="164" t="str">
        <f>+IF(AND(Tabla2[[#This Row],[venc]]="venc",Tabla2[[#This Row],[estado pago]]="por pagar"),"vencida","no")</f>
        <v>vencida</v>
      </c>
    </row>
    <row r="1900" spans="1:30" ht="19.5" hidden="1" customHeight="1" x14ac:dyDescent="0.25">
      <c r="A1900" s="8"/>
      <c r="B1900" s="8"/>
      <c r="C1900" s="8"/>
      <c r="D1900" s="151"/>
      <c r="E1900" s="151"/>
      <c r="F1900" s="24"/>
      <c r="G1900" s="30"/>
      <c r="H1900" s="81"/>
      <c r="I1900" s="30"/>
      <c r="J1900" s="16"/>
      <c r="K1900" s="9"/>
      <c r="L1900" s="9"/>
      <c r="M1900" s="152"/>
      <c r="N1900" s="153"/>
      <c r="O1900" s="152"/>
      <c r="P1900" s="154"/>
      <c r="Q1900" s="152"/>
      <c r="R1900" s="9"/>
      <c r="Z1900" s="21"/>
      <c r="AA1900" s="162">
        <f>+$AD$5-Tabla2[[#This Row],[FECHA DE FACTURACIÓN]]</f>
        <v>45443</v>
      </c>
      <c r="AB1900" s="163" t="str">
        <f>+IF(Tabla2[[#This Row],[dias de credito]]&gt;=Tabla2[[#This Row],[PLAZO Días]],"venc", "No venc")</f>
        <v>venc</v>
      </c>
      <c r="AC1900" s="163" t="str">
        <f>+IF(Tabla2[[#This Row],[FECHA DE PAGO]]&gt;0,"pagada","por pagar")</f>
        <v>por pagar</v>
      </c>
      <c r="AD1900" s="164" t="str">
        <f>+IF(AND(Tabla2[[#This Row],[venc]]="venc",Tabla2[[#This Row],[estado pago]]="por pagar"),"vencida","no")</f>
        <v>vencida</v>
      </c>
    </row>
    <row r="1901" spans="1:30" ht="19.5" hidden="1" customHeight="1" x14ac:dyDescent="0.25">
      <c r="A1901" s="8"/>
      <c r="B1901" s="8"/>
      <c r="C1901" s="8"/>
      <c r="D1901" s="151"/>
      <c r="E1901" s="151"/>
      <c r="F1901" s="24"/>
      <c r="G1901" s="30"/>
      <c r="H1901" s="81"/>
      <c r="I1901" s="30"/>
      <c r="J1901" s="16"/>
      <c r="K1901" s="9"/>
      <c r="L1901" s="9"/>
      <c r="M1901" s="152"/>
      <c r="N1901" s="153"/>
      <c r="O1901" s="152"/>
      <c r="P1901" s="154"/>
      <c r="Q1901" s="152"/>
      <c r="R1901" s="9"/>
      <c r="Z1901" s="21"/>
      <c r="AA1901" s="162">
        <f>+$AD$5-Tabla2[[#This Row],[FECHA DE FACTURACIÓN]]</f>
        <v>45443</v>
      </c>
      <c r="AB1901" s="163" t="str">
        <f>+IF(Tabla2[[#This Row],[dias de credito]]&gt;=Tabla2[[#This Row],[PLAZO Días]],"venc", "No venc")</f>
        <v>venc</v>
      </c>
      <c r="AC1901" s="163" t="str">
        <f>+IF(Tabla2[[#This Row],[FECHA DE PAGO]]&gt;0,"pagada","por pagar")</f>
        <v>por pagar</v>
      </c>
      <c r="AD1901" s="164" t="str">
        <f>+IF(AND(Tabla2[[#This Row],[venc]]="venc",Tabla2[[#This Row],[estado pago]]="por pagar"),"vencida","no")</f>
        <v>vencida</v>
      </c>
    </row>
    <row r="1902" spans="1:30" ht="19.5" hidden="1" customHeight="1" x14ac:dyDescent="0.25">
      <c r="A1902" s="8"/>
      <c r="B1902" s="8"/>
      <c r="C1902" s="8"/>
      <c r="D1902" s="151"/>
      <c r="E1902" s="151"/>
      <c r="F1902" s="24"/>
      <c r="G1902" s="30"/>
      <c r="H1902" s="81"/>
      <c r="I1902" s="30"/>
      <c r="J1902" s="16"/>
      <c r="K1902" s="9"/>
      <c r="L1902" s="9"/>
      <c r="M1902" s="152"/>
      <c r="N1902" s="153"/>
      <c r="O1902" s="152"/>
      <c r="P1902" s="154"/>
      <c r="Q1902" s="152"/>
      <c r="R1902" s="9"/>
      <c r="Z1902" s="21"/>
      <c r="AA1902" s="162">
        <f>+$AD$5-Tabla2[[#This Row],[FECHA DE FACTURACIÓN]]</f>
        <v>45443</v>
      </c>
      <c r="AB1902" s="163" t="str">
        <f>+IF(Tabla2[[#This Row],[dias de credito]]&gt;=Tabla2[[#This Row],[PLAZO Días]],"venc", "No venc")</f>
        <v>venc</v>
      </c>
      <c r="AC1902" s="163" t="str">
        <f>+IF(Tabla2[[#This Row],[FECHA DE PAGO]]&gt;0,"pagada","por pagar")</f>
        <v>por pagar</v>
      </c>
      <c r="AD1902" s="164" t="str">
        <f>+IF(AND(Tabla2[[#This Row],[venc]]="venc",Tabla2[[#This Row],[estado pago]]="por pagar"),"vencida","no")</f>
        <v>vencida</v>
      </c>
    </row>
    <row r="1903" spans="1:30" ht="19.5" hidden="1" customHeight="1" x14ac:dyDescent="0.25">
      <c r="A1903" s="8"/>
      <c r="B1903" s="8"/>
      <c r="C1903" s="8"/>
      <c r="D1903" s="151"/>
      <c r="E1903" s="151"/>
      <c r="F1903" s="24"/>
      <c r="G1903" s="30"/>
      <c r="H1903" s="81"/>
      <c r="I1903" s="30"/>
      <c r="J1903" s="16"/>
      <c r="K1903" s="9"/>
      <c r="L1903" s="9"/>
      <c r="M1903" s="152"/>
      <c r="N1903" s="153"/>
      <c r="O1903" s="152"/>
      <c r="P1903" s="154"/>
      <c r="Q1903" s="152"/>
      <c r="R1903" s="9"/>
      <c r="Z1903" s="21"/>
      <c r="AA1903" s="162">
        <f>+$AD$5-Tabla2[[#This Row],[FECHA DE FACTURACIÓN]]</f>
        <v>45443</v>
      </c>
      <c r="AB1903" s="163" t="str">
        <f>+IF(Tabla2[[#This Row],[dias de credito]]&gt;=Tabla2[[#This Row],[PLAZO Días]],"venc", "No venc")</f>
        <v>venc</v>
      </c>
      <c r="AC1903" s="163" t="str">
        <f>+IF(Tabla2[[#This Row],[FECHA DE PAGO]]&gt;0,"pagada","por pagar")</f>
        <v>por pagar</v>
      </c>
      <c r="AD1903" s="164" t="str">
        <f>+IF(AND(Tabla2[[#This Row],[venc]]="venc",Tabla2[[#This Row],[estado pago]]="por pagar"),"vencida","no")</f>
        <v>vencida</v>
      </c>
    </row>
    <row r="1904" spans="1:30" ht="19.5" hidden="1" customHeight="1" x14ac:dyDescent="0.25">
      <c r="A1904" s="8"/>
      <c r="B1904" s="8"/>
      <c r="C1904" s="8"/>
      <c r="D1904" s="151"/>
      <c r="E1904" s="151"/>
      <c r="F1904" s="24"/>
      <c r="G1904" s="30"/>
      <c r="H1904" s="81"/>
      <c r="I1904" s="30"/>
      <c r="J1904" s="16"/>
      <c r="K1904" s="9"/>
      <c r="L1904" s="9"/>
      <c r="M1904" s="152"/>
      <c r="N1904" s="153"/>
      <c r="O1904" s="152"/>
      <c r="P1904" s="154"/>
      <c r="Q1904" s="152"/>
      <c r="R1904" s="9"/>
      <c r="Z1904" s="21"/>
      <c r="AA1904" s="162">
        <f>+$AD$5-Tabla2[[#This Row],[FECHA DE FACTURACIÓN]]</f>
        <v>45443</v>
      </c>
      <c r="AB1904" s="163" t="str">
        <f>+IF(Tabla2[[#This Row],[dias de credito]]&gt;=Tabla2[[#This Row],[PLAZO Días]],"venc", "No venc")</f>
        <v>venc</v>
      </c>
      <c r="AC1904" s="163" t="str">
        <f>+IF(Tabla2[[#This Row],[FECHA DE PAGO]]&gt;0,"pagada","por pagar")</f>
        <v>por pagar</v>
      </c>
      <c r="AD1904" s="164" t="str">
        <f>+IF(AND(Tabla2[[#This Row],[venc]]="venc",Tabla2[[#This Row],[estado pago]]="por pagar"),"vencida","no")</f>
        <v>vencida</v>
      </c>
    </row>
    <row r="1905" spans="1:30" ht="19.5" hidden="1" customHeight="1" x14ac:dyDescent="0.25">
      <c r="A1905" s="8"/>
      <c r="B1905" s="8"/>
      <c r="C1905" s="8"/>
      <c r="D1905" s="151"/>
      <c r="E1905" s="151"/>
      <c r="F1905" s="24"/>
      <c r="G1905" s="30"/>
      <c r="H1905" s="81"/>
      <c r="I1905" s="30"/>
      <c r="J1905" s="16"/>
      <c r="K1905" s="9"/>
      <c r="L1905" s="9"/>
      <c r="M1905" s="152"/>
      <c r="N1905" s="153"/>
      <c r="O1905" s="152"/>
      <c r="P1905" s="154"/>
      <c r="Q1905" s="152"/>
      <c r="R1905" s="9"/>
      <c r="Z1905" s="21"/>
      <c r="AA1905" s="162">
        <f>+$AD$5-Tabla2[[#This Row],[FECHA DE FACTURACIÓN]]</f>
        <v>45443</v>
      </c>
      <c r="AB1905" s="163" t="str">
        <f>+IF(Tabla2[[#This Row],[dias de credito]]&gt;=Tabla2[[#This Row],[PLAZO Días]],"venc", "No venc")</f>
        <v>venc</v>
      </c>
      <c r="AC1905" s="163" t="str">
        <f>+IF(Tabla2[[#This Row],[FECHA DE PAGO]]&gt;0,"pagada","por pagar")</f>
        <v>por pagar</v>
      </c>
      <c r="AD1905" s="164" t="str">
        <f>+IF(AND(Tabla2[[#This Row],[venc]]="venc",Tabla2[[#This Row],[estado pago]]="por pagar"),"vencida","no")</f>
        <v>vencida</v>
      </c>
    </row>
    <row r="1906" spans="1:30" ht="19.5" hidden="1" customHeight="1" x14ac:dyDescent="0.25">
      <c r="A1906" s="8"/>
      <c r="B1906" s="8"/>
      <c r="C1906" s="8"/>
      <c r="D1906" s="151"/>
      <c r="E1906" s="151"/>
      <c r="F1906" s="24"/>
      <c r="G1906" s="30"/>
      <c r="H1906" s="81"/>
      <c r="I1906" s="30"/>
      <c r="J1906" s="16"/>
      <c r="K1906" s="9"/>
      <c r="L1906" s="9"/>
      <c r="M1906" s="152"/>
      <c r="N1906" s="153"/>
      <c r="O1906" s="152"/>
      <c r="P1906" s="154"/>
      <c r="Q1906" s="152"/>
      <c r="R1906" s="9"/>
      <c r="Z1906" s="21"/>
      <c r="AA1906" s="162">
        <f>+$AD$5-Tabla2[[#This Row],[FECHA DE FACTURACIÓN]]</f>
        <v>45443</v>
      </c>
      <c r="AB1906" s="163" t="str">
        <f>+IF(Tabla2[[#This Row],[dias de credito]]&gt;=Tabla2[[#This Row],[PLAZO Días]],"venc", "No venc")</f>
        <v>venc</v>
      </c>
      <c r="AC1906" s="163" t="str">
        <f>+IF(Tabla2[[#This Row],[FECHA DE PAGO]]&gt;0,"pagada","por pagar")</f>
        <v>por pagar</v>
      </c>
      <c r="AD1906" s="164" t="str">
        <f>+IF(AND(Tabla2[[#This Row],[venc]]="venc",Tabla2[[#This Row],[estado pago]]="por pagar"),"vencida","no")</f>
        <v>vencida</v>
      </c>
    </row>
    <row r="1907" spans="1:30" ht="19.5" hidden="1" customHeight="1" x14ac:dyDescent="0.25">
      <c r="A1907" s="8"/>
      <c r="B1907" s="8"/>
      <c r="C1907" s="8"/>
      <c r="D1907" s="151"/>
      <c r="E1907" s="151"/>
      <c r="F1907" s="24"/>
      <c r="G1907" s="30"/>
      <c r="H1907" s="81"/>
      <c r="I1907" s="30"/>
      <c r="J1907" s="16"/>
      <c r="K1907" s="9"/>
      <c r="L1907" s="9"/>
      <c r="M1907" s="152"/>
      <c r="N1907" s="153"/>
      <c r="O1907" s="152"/>
      <c r="P1907" s="154"/>
      <c r="Q1907" s="152"/>
      <c r="R1907" s="9"/>
      <c r="Z1907" s="21"/>
      <c r="AA1907" s="162">
        <f>+$AD$5-Tabla2[[#This Row],[FECHA DE FACTURACIÓN]]</f>
        <v>45443</v>
      </c>
      <c r="AB1907" s="163" t="str">
        <f>+IF(Tabla2[[#This Row],[dias de credito]]&gt;=Tabla2[[#This Row],[PLAZO Días]],"venc", "No venc")</f>
        <v>venc</v>
      </c>
      <c r="AC1907" s="163" t="str">
        <f>+IF(Tabla2[[#This Row],[FECHA DE PAGO]]&gt;0,"pagada","por pagar")</f>
        <v>por pagar</v>
      </c>
      <c r="AD1907" s="164" t="str">
        <f>+IF(AND(Tabla2[[#This Row],[venc]]="venc",Tabla2[[#This Row],[estado pago]]="por pagar"),"vencida","no")</f>
        <v>vencida</v>
      </c>
    </row>
    <row r="1908" spans="1:30" ht="19.5" hidden="1" customHeight="1" x14ac:dyDescent="0.25">
      <c r="A1908" s="8"/>
      <c r="B1908" s="8"/>
      <c r="C1908" s="8"/>
      <c r="D1908" s="151"/>
      <c r="E1908" s="151"/>
      <c r="F1908" s="24"/>
      <c r="G1908" s="30"/>
      <c r="H1908" s="81"/>
      <c r="I1908" s="30"/>
      <c r="J1908" s="16"/>
      <c r="K1908" s="9"/>
      <c r="L1908" s="9"/>
      <c r="M1908" s="152"/>
      <c r="N1908" s="153"/>
      <c r="O1908" s="152"/>
      <c r="P1908" s="154"/>
      <c r="Q1908" s="152"/>
      <c r="R1908" s="9"/>
      <c r="Z1908" s="21"/>
      <c r="AA1908" s="162">
        <f>+$AD$5-Tabla2[[#This Row],[FECHA DE FACTURACIÓN]]</f>
        <v>45443</v>
      </c>
      <c r="AB1908" s="163" t="str">
        <f>+IF(Tabla2[[#This Row],[dias de credito]]&gt;=Tabla2[[#This Row],[PLAZO Días]],"venc", "No venc")</f>
        <v>venc</v>
      </c>
      <c r="AC1908" s="163" t="str">
        <f>+IF(Tabla2[[#This Row],[FECHA DE PAGO]]&gt;0,"pagada","por pagar")</f>
        <v>por pagar</v>
      </c>
      <c r="AD1908" s="164" t="str">
        <f>+IF(AND(Tabla2[[#This Row],[venc]]="venc",Tabla2[[#This Row],[estado pago]]="por pagar"),"vencida","no")</f>
        <v>vencida</v>
      </c>
    </row>
    <row r="1909" spans="1:30" ht="19.5" hidden="1" customHeight="1" x14ac:dyDescent="0.25">
      <c r="A1909" s="8"/>
      <c r="B1909" s="8"/>
      <c r="C1909" s="8"/>
      <c r="D1909" s="151"/>
      <c r="E1909" s="151"/>
      <c r="F1909" s="24"/>
      <c r="G1909" s="30"/>
      <c r="H1909" s="81"/>
      <c r="I1909" s="30"/>
      <c r="J1909" s="16"/>
      <c r="K1909" s="9"/>
      <c r="L1909" s="9"/>
      <c r="M1909" s="152"/>
      <c r="N1909" s="153"/>
      <c r="O1909" s="152"/>
      <c r="P1909" s="154"/>
      <c r="Q1909" s="152"/>
      <c r="R1909" s="9"/>
      <c r="Z1909" s="21"/>
      <c r="AA1909" s="162">
        <f>+$AD$5-Tabla2[[#This Row],[FECHA DE FACTURACIÓN]]</f>
        <v>45443</v>
      </c>
      <c r="AB1909" s="163" t="str">
        <f>+IF(Tabla2[[#This Row],[dias de credito]]&gt;=Tabla2[[#This Row],[PLAZO Días]],"venc", "No venc")</f>
        <v>venc</v>
      </c>
      <c r="AC1909" s="163" t="str">
        <f>+IF(Tabla2[[#This Row],[FECHA DE PAGO]]&gt;0,"pagada","por pagar")</f>
        <v>por pagar</v>
      </c>
      <c r="AD1909" s="164" t="str">
        <f>+IF(AND(Tabla2[[#This Row],[venc]]="venc",Tabla2[[#This Row],[estado pago]]="por pagar"),"vencida","no")</f>
        <v>vencida</v>
      </c>
    </row>
    <row r="1910" spans="1:30" ht="19.5" hidden="1" customHeight="1" x14ac:dyDescent="0.25">
      <c r="A1910" s="8"/>
      <c r="B1910" s="8"/>
      <c r="C1910" s="8"/>
      <c r="D1910" s="151"/>
      <c r="E1910" s="151"/>
      <c r="F1910" s="24"/>
      <c r="G1910" s="30"/>
      <c r="H1910" s="81"/>
      <c r="I1910" s="30"/>
      <c r="J1910" s="16"/>
      <c r="K1910" s="9"/>
      <c r="L1910" s="9"/>
      <c r="M1910" s="152"/>
      <c r="N1910" s="153"/>
      <c r="O1910" s="152"/>
      <c r="P1910" s="154"/>
      <c r="Q1910" s="152"/>
      <c r="R1910" s="9"/>
      <c r="Z1910" s="21"/>
      <c r="AA1910" s="162">
        <f>+$AD$5-Tabla2[[#This Row],[FECHA DE FACTURACIÓN]]</f>
        <v>45443</v>
      </c>
      <c r="AB1910" s="163" t="str">
        <f>+IF(Tabla2[[#This Row],[dias de credito]]&gt;=Tabla2[[#This Row],[PLAZO Días]],"venc", "No venc")</f>
        <v>venc</v>
      </c>
      <c r="AC1910" s="163" t="str">
        <f>+IF(Tabla2[[#This Row],[FECHA DE PAGO]]&gt;0,"pagada","por pagar")</f>
        <v>por pagar</v>
      </c>
      <c r="AD1910" s="164" t="str">
        <f>+IF(AND(Tabla2[[#This Row],[venc]]="venc",Tabla2[[#This Row],[estado pago]]="por pagar"),"vencida","no")</f>
        <v>vencida</v>
      </c>
    </row>
    <row r="1911" spans="1:30" ht="19.5" hidden="1" customHeight="1" x14ac:dyDescent="0.25">
      <c r="A1911" s="8"/>
      <c r="B1911" s="8"/>
      <c r="C1911" s="8"/>
      <c r="D1911" s="151"/>
      <c r="E1911" s="151"/>
      <c r="F1911" s="24"/>
      <c r="G1911" s="30"/>
      <c r="H1911" s="81"/>
      <c r="I1911" s="30"/>
      <c r="J1911" s="16"/>
      <c r="K1911" s="9"/>
      <c r="L1911" s="9"/>
      <c r="M1911" s="152"/>
      <c r="N1911" s="153"/>
      <c r="O1911" s="152"/>
      <c r="P1911" s="154"/>
      <c r="Q1911" s="152"/>
      <c r="R1911" s="9"/>
      <c r="Z1911" s="21"/>
      <c r="AA1911" s="162">
        <f>+$AD$5-Tabla2[[#This Row],[FECHA DE FACTURACIÓN]]</f>
        <v>45443</v>
      </c>
      <c r="AB1911" s="163" t="str">
        <f>+IF(Tabla2[[#This Row],[dias de credito]]&gt;=Tabla2[[#This Row],[PLAZO Días]],"venc", "No venc")</f>
        <v>venc</v>
      </c>
      <c r="AC1911" s="163" t="str">
        <f>+IF(Tabla2[[#This Row],[FECHA DE PAGO]]&gt;0,"pagada","por pagar")</f>
        <v>por pagar</v>
      </c>
      <c r="AD1911" s="164" t="str">
        <f>+IF(AND(Tabla2[[#This Row],[venc]]="venc",Tabla2[[#This Row],[estado pago]]="por pagar"),"vencida","no")</f>
        <v>vencida</v>
      </c>
    </row>
    <row r="1912" spans="1:30" ht="19.5" hidden="1" customHeight="1" x14ac:dyDescent="0.25">
      <c r="A1912" s="8"/>
      <c r="B1912" s="8"/>
      <c r="C1912" s="8"/>
      <c r="D1912" s="151"/>
      <c r="E1912" s="151"/>
      <c r="F1912" s="24"/>
      <c r="G1912" s="30"/>
      <c r="H1912" s="81"/>
      <c r="I1912" s="30"/>
      <c r="J1912" s="16"/>
      <c r="K1912" s="9"/>
      <c r="L1912" s="9"/>
      <c r="M1912" s="152"/>
      <c r="N1912" s="153"/>
      <c r="O1912" s="152"/>
      <c r="P1912" s="154"/>
      <c r="Q1912" s="152"/>
      <c r="R1912" s="9"/>
      <c r="Z1912" s="21"/>
      <c r="AA1912" s="162">
        <f>+$AD$5-Tabla2[[#This Row],[FECHA DE FACTURACIÓN]]</f>
        <v>45443</v>
      </c>
      <c r="AB1912" s="163" t="str">
        <f>+IF(Tabla2[[#This Row],[dias de credito]]&gt;=Tabla2[[#This Row],[PLAZO Días]],"venc", "No venc")</f>
        <v>venc</v>
      </c>
      <c r="AC1912" s="163" t="str">
        <f>+IF(Tabla2[[#This Row],[FECHA DE PAGO]]&gt;0,"pagada","por pagar")</f>
        <v>por pagar</v>
      </c>
      <c r="AD1912" s="164" t="str">
        <f>+IF(AND(Tabla2[[#This Row],[venc]]="venc",Tabla2[[#This Row],[estado pago]]="por pagar"),"vencida","no")</f>
        <v>vencida</v>
      </c>
    </row>
    <row r="1913" spans="1:30" ht="19.5" hidden="1" customHeight="1" x14ac:dyDescent="0.25">
      <c r="A1913" s="8"/>
      <c r="B1913" s="8"/>
      <c r="C1913" s="8"/>
      <c r="D1913" s="151"/>
      <c r="E1913" s="151"/>
      <c r="F1913" s="24"/>
      <c r="G1913" s="30"/>
      <c r="H1913" s="81"/>
      <c r="I1913" s="30"/>
      <c r="J1913" s="16"/>
      <c r="K1913" s="9"/>
      <c r="L1913" s="9"/>
      <c r="M1913" s="152"/>
      <c r="N1913" s="153"/>
      <c r="O1913" s="152"/>
      <c r="P1913" s="154"/>
      <c r="Q1913" s="152"/>
      <c r="R1913" s="9"/>
      <c r="Z1913" s="21"/>
      <c r="AA1913" s="162">
        <f>+$AD$5-Tabla2[[#This Row],[FECHA DE FACTURACIÓN]]</f>
        <v>45443</v>
      </c>
      <c r="AB1913" s="163" t="str">
        <f>+IF(Tabla2[[#This Row],[dias de credito]]&gt;=Tabla2[[#This Row],[PLAZO Días]],"venc", "No venc")</f>
        <v>venc</v>
      </c>
      <c r="AC1913" s="163" t="str">
        <f>+IF(Tabla2[[#This Row],[FECHA DE PAGO]]&gt;0,"pagada","por pagar")</f>
        <v>por pagar</v>
      </c>
      <c r="AD1913" s="164" t="str">
        <f>+IF(AND(Tabla2[[#This Row],[venc]]="venc",Tabla2[[#This Row],[estado pago]]="por pagar"),"vencida","no")</f>
        <v>vencida</v>
      </c>
    </row>
    <row r="1914" spans="1:30" ht="19.5" hidden="1" customHeight="1" x14ac:dyDescent="0.25">
      <c r="A1914" s="8"/>
      <c r="B1914" s="8"/>
      <c r="C1914" s="8"/>
      <c r="D1914" s="151"/>
      <c r="E1914" s="151"/>
      <c r="F1914" s="24"/>
      <c r="G1914" s="30"/>
      <c r="H1914" s="81"/>
      <c r="I1914" s="30"/>
      <c r="J1914" s="16"/>
      <c r="K1914" s="9"/>
      <c r="L1914" s="9"/>
      <c r="M1914" s="152"/>
      <c r="N1914" s="153"/>
      <c r="O1914" s="152"/>
      <c r="P1914" s="154"/>
      <c r="Q1914" s="152"/>
      <c r="R1914" s="9"/>
      <c r="Z1914" s="21"/>
      <c r="AA1914" s="162">
        <f>+$AD$5-Tabla2[[#This Row],[FECHA DE FACTURACIÓN]]</f>
        <v>45443</v>
      </c>
      <c r="AB1914" s="163" t="str">
        <f>+IF(Tabla2[[#This Row],[dias de credito]]&gt;=Tabla2[[#This Row],[PLAZO Días]],"venc", "No venc")</f>
        <v>venc</v>
      </c>
      <c r="AC1914" s="163" t="str">
        <f>+IF(Tabla2[[#This Row],[FECHA DE PAGO]]&gt;0,"pagada","por pagar")</f>
        <v>por pagar</v>
      </c>
      <c r="AD1914" s="164" t="str">
        <f>+IF(AND(Tabla2[[#This Row],[venc]]="venc",Tabla2[[#This Row],[estado pago]]="por pagar"),"vencida","no")</f>
        <v>vencida</v>
      </c>
    </row>
    <row r="1915" spans="1:30" ht="19.5" hidden="1" customHeight="1" x14ac:dyDescent="0.25">
      <c r="A1915" s="8"/>
      <c r="B1915" s="8"/>
      <c r="C1915" s="8"/>
      <c r="D1915" s="151"/>
      <c r="E1915" s="151"/>
      <c r="F1915" s="24"/>
      <c r="G1915" s="30"/>
      <c r="H1915" s="81"/>
      <c r="I1915" s="30"/>
      <c r="J1915" s="16"/>
      <c r="K1915" s="9"/>
      <c r="L1915" s="9"/>
      <c r="M1915" s="152"/>
      <c r="N1915" s="153"/>
      <c r="O1915" s="152"/>
      <c r="P1915" s="154"/>
      <c r="Q1915" s="152"/>
      <c r="R1915" s="9"/>
      <c r="Z1915" s="21"/>
      <c r="AA1915" s="162">
        <f>+$AD$5-Tabla2[[#This Row],[FECHA DE FACTURACIÓN]]</f>
        <v>45443</v>
      </c>
      <c r="AB1915" s="163" t="str">
        <f>+IF(Tabla2[[#This Row],[dias de credito]]&gt;=Tabla2[[#This Row],[PLAZO Días]],"venc", "No venc")</f>
        <v>venc</v>
      </c>
      <c r="AC1915" s="163" t="str">
        <f>+IF(Tabla2[[#This Row],[FECHA DE PAGO]]&gt;0,"pagada","por pagar")</f>
        <v>por pagar</v>
      </c>
      <c r="AD1915" s="164" t="str">
        <f>+IF(AND(Tabla2[[#This Row],[venc]]="venc",Tabla2[[#This Row],[estado pago]]="por pagar"),"vencida","no")</f>
        <v>vencida</v>
      </c>
    </row>
    <row r="1916" spans="1:30" ht="19.5" hidden="1" customHeight="1" x14ac:dyDescent="0.25">
      <c r="A1916" s="8"/>
      <c r="B1916" s="8"/>
      <c r="C1916" s="8"/>
      <c r="D1916" s="151"/>
      <c r="E1916" s="151"/>
      <c r="F1916" s="24"/>
      <c r="G1916" s="30"/>
      <c r="H1916" s="81"/>
      <c r="I1916" s="30"/>
      <c r="J1916" s="16"/>
      <c r="K1916" s="9"/>
      <c r="L1916" s="9"/>
      <c r="M1916" s="152"/>
      <c r="N1916" s="153"/>
      <c r="O1916" s="152"/>
      <c r="P1916" s="154"/>
      <c r="Q1916" s="152"/>
      <c r="R1916" s="9"/>
      <c r="Z1916" s="21"/>
      <c r="AA1916" s="162">
        <f>+$AD$5-Tabla2[[#This Row],[FECHA DE FACTURACIÓN]]</f>
        <v>45443</v>
      </c>
      <c r="AB1916" s="163" t="str">
        <f>+IF(Tabla2[[#This Row],[dias de credito]]&gt;=Tabla2[[#This Row],[PLAZO Días]],"venc", "No venc")</f>
        <v>venc</v>
      </c>
      <c r="AC1916" s="163" t="str">
        <f>+IF(Tabla2[[#This Row],[FECHA DE PAGO]]&gt;0,"pagada","por pagar")</f>
        <v>por pagar</v>
      </c>
      <c r="AD1916" s="164" t="str">
        <f>+IF(AND(Tabla2[[#This Row],[venc]]="venc",Tabla2[[#This Row],[estado pago]]="por pagar"),"vencida","no")</f>
        <v>vencida</v>
      </c>
    </row>
    <row r="1917" spans="1:30" ht="19.5" hidden="1" customHeight="1" x14ac:dyDescent="0.25">
      <c r="A1917" s="8"/>
      <c r="B1917" s="8"/>
      <c r="C1917" s="8"/>
      <c r="D1917" s="151"/>
      <c r="E1917" s="151"/>
      <c r="F1917" s="24"/>
      <c r="G1917" s="30"/>
      <c r="H1917" s="81"/>
      <c r="I1917" s="30"/>
      <c r="J1917" s="16"/>
      <c r="K1917" s="9"/>
      <c r="L1917" s="9"/>
      <c r="M1917" s="152"/>
      <c r="N1917" s="153"/>
      <c r="O1917" s="152"/>
      <c r="P1917" s="154"/>
      <c r="Q1917" s="152"/>
      <c r="R1917" s="9"/>
      <c r="Z1917" s="21"/>
      <c r="AA1917" s="162">
        <f>+$AD$5-Tabla2[[#This Row],[FECHA DE FACTURACIÓN]]</f>
        <v>45443</v>
      </c>
      <c r="AB1917" s="163" t="str">
        <f>+IF(Tabla2[[#This Row],[dias de credito]]&gt;=Tabla2[[#This Row],[PLAZO Días]],"venc", "No venc")</f>
        <v>venc</v>
      </c>
      <c r="AC1917" s="163" t="str">
        <f>+IF(Tabla2[[#This Row],[FECHA DE PAGO]]&gt;0,"pagada","por pagar")</f>
        <v>por pagar</v>
      </c>
      <c r="AD1917" s="164" t="str">
        <f>+IF(AND(Tabla2[[#This Row],[venc]]="venc",Tabla2[[#This Row],[estado pago]]="por pagar"),"vencida","no")</f>
        <v>vencida</v>
      </c>
    </row>
    <row r="1918" spans="1:30" ht="19.5" hidden="1" customHeight="1" x14ac:dyDescent="0.25">
      <c r="A1918" s="8"/>
      <c r="B1918" s="8"/>
      <c r="C1918" s="8"/>
      <c r="D1918" s="151"/>
      <c r="E1918" s="151"/>
      <c r="F1918" s="24"/>
      <c r="G1918" s="30"/>
      <c r="H1918" s="81"/>
      <c r="I1918" s="30"/>
      <c r="J1918" s="16"/>
      <c r="K1918" s="9"/>
      <c r="L1918" s="9"/>
      <c r="M1918" s="152"/>
      <c r="N1918" s="153"/>
      <c r="O1918" s="152"/>
      <c r="P1918" s="154"/>
      <c r="Q1918" s="152"/>
      <c r="R1918" s="9"/>
      <c r="Z1918" s="21"/>
      <c r="AA1918" s="162">
        <f>+$AD$5-Tabla2[[#This Row],[FECHA DE FACTURACIÓN]]</f>
        <v>45443</v>
      </c>
      <c r="AB1918" s="163" t="str">
        <f>+IF(Tabla2[[#This Row],[dias de credito]]&gt;=Tabla2[[#This Row],[PLAZO Días]],"venc", "No venc")</f>
        <v>venc</v>
      </c>
      <c r="AC1918" s="163" t="str">
        <f>+IF(Tabla2[[#This Row],[FECHA DE PAGO]]&gt;0,"pagada","por pagar")</f>
        <v>por pagar</v>
      </c>
      <c r="AD1918" s="164" t="str">
        <f>+IF(AND(Tabla2[[#This Row],[venc]]="venc",Tabla2[[#This Row],[estado pago]]="por pagar"),"vencida","no")</f>
        <v>vencida</v>
      </c>
    </row>
    <row r="1919" spans="1:30" ht="19.5" hidden="1" customHeight="1" x14ac:dyDescent="0.25">
      <c r="A1919" s="8"/>
      <c r="B1919" s="8"/>
      <c r="C1919" s="8"/>
      <c r="D1919" s="151"/>
      <c r="E1919" s="151"/>
      <c r="F1919" s="24"/>
      <c r="G1919" s="30"/>
      <c r="H1919" s="81"/>
      <c r="I1919" s="30"/>
      <c r="J1919" s="16"/>
      <c r="K1919" s="9"/>
      <c r="L1919" s="9"/>
      <c r="M1919" s="152"/>
      <c r="N1919" s="153"/>
      <c r="O1919" s="152"/>
      <c r="P1919" s="154"/>
      <c r="Q1919" s="152"/>
      <c r="R1919" s="9"/>
      <c r="Z1919" s="21"/>
      <c r="AA1919" s="162">
        <f>+$AD$5-Tabla2[[#This Row],[FECHA DE FACTURACIÓN]]</f>
        <v>45443</v>
      </c>
      <c r="AB1919" s="163" t="str">
        <f>+IF(Tabla2[[#This Row],[dias de credito]]&gt;=Tabla2[[#This Row],[PLAZO Días]],"venc", "No venc")</f>
        <v>venc</v>
      </c>
      <c r="AC1919" s="163" t="str">
        <f>+IF(Tabla2[[#This Row],[FECHA DE PAGO]]&gt;0,"pagada","por pagar")</f>
        <v>por pagar</v>
      </c>
      <c r="AD1919" s="164" t="str">
        <f>+IF(AND(Tabla2[[#This Row],[venc]]="venc",Tabla2[[#This Row],[estado pago]]="por pagar"),"vencida","no")</f>
        <v>vencida</v>
      </c>
    </row>
    <row r="1920" spans="1:30" ht="19.5" hidden="1" customHeight="1" x14ac:dyDescent="0.25">
      <c r="A1920" s="8"/>
      <c r="B1920" s="8"/>
      <c r="C1920" s="8"/>
      <c r="D1920" s="151"/>
      <c r="E1920" s="151"/>
      <c r="F1920" s="24"/>
      <c r="G1920" s="30"/>
      <c r="H1920" s="81"/>
      <c r="I1920" s="30"/>
      <c r="J1920" s="16"/>
      <c r="K1920" s="9"/>
      <c r="L1920" s="9"/>
      <c r="M1920" s="152"/>
      <c r="N1920" s="153"/>
      <c r="O1920" s="152"/>
      <c r="P1920" s="154"/>
      <c r="Q1920" s="152"/>
      <c r="R1920" s="9"/>
      <c r="Z1920" s="21"/>
      <c r="AA1920" s="162">
        <f>+$AD$5-Tabla2[[#This Row],[FECHA DE FACTURACIÓN]]</f>
        <v>45443</v>
      </c>
      <c r="AB1920" s="163" t="str">
        <f>+IF(Tabla2[[#This Row],[dias de credito]]&gt;=Tabla2[[#This Row],[PLAZO Días]],"venc", "No venc")</f>
        <v>venc</v>
      </c>
      <c r="AC1920" s="163" t="str">
        <f>+IF(Tabla2[[#This Row],[FECHA DE PAGO]]&gt;0,"pagada","por pagar")</f>
        <v>por pagar</v>
      </c>
      <c r="AD1920" s="164" t="str">
        <f>+IF(AND(Tabla2[[#This Row],[venc]]="venc",Tabla2[[#This Row],[estado pago]]="por pagar"),"vencida","no")</f>
        <v>vencida</v>
      </c>
    </row>
    <row r="1921" spans="1:30" ht="19.5" hidden="1" customHeight="1" x14ac:dyDescent="0.25">
      <c r="A1921" s="8"/>
      <c r="B1921" s="8"/>
      <c r="C1921" s="8"/>
      <c r="D1921" s="151"/>
      <c r="E1921" s="151"/>
      <c r="F1921" s="24"/>
      <c r="G1921" s="30"/>
      <c r="H1921" s="81"/>
      <c r="I1921" s="30"/>
      <c r="J1921" s="16"/>
      <c r="K1921" s="9"/>
      <c r="L1921" s="9"/>
      <c r="M1921" s="152"/>
      <c r="N1921" s="153"/>
      <c r="O1921" s="152"/>
      <c r="P1921" s="154"/>
      <c r="Q1921" s="152"/>
      <c r="R1921" s="9"/>
      <c r="Z1921" s="21"/>
      <c r="AA1921" s="162">
        <f>+$AD$5-Tabla2[[#This Row],[FECHA DE FACTURACIÓN]]</f>
        <v>45443</v>
      </c>
      <c r="AB1921" s="163" t="str">
        <f>+IF(Tabla2[[#This Row],[dias de credito]]&gt;=Tabla2[[#This Row],[PLAZO Días]],"venc", "No venc")</f>
        <v>venc</v>
      </c>
      <c r="AC1921" s="163" t="str">
        <f>+IF(Tabla2[[#This Row],[FECHA DE PAGO]]&gt;0,"pagada","por pagar")</f>
        <v>por pagar</v>
      </c>
      <c r="AD1921" s="164" t="str">
        <f>+IF(AND(Tabla2[[#This Row],[venc]]="venc",Tabla2[[#This Row],[estado pago]]="por pagar"),"vencida","no")</f>
        <v>vencida</v>
      </c>
    </row>
    <row r="1922" spans="1:30" ht="19.5" hidden="1" customHeight="1" x14ac:dyDescent="0.25">
      <c r="A1922" s="8"/>
      <c r="B1922" s="8"/>
      <c r="C1922" s="8"/>
      <c r="D1922" s="151"/>
      <c r="E1922" s="151"/>
      <c r="F1922" s="24"/>
      <c r="G1922" s="30"/>
      <c r="H1922" s="81"/>
      <c r="I1922" s="30"/>
      <c r="J1922" s="16"/>
      <c r="K1922" s="9"/>
      <c r="L1922" s="9"/>
      <c r="M1922" s="152"/>
      <c r="N1922" s="153"/>
      <c r="O1922" s="152"/>
      <c r="P1922" s="154"/>
      <c r="Q1922" s="152"/>
      <c r="R1922" s="9"/>
      <c r="Z1922" s="21"/>
      <c r="AA1922" s="162">
        <f>+$AD$5-Tabla2[[#This Row],[FECHA DE FACTURACIÓN]]</f>
        <v>45443</v>
      </c>
      <c r="AB1922" s="163" t="str">
        <f>+IF(Tabla2[[#This Row],[dias de credito]]&gt;=Tabla2[[#This Row],[PLAZO Días]],"venc", "No venc")</f>
        <v>venc</v>
      </c>
      <c r="AC1922" s="163" t="str">
        <f>+IF(Tabla2[[#This Row],[FECHA DE PAGO]]&gt;0,"pagada","por pagar")</f>
        <v>por pagar</v>
      </c>
      <c r="AD1922" s="164" t="str">
        <f>+IF(AND(Tabla2[[#This Row],[venc]]="venc",Tabla2[[#This Row],[estado pago]]="por pagar"),"vencida","no")</f>
        <v>vencida</v>
      </c>
    </row>
    <row r="1923" spans="1:30" ht="19.5" hidden="1" customHeight="1" x14ac:dyDescent="0.25">
      <c r="A1923" s="8"/>
      <c r="B1923" s="8"/>
      <c r="C1923" s="8"/>
      <c r="D1923" s="151"/>
      <c r="E1923" s="151"/>
      <c r="F1923" s="24"/>
      <c r="G1923" s="30"/>
      <c r="H1923" s="81"/>
      <c r="I1923" s="30"/>
      <c r="J1923" s="16"/>
      <c r="K1923" s="9"/>
      <c r="L1923" s="9"/>
      <c r="M1923" s="152"/>
      <c r="N1923" s="153"/>
      <c r="O1923" s="152"/>
      <c r="P1923" s="154"/>
      <c r="Q1923" s="152"/>
      <c r="R1923" s="9"/>
      <c r="Z1923" s="21"/>
      <c r="AA1923" s="162">
        <f>+$AD$5-Tabla2[[#This Row],[FECHA DE FACTURACIÓN]]</f>
        <v>45443</v>
      </c>
      <c r="AB1923" s="163" t="str">
        <f>+IF(Tabla2[[#This Row],[dias de credito]]&gt;=Tabla2[[#This Row],[PLAZO Días]],"venc", "No venc")</f>
        <v>venc</v>
      </c>
      <c r="AC1923" s="163" t="str">
        <f>+IF(Tabla2[[#This Row],[FECHA DE PAGO]]&gt;0,"pagada","por pagar")</f>
        <v>por pagar</v>
      </c>
      <c r="AD1923" s="164" t="str">
        <f>+IF(AND(Tabla2[[#This Row],[venc]]="venc",Tabla2[[#This Row],[estado pago]]="por pagar"),"vencida","no")</f>
        <v>vencida</v>
      </c>
    </row>
    <row r="1924" spans="1:30" ht="19.5" hidden="1" customHeight="1" x14ac:dyDescent="0.25">
      <c r="A1924" s="8"/>
      <c r="B1924" s="8"/>
      <c r="C1924" s="8"/>
      <c r="D1924" s="151"/>
      <c r="E1924" s="151"/>
      <c r="F1924" s="24"/>
      <c r="G1924" s="30"/>
      <c r="H1924" s="81"/>
      <c r="I1924" s="30"/>
      <c r="J1924" s="16"/>
      <c r="K1924" s="9"/>
      <c r="L1924" s="9"/>
      <c r="M1924" s="152"/>
      <c r="N1924" s="153"/>
      <c r="O1924" s="152"/>
      <c r="P1924" s="154"/>
      <c r="Q1924" s="152"/>
      <c r="R1924" s="9"/>
      <c r="Z1924" s="21"/>
      <c r="AA1924" s="162">
        <f>+$AD$5-Tabla2[[#This Row],[FECHA DE FACTURACIÓN]]</f>
        <v>45443</v>
      </c>
      <c r="AB1924" s="163" t="str">
        <f>+IF(Tabla2[[#This Row],[dias de credito]]&gt;=Tabla2[[#This Row],[PLAZO Días]],"venc", "No venc")</f>
        <v>venc</v>
      </c>
      <c r="AC1924" s="163" t="str">
        <f>+IF(Tabla2[[#This Row],[FECHA DE PAGO]]&gt;0,"pagada","por pagar")</f>
        <v>por pagar</v>
      </c>
      <c r="AD1924" s="164" t="str">
        <f>+IF(AND(Tabla2[[#This Row],[venc]]="venc",Tabla2[[#This Row],[estado pago]]="por pagar"),"vencida","no")</f>
        <v>vencida</v>
      </c>
    </row>
    <row r="1925" spans="1:30" ht="19.5" hidden="1" customHeight="1" x14ac:dyDescent="0.25">
      <c r="A1925" s="8"/>
      <c r="B1925" s="8"/>
      <c r="C1925" s="8"/>
      <c r="D1925" s="151"/>
      <c r="E1925" s="151"/>
      <c r="F1925" s="24"/>
      <c r="G1925" s="30"/>
      <c r="H1925" s="81"/>
      <c r="I1925" s="30"/>
      <c r="J1925" s="16"/>
      <c r="K1925" s="9"/>
      <c r="L1925" s="9"/>
      <c r="M1925" s="152"/>
      <c r="N1925" s="153"/>
      <c r="O1925" s="152"/>
      <c r="P1925" s="154"/>
      <c r="Q1925" s="152"/>
      <c r="R1925" s="9"/>
      <c r="Z1925" s="21"/>
      <c r="AA1925" s="162">
        <f>+$AD$5-Tabla2[[#This Row],[FECHA DE FACTURACIÓN]]</f>
        <v>45443</v>
      </c>
      <c r="AB1925" s="163" t="str">
        <f>+IF(Tabla2[[#This Row],[dias de credito]]&gt;=Tabla2[[#This Row],[PLAZO Días]],"venc", "No venc")</f>
        <v>venc</v>
      </c>
      <c r="AC1925" s="163" t="str">
        <f>+IF(Tabla2[[#This Row],[FECHA DE PAGO]]&gt;0,"pagada","por pagar")</f>
        <v>por pagar</v>
      </c>
      <c r="AD1925" s="164" t="str">
        <f>+IF(AND(Tabla2[[#This Row],[venc]]="venc",Tabla2[[#This Row],[estado pago]]="por pagar"),"vencida","no")</f>
        <v>vencida</v>
      </c>
    </row>
    <row r="1926" spans="1:30" ht="19.5" hidden="1" customHeight="1" x14ac:dyDescent="0.25">
      <c r="A1926" s="8"/>
      <c r="B1926" s="8"/>
      <c r="C1926" s="8"/>
      <c r="D1926" s="151"/>
      <c r="E1926" s="151"/>
      <c r="F1926" s="24"/>
      <c r="G1926" s="30"/>
      <c r="H1926" s="81"/>
      <c r="I1926" s="30"/>
      <c r="J1926" s="16"/>
      <c r="K1926" s="9"/>
      <c r="L1926" s="9"/>
      <c r="M1926" s="152"/>
      <c r="N1926" s="153"/>
      <c r="O1926" s="152"/>
      <c r="P1926" s="154"/>
      <c r="Q1926" s="152"/>
      <c r="R1926" s="9"/>
      <c r="Z1926" s="21"/>
      <c r="AA1926" s="162">
        <f>+$AD$5-Tabla2[[#This Row],[FECHA DE FACTURACIÓN]]</f>
        <v>45443</v>
      </c>
      <c r="AB1926" s="163" t="str">
        <f>+IF(Tabla2[[#This Row],[dias de credito]]&gt;=Tabla2[[#This Row],[PLAZO Días]],"venc", "No venc")</f>
        <v>venc</v>
      </c>
      <c r="AC1926" s="163" t="str">
        <f>+IF(Tabla2[[#This Row],[FECHA DE PAGO]]&gt;0,"pagada","por pagar")</f>
        <v>por pagar</v>
      </c>
      <c r="AD1926" s="164" t="str">
        <f>+IF(AND(Tabla2[[#This Row],[venc]]="venc",Tabla2[[#This Row],[estado pago]]="por pagar"),"vencida","no")</f>
        <v>vencida</v>
      </c>
    </row>
    <row r="1927" spans="1:30" ht="19.5" hidden="1" customHeight="1" x14ac:dyDescent="0.25">
      <c r="A1927" s="8"/>
      <c r="B1927" s="8"/>
      <c r="C1927" s="8"/>
      <c r="D1927" s="151"/>
      <c r="E1927" s="151"/>
      <c r="F1927" s="24"/>
      <c r="G1927" s="30"/>
      <c r="H1927" s="81"/>
      <c r="I1927" s="30"/>
      <c r="J1927" s="16"/>
      <c r="K1927" s="9"/>
      <c r="L1927" s="9"/>
      <c r="M1927" s="152"/>
      <c r="N1927" s="153"/>
      <c r="O1927" s="152"/>
      <c r="P1927" s="154"/>
      <c r="Q1927" s="152"/>
      <c r="R1927" s="9"/>
      <c r="Z1927" s="21"/>
      <c r="AA1927" s="162">
        <f>+$AD$5-Tabla2[[#This Row],[FECHA DE FACTURACIÓN]]</f>
        <v>45443</v>
      </c>
      <c r="AB1927" s="163" t="str">
        <f>+IF(Tabla2[[#This Row],[dias de credito]]&gt;=Tabla2[[#This Row],[PLAZO Días]],"venc", "No venc")</f>
        <v>venc</v>
      </c>
      <c r="AC1927" s="163" t="str">
        <f>+IF(Tabla2[[#This Row],[FECHA DE PAGO]]&gt;0,"pagada","por pagar")</f>
        <v>por pagar</v>
      </c>
      <c r="AD1927" s="164" t="str">
        <f>+IF(AND(Tabla2[[#This Row],[venc]]="venc",Tabla2[[#This Row],[estado pago]]="por pagar"),"vencida","no")</f>
        <v>vencida</v>
      </c>
    </row>
    <row r="1928" spans="1:30" ht="19.5" hidden="1" customHeight="1" x14ac:dyDescent="0.25">
      <c r="A1928" s="8"/>
      <c r="B1928" s="8"/>
      <c r="C1928" s="8"/>
      <c r="D1928" s="151"/>
      <c r="E1928" s="151"/>
      <c r="F1928" s="24"/>
      <c r="G1928" s="30"/>
      <c r="H1928" s="81"/>
      <c r="I1928" s="30"/>
      <c r="J1928" s="16"/>
      <c r="K1928" s="9"/>
      <c r="L1928" s="9"/>
      <c r="M1928" s="152"/>
      <c r="N1928" s="153"/>
      <c r="O1928" s="152"/>
      <c r="P1928" s="154"/>
      <c r="Q1928" s="152"/>
      <c r="R1928" s="9"/>
      <c r="Z1928" s="21"/>
      <c r="AA1928" s="162">
        <f>+$AD$5-Tabla2[[#This Row],[FECHA DE FACTURACIÓN]]</f>
        <v>45443</v>
      </c>
      <c r="AB1928" s="163" t="str">
        <f>+IF(Tabla2[[#This Row],[dias de credito]]&gt;=Tabla2[[#This Row],[PLAZO Días]],"venc", "No venc")</f>
        <v>venc</v>
      </c>
      <c r="AC1928" s="163" t="str">
        <f>+IF(Tabla2[[#This Row],[FECHA DE PAGO]]&gt;0,"pagada","por pagar")</f>
        <v>por pagar</v>
      </c>
      <c r="AD1928" s="164" t="str">
        <f>+IF(AND(Tabla2[[#This Row],[venc]]="venc",Tabla2[[#This Row],[estado pago]]="por pagar"),"vencida","no")</f>
        <v>vencida</v>
      </c>
    </row>
    <row r="1929" spans="1:30" ht="19.5" hidden="1" customHeight="1" x14ac:dyDescent="0.25">
      <c r="A1929" s="8"/>
      <c r="B1929" s="8"/>
      <c r="C1929" s="8"/>
      <c r="D1929" s="151"/>
      <c r="E1929" s="151"/>
      <c r="F1929" s="24"/>
      <c r="G1929" s="30"/>
      <c r="H1929" s="81"/>
      <c r="I1929" s="30"/>
      <c r="J1929" s="16"/>
      <c r="K1929" s="9"/>
      <c r="L1929" s="9"/>
      <c r="M1929" s="152"/>
      <c r="N1929" s="153"/>
      <c r="O1929" s="152"/>
      <c r="P1929" s="154"/>
      <c r="Q1929" s="152"/>
      <c r="R1929" s="9"/>
      <c r="Z1929" s="21"/>
      <c r="AA1929" s="162">
        <f>+$AD$5-Tabla2[[#This Row],[FECHA DE FACTURACIÓN]]</f>
        <v>45443</v>
      </c>
      <c r="AB1929" s="163" t="str">
        <f>+IF(Tabla2[[#This Row],[dias de credito]]&gt;=Tabla2[[#This Row],[PLAZO Días]],"venc", "No venc")</f>
        <v>venc</v>
      </c>
      <c r="AC1929" s="163" t="str">
        <f>+IF(Tabla2[[#This Row],[FECHA DE PAGO]]&gt;0,"pagada","por pagar")</f>
        <v>por pagar</v>
      </c>
      <c r="AD1929" s="164" t="str">
        <f>+IF(AND(Tabla2[[#This Row],[venc]]="venc",Tabla2[[#This Row],[estado pago]]="por pagar"),"vencida","no")</f>
        <v>vencida</v>
      </c>
    </row>
    <row r="1930" spans="1:30" ht="19.5" hidden="1" customHeight="1" x14ac:dyDescent="0.25">
      <c r="A1930" s="8"/>
      <c r="B1930" s="8"/>
      <c r="C1930" s="8"/>
      <c r="D1930" s="151"/>
      <c r="E1930" s="151"/>
      <c r="F1930" s="24"/>
      <c r="G1930" s="30"/>
      <c r="H1930" s="81"/>
      <c r="I1930" s="30"/>
      <c r="J1930" s="16"/>
      <c r="K1930" s="9"/>
      <c r="L1930" s="9"/>
      <c r="M1930" s="152"/>
      <c r="N1930" s="153"/>
      <c r="O1930" s="152"/>
      <c r="P1930" s="154"/>
      <c r="Q1930" s="152"/>
      <c r="R1930" s="9"/>
      <c r="Z1930" s="21"/>
      <c r="AA1930" s="162">
        <f>+$AD$5-Tabla2[[#This Row],[FECHA DE FACTURACIÓN]]</f>
        <v>45443</v>
      </c>
      <c r="AB1930" s="163" t="str">
        <f>+IF(Tabla2[[#This Row],[dias de credito]]&gt;=Tabla2[[#This Row],[PLAZO Días]],"venc", "No venc")</f>
        <v>venc</v>
      </c>
      <c r="AC1930" s="163" t="str">
        <f>+IF(Tabla2[[#This Row],[FECHA DE PAGO]]&gt;0,"pagada","por pagar")</f>
        <v>por pagar</v>
      </c>
      <c r="AD1930" s="164" t="str">
        <f>+IF(AND(Tabla2[[#This Row],[venc]]="venc",Tabla2[[#This Row],[estado pago]]="por pagar"),"vencida","no")</f>
        <v>vencida</v>
      </c>
    </row>
    <row r="1931" spans="1:30" ht="19.5" hidden="1" customHeight="1" x14ac:dyDescent="0.25">
      <c r="A1931" s="8"/>
      <c r="B1931" s="8"/>
      <c r="C1931" s="8"/>
      <c r="D1931" s="151"/>
      <c r="E1931" s="151"/>
      <c r="F1931" s="24"/>
      <c r="G1931" s="30"/>
      <c r="H1931" s="81"/>
      <c r="I1931" s="30"/>
      <c r="J1931" s="16"/>
      <c r="K1931" s="9"/>
      <c r="L1931" s="9"/>
      <c r="M1931" s="152"/>
      <c r="N1931" s="153"/>
      <c r="O1931" s="152"/>
      <c r="P1931" s="154"/>
      <c r="Q1931" s="152"/>
      <c r="R1931" s="9"/>
      <c r="Z1931" s="21"/>
      <c r="AA1931" s="162">
        <f>+$AD$5-Tabla2[[#This Row],[FECHA DE FACTURACIÓN]]</f>
        <v>45443</v>
      </c>
      <c r="AB1931" s="163" t="str">
        <f>+IF(Tabla2[[#This Row],[dias de credito]]&gt;=Tabla2[[#This Row],[PLAZO Días]],"venc", "No venc")</f>
        <v>venc</v>
      </c>
      <c r="AC1931" s="163" t="str">
        <f>+IF(Tabla2[[#This Row],[FECHA DE PAGO]]&gt;0,"pagada","por pagar")</f>
        <v>por pagar</v>
      </c>
      <c r="AD1931" s="164" t="str">
        <f>+IF(AND(Tabla2[[#This Row],[venc]]="venc",Tabla2[[#This Row],[estado pago]]="por pagar"),"vencida","no")</f>
        <v>vencida</v>
      </c>
    </row>
    <row r="1932" spans="1:30" ht="19.5" hidden="1" customHeight="1" x14ac:dyDescent="0.25">
      <c r="A1932" s="8"/>
      <c r="B1932" s="8"/>
      <c r="C1932" s="8"/>
      <c r="D1932" s="151"/>
      <c r="E1932" s="151"/>
      <c r="F1932" s="24"/>
      <c r="G1932" s="30"/>
      <c r="H1932" s="81"/>
      <c r="I1932" s="30"/>
      <c r="J1932" s="16"/>
      <c r="K1932" s="9"/>
      <c r="L1932" s="9"/>
      <c r="M1932" s="152"/>
      <c r="N1932" s="153"/>
      <c r="O1932" s="152"/>
      <c r="P1932" s="154"/>
      <c r="Q1932" s="152"/>
      <c r="R1932" s="9"/>
      <c r="Z1932" s="21"/>
      <c r="AA1932" s="162">
        <f>+$AD$5-Tabla2[[#This Row],[FECHA DE FACTURACIÓN]]</f>
        <v>45443</v>
      </c>
      <c r="AB1932" s="163" t="str">
        <f>+IF(Tabla2[[#This Row],[dias de credito]]&gt;=Tabla2[[#This Row],[PLAZO Días]],"venc", "No venc")</f>
        <v>venc</v>
      </c>
      <c r="AC1932" s="163" t="str">
        <f>+IF(Tabla2[[#This Row],[FECHA DE PAGO]]&gt;0,"pagada","por pagar")</f>
        <v>por pagar</v>
      </c>
      <c r="AD1932" s="164" t="str">
        <f>+IF(AND(Tabla2[[#This Row],[venc]]="venc",Tabla2[[#This Row],[estado pago]]="por pagar"),"vencida","no")</f>
        <v>vencida</v>
      </c>
    </row>
    <row r="1933" spans="1:30" ht="19.5" hidden="1" customHeight="1" x14ac:dyDescent="0.25">
      <c r="A1933" s="8"/>
      <c r="B1933" s="8"/>
      <c r="C1933" s="8"/>
      <c r="D1933" s="151"/>
      <c r="E1933" s="151"/>
      <c r="F1933" s="24"/>
      <c r="G1933" s="30"/>
      <c r="H1933" s="81"/>
      <c r="I1933" s="30"/>
      <c r="J1933" s="16"/>
      <c r="K1933" s="9"/>
      <c r="L1933" s="9"/>
      <c r="M1933" s="152"/>
      <c r="N1933" s="153"/>
      <c r="O1933" s="152"/>
      <c r="P1933" s="154"/>
      <c r="Q1933" s="152"/>
      <c r="R1933" s="9"/>
      <c r="Z1933" s="21"/>
      <c r="AA1933" s="162">
        <f>+$AD$5-Tabla2[[#This Row],[FECHA DE FACTURACIÓN]]</f>
        <v>45443</v>
      </c>
      <c r="AB1933" s="163" t="str">
        <f>+IF(Tabla2[[#This Row],[dias de credito]]&gt;=Tabla2[[#This Row],[PLAZO Días]],"venc", "No venc")</f>
        <v>venc</v>
      </c>
      <c r="AC1933" s="163" t="str">
        <f>+IF(Tabla2[[#This Row],[FECHA DE PAGO]]&gt;0,"pagada","por pagar")</f>
        <v>por pagar</v>
      </c>
      <c r="AD1933" s="164" t="str">
        <f>+IF(AND(Tabla2[[#This Row],[venc]]="venc",Tabla2[[#This Row],[estado pago]]="por pagar"),"vencida","no")</f>
        <v>vencida</v>
      </c>
    </row>
    <row r="1934" spans="1:30" ht="19.5" hidden="1" customHeight="1" x14ac:dyDescent="0.25">
      <c r="A1934" s="8"/>
      <c r="B1934" s="8"/>
      <c r="C1934" s="8"/>
      <c r="D1934" s="151"/>
      <c r="E1934" s="151"/>
      <c r="F1934" s="24"/>
      <c r="G1934" s="30"/>
      <c r="H1934" s="81"/>
      <c r="I1934" s="30"/>
      <c r="J1934" s="16"/>
      <c r="K1934" s="9"/>
      <c r="L1934" s="9"/>
      <c r="M1934" s="152"/>
      <c r="N1934" s="153"/>
      <c r="O1934" s="152"/>
      <c r="P1934" s="154"/>
      <c r="Q1934" s="152"/>
      <c r="R1934" s="9"/>
      <c r="Z1934" s="21"/>
      <c r="AA1934" s="162">
        <f>+$AD$5-Tabla2[[#This Row],[FECHA DE FACTURACIÓN]]</f>
        <v>45443</v>
      </c>
      <c r="AB1934" s="163" t="str">
        <f>+IF(Tabla2[[#This Row],[dias de credito]]&gt;=Tabla2[[#This Row],[PLAZO Días]],"venc", "No venc")</f>
        <v>venc</v>
      </c>
      <c r="AC1934" s="163" t="str">
        <f>+IF(Tabla2[[#This Row],[FECHA DE PAGO]]&gt;0,"pagada","por pagar")</f>
        <v>por pagar</v>
      </c>
      <c r="AD1934" s="164" t="str">
        <f>+IF(AND(Tabla2[[#This Row],[venc]]="venc",Tabla2[[#This Row],[estado pago]]="por pagar"),"vencida","no")</f>
        <v>vencida</v>
      </c>
    </row>
    <row r="1935" spans="1:30" ht="19.5" hidden="1" customHeight="1" x14ac:dyDescent="0.25">
      <c r="A1935" s="8"/>
      <c r="B1935" s="8"/>
      <c r="C1935" s="8"/>
      <c r="D1935" s="151"/>
      <c r="E1935" s="151"/>
      <c r="F1935" s="24"/>
      <c r="G1935" s="30"/>
      <c r="H1935" s="81"/>
      <c r="I1935" s="30"/>
      <c r="J1935" s="16"/>
      <c r="K1935" s="9"/>
      <c r="L1935" s="9"/>
      <c r="M1935" s="152"/>
      <c r="N1935" s="153"/>
      <c r="O1935" s="152"/>
      <c r="P1935" s="154"/>
      <c r="Q1935" s="152"/>
      <c r="R1935" s="9"/>
      <c r="Z1935" s="21"/>
      <c r="AA1935" s="162">
        <f>+$AD$5-Tabla2[[#This Row],[FECHA DE FACTURACIÓN]]</f>
        <v>45443</v>
      </c>
      <c r="AB1935" s="163" t="str">
        <f>+IF(Tabla2[[#This Row],[dias de credito]]&gt;=Tabla2[[#This Row],[PLAZO Días]],"venc", "No venc")</f>
        <v>venc</v>
      </c>
      <c r="AC1935" s="163" t="str">
        <f>+IF(Tabla2[[#This Row],[FECHA DE PAGO]]&gt;0,"pagada","por pagar")</f>
        <v>por pagar</v>
      </c>
      <c r="AD1935" s="164" t="str">
        <f>+IF(AND(Tabla2[[#This Row],[venc]]="venc",Tabla2[[#This Row],[estado pago]]="por pagar"),"vencida","no")</f>
        <v>vencida</v>
      </c>
    </row>
    <row r="1936" spans="1:30" ht="19.5" hidden="1" customHeight="1" x14ac:dyDescent="0.25">
      <c r="A1936" s="8"/>
      <c r="B1936" s="8"/>
      <c r="C1936" s="8"/>
      <c r="D1936" s="151"/>
      <c r="E1936" s="151"/>
      <c r="F1936" s="24"/>
      <c r="G1936" s="30"/>
      <c r="H1936" s="81"/>
      <c r="I1936" s="30"/>
      <c r="J1936" s="16"/>
      <c r="K1936" s="9"/>
      <c r="L1936" s="9"/>
      <c r="M1936" s="152"/>
      <c r="N1936" s="153"/>
      <c r="O1936" s="152"/>
      <c r="P1936" s="154"/>
      <c r="Q1936" s="152"/>
      <c r="R1936" s="9"/>
      <c r="Z1936" s="21"/>
      <c r="AA1936" s="162">
        <f>+$AD$5-Tabla2[[#This Row],[FECHA DE FACTURACIÓN]]</f>
        <v>45443</v>
      </c>
      <c r="AB1936" s="163" t="str">
        <f>+IF(Tabla2[[#This Row],[dias de credito]]&gt;=Tabla2[[#This Row],[PLAZO Días]],"venc", "No venc")</f>
        <v>venc</v>
      </c>
      <c r="AC1936" s="163" t="str">
        <f>+IF(Tabla2[[#This Row],[FECHA DE PAGO]]&gt;0,"pagada","por pagar")</f>
        <v>por pagar</v>
      </c>
      <c r="AD1936" s="164" t="str">
        <f>+IF(AND(Tabla2[[#This Row],[venc]]="venc",Tabla2[[#This Row],[estado pago]]="por pagar"),"vencida","no")</f>
        <v>vencida</v>
      </c>
    </row>
    <row r="1937" spans="1:30" ht="19.5" hidden="1" customHeight="1" x14ac:dyDescent="0.25">
      <c r="A1937" s="8"/>
      <c r="B1937" s="8"/>
      <c r="C1937" s="8"/>
      <c r="D1937" s="151"/>
      <c r="E1937" s="151"/>
      <c r="F1937" s="24"/>
      <c r="G1937" s="30"/>
      <c r="H1937" s="81"/>
      <c r="I1937" s="30"/>
      <c r="J1937" s="16"/>
      <c r="K1937" s="9"/>
      <c r="L1937" s="9"/>
      <c r="M1937" s="152"/>
      <c r="N1937" s="153"/>
      <c r="O1937" s="152"/>
      <c r="P1937" s="154"/>
      <c r="Q1937" s="152"/>
      <c r="R1937" s="9"/>
      <c r="Z1937" s="21"/>
      <c r="AA1937" s="162">
        <f>+$AD$5-Tabla2[[#This Row],[FECHA DE FACTURACIÓN]]</f>
        <v>45443</v>
      </c>
      <c r="AB1937" s="163" t="str">
        <f>+IF(Tabla2[[#This Row],[dias de credito]]&gt;=Tabla2[[#This Row],[PLAZO Días]],"venc", "No venc")</f>
        <v>venc</v>
      </c>
      <c r="AC1937" s="163" t="str">
        <f>+IF(Tabla2[[#This Row],[FECHA DE PAGO]]&gt;0,"pagada","por pagar")</f>
        <v>por pagar</v>
      </c>
      <c r="AD1937" s="164" t="str">
        <f>+IF(AND(Tabla2[[#This Row],[venc]]="venc",Tabla2[[#This Row],[estado pago]]="por pagar"),"vencida","no")</f>
        <v>vencida</v>
      </c>
    </row>
    <row r="1938" spans="1:30" ht="19.5" hidden="1" customHeight="1" x14ac:dyDescent="0.25">
      <c r="A1938" s="8"/>
      <c r="B1938" s="8"/>
      <c r="C1938" s="8"/>
      <c r="D1938" s="151"/>
      <c r="E1938" s="151"/>
      <c r="F1938" s="24"/>
      <c r="G1938" s="30"/>
      <c r="H1938" s="81"/>
      <c r="I1938" s="30"/>
      <c r="J1938" s="16"/>
      <c r="K1938" s="9"/>
      <c r="L1938" s="9"/>
      <c r="M1938" s="152"/>
      <c r="N1938" s="153"/>
      <c r="O1938" s="152"/>
      <c r="P1938" s="154"/>
      <c r="Q1938" s="152"/>
      <c r="R1938" s="9"/>
      <c r="Z1938" s="21"/>
      <c r="AA1938" s="162">
        <f>+$AD$5-Tabla2[[#This Row],[FECHA DE FACTURACIÓN]]</f>
        <v>45443</v>
      </c>
      <c r="AB1938" s="163" t="str">
        <f>+IF(Tabla2[[#This Row],[dias de credito]]&gt;=Tabla2[[#This Row],[PLAZO Días]],"venc", "No venc")</f>
        <v>venc</v>
      </c>
      <c r="AC1938" s="163" t="str">
        <f>+IF(Tabla2[[#This Row],[FECHA DE PAGO]]&gt;0,"pagada","por pagar")</f>
        <v>por pagar</v>
      </c>
      <c r="AD1938" s="164" t="str">
        <f>+IF(AND(Tabla2[[#This Row],[venc]]="venc",Tabla2[[#This Row],[estado pago]]="por pagar"),"vencida","no")</f>
        <v>vencida</v>
      </c>
    </row>
    <row r="1939" spans="1:30" ht="19.5" hidden="1" customHeight="1" x14ac:dyDescent="0.25">
      <c r="A1939" s="8"/>
      <c r="B1939" s="8"/>
      <c r="C1939" s="8"/>
      <c r="D1939" s="151"/>
      <c r="E1939" s="151"/>
      <c r="F1939" s="24"/>
      <c r="G1939" s="30"/>
      <c r="H1939" s="81"/>
      <c r="I1939" s="30"/>
      <c r="J1939" s="16"/>
      <c r="K1939" s="9"/>
      <c r="L1939" s="9"/>
      <c r="M1939" s="152"/>
      <c r="N1939" s="153"/>
      <c r="O1939" s="152"/>
      <c r="P1939" s="154"/>
      <c r="Q1939" s="152"/>
      <c r="R1939" s="9"/>
      <c r="Z1939" s="21"/>
      <c r="AA1939" s="162">
        <f>+$AD$5-Tabla2[[#This Row],[FECHA DE FACTURACIÓN]]</f>
        <v>45443</v>
      </c>
      <c r="AB1939" s="163" t="str">
        <f>+IF(Tabla2[[#This Row],[dias de credito]]&gt;=Tabla2[[#This Row],[PLAZO Días]],"venc", "No venc")</f>
        <v>venc</v>
      </c>
      <c r="AC1939" s="163" t="str">
        <f>+IF(Tabla2[[#This Row],[FECHA DE PAGO]]&gt;0,"pagada","por pagar")</f>
        <v>por pagar</v>
      </c>
      <c r="AD1939" s="164" t="str">
        <f>+IF(AND(Tabla2[[#This Row],[venc]]="venc",Tabla2[[#This Row],[estado pago]]="por pagar"),"vencida","no")</f>
        <v>vencida</v>
      </c>
    </row>
    <row r="1940" spans="1:30" ht="19.5" hidden="1" customHeight="1" x14ac:dyDescent="0.25">
      <c r="A1940" s="8"/>
      <c r="B1940" s="8"/>
      <c r="C1940" s="8"/>
      <c r="D1940" s="151"/>
      <c r="E1940" s="151"/>
      <c r="F1940" s="24"/>
      <c r="G1940" s="30"/>
      <c r="H1940" s="81"/>
      <c r="I1940" s="30"/>
      <c r="J1940" s="16"/>
      <c r="K1940" s="9"/>
      <c r="L1940" s="9"/>
      <c r="M1940" s="152"/>
      <c r="N1940" s="153"/>
      <c r="O1940" s="152"/>
      <c r="P1940" s="154"/>
      <c r="Q1940" s="152"/>
      <c r="R1940" s="9"/>
      <c r="Z1940" s="21"/>
      <c r="AA1940" s="162">
        <f>+$AD$5-Tabla2[[#This Row],[FECHA DE FACTURACIÓN]]</f>
        <v>45443</v>
      </c>
      <c r="AB1940" s="163" t="str">
        <f>+IF(Tabla2[[#This Row],[dias de credito]]&gt;=Tabla2[[#This Row],[PLAZO Días]],"venc", "No venc")</f>
        <v>venc</v>
      </c>
      <c r="AC1940" s="163" t="str">
        <f>+IF(Tabla2[[#This Row],[FECHA DE PAGO]]&gt;0,"pagada","por pagar")</f>
        <v>por pagar</v>
      </c>
      <c r="AD1940" s="164" t="str">
        <f>+IF(AND(Tabla2[[#This Row],[venc]]="venc",Tabla2[[#This Row],[estado pago]]="por pagar"),"vencida","no")</f>
        <v>vencida</v>
      </c>
    </row>
    <row r="1941" spans="1:30" ht="19.5" hidden="1" customHeight="1" x14ac:dyDescent="0.25">
      <c r="A1941" s="8"/>
      <c r="B1941" s="8"/>
      <c r="C1941" s="8"/>
      <c r="D1941" s="151"/>
      <c r="E1941" s="151"/>
      <c r="F1941" s="24"/>
      <c r="G1941" s="30"/>
      <c r="H1941" s="81"/>
      <c r="I1941" s="30"/>
      <c r="J1941" s="16"/>
      <c r="K1941" s="9"/>
      <c r="L1941" s="9"/>
      <c r="M1941" s="152"/>
      <c r="N1941" s="153"/>
      <c r="O1941" s="152"/>
      <c r="P1941" s="154"/>
      <c r="Q1941" s="152"/>
      <c r="R1941" s="9"/>
      <c r="Z1941" s="21"/>
      <c r="AA1941" s="162">
        <f>+$AD$5-Tabla2[[#This Row],[FECHA DE FACTURACIÓN]]</f>
        <v>45443</v>
      </c>
      <c r="AB1941" s="163" t="str">
        <f>+IF(Tabla2[[#This Row],[dias de credito]]&gt;=Tabla2[[#This Row],[PLAZO Días]],"venc", "No venc")</f>
        <v>venc</v>
      </c>
      <c r="AC1941" s="163" t="str">
        <f>+IF(Tabla2[[#This Row],[FECHA DE PAGO]]&gt;0,"pagada","por pagar")</f>
        <v>por pagar</v>
      </c>
      <c r="AD1941" s="164" t="str">
        <f>+IF(AND(Tabla2[[#This Row],[venc]]="venc",Tabla2[[#This Row],[estado pago]]="por pagar"),"vencida","no")</f>
        <v>vencida</v>
      </c>
    </row>
    <row r="1942" spans="1:30" ht="19.5" hidden="1" customHeight="1" x14ac:dyDescent="0.25">
      <c r="A1942" s="8"/>
      <c r="B1942" s="8"/>
      <c r="C1942" s="8"/>
      <c r="D1942" s="151"/>
      <c r="E1942" s="151"/>
      <c r="F1942" s="24"/>
      <c r="G1942" s="30"/>
      <c r="H1942" s="81"/>
      <c r="I1942" s="30"/>
      <c r="J1942" s="16"/>
      <c r="K1942" s="9"/>
      <c r="L1942" s="9"/>
      <c r="M1942" s="152"/>
      <c r="N1942" s="153"/>
      <c r="O1942" s="152"/>
      <c r="P1942" s="154"/>
      <c r="Q1942" s="152"/>
      <c r="R1942" s="9"/>
      <c r="Z1942" s="21"/>
      <c r="AA1942" s="162">
        <f>+$AD$5-Tabla2[[#This Row],[FECHA DE FACTURACIÓN]]</f>
        <v>45443</v>
      </c>
      <c r="AB1942" s="163" t="str">
        <f>+IF(Tabla2[[#This Row],[dias de credito]]&gt;=Tabla2[[#This Row],[PLAZO Días]],"venc", "No venc")</f>
        <v>venc</v>
      </c>
      <c r="AC1942" s="163" t="str">
        <f>+IF(Tabla2[[#This Row],[FECHA DE PAGO]]&gt;0,"pagada","por pagar")</f>
        <v>por pagar</v>
      </c>
      <c r="AD1942" s="164" t="str">
        <f>+IF(AND(Tabla2[[#This Row],[venc]]="venc",Tabla2[[#This Row],[estado pago]]="por pagar"),"vencida","no")</f>
        <v>vencida</v>
      </c>
    </row>
    <row r="1943" spans="1:30" ht="19.5" hidden="1" customHeight="1" x14ac:dyDescent="0.25">
      <c r="A1943" s="8"/>
      <c r="B1943" s="8"/>
      <c r="C1943" s="8"/>
      <c r="D1943" s="151"/>
      <c r="E1943" s="151"/>
      <c r="F1943" s="24"/>
      <c r="G1943" s="30"/>
      <c r="H1943" s="81"/>
      <c r="I1943" s="30"/>
      <c r="J1943" s="16"/>
      <c r="K1943" s="9"/>
      <c r="L1943" s="9"/>
      <c r="M1943" s="152"/>
      <c r="N1943" s="153"/>
      <c r="O1943" s="152"/>
      <c r="P1943" s="154"/>
      <c r="Q1943" s="152"/>
      <c r="R1943" s="9"/>
      <c r="Z1943" s="21"/>
      <c r="AA1943" s="162">
        <f>+$AD$5-Tabla2[[#This Row],[FECHA DE FACTURACIÓN]]</f>
        <v>45443</v>
      </c>
      <c r="AB1943" s="163" t="str">
        <f>+IF(Tabla2[[#This Row],[dias de credito]]&gt;=Tabla2[[#This Row],[PLAZO Días]],"venc", "No venc")</f>
        <v>venc</v>
      </c>
      <c r="AC1943" s="163" t="str">
        <f>+IF(Tabla2[[#This Row],[FECHA DE PAGO]]&gt;0,"pagada","por pagar")</f>
        <v>por pagar</v>
      </c>
      <c r="AD1943" s="164" t="str">
        <f>+IF(AND(Tabla2[[#This Row],[venc]]="venc",Tabla2[[#This Row],[estado pago]]="por pagar"),"vencida","no")</f>
        <v>vencida</v>
      </c>
    </row>
    <row r="1944" spans="1:30" ht="19.5" hidden="1" customHeight="1" x14ac:dyDescent="0.25">
      <c r="A1944" s="8"/>
      <c r="B1944" s="8"/>
      <c r="C1944" s="8"/>
      <c r="D1944" s="151"/>
      <c r="E1944" s="151"/>
      <c r="F1944" s="24"/>
      <c r="G1944" s="30"/>
      <c r="H1944" s="81"/>
      <c r="I1944" s="30"/>
      <c r="J1944" s="16"/>
      <c r="K1944" s="9"/>
      <c r="L1944" s="9"/>
      <c r="M1944" s="152"/>
      <c r="N1944" s="153"/>
      <c r="O1944" s="152"/>
      <c r="P1944" s="154"/>
      <c r="Q1944" s="152"/>
      <c r="R1944" s="9"/>
      <c r="Z1944" s="21"/>
      <c r="AA1944" s="162">
        <f>+$AD$5-Tabla2[[#This Row],[FECHA DE FACTURACIÓN]]</f>
        <v>45443</v>
      </c>
      <c r="AB1944" s="163" t="str">
        <f>+IF(Tabla2[[#This Row],[dias de credito]]&gt;=Tabla2[[#This Row],[PLAZO Días]],"venc", "No venc")</f>
        <v>venc</v>
      </c>
      <c r="AC1944" s="163" t="str">
        <f>+IF(Tabla2[[#This Row],[FECHA DE PAGO]]&gt;0,"pagada","por pagar")</f>
        <v>por pagar</v>
      </c>
      <c r="AD1944" s="164" t="str">
        <f>+IF(AND(Tabla2[[#This Row],[venc]]="venc",Tabla2[[#This Row],[estado pago]]="por pagar"),"vencida","no")</f>
        <v>vencida</v>
      </c>
    </row>
    <row r="1945" spans="1:30" ht="19.5" hidden="1" customHeight="1" x14ac:dyDescent="0.25">
      <c r="A1945" s="8"/>
      <c r="B1945" s="8"/>
      <c r="C1945" s="8"/>
      <c r="D1945" s="151"/>
      <c r="E1945" s="151"/>
      <c r="F1945" s="24"/>
      <c r="G1945" s="30"/>
      <c r="H1945" s="81"/>
      <c r="I1945" s="30"/>
      <c r="J1945" s="16"/>
      <c r="K1945" s="9"/>
      <c r="L1945" s="9"/>
      <c r="M1945" s="152"/>
      <c r="N1945" s="153"/>
      <c r="O1945" s="152"/>
      <c r="P1945" s="154"/>
      <c r="Q1945" s="152"/>
      <c r="R1945" s="9"/>
      <c r="Z1945" s="21"/>
      <c r="AA1945" s="162">
        <f>+$AD$5-Tabla2[[#This Row],[FECHA DE FACTURACIÓN]]</f>
        <v>45443</v>
      </c>
      <c r="AB1945" s="163" t="str">
        <f>+IF(Tabla2[[#This Row],[dias de credito]]&gt;=Tabla2[[#This Row],[PLAZO Días]],"venc", "No venc")</f>
        <v>venc</v>
      </c>
      <c r="AC1945" s="163" t="str">
        <f>+IF(Tabla2[[#This Row],[FECHA DE PAGO]]&gt;0,"pagada","por pagar")</f>
        <v>por pagar</v>
      </c>
      <c r="AD1945" s="164" t="str">
        <f>+IF(AND(Tabla2[[#This Row],[venc]]="venc",Tabla2[[#This Row],[estado pago]]="por pagar"),"vencida","no")</f>
        <v>vencida</v>
      </c>
    </row>
    <row r="1946" spans="1:30" ht="19.5" hidden="1" customHeight="1" x14ac:dyDescent="0.25">
      <c r="A1946" s="8"/>
      <c r="B1946" s="8"/>
      <c r="C1946" s="8"/>
      <c r="D1946" s="151"/>
      <c r="E1946" s="151"/>
      <c r="F1946" s="24"/>
      <c r="G1946" s="30"/>
      <c r="H1946" s="81"/>
      <c r="I1946" s="30"/>
      <c r="J1946" s="16"/>
      <c r="K1946" s="9"/>
      <c r="L1946" s="9"/>
      <c r="M1946" s="152"/>
      <c r="N1946" s="153"/>
      <c r="O1946" s="152"/>
      <c r="P1946" s="154"/>
      <c r="Q1946" s="152"/>
      <c r="R1946" s="9"/>
      <c r="Z1946" s="21"/>
      <c r="AA1946" s="162">
        <f>+$AD$5-Tabla2[[#This Row],[FECHA DE FACTURACIÓN]]</f>
        <v>45443</v>
      </c>
      <c r="AB1946" s="163" t="str">
        <f>+IF(Tabla2[[#This Row],[dias de credito]]&gt;=Tabla2[[#This Row],[PLAZO Días]],"venc", "No venc")</f>
        <v>venc</v>
      </c>
      <c r="AC1946" s="163" t="str">
        <f>+IF(Tabla2[[#This Row],[FECHA DE PAGO]]&gt;0,"pagada","por pagar")</f>
        <v>por pagar</v>
      </c>
      <c r="AD1946" s="164" t="str">
        <f>+IF(AND(Tabla2[[#This Row],[venc]]="venc",Tabla2[[#This Row],[estado pago]]="por pagar"),"vencida","no")</f>
        <v>vencida</v>
      </c>
    </row>
    <row r="1947" spans="1:30" ht="19.5" hidden="1" customHeight="1" x14ac:dyDescent="0.25">
      <c r="A1947" s="8"/>
      <c r="B1947" s="8"/>
      <c r="C1947" s="8"/>
      <c r="D1947" s="151"/>
      <c r="E1947" s="151"/>
      <c r="F1947" s="24"/>
      <c r="G1947" s="30"/>
      <c r="H1947" s="81"/>
      <c r="I1947" s="30"/>
      <c r="J1947" s="16"/>
      <c r="K1947" s="9"/>
      <c r="L1947" s="9"/>
      <c r="M1947" s="152"/>
      <c r="N1947" s="153"/>
      <c r="O1947" s="152"/>
      <c r="P1947" s="154"/>
      <c r="Q1947" s="152"/>
      <c r="R1947" s="9"/>
      <c r="Z1947" s="21"/>
      <c r="AA1947" s="162">
        <f>+$AD$5-Tabla2[[#This Row],[FECHA DE FACTURACIÓN]]</f>
        <v>45443</v>
      </c>
      <c r="AB1947" s="163" t="str">
        <f>+IF(Tabla2[[#This Row],[dias de credito]]&gt;=Tabla2[[#This Row],[PLAZO Días]],"venc", "No venc")</f>
        <v>venc</v>
      </c>
      <c r="AC1947" s="163" t="str">
        <f>+IF(Tabla2[[#This Row],[FECHA DE PAGO]]&gt;0,"pagada","por pagar")</f>
        <v>por pagar</v>
      </c>
      <c r="AD1947" s="164" t="str">
        <f>+IF(AND(Tabla2[[#This Row],[venc]]="venc",Tabla2[[#This Row],[estado pago]]="por pagar"),"vencida","no")</f>
        <v>vencida</v>
      </c>
    </row>
    <row r="1948" spans="1:30" ht="19.5" hidden="1" customHeight="1" x14ac:dyDescent="0.25">
      <c r="A1948" s="8"/>
      <c r="B1948" s="8"/>
      <c r="C1948" s="8"/>
      <c r="D1948" s="151"/>
      <c r="E1948" s="151"/>
      <c r="F1948" s="24"/>
      <c r="G1948" s="30"/>
      <c r="H1948" s="81"/>
      <c r="I1948" s="30"/>
      <c r="J1948" s="16"/>
      <c r="K1948" s="9"/>
      <c r="L1948" s="9"/>
      <c r="M1948" s="152"/>
      <c r="N1948" s="153"/>
      <c r="O1948" s="152"/>
      <c r="P1948" s="154"/>
      <c r="Q1948" s="152"/>
      <c r="R1948" s="9"/>
      <c r="Z1948" s="21"/>
      <c r="AA1948" s="162">
        <f>+$AD$5-Tabla2[[#This Row],[FECHA DE FACTURACIÓN]]</f>
        <v>45443</v>
      </c>
      <c r="AB1948" s="163" t="str">
        <f>+IF(Tabla2[[#This Row],[dias de credito]]&gt;=Tabla2[[#This Row],[PLAZO Días]],"venc", "No venc")</f>
        <v>venc</v>
      </c>
      <c r="AC1948" s="163" t="str">
        <f>+IF(Tabla2[[#This Row],[FECHA DE PAGO]]&gt;0,"pagada","por pagar")</f>
        <v>por pagar</v>
      </c>
      <c r="AD1948" s="164" t="str">
        <f>+IF(AND(Tabla2[[#This Row],[venc]]="venc",Tabla2[[#This Row],[estado pago]]="por pagar"),"vencida","no")</f>
        <v>vencida</v>
      </c>
    </row>
    <row r="1949" spans="1:30" ht="19.5" hidden="1" customHeight="1" x14ac:dyDescent="0.25">
      <c r="A1949" s="8"/>
      <c r="B1949" s="8"/>
      <c r="C1949" s="8"/>
      <c r="D1949" s="151"/>
      <c r="E1949" s="151"/>
      <c r="F1949" s="24"/>
      <c r="G1949" s="30"/>
      <c r="H1949" s="81"/>
      <c r="I1949" s="30"/>
      <c r="J1949" s="16"/>
      <c r="K1949" s="9"/>
      <c r="L1949" s="9"/>
      <c r="M1949" s="152"/>
      <c r="N1949" s="153"/>
      <c r="O1949" s="152"/>
      <c r="P1949" s="154"/>
      <c r="Q1949" s="152"/>
      <c r="R1949" s="9"/>
      <c r="Z1949" s="21"/>
      <c r="AA1949" s="162">
        <f>+$AD$5-Tabla2[[#This Row],[FECHA DE FACTURACIÓN]]</f>
        <v>45443</v>
      </c>
      <c r="AB1949" s="163" t="str">
        <f>+IF(Tabla2[[#This Row],[dias de credito]]&gt;=Tabla2[[#This Row],[PLAZO Días]],"venc", "No venc")</f>
        <v>venc</v>
      </c>
      <c r="AC1949" s="163" t="str">
        <f>+IF(Tabla2[[#This Row],[FECHA DE PAGO]]&gt;0,"pagada","por pagar")</f>
        <v>por pagar</v>
      </c>
      <c r="AD1949" s="164" t="str">
        <f>+IF(AND(Tabla2[[#This Row],[venc]]="venc",Tabla2[[#This Row],[estado pago]]="por pagar"),"vencida","no")</f>
        <v>vencida</v>
      </c>
    </row>
    <row r="1950" spans="1:30" ht="19.5" hidden="1" customHeight="1" x14ac:dyDescent="0.25">
      <c r="A1950" s="8"/>
      <c r="B1950" s="8"/>
      <c r="C1950" s="8"/>
      <c r="D1950" s="151"/>
      <c r="E1950" s="151"/>
      <c r="F1950" s="24"/>
      <c r="G1950" s="30"/>
      <c r="H1950" s="81"/>
      <c r="I1950" s="30"/>
      <c r="J1950" s="16"/>
      <c r="K1950" s="9"/>
      <c r="L1950" s="9"/>
      <c r="M1950" s="152"/>
      <c r="N1950" s="153"/>
      <c r="O1950" s="152"/>
      <c r="P1950" s="154"/>
      <c r="Q1950" s="152"/>
      <c r="R1950" s="9"/>
      <c r="Z1950" s="21"/>
      <c r="AA1950" s="162">
        <f>+$AD$5-Tabla2[[#This Row],[FECHA DE FACTURACIÓN]]</f>
        <v>45443</v>
      </c>
      <c r="AB1950" s="163" t="str">
        <f>+IF(Tabla2[[#This Row],[dias de credito]]&gt;=Tabla2[[#This Row],[PLAZO Días]],"venc", "No venc")</f>
        <v>venc</v>
      </c>
      <c r="AC1950" s="163" t="str">
        <f>+IF(Tabla2[[#This Row],[FECHA DE PAGO]]&gt;0,"pagada","por pagar")</f>
        <v>por pagar</v>
      </c>
      <c r="AD1950" s="164" t="str">
        <f>+IF(AND(Tabla2[[#This Row],[venc]]="venc",Tabla2[[#This Row],[estado pago]]="por pagar"),"vencida","no")</f>
        <v>vencida</v>
      </c>
    </row>
    <row r="1951" spans="1:30" ht="19.5" hidden="1" customHeight="1" x14ac:dyDescent="0.25">
      <c r="A1951" s="8"/>
      <c r="B1951" s="8"/>
      <c r="C1951" s="8"/>
      <c r="D1951" s="151"/>
      <c r="E1951" s="151"/>
      <c r="F1951" s="24"/>
      <c r="G1951" s="30"/>
      <c r="H1951" s="81"/>
      <c r="I1951" s="30"/>
      <c r="J1951" s="16"/>
      <c r="K1951" s="9"/>
      <c r="L1951" s="9"/>
      <c r="M1951" s="152"/>
      <c r="N1951" s="153"/>
      <c r="O1951" s="152"/>
      <c r="P1951" s="154"/>
      <c r="Q1951" s="152"/>
      <c r="R1951" s="9"/>
      <c r="Z1951" s="21"/>
      <c r="AA1951" s="162">
        <f>+$AD$5-Tabla2[[#This Row],[FECHA DE FACTURACIÓN]]</f>
        <v>45443</v>
      </c>
      <c r="AB1951" s="163" t="str">
        <f>+IF(Tabla2[[#This Row],[dias de credito]]&gt;=Tabla2[[#This Row],[PLAZO Días]],"venc", "No venc")</f>
        <v>venc</v>
      </c>
      <c r="AC1951" s="163" t="str">
        <f>+IF(Tabla2[[#This Row],[FECHA DE PAGO]]&gt;0,"pagada","por pagar")</f>
        <v>por pagar</v>
      </c>
      <c r="AD1951" s="164" t="str">
        <f>+IF(AND(Tabla2[[#This Row],[venc]]="venc",Tabla2[[#This Row],[estado pago]]="por pagar"),"vencida","no")</f>
        <v>vencida</v>
      </c>
    </row>
    <row r="1952" spans="1:30" ht="19.5" hidden="1" customHeight="1" x14ac:dyDescent="0.25">
      <c r="A1952" s="8"/>
      <c r="B1952" s="8"/>
      <c r="C1952" s="8"/>
      <c r="D1952" s="151"/>
      <c r="E1952" s="151"/>
      <c r="F1952" s="24"/>
      <c r="G1952" s="30"/>
      <c r="H1952" s="81"/>
      <c r="I1952" s="30"/>
      <c r="J1952" s="16"/>
      <c r="K1952" s="9"/>
      <c r="L1952" s="9"/>
      <c r="M1952" s="152"/>
      <c r="N1952" s="153"/>
      <c r="O1952" s="152"/>
      <c r="P1952" s="154"/>
      <c r="Q1952" s="152"/>
      <c r="R1952" s="9"/>
      <c r="Z1952" s="21"/>
      <c r="AA1952" s="162">
        <f>+$AD$5-Tabla2[[#This Row],[FECHA DE FACTURACIÓN]]</f>
        <v>45443</v>
      </c>
      <c r="AB1952" s="163" t="str">
        <f>+IF(Tabla2[[#This Row],[dias de credito]]&gt;=Tabla2[[#This Row],[PLAZO Días]],"venc", "No venc")</f>
        <v>venc</v>
      </c>
      <c r="AC1952" s="163" t="str">
        <f>+IF(Tabla2[[#This Row],[FECHA DE PAGO]]&gt;0,"pagada","por pagar")</f>
        <v>por pagar</v>
      </c>
      <c r="AD1952" s="164" t="str">
        <f>+IF(AND(Tabla2[[#This Row],[venc]]="venc",Tabla2[[#This Row],[estado pago]]="por pagar"),"vencida","no")</f>
        <v>vencida</v>
      </c>
    </row>
    <row r="1953" spans="1:30" ht="19.5" hidden="1" customHeight="1" x14ac:dyDescent="0.25">
      <c r="A1953" s="8"/>
      <c r="B1953" s="8"/>
      <c r="C1953" s="8"/>
      <c r="D1953" s="151"/>
      <c r="E1953" s="151"/>
      <c r="F1953" s="24"/>
      <c r="G1953" s="30"/>
      <c r="H1953" s="81"/>
      <c r="I1953" s="30"/>
      <c r="J1953" s="16"/>
      <c r="K1953" s="9"/>
      <c r="L1953" s="9"/>
      <c r="M1953" s="152"/>
      <c r="N1953" s="153"/>
      <c r="O1953" s="152"/>
      <c r="P1953" s="154"/>
      <c r="Q1953" s="152"/>
      <c r="R1953" s="9"/>
      <c r="Z1953" s="21"/>
      <c r="AA1953" s="162">
        <f>+$AD$5-Tabla2[[#This Row],[FECHA DE FACTURACIÓN]]</f>
        <v>45443</v>
      </c>
      <c r="AB1953" s="163" t="str">
        <f>+IF(Tabla2[[#This Row],[dias de credito]]&gt;=Tabla2[[#This Row],[PLAZO Días]],"venc", "No venc")</f>
        <v>venc</v>
      </c>
      <c r="AC1953" s="163" t="str">
        <f>+IF(Tabla2[[#This Row],[FECHA DE PAGO]]&gt;0,"pagada","por pagar")</f>
        <v>por pagar</v>
      </c>
      <c r="AD1953" s="164" t="str">
        <f>+IF(AND(Tabla2[[#This Row],[venc]]="venc",Tabla2[[#This Row],[estado pago]]="por pagar"),"vencida","no")</f>
        <v>vencida</v>
      </c>
    </row>
    <row r="1954" spans="1:30" ht="19.5" hidden="1" customHeight="1" x14ac:dyDescent="0.25">
      <c r="A1954" s="8"/>
      <c r="B1954" s="8"/>
      <c r="C1954" s="8"/>
      <c r="D1954" s="151"/>
      <c r="E1954" s="151"/>
      <c r="F1954" s="24"/>
      <c r="G1954" s="30"/>
      <c r="H1954" s="81"/>
      <c r="I1954" s="30"/>
      <c r="J1954" s="16"/>
      <c r="K1954" s="9"/>
      <c r="L1954" s="9"/>
      <c r="M1954" s="152"/>
      <c r="N1954" s="153"/>
      <c r="O1954" s="152"/>
      <c r="P1954" s="154"/>
      <c r="Q1954" s="152"/>
      <c r="R1954" s="9"/>
      <c r="Z1954" s="21"/>
      <c r="AA1954" s="162">
        <f>+$AD$5-Tabla2[[#This Row],[FECHA DE FACTURACIÓN]]</f>
        <v>45443</v>
      </c>
      <c r="AB1954" s="163" t="str">
        <f>+IF(Tabla2[[#This Row],[dias de credito]]&gt;=Tabla2[[#This Row],[PLAZO Días]],"venc", "No venc")</f>
        <v>venc</v>
      </c>
      <c r="AC1954" s="163" t="str">
        <f>+IF(Tabla2[[#This Row],[FECHA DE PAGO]]&gt;0,"pagada","por pagar")</f>
        <v>por pagar</v>
      </c>
      <c r="AD1954" s="164" t="str">
        <f>+IF(AND(Tabla2[[#This Row],[venc]]="venc",Tabla2[[#This Row],[estado pago]]="por pagar"),"vencida","no")</f>
        <v>vencida</v>
      </c>
    </row>
    <row r="1955" spans="1:30" ht="19.5" hidden="1" customHeight="1" x14ac:dyDescent="0.25">
      <c r="A1955" s="8"/>
      <c r="B1955" s="8"/>
      <c r="C1955" s="8"/>
      <c r="D1955" s="151"/>
      <c r="E1955" s="151"/>
      <c r="F1955" s="24"/>
      <c r="G1955" s="30"/>
      <c r="H1955" s="81"/>
      <c r="I1955" s="30"/>
      <c r="J1955" s="16"/>
      <c r="K1955" s="9"/>
      <c r="L1955" s="9"/>
      <c r="M1955" s="152"/>
      <c r="N1955" s="153"/>
      <c r="O1955" s="152"/>
      <c r="P1955" s="154"/>
      <c r="Q1955" s="152"/>
      <c r="R1955" s="9"/>
      <c r="Z1955" s="21"/>
      <c r="AA1955" s="162">
        <f>+$AD$5-Tabla2[[#This Row],[FECHA DE FACTURACIÓN]]</f>
        <v>45443</v>
      </c>
      <c r="AB1955" s="163" t="str">
        <f>+IF(Tabla2[[#This Row],[dias de credito]]&gt;=Tabla2[[#This Row],[PLAZO Días]],"venc", "No venc")</f>
        <v>venc</v>
      </c>
      <c r="AC1955" s="163" t="str">
        <f>+IF(Tabla2[[#This Row],[FECHA DE PAGO]]&gt;0,"pagada","por pagar")</f>
        <v>por pagar</v>
      </c>
      <c r="AD1955" s="164" t="str">
        <f>+IF(AND(Tabla2[[#This Row],[venc]]="venc",Tabla2[[#This Row],[estado pago]]="por pagar"),"vencida","no")</f>
        <v>vencida</v>
      </c>
    </row>
    <row r="1956" spans="1:30" ht="19.5" hidden="1" customHeight="1" x14ac:dyDescent="0.25">
      <c r="A1956" s="8"/>
      <c r="B1956" s="8"/>
      <c r="C1956" s="8"/>
      <c r="D1956" s="151"/>
      <c r="E1956" s="151"/>
      <c r="F1956" s="24"/>
      <c r="G1956" s="30"/>
      <c r="H1956" s="81"/>
      <c r="I1956" s="30"/>
      <c r="J1956" s="16"/>
      <c r="K1956" s="9"/>
      <c r="L1956" s="9"/>
      <c r="M1956" s="152"/>
      <c r="N1956" s="153"/>
      <c r="O1956" s="152"/>
      <c r="P1956" s="154"/>
      <c r="Q1956" s="152"/>
      <c r="R1956" s="9"/>
      <c r="Z1956" s="21"/>
      <c r="AA1956" s="162">
        <f>+$AD$5-Tabla2[[#This Row],[FECHA DE FACTURACIÓN]]</f>
        <v>45443</v>
      </c>
      <c r="AB1956" s="163" t="str">
        <f>+IF(Tabla2[[#This Row],[dias de credito]]&gt;=Tabla2[[#This Row],[PLAZO Días]],"venc", "No venc")</f>
        <v>venc</v>
      </c>
      <c r="AC1956" s="163" t="str">
        <f>+IF(Tabla2[[#This Row],[FECHA DE PAGO]]&gt;0,"pagada","por pagar")</f>
        <v>por pagar</v>
      </c>
      <c r="AD1956" s="164" t="str">
        <f>+IF(AND(Tabla2[[#This Row],[venc]]="venc",Tabla2[[#This Row],[estado pago]]="por pagar"),"vencida","no")</f>
        <v>vencida</v>
      </c>
    </row>
    <row r="1957" spans="1:30" ht="19.5" hidden="1" customHeight="1" x14ac:dyDescent="0.25">
      <c r="A1957" s="8"/>
      <c r="B1957" s="8"/>
      <c r="C1957" s="8"/>
      <c r="D1957" s="151"/>
      <c r="E1957" s="151"/>
      <c r="F1957" s="24"/>
      <c r="G1957" s="30"/>
      <c r="H1957" s="81"/>
      <c r="I1957" s="30"/>
      <c r="J1957" s="16"/>
      <c r="K1957" s="9"/>
      <c r="L1957" s="9"/>
      <c r="M1957" s="152"/>
      <c r="N1957" s="153"/>
      <c r="O1957" s="152"/>
      <c r="P1957" s="154"/>
      <c r="Q1957" s="152"/>
      <c r="R1957" s="9"/>
      <c r="Z1957" s="21"/>
      <c r="AA1957" s="162">
        <f>+$AD$5-Tabla2[[#This Row],[FECHA DE FACTURACIÓN]]</f>
        <v>45443</v>
      </c>
      <c r="AB1957" s="163" t="str">
        <f>+IF(Tabla2[[#This Row],[dias de credito]]&gt;=Tabla2[[#This Row],[PLAZO Días]],"venc", "No venc")</f>
        <v>venc</v>
      </c>
      <c r="AC1957" s="163" t="str">
        <f>+IF(Tabla2[[#This Row],[FECHA DE PAGO]]&gt;0,"pagada","por pagar")</f>
        <v>por pagar</v>
      </c>
      <c r="AD1957" s="164" t="str">
        <f>+IF(AND(Tabla2[[#This Row],[venc]]="venc",Tabla2[[#This Row],[estado pago]]="por pagar"),"vencida","no")</f>
        <v>vencida</v>
      </c>
    </row>
    <row r="1958" spans="1:30" ht="19.5" hidden="1" customHeight="1" x14ac:dyDescent="0.25">
      <c r="A1958" s="8"/>
      <c r="B1958" s="8"/>
      <c r="C1958" s="8"/>
      <c r="D1958" s="151"/>
      <c r="E1958" s="151"/>
      <c r="F1958" s="24"/>
      <c r="G1958" s="30"/>
      <c r="H1958" s="81"/>
      <c r="I1958" s="30"/>
      <c r="J1958" s="16"/>
      <c r="K1958" s="9"/>
      <c r="L1958" s="9"/>
      <c r="M1958" s="152"/>
      <c r="N1958" s="153"/>
      <c r="O1958" s="152"/>
      <c r="P1958" s="154"/>
      <c r="Q1958" s="152"/>
      <c r="R1958" s="9"/>
      <c r="Z1958" s="21"/>
      <c r="AA1958" s="162">
        <f>+$AD$5-Tabla2[[#This Row],[FECHA DE FACTURACIÓN]]</f>
        <v>45443</v>
      </c>
      <c r="AB1958" s="163" t="str">
        <f>+IF(Tabla2[[#This Row],[dias de credito]]&gt;=Tabla2[[#This Row],[PLAZO Días]],"venc", "No venc")</f>
        <v>venc</v>
      </c>
      <c r="AC1958" s="163" t="str">
        <f>+IF(Tabla2[[#This Row],[FECHA DE PAGO]]&gt;0,"pagada","por pagar")</f>
        <v>por pagar</v>
      </c>
      <c r="AD1958" s="164" t="str">
        <f>+IF(AND(Tabla2[[#This Row],[venc]]="venc",Tabla2[[#This Row],[estado pago]]="por pagar"),"vencida","no")</f>
        <v>vencida</v>
      </c>
    </row>
    <row r="1959" spans="1:30" ht="19.5" hidden="1" customHeight="1" x14ac:dyDescent="0.25">
      <c r="A1959" s="8"/>
      <c r="B1959" s="8"/>
      <c r="C1959" s="8"/>
      <c r="D1959" s="151"/>
      <c r="E1959" s="151"/>
      <c r="F1959" s="24"/>
      <c r="G1959" s="30"/>
      <c r="H1959" s="81"/>
      <c r="I1959" s="30"/>
      <c r="J1959" s="16"/>
      <c r="K1959" s="9"/>
      <c r="L1959" s="9"/>
      <c r="M1959" s="152"/>
      <c r="N1959" s="153"/>
      <c r="O1959" s="152"/>
      <c r="P1959" s="154"/>
      <c r="Q1959" s="152"/>
      <c r="R1959" s="9"/>
      <c r="Z1959" s="21"/>
      <c r="AA1959" s="162">
        <f>+$AD$5-Tabla2[[#This Row],[FECHA DE FACTURACIÓN]]</f>
        <v>45443</v>
      </c>
      <c r="AB1959" s="163" t="str">
        <f>+IF(Tabla2[[#This Row],[dias de credito]]&gt;=Tabla2[[#This Row],[PLAZO Días]],"venc", "No venc")</f>
        <v>venc</v>
      </c>
      <c r="AC1959" s="163" t="str">
        <f>+IF(Tabla2[[#This Row],[FECHA DE PAGO]]&gt;0,"pagada","por pagar")</f>
        <v>por pagar</v>
      </c>
      <c r="AD1959" s="164" t="str">
        <f>+IF(AND(Tabla2[[#This Row],[venc]]="venc",Tabla2[[#This Row],[estado pago]]="por pagar"),"vencida","no")</f>
        <v>vencida</v>
      </c>
    </row>
    <row r="1960" spans="1:30" ht="19.5" hidden="1" customHeight="1" x14ac:dyDescent="0.25">
      <c r="A1960" s="8"/>
      <c r="B1960" s="8"/>
      <c r="C1960" s="8"/>
      <c r="D1960" s="151"/>
      <c r="E1960" s="151"/>
      <c r="F1960" s="24"/>
      <c r="G1960" s="30"/>
      <c r="H1960" s="81"/>
      <c r="I1960" s="30"/>
      <c r="J1960" s="16"/>
      <c r="K1960" s="9"/>
      <c r="L1960" s="9"/>
      <c r="M1960" s="152"/>
      <c r="N1960" s="153"/>
      <c r="O1960" s="152"/>
      <c r="P1960" s="154"/>
      <c r="Q1960" s="152"/>
      <c r="R1960" s="9"/>
      <c r="Z1960" s="21"/>
      <c r="AA1960" s="162">
        <f>+$AD$5-Tabla2[[#This Row],[FECHA DE FACTURACIÓN]]</f>
        <v>45443</v>
      </c>
      <c r="AB1960" s="163" t="str">
        <f>+IF(Tabla2[[#This Row],[dias de credito]]&gt;=Tabla2[[#This Row],[PLAZO Días]],"venc", "No venc")</f>
        <v>venc</v>
      </c>
      <c r="AC1960" s="163" t="str">
        <f>+IF(Tabla2[[#This Row],[FECHA DE PAGO]]&gt;0,"pagada","por pagar")</f>
        <v>por pagar</v>
      </c>
      <c r="AD1960" s="164" t="str">
        <f>+IF(AND(Tabla2[[#This Row],[venc]]="venc",Tabla2[[#This Row],[estado pago]]="por pagar"),"vencida","no")</f>
        <v>vencida</v>
      </c>
    </row>
    <row r="1961" spans="1:30" ht="19.5" hidden="1" customHeight="1" x14ac:dyDescent="0.25">
      <c r="A1961" s="8"/>
      <c r="B1961" s="8"/>
      <c r="C1961" s="8"/>
      <c r="D1961" s="151"/>
      <c r="E1961" s="151"/>
      <c r="F1961" s="24"/>
      <c r="G1961" s="30"/>
      <c r="H1961" s="81"/>
      <c r="I1961" s="30"/>
      <c r="J1961" s="16"/>
      <c r="K1961" s="9"/>
      <c r="L1961" s="9"/>
      <c r="M1961" s="152"/>
      <c r="N1961" s="153"/>
      <c r="O1961" s="152"/>
      <c r="P1961" s="154"/>
      <c r="Q1961" s="152"/>
      <c r="R1961" s="9"/>
      <c r="Z1961" s="21"/>
      <c r="AA1961" s="162">
        <f>+$AD$5-Tabla2[[#This Row],[FECHA DE FACTURACIÓN]]</f>
        <v>45443</v>
      </c>
      <c r="AB1961" s="163" t="str">
        <f>+IF(Tabla2[[#This Row],[dias de credito]]&gt;=Tabla2[[#This Row],[PLAZO Días]],"venc", "No venc")</f>
        <v>venc</v>
      </c>
      <c r="AC1961" s="163" t="str">
        <f>+IF(Tabla2[[#This Row],[FECHA DE PAGO]]&gt;0,"pagada","por pagar")</f>
        <v>por pagar</v>
      </c>
      <c r="AD1961" s="164" t="str">
        <f>+IF(AND(Tabla2[[#This Row],[venc]]="venc",Tabla2[[#This Row],[estado pago]]="por pagar"),"vencida","no")</f>
        <v>vencida</v>
      </c>
    </row>
    <row r="1962" spans="1:30" ht="19.5" hidden="1" customHeight="1" x14ac:dyDescent="0.25">
      <c r="A1962" s="8"/>
      <c r="B1962" s="8"/>
      <c r="C1962" s="8"/>
      <c r="D1962" s="151"/>
      <c r="E1962" s="151"/>
      <c r="F1962" s="24"/>
      <c r="G1962" s="30"/>
      <c r="H1962" s="81"/>
      <c r="I1962" s="30"/>
      <c r="J1962" s="16"/>
      <c r="K1962" s="9"/>
      <c r="L1962" s="9"/>
      <c r="M1962" s="152"/>
      <c r="N1962" s="153"/>
      <c r="O1962" s="152"/>
      <c r="P1962" s="154"/>
      <c r="Q1962" s="152"/>
      <c r="R1962" s="9"/>
      <c r="Z1962" s="21"/>
      <c r="AA1962" s="162">
        <f>+$AD$5-Tabla2[[#This Row],[FECHA DE FACTURACIÓN]]</f>
        <v>45443</v>
      </c>
      <c r="AB1962" s="163" t="str">
        <f>+IF(Tabla2[[#This Row],[dias de credito]]&gt;=Tabla2[[#This Row],[PLAZO Días]],"venc", "No venc")</f>
        <v>venc</v>
      </c>
      <c r="AC1962" s="163" t="str">
        <f>+IF(Tabla2[[#This Row],[FECHA DE PAGO]]&gt;0,"pagada","por pagar")</f>
        <v>por pagar</v>
      </c>
      <c r="AD1962" s="164" t="str">
        <f>+IF(AND(Tabla2[[#This Row],[venc]]="venc",Tabla2[[#This Row],[estado pago]]="por pagar"),"vencida","no")</f>
        <v>vencida</v>
      </c>
    </row>
    <row r="1963" spans="1:30" ht="19.5" hidden="1" customHeight="1" x14ac:dyDescent="0.25">
      <c r="A1963" s="8"/>
      <c r="B1963" s="8"/>
      <c r="C1963" s="8"/>
      <c r="D1963" s="151"/>
      <c r="E1963" s="151"/>
      <c r="F1963" s="24"/>
      <c r="G1963" s="30"/>
      <c r="H1963" s="81"/>
      <c r="I1963" s="30"/>
      <c r="J1963" s="16"/>
      <c r="K1963" s="9"/>
      <c r="L1963" s="9"/>
      <c r="M1963" s="152"/>
      <c r="N1963" s="153"/>
      <c r="O1963" s="152"/>
      <c r="P1963" s="154"/>
      <c r="Q1963" s="152"/>
      <c r="R1963" s="9"/>
      <c r="Z1963" s="21"/>
      <c r="AA1963" s="162">
        <f>+$AD$5-Tabla2[[#This Row],[FECHA DE FACTURACIÓN]]</f>
        <v>45443</v>
      </c>
      <c r="AB1963" s="163" t="str">
        <f>+IF(Tabla2[[#This Row],[dias de credito]]&gt;=Tabla2[[#This Row],[PLAZO Días]],"venc", "No venc")</f>
        <v>venc</v>
      </c>
      <c r="AC1963" s="163" t="str">
        <f>+IF(Tabla2[[#This Row],[FECHA DE PAGO]]&gt;0,"pagada","por pagar")</f>
        <v>por pagar</v>
      </c>
      <c r="AD1963" s="164" t="str">
        <f>+IF(AND(Tabla2[[#This Row],[venc]]="venc",Tabla2[[#This Row],[estado pago]]="por pagar"),"vencida","no")</f>
        <v>vencida</v>
      </c>
    </row>
    <row r="1964" spans="1:30" ht="19.5" hidden="1" customHeight="1" x14ac:dyDescent="0.25">
      <c r="A1964" s="8"/>
      <c r="B1964" s="8"/>
      <c r="C1964" s="8"/>
      <c r="D1964" s="151"/>
      <c r="E1964" s="151"/>
      <c r="F1964" s="24"/>
      <c r="G1964" s="30"/>
      <c r="H1964" s="81"/>
      <c r="I1964" s="30"/>
      <c r="J1964" s="16"/>
      <c r="K1964" s="9"/>
      <c r="L1964" s="9"/>
      <c r="M1964" s="152"/>
      <c r="N1964" s="153"/>
      <c r="O1964" s="152"/>
      <c r="P1964" s="154"/>
      <c r="Q1964" s="152"/>
      <c r="R1964" s="9"/>
      <c r="Z1964" s="21"/>
      <c r="AA1964" s="162">
        <f>+$AD$5-Tabla2[[#This Row],[FECHA DE FACTURACIÓN]]</f>
        <v>45443</v>
      </c>
      <c r="AB1964" s="163" t="str">
        <f>+IF(Tabla2[[#This Row],[dias de credito]]&gt;=Tabla2[[#This Row],[PLAZO Días]],"venc", "No venc")</f>
        <v>venc</v>
      </c>
      <c r="AC1964" s="163" t="str">
        <f>+IF(Tabla2[[#This Row],[FECHA DE PAGO]]&gt;0,"pagada","por pagar")</f>
        <v>por pagar</v>
      </c>
      <c r="AD1964" s="164" t="str">
        <f>+IF(AND(Tabla2[[#This Row],[venc]]="venc",Tabla2[[#This Row],[estado pago]]="por pagar"),"vencida","no")</f>
        <v>vencida</v>
      </c>
    </row>
    <row r="1965" spans="1:30" ht="19.5" hidden="1" customHeight="1" x14ac:dyDescent="0.25">
      <c r="A1965" s="8"/>
      <c r="B1965" s="8"/>
      <c r="C1965" s="8"/>
      <c r="D1965" s="151"/>
      <c r="E1965" s="151"/>
      <c r="F1965" s="24"/>
      <c r="G1965" s="30"/>
      <c r="H1965" s="81"/>
      <c r="I1965" s="30"/>
      <c r="J1965" s="16"/>
      <c r="K1965" s="9"/>
      <c r="L1965" s="9"/>
      <c r="M1965" s="152"/>
      <c r="N1965" s="153"/>
      <c r="O1965" s="152"/>
      <c r="P1965" s="154"/>
      <c r="Q1965" s="152"/>
      <c r="R1965" s="9"/>
      <c r="Z1965" s="21"/>
      <c r="AA1965" s="162">
        <f>+$AD$5-Tabla2[[#This Row],[FECHA DE FACTURACIÓN]]</f>
        <v>45443</v>
      </c>
      <c r="AB1965" s="163" t="str">
        <f>+IF(Tabla2[[#This Row],[dias de credito]]&gt;=Tabla2[[#This Row],[PLAZO Días]],"venc", "No venc")</f>
        <v>venc</v>
      </c>
      <c r="AC1965" s="163" t="str">
        <f>+IF(Tabla2[[#This Row],[FECHA DE PAGO]]&gt;0,"pagada","por pagar")</f>
        <v>por pagar</v>
      </c>
      <c r="AD1965" s="164" t="str">
        <f>+IF(AND(Tabla2[[#This Row],[venc]]="venc",Tabla2[[#This Row],[estado pago]]="por pagar"),"vencida","no")</f>
        <v>vencida</v>
      </c>
    </row>
    <row r="1966" spans="1:30" ht="19.5" hidden="1" customHeight="1" x14ac:dyDescent="0.25">
      <c r="A1966" s="8"/>
      <c r="B1966" s="8"/>
      <c r="C1966" s="8"/>
      <c r="D1966" s="151"/>
      <c r="E1966" s="151"/>
      <c r="F1966" s="24"/>
      <c r="G1966" s="30"/>
      <c r="H1966" s="81"/>
      <c r="I1966" s="30"/>
      <c r="J1966" s="16"/>
      <c r="K1966" s="9"/>
      <c r="L1966" s="9"/>
      <c r="M1966" s="152"/>
      <c r="N1966" s="153"/>
      <c r="O1966" s="152"/>
      <c r="P1966" s="154"/>
      <c r="Q1966" s="152"/>
      <c r="R1966" s="9"/>
      <c r="Z1966" s="21"/>
      <c r="AA1966" s="162">
        <f>+$AD$5-Tabla2[[#This Row],[FECHA DE FACTURACIÓN]]</f>
        <v>45443</v>
      </c>
      <c r="AB1966" s="163" t="str">
        <f>+IF(Tabla2[[#This Row],[dias de credito]]&gt;=Tabla2[[#This Row],[PLAZO Días]],"venc", "No venc")</f>
        <v>venc</v>
      </c>
      <c r="AC1966" s="163" t="str">
        <f>+IF(Tabla2[[#This Row],[FECHA DE PAGO]]&gt;0,"pagada","por pagar")</f>
        <v>por pagar</v>
      </c>
      <c r="AD1966" s="164" t="str">
        <f>+IF(AND(Tabla2[[#This Row],[venc]]="venc",Tabla2[[#This Row],[estado pago]]="por pagar"),"vencida","no")</f>
        <v>vencida</v>
      </c>
    </row>
    <row r="1967" spans="1:30" ht="19.5" hidden="1" customHeight="1" x14ac:dyDescent="0.25">
      <c r="A1967" s="8"/>
      <c r="B1967" s="8"/>
      <c r="C1967" s="8"/>
      <c r="D1967" s="151"/>
      <c r="E1967" s="151"/>
      <c r="F1967" s="24"/>
      <c r="G1967" s="30"/>
      <c r="H1967" s="81"/>
      <c r="I1967" s="30"/>
      <c r="J1967" s="16"/>
      <c r="K1967" s="9"/>
      <c r="L1967" s="9"/>
      <c r="M1967" s="152"/>
      <c r="N1967" s="153"/>
      <c r="O1967" s="152"/>
      <c r="P1967" s="154"/>
      <c r="Q1967" s="152"/>
      <c r="R1967" s="9"/>
      <c r="Z1967" s="21"/>
      <c r="AA1967" s="162">
        <f>+$AD$5-Tabla2[[#This Row],[FECHA DE FACTURACIÓN]]</f>
        <v>45443</v>
      </c>
      <c r="AB1967" s="163" t="str">
        <f>+IF(Tabla2[[#This Row],[dias de credito]]&gt;=Tabla2[[#This Row],[PLAZO Días]],"venc", "No venc")</f>
        <v>venc</v>
      </c>
      <c r="AC1967" s="163" t="str">
        <f>+IF(Tabla2[[#This Row],[FECHA DE PAGO]]&gt;0,"pagada","por pagar")</f>
        <v>por pagar</v>
      </c>
      <c r="AD1967" s="164" t="str">
        <f>+IF(AND(Tabla2[[#This Row],[venc]]="venc",Tabla2[[#This Row],[estado pago]]="por pagar"),"vencida","no")</f>
        <v>vencida</v>
      </c>
    </row>
    <row r="1968" spans="1:30" ht="19.5" hidden="1" customHeight="1" x14ac:dyDescent="0.25">
      <c r="A1968" s="8"/>
      <c r="B1968" s="8"/>
      <c r="C1968" s="8"/>
      <c r="D1968" s="151"/>
      <c r="E1968" s="151"/>
      <c r="F1968" s="24"/>
      <c r="G1968" s="30"/>
      <c r="H1968" s="81"/>
      <c r="I1968" s="30"/>
      <c r="J1968" s="16"/>
      <c r="K1968" s="9"/>
      <c r="L1968" s="9"/>
      <c r="M1968" s="152"/>
      <c r="N1968" s="153"/>
      <c r="O1968" s="152"/>
      <c r="P1968" s="154"/>
      <c r="Q1968" s="152"/>
      <c r="R1968" s="9"/>
      <c r="Z1968" s="21"/>
      <c r="AA1968" s="162">
        <f>+$AD$5-Tabla2[[#This Row],[FECHA DE FACTURACIÓN]]</f>
        <v>45443</v>
      </c>
      <c r="AB1968" s="163" t="str">
        <f>+IF(Tabla2[[#This Row],[dias de credito]]&gt;=Tabla2[[#This Row],[PLAZO Días]],"venc", "No venc")</f>
        <v>venc</v>
      </c>
      <c r="AC1968" s="163" t="str">
        <f>+IF(Tabla2[[#This Row],[FECHA DE PAGO]]&gt;0,"pagada","por pagar")</f>
        <v>por pagar</v>
      </c>
      <c r="AD1968" s="164" t="str">
        <f>+IF(AND(Tabla2[[#This Row],[venc]]="venc",Tabla2[[#This Row],[estado pago]]="por pagar"),"vencida","no")</f>
        <v>vencida</v>
      </c>
    </row>
    <row r="1969" spans="1:30" ht="19.5" hidden="1" customHeight="1" x14ac:dyDescent="0.25">
      <c r="A1969" s="8"/>
      <c r="B1969" s="8"/>
      <c r="C1969" s="8"/>
      <c r="D1969" s="151"/>
      <c r="E1969" s="151"/>
      <c r="F1969" s="24"/>
      <c r="G1969" s="30"/>
      <c r="H1969" s="81"/>
      <c r="I1969" s="30"/>
      <c r="J1969" s="16"/>
      <c r="K1969" s="9"/>
      <c r="L1969" s="9"/>
      <c r="M1969" s="152"/>
      <c r="N1969" s="153"/>
      <c r="O1969" s="152"/>
      <c r="P1969" s="154"/>
      <c r="Q1969" s="152"/>
      <c r="R1969" s="9"/>
      <c r="Z1969" s="21"/>
      <c r="AA1969" s="162">
        <f>+$AD$5-Tabla2[[#This Row],[FECHA DE FACTURACIÓN]]</f>
        <v>45443</v>
      </c>
      <c r="AB1969" s="163" t="str">
        <f>+IF(Tabla2[[#This Row],[dias de credito]]&gt;=Tabla2[[#This Row],[PLAZO Días]],"venc", "No venc")</f>
        <v>venc</v>
      </c>
      <c r="AC1969" s="163" t="str">
        <f>+IF(Tabla2[[#This Row],[FECHA DE PAGO]]&gt;0,"pagada","por pagar")</f>
        <v>por pagar</v>
      </c>
      <c r="AD1969" s="164" t="str">
        <f>+IF(AND(Tabla2[[#This Row],[venc]]="venc",Tabla2[[#This Row],[estado pago]]="por pagar"),"vencida","no")</f>
        <v>vencida</v>
      </c>
    </row>
    <row r="1970" spans="1:30" ht="19.5" hidden="1" customHeight="1" x14ac:dyDescent="0.25">
      <c r="A1970" s="8"/>
      <c r="B1970" s="8"/>
      <c r="C1970" s="8"/>
      <c r="D1970" s="151"/>
      <c r="E1970" s="151"/>
      <c r="F1970" s="24"/>
      <c r="G1970" s="30"/>
      <c r="H1970" s="81"/>
      <c r="I1970" s="30"/>
      <c r="J1970" s="16"/>
      <c r="K1970" s="9"/>
      <c r="L1970" s="9"/>
      <c r="M1970" s="152"/>
      <c r="N1970" s="153"/>
      <c r="O1970" s="152"/>
      <c r="P1970" s="154"/>
      <c r="Q1970" s="152"/>
      <c r="R1970" s="9"/>
      <c r="Z1970" s="21"/>
      <c r="AA1970" s="162">
        <f>+$AD$5-Tabla2[[#This Row],[FECHA DE FACTURACIÓN]]</f>
        <v>45443</v>
      </c>
      <c r="AB1970" s="163" t="str">
        <f>+IF(Tabla2[[#This Row],[dias de credito]]&gt;=Tabla2[[#This Row],[PLAZO Días]],"venc", "No venc")</f>
        <v>venc</v>
      </c>
      <c r="AC1970" s="163" t="str">
        <f>+IF(Tabla2[[#This Row],[FECHA DE PAGO]]&gt;0,"pagada","por pagar")</f>
        <v>por pagar</v>
      </c>
      <c r="AD1970" s="164" t="str">
        <f>+IF(AND(Tabla2[[#This Row],[venc]]="venc",Tabla2[[#This Row],[estado pago]]="por pagar"),"vencida","no")</f>
        <v>vencida</v>
      </c>
    </row>
    <row r="1971" spans="1:30" ht="19.5" hidden="1" customHeight="1" x14ac:dyDescent="0.25">
      <c r="A1971" s="8"/>
      <c r="B1971" s="8"/>
      <c r="C1971" s="8"/>
      <c r="D1971" s="151"/>
      <c r="E1971" s="151"/>
      <c r="F1971" s="24"/>
      <c r="G1971" s="30"/>
      <c r="H1971" s="81"/>
      <c r="I1971" s="30"/>
      <c r="J1971" s="16"/>
      <c r="K1971" s="9"/>
      <c r="L1971" s="9"/>
      <c r="M1971" s="152"/>
      <c r="N1971" s="153"/>
      <c r="O1971" s="152"/>
      <c r="P1971" s="154"/>
      <c r="Q1971" s="152"/>
      <c r="R1971" s="9"/>
      <c r="Z1971" s="21"/>
      <c r="AA1971" s="162">
        <f>+$AD$5-Tabla2[[#This Row],[FECHA DE FACTURACIÓN]]</f>
        <v>45443</v>
      </c>
      <c r="AB1971" s="163" t="str">
        <f>+IF(Tabla2[[#This Row],[dias de credito]]&gt;=Tabla2[[#This Row],[PLAZO Días]],"venc", "No venc")</f>
        <v>venc</v>
      </c>
      <c r="AC1971" s="163" t="str">
        <f>+IF(Tabla2[[#This Row],[FECHA DE PAGO]]&gt;0,"pagada","por pagar")</f>
        <v>por pagar</v>
      </c>
      <c r="AD1971" s="164" t="str">
        <f>+IF(AND(Tabla2[[#This Row],[venc]]="venc",Tabla2[[#This Row],[estado pago]]="por pagar"),"vencida","no")</f>
        <v>vencida</v>
      </c>
    </row>
    <row r="1972" spans="1:30" ht="19.5" hidden="1" customHeight="1" x14ac:dyDescent="0.25">
      <c r="A1972" s="8"/>
      <c r="B1972" s="8"/>
      <c r="C1972" s="8"/>
      <c r="D1972" s="151"/>
      <c r="E1972" s="151"/>
      <c r="F1972" s="24"/>
      <c r="G1972" s="30"/>
      <c r="H1972" s="81"/>
      <c r="I1972" s="30"/>
      <c r="J1972" s="16"/>
      <c r="K1972" s="9"/>
      <c r="L1972" s="9"/>
      <c r="M1972" s="152"/>
      <c r="N1972" s="153"/>
      <c r="O1972" s="152"/>
      <c r="P1972" s="154"/>
      <c r="Q1972" s="152"/>
      <c r="R1972" s="9"/>
      <c r="Z1972" s="21"/>
      <c r="AA1972" s="162">
        <f>+$AD$5-Tabla2[[#This Row],[FECHA DE FACTURACIÓN]]</f>
        <v>45443</v>
      </c>
      <c r="AB1972" s="163" t="str">
        <f>+IF(Tabla2[[#This Row],[dias de credito]]&gt;=Tabla2[[#This Row],[PLAZO Días]],"venc", "No venc")</f>
        <v>venc</v>
      </c>
      <c r="AC1972" s="163" t="str">
        <f>+IF(Tabla2[[#This Row],[FECHA DE PAGO]]&gt;0,"pagada","por pagar")</f>
        <v>por pagar</v>
      </c>
      <c r="AD1972" s="164" t="str">
        <f>+IF(AND(Tabla2[[#This Row],[venc]]="venc",Tabla2[[#This Row],[estado pago]]="por pagar"),"vencida","no")</f>
        <v>vencida</v>
      </c>
    </row>
    <row r="1973" spans="1:30" ht="19.5" hidden="1" customHeight="1" x14ac:dyDescent="0.25">
      <c r="A1973" s="8"/>
      <c r="B1973" s="8"/>
      <c r="C1973" s="8"/>
      <c r="D1973" s="151"/>
      <c r="E1973" s="151"/>
      <c r="F1973" s="24"/>
      <c r="G1973" s="30"/>
      <c r="H1973" s="81"/>
      <c r="I1973" s="30"/>
      <c r="J1973" s="16"/>
      <c r="K1973" s="9"/>
      <c r="L1973" s="9"/>
      <c r="M1973" s="152"/>
      <c r="N1973" s="153"/>
      <c r="O1973" s="152"/>
      <c r="P1973" s="154"/>
      <c r="Q1973" s="152"/>
      <c r="R1973" s="9"/>
      <c r="Z1973" s="21"/>
      <c r="AA1973" s="162">
        <f>+$AD$5-Tabla2[[#This Row],[FECHA DE FACTURACIÓN]]</f>
        <v>45443</v>
      </c>
      <c r="AB1973" s="163" t="str">
        <f>+IF(Tabla2[[#This Row],[dias de credito]]&gt;=Tabla2[[#This Row],[PLAZO Días]],"venc", "No venc")</f>
        <v>venc</v>
      </c>
      <c r="AC1973" s="163" t="str">
        <f>+IF(Tabla2[[#This Row],[FECHA DE PAGO]]&gt;0,"pagada","por pagar")</f>
        <v>por pagar</v>
      </c>
      <c r="AD1973" s="164" t="str">
        <f>+IF(AND(Tabla2[[#This Row],[venc]]="venc",Tabla2[[#This Row],[estado pago]]="por pagar"),"vencida","no")</f>
        <v>vencida</v>
      </c>
    </row>
    <row r="1974" spans="1:30" ht="19.5" hidden="1" customHeight="1" x14ac:dyDescent="0.25">
      <c r="A1974" s="8"/>
      <c r="B1974" s="8"/>
      <c r="C1974" s="8"/>
      <c r="D1974" s="151"/>
      <c r="E1974" s="151"/>
      <c r="F1974" s="24"/>
      <c r="G1974" s="30"/>
      <c r="H1974" s="81"/>
      <c r="I1974" s="30"/>
      <c r="J1974" s="16"/>
      <c r="K1974" s="9"/>
      <c r="L1974" s="9"/>
      <c r="M1974" s="152"/>
      <c r="N1974" s="153"/>
      <c r="O1974" s="152"/>
      <c r="P1974" s="154"/>
      <c r="Q1974" s="152"/>
      <c r="R1974" s="9"/>
      <c r="Z1974" s="21"/>
      <c r="AA1974" s="162">
        <f>+$AD$5-Tabla2[[#This Row],[FECHA DE FACTURACIÓN]]</f>
        <v>45443</v>
      </c>
      <c r="AB1974" s="163" t="str">
        <f>+IF(Tabla2[[#This Row],[dias de credito]]&gt;=Tabla2[[#This Row],[PLAZO Días]],"venc", "No venc")</f>
        <v>venc</v>
      </c>
      <c r="AC1974" s="163" t="str">
        <f>+IF(Tabla2[[#This Row],[FECHA DE PAGO]]&gt;0,"pagada","por pagar")</f>
        <v>por pagar</v>
      </c>
      <c r="AD1974" s="164" t="str">
        <f>+IF(AND(Tabla2[[#This Row],[venc]]="venc",Tabla2[[#This Row],[estado pago]]="por pagar"),"vencida","no")</f>
        <v>vencida</v>
      </c>
    </row>
    <row r="1975" spans="1:30" ht="19.5" hidden="1" customHeight="1" x14ac:dyDescent="0.25">
      <c r="A1975" s="8"/>
      <c r="B1975" s="8"/>
      <c r="C1975" s="8"/>
      <c r="D1975" s="151"/>
      <c r="E1975" s="151"/>
      <c r="F1975" s="24"/>
      <c r="G1975" s="30"/>
      <c r="H1975" s="81"/>
      <c r="I1975" s="30"/>
      <c r="J1975" s="16"/>
      <c r="K1975" s="9"/>
      <c r="L1975" s="9"/>
      <c r="M1975" s="152"/>
      <c r="N1975" s="153"/>
      <c r="O1975" s="152"/>
      <c r="P1975" s="154"/>
      <c r="Q1975" s="152"/>
      <c r="R1975" s="9"/>
      <c r="Z1975" s="21"/>
      <c r="AA1975" s="162">
        <f>+$AD$5-Tabla2[[#This Row],[FECHA DE FACTURACIÓN]]</f>
        <v>45443</v>
      </c>
      <c r="AB1975" s="163" t="str">
        <f>+IF(Tabla2[[#This Row],[dias de credito]]&gt;=Tabla2[[#This Row],[PLAZO Días]],"venc", "No venc")</f>
        <v>venc</v>
      </c>
      <c r="AC1975" s="163" t="str">
        <f>+IF(Tabla2[[#This Row],[FECHA DE PAGO]]&gt;0,"pagada","por pagar")</f>
        <v>por pagar</v>
      </c>
      <c r="AD1975" s="164" t="str">
        <f>+IF(AND(Tabla2[[#This Row],[venc]]="venc",Tabla2[[#This Row],[estado pago]]="por pagar"),"vencida","no")</f>
        <v>vencida</v>
      </c>
    </row>
    <row r="1976" spans="1:30" ht="19.5" hidden="1" customHeight="1" x14ac:dyDescent="0.25">
      <c r="A1976" s="8"/>
      <c r="B1976" s="8"/>
      <c r="C1976" s="8"/>
      <c r="D1976" s="151"/>
      <c r="E1976" s="151"/>
      <c r="F1976" s="24"/>
      <c r="G1976" s="30"/>
      <c r="H1976" s="81"/>
      <c r="I1976" s="30"/>
      <c r="J1976" s="16"/>
      <c r="K1976" s="9"/>
      <c r="L1976" s="9"/>
      <c r="M1976" s="152"/>
      <c r="N1976" s="153"/>
      <c r="O1976" s="152"/>
      <c r="P1976" s="154"/>
      <c r="Q1976" s="152"/>
      <c r="R1976" s="9"/>
      <c r="Z1976" s="21"/>
      <c r="AA1976" s="162">
        <f>+$AD$5-Tabla2[[#This Row],[FECHA DE FACTURACIÓN]]</f>
        <v>45443</v>
      </c>
      <c r="AB1976" s="163" t="str">
        <f>+IF(Tabla2[[#This Row],[dias de credito]]&gt;=Tabla2[[#This Row],[PLAZO Días]],"venc", "No venc")</f>
        <v>venc</v>
      </c>
      <c r="AC1976" s="163" t="str">
        <f>+IF(Tabla2[[#This Row],[FECHA DE PAGO]]&gt;0,"pagada","por pagar")</f>
        <v>por pagar</v>
      </c>
      <c r="AD1976" s="164" t="str">
        <f>+IF(AND(Tabla2[[#This Row],[venc]]="venc",Tabla2[[#This Row],[estado pago]]="por pagar"),"vencida","no")</f>
        <v>vencida</v>
      </c>
    </row>
    <row r="1977" spans="1:30" ht="19.5" hidden="1" customHeight="1" x14ac:dyDescent="0.25">
      <c r="A1977" s="8"/>
      <c r="B1977" s="8"/>
      <c r="C1977" s="8"/>
      <c r="D1977" s="151"/>
      <c r="E1977" s="151"/>
      <c r="F1977" s="24"/>
      <c r="G1977" s="30"/>
      <c r="H1977" s="81"/>
      <c r="I1977" s="30"/>
      <c r="J1977" s="16"/>
      <c r="K1977" s="9"/>
      <c r="L1977" s="9"/>
      <c r="M1977" s="152"/>
      <c r="N1977" s="153"/>
      <c r="O1977" s="152"/>
      <c r="P1977" s="154"/>
      <c r="Q1977" s="152"/>
      <c r="R1977" s="9"/>
      <c r="Z1977" s="21"/>
      <c r="AA1977" s="162">
        <f>+$AD$5-Tabla2[[#This Row],[FECHA DE FACTURACIÓN]]</f>
        <v>45443</v>
      </c>
      <c r="AB1977" s="163" t="str">
        <f>+IF(Tabla2[[#This Row],[dias de credito]]&gt;=Tabla2[[#This Row],[PLAZO Días]],"venc", "No venc")</f>
        <v>venc</v>
      </c>
      <c r="AC1977" s="163" t="str">
        <f>+IF(Tabla2[[#This Row],[FECHA DE PAGO]]&gt;0,"pagada","por pagar")</f>
        <v>por pagar</v>
      </c>
      <c r="AD1977" s="164" t="str">
        <f>+IF(AND(Tabla2[[#This Row],[venc]]="venc",Tabla2[[#This Row],[estado pago]]="por pagar"),"vencida","no")</f>
        <v>vencida</v>
      </c>
    </row>
    <row r="1978" spans="1:30" ht="19.5" hidden="1" customHeight="1" x14ac:dyDescent="0.25">
      <c r="A1978" s="8"/>
      <c r="B1978" s="8"/>
      <c r="C1978" s="8"/>
      <c r="D1978" s="151"/>
      <c r="E1978" s="151"/>
      <c r="F1978" s="24"/>
      <c r="G1978" s="30"/>
      <c r="H1978" s="81"/>
      <c r="I1978" s="30"/>
      <c r="J1978" s="16"/>
      <c r="K1978" s="9"/>
      <c r="L1978" s="9"/>
      <c r="M1978" s="152"/>
      <c r="N1978" s="153"/>
      <c r="O1978" s="152"/>
      <c r="P1978" s="154"/>
      <c r="Q1978" s="152"/>
      <c r="R1978" s="9"/>
      <c r="Z1978" s="21"/>
      <c r="AA1978" s="162">
        <f>+$AD$5-Tabla2[[#This Row],[FECHA DE FACTURACIÓN]]</f>
        <v>45443</v>
      </c>
      <c r="AB1978" s="163" t="str">
        <f>+IF(Tabla2[[#This Row],[dias de credito]]&gt;=Tabla2[[#This Row],[PLAZO Días]],"venc", "No venc")</f>
        <v>venc</v>
      </c>
      <c r="AC1978" s="163" t="str">
        <f>+IF(Tabla2[[#This Row],[FECHA DE PAGO]]&gt;0,"pagada","por pagar")</f>
        <v>por pagar</v>
      </c>
      <c r="AD1978" s="164" t="str">
        <f>+IF(AND(Tabla2[[#This Row],[venc]]="venc",Tabla2[[#This Row],[estado pago]]="por pagar"),"vencida","no")</f>
        <v>vencida</v>
      </c>
    </row>
    <row r="1979" spans="1:30" ht="19.5" hidden="1" customHeight="1" x14ac:dyDescent="0.25">
      <c r="A1979" s="8"/>
      <c r="B1979" s="8"/>
      <c r="C1979" s="8"/>
      <c r="D1979" s="151"/>
      <c r="E1979" s="151"/>
      <c r="F1979" s="24"/>
      <c r="G1979" s="30"/>
      <c r="H1979" s="81"/>
      <c r="I1979" s="30"/>
      <c r="J1979" s="16"/>
      <c r="K1979" s="9"/>
      <c r="L1979" s="9"/>
      <c r="M1979" s="152"/>
      <c r="N1979" s="153"/>
      <c r="O1979" s="152"/>
      <c r="P1979" s="154"/>
      <c r="Q1979" s="152"/>
      <c r="R1979" s="9"/>
      <c r="Z1979" s="21"/>
      <c r="AA1979" s="162">
        <f>+$AD$5-Tabla2[[#This Row],[FECHA DE FACTURACIÓN]]</f>
        <v>45443</v>
      </c>
      <c r="AB1979" s="163" t="str">
        <f>+IF(Tabla2[[#This Row],[dias de credito]]&gt;=Tabla2[[#This Row],[PLAZO Días]],"venc", "No venc")</f>
        <v>venc</v>
      </c>
      <c r="AC1979" s="163" t="str">
        <f>+IF(Tabla2[[#This Row],[FECHA DE PAGO]]&gt;0,"pagada","por pagar")</f>
        <v>por pagar</v>
      </c>
      <c r="AD1979" s="164" t="str">
        <f>+IF(AND(Tabla2[[#This Row],[venc]]="venc",Tabla2[[#This Row],[estado pago]]="por pagar"),"vencida","no")</f>
        <v>vencida</v>
      </c>
    </row>
    <row r="1980" spans="1:30" ht="19.5" hidden="1" customHeight="1" x14ac:dyDescent="0.25">
      <c r="A1980" s="8"/>
      <c r="B1980" s="8"/>
      <c r="C1980" s="8"/>
      <c r="D1980" s="151"/>
      <c r="E1980" s="151"/>
      <c r="F1980" s="24"/>
      <c r="G1980" s="30"/>
      <c r="H1980" s="81"/>
      <c r="I1980" s="30"/>
      <c r="J1980" s="16"/>
      <c r="K1980" s="9"/>
      <c r="L1980" s="9"/>
      <c r="M1980" s="152"/>
      <c r="N1980" s="153"/>
      <c r="O1980" s="152"/>
      <c r="P1980" s="154"/>
      <c r="Q1980" s="152"/>
      <c r="R1980" s="9"/>
      <c r="Z1980" s="21"/>
      <c r="AA1980" s="162">
        <f>+$AD$5-Tabla2[[#This Row],[FECHA DE FACTURACIÓN]]</f>
        <v>45443</v>
      </c>
      <c r="AB1980" s="163" t="str">
        <f>+IF(Tabla2[[#This Row],[dias de credito]]&gt;=Tabla2[[#This Row],[PLAZO Días]],"venc", "No venc")</f>
        <v>venc</v>
      </c>
      <c r="AC1980" s="163" t="str">
        <f>+IF(Tabla2[[#This Row],[FECHA DE PAGO]]&gt;0,"pagada","por pagar")</f>
        <v>por pagar</v>
      </c>
      <c r="AD1980" s="164" t="str">
        <f>+IF(AND(Tabla2[[#This Row],[venc]]="venc",Tabla2[[#This Row],[estado pago]]="por pagar"),"vencida","no")</f>
        <v>vencida</v>
      </c>
    </row>
    <row r="1981" spans="1:30" ht="19.5" hidden="1" customHeight="1" x14ac:dyDescent="0.25">
      <c r="A1981" s="8"/>
      <c r="B1981" s="8"/>
      <c r="C1981" s="8"/>
      <c r="D1981" s="151"/>
      <c r="E1981" s="151"/>
      <c r="F1981" s="24"/>
      <c r="G1981" s="30"/>
      <c r="H1981" s="81"/>
      <c r="I1981" s="30"/>
      <c r="J1981" s="16"/>
      <c r="K1981" s="9"/>
      <c r="L1981" s="9"/>
      <c r="M1981" s="152"/>
      <c r="N1981" s="153"/>
      <c r="O1981" s="152"/>
      <c r="P1981" s="154"/>
      <c r="Q1981" s="152"/>
      <c r="R1981" s="9"/>
      <c r="Z1981" s="21"/>
      <c r="AA1981" s="162">
        <f>+$AD$5-Tabla2[[#This Row],[FECHA DE FACTURACIÓN]]</f>
        <v>45443</v>
      </c>
      <c r="AB1981" s="163" t="str">
        <f>+IF(Tabla2[[#This Row],[dias de credito]]&gt;=Tabla2[[#This Row],[PLAZO Días]],"venc", "No venc")</f>
        <v>venc</v>
      </c>
      <c r="AC1981" s="163" t="str">
        <f>+IF(Tabla2[[#This Row],[FECHA DE PAGO]]&gt;0,"pagada","por pagar")</f>
        <v>por pagar</v>
      </c>
      <c r="AD1981" s="164" t="str">
        <f>+IF(AND(Tabla2[[#This Row],[venc]]="venc",Tabla2[[#This Row],[estado pago]]="por pagar"),"vencida","no")</f>
        <v>vencida</v>
      </c>
    </row>
    <row r="1982" spans="1:30" ht="19.5" hidden="1" customHeight="1" x14ac:dyDescent="0.25">
      <c r="A1982" s="8"/>
      <c r="B1982" s="8"/>
      <c r="C1982" s="8"/>
      <c r="D1982" s="151"/>
      <c r="E1982" s="151"/>
      <c r="F1982" s="24"/>
      <c r="G1982" s="30"/>
      <c r="H1982" s="81"/>
      <c r="I1982" s="30"/>
      <c r="J1982" s="16"/>
      <c r="K1982" s="9"/>
      <c r="L1982" s="9"/>
      <c r="M1982" s="152"/>
      <c r="N1982" s="153"/>
      <c r="O1982" s="152"/>
      <c r="P1982" s="154"/>
      <c r="Q1982" s="152"/>
      <c r="R1982" s="9"/>
      <c r="Z1982" s="21"/>
      <c r="AA1982" s="162">
        <f>+$AD$5-Tabla2[[#This Row],[FECHA DE FACTURACIÓN]]</f>
        <v>45443</v>
      </c>
      <c r="AB1982" s="163" t="str">
        <f>+IF(Tabla2[[#This Row],[dias de credito]]&gt;=Tabla2[[#This Row],[PLAZO Días]],"venc", "No venc")</f>
        <v>venc</v>
      </c>
      <c r="AC1982" s="163" t="str">
        <f>+IF(Tabla2[[#This Row],[FECHA DE PAGO]]&gt;0,"pagada","por pagar")</f>
        <v>por pagar</v>
      </c>
      <c r="AD1982" s="164" t="str">
        <f>+IF(AND(Tabla2[[#This Row],[venc]]="venc",Tabla2[[#This Row],[estado pago]]="por pagar"),"vencida","no")</f>
        <v>vencida</v>
      </c>
    </row>
    <row r="1983" spans="1:30" ht="19.5" hidden="1" customHeight="1" x14ac:dyDescent="0.25">
      <c r="A1983" s="8"/>
      <c r="B1983" s="8"/>
      <c r="C1983" s="8"/>
      <c r="D1983" s="151"/>
      <c r="E1983" s="151"/>
      <c r="F1983" s="24"/>
      <c r="G1983" s="30"/>
      <c r="H1983" s="81"/>
      <c r="I1983" s="30"/>
      <c r="J1983" s="16"/>
      <c r="K1983" s="9"/>
      <c r="L1983" s="9"/>
      <c r="M1983" s="152"/>
      <c r="N1983" s="153"/>
      <c r="O1983" s="152"/>
      <c r="P1983" s="154"/>
      <c r="Q1983" s="152"/>
      <c r="R1983" s="9"/>
      <c r="Z1983" s="21"/>
      <c r="AA1983" s="162">
        <f>+$AD$5-Tabla2[[#This Row],[FECHA DE FACTURACIÓN]]</f>
        <v>45443</v>
      </c>
      <c r="AB1983" s="163" t="str">
        <f>+IF(Tabla2[[#This Row],[dias de credito]]&gt;=Tabla2[[#This Row],[PLAZO Días]],"venc", "No venc")</f>
        <v>venc</v>
      </c>
      <c r="AC1983" s="163" t="str">
        <f>+IF(Tabla2[[#This Row],[FECHA DE PAGO]]&gt;0,"pagada","por pagar")</f>
        <v>por pagar</v>
      </c>
      <c r="AD1983" s="164" t="str">
        <f>+IF(AND(Tabla2[[#This Row],[venc]]="venc",Tabla2[[#This Row],[estado pago]]="por pagar"),"vencida","no")</f>
        <v>vencida</v>
      </c>
    </row>
    <row r="1984" spans="1:30" ht="19.5" hidden="1" customHeight="1" x14ac:dyDescent="0.25">
      <c r="A1984" s="8"/>
      <c r="B1984" s="8"/>
      <c r="C1984" s="8"/>
      <c r="D1984" s="151"/>
      <c r="E1984" s="151"/>
      <c r="F1984" s="24"/>
      <c r="G1984" s="30"/>
      <c r="H1984" s="81"/>
      <c r="I1984" s="30"/>
      <c r="J1984" s="16"/>
      <c r="K1984" s="9"/>
      <c r="L1984" s="9"/>
      <c r="M1984" s="152"/>
      <c r="N1984" s="153"/>
      <c r="O1984" s="152"/>
      <c r="P1984" s="154"/>
      <c r="Q1984" s="152"/>
      <c r="R1984" s="9"/>
      <c r="Z1984" s="21"/>
      <c r="AA1984" s="162">
        <f>+$AD$5-Tabla2[[#This Row],[FECHA DE FACTURACIÓN]]</f>
        <v>45443</v>
      </c>
      <c r="AB1984" s="163" t="str">
        <f>+IF(Tabla2[[#This Row],[dias de credito]]&gt;=Tabla2[[#This Row],[PLAZO Días]],"venc", "No venc")</f>
        <v>venc</v>
      </c>
      <c r="AC1984" s="163" t="str">
        <f>+IF(Tabla2[[#This Row],[FECHA DE PAGO]]&gt;0,"pagada","por pagar")</f>
        <v>por pagar</v>
      </c>
      <c r="AD1984" s="164" t="str">
        <f>+IF(AND(Tabla2[[#This Row],[venc]]="venc",Tabla2[[#This Row],[estado pago]]="por pagar"),"vencida","no")</f>
        <v>vencida</v>
      </c>
    </row>
    <row r="1985" spans="1:30" ht="19.5" hidden="1" customHeight="1" x14ac:dyDescent="0.25">
      <c r="A1985" s="8"/>
      <c r="B1985" s="8"/>
      <c r="C1985" s="8"/>
      <c r="D1985" s="151"/>
      <c r="E1985" s="151"/>
      <c r="F1985" s="24"/>
      <c r="G1985" s="30"/>
      <c r="H1985" s="81"/>
      <c r="I1985" s="30"/>
      <c r="J1985" s="16"/>
      <c r="K1985" s="9"/>
      <c r="L1985" s="9"/>
      <c r="M1985" s="152"/>
      <c r="N1985" s="153"/>
      <c r="O1985" s="152"/>
      <c r="P1985" s="154"/>
      <c r="Q1985" s="152"/>
      <c r="R1985" s="9"/>
      <c r="Z1985" s="21"/>
      <c r="AA1985" s="162">
        <f>+$AD$5-Tabla2[[#This Row],[FECHA DE FACTURACIÓN]]</f>
        <v>45443</v>
      </c>
      <c r="AB1985" s="163" t="str">
        <f>+IF(Tabla2[[#This Row],[dias de credito]]&gt;=Tabla2[[#This Row],[PLAZO Días]],"venc", "No venc")</f>
        <v>venc</v>
      </c>
      <c r="AC1985" s="163" t="str">
        <f>+IF(Tabla2[[#This Row],[FECHA DE PAGO]]&gt;0,"pagada","por pagar")</f>
        <v>por pagar</v>
      </c>
      <c r="AD1985" s="164" t="str">
        <f>+IF(AND(Tabla2[[#This Row],[venc]]="venc",Tabla2[[#This Row],[estado pago]]="por pagar"),"vencida","no")</f>
        <v>vencida</v>
      </c>
    </row>
    <row r="1986" spans="1:30" ht="19.5" hidden="1" customHeight="1" x14ac:dyDescent="0.25">
      <c r="A1986" s="8"/>
      <c r="B1986" s="8"/>
      <c r="C1986" s="8"/>
      <c r="D1986" s="151"/>
      <c r="E1986" s="151"/>
      <c r="F1986" s="24"/>
      <c r="G1986" s="30"/>
      <c r="H1986" s="81"/>
      <c r="I1986" s="30"/>
      <c r="J1986" s="16"/>
      <c r="K1986" s="9"/>
      <c r="L1986" s="9"/>
      <c r="M1986" s="152"/>
      <c r="N1986" s="153"/>
      <c r="O1986" s="152"/>
      <c r="P1986" s="154"/>
      <c r="Q1986" s="152"/>
      <c r="R1986" s="9"/>
      <c r="Z1986" s="21"/>
      <c r="AA1986" s="162">
        <f>+$AD$5-Tabla2[[#This Row],[FECHA DE FACTURACIÓN]]</f>
        <v>45443</v>
      </c>
      <c r="AB1986" s="163" t="str">
        <f>+IF(Tabla2[[#This Row],[dias de credito]]&gt;=Tabla2[[#This Row],[PLAZO Días]],"venc", "No venc")</f>
        <v>venc</v>
      </c>
      <c r="AC1986" s="163" t="str">
        <f>+IF(Tabla2[[#This Row],[FECHA DE PAGO]]&gt;0,"pagada","por pagar")</f>
        <v>por pagar</v>
      </c>
      <c r="AD1986" s="164" t="str">
        <f>+IF(AND(Tabla2[[#This Row],[venc]]="venc",Tabla2[[#This Row],[estado pago]]="por pagar"),"vencida","no")</f>
        <v>vencida</v>
      </c>
    </row>
    <row r="1987" spans="1:30" ht="19.5" hidden="1" customHeight="1" x14ac:dyDescent="0.25">
      <c r="A1987" s="8"/>
      <c r="B1987" s="8"/>
      <c r="C1987" s="8"/>
      <c r="D1987" s="151"/>
      <c r="E1987" s="151"/>
      <c r="F1987" s="24"/>
      <c r="G1987" s="30"/>
      <c r="H1987" s="81"/>
      <c r="I1987" s="30"/>
      <c r="J1987" s="16"/>
      <c r="K1987" s="9"/>
      <c r="L1987" s="9"/>
      <c r="M1987" s="152"/>
      <c r="N1987" s="153"/>
      <c r="O1987" s="152"/>
      <c r="P1987" s="154"/>
      <c r="Q1987" s="152"/>
      <c r="R1987" s="9"/>
      <c r="Z1987" s="21"/>
      <c r="AA1987" s="162">
        <f>+$AD$5-Tabla2[[#This Row],[FECHA DE FACTURACIÓN]]</f>
        <v>45443</v>
      </c>
      <c r="AB1987" s="163" t="str">
        <f>+IF(Tabla2[[#This Row],[dias de credito]]&gt;=Tabla2[[#This Row],[PLAZO Días]],"venc", "No venc")</f>
        <v>venc</v>
      </c>
      <c r="AC1987" s="163" t="str">
        <f>+IF(Tabla2[[#This Row],[FECHA DE PAGO]]&gt;0,"pagada","por pagar")</f>
        <v>por pagar</v>
      </c>
      <c r="AD1987" s="164" t="str">
        <f>+IF(AND(Tabla2[[#This Row],[venc]]="venc",Tabla2[[#This Row],[estado pago]]="por pagar"),"vencida","no")</f>
        <v>vencida</v>
      </c>
    </row>
    <row r="1988" spans="1:30" ht="19.5" hidden="1" customHeight="1" x14ac:dyDescent="0.25">
      <c r="A1988" s="8"/>
      <c r="B1988" s="8"/>
      <c r="C1988" s="8"/>
      <c r="D1988" s="151"/>
      <c r="E1988" s="151"/>
      <c r="F1988" s="24"/>
      <c r="G1988" s="30"/>
      <c r="H1988" s="81"/>
      <c r="I1988" s="30"/>
      <c r="J1988" s="16"/>
      <c r="K1988" s="9"/>
      <c r="L1988" s="9"/>
      <c r="M1988" s="152"/>
      <c r="N1988" s="153"/>
      <c r="O1988" s="152"/>
      <c r="P1988" s="154"/>
      <c r="Q1988" s="152"/>
      <c r="R1988" s="9"/>
      <c r="Z1988" s="21"/>
      <c r="AA1988" s="162">
        <f>+$AD$5-Tabla2[[#This Row],[FECHA DE FACTURACIÓN]]</f>
        <v>45443</v>
      </c>
      <c r="AB1988" s="163" t="str">
        <f>+IF(Tabla2[[#This Row],[dias de credito]]&gt;=Tabla2[[#This Row],[PLAZO Días]],"venc", "No venc")</f>
        <v>venc</v>
      </c>
      <c r="AC1988" s="163" t="str">
        <f>+IF(Tabla2[[#This Row],[FECHA DE PAGO]]&gt;0,"pagada","por pagar")</f>
        <v>por pagar</v>
      </c>
      <c r="AD1988" s="164" t="str">
        <f>+IF(AND(Tabla2[[#This Row],[venc]]="venc",Tabla2[[#This Row],[estado pago]]="por pagar"),"vencida","no")</f>
        <v>vencida</v>
      </c>
    </row>
    <row r="1989" spans="1:30" ht="19.5" hidden="1" customHeight="1" x14ac:dyDescent="0.25">
      <c r="A1989" s="8"/>
      <c r="B1989" s="8"/>
      <c r="C1989" s="8"/>
      <c r="D1989" s="151"/>
      <c r="E1989" s="151"/>
      <c r="F1989" s="24"/>
      <c r="G1989" s="30"/>
      <c r="H1989" s="81"/>
      <c r="I1989" s="30"/>
      <c r="J1989" s="16"/>
      <c r="K1989" s="9"/>
      <c r="L1989" s="9"/>
      <c r="M1989" s="152"/>
      <c r="N1989" s="153"/>
      <c r="O1989" s="152"/>
      <c r="P1989" s="154"/>
      <c r="Q1989" s="152"/>
      <c r="R1989" s="9"/>
      <c r="Z1989" s="21"/>
      <c r="AA1989" s="162">
        <f>+$AD$5-Tabla2[[#This Row],[FECHA DE FACTURACIÓN]]</f>
        <v>45443</v>
      </c>
      <c r="AB1989" s="163" t="str">
        <f>+IF(Tabla2[[#This Row],[dias de credito]]&gt;=Tabla2[[#This Row],[PLAZO Días]],"venc", "No venc")</f>
        <v>venc</v>
      </c>
      <c r="AC1989" s="163" t="str">
        <f>+IF(Tabla2[[#This Row],[FECHA DE PAGO]]&gt;0,"pagada","por pagar")</f>
        <v>por pagar</v>
      </c>
      <c r="AD1989" s="164" t="str">
        <f>+IF(AND(Tabla2[[#This Row],[venc]]="venc",Tabla2[[#This Row],[estado pago]]="por pagar"),"vencida","no")</f>
        <v>vencida</v>
      </c>
    </row>
    <row r="1990" spans="1:30" ht="19.5" hidden="1" customHeight="1" x14ac:dyDescent="0.25">
      <c r="A1990" s="8"/>
      <c r="B1990" s="8"/>
      <c r="C1990" s="8"/>
      <c r="D1990" s="151"/>
      <c r="E1990" s="151"/>
      <c r="F1990" s="24"/>
      <c r="G1990" s="30"/>
      <c r="H1990" s="81"/>
      <c r="I1990" s="30"/>
      <c r="J1990" s="16"/>
      <c r="K1990" s="9"/>
      <c r="L1990" s="9"/>
      <c r="M1990" s="152"/>
      <c r="N1990" s="153"/>
      <c r="O1990" s="152"/>
      <c r="P1990" s="154"/>
      <c r="Q1990" s="152"/>
      <c r="R1990" s="9"/>
      <c r="Z1990" s="21"/>
      <c r="AA1990" s="162">
        <f>+$AD$5-Tabla2[[#This Row],[FECHA DE FACTURACIÓN]]</f>
        <v>45443</v>
      </c>
      <c r="AB1990" s="163" t="str">
        <f>+IF(Tabla2[[#This Row],[dias de credito]]&gt;=Tabla2[[#This Row],[PLAZO Días]],"venc", "No venc")</f>
        <v>venc</v>
      </c>
      <c r="AC1990" s="163" t="str">
        <f>+IF(Tabla2[[#This Row],[FECHA DE PAGO]]&gt;0,"pagada","por pagar")</f>
        <v>por pagar</v>
      </c>
      <c r="AD1990" s="164" t="str">
        <f>+IF(AND(Tabla2[[#This Row],[venc]]="venc",Tabla2[[#This Row],[estado pago]]="por pagar"),"vencida","no")</f>
        <v>vencida</v>
      </c>
    </row>
    <row r="1991" spans="1:30" ht="19.5" hidden="1" customHeight="1" x14ac:dyDescent="0.25">
      <c r="A1991" s="8"/>
      <c r="B1991" s="8"/>
      <c r="C1991" s="8"/>
      <c r="D1991" s="151"/>
      <c r="E1991" s="151"/>
      <c r="F1991" s="24"/>
      <c r="G1991" s="30"/>
      <c r="H1991" s="81"/>
      <c r="I1991" s="30"/>
      <c r="J1991" s="16"/>
      <c r="K1991" s="9"/>
      <c r="L1991" s="9"/>
      <c r="M1991" s="152"/>
      <c r="N1991" s="153"/>
      <c r="O1991" s="152"/>
      <c r="P1991" s="154"/>
      <c r="Q1991" s="152"/>
      <c r="R1991" s="9"/>
      <c r="Z1991" s="21"/>
      <c r="AA1991" s="162">
        <f>+$AD$5-Tabla2[[#This Row],[FECHA DE FACTURACIÓN]]</f>
        <v>45443</v>
      </c>
      <c r="AB1991" s="163" t="str">
        <f>+IF(Tabla2[[#This Row],[dias de credito]]&gt;=Tabla2[[#This Row],[PLAZO Días]],"venc", "No venc")</f>
        <v>venc</v>
      </c>
      <c r="AC1991" s="163" t="str">
        <f>+IF(Tabla2[[#This Row],[FECHA DE PAGO]]&gt;0,"pagada","por pagar")</f>
        <v>por pagar</v>
      </c>
      <c r="AD1991" s="164" t="str">
        <f>+IF(AND(Tabla2[[#This Row],[venc]]="venc",Tabla2[[#This Row],[estado pago]]="por pagar"),"vencida","no")</f>
        <v>vencida</v>
      </c>
    </row>
    <row r="1992" spans="1:30" ht="19.5" hidden="1" customHeight="1" x14ac:dyDescent="0.25">
      <c r="A1992" s="8"/>
      <c r="B1992" s="8"/>
      <c r="C1992" s="8"/>
      <c r="D1992" s="151"/>
      <c r="E1992" s="151"/>
      <c r="F1992" s="24"/>
      <c r="G1992" s="30"/>
      <c r="H1992" s="81"/>
      <c r="I1992" s="30"/>
      <c r="J1992" s="16"/>
      <c r="K1992" s="9"/>
      <c r="L1992" s="9"/>
      <c r="M1992" s="152"/>
      <c r="N1992" s="153"/>
      <c r="O1992" s="152"/>
      <c r="P1992" s="154"/>
      <c r="Q1992" s="152"/>
      <c r="R1992" s="9"/>
      <c r="Z1992" s="21"/>
      <c r="AA1992" s="162">
        <f>+$AD$5-Tabla2[[#This Row],[FECHA DE FACTURACIÓN]]</f>
        <v>45443</v>
      </c>
      <c r="AB1992" s="163" t="str">
        <f>+IF(Tabla2[[#This Row],[dias de credito]]&gt;=Tabla2[[#This Row],[PLAZO Días]],"venc", "No venc")</f>
        <v>venc</v>
      </c>
      <c r="AC1992" s="163" t="str">
        <f>+IF(Tabla2[[#This Row],[FECHA DE PAGO]]&gt;0,"pagada","por pagar")</f>
        <v>por pagar</v>
      </c>
      <c r="AD1992" s="164" t="str">
        <f>+IF(AND(Tabla2[[#This Row],[venc]]="venc",Tabla2[[#This Row],[estado pago]]="por pagar"),"vencida","no")</f>
        <v>vencida</v>
      </c>
    </row>
    <row r="1993" spans="1:30" ht="19.5" hidden="1" customHeight="1" x14ac:dyDescent="0.25">
      <c r="A1993" s="8"/>
      <c r="B1993" s="8"/>
      <c r="C1993" s="8"/>
      <c r="D1993" s="151"/>
      <c r="E1993" s="151"/>
      <c r="F1993" s="24"/>
      <c r="G1993" s="30"/>
      <c r="H1993" s="81"/>
      <c r="I1993" s="30"/>
      <c r="J1993" s="16"/>
      <c r="K1993" s="9"/>
      <c r="L1993" s="9"/>
      <c r="M1993" s="152"/>
      <c r="N1993" s="153"/>
      <c r="O1993" s="152"/>
      <c r="P1993" s="154"/>
      <c r="Q1993" s="152"/>
      <c r="R1993" s="9"/>
      <c r="Z1993" s="21"/>
      <c r="AA1993" s="162">
        <f>+$AD$5-Tabla2[[#This Row],[FECHA DE FACTURACIÓN]]</f>
        <v>45443</v>
      </c>
      <c r="AB1993" s="163" t="str">
        <f>+IF(Tabla2[[#This Row],[dias de credito]]&gt;=Tabla2[[#This Row],[PLAZO Días]],"venc", "No venc")</f>
        <v>venc</v>
      </c>
      <c r="AC1993" s="163" t="str">
        <f>+IF(Tabla2[[#This Row],[FECHA DE PAGO]]&gt;0,"pagada","por pagar")</f>
        <v>por pagar</v>
      </c>
      <c r="AD1993" s="164" t="str">
        <f>+IF(AND(Tabla2[[#This Row],[venc]]="venc",Tabla2[[#This Row],[estado pago]]="por pagar"),"vencida","no")</f>
        <v>vencida</v>
      </c>
    </row>
    <row r="1994" spans="1:30" ht="19.5" hidden="1" customHeight="1" x14ac:dyDescent="0.25">
      <c r="A1994" s="8"/>
      <c r="B1994" s="8"/>
      <c r="C1994" s="8"/>
      <c r="D1994" s="151"/>
      <c r="E1994" s="151"/>
      <c r="F1994" s="24"/>
      <c r="G1994" s="30"/>
      <c r="H1994" s="81"/>
      <c r="I1994" s="30"/>
      <c r="J1994" s="16"/>
      <c r="K1994" s="9"/>
      <c r="L1994" s="9"/>
      <c r="M1994" s="152"/>
      <c r="N1994" s="153"/>
      <c r="O1994" s="152"/>
      <c r="P1994" s="154"/>
      <c r="Q1994" s="152"/>
      <c r="R1994" s="9"/>
      <c r="Z1994" s="21"/>
      <c r="AA1994" s="162">
        <f>+$AD$5-Tabla2[[#This Row],[FECHA DE FACTURACIÓN]]</f>
        <v>45443</v>
      </c>
      <c r="AB1994" s="163" t="str">
        <f>+IF(Tabla2[[#This Row],[dias de credito]]&gt;=Tabla2[[#This Row],[PLAZO Días]],"venc", "No venc")</f>
        <v>venc</v>
      </c>
      <c r="AC1994" s="163" t="str">
        <f>+IF(Tabla2[[#This Row],[FECHA DE PAGO]]&gt;0,"pagada","por pagar")</f>
        <v>por pagar</v>
      </c>
      <c r="AD1994" s="164" t="str">
        <f>+IF(AND(Tabla2[[#This Row],[venc]]="venc",Tabla2[[#This Row],[estado pago]]="por pagar"),"vencida","no")</f>
        <v>vencida</v>
      </c>
    </row>
    <row r="1995" spans="1:30" ht="19.5" hidden="1" customHeight="1" x14ac:dyDescent="0.25">
      <c r="A1995" s="8"/>
      <c r="B1995" s="8"/>
      <c r="C1995" s="8"/>
      <c r="D1995" s="151"/>
      <c r="E1995" s="151"/>
      <c r="F1995" s="24"/>
      <c r="G1995" s="30"/>
      <c r="H1995" s="81"/>
      <c r="I1995" s="30"/>
      <c r="J1995" s="16"/>
      <c r="K1995" s="9"/>
      <c r="L1995" s="9"/>
      <c r="M1995" s="152"/>
      <c r="N1995" s="153"/>
      <c r="O1995" s="152"/>
      <c r="P1995" s="154"/>
      <c r="Q1995" s="152"/>
      <c r="R1995" s="9"/>
      <c r="Z1995" s="21"/>
      <c r="AA1995" s="162">
        <f>+$AD$5-Tabla2[[#This Row],[FECHA DE FACTURACIÓN]]</f>
        <v>45443</v>
      </c>
      <c r="AB1995" s="163" t="str">
        <f>+IF(Tabla2[[#This Row],[dias de credito]]&gt;=Tabla2[[#This Row],[PLAZO Días]],"venc", "No venc")</f>
        <v>venc</v>
      </c>
      <c r="AC1995" s="163" t="str">
        <f>+IF(Tabla2[[#This Row],[FECHA DE PAGO]]&gt;0,"pagada","por pagar")</f>
        <v>por pagar</v>
      </c>
      <c r="AD1995" s="164" t="str">
        <f>+IF(AND(Tabla2[[#This Row],[venc]]="venc",Tabla2[[#This Row],[estado pago]]="por pagar"),"vencida","no")</f>
        <v>vencida</v>
      </c>
    </row>
    <row r="1996" spans="1:30" ht="19.5" hidden="1" customHeight="1" x14ac:dyDescent="0.25">
      <c r="A1996" s="8"/>
      <c r="B1996" s="8"/>
      <c r="C1996" s="8"/>
      <c r="D1996" s="151"/>
      <c r="E1996" s="151"/>
      <c r="F1996" s="24"/>
      <c r="G1996" s="30"/>
      <c r="H1996" s="81"/>
      <c r="I1996" s="30"/>
      <c r="J1996" s="16"/>
      <c r="K1996" s="9"/>
      <c r="L1996" s="9"/>
      <c r="M1996" s="152"/>
      <c r="N1996" s="153"/>
      <c r="O1996" s="152"/>
      <c r="P1996" s="154"/>
      <c r="Q1996" s="152"/>
      <c r="R1996" s="9"/>
      <c r="Z1996" s="21"/>
      <c r="AA1996" s="162">
        <f>+$AD$5-Tabla2[[#This Row],[FECHA DE FACTURACIÓN]]</f>
        <v>45443</v>
      </c>
      <c r="AB1996" s="163" t="str">
        <f>+IF(Tabla2[[#This Row],[dias de credito]]&gt;=Tabla2[[#This Row],[PLAZO Días]],"venc", "No venc")</f>
        <v>venc</v>
      </c>
      <c r="AC1996" s="163" t="str">
        <f>+IF(Tabla2[[#This Row],[FECHA DE PAGO]]&gt;0,"pagada","por pagar")</f>
        <v>por pagar</v>
      </c>
      <c r="AD1996" s="164" t="str">
        <f>+IF(AND(Tabla2[[#This Row],[venc]]="venc",Tabla2[[#This Row],[estado pago]]="por pagar"),"vencida","no")</f>
        <v>vencida</v>
      </c>
    </row>
    <row r="1997" spans="1:30" ht="19.5" hidden="1" customHeight="1" x14ac:dyDescent="0.25">
      <c r="A1997" s="8"/>
      <c r="B1997" s="8"/>
      <c r="C1997" s="8"/>
      <c r="D1997" s="151"/>
      <c r="E1997" s="151"/>
      <c r="F1997" s="24"/>
      <c r="G1997" s="30"/>
      <c r="H1997" s="81"/>
      <c r="I1997" s="30"/>
      <c r="J1997" s="16"/>
      <c r="K1997" s="9"/>
      <c r="L1997" s="9"/>
      <c r="M1997" s="152"/>
      <c r="N1997" s="153"/>
      <c r="O1997" s="152"/>
      <c r="P1997" s="154"/>
      <c r="Q1997" s="152"/>
      <c r="R1997" s="9"/>
      <c r="Z1997" s="21"/>
      <c r="AA1997" s="162">
        <f>+$AD$5-Tabla2[[#This Row],[FECHA DE FACTURACIÓN]]</f>
        <v>45443</v>
      </c>
      <c r="AB1997" s="163" t="str">
        <f>+IF(Tabla2[[#This Row],[dias de credito]]&gt;=Tabla2[[#This Row],[PLAZO Días]],"venc", "No venc")</f>
        <v>venc</v>
      </c>
      <c r="AC1997" s="163" t="str">
        <f>+IF(Tabla2[[#This Row],[FECHA DE PAGO]]&gt;0,"pagada","por pagar")</f>
        <v>por pagar</v>
      </c>
      <c r="AD1997" s="164" t="str">
        <f>+IF(AND(Tabla2[[#This Row],[venc]]="venc",Tabla2[[#This Row],[estado pago]]="por pagar"),"vencida","no")</f>
        <v>vencida</v>
      </c>
    </row>
    <row r="1998" spans="1:30" ht="19.5" hidden="1" customHeight="1" x14ac:dyDescent="0.25">
      <c r="A1998" s="8"/>
      <c r="B1998" s="8"/>
      <c r="C1998" s="8"/>
      <c r="D1998" s="151"/>
      <c r="E1998" s="151"/>
      <c r="F1998" s="24"/>
      <c r="G1998" s="30"/>
      <c r="H1998" s="81"/>
      <c r="I1998" s="30"/>
      <c r="J1998" s="16"/>
      <c r="K1998" s="9"/>
      <c r="L1998" s="9"/>
      <c r="M1998" s="152"/>
      <c r="N1998" s="153"/>
      <c r="O1998" s="152"/>
      <c r="P1998" s="154"/>
      <c r="Q1998" s="152"/>
      <c r="R1998" s="9"/>
      <c r="Z1998" s="21"/>
      <c r="AA1998" s="162">
        <f>+$AD$5-Tabla2[[#This Row],[FECHA DE FACTURACIÓN]]</f>
        <v>45443</v>
      </c>
      <c r="AB1998" s="163" t="str">
        <f>+IF(Tabla2[[#This Row],[dias de credito]]&gt;=Tabla2[[#This Row],[PLAZO Días]],"venc", "No venc")</f>
        <v>venc</v>
      </c>
      <c r="AC1998" s="163" t="str">
        <f>+IF(Tabla2[[#This Row],[FECHA DE PAGO]]&gt;0,"pagada","por pagar")</f>
        <v>por pagar</v>
      </c>
      <c r="AD1998" s="164" t="str">
        <f>+IF(AND(Tabla2[[#This Row],[venc]]="venc",Tabla2[[#This Row],[estado pago]]="por pagar"),"vencida","no")</f>
        <v>vencida</v>
      </c>
    </row>
    <row r="1999" spans="1:30" ht="19.5" hidden="1" customHeight="1" x14ac:dyDescent="0.25">
      <c r="A1999" s="8"/>
      <c r="B1999" s="8"/>
      <c r="C1999" s="8"/>
      <c r="D1999" s="151"/>
      <c r="E1999" s="151"/>
      <c r="F1999" s="24"/>
      <c r="G1999" s="30"/>
      <c r="H1999" s="81"/>
      <c r="I1999" s="30"/>
      <c r="J1999" s="16"/>
      <c r="K1999" s="9"/>
      <c r="L1999" s="9"/>
      <c r="M1999" s="152"/>
      <c r="N1999" s="153"/>
      <c r="O1999" s="152"/>
      <c r="P1999" s="154"/>
      <c r="Q1999" s="152"/>
      <c r="R1999" s="9"/>
      <c r="Z1999" s="21"/>
      <c r="AA1999" s="162">
        <f>+$AD$5-Tabla2[[#This Row],[FECHA DE FACTURACIÓN]]</f>
        <v>45443</v>
      </c>
      <c r="AB1999" s="163" t="str">
        <f>+IF(Tabla2[[#This Row],[dias de credito]]&gt;=Tabla2[[#This Row],[PLAZO Días]],"venc", "No venc")</f>
        <v>venc</v>
      </c>
      <c r="AC1999" s="163" t="str">
        <f>+IF(Tabla2[[#This Row],[FECHA DE PAGO]]&gt;0,"pagada","por pagar")</f>
        <v>por pagar</v>
      </c>
      <c r="AD1999" s="164" t="str">
        <f>+IF(AND(Tabla2[[#This Row],[venc]]="venc",Tabla2[[#This Row],[estado pago]]="por pagar"),"vencida","no")</f>
        <v>vencida</v>
      </c>
    </row>
    <row r="2000" spans="1:30" ht="19.5" hidden="1" customHeight="1" x14ac:dyDescent="0.25">
      <c r="A2000" s="8"/>
      <c r="B2000" s="8"/>
      <c r="C2000" s="8"/>
      <c r="D2000" s="151"/>
      <c r="E2000" s="151"/>
      <c r="F2000" s="24"/>
      <c r="G2000" s="30"/>
      <c r="H2000" s="81"/>
      <c r="I2000" s="30"/>
      <c r="J2000" s="16"/>
      <c r="K2000" s="9"/>
      <c r="L2000" s="9"/>
      <c r="M2000" s="152"/>
      <c r="N2000" s="153"/>
      <c r="O2000" s="152"/>
      <c r="P2000" s="154"/>
      <c r="Q2000" s="152"/>
      <c r="R2000" s="9"/>
      <c r="Z2000" s="21"/>
      <c r="AA2000" s="162">
        <f>+$AD$5-Tabla2[[#This Row],[FECHA DE FACTURACIÓN]]</f>
        <v>45443</v>
      </c>
      <c r="AB2000" s="163" t="str">
        <f>+IF(Tabla2[[#This Row],[dias de credito]]&gt;=Tabla2[[#This Row],[PLAZO Días]],"venc", "No venc")</f>
        <v>venc</v>
      </c>
      <c r="AC2000" s="163" t="str">
        <f>+IF(Tabla2[[#This Row],[FECHA DE PAGO]]&gt;0,"pagada","por pagar")</f>
        <v>por pagar</v>
      </c>
      <c r="AD2000" s="164" t="str">
        <f>+IF(AND(Tabla2[[#This Row],[venc]]="venc",Tabla2[[#This Row],[estado pago]]="por pagar"),"vencida","no")</f>
        <v>vencida</v>
      </c>
    </row>
    <row r="2001" spans="1:30" ht="19.5" hidden="1" customHeight="1" x14ac:dyDescent="0.25">
      <c r="A2001" s="8"/>
      <c r="B2001" s="8"/>
      <c r="C2001" s="8"/>
      <c r="D2001" s="151"/>
      <c r="E2001" s="151"/>
      <c r="F2001" s="24"/>
      <c r="G2001" s="30"/>
      <c r="H2001" s="81"/>
      <c r="I2001" s="30"/>
      <c r="J2001" s="16"/>
      <c r="K2001" s="9"/>
      <c r="L2001" s="9"/>
      <c r="M2001" s="152"/>
      <c r="N2001" s="153"/>
      <c r="O2001" s="152"/>
      <c r="P2001" s="154"/>
      <c r="Q2001" s="152"/>
      <c r="R2001" s="9"/>
      <c r="Z2001" s="21"/>
      <c r="AA2001" s="162">
        <f>+$AD$5-Tabla2[[#This Row],[FECHA DE FACTURACIÓN]]</f>
        <v>45443</v>
      </c>
      <c r="AB2001" s="163" t="str">
        <f>+IF(Tabla2[[#This Row],[dias de credito]]&gt;=Tabla2[[#This Row],[PLAZO Días]],"venc", "No venc")</f>
        <v>venc</v>
      </c>
      <c r="AC2001" s="163" t="str">
        <f>+IF(Tabla2[[#This Row],[FECHA DE PAGO]]&gt;0,"pagada","por pagar")</f>
        <v>por pagar</v>
      </c>
      <c r="AD2001" s="164" t="str">
        <f>+IF(AND(Tabla2[[#This Row],[venc]]="venc",Tabla2[[#This Row],[estado pago]]="por pagar"),"vencida","no")</f>
        <v>vencida</v>
      </c>
    </row>
    <row r="2002" spans="1:30" ht="19.5" hidden="1" customHeight="1" x14ac:dyDescent="0.25">
      <c r="A2002" s="8"/>
      <c r="B2002" s="8"/>
      <c r="C2002" s="8"/>
      <c r="D2002" s="151"/>
      <c r="E2002" s="151"/>
      <c r="F2002" s="24"/>
      <c r="G2002" s="30"/>
      <c r="H2002" s="81"/>
      <c r="I2002" s="30"/>
      <c r="J2002" s="16"/>
      <c r="K2002" s="9"/>
      <c r="L2002" s="9"/>
      <c r="M2002" s="152"/>
      <c r="N2002" s="153"/>
      <c r="O2002" s="152"/>
      <c r="P2002" s="154"/>
      <c r="Q2002" s="152"/>
      <c r="R2002" s="9"/>
      <c r="Z2002" s="21"/>
      <c r="AA2002" s="162">
        <f>+$AD$5-Tabla2[[#This Row],[FECHA DE FACTURACIÓN]]</f>
        <v>45443</v>
      </c>
      <c r="AB2002" s="163" t="str">
        <f>+IF(Tabla2[[#This Row],[dias de credito]]&gt;=Tabla2[[#This Row],[PLAZO Días]],"venc", "No venc")</f>
        <v>venc</v>
      </c>
      <c r="AC2002" s="163" t="str">
        <f>+IF(Tabla2[[#This Row],[FECHA DE PAGO]]&gt;0,"pagada","por pagar")</f>
        <v>por pagar</v>
      </c>
      <c r="AD2002" s="164" t="str">
        <f>+IF(AND(Tabla2[[#This Row],[venc]]="venc",Tabla2[[#This Row],[estado pago]]="por pagar"),"vencida","no")</f>
        <v>vencida</v>
      </c>
    </row>
    <row r="2003" spans="1:30" ht="19.5" hidden="1" customHeight="1" x14ac:dyDescent="0.25">
      <c r="A2003" s="8"/>
      <c r="B2003" s="8"/>
      <c r="C2003" s="8"/>
      <c r="D2003" s="151"/>
      <c r="E2003" s="151"/>
      <c r="F2003" s="24"/>
      <c r="G2003" s="30"/>
      <c r="H2003" s="81"/>
      <c r="I2003" s="30"/>
      <c r="J2003" s="16"/>
      <c r="K2003" s="9"/>
      <c r="L2003" s="9"/>
      <c r="M2003" s="152"/>
      <c r="N2003" s="153"/>
      <c r="O2003" s="152"/>
      <c r="P2003" s="154"/>
      <c r="Q2003" s="152"/>
      <c r="R2003" s="9"/>
      <c r="Z2003" s="21"/>
      <c r="AA2003" s="162">
        <f>+$AD$5-Tabla2[[#This Row],[FECHA DE FACTURACIÓN]]</f>
        <v>45443</v>
      </c>
      <c r="AB2003" s="163" t="str">
        <f>+IF(Tabla2[[#This Row],[dias de credito]]&gt;=Tabla2[[#This Row],[PLAZO Días]],"venc", "No venc")</f>
        <v>venc</v>
      </c>
      <c r="AC2003" s="163" t="str">
        <f>+IF(Tabla2[[#This Row],[FECHA DE PAGO]]&gt;0,"pagada","por pagar")</f>
        <v>por pagar</v>
      </c>
      <c r="AD2003" s="164" t="str">
        <f>+IF(AND(Tabla2[[#This Row],[venc]]="venc",Tabla2[[#This Row],[estado pago]]="por pagar"),"vencida","no")</f>
        <v>vencida</v>
      </c>
    </row>
    <row r="2004" spans="1:30" ht="19.5" hidden="1" customHeight="1" x14ac:dyDescent="0.25">
      <c r="A2004" s="8"/>
      <c r="B2004" s="8"/>
      <c r="C2004" s="8"/>
      <c r="D2004" s="151"/>
      <c r="E2004" s="151"/>
      <c r="F2004" s="24"/>
      <c r="G2004" s="30"/>
      <c r="H2004" s="81"/>
      <c r="I2004" s="30"/>
      <c r="J2004" s="16"/>
      <c r="K2004" s="9"/>
      <c r="L2004" s="9"/>
      <c r="M2004" s="152"/>
      <c r="N2004" s="153"/>
      <c r="O2004" s="152"/>
      <c r="P2004" s="154"/>
      <c r="Q2004" s="152"/>
      <c r="R2004" s="9"/>
      <c r="Z2004" s="21"/>
      <c r="AA2004" s="162">
        <f>+$AD$5-Tabla2[[#This Row],[FECHA DE FACTURACIÓN]]</f>
        <v>45443</v>
      </c>
      <c r="AB2004" s="163" t="str">
        <f>+IF(Tabla2[[#This Row],[dias de credito]]&gt;=Tabla2[[#This Row],[PLAZO Días]],"venc", "No venc")</f>
        <v>venc</v>
      </c>
      <c r="AC2004" s="163" t="str">
        <f>+IF(Tabla2[[#This Row],[FECHA DE PAGO]]&gt;0,"pagada","por pagar")</f>
        <v>por pagar</v>
      </c>
      <c r="AD2004" s="164" t="str">
        <f>+IF(AND(Tabla2[[#This Row],[venc]]="venc",Tabla2[[#This Row],[estado pago]]="por pagar"),"vencida","no")</f>
        <v>vencida</v>
      </c>
    </row>
    <row r="2005" spans="1:30" ht="19.5" hidden="1" customHeight="1" x14ac:dyDescent="0.25">
      <c r="A2005" s="8"/>
      <c r="B2005" s="8"/>
      <c r="C2005" s="8"/>
      <c r="D2005" s="151"/>
      <c r="E2005" s="151"/>
      <c r="F2005" s="24"/>
      <c r="G2005" s="30"/>
      <c r="H2005" s="81"/>
      <c r="I2005" s="30"/>
      <c r="J2005" s="16"/>
      <c r="K2005" s="9"/>
      <c r="L2005" s="9"/>
      <c r="M2005" s="152"/>
      <c r="N2005" s="153"/>
      <c r="O2005" s="152"/>
      <c r="P2005" s="154"/>
      <c r="Q2005" s="152"/>
      <c r="R2005" s="9"/>
      <c r="Z2005" s="21"/>
      <c r="AA2005" s="162">
        <f>+$AD$5-Tabla2[[#This Row],[FECHA DE FACTURACIÓN]]</f>
        <v>45443</v>
      </c>
      <c r="AB2005" s="163" t="str">
        <f>+IF(Tabla2[[#This Row],[dias de credito]]&gt;=Tabla2[[#This Row],[PLAZO Días]],"venc", "No venc")</f>
        <v>venc</v>
      </c>
      <c r="AC2005" s="163" t="str">
        <f>+IF(Tabla2[[#This Row],[FECHA DE PAGO]]&gt;0,"pagada","por pagar")</f>
        <v>por pagar</v>
      </c>
      <c r="AD2005" s="164" t="str">
        <f>+IF(AND(Tabla2[[#This Row],[venc]]="venc",Tabla2[[#This Row],[estado pago]]="por pagar"),"vencida","no")</f>
        <v>vencida</v>
      </c>
    </row>
    <row r="2006" spans="1:30" ht="19.5" hidden="1" customHeight="1" x14ac:dyDescent="0.25">
      <c r="A2006" s="8"/>
      <c r="B2006" s="8"/>
      <c r="C2006" s="8"/>
      <c r="D2006" s="151"/>
      <c r="E2006" s="151"/>
      <c r="F2006" s="24"/>
      <c r="G2006" s="30"/>
      <c r="H2006" s="81"/>
      <c r="I2006" s="30"/>
      <c r="J2006" s="16"/>
      <c r="K2006" s="9"/>
      <c r="L2006" s="9"/>
      <c r="M2006" s="152"/>
      <c r="N2006" s="153"/>
      <c r="O2006" s="152"/>
      <c r="P2006" s="154"/>
      <c r="Q2006" s="152"/>
      <c r="R2006" s="9"/>
      <c r="Z2006" s="21"/>
      <c r="AA2006" s="162">
        <f>+$AD$5-Tabla2[[#This Row],[FECHA DE FACTURACIÓN]]</f>
        <v>45443</v>
      </c>
      <c r="AB2006" s="163" t="str">
        <f>+IF(Tabla2[[#This Row],[dias de credito]]&gt;=Tabla2[[#This Row],[PLAZO Días]],"venc", "No venc")</f>
        <v>venc</v>
      </c>
      <c r="AC2006" s="163" t="str">
        <f>+IF(Tabla2[[#This Row],[FECHA DE PAGO]]&gt;0,"pagada","por pagar")</f>
        <v>por pagar</v>
      </c>
      <c r="AD2006" s="164" t="str">
        <f>+IF(AND(Tabla2[[#This Row],[venc]]="venc",Tabla2[[#This Row],[estado pago]]="por pagar"),"vencida","no")</f>
        <v>vencida</v>
      </c>
    </row>
    <row r="2007" spans="1:30" ht="19.5" hidden="1" customHeight="1" x14ac:dyDescent="0.25">
      <c r="A2007" s="8"/>
      <c r="B2007" s="8"/>
      <c r="C2007" s="8"/>
      <c r="D2007" s="151"/>
      <c r="E2007" s="151"/>
      <c r="F2007" s="24"/>
      <c r="G2007" s="30"/>
      <c r="H2007" s="81"/>
      <c r="I2007" s="30"/>
      <c r="J2007" s="16"/>
      <c r="K2007" s="9"/>
      <c r="L2007" s="9"/>
      <c r="M2007" s="152"/>
      <c r="N2007" s="153"/>
      <c r="O2007" s="152"/>
      <c r="P2007" s="154"/>
      <c r="Q2007" s="152"/>
      <c r="R2007" s="9"/>
      <c r="Z2007" s="21"/>
      <c r="AA2007" s="162">
        <f>+$AD$5-Tabla2[[#This Row],[FECHA DE FACTURACIÓN]]</f>
        <v>45443</v>
      </c>
      <c r="AB2007" s="163" t="str">
        <f>+IF(Tabla2[[#This Row],[dias de credito]]&gt;=Tabla2[[#This Row],[PLAZO Días]],"venc", "No venc")</f>
        <v>venc</v>
      </c>
      <c r="AC2007" s="163" t="str">
        <f>+IF(Tabla2[[#This Row],[FECHA DE PAGO]]&gt;0,"pagada","por pagar")</f>
        <v>por pagar</v>
      </c>
      <c r="AD2007" s="164" t="str">
        <f>+IF(AND(Tabla2[[#This Row],[venc]]="venc",Tabla2[[#This Row],[estado pago]]="por pagar"),"vencida","no")</f>
        <v>vencida</v>
      </c>
    </row>
    <row r="2008" spans="1:30" ht="19.5" hidden="1" customHeight="1" x14ac:dyDescent="0.25">
      <c r="A2008" s="8"/>
      <c r="B2008" s="8"/>
      <c r="C2008" s="8"/>
      <c r="D2008" s="151"/>
      <c r="E2008" s="151"/>
      <c r="F2008" s="24"/>
      <c r="G2008" s="30"/>
      <c r="H2008" s="81"/>
      <c r="I2008" s="30"/>
      <c r="J2008" s="16"/>
      <c r="K2008" s="9"/>
      <c r="L2008" s="9"/>
      <c r="M2008" s="152"/>
      <c r="N2008" s="153"/>
      <c r="O2008" s="152"/>
      <c r="P2008" s="154"/>
      <c r="Q2008" s="152"/>
      <c r="R2008" s="9"/>
      <c r="Z2008" s="21"/>
      <c r="AA2008" s="162">
        <f>+$AD$5-Tabla2[[#This Row],[FECHA DE FACTURACIÓN]]</f>
        <v>45443</v>
      </c>
      <c r="AB2008" s="163" t="str">
        <f>+IF(Tabla2[[#This Row],[dias de credito]]&gt;=Tabla2[[#This Row],[PLAZO Días]],"venc", "No venc")</f>
        <v>venc</v>
      </c>
      <c r="AC2008" s="163" t="str">
        <f>+IF(Tabla2[[#This Row],[FECHA DE PAGO]]&gt;0,"pagada","por pagar")</f>
        <v>por pagar</v>
      </c>
      <c r="AD2008" s="164" t="str">
        <f>+IF(AND(Tabla2[[#This Row],[venc]]="venc",Tabla2[[#This Row],[estado pago]]="por pagar"),"vencida","no")</f>
        <v>vencida</v>
      </c>
    </row>
    <row r="2009" spans="1:30" ht="19.5" hidden="1" customHeight="1" x14ac:dyDescent="0.25">
      <c r="A2009" s="8"/>
      <c r="B2009" s="8"/>
      <c r="C2009" s="8"/>
      <c r="D2009" s="151"/>
      <c r="E2009" s="151"/>
      <c r="F2009" s="24"/>
      <c r="G2009" s="30"/>
      <c r="H2009" s="81"/>
      <c r="I2009" s="30"/>
      <c r="J2009" s="16"/>
      <c r="K2009" s="9"/>
      <c r="L2009" s="9"/>
      <c r="M2009" s="152"/>
      <c r="N2009" s="153"/>
      <c r="O2009" s="152"/>
      <c r="P2009" s="154"/>
      <c r="Q2009" s="152"/>
      <c r="R2009" s="9"/>
      <c r="Z2009" s="21"/>
      <c r="AA2009" s="162">
        <f>+$AD$5-Tabla2[[#This Row],[FECHA DE FACTURACIÓN]]</f>
        <v>45443</v>
      </c>
      <c r="AB2009" s="163" t="str">
        <f>+IF(Tabla2[[#This Row],[dias de credito]]&gt;=Tabla2[[#This Row],[PLAZO Días]],"venc", "No venc")</f>
        <v>venc</v>
      </c>
      <c r="AC2009" s="163" t="str">
        <f>+IF(Tabla2[[#This Row],[FECHA DE PAGO]]&gt;0,"pagada","por pagar")</f>
        <v>por pagar</v>
      </c>
      <c r="AD2009" s="164" t="str">
        <f>+IF(AND(Tabla2[[#This Row],[venc]]="venc",Tabla2[[#This Row],[estado pago]]="por pagar"),"vencida","no")</f>
        <v>vencida</v>
      </c>
    </row>
    <row r="2010" spans="1:30" ht="19.5" hidden="1" customHeight="1" x14ac:dyDescent="0.25">
      <c r="A2010" s="8"/>
      <c r="B2010" s="8"/>
      <c r="C2010" s="8"/>
      <c r="D2010" s="151"/>
      <c r="E2010" s="151"/>
      <c r="F2010" s="24"/>
      <c r="G2010" s="30"/>
      <c r="H2010" s="81"/>
      <c r="I2010" s="30"/>
      <c r="J2010" s="16"/>
      <c r="K2010" s="9"/>
      <c r="L2010" s="9"/>
      <c r="M2010" s="152"/>
      <c r="N2010" s="153"/>
      <c r="O2010" s="152"/>
      <c r="P2010" s="154"/>
      <c r="Q2010" s="152"/>
      <c r="R2010" s="9"/>
      <c r="Z2010" s="21"/>
      <c r="AA2010" s="162">
        <f>+$AD$5-Tabla2[[#This Row],[FECHA DE FACTURACIÓN]]</f>
        <v>45443</v>
      </c>
      <c r="AB2010" s="163" t="str">
        <f>+IF(Tabla2[[#This Row],[dias de credito]]&gt;=Tabla2[[#This Row],[PLAZO Días]],"venc", "No venc")</f>
        <v>venc</v>
      </c>
      <c r="AC2010" s="163" t="str">
        <f>+IF(Tabla2[[#This Row],[FECHA DE PAGO]]&gt;0,"pagada","por pagar")</f>
        <v>por pagar</v>
      </c>
      <c r="AD2010" s="164" t="str">
        <f>+IF(AND(Tabla2[[#This Row],[venc]]="venc",Tabla2[[#This Row],[estado pago]]="por pagar"),"vencida","no")</f>
        <v>vencida</v>
      </c>
    </row>
    <row r="2011" spans="1:30" ht="19.5" hidden="1" customHeight="1" x14ac:dyDescent="0.25">
      <c r="A2011" s="8"/>
      <c r="B2011" s="8"/>
      <c r="C2011" s="8"/>
      <c r="D2011" s="151"/>
      <c r="E2011" s="151"/>
      <c r="F2011" s="24"/>
      <c r="G2011" s="30"/>
      <c r="H2011" s="81"/>
      <c r="I2011" s="30"/>
      <c r="J2011" s="16"/>
      <c r="K2011" s="9"/>
      <c r="L2011" s="9"/>
      <c r="M2011" s="152"/>
      <c r="N2011" s="153"/>
      <c r="O2011" s="152"/>
      <c r="P2011" s="154"/>
      <c r="Q2011" s="152"/>
      <c r="R2011" s="9"/>
      <c r="Z2011" s="21"/>
      <c r="AA2011" s="162">
        <f>+$AD$5-Tabla2[[#This Row],[FECHA DE FACTURACIÓN]]</f>
        <v>45443</v>
      </c>
      <c r="AB2011" s="163" t="str">
        <f>+IF(Tabla2[[#This Row],[dias de credito]]&gt;=Tabla2[[#This Row],[PLAZO Días]],"venc", "No venc")</f>
        <v>venc</v>
      </c>
      <c r="AC2011" s="163" t="str">
        <f>+IF(Tabla2[[#This Row],[FECHA DE PAGO]]&gt;0,"pagada","por pagar")</f>
        <v>por pagar</v>
      </c>
      <c r="AD2011" s="164" t="str">
        <f>+IF(AND(Tabla2[[#This Row],[venc]]="venc",Tabla2[[#This Row],[estado pago]]="por pagar"),"vencida","no")</f>
        <v>vencida</v>
      </c>
    </row>
    <row r="2012" spans="1:30" ht="19.5" hidden="1" customHeight="1" x14ac:dyDescent="0.25">
      <c r="A2012" s="8"/>
      <c r="B2012" s="8"/>
      <c r="C2012" s="8"/>
      <c r="D2012" s="151"/>
      <c r="E2012" s="151"/>
      <c r="F2012" s="24"/>
      <c r="G2012" s="30"/>
      <c r="H2012" s="81"/>
      <c r="I2012" s="30"/>
      <c r="J2012" s="16"/>
      <c r="K2012" s="9"/>
      <c r="L2012" s="9"/>
      <c r="M2012" s="152"/>
      <c r="N2012" s="153"/>
      <c r="O2012" s="152"/>
      <c r="P2012" s="154"/>
      <c r="Q2012" s="152"/>
      <c r="R2012" s="9"/>
      <c r="Z2012" s="21"/>
      <c r="AA2012" s="162">
        <f>+$AD$5-Tabla2[[#This Row],[FECHA DE FACTURACIÓN]]</f>
        <v>45443</v>
      </c>
      <c r="AB2012" s="163" t="str">
        <f>+IF(Tabla2[[#This Row],[dias de credito]]&gt;=Tabla2[[#This Row],[PLAZO Días]],"venc", "No venc")</f>
        <v>venc</v>
      </c>
      <c r="AC2012" s="163" t="str">
        <f>+IF(Tabla2[[#This Row],[FECHA DE PAGO]]&gt;0,"pagada","por pagar")</f>
        <v>por pagar</v>
      </c>
      <c r="AD2012" s="164" t="str">
        <f>+IF(AND(Tabla2[[#This Row],[venc]]="venc",Tabla2[[#This Row],[estado pago]]="por pagar"),"vencida","no")</f>
        <v>vencida</v>
      </c>
    </row>
    <row r="2013" spans="1:30" ht="19.5" hidden="1" customHeight="1" x14ac:dyDescent="0.25">
      <c r="A2013" s="8"/>
      <c r="B2013" s="8"/>
      <c r="C2013" s="8"/>
      <c r="D2013" s="151"/>
      <c r="E2013" s="151"/>
      <c r="F2013" s="24"/>
      <c r="G2013" s="30"/>
      <c r="H2013" s="81"/>
      <c r="I2013" s="30"/>
      <c r="J2013" s="16"/>
      <c r="K2013" s="9"/>
      <c r="L2013" s="9"/>
      <c r="M2013" s="152"/>
      <c r="N2013" s="153"/>
      <c r="O2013" s="152"/>
      <c r="P2013" s="154"/>
      <c r="Q2013" s="152"/>
      <c r="R2013" s="9"/>
      <c r="Z2013" s="21"/>
      <c r="AA2013" s="162">
        <f>+$AD$5-Tabla2[[#This Row],[FECHA DE FACTURACIÓN]]</f>
        <v>45443</v>
      </c>
      <c r="AB2013" s="163" t="str">
        <f>+IF(Tabla2[[#This Row],[dias de credito]]&gt;=Tabla2[[#This Row],[PLAZO Días]],"venc", "No venc")</f>
        <v>venc</v>
      </c>
      <c r="AC2013" s="163" t="str">
        <f>+IF(Tabla2[[#This Row],[FECHA DE PAGO]]&gt;0,"pagada","por pagar")</f>
        <v>por pagar</v>
      </c>
      <c r="AD2013" s="164" t="str">
        <f>+IF(AND(Tabla2[[#This Row],[venc]]="venc",Tabla2[[#This Row],[estado pago]]="por pagar"),"vencida","no")</f>
        <v>vencida</v>
      </c>
    </row>
    <row r="2014" spans="1:30" ht="19.5" hidden="1" customHeight="1" x14ac:dyDescent="0.25">
      <c r="A2014" s="8"/>
      <c r="B2014" s="8"/>
      <c r="C2014" s="8"/>
      <c r="D2014" s="151"/>
      <c r="E2014" s="151"/>
      <c r="F2014" s="24"/>
      <c r="G2014" s="30"/>
      <c r="H2014" s="81"/>
      <c r="I2014" s="30"/>
      <c r="J2014" s="16"/>
      <c r="K2014" s="9"/>
      <c r="L2014" s="9"/>
      <c r="M2014" s="152"/>
      <c r="N2014" s="153"/>
      <c r="O2014" s="152"/>
      <c r="P2014" s="154"/>
      <c r="Q2014" s="152"/>
      <c r="R2014" s="9"/>
      <c r="Z2014" s="21"/>
      <c r="AA2014" s="162">
        <f>+$AD$5-Tabla2[[#This Row],[FECHA DE FACTURACIÓN]]</f>
        <v>45443</v>
      </c>
      <c r="AB2014" s="163" t="str">
        <f>+IF(Tabla2[[#This Row],[dias de credito]]&gt;=Tabla2[[#This Row],[PLAZO Días]],"venc", "No venc")</f>
        <v>venc</v>
      </c>
      <c r="AC2014" s="163" t="str">
        <f>+IF(Tabla2[[#This Row],[FECHA DE PAGO]]&gt;0,"pagada","por pagar")</f>
        <v>por pagar</v>
      </c>
      <c r="AD2014" s="164" t="str">
        <f>+IF(AND(Tabla2[[#This Row],[venc]]="venc",Tabla2[[#This Row],[estado pago]]="por pagar"),"vencida","no")</f>
        <v>vencida</v>
      </c>
    </row>
    <row r="2015" spans="1:30" ht="19.5" hidden="1" customHeight="1" x14ac:dyDescent="0.25">
      <c r="A2015" s="8"/>
      <c r="B2015" s="8"/>
      <c r="C2015" s="8"/>
      <c r="D2015" s="151"/>
      <c r="E2015" s="151"/>
      <c r="F2015" s="24"/>
      <c r="G2015" s="30"/>
      <c r="H2015" s="81"/>
      <c r="I2015" s="30"/>
      <c r="J2015" s="16"/>
      <c r="K2015" s="9"/>
      <c r="L2015" s="9"/>
      <c r="M2015" s="152"/>
      <c r="N2015" s="153"/>
      <c r="O2015" s="152"/>
      <c r="P2015" s="154"/>
      <c r="Q2015" s="152"/>
      <c r="R2015" s="9"/>
      <c r="Z2015" s="21"/>
      <c r="AA2015" s="162">
        <f>+$AD$5-Tabla2[[#This Row],[FECHA DE FACTURACIÓN]]</f>
        <v>45443</v>
      </c>
      <c r="AB2015" s="163" t="str">
        <f>+IF(Tabla2[[#This Row],[dias de credito]]&gt;=Tabla2[[#This Row],[PLAZO Días]],"venc", "No venc")</f>
        <v>venc</v>
      </c>
      <c r="AC2015" s="163" t="str">
        <f>+IF(Tabla2[[#This Row],[FECHA DE PAGO]]&gt;0,"pagada","por pagar")</f>
        <v>por pagar</v>
      </c>
      <c r="AD2015" s="164" t="str">
        <f>+IF(AND(Tabla2[[#This Row],[venc]]="venc",Tabla2[[#This Row],[estado pago]]="por pagar"),"vencida","no")</f>
        <v>vencida</v>
      </c>
    </row>
    <row r="2016" spans="1:30" ht="19.5" hidden="1" customHeight="1" x14ac:dyDescent="0.25">
      <c r="A2016" s="8"/>
      <c r="B2016" s="8"/>
      <c r="C2016" s="8"/>
      <c r="D2016" s="151"/>
      <c r="E2016" s="151"/>
      <c r="F2016" s="24"/>
      <c r="G2016" s="30"/>
      <c r="H2016" s="81"/>
      <c r="I2016" s="30"/>
      <c r="J2016" s="16"/>
      <c r="K2016" s="9"/>
      <c r="L2016" s="9"/>
      <c r="M2016" s="152"/>
      <c r="N2016" s="153"/>
      <c r="O2016" s="152"/>
      <c r="P2016" s="154"/>
      <c r="Q2016" s="152"/>
      <c r="R2016" s="9"/>
      <c r="Z2016" s="21"/>
      <c r="AA2016" s="162">
        <f>+$AD$5-Tabla2[[#This Row],[FECHA DE FACTURACIÓN]]</f>
        <v>45443</v>
      </c>
      <c r="AB2016" s="163" t="str">
        <f>+IF(Tabla2[[#This Row],[dias de credito]]&gt;=Tabla2[[#This Row],[PLAZO Días]],"venc", "No venc")</f>
        <v>venc</v>
      </c>
      <c r="AC2016" s="163" t="str">
        <f>+IF(Tabla2[[#This Row],[FECHA DE PAGO]]&gt;0,"pagada","por pagar")</f>
        <v>por pagar</v>
      </c>
      <c r="AD2016" s="164" t="str">
        <f>+IF(AND(Tabla2[[#This Row],[venc]]="venc",Tabla2[[#This Row],[estado pago]]="por pagar"),"vencida","no")</f>
        <v>vencida</v>
      </c>
    </row>
    <row r="2017" spans="1:30" ht="19.5" hidden="1" customHeight="1" x14ac:dyDescent="0.25">
      <c r="A2017" s="8"/>
      <c r="B2017" s="8"/>
      <c r="C2017" s="8"/>
      <c r="D2017" s="151"/>
      <c r="E2017" s="151"/>
      <c r="F2017" s="24"/>
      <c r="G2017" s="30"/>
      <c r="H2017" s="81"/>
      <c r="I2017" s="30"/>
      <c r="J2017" s="16"/>
      <c r="K2017" s="9"/>
      <c r="L2017" s="9"/>
      <c r="M2017" s="152"/>
      <c r="N2017" s="153"/>
      <c r="O2017" s="152"/>
      <c r="P2017" s="154"/>
      <c r="Q2017" s="152"/>
      <c r="R2017" s="9"/>
      <c r="Z2017" s="21"/>
      <c r="AA2017" s="162">
        <f>+$AD$5-Tabla2[[#This Row],[FECHA DE FACTURACIÓN]]</f>
        <v>45443</v>
      </c>
      <c r="AB2017" s="163" t="str">
        <f>+IF(Tabla2[[#This Row],[dias de credito]]&gt;=Tabla2[[#This Row],[PLAZO Días]],"venc", "No venc")</f>
        <v>venc</v>
      </c>
      <c r="AC2017" s="163" t="str">
        <f>+IF(Tabla2[[#This Row],[FECHA DE PAGO]]&gt;0,"pagada","por pagar")</f>
        <v>por pagar</v>
      </c>
      <c r="AD2017" s="164" t="str">
        <f>+IF(AND(Tabla2[[#This Row],[venc]]="venc",Tabla2[[#This Row],[estado pago]]="por pagar"),"vencida","no")</f>
        <v>vencida</v>
      </c>
    </row>
    <row r="2018" spans="1:30" ht="19.5" hidden="1" customHeight="1" x14ac:dyDescent="0.25">
      <c r="A2018" s="8"/>
      <c r="B2018" s="8"/>
      <c r="C2018" s="8"/>
      <c r="D2018" s="151"/>
      <c r="E2018" s="151"/>
      <c r="F2018" s="24"/>
      <c r="G2018" s="30"/>
      <c r="H2018" s="81"/>
      <c r="I2018" s="30"/>
      <c r="J2018" s="16"/>
      <c r="K2018" s="9"/>
      <c r="L2018" s="9"/>
      <c r="M2018" s="152"/>
      <c r="N2018" s="153"/>
      <c r="O2018" s="152"/>
      <c r="P2018" s="154"/>
      <c r="Q2018" s="152"/>
      <c r="R2018" s="9"/>
      <c r="Z2018" s="21"/>
      <c r="AA2018" s="162">
        <f>+$AD$5-Tabla2[[#This Row],[FECHA DE FACTURACIÓN]]</f>
        <v>45443</v>
      </c>
      <c r="AB2018" s="163" t="str">
        <f>+IF(Tabla2[[#This Row],[dias de credito]]&gt;=Tabla2[[#This Row],[PLAZO Días]],"venc", "No venc")</f>
        <v>venc</v>
      </c>
      <c r="AC2018" s="163" t="str">
        <f>+IF(Tabla2[[#This Row],[FECHA DE PAGO]]&gt;0,"pagada","por pagar")</f>
        <v>por pagar</v>
      </c>
      <c r="AD2018" s="164" t="str">
        <f>+IF(AND(Tabla2[[#This Row],[venc]]="venc",Tabla2[[#This Row],[estado pago]]="por pagar"),"vencida","no")</f>
        <v>vencida</v>
      </c>
    </row>
    <row r="2019" spans="1:30" ht="19.5" hidden="1" customHeight="1" x14ac:dyDescent="0.25">
      <c r="A2019" s="8"/>
      <c r="B2019" s="8"/>
      <c r="C2019" s="8"/>
      <c r="D2019" s="151"/>
      <c r="E2019" s="151"/>
      <c r="F2019" s="24"/>
      <c r="G2019" s="30"/>
      <c r="H2019" s="81"/>
      <c r="I2019" s="30"/>
      <c r="J2019" s="16"/>
      <c r="K2019" s="9"/>
      <c r="L2019" s="9"/>
      <c r="M2019" s="152"/>
      <c r="N2019" s="153"/>
      <c r="O2019" s="152"/>
      <c r="P2019" s="154"/>
      <c r="Q2019" s="152"/>
      <c r="R2019" s="9"/>
      <c r="Z2019" s="21"/>
      <c r="AA2019" s="162">
        <f>+$AD$5-Tabla2[[#This Row],[FECHA DE FACTURACIÓN]]</f>
        <v>45443</v>
      </c>
      <c r="AB2019" s="163" t="str">
        <f>+IF(Tabla2[[#This Row],[dias de credito]]&gt;=Tabla2[[#This Row],[PLAZO Días]],"venc", "No venc")</f>
        <v>venc</v>
      </c>
      <c r="AC2019" s="163" t="str">
        <f>+IF(Tabla2[[#This Row],[FECHA DE PAGO]]&gt;0,"pagada","por pagar")</f>
        <v>por pagar</v>
      </c>
      <c r="AD2019" s="164" t="str">
        <f>+IF(AND(Tabla2[[#This Row],[venc]]="venc",Tabla2[[#This Row],[estado pago]]="por pagar"),"vencida","no")</f>
        <v>vencida</v>
      </c>
    </row>
    <row r="2020" spans="1:30" ht="19.5" hidden="1" customHeight="1" x14ac:dyDescent="0.25">
      <c r="A2020" s="8"/>
      <c r="B2020" s="8"/>
      <c r="C2020" s="8"/>
      <c r="D2020" s="151"/>
      <c r="E2020" s="151"/>
      <c r="F2020" s="24"/>
      <c r="G2020" s="30"/>
      <c r="H2020" s="81"/>
      <c r="I2020" s="30"/>
      <c r="J2020" s="16"/>
      <c r="K2020" s="9"/>
      <c r="L2020" s="9"/>
      <c r="M2020" s="152"/>
      <c r="N2020" s="153"/>
      <c r="O2020" s="152"/>
      <c r="P2020" s="154"/>
      <c r="Q2020" s="152"/>
      <c r="R2020" s="9"/>
      <c r="Z2020" s="21"/>
      <c r="AA2020" s="162">
        <f>+$AD$5-Tabla2[[#This Row],[FECHA DE FACTURACIÓN]]</f>
        <v>45443</v>
      </c>
      <c r="AB2020" s="163" t="str">
        <f>+IF(Tabla2[[#This Row],[dias de credito]]&gt;=Tabla2[[#This Row],[PLAZO Días]],"venc", "No venc")</f>
        <v>venc</v>
      </c>
      <c r="AC2020" s="163" t="str">
        <f>+IF(Tabla2[[#This Row],[FECHA DE PAGO]]&gt;0,"pagada","por pagar")</f>
        <v>por pagar</v>
      </c>
      <c r="AD2020" s="164" t="str">
        <f>+IF(AND(Tabla2[[#This Row],[venc]]="venc",Tabla2[[#This Row],[estado pago]]="por pagar"),"vencida","no")</f>
        <v>vencida</v>
      </c>
    </row>
    <row r="2021" spans="1:30" ht="19.5" hidden="1" customHeight="1" x14ac:dyDescent="0.25">
      <c r="A2021" s="8"/>
      <c r="B2021" s="8"/>
      <c r="C2021" s="8"/>
      <c r="D2021" s="151"/>
      <c r="E2021" s="151"/>
      <c r="F2021" s="24"/>
      <c r="G2021" s="30"/>
      <c r="H2021" s="81"/>
      <c r="I2021" s="30"/>
      <c r="J2021" s="16"/>
      <c r="K2021" s="9"/>
      <c r="L2021" s="9"/>
      <c r="M2021" s="152"/>
      <c r="N2021" s="153"/>
      <c r="O2021" s="152"/>
      <c r="P2021" s="154"/>
      <c r="Q2021" s="152"/>
      <c r="R2021" s="9"/>
      <c r="Z2021" s="21"/>
      <c r="AA2021" s="162">
        <f>+$AD$5-Tabla2[[#This Row],[FECHA DE FACTURACIÓN]]</f>
        <v>45443</v>
      </c>
      <c r="AB2021" s="163" t="str">
        <f>+IF(Tabla2[[#This Row],[dias de credito]]&gt;=Tabla2[[#This Row],[PLAZO Días]],"venc", "No venc")</f>
        <v>venc</v>
      </c>
      <c r="AC2021" s="163" t="str">
        <f>+IF(Tabla2[[#This Row],[FECHA DE PAGO]]&gt;0,"pagada","por pagar")</f>
        <v>por pagar</v>
      </c>
      <c r="AD2021" s="164" t="str">
        <f>+IF(AND(Tabla2[[#This Row],[venc]]="venc",Tabla2[[#This Row],[estado pago]]="por pagar"),"vencida","no")</f>
        <v>vencida</v>
      </c>
    </row>
    <row r="2022" spans="1:30" ht="19.5" hidden="1" customHeight="1" x14ac:dyDescent="0.25">
      <c r="A2022" s="8"/>
      <c r="B2022" s="8"/>
      <c r="C2022" s="8"/>
      <c r="D2022" s="151"/>
      <c r="E2022" s="151"/>
      <c r="F2022" s="24"/>
      <c r="G2022" s="30"/>
      <c r="H2022" s="81"/>
      <c r="I2022" s="30"/>
      <c r="J2022" s="16"/>
      <c r="K2022" s="9"/>
      <c r="L2022" s="9"/>
      <c r="M2022" s="152"/>
      <c r="N2022" s="153"/>
      <c r="O2022" s="152"/>
      <c r="P2022" s="154"/>
      <c r="Q2022" s="152"/>
      <c r="R2022" s="9"/>
      <c r="Z2022" s="21"/>
      <c r="AA2022" s="162">
        <f>+$AD$5-Tabla2[[#This Row],[FECHA DE FACTURACIÓN]]</f>
        <v>45443</v>
      </c>
      <c r="AB2022" s="163" t="str">
        <f>+IF(Tabla2[[#This Row],[dias de credito]]&gt;=Tabla2[[#This Row],[PLAZO Días]],"venc", "No venc")</f>
        <v>venc</v>
      </c>
      <c r="AC2022" s="163" t="str">
        <f>+IF(Tabla2[[#This Row],[FECHA DE PAGO]]&gt;0,"pagada","por pagar")</f>
        <v>por pagar</v>
      </c>
      <c r="AD2022" s="164" t="str">
        <f>+IF(AND(Tabla2[[#This Row],[venc]]="venc",Tabla2[[#This Row],[estado pago]]="por pagar"),"vencida","no")</f>
        <v>vencida</v>
      </c>
    </row>
    <row r="2023" spans="1:30" ht="19.5" hidden="1" customHeight="1" x14ac:dyDescent="0.25">
      <c r="A2023" s="8"/>
      <c r="B2023" s="8"/>
      <c r="C2023" s="8"/>
      <c r="D2023" s="151"/>
      <c r="E2023" s="151"/>
      <c r="F2023" s="24"/>
      <c r="G2023" s="30"/>
      <c r="H2023" s="81"/>
      <c r="I2023" s="30"/>
      <c r="J2023" s="16"/>
      <c r="K2023" s="9"/>
      <c r="L2023" s="9"/>
      <c r="M2023" s="152"/>
      <c r="N2023" s="153"/>
      <c r="O2023" s="152"/>
      <c r="P2023" s="154"/>
      <c r="Q2023" s="152"/>
      <c r="R2023" s="9"/>
      <c r="Z2023" s="21"/>
      <c r="AA2023" s="162">
        <f>+$AD$5-Tabla2[[#This Row],[FECHA DE FACTURACIÓN]]</f>
        <v>45443</v>
      </c>
      <c r="AB2023" s="163" t="str">
        <f>+IF(Tabla2[[#This Row],[dias de credito]]&gt;=Tabla2[[#This Row],[PLAZO Días]],"venc", "No venc")</f>
        <v>venc</v>
      </c>
      <c r="AC2023" s="163" t="str">
        <f>+IF(Tabla2[[#This Row],[FECHA DE PAGO]]&gt;0,"pagada","por pagar")</f>
        <v>por pagar</v>
      </c>
      <c r="AD2023" s="164" t="str">
        <f>+IF(AND(Tabla2[[#This Row],[venc]]="venc",Tabla2[[#This Row],[estado pago]]="por pagar"),"vencida","no")</f>
        <v>vencida</v>
      </c>
    </row>
    <row r="2024" spans="1:30" ht="19.5" hidden="1" customHeight="1" x14ac:dyDescent="0.25">
      <c r="A2024" s="8"/>
      <c r="B2024" s="8"/>
      <c r="C2024" s="8"/>
      <c r="D2024" s="151"/>
      <c r="E2024" s="151"/>
      <c r="F2024" s="24"/>
      <c r="G2024" s="30"/>
      <c r="H2024" s="81"/>
      <c r="I2024" s="30"/>
      <c r="J2024" s="16"/>
      <c r="K2024" s="9"/>
      <c r="L2024" s="9"/>
      <c r="M2024" s="152"/>
      <c r="N2024" s="153"/>
      <c r="O2024" s="152"/>
      <c r="P2024" s="154"/>
      <c r="Q2024" s="152"/>
      <c r="R2024" s="9"/>
      <c r="Z2024" s="21"/>
      <c r="AA2024" s="162">
        <f>+$AD$5-Tabla2[[#This Row],[FECHA DE FACTURACIÓN]]</f>
        <v>45443</v>
      </c>
      <c r="AB2024" s="163" t="str">
        <f>+IF(Tabla2[[#This Row],[dias de credito]]&gt;=Tabla2[[#This Row],[PLAZO Días]],"venc", "No venc")</f>
        <v>venc</v>
      </c>
      <c r="AC2024" s="163" t="str">
        <f>+IF(Tabla2[[#This Row],[FECHA DE PAGO]]&gt;0,"pagada","por pagar")</f>
        <v>por pagar</v>
      </c>
      <c r="AD2024" s="164" t="str">
        <f>+IF(AND(Tabla2[[#This Row],[venc]]="venc",Tabla2[[#This Row],[estado pago]]="por pagar"),"vencida","no")</f>
        <v>vencida</v>
      </c>
    </row>
    <row r="2025" spans="1:30" ht="19.5" hidden="1" customHeight="1" x14ac:dyDescent="0.25">
      <c r="A2025" s="8"/>
      <c r="B2025" s="8"/>
      <c r="C2025" s="8"/>
      <c r="D2025" s="151"/>
      <c r="E2025" s="151"/>
      <c r="F2025" s="24"/>
      <c r="G2025" s="30"/>
      <c r="H2025" s="81"/>
      <c r="I2025" s="30"/>
      <c r="J2025" s="16"/>
      <c r="K2025" s="9"/>
      <c r="L2025" s="9"/>
      <c r="M2025" s="152"/>
      <c r="N2025" s="153"/>
      <c r="O2025" s="152"/>
      <c r="P2025" s="154"/>
      <c r="Q2025" s="152"/>
      <c r="R2025" s="9"/>
      <c r="Z2025" s="21"/>
      <c r="AA2025" s="162">
        <f>+$AD$5-Tabla2[[#This Row],[FECHA DE FACTURACIÓN]]</f>
        <v>45443</v>
      </c>
      <c r="AB2025" s="163" t="str">
        <f>+IF(Tabla2[[#This Row],[dias de credito]]&gt;=Tabla2[[#This Row],[PLAZO Días]],"venc", "No venc")</f>
        <v>venc</v>
      </c>
      <c r="AC2025" s="163" t="str">
        <f>+IF(Tabla2[[#This Row],[FECHA DE PAGO]]&gt;0,"pagada","por pagar")</f>
        <v>por pagar</v>
      </c>
      <c r="AD2025" s="164" t="str">
        <f>+IF(AND(Tabla2[[#This Row],[venc]]="venc",Tabla2[[#This Row],[estado pago]]="por pagar"),"vencida","no")</f>
        <v>vencida</v>
      </c>
    </row>
    <row r="2026" spans="1:30" ht="19.5" hidden="1" customHeight="1" x14ac:dyDescent="0.25">
      <c r="A2026" s="8"/>
      <c r="B2026" s="8"/>
      <c r="C2026" s="8"/>
      <c r="D2026" s="151"/>
      <c r="E2026" s="151"/>
      <c r="F2026" s="24"/>
      <c r="G2026" s="30"/>
      <c r="H2026" s="81"/>
      <c r="I2026" s="30"/>
      <c r="J2026" s="16"/>
      <c r="K2026" s="9"/>
      <c r="L2026" s="9"/>
      <c r="M2026" s="152"/>
      <c r="N2026" s="153"/>
      <c r="O2026" s="152"/>
      <c r="P2026" s="154"/>
      <c r="Q2026" s="152"/>
      <c r="R2026" s="9"/>
      <c r="Z2026" s="21"/>
      <c r="AA2026" s="162">
        <f>+$AD$5-Tabla2[[#This Row],[FECHA DE FACTURACIÓN]]</f>
        <v>45443</v>
      </c>
      <c r="AB2026" s="163" t="str">
        <f>+IF(Tabla2[[#This Row],[dias de credito]]&gt;=Tabla2[[#This Row],[PLAZO Días]],"venc", "No venc")</f>
        <v>venc</v>
      </c>
      <c r="AC2026" s="163" t="str">
        <f>+IF(Tabla2[[#This Row],[FECHA DE PAGO]]&gt;0,"pagada","por pagar")</f>
        <v>por pagar</v>
      </c>
      <c r="AD2026" s="164" t="str">
        <f>+IF(AND(Tabla2[[#This Row],[venc]]="venc",Tabla2[[#This Row],[estado pago]]="por pagar"),"vencida","no")</f>
        <v>vencida</v>
      </c>
    </row>
    <row r="2027" spans="1:30" ht="19.5" hidden="1" customHeight="1" x14ac:dyDescent="0.25">
      <c r="A2027" s="8"/>
      <c r="B2027" s="8"/>
      <c r="C2027" s="8"/>
      <c r="D2027" s="151"/>
      <c r="E2027" s="151"/>
      <c r="F2027" s="24"/>
      <c r="G2027" s="30"/>
      <c r="H2027" s="81"/>
      <c r="I2027" s="30"/>
      <c r="J2027" s="16"/>
      <c r="K2027" s="9"/>
      <c r="L2027" s="9"/>
      <c r="M2027" s="152"/>
      <c r="N2027" s="153"/>
      <c r="O2027" s="152"/>
      <c r="P2027" s="154"/>
      <c r="Q2027" s="152"/>
      <c r="R2027" s="9"/>
      <c r="Z2027" s="21"/>
      <c r="AA2027" s="162">
        <f>+$AD$5-Tabla2[[#This Row],[FECHA DE FACTURACIÓN]]</f>
        <v>45443</v>
      </c>
      <c r="AB2027" s="163" t="str">
        <f>+IF(Tabla2[[#This Row],[dias de credito]]&gt;=Tabla2[[#This Row],[PLAZO Días]],"venc", "No venc")</f>
        <v>venc</v>
      </c>
      <c r="AC2027" s="163" t="str">
        <f>+IF(Tabla2[[#This Row],[FECHA DE PAGO]]&gt;0,"pagada","por pagar")</f>
        <v>por pagar</v>
      </c>
      <c r="AD2027" s="164" t="str">
        <f>+IF(AND(Tabla2[[#This Row],[venc]]="venc",Tabla2[[#This Row],[estado pago]]="por pagar"),"vencida","no")</f>
        <v>vencida</v>
      </c>
    </row>
    <row r="2028" spans="1:30" ht="19.5" hidden="1" customHeight="1" x14ac:dyDescent="0.25">
      <c r="A2028" s="8"/>
      <c r="B2028" s="8"/>
      <c r="C2028" s="8"/>
      <c r="D2028" s="151"/>
      <c r="E2028" s="151"/>
      <c r="F2028" s="24"/>
      <c r="G2028" s="30"/>
      <c r="H2028" s="81"/>
      <c r="I2028" s="30"/>
      <c r="J2028" s="16"/>
      <c r="K2028" s="9"/>
      <c r="L2028" s="9"/>
      <c r="M2028" s="152"/>
      <c r="N2028" s="153"/>
      <c r="O2028" s="152"/>
      <c r="P2028" s="154"/>
      <c r="Q2028" s="152"/>
      <c r="R2028" s="9"/>
      <c r="Z2028" s="21"/>
      <c r="AA2028" s="162">
        <f>+$AD$5-Tabla2[[#This Row],[FECHA DE FACTURACIÓN]]</f>
        <v>45443</v>
      </c>
      <c r="AB2028" s="163" t="str">
        <f>+IF(Tabla2[[#This Row],[dias de credito]]&gt;=Tabla2[[#This Row],[PLAZO Días]],"venc", "No venc")</f>
        <v>venc</v>
      </c>
      <c r="AC2028" s="163" t="str">
        <f>+IF(Tabla2[[#This Row],[FECHA DE PAGO]]&gt;0,"pagada","por pagar")</f>
        <v>por pagar</v>
      </c>
      <c r="AD2028" s="164" t="str">
        <f>+IF(AND(Tabla2[[#This Row],[venc]]="venc",Tabla2[[#This Row],[estado pago]]="por pagar"),"vencida","no")</f>
        <v>vencida</v>
      </c>
    </row>
    <row r="2029" spans="1:30" ht="19.5" hidden="1" customHeight="1" x14ac:dyDescent="0.25">
      <c r="A2029" s="8"/>
      <c r="B2029" s="8"/>
      <c r="C2029" s="8"/>
      <c r="D2029" s="151"/>
      <c r="E2029" s="151"/>
      <c r="F2029" s="24"/>
      <c r="G2029" s="30"/>
      <c r="H2029" s="81"/>
      <c r="I2029" s="30"/>
      <c r="J2029" s="16"/>
      <c r="K2029" s="9"/>
      <c r="L2029" s="9"/>
      <c r="M2029" s="152"/>
      <c r="N2029" s="153"/>
      <c r="O2029" s="152"/>
      <c r="P2029" s="154"/>
      <c r="Q2029" s="152"/>
      <c r="R2029" s="9"/>
      <c r="Z2029" s="21"/>
      <c r="AA2029" s="162">
        <f>+$AD$5-Tabla2[[#This Row],[FECHA DE FACTURACIÓN]]</f>
        <v>45443</v>
      </c>
      <c r="AB2029" s="163" t="str">
        <f>+IF(Tabla2[[#This Row],[dias de credito]]&gt;=Tabla2[[#This Row],[PLAZO Días]],"venc", "No venc")</f>
        <v>venc</v>
      </c>
      <c r="AC2029" s="163" t="str">
        <f>+IF(Tabla2[[#This Row],[FECHA DE PAGO]]&gt;0,"pagada","por pagar")</f>
        <v>por pagar</v>
      </c>
      <c r="AD2029" s="164" t="str">
        <f>+IF(AND(Tabla2[[#This Row],[venc]]="venc",Tabla2[[#This Row],[estado pago]]="por pagar"),"vencida","no")</f>
        <v>vencida</v>
      </c>
    </row>
    <row r="2030" spans="1:30" ht="19.5" hidden="1" customHeight="1" x14ac:dyDescent="0.25">
      <c r="A2030" s="8"/>
      <c r="B2030" s="8"/>
      <c r="C2030" s="8"/>
      <c r="D2030" s="151"/>
      <c r="E2030" s="151"/>
      <c r="F2030" s="24"/>
      <c r="G2030" s="30"/>
      <c r="H2030" s="81"/>
      <c r="I2030" s="30"/>
      <c r="J2030" s="16"/>
      <c r="K2030" s="9"/>
      <c r="L2030" s="9"/>
      <c r="M2030" s="152"/>
      <c r="N2030" s="153"/>
      <c r="O2030" s="152"/>
      <c r="P2030" s="154"/>
      <c r="Q2030" s="152"/>
      <c r="R2030" s="9"/>
      <c r="Z2030" s="21"/>
      <c r="AA2030" s="162">
        <f>+$AD$5-Tabla2[[#This Row],[FECHA DE FACTURACIÓN]]</f>
        <v>45443</v>
      </c>
      <c r="AB2030" s="163" t="str">
        <f>+IF(Tabla2[[#This Row],[dias de credito]]&gt;=Tabla2[[#This Row],[PLAZO Días]],"venc", "No venc")</f>
        <v>venc</v>
      </c>
      <c r="AC2030" s="163" t="str">
        <f>+IF(Tabla2[[#This Row],[FECHA DE PAGO]]&gt;0,"pagada","por pagar")</f>
        <v>por pagar</v>
      </c>
      <c r="AD2030" s="164" t="str">
        <f>+IF(AND(Tabla2[[#This Row],[venc]]="venc",Tabla2[[#This Row],[estado pago]]="por pagar"),"vencida","no")</f>
        <v>vencida</v>
      </c>
    </row>
    <row r="2031" spans="1:30" ht="19.5" hidden="1" customHeight="1" x14ac:dyDescent="0.25">
      <c r="A2031" s="8"/>
      <c r="B2031" s="8"/>
      <c r="C2031" s="8"/>
      <c r="D2031" s="151"/>
      <c r="E2031" s="151"/>
      <c r="F2031" s="24"/>
      <c r="G2031" s="30"/>
      <c r="H2031" s="81"/>
      <c r="I2031" s="30"/>
      <c r="J2031" s="16"/>
      <c r="K2031" s="9"/>
      <c r="L2031" s="9"/>
      <c r="M2031" s="152"/>
      <c r="N2031" s="153"/>
      <c r="O2031" s="152"/>
      <c r="P2031" s="154"/>
      <c r="Q2031" s="152"/>
      <c r="R2031" s="9"/>
      <c r="Z2031" s="21"/>
      <c r="AA2031" s="162">
        <f>+$AD$5-Tabla2[[#This Row],[FECHA DE FACTURACIÓN]]</f>
        <v>45443</v>
      </c>
      <c r="AB2031" s="163" t="str">
        <f>+IF(Tabla2[[#This Row],[dias de credito]]&gt;=Tabla2[[#This Row],[PLAZO Días]],"venc", "No venc")</f>
        <v>venc</v>
      </c>
      <c r="AC2031" s="163" t="str">
        <f>+IF(Tabla2[[#This Row],[FECHA DE PAGO]]&gt;0,"pagada","por pagar")</f>
        <v>por pagar</v>
      </c>
      <c r="AD2031" s="164" t="str">
        <f>+IF(AND(Tabla2[[#This Row],[venc]]="venc",Tabla2[[#This Row],[estado pago]]="por pagar"),"vencida","no")</f>
        <v>vencida</v>
      </c>
    </row>
    <row r="2032" spans="1:30" ht="19.5" hidden="1" customHeight="1" x14ac:dyDescent="0.25">
      <c r="A2032" s="8"/>
      <c r="B2032" s="8"/>
      <c r="C2032" s="8"/>
      <c r="D2032" s="151"/>
      <c r="E2032" s="151"/>
      <c r="F2032" s="24"/>
      <c r="G2032" s="30"/>
      <c r="H2032" s="81"/>
      <c r="I2032" s="30"/>
      <c r="J2032" s="16"/>
      <c r="K2032" s="9"/>
      <c r="L2032" s="9"/>
      <c r="M2032" s="152"/>
      <c r="N2032" s="153"/>
      <c r="O2032" s="152"/>
      <c r="P2032" s="154"/>
      <c r="Q2032" s="152"/>
      <c r="R2032" s="9"/>
      <c r="Z2032" s="21"/>
      <c r="AA2032" s="162">
        <f>+$AD$5-Tabla2[[#This Row],[FECHA DE FACTURACIÓN]]</f>
        <v>45443</v>
      </c>
      <c r="AB2032" s="163" t="str">
        <f>+IF(Tabla2[[#This Row],[dias de credito]]&gt;=Tabla2[[#This Row],[PLAZO Días]],"venc", "No venc")</f>
        <v>venc</v>
      </c>
      <c r="AC2032" s="163" t="str">
        <f>+IF(Tabla2[[#This Row],[FECHA DE PAGO]]&gt;0,"pagada","por pagar")</f>
        <v>por pagar</v>
      </c>
      <c r="AD2032" s="164" t="str">
        <f>+IF(AND(Tabla2[[#This Row],[venc]]="venc",Tabla2[[#This Row],[estado pago]]="por pagar"),"vencida","no")</f>
        <v>vencida</v>
      </c>
    </row>
    <row r="2033" spans="1:30" ht="19.5" hidden="1" customHeight="1" x14ac:dyDescent="0.25">
      <c r="A2033" s="8"/>
      <c r="B2033" s="8"/>
      <c r="C2033" s="8"/>
      <c r="D2033" s="151"/>
      <c r="E2033" s="151"/>
      <c r="F2033" s="24"/>
      <c r="G2033" s="30"/>
      <c r="H2033" s="81"/>
      <c r="I2033" s="30"/>
      <c r="J2033" s="16"/>
      <c r="K2033" s="9"/>
      <c r="L2033" s="9"/>
      <c r="M2033" s="152"/>
      <c r="N2033" s="153"/>
      <c r="O2033" s="152"/>
      <c r="P2033" s="154"/>
      <c r="Q2033" s="152"/>
      <c r="R2033" s="9"/>
      <c r="Z2033" s="21"/>
      <c r="AA2033" s="162">
        <f>+$AD$5-Tabla2[[#This Row],[FECHA DE FACTURACIÓN]]</f>
        <v>45443</v>
      </c>
      <c r="AB2033" s="163" t="str">
        <f>+IF(Tabla2[[#This Row],[dias de credito]]&gt;=Tabla2[[#This Row],[PLAZO Días]],"venc", "No venc")</f>
        <v>venc</v>
      </c>
      <c r="AC2033" s="163" t="str">
        <f>+IF(Tabla2[[#This Row],[FECHA DE PAGO]]&gt;0,"pagada","por pagar")</f>
        <v>por pagar</v>
      </c>
      <c r="AD2033" s="164" t="str">
        <f>+IF(AND(Tabla2[[#This Row],[venc]]="venc",Tabla2[[#This Row],[estado pago]]="por pagar"),"vencida","no")</f>
        <v>vencida</v>
      </c>
    </row>
    <row r="2034" spans="1:30" ht="19.5" hidden="1" customHeight="1" x14ac:dyDescent="0.25">
      <c r="A2034" s="8"/>
      <c r="B2034" s="8"/>
      <c r="C2034" s="8"/>
      <c r="D2034" s="151"/>
      <c r="E2034" s="151"/>
      <c r="F2034" s="24"/>
      <c r="G2034" s="30"/>
      <c r="H2034" s="81"/>
      <c r="I2034" s="30"/>
      <c r="J2034" s="16"/>
      <c r="K2034" s="9"/>
      <c r="L2034" s="9"/>
      <c r="M2034" s="152"/>
      <c r="N2034" s="153"/>
      <c r="O2034" s="152"/>
      <c r="P2034" s="154"/>
      <c r="Q2034" s="152"/>
      <c r="R2034" s="9"/>
      <c r="Z2034" s="21"/>
      <c r="AA2034" s="162">
        <f>+$AD$5-Tabla2[[#This Row],[FECHA DE FACTURACIÓN]]</f>
        <v>45443</v>
      </c>
      <c r="AB2034" s="163" t="str">
        <f>+IF(Tabla2[[#This Row],[dias de credito]]&gt;=Tabla2[[#This Row],[PLAZO Días]],"venc", "No venc")</f>
        <v>venc</v>
      </c>
      <c r="AC2034" s="163" t="str">
        <f>+IF(Tabla2[[#This Row],[FECHA DE PAGO]]&gt;0,"pagada","por pagar")</f>
        <v>por pagar</v>
      </c>
      <c r="AD2034" s="164" t="str">
        <f>+IF(AND(Tabla2[[#This Row],[venc]]="venc",Tabla2[[#This Row],[estado pago]]="por pagar"),"vencida","no")</f>
        <v>vencida</v>
      </c>
    </row>
    <row r="2035" spans="1:30" ht="19.5" hidden="1" customHeight="1" x14ac:dyDescent="0.25">
      <c r="A2035" s="8"/>
      <c r="B2035" s="8"/>
      <c r="C2035" s="8"/>
      <c r="D2035" s="151"/>
      <c r="E2035" s="151"/>
      <c r="F2035" s="24"/>
      <c r="G2035" s="30"/>
      <c r="H2035" s="81"/>
      <c r="I2035" s="30"/>
      <c r="J2035" s="16"/>
      <c r="K2035" s="9"/>
      <c r="L2035" s="9"/>
      <c r="M2035" s="152"/>
      <c r="N2035" s="153"/>
      <c r="O2035" s="152"/>
      <c r="P2035" s="154"/>
      <c r="Q2035" s="152"/>
      <c r="R2035" s="9"/>
      <c r="Z2035" s="21"/>
      <c r="AA2035" s="162">
        <f>+$AD$5-Tabla2[[#This Row],[FECHA DE FACTURACIÓN]]</f>
        <v>45443</v>
      </c>
      <c r="AB2035" s="163" t="str">
        <f>+IF(Tabla2[[#This Row],[dias de credito]]&gt;=Tabla2[[#This Row],[PLAZO Días]],"venc", "No venc")</f>
        <v>venc</v>
      </c>
      <c r="AC2035" s="163" t="str">
        <f>+IF(Tabla2[[#This Row],[FECHA DE PAGO]]&gt;0,"pagada","por pagar")</f>
        <v>por pagar</v>
      </c>
      <c r="AD2035" s="164" t="str">
        <f>+IF(AND(Tabla2[[#This Row],[venc]]="venc",Tabla2[[#This Row],[estado pago]]="por pagar"),"vencida","no")</f>
        <v>vencida</v>
      </c>
    </row>
    <row r="2036" spans="1:30" ht="19.5" hidden="1" customHeight="1" x14ac:dyDescent="0.25">
      <c r="A2036" s="8"/>
      <c r="B2036" s="8"/>
      <c r="C2036" s="8"/>
      <c r="D2036" s="151"/>
      <c r="E2036" s="151"/>
      <c r="F2036" s="24"/>
      <c r="G2036" s="30"/>
      <c r="H2036" s="81"/>
      <c r="I2036" s="30"/>
      <c r="J2036" s="16"/>
      <c r="K2036" s="9"/>
      <c r="L2036" s="9"/>
      <c r="M2036" s="152"/>
      <c r="N2036" s="153"/>
      <c r="O2036" s="152"/>
      <c r="P2036" s="154"/>
      <c r="Q2036" s="152"/>
      <c r="R2036" s="9"/>
      <c r="Z2036" s="21"/>
      <c r="AA2036" s="162">
        <f>+$AD$5-Tabla2[[#This Row],[FECHA DE FACTURACIÓN]]</f>
        <v>45443</v>
      </c>
      <c r="AB2036" s="163" t="str">
        <f>+IF(Tabla2[[#This Row],[dias de credito]]&gt;=Tabla2[[#This Row],[PLAZO Días]],"venc", "No venc")</f>
        <v>venc</v>
      </c>
      <c r="AC2036" s="163" t="str">
        <f>+IF(Tabla2[[#This Row],[FECHA DE PAGO]]&gt;0,"pagada","por pagar")</f>
        <v>por pagar</v>
      </c>
      <c r="AD2036" s="164" t="str">
        <f>+IF(AND(Tabla2[[#This Row],[venc]]="venc",Tabla2[[#This Row],[estado pago]]="por pagar"),"vencida","no")</f>
        <v>vencida</v>
      </c>
    </row>
    <row r="2037" spans="1:30" ht="19.5" hidden="1" customHeight="1" x14ac:dyDescent="0.25">
      <c r="A2037" s="8"/>
      <c r="B2037" s="8"/>
      <c r="C2037" s="8"/>
      <c r="D2037" s="151"/>
      <c r="E2037" s="151"/>
      <c r="F2037" s="24"/>
      <c r="G2037" s="30"/>
      <c r="H2037" s="81"/>
      <c r="I2037" s="30"/>
      <c r="J2037" s="16"/>
      <c r="K2037" s="9"/>
      <c r="L2037" s="9"/>
      <c r="M2037" s="152"/>
      <c r="N2037" s="153"/>
      <c r="O2037" s="152"/>
      <c r="P2037" s="154"/>
      <c r="Q2037" s="152"/>
      <c r="R2037" s="9"/>
      <c r="Z2037" s="21"/>
      <c r="AA2037" s="162">
        <f>+$AD$5-Tabla2[[#This Row],[FECHA DE FACTURACIÓN]]</f>
        <v>45443</v>
      </c>
      <c r="AB2037" s="163" t="str">
        <f>+IF(Tabla2[[#This Row],[dias de credito]]&gt;=Tabla2[[#This Row],[PLAZO Días]],"venc", "No venc")</f>
        <v>venc</v>
      </c>
      <c r="AC2037" s="163" t="str">
        <f>+IF(Tabla2[[#This Row],[FECHA DE PAGO]]&gt;0,"pagada","por pagar")</f>
        <v>por pagar</v>
      </c>
      <c r="AD2037" s="164" t="str">
        <f>+IF(AND(Tabla2[[#This Row],[venc]]="venc",Tabla2[[#This Row],[estado pago]]="por pagar"),"vencida","no")</f>
        <v>vencida</v>
      </c>
    </row>
    <row r="2038" spans="1:30" ht="19.5" hidden="1" customHeight="1" x14ac:dyDescent="0.25">
      <c r="A2038" s="8"/>
      <c r="B2038" s="8"/>
      <c r="C2038" s="8"/>
      <c r="D2038" s="151"/>
      <c r="E2038" s="151"/>
      <c r="F2038" s="24"/>
      <c r="G2038" s="30"/>
      <c r="H2038" s="81"/>
      <c r="I2038" s="30"/>
      <c r="J2038" s="16"/>
      <c r="K2038" s="9"/>
      <c r="L2038" s="9"/>
      <c r="M2038" s="152"/>
      <c r="N2038" s="153"/>
      <c r="O2038" s="152"/>
      <c r="P2038" s="154"/>
      <c r="Q2038" s="152"/>
      <c r="R2038" s="9"/>
      <c r="Z2038" s="21"/>
      <c r="AA2038" s="162">
        <f>+$AD$5-Tabla2[[#This Row],[FECHA DE FACTURACIÓN]]</f>
        <v>45443</v>
      </c>
      <c r="AB2038" s="163" t="str">
        <f>+IF(Tabla2[[#This Row],[dias de credito]]&gt;=Tabla2[[#This Row],[PLAZO Días]],"venc", "No venc")</f>
        <v>venc</v>
      </c>
      <c r="AC2038" s="163" t="str">
        <f>+IF(Tabla2[[#This Row],[FECHA DE PAGO]]&gt;0,"pagada","por pagar")</f>
        <v>por pagar</v>
      </c>
      <c r="AD2038" s="164" t="str">
        <f>+IF(AND(Tabla2[[#This Row],[venc]]="venc",Tabla2[[#This Row],[estado pago]]="por pagar"),"vencida","no")</f>
        <v>vencida</v>
      </c>
    </row>
    <row r="2039" spans="1:30" ht="19.5" hidden="1" customHeight="1" x14ac:dyDescent="0.25">
      <c r="A2039" s="8"/>
      <c r="B2039" s="8"/>
      <c r="C2039" s="8"/>
      <c r="D2039" s="151"/>
      <c r="E2039" s="151"/>
      <c r="F2039" s="24"/>
      <c r="G2039" s="30"/>
      <c r="H2039" s="81"/>
      <c r="I2039" s="30"/>
      <c r="J2039" s="16"/>
      <c r="K2039" s="9"/>
      <c r="L2039" s="9"/>
      <c r="M2039" s="152"/>
      <c r="N2039" s="153"/>
      <c r="O2039" s="152"/>
      <c r="P2039" s="154"/>
      <c r="Q2039" s="152"/>
      <c r="R2039" s="9"/>
      <c r="Z2039" s="21"/>
      <c r="AA2039" s="162">
        <f>+$AD$5-Tabla2[[#This Row],[FECHA DE FACTURACIÓN]]</f>
        <v>45443</v>
      </c>
      <c r="AB2039" s="163" t="str">
        <f>+IF(Tabla2[[#This Row],[dias de credito]]&gt;=Tabla2[[#This Row],[PLAZO Días]],"venc", "No venc")</f>
        <v>venc</v>
      </c>
      <c r="AC2039" s="163" t="str">
        <f>+IF(Tabla2[[#This Row],[FECHA DE PAGO]]&gt;0,"pagada","por pagar")</f>
        <v>por pagar</v>
      </c>
      <c r="AD2039" s="164" t="str">
        <f>+IF(AND(Tabla2[[#This Row],[venc]]="venc",Tabla2[[#This Row],[estado pago]]="por pagar"),"vencida","no")</f>
        <v>vencida</v>
      </c>
    </row>
    <row r="2040" spans="1:30" ht="19.5" hidden="1" customHeight="1" x14ac:dyDescent="0.25">
      <c r="A2040" s="8"/>
      <c r="B2040" s="8"/>
      <c r="C2040" s="8"/>
      <c r="D2040" s="151"/>
      <c r="E2040" s="151"/>
      <c r="F2040" s="24"/>
      <c r="G2040" s="30"/>
      <c r="H2040" s="81"/>
      <c r="I2040" s="30"/>
      <c r="J2040" s="16"/>
      <c r="K2040" s="9"/>
      <c r="L2040" s="9"/>
      <c r="M2040" s="152"/>
      <c r="N2040" s="153"/>
      <c r="O2040" s="152"/>
      <c r="P2040" s="154"/>
      <c r="Q2040" s="152"/>
      <c r="R2040" s="9"/>
      <c r="Z2040" s="21"/>
      <c r="AA2040" s="162">
        <f>+$AD$5-Tabla2[[#This Row],[FECHA DE FACTURACIÓN]]</f>
        <v>45443</v>
      </c>
      <c r="AB2040" s="163" t="str">
        <f>+IF(Tabla2[[#This Row],[dias de credito]]&gt;=Tabla2[[#This Row],[PLAZO Días]],"venc", "No venc")</f>
        <v>venc</v>
      </c>
      <c r="AC2040" s="163" t="str">
        <f>+IF(Tabla2[[#This Row],[FECHA DE PAGO]]&gt;0,"pagada","por pagar")</f>
        <v>por pagar</v>
      </c>
      <c r="AD2040" s="164" t="str">
        <f>+IF(AND(Tabla2[[#This Row],[venc]]="venc",Tabla2[[#This Row],[estado pago]]="por pagar"),"vencida","no")</f>
        <v>vencida</v>
      </c>
    </row>
    <row r="2041" spans="1:30" ht="19.5" hidden="1" customHeight="1" x14ac:dyDescent="0.25">
      <c r="A2041" s="8"/>
      <c r="B2041" s="8"/>
      <c r="C2041" s="8"/>
      <c r="D2041" s="151"/>
      <c r="E2041" s="151"/>
      <c r="F2041" s="24"/>
      <c r="G2041" s="30"/>
      <c r="H2041" s="81"/>
      <c r="I2041" s="30"/>
      <c r="J2041" s="16"/>
      <c r="K2041" s="9"/>
      <c r="L2041" s="9"/>
      <c r="M2041" s="152"/>
      <c r="N2041" s="153"/>
      <c r="O2041" s="152"/>
      <c r="P2041" s="154"/>
      <c r="Q2041" s="152"/>
      <c r="R2041" s="9"/>
      <c r="Z2041" s="21"/>
      <c r="AA2041" s="162">
        <f>+$AD$5-Tabla2[[#This Row],[FECHA DE FACTURACIÓN]]</f>
        <v>45443</v>
      </c>
      <c r="AB2041" s="163" t="str">
        <f>+IF(Tabla2[[#This Row],[dias de credito]]&gt;=Tabla2[[#This Row],[PLAZO Días]],"venc", "No venc")</f>
        <v>venc</v>
      </c>
      <c r="AC2041" s="163" t="str">
        <f>+IF(Tabla2[[#This Row],[FECHA DE PAGO]]&gt;0,"pagada","por pagar")</f>
        <v>por pagar</v>
      </c>
      <c r="AD2041" s="164" t="str">
        <f>+IF(AND(Tabla2[[#This Row],[venc]]="venc",Tabla2[[#This Row],[estado pago]]="por pagar"),"vencida","no")</f>
        <v>vencida</v>
      </c>
    </row>
    <row r="2042" spans="1:30" ht="19.5" hidden="1" customHeight="1" x14ac:dyDescent="0.25">
      <c r="A2042" s="8"/>
      <c r="B2042" s="8"/>
      <c r="C2042" s="8"/>
      <c r="D2042" s="151"/>
      <c r="E2042" s="151"/>
      <c r="F2042" s="24"/>
      <c r="G2042" s="30"/>
      <c r="H2042" s="81"/>
      <c r="I2042" s="30"/>
      <c r="J2042" s="16"/>
      <c r="K2042" s="9"/>
      <c r="L2042" s="9"/>
      <c r="M2042" s="152"/>
      <c r="N2042" s="153"/>
      <c r="O2042" s="152"/>
      <c r="P2042" s="154"/>
      <c r="Q2042" s="152"/>
      <c r="R2042" s="9"/>
      <c r="Z2042" s="21"/>
      <c r="AA2042" s="162">
        <f>+$AD$5-Tabla2[[#This Row],[FECHA DE FACTURACIÓN]]</f>
        <v>45443</v>
      </c>
      <c r="AB2042" s="163" t="str">
        <f>+IF(Tabla2[[#This Row],[dias de credito]]&gt;=Tabla2[[#This Row],[PLAZO Días]],"venc", "No venc")</f>
        <v>venc</v>
      </c>
      <c r="AC2042" s="163" t="str">
        <f>+IF(Tabla2[[#This Row],[FECHA DE PAGO]]&gt;0,"pagada","por pagar")</f>
        <v>por pagar</v>
      </c>
      <c r="AD2042" s="164" t="str">
        <f>+IF(AND(Tabla2[[#This Row],[venc]]="venc",Tabla2[[#This Row],[estado pago]]="por pagar"),"vencida","no")</f>
        <v>vencida</v>
      </c>
    </row>
    <row r="2043" spans="1:30" ht="19.5" hidden="1" customHeight="1" x14ac:dyDescent="0.25">
      <c r="A2043" s="8"/>
      <c r="B2043" s="8"/>
      <c r="C2043" s="8"/>
      <c r="D2043" s="151"/>
      <c r="E2043" s="151"/>
      <c r="F2043" s="24"/>
      <c r="G2043" s="30"/>
      <c r="H2043" s="81"/>
      <c r="I2043" s="30"/>
      <c r="J2043" s="16"/>
      <c r="K2043" s="9"/>
      <c r="L2043" s="9"/>
      <c r="M2043" s="152"/>
      <c r="N2043" s="153"/>
      <c r="O2043" s="152"/>
      <c r="P2043" s="154"/>
      <c r="Q2043" s="152"/>
      <c r="R2043" s="9"/>
      <c r="Z2043" s="21"/>
      <c r="AA2043" s="162">
        <f>+$AD$5-Tabla2[[#This Row],[FECHA DE FACTURACIÓN]]</f>
        <v>45443</v>
      </c>
      <c r="AB2043" s="163" t="str">
        <f>+IF(Tabla2[[#This Row],[dias de credito]]&gt;=Tabla2[[#This Row],[PLAZO Días]],"venc", "No venc")</f>
        <v>venc</v>
      </c>
      <c r="AC2043" s="163" t="str">
        <f>+IF(Tabla2[[#This Row],[FECHA DE PAGO]]&gt;0,"pagada","por pagar")</f>
        <v>por pagar</v>
      </c>
      <c r="AD2043" s="164" t="str">
        <f>+IF(AND(Tabla2[[#This Row],[venc]]="venc",Tabla2[[#This Row],[estado pago]]="por pagar"),"vencida","no")</f>
        <v>vencida</v>
      </c>
    </row>
    <row r="2044" spans="1:30" ht="19.5" hidden="1" customHeight="1" x14ac:dyDescent="0.25">
      <c r="A2044" s="8"/>
      <c r="B2044" s="8"/>
      <c r="C2044" s="8"/>
      <c r="D2044" s="151"/>
      <c r="E2044" s="151"/>
      <c r="F2044" s="24"/>
      <c r="G2044" s="30"/>
      <c r="H2044" s="81"/>
      <c r="I2044" s="30"/>
      <c r="J2044" s="16"/>
      <c r="K2044" s="9"/>
      <c r="L2044" s="9"/>
      <c r="M2044" s="152"/>
      <c r="N2044" s="153"/>
      <c r="O2044" s="152"/>
      <c r="P2044" s="154"/>
      <c r="Q2044" s="152"/>
      <c r="R2044" s="9"/>
      <c r="Z2044" s="21"/>
      <c r="AA2044" s="162">
        <f>+$AD$5-Tabla2[[#This Row],[FECHA DE FACTURACIÓN]]</f>
        <v>45443</v>
      </c>
      <c r="AB2044" s="163" t="str">
        <f>+IF(Tabla2[[#This Row],[dias de credito]]&gt;=Tabla2[[#This Row],[PLAZO Días]],"venc", "No venc")</f>
        <v>venc</v>
      </c>
      <c r="AC2044" s="163" t="str">
        <f>+IF(Tabla2[[#This Row],[FECHA DE PAGO]]&gt;0,"pagada","por pagar")</f>
        <v>por pagar</v>
      </c>
      <c r="AD2044" s="164" t="str">
        <f>+IF(AND(Tabla2[[#This Row],[venc]]="venc",Tabla2[[#This Row],[estado pago]]="por pagar"),"vencida","no")</f>
        <v>vencida</v>
      </c>
    </row>
    <row r="2045" spans="1:30" ht="19.5" hidden="1" customHeight="1" x14ac:dyDescent="0.25">
      <c r="A2045" s="8"/>
      <c r="B2045" s="8"/>
      <c r="C2045" s="8"/>
      <c r="D2045" s="151"/>
      <c r="E2045" s="151"/>
      <c r="F2045" s="24"/>
      <c r="G2045" s="30"/>
      <c r="H2045" s="81"/>
      <c r="I2045" s="30"/>
      <c r="J2045" s="16"/>
      <c r="K2045" s="9"/>
      <c r="L2045" s="9"/>
      <c r="M2045" s="152"/>
      <c r="N2045" s="153"/>
      <c r="O2045" s="152"/>
      <c r="P2045" s="154"/>
      <c r="Q2045" s="152"/>
      <c r="R2045" s="9"/>
      <c r="Z2045" s="21"/>
      <c r="AA2045" s="162">
        <f>+$AD$5-Tabla2[[#This Row],[FECHA DE FACTURACIÓN]]</f>
        <v>45443</v>
      </c>
      <c r="AB2045" s="163" t="str">
        <f>+IF(Tabla2[[#This Row],[dias de credito]]&gt;=Tabla2[[#This Row],[PLAZO Días]],"venc", "No venc")</f>
        <v>venc</v>
      </c>
      <c r="AC2045" s="163" t="str">
        <f>+IF(Tabla2[[#This Row],[FECHA DE PAGO]]&gt;0,"pagada","por pagar")</f>
        <v>por pagar</v>
      </c>
      <c r="AD2045" s="164" t="str">
        <f>+IF(AND(Tabla2[[#This Row],[venc]]="venc",Tabla2[[#This Row],[estado pago]]="por pagar"),"vencida","no")</f>
        <v>vencida</v>
      </c>
    </row>
    <row r="2046" spans="1:30" ht="19.5" hidden="1" customHeight="1" x14ac:dyDescent="0.25">
      <c r="A2046" s="8"/>
      <c r="B2046" s="8"/>
      <c r="C2046" s="8"/>
      <c r="D2046" s="151"/>
      <c r="E2046" s="151"/>
      <c r="F2046" s="24"/>
      <c r="G2046" s="30"/>
      <c r="H2046" s="81"/>
      <c r="I2046" s="30"/>
      <c r="J2046" s="16"/>
      <c r="K2046" s="9"/>
      <c r="L2046" s="9"/>
      <c r="M2046" s="152"/>
      <c r="N2046" s="153"/>
      <c r="O2046" s="152"/>
      <c r="P2046" s="154"/>
      <c r="Q2046" s="152"/>
      <c r="R2046" s="9"/>
      <c r="Z2046" s="21"/>
      <c r="AA2046" s="162">
        <f>+$AD$5-Tabla2[[#This Row],[FECHA DE FACTURACIÓN]]</f>
        <v>45443</v>
      </c>
      <c r="AB2046" s="163" t="str">
        <f>+IF(Tabla2[[#This Row],[dias de credito]]&gt;=Tabla2[[#This Row],[PLAZO Días]],"venc", "No venc")</f>
        <v>venc</v>
      </c>
      <c r="AC2046" s="163" t="str">
        <f>+IF(Tabla2[[#This Row],[FECHA DE PAGO]]&gt;0,"pagada","por pagar")</f>
        <v>por pagar</v>
      </c>
      <c r="AD2046" s="164" t="str">
        <f>+IF(AND(Tabla2[[#This Row],[venc]]="venc",Tabla2[[#This Row],[estado pago]]="por pagar"),"vencida","no")</f>
        <v>vencida</v>
      </c>
    </row>
    <row r="2047" spans="1:30" ht="19.5" hidden="1" customHeight="1" x14ac:dyDescent="0.25">
      <c r="A2047" s="8"/>
      <c r="B2047" s="8"/>
      <c r="C2047" s="8"/>
      <c r="D2047" s="151"/>
      <c r="E2047" s="151"/>
      <c r="F2047" s="24"/>
      <c r="G2047" s="30"/>
      <c r="H2047" s="81"/>
      <c r="I2047" s="30"/>
      <c r="J2047" s="16"/>
      <c r="K2047" s="9"/>
      <c r="L2047" s="9"/>
      <c r="M2047" s="152"/>
      <c r="N2047" s="153"/>
      <c r="O2047" s="152"/>
      <c r="P2047" s="154"/>
      <c r="Q2047" s="152"/>
      <c r="R2047" s="9"/>
      <c r="Z2047" s="21"/>
      <c r="AA2047" s="162">
        <f>+$AD$5-Tabla2[[#This Row],[FECHA DE FACTURACIÓN]]</f>
        <v>45443</v>
      </c>
      <c r="AB2047" s="163" t="str">
        <f>+IF(Tabla2[[#This Row],[dias de credito]]&gt;=Tabla2[[#This Row],[PLAZO Días]],"venc", "No venc")</f>
        <v>venc</v>
      </c>
      <c r="AC2047" s="163" t="str">
        <f>+IF(Tabla2[[#This Row],[FECHA DE PAGO]]&gt;0,"pagada","por pagar")</f>
        <v>por pagar</v>
      </c>
      <c r="AD2047" s="164" t="str">
        <f>+IF(AND(Tabla2[[#This Row],[venc]]="venc",Tabla2[[#This Row],[estado pago]]="por pagar"),"vencida","no")</f>
        <v>vencida</v>
      </c>
    </row>
    <row r="2048" spans="1:30" ht="19.5" hidden="1" customHeight="1" x14ac:dyDescent="0.25">
      <c r="A2048" s="8"/>
      <c r="B2048" s="8"/>
      <c r="C2048" s="8"/>
      <c r="D2048" s="151"/>
      <c r="E2048" s="151"/>
      <c r="F2048" s="24"/>
      <c r="G2048" s="30"/>
      <c r="H2048" s="81"/>
      <c r="I2048" s="30"/>
      <c r="J2048" s="16"/>
      <c r="K2048" s="9"/>
      <c r="L2048" s="9"/>
      <c r="M2048" s="152"/>
      <c r="N2048" s="153"/>
      <c r="O2048" s="152"/>
      <c r="P2048" s="154"/>
      <c r="Q2048" s="152"/>
      <c r="R2048" s="9"/>
      <c r="Z2048" s="21"/>
      <c r="AA2048" s="162">
        <f>+$AD$5-Tabla2[[#This Row],[FECHA DE FACTURACIÓN]]</f>
        <v>45443</v>
      </c>
      <c r="AB2048" s="163" t="str">
        <f>+IF(Tabla2[[#This Row],[dias de credito]]&gt;=Tabla2[[#This Row],[PLAZO Días]],"venc", "No venc")</f>
        <v>venc</v>
      </c>
      <c r="AC2048" s="163" t="str">
        <f>+IF(Tabla2[[#This Row],[FECHA DE PAGO]]&gt;0,"pagada","por pagar")</f>
        <v>por pagar</v>
      </c>
      <c r="AD2048" s="164" t="str">
        <f>+IF(AND(Tabla2[[#This Row],[venc]]="venc",Tabla2[[#This Row],[estado pago]]="por pagar"),"vencida","no")</f>
        <v>vencida</v>
      </c>
    </row>
    <row r="2049" spans="1:30" ht="19.5" hidden="1" customHeight="1" x14ac:dyDescent="0.25">
      <c r="A2049" s="8"/>
      <c r="B2049" s="8"/>
      <c r="C2049" s="8"/>
      <c r="D2049" s="151"/>
      <c r="E2049" s="151"/>
      <c r="F2049" s="24"/>
      <c r="G2049" s="30"/>
      <c r="H2049" s="81"/>
      <c r="I2049" s="30"/>
      <c r="J2049" s="16"/>
      <c r="K2049" s="9"/>
      <c r="L2049" s="9"/>
      <c r="M2049" s="152"/>
      <c r="N2049" s="153"/>
      <c r="O2049" s="152"/>
      <c r="P2049" s="154"/>
      <c r="Q2049" s="152"/>
      <c r="R2049" s="9"/>
      <c r="Z2049" s="21"/>
      <c r="AA2049" s="162">
        <f>+$AD$5-Tabla2[[#This Row],[FECHA DE FACTURACIÓN]]</f>
        <v>45443</v>
      </c>
      <c r="AB2049" s="163" t="str">
        <f>+IF(Tabla2[[#This Row],[dias de credito]]&gt;=Tabla2[[#This Row],[PLAZO Días]],"venc", "No venc")</f>
        <v>venc</v>
      </c>
      <c r="AC2049" s="163" t="str">
        <f>+IF(Tabla2[[#This Row],[FECHA DE PAGO]]&gt;0,"pagada","por pagar")</f>
        <v>por pagar</v>
      </c>
      <c r="AD2049" s="164" t="str">
        <f>+IF(AND(Tabla2[[#This Row],[venc]]="venc",Tabla2[[#This Row],[estado pago]]="por pagar"),"vencida","no")</f>
        <v>vencida</v>
      </c>
    </row>
    <row r="2050" spans="1:30" ht="19.5" hidden="1" customHeight="1" x14ac:dyDescent="0.25">
      <c r="A2050" s="8"/>
      <c r="B2050" s="8"/>
      <c r="C2050" s="8"/>
      <c r="D2050" s="151"/>
      <c r="E2050" s="151"/>
      <c r="F2050" s="24"/>
      <c r="G2050" s="30"/>
      <c r="H2050" s="81"/>
      <c r="I2050" s="30"/>
      <c r="J2050" s="16"/>
      <c r="K2050" s="9"/>
      <c r="L2050" s="9"/>
      <c r="M2050" s="152"/>
      <c r="N2050" s="153"/>
      <c r="O2050" s="152"/>
      <c r="P2050" s="154"/>
      <c r="Q2050" s="152"/>
      <c r="R2050" s="9"/>
      <c r="Z2050" s="21"/>
      <c r="AA2050" s="162">
        <f>+$AD$5-Tabla2[[#This Row],[FECHA DE FACTURACIÓN]]</f>
        <v>45443</v>
      </c>
      <c r="AB2050" s="163" t="str">
        <f>+IF(Tabla2[[#This Row],[dias de credito]]&gt;=Tabla2[[#This Row],[PLAZO Días]],"venc", "No venc")</f>
        <v>venc</v>
      </c>
      <c r="AC2050" s="163" t="str">
        <f>+IF(Tabla2[[#This Row],[FECHA DE PAGO]]&gt;0,"pagada","por pagar")</f>
        <v>por pagar</v>
      </c>
      <c r="AD2050" s="164" t="str">
        <f>+IF(AND(Tabla2[[#This Row],[venc]]="venc",Tabla2[[#This Row],[estado pago]]="por pagar"),"vencida","no")</f>
        <v>vencida</v>
      </c>
    </row>
    <row r="2051" spans="1:30" ht="19.5" hidden="1" customHeight="1" x14ac:dyDescent="0.25">
      <c r="A2051" s="8"/>
      <c r="B2051" s="8"/>
      <c r="C2051" s="8"/>
      <c r="D2051" s="151"/>
      <c r="E2051" s="151"/>
      <c r="F2051" s="24"/>
      <c r="G2051" s="30"/>
      <c r="H2051" s="81"/>
      <c r="I2051" s="30"/>
      <c r="J2051" s="16"/>
      <c r="K2051" s="9"/>
      <c r="L2051" s="9"/>
      <c r="M2051" s="152"/>
      <c r="N2051" s="153"/>
      <c r="O2051" s="152"/>
      <c r="P2051" s="154"/>
      <c r="Q2051" s="152"/>
      <c r="R2051" s="9"/>
      <c r="Z2051" s="21"/>
      <c r="AA2051" s="162">
        <f>+$AD$5-Tabla2[[#This Row],[FECHA DE FACTURACIÓN]]</f>
        <v>45443</v>
      </c>
      <c r="AB2051" s="163" t="str">
        <f>+IF(Tabla2[[#This Row],[dias de credito]]&gt;=Tabla2[[#This Row],[PLAZO Días]],"venc", "No venc")</f>
        <v>venc</v>
      </c>
      <c r="AC2051" s="163" t="str">
        <f>+IF(Tabla2[[#This Row],[FECHA DE PAGO]]&gt;0,"pagada","por pagar")</f>
        <v>por pagar</v>
      </c>
      <c r="AD2051" s="164" t="str">
        <f>+IF(AND(Tabla2[[#This Row],[venc]]="venc",Tabla2[[#This Row],[estado pago]]="por pagar"),"vencida","no")</f>
        <v>vencida</v>
      </c>
    </row>
    <row r="2052" spans="1:30" ht="19.5" hidden="1" customHeight="1" x14ac:dyDescent="0.25">
      <c r="A2052" s="8"/>
      <c r="B2052" s="8"/>
      <c r="C2052" s="8"/>
      <c r="D2052" s="151"/>
      <c r="E2052" s="151"/>
      <c r="F2052" s="24"/>
      <c r="G2052" s="30"/>
      <c r="H2052" s="81"/>
      <c r="I2052" s="30"/>
      <c r="J2052" s="16"/>
      <c r="K2052" s="9"/>
      <c r="L2052" s="9"/>
      <c r="M2052" s="152"/>
      <c r="N2052" s="153"/>
      <c r="O2052" s="152"/>
      <c r="P2052" s="154"/>
      <c r="Q2052" s="152"/>
      <c r="R2052" s="9"/>
      <c r="Z2052" s="21"/>
      <c r="AA2052" s="162">
        <f>+$AD$5-Tabla2[[#This Row],[FECHA DE FACTURACIÓN]]</f>
        <v>45443</v>
      </c>
      <c r="AB2052" s="163" t="str">
        <f>+IF(Tabla2[[#This Row],[dias de credito]]&gt;=Tabla2[[#This Row],[PLAZO Días]],"venc", "No venc")</f>
        <v>venc</v>
      </c>
      <c r="AC2052" s="163" t="str">
        <f>+IF(Tabla2[[#This Row],[FECHA DE PAGO]]&gt;0,"pagada","por pagar")</f>
        <v>por pagar</v>
      </c>
      <c r="AD2052" s="164" t="str">
        <f>+IF(AND(Tabla2[[#This Row],[venc]]="venc",Tabla2[[#This Row],[estado pago]]="por pagar"),"vencida","no")</f>
        <v>vencida</v>
      </c>
    </row>
    <row r="2053" spans="1:30" ht="19.5" hidden="1" customHeight="1" x14ac:dyDescent="0.25">
      <c r="A2053" s="8"/>
      <c r="B2053" s="8"/>
      <c r="C2053" s="8"/>
      <c r="D2053" s="151"/>
      <c r="E2053" s="151"/>
      <c r="F2053" s="24"/>
      <c r="G2053" s="30"/>
      <c r="H2053" s="81"/>
      <c r="I2053" s="30"/>
      <c r="J2053" s="16"/>
      <c r="K2053" s="9"/>
      <c r="L2053" s="9"/>
      <c r="M2053" s="152"/>
      <c r="N2053" s="153"/>
      <c r="O2053" s="152"/>
      <c r="P2053" s="154"/>
      <c r="Q2053" s="152"/>
      <c r="R2053" s="9"/>
      <c r="Z2053" s="21"/>
      <c r="AA2053" s="162">
        <f>+$AD$5-Tabla2[[#This Row],[FECHA DE FACTURACIÓN]]</f>
        <v>45443</v>
      </c>
      <c r="AB2053" s="163" t="str">
        <f>+IF(Tabla2[[#This Row],[dias de credito]]&gt;=Tabla2[[#This Row],[PLAZO Días]],"venc", "No venc")</f>
        <v>venc</v>
      </c>
      <c r="AC2053" s="163" t="str">
        <f>+IF(Tabla2[[#This Row],[FECHA DE PAGO]]&gt;0,"pagada","por pagar")</f>
        <v>por pagar</v>
      </c>
      <c r="AD2053" s="164" t="str">
        <f>+IF(AND(Tabla2[[#This Row],[venc]]="venc",Tabla2[[#This Row],[estado pago]]="por pagar"),"vencida","no")</f>
        <v>vencida</v>
      </c>
    </row>
    <row r="2054" spans="1:30" ht="19.5" hidden="1" customHeight="1" x14ac:dyDescent="0.25">
      <c r="A2054" s="8"/>
      <c r="B2054" s="8"/>
      <c r="C2054" s="8"/>
      <c r="D2054" s="151"/>
      <c r="E2054" s="151"/>
      <c r="F2054" s="24"/>
      <c r="G2054" s="30"/>
      <c r="H2054" s="81"/>
      <c r="I2054" s="30"/>
      <c r="J2054" s="16"/>
      <c r="K2054" s="9"/>
      <c r="L2054" s="9"/>
      <c r="M2054" s="152"/>
      <c r="N2054" s="153"/>
      <c r="O2054" s="152"/>
      <c r="P2054" s="154"/>
      <c r="Q2054" s="152"/>
      <c r="R2054" s="9"/>
      <c r="Z2054" s="21"/>
      <c r="AA2054" s="162">
        <f>+$AD$5-Tabla2[[#This Row],[FECHA DE FACTURACIÓN]]</f>
        <v>45443</v>
      </c>
      <c r="AB2054" s="163" t="str">
        <f>+IF(Tabla2[[#This Row],[dias de credito]]&gt;=Tabla2[[#This Row],[PLAZO Días]],"venc", "No venc")</f>
        <v>venc</v>
      </c>
      <c r="AC2054" s="163" t="str">
        <f>+IF(Tabla2[[#This Row],[FECHA DE PAGO]]&gt;0,"pagada","por pagar")</f>
        <v>por pagar</v>
      </c>
      <c r="AD2054" s="164" t="str">
        <f>+IF(AND(Tabla2[[#This Row],[venc]]="venc",Tabla2[[#This Row],[estado pago]]="por pagar"),"vencida","no")</f>
        <v>vencida</v>
      </c>
    </row>
    <row r="2055" spans="1:30" ht="19.5" hidden="1" customHeight="1" x14ac:dyDescent="0.25">
      <c r="A2055" s="8"/>
      <c r="B2055" s="8"/>
      <c r="C2055" s="8"/>
      <c r="D2055" s="151"/>
      <c r="E2055" s="151"/>
      <c r="F2055" s="24"/>
      <c r="G2055" s="30"/>
      <c r="H2055" s="81"/>
      <c r="I2055" s="30"/>
      <c r="J2055" s="16"/>
      <c r="K2055" s="9"/>
      <c r="L2055" s="9"/>
      <c r="M2055" s="152"/>
      <c r="N2055" s="153"/>
      <c r="O2055" s="152"/>
      <c r="P2055" s="154"/>
      <c r="Q2055" s="152"/>
      <c r="R2055" s="9"/>
      <c r="Z2055" s="21"/>
      <c r="AA2055" s="162">
        <f>+$AD$5-Tabla2[[#This Row],[FECHA DE FACTURACIÓN]]</f>
        <v>45443</v>
      </c>
      <c r="AB2055" s="163" t="str">
        <f>+IF(Tabla2[[#This Row],[dias de credito]]&gt;=Tabla2[[#This Row],[PLAZO Días]],"venc", "No venc")</f>
        <v>venc</v>
      </c>
      <c r="AC2055" s="163" t="str">
        <f>+IF(Tabla2[[#This Row],[FECHA DE PAGO]]&gt;0,"pagada","por pagar")</f>
        <v>por pagar</v>
      </c>
      <c r="AD2055" s="164" t="str">
        <f>+IF(AND(Tabla2[[#This Row],[venc]]="venc",Tabla2[[#This Row],[estado pago]]="por pagar"),"vencida","no")</f>
        <v>vencida</v>
      </c>
    </row>
    <row r="2056" spans="1:30" ht="19.5" hidden="1" customHeight="1" x14ac:dyDescent="0.25">
      <c r="A2056" s="8"/>
      <c r="B2056" s="8"/>
      <c r="C2056" s="8"/>
      <c r="D2056" s="151"/>
      <c r="E2056" s="151"/>
      <c r="F2056" s="24"/>
      <c r="G2056" s="30"/>
      <c r="H2056" s="81"/>
      <c r="I2056" s="30"/>
      <c r="J2056" s="16"/>
      <c r="K2056" s="9"/>
      <c r="L2056" s="9"/>
      <c r="M2056" s="152"/>
      <c r="N2056" s="153"/>
      <c r="O2056" s="152"/>
      <c r="P2056" s="154"/>
      <c r="Q2056" s="152"/>
      <c r="R2056" s="9"/>
      <c r="Z2056" s="21"/>
      <c r="AA2056" s="162">
        <f>+$AD$5-Tabla2[[#This Row],[FECHA DE FACTURACIÓN]]</f>
        <v>45443</v>
      </c>
      <c r="AB2056" s="163" t="str">
        <f>+IF(Tabla2[[#This Row],[dias de credito]]&gt;=Tabla2[[#This Row],[PLAZO Días]],"venc", "No venc")</f>
        <v>venc</v>
      </c>
      <c r="AC2056" s="163" t="str">
        <f>+IF(Tabla2[[#This Row],[FECHA DE PAGO]]&gt;0,"pagada","por pagar")</f>
        <v>por pagar</v>
      </c>
      <c r="AD2056" s="164" t="str">
        <f>+IF(AND(Tabla2[[#This Row],[venc]]="venc",Tabla2[[#This Row],[estado pago]]="por pagar"),"vencida","no")</f>
        <v>vencida</v>
      </c>
    </row>
    <row r="2057" spans="1:30" ht="19.5" hidden="1" customHeight="1" x14ac:dyDescent="0.25">
      <c r="A2057" s="8"/>
      <c r="B2057" s="8"/>
      <c r="C2057" s="8"/>
      <c r="D2057" s="151"/>
      <c r="E2057" s="151"/>
      <c r="F2057" s="24"/>
      <c r="G2057" s="30"/>
      <c r="H2057" s="81"/>
      <c r="I2057" s="30"/>
      <c r="J2057" s="16"/>
      <c r="K2057" s="9"/>
      <c r="L2057" s="9"/>
      <c r="M2057" s="152"/>
      <c r="N2057" s="153"/>
      <c r="O2057" s="152"/>
      <c r="P2057" s="154"/>
      <c r="Q2057" s="152"/>
      <c r="R2057" s="9"/>
      <c r="Z2057" s="21"/>
      <c r="AA2057" s="162">
        <f>+$AD$5-Tabla2[[#This Row],[FECHA DE FACTURACIÓN]]</f>
        <v>45443</v>
      </c>
      <c r="AB2057" s="163" t="str">
        <f>+IF(Tabla2[[#This Row],[dias de credito]]&gt;=Tabla2[[#This Row],[PLAZO Días]],"venc", "No venc")</f>
        <v>venc</v>
      </c>
      <c r="AC2057" s="163" t="str">
        <f>+IF(Tabla2[[#This Row],[FECHA DE PAGO]]&gt;0,"pagada","por pagar")</f>
        <v>por pagar</v>
      </c>
      <c r="AD2057" s="164" t="str">
        <f>+IF(AND(Tabla2[[#This Row],[venc]]="venc",Tabla2[[#This Row],[estado pago]]="por pagar"),"vencida","no")</f>
        <v>vencida</v>
      </c>
    </row>
    <row r="2058" spans="1:30" ht="19.5" hidden="1" customHeight="1" x14ac:dyDescent="0.25">
      <c r="A2058" s="8"/>
      <c r="B2058" s="8"/>
      <c r="C2058" s="8"/>
      <c r="D2058" s="151"/>
      <c r="E2058" s="151"/>
      <c r="F2058" s="24"/>
      <c r="G2058" s="30"/>
      <c r="H2058" s="81"/>
      <c r="I2058" s="30"/>
      <c r="J2058" s="16"/>
      <c r="K2058" s="9"/>
      <c r="L2058" s="9"/>
      <c r="M2058" s="152"/>
      <c r="N2058" s="153"/>
      <c r="O2058" s="152"/>
      <c r="P2058" s="154"/>
      <c r="Q2058" s="152"/>
      <c r="R2058" s="9"/>
      <c r="Z2058" s="21"/>
      <c r="AA2058" s="162">
        <f>+$AD$5-Tabla2[[#This Row],[FECHA DE FACTURACIÓN]]</f>
        <v>45443</v>
      </c>
      <c r="AB2058" s="163" t="str">
        <f>+IF(Tabla2[[#This Row],[dias de credito]]&gt;=Tabla2[[#This Row],[PLAZO Días]],"venc", "No venc")</f>
        <v>venc</v>
      </c>
      <c r="AC2058" s="163" t="str">
        <f>+IF(Tabla2[[#This Row],[FECHA DE PAGO]]&gt;0,"pagada","por pagar")</f>
        <v>por pagar</v>
      </c>
      <c r="AD2058" s="164" t="str">
        <f>+IF(AND(Tabla2[[#This Row],[venc]]="venc",Tabla2[[#This Row],[estado pago]]="por pagar"),"vencida","no")</f>
        <v>vencida</v>
      </c>
    </row>
    <row r="2059" spans="1:30" ht="19.5" hidden="1" customHeight="1" x14ac:dyDescent="0.25">
      <c r="A2059" s="8"/>
      <c r="B2059" s="8"/>
      <c r="C2059" s="8"/>
      <c r="D2059" s="151"/>
      <c r="E2059" s="151"/>
      <c r="F2059" s="24"/>
      <c r="G2059" s="30"/>
      <c r="H2059" s="81"/>
      <c r="I2059" s="30"/>
      <c r="J2059" s="16"/>
      <c r="K2059" s="9"/>
      <c r="L2059" s="9"/>
      <c r="M2059" s="152"/>
      <c r="N2059" s="153"/>
      <c r="O2059" s="152"/>
      <c r="P2059" s="154"/>
      <c r="Q2059" s="152"/>
      <c r="R2059" s="9"/>
      <c r="Z2059" s="21"/>
      <c r="AA2059" s="162">
        <f>+$AD$5-Tabla2[[#This Row],[FECHA DE FACTURACIÓN]]</f>
        <v>45443</v>
      </c>
      <c r="AB2059" s="163" t="str">
        <f>+IF(Tabla2[[#This Row],[dias de credito]]&gt;=Tabla2[[#This Row],[PLAZO Días]],"venc", "No venc")</f>
        <v>venc</v>
      </c>
      <c r="AC2059" s="163" t="str">
        <f>+IF(Tabla2[[#This Row],[FECHA DE PAGO]]&gt;0,"pagada","por pagar")</f>
        <v>por pagar</v>
      </c>
      <c r="AD2059" s="164" t="str">
        <f>+IF(AND(Tabla2[[#This Row],[venc]]="venc",Tabla2[[#This Row],[estado pago]]="por pagar"),"vencida","no")</f>
        <v>vencida</v>
      </c>
    </row>
    <row r="2060" spans="1:30" ht="19.5" hidden="1" customHeight="1" x14ac:dyDescent="0.25">
      <c r="A2060" s="8"/>
      <c r="B2060" s="8"/>
      <c r="C2060" s="8"/>
      <c r="D2060" s="151"/>
      <c r="E2060" s="151"/>
      <c r="F2060" s="24"/>
      <c r="G2060" s="30"/>
      <c r="H2060" s="81"/>
      <c r="I2060" s="30"/>
      <c r="J2060" s="16"/>
      <c r="K2060" s="9"/>
      <c r="L2060" s="9"/>
      <c r="M2060" s="152"/>
      <c r="N2060" s="153"/>
      <c r="O2060" s="152"/>
      <c r="P2060" s="154"/>
      <c r="Q2060" s="152"/>
      <c r="R2060" s="9"/>
      <c r="Z2060" s="21"/>
      <c r="AA2060" s="162">
        <f>+$AD$5-Tabla2[[#This Row],[FECHA DE FACTURACIÓN]]</f>
        <v>45443</v>
      </c>
      <c r="AB2060" s="163" t="str">
        <f>+IF(Tabla2[[#This Row],[dias de credito]]&gt;=Tabla2[[#This Row],[PLAZO Días]],"venc", "No venc")</f>
        <v>venc</v>
      </c>
      <c r="AC2060" s="163" t="str">
        <f>+IF(Tabla2[[#This Row],[FECHA DE PAGO]]&gt;0,"pagada","por pagar")</f>
        <v>por pagar</v>
      </c>
      <c r="AD2060" s="164" t="str">
        <f>+IF(AND(Tabla2[[#This Row],[venc]]="venc",Tabla2[[#This Row],[estado pago]]="por pagar"),"vencida","no")</f>
        <v>vencida</v>
      </c>
    </row>
    <row r="2061" spans="1:30" ht="19.5" hidden="1" customHeight="1" x14ac:dyDescent="0.25">
      <c r="A2061" s="8"/>
      <c r="B2061" s="8"/>
      <c r="C2061" s="8"/>
      <c r="D2061" s="151"/>
      <c r="E2061" s="151"/>
      <c r="F2061" s="24"/>
      <c r="G2061" s="30"/>
      <c r="H2061" s="81"/>
      <c r="I2061" s="30"/>
      <c r="J2061" s="16"/>
      <c r="K2061" s="9"/>
      <c r="L2061" s="9"/>
      <c r="M2061" s="152"/>
      <c r="N2061" s="153"/>
      <c r="O2061" s="152"/>
      <c r="P2061" s="154"/>
      <c r="Q2061" s="152"/>
      <c r="R2061" s="9"/>
      <c r="Z2061" s="21"/>
      <c r="AA2061" s="162">
        <f>+$AD$5-Tabla2[[#This Row],[FECHA DE FACTURACIÓN]]</f>
        <v>45443</v>
      </c>
      <c r="AB2061" s="163" t="str">
        <f>+IF(Tabla2[[#This Row],[dias de credito]]&gt;=Tabla2[[#This Row],[PLAZO Días]],"venc", "No venc")</f>
        <v>venc</v>
      </c>
      <c r="AC2061" s="163" t="str">
        <f>+IF(Tabla2[[#This Row],[FECHA DE PAGO]]&gt;0,"pagada","por pagar")</f>
        <v>por pagar</v>
      </c>
      <c r="AD2061" s="164" t="str">
        <f>+IF(AND(Tabla2[[#This Row],[venc]]="venc",Tabla2[[#This Row],[estado pago]]="por pagar"),"vencida","no")</f>
        <v>vencida</v>
      </c>
    </row>
    <row r="2062" spans="1:30" ht="19.5" hidden="1" customHeight="1" x14ac:dyDescent="0.25">
      <c r="A2062" s="8"/>
      <c r="B2062" s="8"/>
      <c r="C2062" s="8"/>
      <c r="D2062" s="151"/>
      <c r="E2062" s="151"/>
      <c r="F2062" s="24"/>
      <c r="G2062" s="30"/>
      <c r="H2062" s="81"/>
      <c r="I2062" s="30"/>
      <c r="J2062" s="16"/>
      <c r="K2062" s="9"/>
      <c r="L2062" s="9"/>
      <c r="M2062" s="152"/>
      <c r="N2062" s="153"/>
      <c r="O2062" s="152"/>
      <c r="P2062" s="154"/>
      <c r="Q2062" s="152"/>
      <c r="R2062" s="9"/>
      <c r="Z2062" s="21"/>
      <c r="AA2062" s="162">
        <f>+$AD$5-Tabla2[[#This Row],[FECHA DE FACTURACIÓN]]</f>
        <v>45443</v>
      </c>
      <c r="AB2062" s="163" t="str">
        <f>+IF(Tabla2[[#This Row],[dias de credito]]&gt;=Tabla2[[#This Row],[PLAZO Días]],"venc", "No venc")</f>
        <v>venc</v>
      </c>
      <c r="AC2062" s="163" t="str">
        <f>+IF(Tabla2[[#This Row],[FECHA DE PAGO]]&gt;0,"pagada","por pagar")</f>
        <v>por pagar</v>
      </c>
      <c r="AD2062" s="164" t="str">
        <f>+IF(AND(Tabla2[[#This Row],[venc]]="venc",Tabla2[[#This Row],[estado pago]]="por pagar"),"vencida","no")</f>
        <v>vencida</v>
      </c>
    </row>
    <row r="2063" spans="1:30" ht="19.5" hidden="1" customHeight="1" x14ac:dyDescent="0.25">
      <c r="A2063" s="8"/>
      <c r="B2063" s="8"/>
      <c r="C2063" s="8"/>
      <c r="D2063" s="151"/>
      <c r="E2063" s="151"/>
      <c r="F2063" s="24"/>
      <c r="G2063" s="30"/>
      <c r="H2063" s="81"/>
      <c r="I2063" s="30"/>
      <c r="J2063" s="16"/>
      <c r="K2063" s="9"/>
      <c r="L2063" s="9"/>
      <c r="M2063" s="152"/>
      <c r="N2063" s="153"/>
      <c r="O2063" s="152"/>
      <c r="P2063" s="154"/>
      <c r="Q2063" s="152"/>
      <c r="R2063" s="9"/>
      <c r="Z2063" s="21"/>
      <c r="AA2063" s="162">
        <f>+$AD$5-Tabla2[[#This Row],[FECHA DE FACTURACIÓN]]</f>
        <v>45443</v>
      </c>
      <c r="AB2063" s="163" t="str">
        <f>+IF(Tabla2[[#This Row],[dias de credito]]&gt;=Tabla2[[#This Row],[PLAZO Días]],"venc", "No venc")</f>
        <v>venc</v>
      </c>
      <c r="AC2063" s="163" t="str">
        <f>+IF(Tabla2[[#This Row],[FECHA DE PAGO]]&gt;0,"pagada","por pagar")</f>
        <v>por pagar</v>
      </c>
      <c r="AD2063" s="164" t="str">
        <f>+IF(AND(Tabla2[[#This Row],[venc]]="venc",Tabla2[[#This Row],[estado pago]]="por pagar"),"vencida","no")</f>
        <v>vencida</v>
      </c>
    </row>
    <row r="2064" spans="1:30" ht="19.5" hidden="1" customHeight="1" x14ac:dyDescent="0.25">
      <c r="A2064" s="8"/>
      <c r="B2064" s="8"/>
      <c r="C2064" s="8"/>
      <c r="D2064" s="151"/>
      <c r="E2064" s="151"/>
      <c r="F2064" s="24"/>
      <c r="G2064" s="30"/>
      <c r="H2064" s="81"/>
      <c r="I2064" s="30"/>
      <c r="J2064" s="16"/>
      <c r="K2064" s="9"/>
      <c r="L2064" s="9"/>
      <c r="M2064" s="152"/>
      <c r="N2064" s="153"/>
      <c r="O2064" s="152"/>
      <c r="P2064" s="154"/>
      <c r="Q2064" s="152"/>
      <c r="R2064" s="9"/>
      <c r="Z2064" s="21"/>
      <c r="AA2064" s="162">
        <f>+$AD$5-Tabla2[[#This Row],[FECHA DE FACTURACIÓN]]</f>
        <v>45443</v>
      </c>
      <c r="AB2064" s="163" t="str">
        <f>+IF(Tabla2[[#This Row],[dias de credito]]&gt;=Tabla2[[#This Row],[PLAZO Días]],"venc", "No venc")</f>
        <v>venc</v>
      </c>
      <c r="AC2064" s="163" t="str">
        <f>+IF(Tabla2[[#This Row],[FECHA DE PAGO]]&gt;0,"pagada","por pagar")</f>
        <v>por pagar</v>
      </c>
      <c r="AD2064" s="164" t="str">
        <f>+IF(AND(Tabla2[[#This Row],[venc]]="venc",Tabla2[[#This Row],[estado pago]]="por pagar"),"vencida","no")</f>
        <v>vencida</v>
      </c>
    </row>
    <row r="2065" spans="1:30" ht="19.5" hidden="1" customHeight="1" x14ac:dyDescent="0.25">
      <c r="A2065" s="8"/>
      <c r="B2065" s="8"/>
      <c r="C2065" s="8"/>
      <c r="D2065" s="151"/>
      <c r="E2065" s="151"/>
      <c r="F2065" s="24"/>
      <c r="G2065" s="30"/>
      <c r="H2065" s="81"/>
      <c r="I2065" s="30"/>
      <c r="J2065" s="16"/>
      <c r="K2065" s="9"/>
      <c r="L2065" s="9"/>
      <c r="M2065" s="152"/>
      <c r="N2065" s="153"/>
      <c r="O2065" s="152"/>
      <c r="P2065" s="154"/>
      <c r="Q2065" s="152"/>
      <c r="R2065" s="9"/>
      <c r="Z2065" s="21"/>
      <c r="AA2065" s="162">
        <f>+$AD$5-Tabla2[[#This Row],[FECHA DE FACTURACIÓN]]</f>
        <v>45443</v>
      </c>
      <c r="AB2065" s="163" t="str">
        <f>+IF(Tabla2[[#This Row],[dias de credito]]&gt;=Tabla2[[#This Row],[PLAZO Días]],"venc", "No venc")</f>
        <v>venc</v>
      </c>
      <c r="AC2065" s="163" t="str">
        <f>+IF(Tabla2[[#This Row],[FECHA DE PAGO]]&gt;0,"pagada","por pagar")</f>
        <v>por pagar</v>
      </c>
      <c r="AD2065" s="164" t="str">
        <f>+IF(AND(Tabla2[[#This Row],[venc]]="venc",Tabla2[[#This Row],[estado pago]]="por pagar"),"vencida","no")</f>
        <v>vencida</v>
      </c>
    </row>
    <row r="2066" spans="1:30" ht="19.5" hidden="1" customHeight="1" x14ac:dyDescent="0.25">
      <c r="A2066" s="8"/>
      <c r="B2066" s="8"/>
      <c r="C2066" s="8"/>
      <c r="D2066" s="151"/>
      <c r="E2066" s="151"/>
      <c r="F2066" s="24"/>
      <c r="G2066" s="30"/>
      <c r="H2066" s="81"/>
      <c r="I2066" s="30"/>
      <c r="J2066" s="16"/>
      <c r="K2066" s="9"/>
      <c r="L2066" s="9"/>
      <c r="M2066" s="152"/>
      <c r="N2066" s="153"/>
      <c r="O2066" s="152"/>
      <c r="P2066" s="154"/>
      <c r="Q2066" s="152"/>
      <c r="R2066" s="9"/>
      <c r="Z2066" s="21"/>
      <c r="AA2066" s="162">
        <f>+$AD$5-Tabla2[[#This Row],[FECHA DE FACTURACIÓN]]</f>
        <v>45443</v>
      </c>
      <c r="AB2066" s="163" t="str">
        <f>+IF(Tabla2[[#This Row],[dias de credito]]&gt;=Tabla2[[#This Row],[PLAZO Días]],"venc", "No venc")</f>
        <v>venc</v>
      </c>
      <c r="AC2066" s="163" t="str">
        <f>+IF(Tabla2[[#This Row],[FECHA DE PAGO]]&gt;0,"pagada","por pagar")</f>
        <v>por pagar</v>
      </c>
      <c r="AD2066" s="164" t="str">
        <f>+IF(AND(Tabla2[[#This Row],[venc]]="venc",Tabla2[[#This Row],[estado pago]]="por pagar"),"vencida","no")</f>
        <v>vencida</v>
      </c>
    </row>
    <row r="2067" spans="1:30" ht="19.5" hidden="1" customHeight="1" x14ac:dyDescent="0.25">
      <c r="A2067" s="8"/>
      <c r="B2067" s="8"/>
      <c r="C2067" s="8"/>
      <c r="D2067" s="151"/>
      <c r="E2067" s="151"/>
      <c r="F2067" s="24"/>
      <c r="G2067" s="30"/>
      <c r="H2067" s="81"/>
      <c r="I2067" s="30"/>
      <c r="J2067" s="16"/>
      <c r="K2067" s="9"/>
      <c r="L2067" s="9"/>
      <c r="M2067" s="152"/>
      <c r="N2067" s="153"/>
      <c r="O2067" s="152"/>
      <c r="P2067" s="154"/>
      <c r="Q2067" s="152"/>
      <c r="R2067" s="9"/>
      <c r="Z2067" s="21"/>
      <c r="AA2067" s="162">
        <f>+$AD$5-Tabla2[[#This Row],[FECHA DE FACTURACIÓN]]</f>
        <v>45443</v>
      </c>
      <c r="AB2067" s="163" t="str">
        <f>+IF(Tabla2[[#This Row],[dias de credito]]&gt;=Tabla2[[#This Row],[PLAZO Días]],"venc", "No venc")</f>
        <v>venc</v>
      </c>
      <c r="AC2067" s="163" t="str">
        <f>+IF(Tabla2[[#This Row],[FECHA DE PAGO]]&gt;0,"pagada","por pagar")</f>
        <v>por pagar</v>
      </c>
      <c r="AD2067" s="164" t="str">
        <f>+IF(AND(Tabla2[[#This Row],[venc]]="venc",Tabla2[[#This Row],[estado pago]]="por pagar"),"vencida","no")</f>
        <v>vencida</v>
      </c>
    </row>
    <row r="2068" spans="1:30" ht="19.5" hidden="1" customHeight="1" x14ac:dyDescent="0.25">
      <c r="A2068" s="8"/>
      <c r="B2068" s="8"/>
      <c r="C2068" s="8"/>
      <c r="D2068" s="151"/>
      <c r="E2068" s="151"/>
      <c r="F2068" s="24"/>
      <c r="G2068" s="30"/>
      <c r="H2068" s="81"/>
      <c r="I2068" s="30"/>
      <c r="J2068" s="16"/>
      <c r="K2068" s="9"/>
      <c r="L2068" s="9"/>
      <c r="M2068" s="152"/>
      <c r="N2068" s="153"/>
      <c r="O2068" s="152"/>
      <c r="P2068" s="154"/>
      <c r="Q2068" s="152"/>
      <c r="R2068" s="9"/>
      <c r="Z2068" s="21"/>
      <c r="AA2068" s="162">
        <f>+$AD$5-Tabla2[[#This Row],[FECHA DE FACTURACIÓN]]</f>
        <v>45443</v>
      </c>
      <c r="AB2068" s="163" t="str">
        <f>+IF(Tabla2[[#This Row],[dias de credito]]&gt;=Tabla2[[#This Row],[PLAZO Días]],"venc", "No venc")</f>
        <v>venc</v>
      </c>
      <c r="AC2068" s="163" t="str">
        <f>+IF(Tabla2[[#This Row],[FECHA DE PAGO]]&gt;0,"pagada","por pagar")</f>
        <v>por pagar</v>
      </c>
      <c r="AD2068" s="164" t="str">
        <f>+IF(AND(Tabla2[[#This Row],[venc]]="venc",Tabla2[[#This Row],[estado pago]]="por pagar"),"vencida","no")</f>
        <v>vencida</v>
      </c>
    </row>
    <row r="2069" spans="1:30" ht="19.5" hidden="1" customHeight="1" x14ac:dyDescent="0.25">
      <c r="A2069" s="8"/>
      <c r="B2069" s="8"/>
      <c r="C2069" s="8"/>
      <c r="D2069" s="151"/>
      <c r="E2069" s="151"/>
      <c r="F2069" s="24"/>
      <c r="G2069" s="30"/>
      <c r="H2069" s="81"/>
      <c r="I2069" s="30"/>
      <c r="J2069" s="16"/>
      <c r="K2069" s="9"/>
      <c r="L2069" s="9"/>
      <c r="M2069" s="152"/>
      <c r="N2069" s="153"/>
      <c r="O2069" s="152"/>
      <c r="P2069" s="154"/>
      <c r="Q2069" s="152"/>
      <c r="R2069" s="9"/>
      <c r="Z2069" s="21"/>
      <c r="AA2069" s="162">
        <f>+$AD$5-Tabla2[[#This Row],[FECHA DE FACTURACIÓN]]</f>
        <v>45443</v>
      </c>
      <c r="AB2069" s="163" t="str">
        <f>+IF(Tabla2[[#This Row],[dias de credito]]&gt;=Tabla2[[#This Row],[PLAZO Días]],"venc", "No venc")</f>
        <v>venc</v>
      </c>
      <c r="AC2069" s="163" t="str">
        <f>+IF(Tabla2[[#This Row],[FECHA DE PAGO]]&gt;0,"pagada","por pagar")</f>
        <v>por pagar</v>
      </c>
      <c r="AD2069" s="164" t="str">
        <f>+IF(AND(Tabla2[[#This Row],[venc]]="venc",Tabla2[[#This Row],[estado pago]]="por pagar"),"vencida","no")</f>
        <v>vencida</v>
      </c>
    </row>
    <row r="2070" spans="1:30" ht="19.5" hidden="1" customHeight="1" x14ac:dyDescent="0.25">
      <c r="A2070" s="8"/>
      <c r="B2070" s="8"/>
      <c r="C2070" s="8"/>
      <c r="D2070" s="151"/>
      <c r="E2070" s="151"/>
      <c r="F2070" s="24"/>
      <c r="G2070" s="30"/>
      <c r="H2070" s="81"/>
      <c r="I2070" s="30"/>
      <c r="J2070" s="16"/>
      <c r="K2070" s="9"/>
      <c r="L2070" s="9"/>
      <c r="M2070" s="152"/>
      <c r="N2070" s="153"/>
      <c r="O2070" s="152"/>
      <c r="P2070" s="154"/>
      <c r="Q2070" s="152"/>
      <c r="R2070" s="9"/>
      <c r="Z2070" s="21"/>
      <c r="AA2070" s="162">
        <f>+$AD$5-Tabla2[[#This Row],[FECHA DE FACTURACIÓN]]</f>
        <v>45443</v>
      </c>
      <c r="AB2070" s="163" t="str">
        <f>+IF(Tabla2[[#This Row],[dias de credito]]&gt;=Tabla2[[#This Row],[PLAZO Días]],"venc", "No venc")</f>
        <v>venc</v>
      </c>
      <c r="AC2070" s="163" t="str">
        <f>+IF(Tabla2[[#This Row],[FECHA DE PAGO]]&gt;0,"pagada","por pagar")</f>
        <v>por pagar</v>
      </c>
      <c r="AD2070" s="164" t="str">
        <f>+IF(AND(Tabla2[[#This Row],[venc]]="venc",Tabla2[[#This Row],[estado pago]]="por pagar"),"vencida","no")</f>
        <v>vencida</v>
      </c>
    </row>
    <row r="2071" spans="1:30" ht="19.5" hidden="1" customHeight="1" x14ac:dyDescent="0.25">
      <c r="A2071" s="8"/>
      <c r="B2071" s="8"/>
      <c r="C2071" s="8"/>
      <c r="D2071" s="151"/>
      <c r="E2071" s="151"/>
      <c r="F2071" s="24"/>
      <c r="G2071" s="30"/>
      <c r="H2071" s="81"/>
      <c r="I2071" s="30"/>
      <c r="J2071" s="16"/>
      <c r="K2071" s="9"/>
      <c r="L2071" s="9"/>
      <c r="M2071" s="152"/>
      <c r="N2071" s="153"/>
      <c r="O2071" s="152"/>
      <c r="P2071" s="154"/>
      <c r="Q2071" s="152"/>
      <c r="R2071" s="9"/>
      <c r="Z2071" s="21"/>
      <c r="AA2071" s="162">
        <f>+$AD$5-Tabla2[[#This Row],[FECHA DE FACTURACIÓN]]</f>
        <v>45443</v>
      </c>
      <c r="AB2071" s="163" t="str">
        <f>+IF(Tabla2[[#This Row],[dias de credito]]&gt;=Tabla2[[#This Row],[PLAZO Días]],"venc", "No venc")</f>
        <v>venc</v>
      </c>
      <c r="AC2071" s="163" t="str">
        <f>+IF(Tabla2[[#This Row],[FECHA DE PAGO]]&gt;0,"pagada","por pagar")</f>
        <v>por pagar</v>
      </c>
      <c r="AD2071" s="164" t="str">
        <f>+IF(AND(Tabla2[[#This Row],[venc]]="venc",Tabla2[[#This Row],[estado pago]]="por pagar"),"vencida","no")</f>
        <v>vencida</v>
      </c>
    </row>
    <row r="2072" spans="1:30" ht="19.5" hidden="1" customHeight="1" x14ac:dyDescent="0.25">
      <c r="A2072" s="8"/>
      <c r="B2072" s="8"/>
      <c r="C2072" s="8"/>
      <c r="D2072" s="151"/>
      <c r="E2072" s="151"/>
      <c r="F2072" s="24"/>
      <c r="G2072" s="30"/>
      <c r="H2072" s="81"/>
      <c r="I2072" s="30"/>
      <c r="J2072" s="16"/>
      <c r="K2072" s="9"/>
      <c r="L2072" s="9"/>
      <c r="M2072" s="152"/>
      <c r="N2072" s="153"/>
      <c r="O2072" s="152"/>
      <c r="P2072" s="154"/>
      <c r="Q2072" s="152"/>
      <c r="R2072" s="9"/>
      <c r="Z2072" s="21"/>
      <c r="AA2072" s="162">
        <f>+$AD$5-Tabla2[[#This Row],[FECHA DE FACTURACIÓN]]</f>
        <v>45443</v>
      </c>
      <c r="AB2072" s="163" t="str">
        <f>+IF(Tabla2[[#This Row],[dias de credito]]&gt;=Tabla2[[#This Row],[PLAZO Días]],"venc", "No venc")</f>
        <v>venc</v>
      </c>
      <c r="AC2072" s="163" t="str">
        <f>+IF(Tabla2[[#This Row],[FECHA DE PAGO]]&gt;0,"pagada","por pagar")</f>
        <v>por pagar</v>
      </c>
      <c r="AD2072" s="164" t="str">
        <f>+IF(AND(Tabla2[[#This Row],[venc]]="venc",Tabla2[[#This Row],[estado pago]]="por pagar"),"vencida","no")</f>
        <v>vencida</v>
      </c>
    </row>
    <row r="2073" spans="1:30" ht="19.5" hidden="1" customHeight="1" x14ac:dyDescent="0.25">
      <c r="A2073" s="8"/>
      <c r="B2073" s="8"/>
      <c r="C2073" s="8"/>
      <c r="D2073" s="151"/>
      <c r="E2073" s="151"/>
      <c r="F2073" s="24"/>
      <c r="G2073" s="30"/>
      <c r="H2073" s="81"/>
      <c r="I2073" s="30"/>
      <c r="J2073" s="16"/>
      <c r="K2073" s="9"/>
      <c r="L2073" s="9"/>
      <c r="M2073" s="152"/>
      <c r="N2073" s="153"/>
      <c r="O2073" s="152"/>
      <c r="P2073" s="154"/>
      <c r="Q2073" s="152"/>
      <c r="R2073" s="9"/>
      <c r="Z2073" s="21"/>
      <c r="AA2073" s="162">
        <f>+$AD$5-Tabla2[[#This Row],[FECHA DE FACTURACIÓN]]</f>
        <v>45443</v>
      </c>
      <c r="AB2073" s="163" t="str">
        <f>+IF(Tabla2[[#This Row],[dias de credito]]&gt;=Tabla2[[#This Row],[PLAZO Días]],"venc", "No venc")</f>
        <v>venc</v>
      </c>
      <c r="AC2073" s="163" t="str">
        <f>+IF(Tabla2[[#This Row],[FECHA DE PAGO]]&gt;0,"pagada","por pagar")</f>
        <v>por pagar</v>
      </c>
      <c r="AD2073" s="164" t="str">
        <f>+IF(AND(Tabla2[[#This Row],[venc]]="venc",Tabla2[[#This Row],[estado pago]]="por pagar"),"vencida","no")</f>
        <v>vencida</v>
      </c>
    </row>
    <row r="2074" spans="1:30" ht="19.5" hidden="1" customHeight="1" x14ac:dyDescent="0.25">
      <c r="A2074" s="8"/>
      <c r="B2074" s="8"/>
      <c r="C2074" s="8"/>
      <c r="D2074" s="151"/>
      <c r="E2074" s="151"/>
      <c r="F2074" s="24"/>
      <c r="G2074" s="30"/>
      <c r="H2074" s="81"/>
      <c r="I2074" s="30"/>
      <c r="J2074" s="16"/>
      <c r="K2074" s="9"/>
      <c r="L2074" s="9"/>
      <c r="M2074" s="152"/>
      <c r="N2074" s="153"/>
      <c r="O2074" s="152"/>
      <c r="P2074" s="154"/>
      <c r="Q2074" s="152"/>
      <c r="R2074" s="9"/>
      <c r="Z2074" s="21"/>
      <c r="AA2074" s="162">
        <f>+$AD$5-Tabla2[[#This Row],[FECHA DE FACTURACIÓN]]</f>
        <v>45443</v>
      </c>
      <c r="AB2074" s="163" t="str">
        <f>+IF(Tabla2[[#This Row],[dias de credito]]&gt;=Tabla2[[#This Row],[PLAZO Días]],"venc", "No venc")</f>
        <v>venc</v>
      </c>
      <c r="AC2074" s="163" t="str">
        <f>+IF(Tabla2[[#This Row],[FECHA DE PAGO]]&gt;0,"pagada","por pagar")</f>
        <v>por pagar</v>
      </c>
      <c r="AD2074" s="164" t="str">
        <f>+IF(AND(Tabla2[[#This Row],[venc]]="venc",Tabla2[[#This Row],[estado pago]]="por pagar"),"vencida","no")</f>
        <v>vencida</v>
      </c>
    </row>
    <row r="2075" spans="1:30" ht="19.5" hidden="1" customHeight="1" x14ac:dyDescent="0.25">
      <c r="A2075" s="8"/>
      <c r="B2075" s="8"/>
      <c r="C2075" s="8"/>
      <c r="D2075" s="151"/>
      <c r="E2075" s="151"/>
      <c r="F2075" s="24"/>
      <c r="G2075" s="30"/>
      <c r="H2075" s="81"/>
      <c r="I2075" s="30"/>
      <c r="J2075" s="16"/>
      <c r="K2075" s="9"/>
      <c r="L2075" s="9"/>
      <c r="M2075" s="152"/>
      <c r="N2075" s="153"/>
      <c r="O2075" s="152"/>
      <c r="P2075" s="154"/>
      <c r="Q2075" s="152"/>
      <c r="R2075" s="9"/>
      <c r="Z2075" s="21"/>
      <c r="AA2075" s="162">
        <f>+$AD$5-Tabla2[[#This Row],[FECHA DE FACTURACIÓN]]</f>
        <v>45443</v>
      </c>
      <c r="AB2075" s="163" t="str">
        <f>+IF(Tabla2[[#This Row],[dias de credito]]&gt;=Tabla2[[#This Row],[PLAZO Días]],"venc", "No venc")</f>
        <v>venc</v>
      </c>
      <c r="AC2075" s="163" t="str">
        <f>+IF(Tabla2[[#This Row],[FECHA DE PAGO]]&gt;0,"pagada","por pagar")</f>
        <v>por pagar</v>
      </c>
      <c r="AD2075" s="164" t="str">
        <f>+IF(AND(Tabla2[[#This Row],[venc]]="venc",Tabla2[[#This Row],[estado pago]]="por pagar"),"vencida","no")</f>
        <v>vencida</v>
      </c>
    </row>
    <row r="2076" spans="1:30" ht="19.5" hidden="1" customHeight="1" x14ac:dyDescent="0.25">
      <c r="A2076" s="8"/>
      <c r="B2076" s="8"/>
      <c r="C2076" s="8"/>
      <c r="D2076" s="151"/>
      <c r="E2076" s="151"/>
      <c r="F2076" s="24"/>
      <c r="G2076" s="30"/>
      <c r="H2076" s="81"/>
      <c r="I2076" s="30"/>
      <c r="J2076" s="16"/>
      <c r="K2076" s="9"/>
      <c r="L2076" s="9"/>
      <c r="M2076" s="152"/>
      <c r="N2076" s="153"/>
      <c r="O2076" s="152"/>
      <c r="P2076" s="154"/>
      <c r="Q2076" s="152"/>
      <c r="R2076" s="9"/>
      <c r="Z2076" s="21"/>
      <c r="AA2076" s="162">
        <f>+$AD$5-Tabla2[[#This Row],[FECHA DE FACTURACIÓN]]</f>
        <v>45443</v>
      </c>
      <c r="AB2076" s="163" t="str">
        <f>+IF(Tabla2[[#This Row],[dias de credito]]&gt;=Tabla2[[#This Row],[PLAZO Días]],"venc", "No venc")</f>
        <v>venc</v>
      </c>
      <c r="AC2076" s="163" t="str">
        <f>+IF(Tabla2[[#This Row],[FECHA DE PAGO]]&gt;0,"pagada","por pagar")</f>
        <v>por pagar</v>
      </c>
      <c r="AD2076" s="164" t="str">
        <f>+IF(AND(Tabla2[[#This Row],[venc]]="venc",Tabla2[[#This Row],[estado pago]]="por pagar"),"vencida","no")</f>
        <v>vencida</v>
      </c>
    </row>
    <row r="2077" spans="1:30" ht="19.5" hidden="1" customHeight="1" x14ac:dyDescent="0.25">
      <c r="A2077" s="8"/>
      <c r="B2077" s="8"/>
      <c r="C2077" s="8"/>
      <c r="D2077" s="151"/>
      <c r="E2077" s="151"/>
      <c r="F2077" s="24"/>
      <c r="G2077" s="30"/>
      <c r="H2077" s="81"/>
      <c r="I2077" s="30"/>
      <c r="J2077" s="16"/>
      <c r="K2077" s="9"/>
      <c r="L2077" s="9"/>
      <c r="M2077" s="152"/>
      <c r="N2077" s="153"/>
      <c r="O2077" s="152"/>
      <c r="P2077" s="154"/>
      <c r="Q2077" s="152"/>
      <c r="R2077" s="9"/>
      <c r="Z2077" s="21"/>
      <c r="AA2077" s="162">
        <f>+$AD$5-Tabla2[[#This Row],[FECHA DE FACTURACIÓN]]</f>
        <v>45443</v>
      </c>
      <c r="AB2077" s="163" t="str">
        <f>+IF(Tabla2[[#This Row],[dias de credito]]&gt;=Tabla2[[#This Row],[PLAZO Días]],"venc", "No venc")</f>
        <v>venc</v>
      </c>
      <c r="AC2077" s="163" t="str">
        <f>+IF(Tabla2[[#This Row],[FECHA DE PAGO]]&gt;0,"pagada","por pagar")</f>
        <v>por pagar</v>
      </c>
      <c r="AD2077" s="164" t="str">
        <f>+IF(AND(Tabla2[[#This Row],[venc]]="venc",Tabla2[[#This Row],[estado pago]]="por pagar"),"vencida","no")</f>
        <v>vencida</v>
      </c>
    </row>
    <row r="2078" spans="1:30" ht="19.5" hidden="1" customHeight="1" x14ac:dyDescent="0.25">
      <c r="A2078" s="8"/>
      <c r="B2078" s="8"/>
      <c r="C2078" s="8"/>
      <c r="D2078" s="151"/>
      <c r="E2078" s="151"/>
      <c r="F2078" s="24"/>
      <c r="G2078" s="30"/>
      <c r="H2078" s="81"/>
      <c r="I2078" s="30"/>
      <c r="J2078" s="16"/>
      <c r="K2078" s="9"/>
      <c r="L2078" s="9"/>
      <c r="M2078" s="152"/>
      <c r="N2078" s="153"/>
      <c r="O2078" s="152"/>
      <c r="P2078" s="154"/>
      <c r="Q2078" s="152"/>
      <c r="R2078" s="9"/>
      <c r="Z2078" s="21"/>
      <c r="AA2078" s="162">
        <f>+$AD$5-Tabla2[[#This Row],[FECHA DE FACTURACIÓN]]</f>
        <v>45443</v>
      </c>
      <c r="AB2078" s="163" t="str">
        <f>+IF(Tabla2[[#This Row],[dias de credito]]&gt;=Tabla2[[#This Row],[PLAZO Días]],"venc", "No venc")</f>
        <v>venc</v>
      </c>
      <c r="AC2078" s="163" t="str">
        <f>+IF(Tabla2[[#This Row],[FECHA DE PAGO]]&gt;0,"pagada","por pagar")</f>
        <v>por pagar</v>
      </c>
      <c r="AD2078" s="164" t="str">
        <f>+IF(AND(Tabla2[[#This Row],[venc]]="venc",Tabla2[[#This Row],[estado pago]]="por pagar"),"vencida","no")</f>
        <v>vencida</v>
      </c>
    </row>
    <row r="2079" spans="1:30" ht="19.5" hidden="1" customHeight="1" x14ac:dyDescent="0.25">
      <c r="A2079" s="8"/>
      <c r="B2079" s="8"/>
      <c r="C2079" s="8"/>
      <c r="D2079" s="151"/>
      <c r="E2079" s="151"/>
      <c r="F2079" s="24"/>
      <c r="G2079" s="30"/>
      <c r="H2079" s="81"/>
      <c r="I2079" s="30"/>
      <c r="J2079" s="16"/>
      <c r="K2079" s="9"/>
      <c r="L2079" s="9"/>
      <c r="M2079" s="152"/>
      <c r="N2079" s="153"/>
      <c r="O2079" s="152"/>
      <c r="P2079" s="154"/>
      <c r="Q2079" s="152"/>
      <c r="R2079" s="9"/>
      <c r="Z2079" s="21"/>
      <c r="AA2079" s="162">
        <f>+$AD$5-Tabla2[[#This Row],[FECHA DE FACTURACIÓN]]</f>
        <v>45443</v>
      </c>
      <c r="AB2079" s="163" t="str">
        <f>+IF(Tabla2[[#This Row],[dias de credito]]&gt;=Tabla2[[#This Row],[PLAZO Días]],"venc", "No venc")</f>
        <v>venc</v>
      </c>
      <c r="AC2079" s="163" t="str">
        <f>+IF(Tabla2[[#This Row],[FECHA DE PAGO]]&gt;0,"pagada","por pagar")</f>
        <v>por pagar</v>
      </c>
      <c r="AD2079" s="164" t="str">
        <f>+IF(AND(Tabla2[[#This Row],[venc]]="venc",Tabla2[[#This Row],[estado pago]]="por pagar"),"vencida","no")</f>
        <v>vencida</v>
      </c>
    </row>
    <row r="2080" spans="1:30" ht="19.5" hidden="1" customHeight="1" x14ac:dyDescent="0.25">
      <c r="A2080" s="8"/>
      <c r="B2080" s="8"/>
      <c r="C2080" s="8"/>
      <c r="D2080" s="151"/>
      <c r="E2080" s="151"/>
      <c r="F2080" s="24"/>
      <c r="G2080" s="30"/>
      <c r="H2080" s="81"/>
      <c r="I2080" s="30"/>
      <c r="J2080" s="16"/>
      <c r="K2080" s="9"/>
      <c r="L2080" s="9"/>
      <c r="M2080" s="152"/>
      <c r="N2080" s="153"/>
      <c r="O2080" s="152"/>
      <c r="P2080" s="154"/>
      <c r="Q2080" s="152"/>
      <c r="R2080" s="9"/>
      <c r="Z2080" s="21"/>
      <c r="AA2080" s="162">
        <f>+$AD$5-Tabla2[[#This Row],[FECHA DE FACTURACIÓN]]</f>
        <v>45443</v>
      </c>
      <c r="AB2080" s="163" t="str">
        <f>+IF(Tabla2[[#This Row],[dias de credito]]&gt;=Tabla2[[#This Row],[PLAZO Días]],"venc", "No venc")</f>
        <v>venc</v>
      </c>
      <c r="AC2080" s="163" t="str">
        <f>+IF(Tabla2[[#This Row],[FECHA DE PAGO]]&gt;0,"pagada","por pagar")</f>
        <v>por pagar</v>
      </c>
      <c r="AD2080" s="164" t="str">
        <f>+IF(AND(Tabla2[[#This Row],[venc]]="venc",Tabla2[[#This Row],[estado pago]]="por pagar"),"vencida","no")</f>
        <v>vencida</v>
      </c>
    </row>
    <row r="2081" spans="1:30" ht="19.5" hidden="1" customHeight="1" x14ac:dyDescent="0.25">
      <c r="A2081" s="8"/>
      <c r="B2081" s="8"/>
      <c r="C2081" s="8"/>
      <c r="D2081" s="151"/>
      <c r="E2081" s="151"/>
      <c r="F2081" s="24"/>
      <c r="G2081" s="30"/>
      <c r="H2081" s="81"/>
      <c r="I2081" s="30"/>
      <c r="J2081" s="16"/>
      <c r="K2081" s="9"/>
      <c r="L2081" s="9"/>
      <c r="M2081" s="152"/>
      <c r="N2081" s="153"/>
      <c r="O2081" s="152"/>
      <c r="P2081" s="154"/>
      <c r="Q2081" s="152"/>
      <c r="R2081" s="9"/>
      <c r="Z2081" s="21"/>
      <c r="AA2081" s="162">
        <f>+$AD$5-Tabla2[[#This Row],[FECHA DE FACTURACIÓN]]</f>
        <v>45443</v>
      </c>
      <c r="AB2081" s="163" t="str">
        <f>+IF(Tabla2[[#This Row],[dias de credito]]&gt;=Tabla2[[#This Row],[PLAZO Días]],"venc", "No venc")</f>
        <v>venc</v>
      </c>
      <c r="AC2081" s="163" t="str">
        <f>+IF(Tabla2[[#This Row],[FECHA DE PAGO]]&gt;0,"pagada","por pagar")</f>
        <v>por pagar</v>
      </c>
      <c r="AD2081" s="164" t="str">
        <f>+IF(AND(Tabla2[[#This Row],[venc]]="venc",Tabla2[[#This Row],[estado pago]]="por pagar"),"vencida","no")</f>
        <v>vencida</v>
      </c>
    </row>
    <row r="2082" spans="1:30" ht="19.5" hidden="1" customHeight="1" x14ac:dyDescent="0.25">
      <c r="A2082" s="8"/>
      <c r="B2082" s="8"/>
      <c r="C2082" s="8"/>
      <c r="D2082" s="151"/>
      <c r="E2082" s="151"/>
      <c r="F2082" s="24"/>
      <c r="G2082" s="30"/>
      <c r="H2082" s="81"/>
      <c r="I2082" s="30"/>
      <c r="J2082" s="16"/>
      <c r="K2082" s="9"/>
      <c r="L2082" s="9"/>
      <c r="M2082" s="152"/>
      <c r="N2082" s="153"/>
      <c r="O2082" s="152"/>
      <c r="P2082" s="154"/>
      <c r="Q2082" s="152"/>
      <c r="R2082" s="9"/>
      <c r="Z2082" s="21"/>
      <c r="AA2082" s="162">
        <f>+$AD$5-Tabla2[[#This Row],[FECHA DE FACTURACIÓN]]</f>
        <v>45443</v>
      </c>
      <c r="AB2082" s="163" t="str">
        <f>+IF(Tabla2[[#This Row],[dias de credito]]&gt;=Tabla2[[#This Row],[PLAZO Días]],"venc", "No venc")</f>
        <v>venc</v>
      </c>
      <c r="AC2082" s="163" t="str">
        <f>+IF(Tabla2[[#This Row],[FECHA DE PAGO]]&gt;0,"pagada","por pagar")</f>
        <v>por pagar</v>
      </c>
      <c r="AD2082" s="164" t="str">
        <f>+IF(AND(Tabla2[[#This Row],[venc]]="venc",Tabla2[[#This Row],[estado pago]]="por pagar"),"vencida","no")</f>
        <v>vencida</v>
      </c>
    </row>
    <row r="2083" spans="1:30" ht="19.5" hidden="1" customHeight="1" x14ac:dyDescent="0.25">
      <c r="A2083" s="8"/>
      <c r="B2083" s="8"/>
      <c r="C2083" s="8"/>
      <c r="D2083" s="151"/>
      <c r="E2083" s="151"/>
      <c r="F2083" s="24"/>
      <c r="G2083" s="30"/>
      <c r="H2083" s="81"/>
      <c r="I2083" s="30"/>
      <c r="J2083" s="16"/>
      <c r="K2083" s="9"/>
      <c r="L2083" s="9"/>
      <c r="M2083" s="152"/>
      <c r="N2083" s="153"/>
      <c r="O2083" s="152"/>
      <c r="P2083" s="154"/>
      <c r="Q2083" s="152"/>
      <c r="R2083" s="9"/>
      <c r="Z2083" s="21"/>
      <c r="AA2083" s="162">
        <f>+$AD$5-Tabla2[[#This Row],[FECHA DE FACTURACIÓN]]</f>
        <v>45443</v>
      </c>
      <c r="AB2083" s="163" t="str">
        <f>+IF(Tabla2[[#This Row],[dias de credito]]&gt;=Tabla2[[#This Row],[PLAZO Días]],"venc", "No venc")</f>
        <v>venc</v>
      </c>
      <c r="AC2083" s="163" t="str">
        <f>+IF(Tabla2[[#This Row],[FECHA DE PAGO]]&gt;0,"pagada","por pagar")</f>
        <v>por pagar</v>
      </c>
      <c r="AD2083" s="164" t="str">
        <f>+IF(AND(Tabla2[[#This Row],[venc]]="venc",Tabla2[[#This Row],[estado pago]]="por pagar"),"vencida","no")</f>
        <v>vencida</v>
      </c>
    </row>
    <row r="2084" spans="1:30" ht="19.5" hidden="1" customHeight="1" x14ac:dyDescent="0.25">
      <c r="A2084" s="8"/>
      <c r="B2084" s="8"/>
      <c r="C2084" s="8"/>
      <c r="D2084" s="151"/>
      <c r="E2084" s="151"/>
      <c r="F2084" s="24"/>
      <c r="G2084" s="30"/>
      <c r="H2084" s="81"/>
      <c r="I2084" s="30"/>
      <c r="J2084" s="16"/>
      <c r="K2084" s="9"/>
      <c r="L2084" s="9"/>
      <c r="M2084" s="152"/>
      <c r="N2084" s="153"/>
      <c r="O2084" s="152"/>
      <c r="P2084" s="154"/>
      <c r="Q2084" s="152"/>
      <c r="R2084" s="9"/>
      <c r="Z2084" s="21"/>
      <c r="AA2084" s="162">
        <f>+$AD$5-Tabla2[[#This Row],[FECHA DE FACTURACIÓN]]</f>
        <v>45443</v>
      </c>
      <c r="AB2084" s="163" t="str">
        <f>+IF(Tabla2[[#This Row],[dias de credito]]&gt;=Tabla2[[#This Row],[PLAZO Días]],"venc", "No venc")</f>
        <v>venc</v>
      </c>
      <c r="AC2084" s="163" t="str">
        <f>+IF(Tabla2[[#This Row],[FECHA DE PAGO]]&gt;0,"pagada","por pagar")</f>
        <v>por pagar</v>
      </c>
      <c r="AD2084" s="164" t="str">
        <f>+IF(AND(Tabla2[[#This Row],[venc]]="venc",Tabla2[[#This Row],[estado pago]]="por pagar"),"vencida","no")</f>
        <v>vencida</v>
      </c>
    </row>
    <row r="2085" spans="1:30" ht="19.5" hidden="1" customHeight="1" x14ac:dyDescent="0.25">
      <c r="A2085" s="8"/>
      <c r="B2085" s="8"/>
      <c r="C2085" s="8"/>
      <c r="D2085" s="151"/>
      <c r="E2085" s="151"/>
      <c r="F2085" s="24"/>
      <c r="G2085" s="30"/>
      <c r="H2085" s="81"/>
      <c r="I2085" s="30"/>
      <c r="J2085" s="16"/>
      <c r="K2085" s="9"/>
      <c r="L2085" s="9"/>
      <c r="M2085" s="152"/>
      <c r="N2085" s="153"/>
      <c r="O2085" s="152"/>
      <c r="P2085" s="154"/>
      <c r="Q2085" s="152"/>
      <c r="R2085" s="9"/>
      <c r="Z2085" s="21"/>
      <c r="AA2085" s="162">
        <f>+$AD$5-Tabla2[[#This Row],[FECHA DE FACTURACIÓN]]</f>
        <v>45443</v>
      </c>
      <c r="AB2085" s="163" t="str">
        <f>+IF(Tabla2[[#This Row],[dias de credito]]&gt;=Tabla2[[#This Row],[PLAZO Días]],"venc", "No venc")</f>
        <v>venc</v>
      </c>
      <c r="AC2085" s="163" t="str">
        <f>+IF(Tabla2[[#This Row],[FECHA DE PAGO]]&gt;0,"pagada","por pagar")</f>
        <v>por pagar</v>
      </c>
      <c r="AD2085" s="164" t="str">
        <f>+IF(AND(Tabla2[[#This Row],[venc]]="venc",Tabla2[[#This Row],[estado pago]]="por pagar"),"vencida","no")</f>
        <v>vencida</v>
      </c>
    </row>
    <row r="2086" spans="1:30" ht="19.5" hidden="1" customHeight="1" x14ac:dyDescent="0.25">
      <c r="A2086" s="8"/>
      <c r="B2086" s="8"/>
      <c r="C2086" s="8"/>
      <c r="D2086" s="151"/>
      <c r="E2086" s="151"/>
      <c r="F2086" s="24"/>
      <c r="G2086" s="30"/>
      <c r="H2086" s="81"/>
      <c r="I2086" s="30"/>
      <c r="J2086" s="16"/>
      <c r="K2086" s="9"/>
      <c r="L2086" s="9"/>
      <c r="M2086" s="152"/>
      <c r="N2086" s="153"/>
      <c r="O2086" s="152"/>
      <c r="P2086" s="154"/>
      <c r="Q2086" s="152"/>
      <c r="R2086" s="9"/>
      <c r="Z2086" s="21"/>
      <c r="AA2086" s="162">
        <f>+$AD$5-Tabla2[[#This Row],[FECHA DE FACTURACIÓN]]</f>
        <v>45443</v>
      </c>
      <c r="AB2086" s="163" t="str">
        <f>+IF(Tabla2[[#This Row],[dias de credito]]&gt;=Tabla2[[#This Row],[PLAZO Días]],"venc", "No venc")</f>
        <v>venc</v>
      </c>
      <c r="AC2086" s="163" t="str">
        <f>+IF(Tabla2[[#This Row],[FECHA DE PAGO]]&gt;0,"pagada","por pagar")</f>
        <v>por pagar</v>
      </c>
      <c r="AD2086" s="164" t="str">
        <f>+IF(AND(Tabla2[[#This Row],[venc]]="venc",Tabla2[[#This Row],[estado pago]]="por pagar"),"vencida","no")</f>
        <v>vencida</v>
      </c>
    </row>
    <row r="2087" spans="1:30" ht="19.5" hidden="1" customHeight="1" x14ac:dyDescent="0.25">
      <c r="A2087" s="8"/>
      <c r="B2087" s="8"/>
      <c r="C2087" s="8"/>
      <c r="D2087" s="151"/>
      <c r="E2087" s="151"/>
      <c r="F2087" s="24"/>
      <c r="G2087" s="30"/>
      <c r="H2087" s="81"/>
      <c r="I2087" s="30"/>
      <c r="J2087" s="16"/>
      <c r="K2087" s="9"/>
      <c r="L2087" s="9"/>
      <c r="M2087" s="152"/>
      <c r="N2087" s="153"/>
      <c r="O2087" s="152"/>
      <c r="P2087" s="154"/>
      <c r="Q2087" s="152"/>
      <c r="R2087" s="9"/>
      <c r="Z2087" s="21"/>
      <c r="AA2087" s="162">
        <f>+$AD$5-Tabla2[[#This Row],[FECHA DE FACTURACIÓN]]</f>
        <v>45443</v>
      </c>
      <c r="AB2087" s="163" t="str">
        <f>+IF(Tabla2[[#This Row],[dias de credito]]&gt;=Tabla2[[#This Row],[PLAZO Días]],"venc", "No venc")</f>
        <v>venc</v>
      </c>
      <c r="AC2087" s="163" t="str">
        <f>+IF(Tabla2[[#This Row],[FECHA DE PAGO]]&gt;0,"pagada","por pagar")</f>
        <v>por pagar</v>
      </c>
      <c r="AD2087" s="164" t="str">
        <f>+IF(AND(Tabla2[[#This Row],[venc]]="venc",Tabla2[[#This Row],[estado pago]]="por pagar"),"vencida","no")</f>
        <v>vencida</v>
      </c>
    </row>
    <row r="2088" spans="1:30" ht="19.5" hidden="1" customHeight="1" x14ac:dyDescent="0.25">
      <c r="A2088" s="8"/>
      <c r="B2088" s="8"/>
      <c r="C2088" s="8"/>
      <c r="D2088" s="151"/>
      <c r="E2088" s="151"/>
      <c r="F2088" s="24"/>
      <c r="G2088" s="30"/>
      <c r="H2088" s="81"/>
      <c r="I2088" s="30"/>
      <c r="J2088" s="16"/>
      <c r="K2088" s="9"/>
      <c r="L2088" s="9"/>
      <c r="M2088" s="152"/>
      <c r="N2088" s="153"/>
      <c r="O2088" s="152"/>
      <c r="P2088" s="154"/>
      <c r="Q2088" s="152"/>
      <c r="R2088" s="9"/>
      <c r="Z2088" s="21"/>
      <c r="AA2088" s="162">
        <f>+$AD$5-Tabla2[[#This Row],[FECHA DE FACTURACIÓN]]</f>
        <v>45443</v>
      </c>
      <c r="AB2088" s="163" t="str">
        <f>+IF(Tabla2[[#This Row],[dias de credito]]&gt;=Tabla2[[#This Row],[PLAZO Días]],"venc", "No venc")</f>
        <v>venc</v>
      </c>
      <c r="AC2088" s="163" t="str">
        <f>+IF(Tabla2[[#This Row],[FECHA DE PAGO]]&gt;0,"pagada","por pagar")</f>
        <v>por pagar</v>
      </c>
      <c r="AD2088" s="164" t="str">
        <f>+IF(AND(Tabla2[[#This Row],[venc]]="venc",Tabla2[[#This Row],[estado pago]]="por pagar"),"vencida","no")</f>
        <v>vencida</v>
      </c>
    </row>
    <row r="2089" spans="1:30" ht="19.5" hidden="1" customHeight="1" x14ac:dyDescent="0.25">
      <c r="A2089" s="8"/>
      <c r="B2089" s="8"/>
      <c r="C2089" s="8"/>
      <c r="D2089" s="151"/>
      <c r="E2089" s="151"/>
      <c r="F2089" s="24"/>
      <c r="G2089" s="30"/>
      <c r="H2089" s="81"/>
      <c r="I2089" s="30"/>
      <c r="J2089" s="16"/>
      <c r="K2089" s="9"/>
      <c r="L2089" s="9"/>
      <c r="M2089" s="152"/>
      <c r="N2089" s="153"/>
      <c r="O2089" s="152"/>
      <c r="P2089" s="154"/>
      <c r="Q2089" s="152"/>
      <c r="R2089" s="9"/>
      <c r="Z2089" s="21"/>
      <c r="AA2089" s="162">
        <f>+$AD$5-Tabla2[[#This Row],[FECHA DE FACTURACIÓN]]</f>
        <v>45443</v>
      </c>
      <c r="AB2089" s="163" t="str">
        <f>+IF(Tabla2[[#This Row],[dias de credito]]&gt;=Tabla2[[#This Row],[PLAZO Días]],"venc", "No venc")</f>
        <v>venc</v>
      </c>
      <c r="AC2089" s="163" t="str">
        <f>+IF(Tabla2[[#This Row],[FECHA DE PAGO]]&gt;0,"pagada","por pagar")</f>
        <v>por pagar</v>
      </c>
      <c r="AD2089" s="164" t="str">
        <f>+IF(AND(Tabla2[[#This Row],[venc]]="venc",Tabla2[[#This Row],[estado pago]]="por pagar"),"vencida","no")</f>
        <v>vencida</v>
      </c>
    </row>
    <row r="2090" spans="1:30" ht="19.5" hidden="1" customHeight="1" x14ac:dyDescent="0.25">
      <c r="A2090" s="8"/>
      <c r="B2090" s="8"/>
      <c r="C2090" s="8"/>
      <c r="D2090" s="151"/>
      <c r="E2090" s="151"/>
      <c r="F2090" s="24"/>
      <c r="G2090" s="30"/>
      <c r="H2090" s="81"/>
      <c r="I2090" s="30"/>
      <c r="J2090" s="16"/>
      <c r="K2090" s="9"/>
      <c r="L2090" s="9"/>
      <c r="M2090" s="152"/>
      <c r="N2090" s="153"/>
      <c r="O2090" s="152"/>
      <c r="P2090" s="154"/>
      <c r="Q2090" s="152"/>
      <c r="R2090" s="9"/>
      <c r="Z2090" s="21"/>
      <c r="AA2090" s="162">
        <f>+$AD$5-Tabla2[[#This Row],[FECHA DE FACTURACIÓN]]</f>
        <v>45443</v>
      </c>
      <c r="AB2090" s="163" t="str">
        <f>+IF(Tabla2[[#This Row],[dias de credito]]&gt;=Tabla2[[#This Row],[PLAZO Días]],"venc", "No venc")</f>
        <v>venc</v>
      </c>
      <c r="AC2090" s="163" t="str">
        <f>+IF(Tabla2[[#This Row],[FECHA DE PAGO]]&gt;0,"pagada","por pagar")</f>
        <v>por pagar</v>
      </c>
      <c r="AD2090" s="164" t="str">
        <f>+IF(AND(Tabla2[[#This Row],[venc]]="venc",Tabla2[[#This Row],[estado pago]]="por pagar"),"vencida","no")</f>
        <v>vencida</v>
      </c>
    </row>
    <row r="2091" spans="1:30" ht="19.5" hidden="1" customHeight="1" x14ac:dyDescent="0.25">
      <c r="A2091" s="8"/>
      <c r="B2091" s="8"/>
      <c r="C2091" s="8"/>
      <c r="D2091" s="151"/>
      <c r="E2091" s="151"/>
      <c r="F2091" s="24"/>
      <c r="G2091" s="30"/>
      <c r="H2091" s="81"/>
      <c r="I2091" s="30"/>
      <c r="J2091" s="16"/>
      <c r="K2091" s="9"/>
      <c r="L2091" s="9"/>
      <c r="M2091" s="152"/>
      <c r="N2091" s="153"/>
      <c r="O2091" s="152"/>
      <c r="P2091" s="154"/>
      <c r="Q2091" s="152"/>
      <c r="R2091" s="9"/>
      <c r="Z2091" s="21"/>
      <c r="AA2091" s="162">
        <f>+$AD$5-Tabla2[[#This Row],[FECHA DE FACTURACIÓN]]</f>
        <v>45443</v>
      </c>
      <c r="AB2091" s="163" t="str">
        <f>+IF(Tabla2[[#This Row],[dias de credito]]&gt;=Tabla2[[#This Row],[PLAZO Días]],"venc", "No venc")</f>
        <v>venc</v>
      </c>
      <c r="AC2091" s="163" t="str">
        <f>+IF(Tabla2[[#This Row],[FECHA DE PAGO]]&gt;0,"pagada","por pagar")</f>
        <v>por pagar</v>
      </c>
      <c r="AD2091" s="164" t="str">
        <f>+IF(AND(Tabla2[[#This Row],[venc]]="venc",Tabla2[[#This Row],[estado pago]]="por pagar"),"vencida","no")</f>
        <v>vencida</v>
      </c>
    </row>
    <row r="2092" spans="1:30" ht="19.5" hidden="1" customHeight="1" x14ac:dyDescent="0.25">
      <c r="A2092" s="8"/>
      <c r="B2092" s="8"/>
      <c r="C2092" s="8"/>
      <c r="D2092" s="151"/>
      <c r="E2092" s="151"/>
      <c r="F2092" s="24"/>
      <c r="G2092" s="30"/>
      <c r="H2092" s="81"/>
      <c r="I2092" s="30"/>
      <c r="J2092" s="16"/>
      <c r="K2092" s="9"/>
      <c r="L2092" s="9"/>
      <c r="M2092" s="152"/>
      <c r="N2092" s="153"/>
      <c r="O2092" s="152"/>
      <c r="P2092" s="154"/>
      <c r="Q2092" s="152"/>
      <c r="R2092" s="9"/>
      <c r="Z2092" s="21"/>
      <c r="AA2092" s="162">
        <f>+$AD$5-Tabla2[[#This Row],[FECHA DE FACTURACIÓN]]</f>
        <v>45443</v>
      </c>
      <c r="AB2092" s="163" t="str">
        <f>+IF(Tabla2[[#This Row],[dias de credito]]&gt;=Tabla2[[#This Row],[PLAZO Días]],"venc", "No venc")</f>
        <v>venc</v>
      </c>
      <c r="AC2092" s="163" t="str">
        <f>+IF(Tabla2[[#This Row],[FECHA DE PAGO]]&gt;0,"pagada","por pagar")</f>
        <v>por pagar</v>
      </c>
      <c r="AD2092" s="164" t="str">
        <f>+IF(AND(Tabla2[[#This Row],[venc]]="venc",Tabla2[[#This Row],[estado pago]]="por pagar"),"vencida","no")</f>
        <v>vencida</v>
      </c>
    </row>
    <row r="2093" spans="1:30" ht="19.5" hidden="1" customHeight="1" x14ac:dyDescent="0.25">
      <c r="A2093" s="8"/>
      <c r="B2093" s="8"/>
      <c r="C2093" s="8"/>
      <c r="D2093" s="151"/>
      <c r="E2093" s="151"/>
      <c r="F2093" s="24"/>
      <c r="G2093" s="30"/>
      <c r="H2093" s="81"/>
      <c r="I2093" s="30"/>
      <c r="J2093" s="16"/>
      <c r="K2093" s="9"/>
      <c r="L2093" s="9"/>
      <c r="M2093" s="152"/>
      <c r="N2093" s="153"/>
      <c r="O2093" s="152"/>
      <c r="P2093" s="154"/>
      <c r="Q2093" s="152"/>
      <c r="R2093" s="9"/>
      <c r="Z2093" s="21"/>
      <c r="AA2093" s="162">
        <f>+$AD$5-Tabla2[[#This Row],[FECHA DE FACTURACIÓN]]</f>
        <v>45443</v>
      </c>
      <c r="AB2093" s="163" t="str">
        <f>+IF(Tabla2[[#This Row],[dias de credito]]&gt;=Tabla2[[#This Row],[PLAZO Días]],"venc", "No venc")</f>
        <v>venc</v>
      </c>
      <c r="AC2093" s="163" t="str">
        <f>+IF(Tabla2[[#This Row],[FECHA DE PAGO]]&gt;0,"pagada","por pagar")</f>
        <v>por pagar</v>
      </c>
      <c r="AD2093" s="164" t="str">
        <f>+IF(AND(Tabla2[[#This Row],[venc]]="venc",Tabla2[[#This Row],[estado pago]]="por pagar"),"vencida","no")</f>
        <v>vencida</v>
      </c>
    </row>
    <row r="2094" spans="1:30" ht="19.5" hidden="1" customHeight="1" x14ac:dyDescent="0.25">
      <c r="A2094" s="8"/>
      <c r="B2094" s="8"/>
      <c r="C2094" s="8"/>
      <c r="D2094" s="151"/>
      <c r="E2094" s="151"/>
      <c r="F2094" s="24"/>
      <c r="G2094" s="30"/>
      <c r="H2094" s="81"/>
      <c r="I2094" s="30"/>
      <c r="J2094" s="16"/>
      <c r="K2094" s="9"/>
      <c r="L2094" s="9"/>
      <c r="M2094" s="152"/>
      <c r="N2094" s="153"/>
      <c r="O2094" s="152"/>
      <c r="P2094" s="154"/>
      <c r="Q2094" s="152"/>
      <c r="R2094" s="9"/>
      <c r="Z2094" s="21"/>
      <c r="AA2094" s="162">
        <f>+$AD$5-Tabla2[[#This Row],[FECHA DE FACTURACIÓN]]</f>
        <v>45443</v>
      </c>
      <c r="AB2094" s="163" t="str">
        <f>+IF(Tabla2[[#This Row],[dias de credito]]&gt;=Tabla2[[#This Row],[PLAZO Días]],"venc", "No venc")</f>
        <v>venc</v>
      </c>
      <c r="AC2094" s="163" t="str">
        <f>+IF(Tabla2[[#This Row],[FECHA DE PAGO]]&gt;0,"pagada","por pagar")</f>
        <v>por pagar</v>
      </c>
      <c r="AD2094" s="164" t="str">
        <f>+IF(AND(Tabla2[[#This Row],[venc]]="venc",Tabla2[[#This Row],[estado pago]]="por pagar"),"vencida","no")</f>
        <v>vencida</v>
      </c>
    </row>
    <row r="2095" spans="1:30" ht="19.5" hidden="1" customHeight="1" x14ac:dyDescent="0.25">
      <c r="A2095" s="8"/>
      <c r="B2095" s="8"/>
      <c r="C2095" s="8"/>
      <c r="D2095" s="151"/>
      <c r="E2095" s="151"/>
      <c r="F2095" s="24"/>
      <c r="G2095" s="30"/>
      <c r="H2095" s="81"/>
      <c r="I2095" s="30"/>
      <c r="J2095" s="16"/>
      <c r="K2095" s="9"/>
      <c r="L2095" s="9"/>
      <c r="M2095" s="152"/>
      <c r="N2095" s="153"/>
      <c r="O2095" s="152"/>
      <c r="P2095" s="154"/>
      <c r="Q2095" s="152"/>
      <c r="R2095" s="9"/>
      <c r="Z2095" s="21"/>
      <c r="AA2095" s="162">
        <f>+$AD$5-Tabla2[[#This Row],[FECHA DE FACTURACIÓN]]</f>
        <v>45443</v>
      </c>
      <c r="AB2095" s="163" t="str">
        <f>+IF(Tabla2[[#This Row],[dias de credito]]&gt;=Tabla2[[#This Row],[PLAZO Días]],"venc", "No venc")</f>
        <v>venc</v>
      </c>
      <c r="AC2095" s="163" t="str">
        <f>+IF(Tabla2[[#This Row],[FECHA DE PAGO]]&gt;0,"pagada","por pagar")</f>
        <v>por pagar</v>
      </c>
      <c r="AD2095" s="164" t="str">
        <f>+IF(AND(Tabla2[[#This Row],[venc]]="venc",Tabla2[[#This Row],[estado pago]]="por pagar"),"vencida","no")</f>
        <v>vencida</v>
      </c>
    </row>
    <row r="2096" spans="1:30" ht="19.5" hidden="1" customHeight="1" x14ac:dyDescent="0.25">
      <c r="A2096" s="8"/>
      <c r="B2096" s="8"/>
      <c r="C2096" s="8"/>
      <c r="D2096" s="151"/>
      <c r="E2096" s="151"/>
      <c r="F2096" s="24"/>
      <c r="G2096" s="30"/>
      <c r="H2096" s="81"/>
      <c r="I2096" s="30"/>
      <c r="J2096" s="16"/>
      <c r="K2096" s="9"/>
      <c r="L2096" s="9"/>
      <c r="M2096" s="152"/>
      <c r="N2096" s="153"/>
      <c r="O2096" s="152"/>
      <c r="P2096" s="154"/>
      <c r="Q2096" s="152"/>
      <c r="R2096" s="9"/>
      <c r="Z2096" s="21"/>
      <c r="AA2096" s="162">
        <f>+$AD$5-Tabla2[[#This Row],[FECHA DE FACTURACIÓN]]</f>
        <v>45443</v>
      </c>
      <c r="AB2096" s="163" t="str">
        <f>+IF(Tabla2[[#This Row],[dias de credito]]&gt;=Tabla2[[#This Row],[PLAZO Días]],"venc", "No venc")</f>
        <v>venc</v>
      </c>
      <c r="AC2096" s="163" t="str">
        <f>+IF(Tabla2[[#This Row],[FECHA DE PAGO]]&gt;0,"pagada","por pagar")</f>
        <v>por pagar</v>
      </c>
      <c r="AD2096" s="164" t="str">
        <f>+IF(AND(Tabla2[[#This Row],[venc]]="venc",Tabla2[[#This Row],[estado pago]]="por pagar"),"vencida","no")</f>
        <v>vencida</v>
      </c>
    </row>
    <row r="2097" spans="1:30" ht="19.5" hidden="1" customHeight="1" x14ac:dyDescent="0.25">
      <c r="A2097" s="8"/>
      <c r="B2097" s="8"/>
      <c r="C2097" s="8"/>
      <c r="D2097" s="151"/>
      <c r="E2097" s="151"/>
      <c r="F2097" s="24"/>
      <c r="G2097" s="30"/>
      <c r="H2097" s="81"/>
      <c r="I2097" s="30"/>
      <c r="J2097" s="16"/>
      <c r="K2097" s="9"/>
      <c r="L2097" s="9"/>
      <c r="M2097" s="152"/>
      <c r="N2097" s="153"/>
      <c r="O2097" s="152"/>
      <c r="P2097" s="154"/>
      <c r="Q2097" s="152"/>
      <c r="R2097" s="9"/>
      <c r="Z2097" s="21"/>
      <c r="AA2097" s="162">
        <f>+$AD$5-Tabla2[[#This Row],[FECHA DE FACTURACIÓN]]</f>
        <v>45443</v>
      </c>
      <c r="AB2097" s="163" t="str">
        <f>+IF(Tabla2[[#This Row],[dias de credito]]&gt;=Tabla2[[#This Row],[PLAZO Días]],"venc", "No venc")</f>
        <v>venc</v>
      </c>
      <c r="AC2097" s="163" t="str">
        <f>+IF(Tabla2[[#This Row],[FECHA DE PAGO]]&gt;0,"pagada","por pagar")</f>
        <v>por pagar</v>
      </c>
      <c r="AD2097" s="164" t="str">
        <f>+IF(AND(Tabla2[[#This Row],[venc]]="venc",Tabla2[[#This Row],[estado pago]]="por pagar"),"vencida","no")</f>
        <v>vencida</v>
      </c>
    </row>
    <row r="2098" spans="1:30" ht="19.5" hidden="1" customHeight="1" x14ac:dyDescent="0.25">
      <c r="A2098" s="8"/>
      <c r="B2098" s="8"/>
      <c r="C2098" s="8"/>
      <c r="D2098" s="151"/>
      <c r="E2098" s="151"/>
      <c r="F2098" s="24"/>
      <c r="G2098" s="30"/>
      <c r="H2098" s="81"/>
      <c r="I2098" s="30"/>
      <c r="J2098" s="16"/>
      <c r="K2098" s="9"/>
      <c r="L2098" s="9"/>
      <c r="M2098" s="152"/>
      <c r="N2098" s="153"/>
      <c r="O2098" s="152"/>
      <c r="P2098" s="154"/>
      <c r="Q2098" s="152"/>
      <c r="R2098" s="9"/>
      <c r="Z2098" s="21"/>
      <c r="AA2098" s="162">
        <f>+$AD$5-Tabla2[[#This Row],[FECHA DE FACTURACIÓN]]</f>
        <v>45443</v>
      </c>
      <c r="AB2098" s="163" t="str">
        <f>+IF(Tabla2[[#This Row],[dias de credito]]&gt;=Tabla2[[#This Row],[PLAZO Días]],"venc", "No venc")</f>
        <v>venc</v>
      </c>
      <c r="AC2098" s="163" t="str">
        <f>+IF(Tabla2[[#This Row],[FECHA DE PAGO]]&gt;0,"pagada","por pagar")</f>
        <v>por pagar</v>
      </c>
      <c r="AD2098" s="164" t="str">
        <f>+IF(AND(Tabla2[[#This Row],[venc]]="venc",Tabla2[[#This Row],[estado pago]]="por pagar"),"vencida","no")</f>
        <v>vencida</v>
      </c>
    </row>
    <row r="2099" spans="1:30" ht="19.5" hidden="1" customHeight="1" x14ac:dyDescent="0.25">
      <c r="A2099" s="8"/>
      <c r="B2099" s="8"/>
      <c r="C2099" s="8"/>
      <c r="D2099" s="151"/>
      <c r="E2099" s="151"/>
      <c r="F2099" s="24"/>
      <c r="G2099" s="30"/>
      <c r="H2099" s="81"/>
      <c r="I2099" s="30"/>
      <c r="J2099" s="16"/>
      <c r="K2099" s="9"/>
      <c r="L2099" s="9"/>
      <c r="M2099" s="152"/>
      <c r="N2099" s="153"/>
      <c r="O2099" s="152"/>
      <c r="P2099" s="154"/>
      <c r="Q2099" s="152"/>
      <c r="R2099" s="9"/>
      <c r="Z2099" s="21"/>
      <c r="AA2099" s="162">
        <f>+$AD$5-Tabla2[[#This Row],[FECHA DE FACTURACIÓN]]</f>
        <v>45443</v>
      </c>
      <c r="AB2099" s="163" t="str">
        <f>+IF(Tabla2[[#This Row],[dias de credito]]&gt;=Tabla2[[#This Row],[PLAZO Días]],"venc", "No venc")</f>
        <v>venc</v>
      </c>
      <c r="AC2099" s="163" t="str">
        <f>+IF(Tabla2[[#This Row],[FECHA DE PAGO]]&gt;0,"pagada","por pagar")</f>
        <v>por pagar</v>
      </c>
      <c r="AD2099" s="164" t="str">
        <f>+IF(AND(Tabla2[[#This Row],[venc]]="venc",Tabla2[[#This Row],[estado pago]]="por pagar"),"vencida","no")</f>
        <v>vencida</v>
      </c>
    </row>
    <row r="2100" spans="1:30" ht="19.5" hidden="1" customHeight="1" x14ac:dyDescent="0.25">
      <c r="A2100" s="8"/>
      <c r="B2100" s="8"/>
      <c r="C2100" s="8"/>
      <c r="D2100" s="151"/>
      <c r="E2100" s="151"/>
      <c r="F2100" s="24"/>
      <c r="G2100" s="30"/>
      <c r="H2100" s="81"/>
      <c r="I2100" s="30"/>
      <c r="J2100" s="16"/>
      <c r="K2100" s="9"/>
      <c r="L2100" s="9"/>
      <c r="M2100" s="152"/>
      <c r="N2100" s="153"/>
      <c r="O2100" s="152"/>
      <c r="P2100" s="154"/>
      <c r="Q2100" s="152"/>
      <c r="R2100" s="9"/>
      <c r="Z2100" s="21"/>
      <c r="AA2100" s="162">
        <f>+$AD$5-Tabla2[[#This Row],[FECHA DE FACTURACIÓN]]</f>
        <v>45443</v>
      </c>
      <c r="AB2100" s="163" t="str">
        <f>+IF(Tabla2[[#This Row],[dias de credito]]&gt;=Tabla2[[#This Row],[PLAZO Días]],"venc", "No venc")</f>
        <v>venc</v>
      </c>
      <c r="AC2100" s="163" t="str">
        <f>+IF(Tabla2[[#This Row],[FECHA DE PAGO]]&gt;0,"pagada","por pagar")</f>
        <v>por pagar</v>
      </c>
      <c r="AD2100" s="164" t="str">
        <f>+IF(AND(Tabla2[[#This Row],[venc]]="venc",Tabla2[[#This Row],[estado pago]]="por pagar"),"vencida","no")</f>
        <v>vencida</v>
      </c>
    </row>
    <row r="2101" spans="1:30" ht="19.5" hidden="1" customHeight="1" x14ac:dyDescent="0.25">
      <c r="A2101" s="8"/>
      <c r="B2101" s="8"/>
      <c r="C2101" s="8"/>
      <c r="D2101" s="151"/>
      <c r="E2101" s="151"/>
      <c r="F2101" s="24"/>
      <c r="G2101" s="30"/>
      <c r="H2101" s="81"/>
      <c r="I2101" s="30"/>
      <c r="J2101" s="16"/>
      <c r="K2101" s="9"/>
      <c r="L2101" s="9"/>
      <c r="M2101" s="152"/>
      <c r="N2101" s="153"/>
      <c r="O2101" s="152"/>
      <c r="P2101" s="154"/>
      <c r="Q2101" s="152"/>
      <c r="R2101" s="9"/>
      <c r="Z2101" s="21"/>
      <c r="AA2101" s="162">
        <f>+$AD$5-Tabla2[[#This Row],[FECHA DE FACTURACIÓN]]</f>
        <v>45443</v>
      </c>
      <c r="AB2101" s="163" t="str">
        <f>+IF(Tabla2[[#This Row],[dias de credito]]&gt;=Tabla2[[#This Row],[PLAZO Días]],"venc", "No venc")</f>
        <v>venc</v>
      </c>
      <c r="AC2101" s="163" t="str">
        <f>+IF(Tabla2[[#This Row],[FECHA DE PAGO]]&gt;0,"pagada","por pagar")</f>
        <v>por pagar</v>
      </c>
      <c r="AD2101" s="164" t="str">
        <f>+IF(AND(Tabla2[[#This Row],[venc]]="venc",Tabla2[[#This Row],[estado pago]]="por pagar"),"vencida","no")</f>
        <v>vencida</v>
      </c>
    </row>
    <row r="2102" spans="1:30" ht="19.5" hidden="1" customHeight="1" x14ac:dyDescent="0.25">
      <c r="A2102" s="8"/>
      <c r="B2102" s="8"/>
      <c r="C2102" s="8"/>
      <c r="D2102" s="151"/>
      <c r="E2102" s="151"/>
      <c r="F2102" s="24"/>
      <c r="G2102" s="30"/>
      <c r="H2102" s="81"/>
      <c r="I2102" s="30"/>
      <c r="J2102" s="16"/>
      <c r="K2102" s="9"/>
      <c r="L2102" s="9"/>
      <c r="M2102" s="152"/>
      <c r="N2102" s="153"/>
      <c r="O2102" s="152"/>
      <c r="P2102" s="154"/>
      <c r="Q2102" s="152"/>
      <c r="R2102" s="9"/>
      <c r="Z2102" s="21"/>
      <c r="AA2102" s="162">
        <f>+$AD$5-Tabla2[[#This Row],[FECHA DE FACTURACIÓN]]</f>
        <v>45443</v>
      </c>
      <c r="AB2102" s="163" t="str">
        <f>+IF(Tabla2[[#This Row],[dias de credito]]&gt;=Tabla2[[#This Row],[PLAZO Días]],"venc", "No venc")</f>
        <v>venc</v>
      </c>
      <c r="AC2102" s="163" t="str">
        <f>+IF(Tabla2[[#This Row],[FECHA DE PAGO]]&gt;0,"pagada","por pagar")</f>
        <v>por pagar</v>
      </c>
      <c r="AD2102" s="164" t="str">
        <f>+IF(AND(Tabla2[[#This Row],[venc]]="venc",Tabla2[[#This Row],[estado pago]]="por pagar"),"vencida","no")</f>
        <v>vencida</v>
      </c>
    </row>
    <row r="2103" spans="1:30" ht="19.5" hidden="1" customHeight="1" x14ac:dyDescent="0.25">
      <c r="A2103" s="8"/>
      <c r="B2103" s="8"/>
      <c r="C2103" s="8"/>
      <c r="D2103" s="151"/>
      <c r="E2103" s="151"/>
      <c r="F2103" s="24"/>
      <c r="G2103" s="30"/>
      <c r="H2103" s="81"/>
      <c r="I2103" s="30"/>
      <c r="J2103" s="16"/>
      <c r="K2103" s="9"/>
      <c r="L2103" s="9"/>
      <c r="M2103" s="152"/>
      <c r="N2103" s="153"/>
      <c r="O2103" s="152"/>
      <c r="P2103" s="154"/>
      <c r="Q2103" s="152"/>
      <c r="R2103" s="9"/>
      <c r="Z2103" s="21"/>
      <c r="AA2103" s="162">
        <f>+$AD$5-Tabla2[[#This Row],[FECHA DE FACTURACIÓN]]</f>
        <v>45443</v>
      </c>
      <c r="AB2103" s="163" t="str">
        <f>+IF(Tabla2[[#This Row],[dias de credito]]&gt;=Tabla2[[#This Row],[PLAZO Días]],"venc", "No venc")</f>
        <v>venc</v>
      </c>
      <c r="AC2103" s="163" t="str">
        <f>+IF(Tabla2[[#This Row],[FECHA DE PAGO]]&gt;0,"pagada","por pagar")</f>
        <v>por pagar</v>
      </c>
      <c r="AD2103" s="164" t="str">
        <f>+IF(AND(Tabla2[[#This Row],[venc]]="venc",Tabla2[[#This Row],[estado pago]]="por pagar"),"vencida","no")</f>
        <v>vencida</v>
      </c>
    </row>
    <row r="2104" spans="1:30" ht="19.5" hidden="1" customHeight="1" x14ac:dyDescent="0.25">
      <c r="A2104" s="8"/>
      <c r="B2104" s="8"/>
      <c r="C2104" s="8"/>
      <c r="D2104" s="151"/>
      <c r="E2104" s="151"/>
      <c r="F2104" s="24"/>
      <c r="G2104" s="30"/>
      <c r="H2104" s="81"/>
      <c r="I2104" s="30"/>
      <c r="J2104" s="16"/>
      <c r="K2104" s="9"/>
      <c r="L2104" s="9"/>
      <c r="M2104" s="152"/>
      <c r="N2104" s="153"/>
      <c r="O2104" s="152"/>
      <c r="P2104" s="154"/>
      <c r="Q2104" s="152"/>
      <c r="R2104" s="9"/>
      <c r="Z2104" s="21"/>
      <c r="AA2104" s="162">
        <f>+$AD$5-Tabla2[[#This Row],[FECHA DE FACTURACIÓN]]</f>
        <v>45443</v>
      </c>
      <c r="AB2104" s="163" t="str">
        <f>+IF(Tabla2[[#This Row],[dias de credito]]&gt;=Tabla2[[#This Row],[PLAZO Días]],"venc", "No venc")</f>
        <v>venc</v>
      </c>
      <c r="AC2104" s="163" t="str">
        <f>+IF(Tabla2[[#This Row],[FECHA DE PAGO]]&gt;0,"pagada","por pagar")</f>
        <v>por pagar</v>
      </c>
      <c r="AD2104" s="164" t="str">
        <f>+IF(AND(Tabla2[[#This Row],[venc]]="venc",Tabla2[[#This Row],[estado pago]]="por pagar"),"vencida","no")</f>
        <v>vencida</v>
      </c>
    </row>
    <row r="2105" spans="1:30" ht="19.5" hidden="1" customHeight="1" x14ac:dyDescent="0.25">
      <c r="A2105" s="8"/>
      <c r="B2105" s="8"/>
      <c r="C2105" s="8"/>
      <c r="D2105" s="151"/>
      <c r="E2105" s="151"/>
      <c r="F2105" s="24"/>
      <c r="G2105" s="30"/>
      <c r="H2105" s="81"/>
      <c r="I2105" s="30"/>
      <c r="J2105" s="16"/>
      <c r="K2105" s="9"/>
      <c r="L2105" s="9"/>
      <c r="M2105" s="152"/>
      <c r="N2105" s="153"/>
      <c r="O2105" s="152"/>
      <c r="P2105" s="154"/>
      <c r="Q2105" s="152"/>
      <c r="R2105" s="9"/>
      <c r="Z2105" s="21"/>
      <c r="AA2105" s="162">
        <f>+$AD$5-Tabla2[[#This Row],[FECHA DE FACTURACIÓN]]</f>
        <v>45443</v>
      </c>
      <c r="AB2105" s="163" t="str">
        <f>+IF(Tabla2[[#This Row],[dias de credito]]&gt;=Tabla2[[#This Row],[PLAZO Días]],"venc", "No venc")</f>
        <v>venc</v>
      </c>
      <c r="AC2105" s="163" t="str">
        <f>+IF(Tabla2[[#This Row],[FECHA DE PAGO]]&gt;0,"pagada","por pagar")</f>
        <v>por pagar</v>
      </c>
      <c r="AD2105" s="164" t="str">
        <f>+IF(AND(Tabla2[[#This Row],[venc]]="venc",Tabla2[[#This Row],[estado pago]]="por pagar"),"vencida","no")</f>
        <v>vencida</v>
      </c>
    </row>
    <row r="2106" spans="1:30" ht="19.5" hidden="1" customHeight="1" x14ac:dyDescent="0.25">
      <c r="A2106" s="8"/>
      <c r="B2106" s="8"/>
      <c r="C2106" s="8"/>
      <c r="D2106" s="151"/>
      <c r="E2106" s="151"/>
      <c r="F2106" s="24"/>
      <c r="G2106" s="30"/>
      <c r="H2106" s="81"/>
      <c r="I2106" s="30"/>
      <c r="J2106" s="16"/>
      <c r="K2106" s="9"/>
      <c r="L2106" s="9"/>
      <c r="M2106" s="152"/>
      <c r="N2106" s="153"/>
      <c r="O2106" s="152"/>
      <c r="P2106" s="154"/>
      <c r="Q2106" s="152"/>
      <c r="R2106" s="9"/>
      <c r="Z2106" s="21"/>
      <c r="AA2106" s="162">
        <f>+$AD$5-Tabla2[[#This Row],[FECHA DE FACTURACIÓN]]</f>
        <v>45443</v>
      </c>
      <c r="AB2106" s="163" t="str">
        <f>+IF(Tabla2[[#This Row],[dias de credito]]&gt;=Tabla2[[#This Row],[PLAZO Días]],"venc", "No venc")</f>
        <v>venc</v>
      </c>
      <c r="AC2106" s="163" t="str">
        <f>+IF(Tabla2[[#This Row],[FECHA DE PAGO]]&gt;0,"pagada","por pagar")</f>
        <v>por pagar</v>
      </c>
      <c r="AD2106" s="164" t="str">
        <f>+IF(AND(Tabla2[[#This Row],[venc]]="venc",Tabla2[[#This Row],[estado pago]]="por pagar"),"vencida","no")</f>
        <v>vencida</v>
      </c>
    </row>
    <row r="2107" spans="1:30" ht="19.5" hidden="1" customHeight="1" x14ac:dyDescent="0.25">
      <c r="A2107" s="8"/>
      <c r="B2107" s="8"/>
      <c r="C2107" s="8"/>
      <c r="D2107" s="151"/>
      <c r="E2107" s="151"/>
      <c r="F2107" s="24"/>
      <c r="G2107" s="30"/>
      <c r="H2107" s="81"/>
      <c r="I2107" s="30"/>
      <c r="J2107" s="16"/>
      <c r="K2107" s="9"/>
      <c r="L2107" s="9"/>
      <c r="M2107" s="152"/>
      <c r="N2107" s="153"/>
      <c r="O2107" s="152"/>
      <c r="P2107" s="154"/>
      <c r="Q2107" s="152"/>
      <c r="R2107" s="9"/>
      <c r="Z2107" s="21"/>
      <c r="AA2107" s="162">
        <f>+$AD$5-Tabla2[[#This Row],[FECHA DE FACTURACIÓN]]</f>
        <v>45443</v>
      </c>
      <c r="AB2107" s="163" t="str">
        <f>+IF(Tabla2[[#This Row],[dias de credito]]&gt;=Tabla2[[#This Row],[PLAZO Días]],"venc", "No venc")</f>
        <v>venc</v>
      </c>
      <c r="AC2107" s="163" t="str">
        <f>+IF(Tabla2[[#This Row],[FECHA DE PAGO]]&gt;0,"pagada","por pagar")</f>
        <v>por pagar</v>
      </c>
      <c r="AD2107" s="164" t="str">
        <f>+IF(AND(Tabla2[[#This Row],[venc]]="venc",Tabla2[[#This Row],[estado pago]]="por pagar"),"vencida","no")</f>
        <v>vencida</v>
      </c>
    </row>
    <row r="2108" spans="1:30" ht="19.5" hidden="1" customHeight="1" x14ac:dyDescent="0.25">
      <c r="A2108" s="8"/>
      <c r="B2108" s="8"/>
      <c r="C2108" s="8"/>
      <c r="D2108" s="151"/>
      <c r="E2108" s="151"/>
      <c r="F2108" s="24"/>
      <c r="G2108" s="30"/>
      <c r="H2108" s="81"/>
      <c r="I2108" s="30"/>
      <c r="J2108" s="16"/>
      <c r="K2108" s="9"/>
      <c r="L2108" s="9"/>
      <c r="M2108" s="152"/>
      <c r="N2108" s="153"/>
      <c r="O2108" s="152"/>
      <c r="P2108" s="154"/>
      <c r="Q2108" s="152"/>
      <c r="R2108" s="9"/>
      <c r="Z2108" s="21"/>
      <c r="AA2108" s="162">
        <f>+$AD$5-Tabla2[[#This Row],[FECHA DE FACTURACIÓN]]</f>
        <v>45443</v>
      </c>
      <c r="AB2108" s="163" t="str">
        <f>+IF(Tabla2[[#This Row],[dias de credito]]&gt;=Tabla2[[#This Row],[PLAZO Días]],"venc", "No venc")</f>
        <v>venc</v>
      </c>
      <c r="AC2108" s="163" t="str">
        <f>+IF(Tabla2[[#This Row],[FECHA DE PAGO]]&gt;0,"pagada","por pagar")</f>
        <v>por pagar</v>
      </c>
      <c r="AD2108" s="164" t="str">
        <f>+IF(AND(Tabla2[[#This Row],[venc]]="venc",Tabla2[[#This Row],[estado pago]]="por pagar"),"vencida","no")</f>
        <v>vencida</v>
      </c>
    </row>
    <row r="2109" spans="1:30" ht="19.5" hidden="1" customHeight="1" x14ac:dyDescent="0.25">
      <c r="A2109" s="8"/>
      <c r="B2109" s="8"/>
      <c r="C2109" s="8"/>
      <c r="D2109" s="151"/>
      <c r="E2109" s="151"/>
      <c r="F2109" s="24"/>
      <c r="G2109" s="30"/>
      <c r="H2109" s="81"/>
      <c r="I2109" s="30"/>
      <c r="J2109" s="16"/>
      <c r="K2109" s="9"/>
      <c r="L2109" s="9"/>
      <c r="M2109" s="152"/>
      <c r="N2109" s="153"/>
      <c r="O2109" s="152"/>
      <c r="P2109" s="154"/>
      <c r="Q2109" s="152"/>
      <c r="R2109" s="9"/>
      <c r="Z2109" s="21"/>
      <c r="AA2109" s="162">
        <f>+$AD$5-Tabla2[[#This Row],[FECHA DE FACTURACIÓN]]</f>
        <v>45443</v>
      </c>
      <c r="AB2109" s="163" t="str">
        <f>+IF(Tabla2[[#This Row],[dias de credito]]&gt;=Tabla2[[#This Row],[PLAZO Días]],"venc", "No venc")</f>
        <v>venc</v>
      </c>
      <c r="AC2109" s="163" t="str">
        <f>+IF(Tabla2[[#This Row],[FECHA DE PAGO]]&gt;0,"pagada","por pagar")</f>
        <v>por pagar</v>
      </c>
      <c r="AD2109" s="164" t="str">
        <f>+IF(AND(Tabla2[[#This Row],[venc]]="venc",Tabla2[[#This Row],[estado pago]]="por pagar"),"vencida","no")</f>
        <v>vencida</v>
      </c>
    </row>
    <row r="2110" spans="1:30" ht="19.5" hidden="1" customHeight="1" x14ac:dyDescent="0.25">
      <c r="A2110" s="8"/>
      <c r="B2110" s="8"/>
      <c r="C2110" s="8"/>
      <c r="D2110" s="151"/>
      <c r="E2110" s="151"/>
      <c r="F2110" s="24"/>
      <c r="G2110" s="30"/>
      <c r="H2110" s="81"/>
      <c r="I2110" s="30"/>
      <c r="J2110" s="16"/>
      <c r="K2110" s="9"/>
      <c r="L2110" s="9"/>
      <c r="M2110" s="152"/>
      <c r="N2110" s="153"/>
      <c r="O2110" s="152"/>
      <c r="P2110" s="154"/>
      <c r="Q2110" s="152"/>
      <c r="R2110" s="9"/>
      <c r="Z2110" s="21"/>
      <c r="AA2110" s="162">
        <f>+$AD$5-Tabla2[[#This Row],[FECHA DE FACTURACIÓN]]</f>
        <v>45443</v>
      </c>
      <c r="AB2110" s="163" t="str">
        <f>+IF(Tabla2[[#This Row],[dias de credito]]&gt;=Tabla2[[#This Row],[PLAZO Días]],"venc", "No venc")</f>
        <v>venc</v>
      </c>
      <c r="AC2110" s="163" t="str">
        <f>+IF(Tabla2[[#This Row],[FECHA DE PAGO]]&gt;0,"pagada","por pagar")</f>
        <v>por pagar</v>
      </c>
      <c r="AD2110" s="164" t="str">
        <f>+IF(AND(Tabla2[[#This Row],[venc]]="venc",Tabla2[[#This Row],[estado pago]]="por pagar"),"vencida","no")</f>
        <v>vencida</v>
      </c>
    </row>
    <row r="2111" spans="1:30" ht="19.5" hidden="1" customHeight="1" x14ac:dyDescent="0.25">
      <c r="A2111" s="8"/>
      <c r="B2111" s="8"/>
      <c r="C2111" s="8"/>
      <c r="D2111" s="151"/>
      <c r="E2111" s="151"/>
      <c r="F2111" s="24"/>
      <c r="G2111" s="30"/>
      <c r="H2111" s="81"/>
      <c r="I2111" s="30"/>
      <c r="J2111" s="16"/>
      <c r="K2111" s="9"/>
      <c r="L2111" s="9"/>
      <c r="M2111" s="152"/>
      <c r="N2111" s="153"/>
      <c r="O2111" s="152"/>
      <c r="P2111" s="154"/>
      <c r="Q2111" s="152"/>
      <c r="R2111" s="9"/>
      <c r="Z2111" s="21"/>
      <c r="AA2111" s="162">
        <f>+$AD$5-Tabla2[[#This Row],[FECHA DE FACTURACIÓN]]</f>
        <v>45443</v>
      </c>
      <c r="AB2111" s="163" t="str">
        <f>+IF(Tabla2[[#This Row],[dias de credito]]&gt;=Tabla2[[#This Row],[PLAZO Días]],"venc", "No venc")</f>
        <v>venc</v>
      </c>
      <c r="AC2111" s="163" t="str">
        <f>+IF(Tabla2[[#This Row],[FECHA DE PAGO]]&gt;0,"pagada","por pagar")</f>
        <v>por pagar</v>
      </c>
      <c r="AD2111" s="164" t="str">
        <f>+IF(AND(Tabla2[[#This Row],[venc]]="venc",Tabla2[[#This Row],[estado pago]]="por pagar"),"vencida","no")</f>
        <v>vencida</v>
      </c>
    </row>
    <row r="2112" spans="1:30" ht="19.5" hidden="1" customHeight="1" x14ac:dyDescent="0.25">
      <c r="A2112" s="8"/>
      <c r="B2112" s="8"/>
      <c r="C2112" s="8"/>
      <c r="D2112" s="151"/>
      <c r="E2112" s="151"/>
      <c r="F2112" s="24"/>
      <c r="G2112" s="30"/>
      <c r="H2112" s="81"/>
      <c r="I2112" s="30"/>
      <c r="J2112" s="16"/>
      <c r="K2112" s="9"/>
      <c r="L2112" s="9"/>
      <c r="M2112" s="152"/>
      <c r="N2112" s="153"/>
      <c r="O2112" s="152"/>
      <c r="P2112" s="154"/>
      <c r="Q2112" s="152"/>
      <c r="R2112" s="9"/>
      <c r="Z2112" s="21"/>
      <c r="AA2112" s="162">
        <f>+$AD$5-Tabla2[[#This Row],[FECHA DE FACTURACIÓN]]</f>
        <v>45443</v>
      </c>
      <c r="AB2112" s="163" t="str">
        <f>+IF(Tabla2[[#This Row],[dias de credito]]&gt;=Tabla2[[#This Row],[PLAZO Días]],"venc", "No venc")</f>
        <v>venc</v>
      </c>
      <c r="AC2112" s="163" t="str">
        <f>+IF(Tabla2[[#This Row],[FECHA DE PAGO]]&gt;0,"pagada","por pagar")</f>
        <v>por pagar</v>
      </c>
      <c r="AD2112" s="164" t="str">
        <f>+IF(AND(Tabla2[[#This Row],[venc]]="venc",Tabla2[[#This Row],[estado pago]]="por pagar"),"vencida","no")</f>
        <v>vencida</v>
      </c>
    </row>
    <row r="2113" spans="1:30" ht="19.5" hidden="1" customHeight="1" x14ac:dyDescent="0.25">
      <c r="A2113" s="8"/>
      <c r="B2113" s="8"/>
      <c r="C2113" s="8"/>
      <c r="D2113" s="151"/>
      <c r="E2113" s="151"/>
      <c r="F2113" s="24"/>
      <c r="G2113" s="30"/>
      <c r="H2113" s="81"/>
      <c r="I2113" s="30"/>
      <c r="J2113" s="16"/>
      <c r="K2113" s="9"/>
      <c r="L2113" s="9"/>
      <c r="M2113" s="152"/>
      <c r="N2113" s="153"/>
      <c r="O2113" s="152"/>
      <c r="P2113" s="154"/>
      <c r="Q2113" s="152"/>
      <c r="R2113" s="9"/>
      <c r="Z2113" s="21"/>
      <c r="AA2113" s="162">
        <f>+$AD$5-Tabla2[[#This Row],[FECHA DE FACTURACIÓN]]</f>
        <v>45443</v>
      </c>
      <c r="AB2113" s="163" t="str">
        <f>+IF(Tabla2[[#This Row],[dias de credito]]&gt;=Tabla2[[#This Row],[PLAZO Días]],"venc", "No venc")</f>
        <v>venc</v>
      </c>
      <c r="AC2113" s="163" t="str">
        <f>+IF(Tabla2[[#This Row],[FECHA DE PAGO]]&gt;0,"pagada","por pagar")</f>
        <v>por pagar</v>
      </c>
      <c r="AD2113" s="164" t="str">
        <f>+IF(AND(Tabla2[[#This Row],[venc]]="venc",Tabla2[[#This Row],[estado pago]]="por pagar"),"vencida","no")</f>
        <v>vencida</v>
      </c>
    </row>
    <row r="2114" spans="1:30" ht="19.5" hidden="1" customHeight="1" x14ac:dyDescent="0.25">
      <c r="A2114" s="8"/>
      <c r="B2114" s="8"/>
      <c r="C2114" s="8"/>
      <c r="D2114" s="151"/>
      <c r="E2114" s="151"/>
      <c r="F2114" s="24"/>
      <c r="G2114" s="30"/>
      <c r="H2114" s="81"/>
      <c r="I2114" s="30"/>
      <c r="J2114" s="16"/>
      <c r="K2114" s="9"/>
      <c r="L2114" s="9"/>
      <c r="M2114" s="152"/>
      <c r="N2114" s="153"/>
      <c r="O2114" s="152"/>
      <c r="P2114" s="154"/>
      <c r="Q2114" s="152"/>
      <c r="R2114" s="9"/>
      <c r="Z2114" s="21"/>
      <c r="AA2114" s="162">
        <f>+$AD$5-Tabla2[[#This Row],[FECHA DE FACTURACIÓN]]</f>
        <v>45443</v>
      </c>
      <c r="AB2114" s="163" t="str">
        <f>+IF(Tabla2[[#This Row],[dias de credito]]&gt;=Tabla2[[#This Row],[PLAZO Días]],"venc", "No venc")</f>
        <v>venc</v>
      </c>
      <c r="AC2114" s="163" t="str">
        <f>+IF(Tabla2[[#This Row],[FECHA DE PAGO]]&gt;0,"pagada","por pagar")</f>
        <v>por pagar</v>
      </c>
      <c r="AD2114" s="164" t="str">
        <f>+IF(AND(Tabla2[[#This Row],[venc]]="venc",Tabla2[[#This Row],[estado pago]]="por pagar"),"vencida","no")</f>
        <v>vencida</v>
      </c>
    </row>
    <row r="2115" spans="1:30" ht="19.5" hidden="1" customHeight="1" x14ac:dyDescent="0.25">
      <c r="A2115" s="8"/>
      <c r="B2115" s="8"/>
      <c r="C2115" s="8"/>
      <c r="D2115" s="151"/>
      <c r="E2115" s="151"/>
      <c r="F2115" s="24"/>
      <c r="G2115" s="30"/>
      <c r="H2115" s="81"/>
      <c r="I2115" s="30"/>
      <c r="J2115" s="16"/>
      <c r="K2115" s="9"/>
      <c r="L2115" s="9"/>
      <c r="M2115" s="152"/>
      <c r="N2115" s="153"/>
      <c r="O2115" s="152"/>
      <c r="P2115" s="154"/>
      <c r="Q2115" s="152"/>
      <c r="R2115" s="9"/>
      <c r="Z2115" s="21"/>
      <c r="AA2115" s="162">
        <f>+$AD$5-Tabla2[[#This Row],[FECHA DE FACTURACIÓN]]</f>
        <v>45443</v>
      </c>
      <c r="AB2115" s="163" t="str">
        <f>+IF(Tabla2[[#This Row],[dias de credito]]&gt;=Tabla2[[#This Row],[PLAZO Días]],"venc", "No venc")</f>
        <v>venc</v>
      </c>
      <c r="AC2115" s="163" t="str">
        <f>+IF(Tabla2[[#This Row],[FECHA DE PAGO]]&gt;0,"pagada","por pagar")</f>
        <v>por pagar</v>
      </c>
      <c r="AD2115" s="164" t="str">
        <f>+IF(AND(Tabla2[[#This Row],[venc]]="venc",Tabla2[[#This Row],[estado pago]]="por pagar"),"vencida","no")</f>
        <v>vencida</v>
      </c>
    </row>
    <row r="2116" spans="1:30" ht="19.5" hidden="1" customHeight="1" x14ac:dyDescent="0.25">
      <c r="A2116" s="8"/>
      <c r="B2116" s="8"/>
      <c r="C2116" s="8"/>
      <c r="D2116" s="151"/>
      <c r="E2116" s="151"/>
      <c r="F2116" s="24"/>
      <c r="G2116" s="30"/>
      <c r="H2116" s="81"/>
      <c r="I2116" s="30"/>
      <c r="J2116" s="16"/>
      <c r="K2116" s="9"/>
      <c r="L2116" s="9"/>
      <c r="M2116" s="152"/>
      <c r="N2116" s="153"/>
      <c r="O2116" s="152"/>
      <c r="P2116" s="154"/>
      <c r="Q2116" s="152"/>
      <c r="R2116" s="9"/>
      <c r="Z2116" s="21"/>
      <c r="AA2116" s="162">
        <f>+$AD$5-Tabla2[[#This Row],[FECHA DE FACTURACIÓN]]</f>
        <v>45443</v>
      </c>
      <c r="AB2116" s="163" t="str">
        <f>+IF(Tabla2[[#This Row],[dias de credito]]&gt;=Tabla2[[#This Row],[PLAZO Días]],"venc", "No venc")</f>
        <v>venc</v>
      </c>
      <c r="AC2116" s="163" t="str">
        <f>+IF(Tabla2[[#This Row],[FECHA DE PAGO]]&gt;0,"pagada","por pagar")</f>
        <v>por pagar</v>
      </c>
      <c r="AD2116" s="164" t="str">
        <f>+IF(AND(Tabla2[[#This Row],[venc]]="venc",Tabla2[[#This Row],[estado pago]]="por pagar"),"vencida","no")</f>
        <v>vencida</v>
      </c>
    </row>
    <row r="2117" spans="1:30" ht="19.5" hidden="1" customHeight="1" x14ac:dyDescent="0.25">
      <c r="A2117" s="8"/>
      <c r="B2117" s="8"/>
      <c r="C2117" s="8"/>
      <c r="D2117" s="151"/>
      <c r="E2117" s="151"/>
      <c r="F2117" s="24"/>
      <c r="G2117" s="30"/>
      <c r="H2117" s="81"/>
      <c r="I2117" s="30"/>
      <c r="J2117" s="16"/>
      <c r="K2117" s="9"/>
      <c r="L2117" s="9"/>
      <c r="M2117" s="152"/>
      <c r="N2117" s="153"/>
      <c r="O2117" s="152"/>
      <c r="P2117" s="154"/>
      <c r="Q2117" s="152"/>
      <c r="R2117" s="9"/>
      <c r="Z2117" s="21"/>
      <c r="AA2117" s="162">
        <f>+$AD$5-Tabla2[[#This Row],[FECHA DE FACTURACIÓN]]</f>
        <v>45443</v>
      </c>
      <c r="AB2117" s="163" t="str">
        <f>+IF(Tabla2[[#This Row],[dias de credito]]&gt;=Tabla2[[#This Row],[PLAZO Días]],"venc", "No venc")</f>
        <v>venc</v>
      </c>
      <c r="AC2117" s="163" t="str">
        <f>+IF(Tabla2[[#This Row],[FECHA DE PAGO]]&gt;0,"pagada","por pagar")</f>
        <v>por pagar</v>
      </c>
      <c r="AD2117" s="164" t="str">
        <f>+IF(AND(Tabla2[[#This Row],[venc]]="venc",Tabla2[[#This Row],[estado pago]]="por pagar"),"vencida","no")</f>
        <v>vencida</v>
      </c>
    </row>
    <row r="2118" spans="1:30" ht="19.5" hidden="1" customHeight="1" x14ac:dyDescent="0.25">
      <c r="A2118" s="8"/>
      <c r="B2118" s="8"/>
      <c r="C2118" s="8"/>
      <c r="D2118" s="151"/>
      <c r="E2118" s="151"/>
      <c r="F2118" s="24"/>
      <c r="G2118" s="30"/>
      <c r="H2118" s="81"/>
      <c r="I2118" s="30"/>
      <c r="J2118" s="16"/>
      <c r="K2118" s="9"/>
      <c r="L2118" s="9"/>
      <c r="M2118" s="152"/>
      <c r="N2118" s="153"/>
      <c r="O2118" s="152"/>
      <c r="P2118" s="154"/>
      <c r="Q2118" s="152"/>
      <c r="R2118" s="9"/>
      <c r="Z2118" s="21"/>
      <c r="AA2118" s="162">
        <f>+$AD$5-Tabla2[[#This Row],[FECHA DE FACTURACIÓN]]</f>
        <v>45443</v>
      </c>
      <c r="AB2118" s="163" t="str">
        <f>+IF(Tabla2[[#This Row],[dias de credito]]&gt;=Tabla2[[#This Row],[PLAZO Días]],"venc", "No venc")</f>
        <v>venc</v>
      </c>
      <c r="AC2118" s="163" t="str">
        <f>+IF(Tabla2[[#This Row],[FECHA DE PAGO]]&gt;0,"pagada","por pagar")</f>
        <v>por pagar</v>
      </c>
      <c r="AD2118" s="164" t="str">
        <f>+IF(AND(Tabla2[[#This Row],[venc]]="venc",Tabla2[[#This Row],[estado pago]]="por pagar"),"vencida","no")</f>
        <v>vencida</v>
      </c>
    </row>
    <row r="2119" spans="1:30" ht="19.5" hidden="1" customHeight="1" x14ac:dyDescent="0.25">
      <c r="A2119" s="8"/>
      <c r="B2119" s="8"/>
      <c r="C2119" s="8"/>
      <c r="D2119" s="151"/>
      <c r="E2119" s="151"/>
      <c r="F2119" s="24"/>
      <c r="G2119" s="30"/>
      <c r="H2119" s="81"/>
      <c r="I2119" s="30"/>
      <c r="J2119" s="16"/>
      <c r="K2119" s="9"/>
      <c r="L2119" s="9"/>
      <c r="M2119" s="152"/>
      <c r="N2119" s="153"/>
      <c r="O2119" s="152"/>
      <c r="P2119" s="154"/>
      <c r="Q2119" s="152"/>
      <c r="R2119" s="9"/>
      <c r="Z2119" s="21"/>
      <c r="AA2119" s="162">
        <f>+$AD$5-Tabla2[[#This Row],[FECHA DE FACTURACIÓN]]</f>
        <v>45443</v>
      </c>
      <c r="AB2119" s="163" t="str">
        <f>+IF(Tabla2[[#This Row],[dias de credito]]&gt;=Tabla2[[#This Row],[PLAZO Días]],"venc", "No venc")</f>
        <v>venc</v>
      </c>
      <c r="AC2119" s="163" t="str">
        <f>+IF(Tabla2[[#This Row],[FECHA DE PAGO]]&gt;0,"pagada","por pagar")</f>
        <v>por pagar</v>
      </c>
      <c r="AD2119" s="164" t="str">
        <f>+IF(AND(Tabla2[[#This Row],[venc]]="venc",Tabla2[[#This Row],[estado pago]]="por pagar"),"vencida","no")</f>
        <v>vencida</v>
      </c>
    </row>
    <row r="2120" spans="1:30" ht="19.5" hidden="1" customHeight="1" x14ac:dyDescent="0.25">
      <c r="A2120" s="8"/>
      <c r="B2120" s="8"/>
      <c r="C2120" s="8"/>
      <c r="D2120" s="151"/>
      <c r="E2120" s="151"/>
      <c r="F2120" s="24"/>
      <c r="G2120" s="30"/>
      <c r="H2120" s="81"/>
      <c r="I2120" s="30"/>
      <c r="J2120" s="16"/>
      <c r="K2120" s="9"/>
      <c r="L2120" s="9"/>
      <c r="M2120" s="152"/>
      <c r="N2120" s="153"/>
      <c r="O2120" s="152"/>
      <c r="P2120" s="154"/>
      <c r="Q2120" s="152"/>
      <c r="R2120" s="9"/>
      <c r="Z2120" s="21"/>
      <c r="AA2120" s="162">
        <f>+$AD$5-Tabla2[[#This Row],[FECHA DE FACTURACIÓN]]</f>
        <v>45443</v>
      </c>
      <c r="AB2120" s="163" t="str">
        <f>+IF(Tabla2[[#This Row],[dias de credito]]&gt;=Tabla2[[#This Row],[PLAZO Días]],"venc", "No venc")</f>
        <v>venc</v>
      </c>
      <c r="AC2120" s="163" t="str">
        <f>+IF(Tabla2[[#This Row],[FECHA DE PAGO]]&gt;0,"pagada","por pagar")</f>
        <v>por pagar</v>
      </c>
      <c r="AD2120" s="164" t="str">
        <f>+IF(AND(Tabla2[[#This Row],[venc]]="venc",Tabla2[[#This Row],[estado pago]]="por pagar"),"vencida","no")</f>
        <v>vencida</v>
      </c>
    </row>
    <row r="2121" spans="1:30" ht="19.5" hidden="1" customHeight="1" x14ac:dyDescent="0.25">
      <c r="A2121" s="8"/>
      <c r="B2121" s="8"/>
      <c r="C2121" s="8"/>
      <c r="D2121" s="151"/>
      <c r="E2121" s="151"/>
      <c r="F2121" s="24"/>
      <c r="G2121" s="30"/>
      <c r="H2121" s="81"/>
      <c r="I2121" s="30"/>
      <c r="J2121" s="16"/>
      <c r="K2121" s="9"/>
      <c r="L2121" s="9"/>
      <c r="M2121" s="152"/>
      <c r="N2121" s="153"/>
      <c r="O2121" s="152"/>
      <c r="P2121" s="154"/>
      <c r="Q2121" s="152"/>
      <c r="R2121" s="9"/>
      <c r="Z2121" s="21"/>
      <c r="AA2121" s="162">
        <f>+$AD$5-Tabla2[[#This Row],[FECHA DE FACTURACIÓN]]</f>
        <v>45443</v>
      </c>
      <c r="AB2121" s="163" t="str">
        <f>+IF(Tabla2[[#This Row],[dias de credito]]&gt;=Tabla2[[#This Row],[PLAZO Días]],"venc", "No venc")</f>
        <v>venc</v>
      </c>
      <c r="AC2121" s="163" t="str">
        <f>+IF(Tabla2[[#This Row],[FECHA DE PAGO]]&gt;0,"pagada","por pagar")</f>
        <v>por pagar</v>
      </c>
      <c r="AD2121" s="164" t="str">
        <f>+IF(AND(Tabla2[[#This Row],[venc]]="venc",Tabla2[[#This Row],[estado pago]]="por pagar"),"vencida","no")</f>
        <v>vencida</v>
      </c>
    </row>
    <row r="2122" spans="1:30" ht="19.5" hidden="1" customHeight="1" x14ac:dyDescent="0.25">
      <c r="A2122" s="8"/>
      <c r="B2122" s="8"/>
      <c r="C2122" s="8"/>
      <c r="D2122" s="151"/>
      <c r="E2122" s="151"/>
      <c r="F2122" s="24"/>
      <c r="G2122" s="30"/>
      <c r="H2122" s="81"/>
      <c r="I2122" s="30"/>
      <c r="J2122" s="16"/>
      <c r="K2122" s="9"/>
      <c r="L2122" s="9"/>
      <c r="M2122" s="152"/>
      <c r="N2122" s="153"/>
      <c r="O2122" s="152"/>
      <c r="P2122" s="154"/>
      <c r="Q2122" s="152"/>
      <c r="R2122" s="9"/>
      <c r="Z2122" s="21"/>
      <c r="AA2122" s="162">
        <f>+$AD$5-Tabla2[[#This Row],[FECHA DE FACTURACIÓN]]</f>
        <v>45443</v>
      </c>
      <c r="AB2122" s="163" t="str">
        <f>+IF(Tabla2[[#This Row],[dias de credito]]&gt;=Tabla2[[#This Row],[PLAZO Días]],"venc", "No venc")</f>
        <v>venc</v>
      </c>
      <c r="AC2122" s="163" t="str">
        <f>+IF(Tabla2[[#This Row],[FECHA DE PAGO]]&gt;0,"pagada","por pagar")</f>
        <v>por pagar</v>
      </c>
      <c r="AD2122" s="164" t="str">
        <f>+IF(AND(Tabla2[[#This Row],[venc]]="venc",Tabla2[[#This Row],[estado pago]]="por pagar"),"vencida","no")</f>
        <v>vencida</v>
      </c>
    </row>
    <row r="2123" spans="1:30" ht="19.5" hidden="1" customHeight="1" x14ac:dyDescent="0.25">
      <c r="A2123" s="8"/>
      <c r="B2123" s="8"/>
      <c r="C2123" s="8"/>
      <c r="D2123" s="151"/>
      <c r="E2123" s="151"/>
      <c r="F2123" s="24"/>
      <c r="G2123" s="30"/>
      <c r="H2123" s="81"/>
      <c r="I2123" s="30"/>
      <c r="J2123" s="16"/>
      <c r="K2123" s="9"/>
      <c r="L2123" s="9"/>
      <c r="M2123" s="152"/>
      <c r="N2123" s="153"/>
      <c r="O2123" s="152"/>
      <c r="P2123" s="154"/>
      <c r="Q2123" s="152"/>
      <c r="R2123" s="9"/>
      <c r="Z2123" s="21"/>
      <c r="AA2123" s="162">
        <f>+$AD$5-Tabla2[[#This Row],[FECHA DE FACTURACIÓN]]</f>
        <v>45443</v>
      </c>
      <c r="AB2123" s="163" t="str">
        <f>+IF(Tabla2[[#This Row],[dias de credito]]&gt;=Tabla2[[#This Row],[PLAZO Días]],"venc", "No venc")</f>
        <v>venc</v>
      </c>
      <c r="AC2123" s="163" t="str">
        <f>+IF(Tabla2[[#This Row],[FECHA DE PAGO]]&gt;0,"pagada","por pagar")</f>
        <v>por pagar</v>
      </c>
      <c r="AD2123" s="164" t="str">
        <f>+IF(AND(Tabla2[[#This Row],[venc]]="venc",Tabla2[[#This Row],[estado pago]]="por pagar"),"vencida","no")</f>
        <v>vencida</v>
      </c>
    </row>
    <row r="2124" spans="1:30" ht="19.5" hidden="1" customHeight="1" x14ac:dyDescent="0.25">
      <c r="A2124" s="8"/>
      <c r="B2124" s="8"/>
      <c r="C2124" s="8"/>
      <c r="D2124" s="151"/>
      <c r="E2124" s="151"/>
      <c r="F2124" s="24"/>
      <c r="G2124" s="30"/>
      <c r="H2124" s="81"/>
      <c r="I2124" s="30"/>
      <c r="J2124" s="16"/>
      <c r="K2124" s="9"/>
      <c r="L2124" s="9"/>
      <c r="M2124" s="152"/>
      <c r="N2124" s="153"/>
      <c r="O2124" s="152"/>
      <c r="P2124" s="154"/>
      <c r="Q2124" s="152"/>
      <c r="R2124" s="9"/>
      <c r="Z2124" s="21"/>
      <c r="AA2124" s="162">
        <f>+$AD$5-Tabla2[[#This Row],[FECHA DE FACTURACIÓN]]</f>
        <v>45443</v>
      </c>
      <c r="AB2124" s="163" t="str">
        <f>+IF(Tabla2[[#This Row],[dias de credito]]&gt;=Tabla2[[#This Row],[PLAZO Días]],"venc", "No venc")</f>
        <v>venc</v>
      </c>
      <c r="AC2124" s="163" t="str">
        <f>+IF(Tabla2[[#This Row],[FECHA DE PAGO]]&gt;0,"pagada","por pagar")</f>
        <v>por pagar</v>
      </c>
      <c r="AD2124" s="164" t="str">
        <f>+IF(AND(Tabla2[[#This Row],[venc]]="venc",Tabla2[[#This Row],[estado pago]]="por pagar"),"vencida","no")</f>
        <v>vencida</v>
      </c>
    </row>
    <row r="2125" spans="1:30" ht="19.5" hidden="1" customHeight="1" x14ac:dyDescent="0.25">
      <c r="A2125" s="8"/>
      <c r="B2125" s="8"/>
      <c r="C2125" s="8"/>
      <c r="D2125" s="151"/>
      <c r="E2125" s="151"/>
      <c r="F2125" s="24"/>
      <c r="G2125" s="30"/>
      <c r="H2125" s="81"/>
      <c r="I2125" s="30"/>
      <c r="J2125" s="16"/>
      <c r="K2125" s="9"/>
      <c r="L2125" s="9"/>
      <c r="M2125" s="152"/>
      <c r="N2125" s="153"/>
      <c r="O2125" s="152"/>
      <c r="P2125" s="154"/>
      <c r="Q2125" s="152"/>
      <c r="R2125" s="9"/>
      <c r="Z2125" s="21"/>
      <c r="AA2125" s="162">
        <f>+$AD$5-Tabla2[[#This Row],[FECHA DE FACTURACIÓN]]</f>
        <v>45443</v>
      </c>
      <c r="AB2125" s="163" t="str">
        <f>+IF(Tabla2[[#This Row],[dias de credito]]&gt;=Tabla2[[#This Row],[PLAZO Días]],"venc", "No venc")</f>
        <v>venc</v>
      </c>
      <c r="AC2125" s="163" t="str">
        <f>+IF(Tabla2[[#This Row],[FECHA DE PAGO]]&gt;0,"pagada","por pagar")</f>
        <v>por pagar</v>
      </c>
      <c r="AD2125" s="164" t="str">
        <f>+IF(AND(Tabla2[[#This Row],[venc]]="venc",Tabla2[[#This Row],[estado pago]]="por pagar"),"vencida","no")</f>
        <v>vencida</v>
      </c>
    </row>
    <row r="2126" spans="1:30" ht="19.5" hidden="1" customHeight="1" x14ac:dyDescent="0.25">
      <c r="A2126" s="8"/>
      <c r="B2126" s="8"/>
      <c r="C2126" s="8"/>
      <c r="D2126" s="151"/>
      <c r="E2126" s="151"/>
      <c r="F2126" s="24"/>
      <c r="G2126" s="30"/>
      <c r="H2126" s="81"/>
      <c r="I2126" s="30"/>
      <c r="J2126" s="16"/>
      <c r="K2126" s="9"/>
      <c r="L2126" s="9"/>
      <c r="M2126" s="152"/>
      <c r="N2126" s="153"/>
      <c r="O2126" s="152"/>
      <c r="P2126" s="154"/>
      <c r="Q2126" s="152"/>
      <c r="R2126" s="9"/>
      <c r="Z2126" s="21"/>
      <c r="AA2126" s="162">
        <f>+$AD$5-Tabla2[[#This Row],[FECHA DE FACTURACIÓN]]</f>
        <v>45443</v>
      </c>
      <c r="AB2126" s="163" t="str">
        <f>+IF(Tabla2[[#This Row],[dias de credito]]&gt;=Tabla2[[#This Row],[PLAZO Días]],"venc", "No venc")</f>
        <v>venc</v>
      </c>
      <c r="AC2126" s="163" t="str">
        <f>+IF(Tabla2[[#This Row],[FECHA DE PAGO]]&gt;0,"pagada","por pagar")</f>
        <v>por pagar</v>
      </c>
      <c r="AD2126" s="164" t="str">
        <f>+IF(AND(Tabla2[[#This Row],[venc]]="venc",Tabla2[[#This Row],[estado pago]]="por pagar"),"vencida","no")</f>
        <v>vencida</v>
      </c>
    </row>
    <row r="2127" spans="1:30" ht="19.5" hidden="1" customHeight="1" x14ac:dyDescent="0.25">
      <c r="A2127" s="8"/>
      <c r="B2127" s="8"/>
      <c r="C2127" s="8"/>
      <c r="D2127" s="151"/>
      <c r="E2127" s="151"/>
      <c r="F2127" s="24"/>
      <c r="G2127" s="30"/>
      <c r="H2127" s="81"/>
      <c r="I2127" s="30"/>
      <c r="J2127" s="16"/>
      <c r="K2127" s="9"/>
      <c r="L2127" s="9"/>
      <c r="M2127" s="152"/>
      <c r="N2127" s="153"/>
      <c r="O2127" s="152"/>
      <c r="P2127" s="154"/>
      <c r="Q2127" s="152"/>
      <c r="R2127" s="9"/>
      <c r="Z2127" s="21"/>
      <c r="AA2127" s="162">
        <f>+$AD$5-Tabla2[[#This Row],[FECHA DE FACTURACIÓN]]</f>
        <v>45443</v>
      </c>
      <c r="AB2127" s="163" t="str">
        <f>+IF(Tabla2[[#This Row],[dias de credito]]&gt;=Tabla2[[#This Row],[PLAZO Días]],"venc", "No venc")</f>
        <v>venc</v>
      </c>
      <c r="AC2127" s="163" t="str">
        <f>+IF(Tabla2[[#This Row],[FECHA DE PAGO]]&gt;0,"pagada","por pagar")</f>
        <v>por pagar</v>
      </c>
      <c r="AD2127" s="164" t="str">
        <f>+IF(AND(Tabla2[[#This Row],[venc]]="venc",Tabla2[[#This Row],[estado pago]]="por pagar"),"vencida","no")</f>
        <v>vencida</v>
      </c>
    </row>
    <row r="2128" spans="1:30" ht="19.5" hidden="1" customHeight="1" x14ac:dyDescent="0.25">
      <c r="A2128" s="8"/>
      <c r="B2128" s="8"/>
      <c r="C2128" s="8"/>
      <c r="D2128" s="151"/>
      <c r="E2128" s="151"/>
      <c r="F2128" s="24"/>
      <c r="G2128" s="30"/>
      <c r="H2128" s="81"/>
      <c r="I2128" s="30"/>
      <c r="J2128" s="16"/>
      <c r="K2128" s="9"/>
      <c r="L2128" s="9"/>
      <c r="M2128" s="152"/>
      <c r="N2128" s="153"/>
      <c r="O2128" s="152"/>
      <c r="P2128" s="154"/>
      <c r="Q2128" s="152"/>
      <c r="R2128" s="9"/>
      <c r="Z2128" s="21"/>
      <c r="AA2128" s="162">
        <f>+$AD$5-Tabla2[[#This Row],[FECHA DE FACTURACIÓN]]</f>
        <v>45443</v>
      </c>
      <c r="AB2128" s="163" t="str">
        <f>+IF(Tabla2[[#This Row],[dias de credito]]&gt;=Tabla2[[#This Row],[PLAZO Días]],"venc", "No venc")</f>
        <v>venc</v>
      </c>
      <c r="AC2128" s="163" t="str">
        <f>+IF(Tabla2[[#This Row],[FECHA DE PAGO]]&gt;0,"pagada","por pagar")</f>
        <v>por pagar</v>
      </c>
      <c r="AD2128" s="164" t="str">
        <f>+IF(AND(Tabla2[[#This Row],[venc]]="venc",Tabla2[[#This Row],[estado pago]]="por pagar"),"vencida","no")</f>
        <v>vencida</v>
      </c>
    </row>
    <row r="2129" spans="1:30" ht="19.5" hidden="1" customHeight="1" x14ac:dyDescent="0.25">
      <c r="A2129" s="8"/>
      <c r="B2129" s="8"/>
      <c r="C2129" s="8"/>
      <c r="D2129" s="151"/>
      <c r="E2129" s="151"/>
      <c r="F2129" s="24"/>
      <c r="G2129" s="30"/>
      <c r="H2129" s="81"/>
      <c r="I2129" s="30"/>
      <c r="J2129" s="16"/>
      <c r="K2129" s="9"/>
      <c r="L2129" s="9"/>
      <c r="M2129" s="152"/>
      <c r="N2129" s="153"/>
      <c r="O2129" s="152"/>
      <c r="P2129" s="154"/>
      <c r="Q2129" s="152"/>
      <c r="R2129" s="9"/>
      <c r="Z2129" s="21"/>
      <c r="AA2129" s="162">
        <f>+$AD$5-Tabla2[[#This Row],[FECHA DE FACTURACIÓN]]</f>
        <v>45443</v>
      </c>
      <c r="AB2129" s="163" t="str">
        <f>+IF(Tabla2[[#This Row],[dias de credito]]&gt;=Tabla2[[#This Row],[PLAZO Días]],"venc", "No venc")</f>
        <v>venc</v>
      </c>
      <c r="AC2129" s="163" t="str">
        <f>+IF(Tabla2[[#This Row],[FECHA DE PAGO]]&gt;0,"pagada","por pagar")</f>
        <v>por pagar</v>
      </c>
      <c r="AD2129" s="164" t="str">
        <f>+IF(AND(Tabla2[[#This Row],[venc]]="venc",Tabla2[[#This Row],[estado pago]]="por pagar"),"vencida","no")</f>
        <v>vencida</v>
      </c>
    </row>
    <row r="2130" spans="1:30" ht="19.5" hidden="1" customHeight="1" x14ac:dyDescent="0.25">
      <c r="A2130" s="8"/>
      <c r="B2130" s="8"/>
      <c r="C2130" s="8"/>
      <c r="D2130" s="151"/>
      <c r="E2130" s="151"/>
      <c r="F2130" s="24"/>
      <c r="G2130" s="30"/>
      <c r="H2130" s="81"/>
      <c r="I2130" s="30"/>
      <c r="J2130" s="16"/>
      <c r="K2130" s="9"/>
      <c r="L2130" s="9"/>
      <c r="M2130" s="152"/>
      <c r="N2130" s="153"/>
      <c r="O2130" s="152"/>
      <c r="P2130" s="154"/>
      <c r="Q2130" s="152"/>
      <c r="R2130" s="9"/>
      <c r="Z2130" s="21"/>
      <c r="AA2130" s="162">
        <f>+$AD$5-Tabla2[[#This Row],[FECHA DE FACTURACIÓN]]</f>
        <v>45443</v>
      </c>
      <c r="AB2130" s="163" t="str">
        <f>+IF(Tabla2[[#This Row],[dias de credito]]&gt;=Tabla2[[#This Row],[PLAZO Días]],"venc", "No venc")</f>
        <v>venc</v>
      </c>
      <c r="AC2130" s="163" t="str">
        <f>+IF(Tabla2[[#This Row],[FECHA DE PAGO]]&gt;0,"pagada","por pagar")</f>
        <v>por pagar</v>
      </c>
      <c r="AD2130" s="164" t="str">
        <f>+IF(AND(Tabla2[[#This Row],[venc]]="venc",Tabla2[[#This Row],[estado pago]]="por pagar"),"vencida","no")</f>
        <v>vencida</v>
      </c>
    </row>
    <row r="2131" spans="1:30" ht="19.5" hidden="1" customHeight="1" x14ac:dyDescent="0.25">
      <c r="A2131" s="8"/>
      <c r="B2131" s="8"/>
      <c r="C2131" s="8"/>
      <c r="D2131" s="151"/>
      <c r="E2131" s="151"/>
      <c r="F2131" s="24"/>
      <c r="G2131" s="30"/>
      <c r="H2131" s="81"/>
      <c r="I2131" s="30"/>
      <c r="J2131" s="16"/>
      <c r="K2131" s="9"/>
      <c r="L2131" s="9"/>
      <c r="M2131" s="152"/>
      <c r="N2131" s="153"/>
      <c r="O2131" s="152"/>
      <c r="P2131" s="154"/>
      <c r="Q2131" s="152"/>
      <c r="R2131" s="9"/>
      <c r="Z2131" s="21"/>
      <c r="AA2131" s="162">
        <f>+$AD$5-Tabla2[[#This Row],[FECHA DE FACTURACIÓN]]</f>
        <v>45443</v>
      </c>
      <c r="AB2131" s="163" t="str">
        <f>+IF(Tabla2[[#This Row],[dias de credito]]&gt;=Tabla2[[#This Row],[PLAZO Días]],"venc", "No venc")</f>
        <v>venc</v>
      </c>
      <c r="AC2131" s="163" t="str">
        <f>+IF(Tabla2[[#This Row],[FECHA DE PAGO]]&gt;0,"pagada","por pagar")</f>
        <v>por pagar</v>
      </c>
      <c r="AD2131" s="164" t="str">
        <f>+IF(AND(Tabla2[[#This Row],[venc]]="venc",Tabla2[[#This Row],[estado pago]]="por pagar"),"vencida","no")</f>
        <v>vencida</v>
      </c>
    </row>
    <row r="2132" spans="1:30" ht="19.5" hidden="1" customHeight="1" x14ac:dyDescent="0.25">
      <c r="A2132" s="8"/>
      <c r="B2132" s="8"/>
      <c r="C2132" s="8"/>
      <c r="D2132" s="151"/>
      <c r="E2132" s="151"/>
      <c r="F2132" s="24"/>
      <c r="G2132" s="30"/>
      <c r="H2132" s="81"/>
      <c r="I2132" s="30"/>
      <c r="J2132" s="16"/>
      <c r="K2132" s="9"/>
      <c r="L2132" s="9"/>
      <c r="M2132" s="152"/>
      <c r="N2132" s="153"/>
      <c r="O2132" s="152"/>
      <c r="P2132" s="154"/>
      <c r="Q2132" s="152"/>
      <c r="R2132" s="9"/>
      <c r="Z2132" s="21"/>
      <c r="AA2132" s="162">
        <f>+$AD$5-Tabla2[[#This Row],[FECHA DE FACTURACIÓN]]</f>
        <v>45443</v>
      </c>
      <c r="AB2132" s="163" t="str">
        <f>+IF(Tabla2[[#This Row],[dias de credito]]&gt;=Tabla2[[#This Row],[PLAZO Días]],"venc", "No venc")</f>
        <v>venc</v>
      </c>
      <c r="AC2132" s="163" t="str">
        <f>+IF(Tabla2[[#This Row],[FECHA DE PAGO]]&gt;0,"pagada","por pagar")</f>
        <v>por pagar</v>
      </c>
      <c r="AD2132" s="164" t="str">
        <f>+IF(AND(Tabla2[[#This Row],[venc]]="venc",Tabla2[[#This Row],[estado pago]]="por pagar"),"vencida","no")</f>
        <v>vencida</v>
      </c>
    </row>
    <row r="2133" spans="1:30" ht="19.5" hidden="1" customHeight="1" x14ac:dyDescent="0.25">
      <c r="A2133" s="8"/>
      <c r="B2133" s="8"/>
      <c r="C2133" s="8"/>
      <c r="D2133" s="151"/>
      <c r="E2133" s="151"/>
      <c r="F2133" s="24"/>
      <c r="G2133" s="30"/>
      <c r="H2133" s="81"/>
      <c r="I2133" s="30"/>
      <c r="J2133" s="16"/>
      <c r="K2133" s="9"/>
      <c r="L2133" s="9"/>
      <c r="M2133" s="152"/>
      <c r="N2133" s="153"/>
      <c r="O2133" s="152"/>
      <c r="P2133" s="154"/>
      <c r="Q2133" s="152"/>
      <c r="R2133" s="9"/>
      <c r="Z2133" s="21"/>
      <c r="AA2133" s="162">
        <f>+$AD$5-Tabla2[[#This Row],[FECHA DE FACTURACIÓN]]</f>
        <v>45443</v>
      </c>
      <c r="AB2133" s="163" t="str">
        <f>+IF(Tabla2[[#This Row],[dias de credito]]&gt;=Tabla2[[#This Row],[PLAZO Días]],"venc", "No venc")</f>
        <v>venc</v>
      </c>
      <c r="AC2133" s="163" t="str">
        <f>+IF(Tabla2[[#This Row],[FECHA DE PAGO]]&gt;0,"pagada","por pagar")</f>
        <v>por pagar</v>
      </c>
      <c r="AD2133" s="164" t="str">
        <f>+IF(AND(Tabla2[[#This Row],[venc]]="venc",Tabla2[[#This Row],[estado pago]]="por pagar"),"vencida","no")</f>
        <v>vencida</v>
      </c>
    </row>
    <row r="2134" spans="1:30" ht="19.5" hidden="1" customHeight="1" x14ac:dyDescent="0.25">
      <c r="A2134" s="8"/>
      <c r="B2134" s="8"/>
      <c r="C2134" s="8"/>
      <c r="D2134" s="151"/>
      <c r="E2134" s="151"/>
      <c r="F2134" s="24"/>
      <c r="G2134" s="30"/>
      <c r="H2134" s="81"/>
      <c r="I2134" s="30"/>
      <c r="J2134" s="16"/>
      <c r="K2134" s="9"/>
      <c r="L2134" s="9"/>
      <c r="M2134" s="152"/>
      <c r="N2134" s="153"/>
      <c r="O2134" s="152"/>
      <c r="P2134" s="154"/>
      <c r="Q2134" s="152"/>
      <c r="R2134" s="9"/>
      <c r="Z2134" s="21"/>
      <c r="AA2134" s="162">
        <f>+$AD$5-Tabla2[[#This Row],[FECHA DE FACTURACIÓN]]</f>
        <v>45443</v>
      </c>
      <c r="AB2134" s="163" t="str">
        <f>+IF(Tabla2[[#This Row],[dias de credito]]&gt;=Tabla2[[#This Row],[PLAZO Días]],"venc", "No venc")</f>
        <v>venc</v>
      </c>
      <c r="AC2134" s="163" t="str">
        <f>+IF(Tabla2[[#This Row],[FECHA DE PAGO]]&gt;0,"pagada","por pagar")</f>
        <v>por pagar</v>
      </c>
      <c r="AD2134" s="164" t="str">
        <f>+IF(AND(Tabla2[[#This Row],[venc]]="venc",Tabla2[[#This Row],[estado pago]]="por pagar"),"vencida","no")</f>
        <v>vencida</v>
      </c>
    </row>
    <row r="2135" spans="1:30" ht="19.5" hidden="1" customHeight="1" x14ac:dyDescent="0.25">
      <c r="A2135" s="8"/>
      <c r="B2135" s="8"/>
      <c r="C2135" s="8"/>
      <c r="D2135" s="151"/>
      <c r="E2135" s="151"/>
      <c r="F2135" s="24"/>
      <c r="G2135" s="30"/>
      <c r="H2135" s="81"/>
      <c r="I2135" s="30"/>
      <c r="J2135" s="16"/>
      <c r="K2135" s="9"/>
      <c r="L2135" s="9"/>
      <c r="M2135" s="152"/>
      <c r="N2135" s="153"/>
      <c r="O2135" s="152"/>
      <c r="P2135" s="154"/>
      <c r="Q2135" s="152"/>
      <c r="R2135" s="9"/>
      <c r="Z2135" s="21"/>
      <c r="AA2135" s="162">
        <f>+$AD$5-Tabla2[[#This Row],[FECHA DE FACTURACIÓN]]</f>
        <v>45443</v>
      </c>
      <c r="AB2135" s="163" t="str">
        <f>+IF(Tabla2[[#This Row],[dias de credito]]&gt;=Tabla2[[#This Row],[PLAZO Días]],"venc", "No venc")</f>
        <v>venc</v>
      </c>
      <c r="AC2135" s="163" t="str">
        <f>+IF(Tabla2[[#This Row],[FECHA DE PAGO]]&gt;0,"pagada","por pagar")</f>
        <v>por pagar</v>
      </c>
      <c r="AD2135" s="164" t="str">
        <f>+IF(AND(Tabla2[[#This Row],[venc]]="venc",Tabla2[[#This Row],[estado pago]]="por pagar"),"vencida","no")</f>
        <v>vencida</v>
      </c>
    </row>
    <row r="2136" spans="1:30" ht="19.5" hidden="1" customHeight="1" x14ac:dyDescent="0.25">
      <c r="A2136" s="8"/>
      <c r="B2136" s="8"/>
      <c r="C2136" s="8"/>
      <c r="D2136" s="151"/>
      <c r="E2136" s="151"/>
      <c r="F2136" s="24"/>
      <c r="G2136" s="30"/>
      <c r="H2136" s="81"/>
      <c r="I2136" s="30"/>
      <c r="J2136" s="16"/>
      <c r="K2136" s="9"/>
      <c r="L2136" s="9"/>
      <c r="M2136" s="152"/>
      <c r="N2136" s="153"/>
      <c r="O2136" s="152"/>
      <c r="P2136" s="154"/>
      <c r="Q2136" s="152"/>
      <c r="R2136" s="9"/>
      <c r="Z2136" s="21"/>
      <c r="AA2136" s="162">
        <f>+$AD$5-Tabla2[[#This Row],[FECHA DE FACTURACIÓN]]</f>
        <v>45443</v>
      </c>
      <c r="AB2136" s="163" t="str">
        <f>+IF(Tabla2[[#This Row],[dias de credito]]&gt;=Tabla2[[#This Row],[PLAZO Días]],"venc", "No venc")</f>
        <v>venc</v>
      </c>
      <c r="AC2136" s="163" t="str">
        <f>+IF(Tabla2[[#This Row],[FECHA DE PAGO]]&gt;0,"pagada","por pagar")</f>
        <v>por pagar</v>
      </c>
      <c r="AD2136" s="164" t="str">
        <f>+IF(AND(Tabla2[[#This Row],[venc]]="venc",Tabla2[[#This Row],[estado pago]]="por pagar"),"vencida","no")</f>
        <v>vencida</v>
      </c>
    </row>
    <row r="2137" spans="1:30" ht="19.5" hidden="1" customHeight="1" x14ac:dyDescent="0.25">
      <c r="A2137" s="8"/>
      <c r="B2137" s="8"/>
      <c r="C2137" s="8"/>
      <c r="D2137" s="151"/>
      <c r="E2137" s="151"/>
      <c r="F2137" s="24"/>
      <c r="G2137" s="30"/>
      <c r="H2137" s="81"/>
      <c r="I2137" s="30"/>
      <c r="J2137" s="16"/>
      <c r="K2137" s="9"/>
      <c r="L2137" s="9"/>
      <c r="M2137" s="152"/>
      <c r="N2137" s="153"/>
      <c r="O2137" s="152"/>
      <c r="P2137" s="154"/>
      <c r="Q2137" s="152"/>
      <c r="R2137" s="9"/>
      <c r="Z2137" s="21"/>
      <c r="AA2137" s="162">
        <f>+$AD$5-Tabla2[[#This Row],[FECHA DE FACTURACIÓN]]</f>
        <v>45443</v>
      </c>
      <c r="AB2137" s="163" t="str">
        <f>+IF(Tabla2[[#This Row],[dias de credito]]&gt;=Tabla2[[#This Row],[PLAZO Días]],"venc", "No venc")</f>
        <v>venc</v>
      </c>
      <c r="AC2137" s="163" t="str">
        <f>+IF(Tabla2[[#This Row],[FECHA DE PAGO]]&gt;0,"pagada","por pagar")</f>
        <v>por pagar</v>
      </c>
      <c r="AD2137" s="164" t="str">
        <f>+IF(AND(Tabla2[[#This Row],[venc]]="venc",Tabla2[[#This Row],[estado pago]]="por pagar"),"vencida","no")</f>
        <v>vencida</v>
      </c>
    </row>
    <row r="2138" spans="1:30" ht="19.5" hidden="1" customHeight="1" x14ac:dyDescent="0.25">
      <c r="A2138" s="8"/>
      <c r="B2138" s="8"/>
      <c r="C2138" s="8"/>
      <c r="D2138" s="151"/>
      <c r="E2138" s="151"/>
      <c r="F2138" s="24"/>
      <c r="G2138" s="30"/>
      <c r="H2138" s="81"/>
      <c r="I2138" s="30"/>
      <c r="J2138" s="16"/>
      <c r="K2138" s="9"/>
      <c r="L2138" s="9"/>
      <c r="M2138" s="152"/>
      <c r="N2138" s="153"/>
      <c r="O2138" s="152"/>
      <c r="P2138" s="154"/>
      <c r="Q2138" s="152"/>
      <c r="R2138" s="9"/>
      <c r="Z2138" s="21"/>
      <c r="AA2138" s="162">
        <f>+$AD$5-Tabla2[[#This Row],[FECHA DE FACTURACIÓN]]</f>
        <v>45443</v>
      </c>
      <c r="AB2138" s="163" t="str">
        <f>+IF(Tabla2[[#This Row],[dias de credito]]&gt;=Tabla2[[#This Row],[PLAZO Días]],"venc", "No venc")</f>
        <v>venc</v>
      </c>
      <c r="AC2138" s="163" t="str">
        <f>+IF(Tabla2[[#This Row],[FECHA DE PAGO]]&gt;0,"pagada","por pagar")</f>
        <v>por pagar</v>
      </c>
      <c r="AD2138" s="164" t="str">
        <f>+IF(AND(Tabla2[[#This Row],[venc]]="venc",Tabla2[[#This Row],[estado pago]]="por pagar"),"vencida","no")</f>
        <v>vencida</v>
      </c>
    </row>
    <row r="2139" spans="1:30" ht="19.5" hidden="1" customHeight="1" x14ac:dyDescent="0.25">
      <c r="A2139" s="8"/>
      <c r="B2139" s="8"/>
      <c r="C2139" s="8"/>
      <c r="D2139" s="151"/>
      <c r="E2139" s="151"/>
      <c r="F2139" s="24"/>
      <c r="G2139" s="30"/>
      <c r="H2139" s="81"/>
      <c r="I2139" s="30"/>
      <c r="J2139" s="16"/>
      <c r="K2139" s="9"/>
      <c r="L2139" s="9"/>
      <c r="M2139" s="152"/>
      <c r="N2139" s="153"/>
      <c r="O2139" s="152"/>
      <c r="P2139" s="154"/>
      <c r="Q2139" s="152"/>
      <c r="R2139" s="9"/>
      <c r="Z2139" s="21"/>
      <c r="AA2139" s="162">
        <f>+$AD$5-Tabla2[[#This Row],[FECHA DE FACTURACIÓN]]</f>
        <v>45443</v>
      </c>
      <c r="AB2139" s="163" t="str">
        <f>+IF(Tabla2[[#This Row],[dias de credito]]&gt;=Tabla2[[#This Row],[PLAZO Días]],"venc", "No venc")</f>
        <v>venc</v>
      </c>
      <c r="AC2139" s="163" t="str">
        <f>+IF(Tabla2[[#This Row],[FECHA DE PAGO]]&gt;0,"pagada","por pagar")</f>
        <v>por pagar</v>
      </c>
      <c r="AD2139" s="164" t="str">
        <f>+IF(AND(Tabla2[[#This Row],[venc]]="venc",Tabla2[[#This Row],[estado pago]]="por pagar"),"vencida","no")</f>
        <v>vencida</v>
      </c>
    </row>
    <row r="2140" spans="1:30" ht="19.5" hidden="1" customHeight="1" x14ac:dyDescent="0.25">
      <c r="A2140" s="8"/>
      <c r="B2140" s="8"/>
      <c r="C2140" s="8"/>
      <c r="D2140" s="151"/>
      <c r="E2140" s="151"/>
      <c r="F2140" s="24"/>
      <c r="G2140" s="30"/>
      <c r="H2140" s="81"/>
      <c r="I2140" s="30"/>
      <c r="J2140" s="16"/>
      <c r="K2140" s="9"/>
      <c r="L2140" s="9"/>
      <c r="M2140" s="152"/>
      <c r="N2140" s="153"/>
      <c r="O2140" s="152"/>
      <c r="P2140" s="154"/>
      <c r="Q2140" s="152"/>
      <c r="R2140" s="9"/>
      <c r="Z2140" s="21"/>
      <c r="AA2140" s="162">
        <f>+$AD$5-Tabla2[[#This Row],[FECHA DE FACTURACIÓN]]</f>
        <v>45443</v>
      </c>
      <c r="AB2140" s="163" t="str">
        <f>+IF(Tabla2[[#This Row],[dias de credito]]&gt;=Tabla2[[#This Row],[PLAZO Días]],"venc", "No venc")</f>
        <v>venc</v>
      </c>
      <c r="AC2140" s="163" t="str">
        <f>+IF(Tabla2[[#This Row],[FECHA DE PAGO]]&gt;0,"pagada","por pagar")</f>
        <v>por pagar</v>
      </c>
      <c r="AD2140" s="164" t="str">
        <f>+IF(AND(Tabla2[[#This Row],[venc]]="venc",Tabla2[[#This Row],[estado pago]]="por pagar"),"vencida","no")</f>
        <v>vencida</v>
      </c>
    </row>
    <row r="2141" spans="1:30" ht="19.5" hidden="1" customHeight="1" x14ac:dyDescent="0.25">
      <c r="A2141" s="8"/>
      <c r="B2141" s="8"/>
      <c r="C2141" s="8"/>
      <c r="D2141" s="151"/>
      <c r="E2141" s="151"/>
      <c r="F2141" s="24"/>
      <c r="G2141" s="30"/>
      <c r="H2141" s="81"/>
      <c r="I2141" s="30"/>
      <c r="J2141" s="16"/>
      <c r="K2141" s="9"/>
      <c r="L2141" s="9"/>
      <c r="M2141" s="152"/>
      <c r="N2141" s="153"/>
      <c r="O2141" s="152"/>
      <c r="P2141" s="154"/>
      <c r="Q2141" s="152"/>
      <c r="R2141" s="9"/>
      <c r="Z2141" s="21"/>
      <c r="AA2141" s="162">
        <f>+$AD$5-Tabla2[[#This Row],[FECHA DE FACTURACIÓN]]</f>
        <v>45443</v>
      </c>
      <c r="AB2141" s="163" t="str">
        <f>+IF(Tabla2[[#This Row],[dias de credito]]&gt;=Tabla2[[#This Row],[PLAZO Días]],"venc", "No venc")</f>
        <v>venc</v>
      </c>
      <c r="AC2141" s="163" t="str">
        <f>+IF(Tabla2[[#This Row],[FECHA DE PAGO]]&gt;0,"pagada","por pagar")</f>
        <v>por pagar</v>
      </c>
      <c r="AD2141" s="164" t="str">
        <f>+IF(AND(Tabla2[[#This Row],[venc]]="venc",Tabla2[[#This Row],[estado pago]]="por pagar"),"vencida","no")</f>
        <v>vencida</v>
      </c>
    </row>
    <row r="2142" spans="1:30" ht="19.5" hidden="1" customHeight="1" x14ac:dyDescent="0.25">
      <c r="A2142" s="8"/>
      <c r="B2142" s="8"/>
      <c r="C2142" s="8"/>
      <c r="D2142" s="151"/>
      <c r="E2142" s="151"/>
      <c r="F2142" s="24"/>
      <c r="G2142" s="30"/>
      <c r="H2142" s="81"/>
      <c r="I2142" s="30"/>
      <c r="J2142" s="16"/>
      <c r="K2142" s="9"/>
      <c r="L2142" s="9"/>
      <c r="M2142" s="152"/>
      <c r="N2142" s="153"/>
      <c r="O2142" s="152"/>
      <c r="P2142" s="154"/>
      <c r="Q2142" s="152"/>
      <c r="R2142" s="9"/>
      <c r="Z2142" s="21"/>
      <c r="AA2142" s="162">
        <f>+$AD$5-Tabla2[[#This Row],[FECHA DE FACTURACIÓN]]</f>
        <v>45443</v>
      </c>
      <c r="AB2142" s="163" t="str">
        <f>+IF(Tabla2[[#This Row],[dias de credito]]&gt;=Tabla2[[#This Row],[PLAZO Días]],"venc", "No venc")</f>
        <v>venc</v>
      </c>
      <c r="AC2142" s="163" t="str">
        <f>+IF(Tabla2[[#This Row],[FECHA DE PAGO]]&gt;0,"pagada","por pagar")</f>
        <v>por pagar</v>
      </c>
      <c r="AD2142" s="164" t="str">
        <f>+IF(AND(Tabla2[[#This Row],[venc]]="venc",Tabla2[[#This Row],[estado pago]]="por pagar"),"vencida","no")</f>
        <v>vencida</v>
      </c>
    </row>
    <row r="2143" spans="1:30" ht="19.5" hidden="1" customHeight="1" x14ac:dyDescent="0.25">
      <c r="A2143" s="8"/>
      <c r="B2143" s="8"/>
      <c r="C2143" s="8"/>
      <c r="D2143" s="151"/>
      <c r="E2143" s="151"/>
      <c r="F2143" s="24"/>
      <c r="G2143" s="30"/>
      <c r="H2143" s="81"/>
      <c r="I2143" s="30"/>
      <c r="J2143" s="16"/>
      <c r="K2143" s="9"/>
      <c r="L2143" s="9"/>
      <c r="M2143" s="152"/>
      <c r="N2143" s="153"/>
      <c r="O2143" s="152"/>
      <c r="P2143" s="154"/>
      <c r="Q2143" s="152"/>
      <c r="R2143" s="9"/>
      <c r="Z2143" s="21"/>
      <c r="AA2143" s="162">
        <f>+$AD$5-Tabla2[[#This Row],[FECHA DE FACTURACIÓN]]</f>
        <v>45443</v>
      </c>
      <c r="AB2143" s="163" t="str">
        <f>+IF(Tabla2[[#This Row],[dias de credito]]&gt;=Tabla2[[#This Row],[PLAZO Días]],"venc", "No venc")</f>
        <v>venc</v>
      </c>
      <c r="AC2143" s="163" t="str">
        <f>+IF(Tabla2[[#This Row],[FECHA DE PAGO]]&gt;0,"pagada","por pagar")</f>
        <v>por pagar</v>
      </c>
      <c r="AD2143" s="164" t="str">
        <f>+IF(AND(Tabla2[[#This Row],[venc]]="venc",Tabla2[[#This Row],[estado pago]]="por pagar"),"vencida","no")</f>
        <v>vencida</v>
      </c>
    </row>
    <row r="2144" spans="1:30" ht="19.5" hidden="1" customHeight="1" x14ac:dyDescent="0.25">
      <c r="A2144" s="8"/>
      <c r="B2144" s="8"/>
      <c r="C2144" s="8"/>
      <c r="D2144" s="151"/>
      <c r="E2144" s="151"/>
      <c r="F2144" s="24"/>
      <c r="G2144" s="30"/>
      <c r="H2144" s="81"/>
      <c r="I2144" s="30"/>
      <c r="J2144" s="16"/>
      <c r="K2144" s="9"/>
      <c r="L2144" s="9"/>
      <c r="M2144" s="152"/>
      <c r="N2144" s="153"/>
      <c r="O2144" s="152"/>
      <c r="P2144" s="154"/>
      <c r="Q2144" s="152"/>
      <c r="R2144" s="9"/>
      <c r="Z2144" s="21"/>
      <c r="AA2144" s="162">
        <f>+$AD$5-Tabla2[[#This Row],[FECHA DE FACTURACIÓN]]</f>
        <v>45443</v>
      </c>
      <c r="AB2144" s="163" t="str">
        <f>+IF(Tabla2[[#This Row],[dias de credito]]&gt;=Tabla2[[#This Row],[PLAZO Días]],"venc", "No venc")</f>
        <v>venc</v>
      </c>
      <c r="AC2144" s="163" t="str">
        <f>+IF(Tabla2[[#This Row],[FECHA DE PAGO]]&gt;0,"pagada","por pagar")</f>
        <v>por pagar</v>
      </c>
      <c r="AD2144" s="164" t="str">
        <f>+IF(AND(Tabla2[[#This Row],[venc]]="venc",Tabla2[[#This Row],[estado pago]]="por pagar"),"vencida","no")</f>
        <v>vencida</v>
      </c>
    </row>
    <row r="2145" spans="1:30" ht="19.5" hidden="1" customHeight="1" x14ac:dyDescent="0.25">
      <c r="A2145" s="8"/>
      <c r="B2145" s="8"/>
      <c r="C2145" s="8"/>
      <c r="D2145" s="151"/>
      <c r="E2145" s="151"/>
      <c r="F2145" s="24"/>
      <c r="G2145" s="30"/>
      <c r="H2145" s="81"/>
      <c r="I2145" s="30"/>
      <c r="J2145" s="16"/>
      <c r="K2145" s="9"/>
      <c r="L2145" s="9"/>
      <c r="M2145" s="152"/>
      <c r="N2145" s="153"/>
      <c r="O2145" s="152"/>
      <c r="P2145" s="154"/>
      <c r="Q2145" s="152"/>
      <c r="R2145" s="9"/>
      <c r="Z2145" s="21"/>
      <c r="AA2145" s="162">
        <f>+$AD$5-Tabla2[[#This Row],[FECHA DE FACTURACIÓN]]</f>
        <v>45443</v>
      </c>
      <c r="AB2145" s="163" t="str">
        <f>+IF(Tabla2[[#This Row],[dias de credito]]&gt;=Tabla2[[#This Row],[PLAZO Días]],"venc", "No venc")</f>
        <v>venc</v>
      </c>
      <c r="AC2145" s="163" t="str">
        <f>+IF(Tabla2[[#This Row],[FECHA DE PAGO]]&gt;0,"pagada","por pagar")</f>
        <v>por pagar</v>
      </c>
      <c r="AD2145" s="164" t="str">
        <f>+IF(AND(Tabla2[[#This Row],[venc]]="venc",Tabla2[[#This Row],[estado pago]]="por pagar"),"vencida","no")</f>
        <v>vencida</v>
      </c>
    </row>
    <row r="2146" spans="1:30" ht="19.5" hidden="1" customHeight="1" x14ac:dyDescent="0.25">
      <c r="A2146" s="8"/>
      <c r="B2146" s="8"/>
      <c r="C2146" s="8"/>
      <c r="D2146" s="151"/>
      <c r="E2146" s="151"/>
      <c r="F2146" s="24"/>
      <c r="G2146" s="30"/>
      <c r="H2146" s="81"/>
      <c r="I2146" s="30"/>
      <c r="J2146" s="16"/>
      <c r="K2146" s="9"/>
      <c r="L2146" s="9"/>
      <c r="M2146" s="152"/>
      <c r="N2146" s="153"/>
      <c r="O2146" s="152"/>
      <c r="P2146" s="154"/>
      <c r="Q2146" s="152"/>
      <c r="R2146" s="9"/>
      <c r="Z2146" s="21"/>
      <c r="AA2146" s="162">
        <f>+$AD$5-Tabla2[[#This Row],[FECHA DE FACTURACIÓN]]</f>
        <v>45443</v>
      </c>
      <c r="AB2146" s="163" t="str">
        <f>+IF(Tabla2[[#This Row],[dias de credito]]&gt;=Tabla2[[#This Row],[PLAZO Días]],"venc", "No venc")</f>
        <v>venc</v>
      </c>
      <c r="AC2146" s="163" t="str">
        <f>+IF(Tabla2[[#This Row],[FECHA DE PAGO]]&gt;0,"pagada","por pagar")</f>
        <v>por pagar</v>
      </c>
      <c r="AD2146" s="164" t="str">
        <f>+IF(AND(Tabla2[[#This Row],[venc]]="venc",Tabla2[[#This Row],[estado pago]]="por pagar"),"vencida","no")</f>
        <v>vencida</v>
      </c>
    </row>
    <row r="2147" spans="1:30" ht="19.5" hidden="1" customHeight="1" x14ac:dyDescent="0.25">
      <c r="A2147" s="8"/>
      <c r="B2147" s="8"/>
      <c r="C2147" s="8"/>
      <c r="D2147" s="151"/>
      <c r="E2147" s="151"/>
      <c r="F2147" s="24"/>
      <c r="G2147" s="30"/>
      <c r="H2147" s="81"/>
      <c r="I2147" s="30"/>
      <c r="J2147" s="16"/>
      <c r="K2147" s="9"/>
      <c r="L2147" s="9"/>
      <c r="M2147" s="152"/>
      <c r="N2147" s="153"/>
      <c r="O2147" s="152"/>
      <c r="P2147" s="154"/>
      <c r="Q2147" s="152"/>
      <c r="R2147" s="9"/>
      <c r="Z2147" s="21"/>
      <c r="AA2147" s="162">
        <f>+$AD$5-Tabla2[[#This Row],[FECHA DE FACTURACIÓN]]</f>
        <v>45443</v>
      </c>
      <c r="AB2147" s="163" t="str">
        <f>+IF(Tabla2[[#This Row],[dias de credito]]&gt;=Tabla2[[#This Row],[PLAZO Días]],"venc", "No venc")</f>
        <v>venc</v>
      </c>
      <c r="AC2147" s="163" t="str">
        <f>+IF(Tabla2[[#This Row],[FECHA DE PAGO]]&gt;0,"pagada","por pagar")</f>
        <v>por pagar</v>
      </c>
      <c r="AD2147" s="164" t="str">
        <f>+IF(AND(Tabla2[[#This Row],[venc]]="venc",Tabla2[[#This Row],[estado pago]]="por pagar"),"vencida","no")</f>
        <v>vencida</v>
      </c>
    </row>
    <row r="2148" spans="1:30" ht="19.5" hidden="1" customHeight="1" x14ac:dyDescent="0.25">
      <c r="A2148" s="8"/>
      <c r="B2148" s="8"/>
      <c r="C2148" s="8"/>
      <c r="D2148" s="151"/>
      <c r="E2148" s="151"/>
      <c r="F2148" s="24"/>
      <c r="G2148" s="30"/>
      <c r="H2148" s="81"/>
      <c r="I2148" s="30"/>
      <c r="J2148" s="16"/>
      <c r="K2148" s="9"/>
      <c r="L2148" s="9"/>
      <c r="M2148" s="152"/>
      <c r="N2148" s="153"/>
      <c r="O2148" s="152"/>
      <c r="P2148" s="154"/>
      <c r="Q2148" s="152"/>
      <c r="R2148" s="9"/>
      <c r="Z2148" s="21"/>
      <c r="AA2148" s="162">
        <f>+$AD$5-Tabla2[[#This Row],[FECHA DE FACTURACIÓN]]</f>
        <v>45443</v>
      </c>
      <c r="AB2148" s="163" t="str">
        <f>+IF(Tabla2[[#This Row],[dias de credito]]&gt;=Tabla2[[#This Row],[PLAZO Días]],"venc", "No venc")</f>
        <v>venc</v>
      </c>
      <c r="AC2148" s="163" t="str">
        <f>+IF(Tabla2[[#This Row],[FECHA DE PAGO]]&gt;0,"pagada","por pagar")</f>
        <v>por pagar</v>
      </c>
      <c r="AD2148" s="164" t="str">
        <f>+IF(AND(Tabla2[[#This Row],[venc]]="venc",Tabla2[[#This Row],[estado pago]]="por pagar"),"vencida","no")</f>
        <v>vencida</v>
      </c>
    </row>
    <row r="2149" spans="1:30" ht="19.5" hidden="1" customHeight="1" x14ac:dyDescent="0.25">
      <c r="A2149" s="8"/>
      <c r="B2149" s="8"/>
      <c r="C2149" s="8"/>
      <c r="D2149" s="151"/>
      <c r="E2149" s="151"/>
      <c r="F2149" s="24"/>
      <c r="G2149" s="30"/>
      <c r="H2149" s="81"/>
      <c r="I2149" s="30"/>
      <c r="J2149" s="16"/>
      <c r="K2149" s="9"/>
      <c r="L2149" s="9"/>
      <c r="M2149" s="152"/>
      <c r="N2149" s="153"/>
      <c r="O2149" s="152"/>
      <c r="P2149" s="154"/>
      <c r="Q2149" s="152"/>
      <c r="R2149" s="9"/>
      <c r="Z2149" s="21"/>
      <c r="AA2149" s="162">
        <f>+$AD$5-Tabla2[[#This Row],[FECHA DE FACTURACIÓN]]</f>
        <v>45443</v>
      </c>
      <c r="AB2149" s="163" t="str">
        <f>+IF(Tabla2[[#This Row],[dias de credito]]&gt;=Tabla2[[#This Row],[PLAZO Días]],"venc", "No venc")</f>
        <v>venc</v>
      </c>
      <c r="AC2149" s="163" t="str">
        <f>+IF(Tabla2[[#This Row],[FECHA DE PAGO]]&gt;0,"pagada","por pagar")</f>
        <v>por pagar</v>
      </c>
      <c r="AD2149" s="164" t="str">
        <f>+IF(AND(Tabla2[[#This Row],[venc]]="venc",Tabla2[[#This Row],[estado pago]]="por pagar"),"vencida","no")</f>
        <v>vencida</v>
      </c>
    </row>
    <row r="2150" spans="1:30" ht="19.5" hidden="1" customHeight="1" x14ac:dyDescent="0.25">
      <c r="A2150" s="8"/>
      <c r="B2150" s="8"/>
      <c r="C2150" s="8"/>
      <c r="D2150" s="151"/>
      <c r="E2150" s="151"/>
      <c r="F2150" s="24"/>
      <c r="G2150" s="30"/>
      <c r="H2150" s="81"/>
      <c r="I2150" s="30"/>
      <c r="J2150" s="16"/>
      <c r="K2150" s="9"/>
      <c r="L2150" s="9"/>
      <c r="M2150" s="152"/>
      <c r="N2150" s="153"/>
      <c r="O2150" s="152"/>
      <c r="P2150" s="154"/>
      <c r="Q2150" s="152"/>
      <c r="R2150" s="9"/>
      <c r="Z2150" s="21"/>
      <c r="AA2150" s="162">
        <f>+$AD$5-Tabla2[[#This Row],[FECHA DE FACTURACIÓN]]</f>
        <v>45443</v>
      </c>
      <c r="AB2150" s="163" t="str">
        <f>+IF(Tabla2[[#This Row],[dias de credito]]&gt;=Tabla2[[#This Row],[PLAZO Días]],"venc", "No venc")</f>
        <v>venc</v>
      </c>
      <c r="AC2150" s="163" t="str">
        <f>+IF(Tabla2[[#This Row],[FECHA DE PAGO]]&gt;0,"pagada","por pagar")</f>
        <v>por pagar</v>
      </c>
      <c r="AD2150" s="164" t="str">
        <f>+IF(AND(Tabla2[[#This Row],[venc]]="venc",Tabla2[[#This Row],[estado pago]]="por pagar"),"vencida","no")</f>
        <v>vencida</v>
      </c>
    </row>
    <row r="2151" spans="1:30" ht="19.5" hidden="1" customHeight="1" x14ac:dyDescent="0.25">
      <c r="A2151" s="8"/>
      <c r="B2151" s="8"/>
      <c r="C2151" s="8"/>
      <c r="D2151" s="151"/>
      <c r="E2151" s="151"/>
      <c r="F2151" s="24"/>
      <c r="G2151" s="30"/>
      <c r="H2151" s="81"/>
      <c r="I2151" s="30"/>
      <c r="J2151" s="16"/>
      <c r="K2151" s="9"/>
      <c r="L2151" s="9"/>
      <c r="M2151" s="152"/>
      <c r="N2151" s="153"/>
      <c r="O2151" s="152"/>
      <c r="P2151" s="154"/>
      <c r="Q2151" s="152"/>
      <c r="R2151" s="9"/>
      <c r="Z2151" s="21"/>
      <c r="AA2151" s="162">
        <f>+$AD$5-Tabla2[[#This Row],[FECHA DE FACTURACIÓN]]</f>
        <v>45443</v>
      </c>
      <c r="AB2151" s="163" t="str">
        <f>+IF(Tabla2[[#This Row],[dias de credito]]&gt;=Tabla2[[#This Row],[PLAZO Días]],"venc", "No venc")</f>
        <v>venc</v>
      </c>
      <c r="AC2151" s="163" t="str">
        <f>+IF(Tabla2[[#This Row],[FECHA DE PAGO]]&gt;0,"pagada","por pagar")</f>
        <v>por pagar</v>
      </c>
      <c r="AD2151" s="164" t="str">
        <f>+IF(AND(Tabla2[[#This Row],[venc]]="venc",Tabla2[[#This Row],[estado pago]]="por pagar"),"vencida","no")</f>
        <v>vencida</v>
      </c>
    </row>
    <row r="2152" spans="1:30" ht="19.5" hidden="1" customHeight="1" x14ac:dyDescent="0.25">
      <c r="A2152" s="8"/>
      <c r="B2152" s="8"/>
      <c r="C2152" s="8"/>
      <c r="D2152" s="151"/>
      <c r="E2152" s="151"/>
      <c r="F2152" s="24"/>
      <c r="G2152" s="30"/>
      <c r="H2152" s="81"/>
      <c r="I2152" s="30"/>
      <c r="J2152" s="16"/>
      <c r="K2152" s="9"/>
      <c r="L2152" s="9"/>
      <c r="M2152" s="152"/>
      <c r="N2152" s="153"/>
      <c r="O2152" s="152"/>
      <c r="P2152" s="154"/>
      <c r="Q2152" s="152"/>
      <c r="R2152" s="9"/>
      <c r="Z2152" s="21"/>
      <c r="AA2152" s="162">
        <f>+$AD$5-Tabla2[[#This Row],[FECHA DE FACTURACIÓN]]</f>
        <v>45443</v>
      </c>
      <c r="AB2152" s="163" t="str">
        <f>+IF(Tabla2[[#This Row],[dias de credito]]&gt;=Tabla2[[#This Row],[PLAZO Días]],"venc", "No venc")</f>
        <v>venc</v>
      </c>
      <c r="AC2152" s="163" t="str">
        <f>+IF(Tabla2[[#This Row],[FECHA DE PAGO]]&gt;0,"pagada","por pagar")</f>
        <v>por pagar</v>
      </c>
      <c r="AD2152" s="164" t="str">
        <f>+IF(AND(Tabla2[[#This Row],[venc]]="venc",Tabla2[[#This Row],[estado pago]]="por pagar"),"vencida","no")</f>
        <v>vencida</v>
      </c>
    </row>
    <row r="2153" spans="1:30" ht="19.5" hidden="1" customHeight="1" x14ac:dyDescent="0.25">
      <c r="A2153" s="8"/>
      <c r="B2153" s="8"/>
      <c r="C2153" s="8"/>
      <c r="D2153" s="151"/>
      <c r="E2153" s="151"/>
      <c r="F2153" s="24"/>
      <c r="G2153" s="30"/>
      <c r="H2153" s="81"/>
      <c r="I2153" s="30"/>
      <c r="J2153" s="16"/>
      <c r="K2153" s="9"/>
      <c r="L2153" s="9"/>
      <c r="M2153" s="152"/>
      <c r="N2153" s="153"/>
      <c r="O2153" s="152"/>
      <c r="P2153" s="154"/>
      <c r="Q2153" s="152"/>
      <c r="R2153" s="9"/>
      <c r="Z2153" s="21"/>
      <c r="AA2153" s="162">
        <f>+$AD$5-Tabla2[[#This Row],[FECHA DE FACTURACIÓN]]</f>
        <v>45443</v>
      </c>
      <c r="AB2153" s="163" t="str">
        <f>+IF(Tabla2[[#This Row],[dias de credito]]&gt;=Tabla2[[#This Row],[PLAZO Días]],"venc", "No venc")</f>
        <v>venc</v>
      </c>
      <c r="AC2153" s="163" t="str">
        <f>+IF(Tabla2[[#This Row],[FECHA DE PAGO]]&gt;0,"pagada","por pagar")</f>
        <v>por pagar</v>
      </c>
      <c r="AD2153" s="164" t="str">
        <f>+IF(AND(Tabla2[[#This Row],[venc]]="venc",Tabla2[[#This Row],[estado pago]]="por pagar"),"vencida","no")</f>
        <v>vencida</v>
      </c>
    </row>
    <row r="2154" spans="1:30" ht="19.5" hidden="1" customHeight="1" x14ac:dyDescent="0.25">
      <c r="A2154" s="8"/>
      <c r="B2154" s="8"/>
      <c r="C2154" s="8"/>
      <c r="D2154" s="151"/>
      <c r="E2154" s="151"/>
      <c r="F2154" s="24"/>
      <c r="G2154" s="30"/>
      <c r="H2154" s="81"/>
      <c r="I2154" s="30"/>
      <c r="J2154" s="16"/>
      <c r="K2154" s="9"/>
      <c r="L2154" s="9"/>
      <c r="M2154" s="152"/>
      <c r="N2154" s="153"/>
      <c r="O2154" s="152"/>
      <c r="P2154" s="154"/>
      <c r="Q2154" s="152"/>
      <c r="R2154" s="9"/>
      <c r="Z2154" s="21"/>
      <c r="AA2154" s="162">
        <f>+$AD$5-Tabla2[[#This Row],[FECHA DE FACTURACIÓN]]</f>
        <v>45443</v>
      </c>
      <c r="AB2154" s="163" t="str">
        <f>+IF(Tabla2[[#This Row],[dias de credito]]&gt;=Tabla2[[#This Row],[PLAZO Días]],"venc", "No venc")</f>
        <v>venc</v>
      </c>
      <c r="AC2154" s="163" t="str">
        <f>+IF(Tabla2[[#This Row],[FECHA DE PAGO]]&gt;0,"pagada","por pagar")</f>
        <v>por pagar</v>
      </c>
      <c r="AD2154" s="164" t="str">
        <f>+IF(AND(Tabla2[[#This Row],[venc]]="venc",Tabla2[[#This Row],[estado pago]]="por pagar"),"vencida","no")</f>
        <v>vencida</v>
      </c>
    </row>
    <row r="2155" spans="1:30" ht="19.5" hidden="1" customHeight="1" x14ac:dyDescent="0.25">
      <c r="A2155" s="8"/>
      <c r="B2155" s="8"/>
      <c r="C2155" s="8"/>
      <c r="D2155" s="151"/>
      <c r="E2155" s="151"/>
      <c r="F2155" s="24"/>
      <c r="G2155" s="30"/>
      <c r="H2155" s="81"/>
      <c r="I2155" s="30"/>
      <c r="J2155" s="16"/>
      <c r="K2155" s="9"/>
      <c r="L2155" s="9"/>
      <c r="M2155" s="152"/>
      <c r="N2155" s="153"/>
      <c r="O2155" s="152"/>
      <c r="P2155" s="154"/>
      <c r="Q2155" s="152"/>
      <c r="R2155" s="9"/>
      <c r="Z2155" s="21"/>
      <c r="AA2155" s="162">
        <f>+$AD$5-Tabla2[[#This Row],[FECHA DE FACTURACIÓN]]</f>
        <v>45443</v>
      </c>
      <c r="AB2155" s="163" t="str">
        <f>+IF(Tabla2[[#This Row],[dias de credito]]&gt;=Tabla2[[#This Row],[PLAZO Días]],"venc", "No venc")</f>
        <v>venc</v>
      </c>
      <c r="AC2155" s="163" t="str">
        <f>+IF(Tabla2[[#This Row],[FECHA DE PAGO]]&gt;0,"pagada","por pagar")</f>
        <v>por pagar</v>
      </c>
      <c r="AD2155" s="164" t="str">
        <f>+IF(AND(Tabla2[[#This Row],[venc]]="venc",Tabla2[[#This Row],[estado pago]]="por pagar"),"vencida","no")</f>
        <v>vencida</v>
      </c>
    </row>
    <row r="2156" spans="1:30" ht="19.5" hidden="1" customHeight="1" x14ac:dyDescent="0.25">
      <c r="A2156" s="8"/>
      <c r="B2156" s="8"/>
      <c r="C2156" s="8"/>
      <c r="D2156" s="151"/>
      <c r="E2156" s="151"/>
      <c r="F2156" s="24"/>
      <c r="G2156" s="30"/>
      <c r="H2156" s="81"/>
      <c r="I2156" s="30"/>
      <c r="J2156" s="16"/>
      <c r="K2156" s="9"/>
      <c r="L2156" s="9"/>
      <c r="M2156" s="152"/>
      <c r="N2156" s="153"/>
      <c r="O2156" s="152"/>
      <c r="P2156" s="154"/>
      <c r="Q2156" s="152"/>
      <c r="R2156" s="9"/>
      <c r="Z2156" s="21"/>
      <c r="AA2156" s="162">
        <f>+$AD$5-Tabla2[[#This Row],[FECHA DE FACTURACIÓN]]</f>
        <v>45443</v>
      </c>
      <c r="AB2156" s="163" t="str">
        <f>+IF(Tabla2[[#This Row],[dias de credito]]&gt;=Tabla2[[#This Row],[PLAZO Días]],"venc", "No venc")</f>
        <v>venc</v>
      </c>
      <c r="AC2156" s="163" t="str">
        <f>+IF(Tabla2[[#This Row],[FECHA DE PAGO]]&gt;0,"pagada","por pagar")</f>
        <v>por pagar</v>
      </c>
      <c r="AD2156" s="164" t="str">
        <f>+IF(AND(Tabla2[[#This Row],[venc]]="venc",Tabla2[[#This Row],[estado pago]]="por pagar"),"vencida","no")</f>
        <v>vencida</v>
      </c>
    </row>
    <row r="2157" spans="1:30" ht="19.5" hidden="1" customHeight="1" x14ac:dyDescent="0.25">
      <c r="A2157" s="8"/>
      <c r="B2157" s="8"/>
      <c r="C2157" s="8"/>
      <c r="D2157" s="151"/>
      <c r="E2157" s="151"/>
      <c r="F2157" s="24"/>
      <c r="G2157" s="30"/>
      <c r="H2157" s="81"/>
      <c r="I2157" s="30"/>
      <c r="J2157" s="16"/>
      <c r="K2157" s="9"/>
      <c r="L2157" s="9"/>
      <c r="M2157" s="152"/>
      <c r="N2157" s="153"/>
      <c r="O2157" s="152"/>
      <c r="P2157" s="154"/>
      <c r="Q2157" s="152"/>
      <c r="R2157" s="9"/>
      <c r="Z2157" s="21"/>
      <c r="AA2157" s="162">
        <f>+$AD$5-Tabla2[[#This Row],[FECHA DE FACTURACIÓN]]</f>
        <v>45443</v>
      </c>
      <c r="AB2157" s="163" t="str">
        <f>+IF(Tabla2[[#This Row],[dias de credito]]&gt;=Tabla2[[#This Row],[PLAZO Días]],"venc", "No venc")</f>
        <v>venc</v>
      </c>
      <c r="AC2157" s="163" t="str">
        <f>+IF(Tabla2[[#This Row],[FECHA DE PAGO]]&gt;0,"pagada","por pagar")</f>
        <v>por pagar</v>
      </c>
      <c r="AD2157" s="164" t="str">
        <f>+IF(AND(Tabla2[[#This Row],[venc]]="venc",Tabla2[[#This Row],[estado pago]]="por pagar"),"vencida","no")</f>
        <v>vencida</v>
      </c>
    </row>
    <row r="2158" spans="1:30" ht="19.5" hidden="1" customHeight="1" x14ac:dyDescent="0.25">
      <c r="A2158" s="8"/>
      <c r="B2158" s="8"/>
      <c r="C2158" s="8"/>
      <c r="D2158" s="151"/>
      <c r="E2158" s="151"/>
      <c r="F2158" s="24"/>
      <c r="G2158" s="30"/>
      <c r="H2158" s="81"/>
      <c r="I2158" s="30"/>
      <c r="J2158" s="16"/>
      <c r="K2158" s="9"/>
      <c r="L2158" s="9"/>
      <c r="M2158" s="152"/>
      <c r="N2158" s="153"/>
      <c r="O2158" s="152"/>
      <c r="P2158" s="154"/>
      <c r="Q2158" s="152"/>
      <c r="R2158" s="9"/>
      <c r="Z2158" s="21"/>
      <c r="AA2158" s="162">
        <f>+$AD$5-Tabla2[[#This Row],[FECHA DE FACTURACIÓN]]</f>
        <v>45443</v>
      </c>
      <c r="AB2158" s="163" t="str">
        <f>+IF(Tabla2[[#This Row],[dias de credito]]&gt;=Tabla2[[#This Row],[PLAZO Días]],"venc", "No venc")</f>
        <v>venc</v>
      </c>
      <c r="AC2158" s="163" t="str">
        <f>+IF(Tabla2[[#This Row],[FECHA DE PAGO]]&gt;0,"pagada","por pagar")</f>
        <v>por pagar</v>
      </c>
      <c r="AD2158" s="164" t="str">
        <f>+IF(AND(Tabla2[[#This Row],[venc]]="venc",Tabla2[[#This Row],[estado pago]]="por pagar"),"vencida","no")</f>
        <v>vencida</v>
      </c>
    </row>
    <row r="2159" spans="1:30" ht="19.5" hidden="1" customHeight="1" x14ac:dyDescent="0.25">
      <c r="A2159" s="8"/>
      <c r="B2159" s="8"/>
      <c r="C2159" s="8"/>
      <c r="D2159" s="151"/>
      <c r="E2159" s="151"/>
      <c r="F2159" s="24"/>
      <c r="G2159" s="30"/>
      <c r="H2159" s="81"/>
      <c r="I2159" s="30"/>
      <c r="J2159" s="16"/>
      <c r="K2159" s="9"/>
      <c r="L2159" s="9"/>
      <c r="M2159" s="152"/>
      <c r="N2159" s="153"/>
      <c r="O2159" s="152"/>
      <c r="P2159" s="154"/>
      <c r="Q2159" s="152"/>
      <c r="R2159" s="9"/>
      <c r="Z2159" s="21"/>
      <c r="AA2159" s="162">
        <f>+$AD$5-Tabla2[[#This Row],[FECHA DE FACTURACIÓN]]</f>
        <v>45443</v>
      </c>
      <c r="AB2159" s="163" t="str">
        <f>+IF(Tabla2[[#This Row],[dias de credito]]&gt;=Tabla2[[#This Row],[PLAZO Días]],"venc", "No venc")</f>
        <v>venc</v>
      </c>
      <c r="AC2159" s="163" t="str">
        <f>+IF(Tabla2[[#This Row],[FECHA DE PAGO]]&gt;0,"pagada","por pagar")</f>
        <v>por pagar</v>
      </c>
      <c r="AD2159" s="164" t="str">
        <f>+IF(AND(Tabla2[[#This Row],[venc]]="venc",Tabla2[[#This Row],[estado pago]]="por pagar"),"vencida","no")</f>
        <v>vencida</v>
      </c>
    </row>
    <row r="2160" spans="1:30" ht="19.5" hidden="1" customHeight="1" x14ac:dyDescent="0.25">
      <c r="A2160" s="8"/>
      <c r="B2160" s="8"/>
      <c r="C2160" s="8"/>
      <c r="D2160" s="151"/>
      <c r="E2160" s="151"/>
      <c r="F2160" s="24"/>
      <c r="G2160" s="30"/>
      <c r="H2160" s="81"/>
      <c r="I2160" s="30"/>
      <c r="J2160" s="16"/>
      <c r="K2160" s="9"/>
      <c r="L2160" s="9"/>
      <c r="M2160" s="152"/>
      <c r="N2160" s="153"/>
      <c r="O2160" s="152"/>
      <c r="P2160" s="154"/>
      <c r="Q2160" s="152"/>
      <c r="R2160" s="9"/>
      <c r="Z2160" s="21"/>
      <c r="AA2160" s="162">
        <f>+$AD$5-Tabla2[[#This Row],[FECHA DE FACTURACIÓN]]</f>
        <v>45443</v>
      </c>
      <c r="AB2160" s="163" t="str">
        <f>+IF(Tabla2[[#This Row],[dias de credito]]&gt;=Tabla2[[#This Row],[PLAZO Días]],"venc", "No venc")</f>
        <v>venc</v>
      </c>
      <c r="AC2160" s="163" t="str">
        <f>+IF(Tabla2[[#This Row],[FECHA DE PAGO]]&gt;0,"pagada","por pagar")</f>
        <v>por pagar</v>
      </c>
      <c r="AD2160" s="164" t="str">
        <f>+IF(AND(Tabla2[[#This Row],[venc]]="venc",Tabla2[[#This Row],[estado pago]]="por pagar"),"vencida","no")</f>
        <v>vencida</v>
      </c>
    </row>
    <row r="2161" spans="1:30" ht="19.5" hidden="1" customHeight="1" x14ac:dyDescent="0.25">
      <c r="A2161" s="8"/>
      <c r="B2161" s="8"/>
      <c r="C2161" s="8"/>
      <c r="D2161" s="151"/>
      <c r="E2161" s="151"/>
      <c r="F2161" s="24"/>
      <c r="G2161" s="30"/>
      <c r="H2161" s="81"/>
      <c r="I2161" s="30"/>
      <c r="J2161" s="16"/>
      <c r="K2161" s="9"/>
      <c r="L2161" s="9"/>
      <c r="M2161" s="152"/>
      <c r="N2161" s="153"/>
      <c r="O2161" s="152"/>
      <c r="P2161" s="154"/>
      <c r="Q2161" s="152"/>
      <c r="R2161" s="9"/>
      <c r="Z2161" s="21"/>
      <c r="AA2161" s="162">
        <f>+$AD$5-Tabla2[[#This Row],[FECHA DE FACTURACIÓN]]</f>
        <v>45443</v>
      </c>
      <c r="AB2161" s="163" t="str">
        <f>+IF(Tabla2[[#This Row],[dias de credito]]&gt;=Tabla2[[#This Row],[PLAZO Días]],"venc", "No venc")</f>
        <v>venc</v>
      </c>
      <c r="AC2161" s="163" t="str">
        <f>+IF(Tabla2[[#This Row],[FECHA DE PAGO]]&gt;0,"pagada","por pagar")</f>
        <v>por pagar</v>
      </c>
      <c r="AD2161" s="164" t="str">
        <f>+IF(AND(Tabla2[[#This Row],[venc]]="venc",Tabla2[[#This Row],[estado pago]]="por pagar"),"vencida","no")</f>
        <v>vencida</v>
      </c>
    </row>
    <row r="2162" spans="1:30" ht="19.5" hidden="1" customHeight="1" x14ac:dyDescent="0.25">
      <c r="A2162" s="8"/>
      <c r="B2162" s="8"/>
      <c r="C2162" s="8"/>
      <c r="D2162" s="151"/>
      <c r="E2162" s="151"/>
      <c r="F2162" s="24"/>
      <c r="G2162" s="30"/>
      <c r="H2162" s="81"/>
      <c r="I2162" s="30"/>
      <c r="J2162" s="16"/>
      <c r="K2162" s="9"/>
      <c r="L2162" s="9"/>
      <c r="M2162" s="152"/>
      <c r="N2162" s="153"/>
      <c r="O2162" s="152"/>
      <c r="P2162" s="154"/>
      <c r="Q2162" s="152"/>
      <c r="R2162" s="9"/>
      <c r="Z2162" s="21"/>
      <c r="AA2162" s="162">
        <f>+$AD$5-Tabla2[[#This Row],[FECHA DE FACTURACIÓN]]</f>
        <v>45443</v>
      </c>
      <c r="AB2162" s="163" t="str">
        <f>+IF(Tabla2[[#This Row],[dias de credito]]&gt;=Tabla2[[#This Row],[PLAZO Días]],"venc", "No venc")</f>
        <v>venc</v>
      </c>
      <c r="AC2162" s="163" t="str">
        <f>+IF(Tabla2[[#This Row],[FECHA DE PAGO]]&gt;0,"pagada","por pagar")</f>
        <v>por pagar</v>
      </c>
      <c r="AD2162" s="164" t="str">
        <f>+IF(AND(Tabla2[[#This Row],[venc]]="venc",Tabla2[[#This Row],[estado pago]]="por pagar"),"vencida","no")</f>
        <v>vencida</v>
      </c>
    </row>
    <row r="2163" spans="1:30" ht="19.5" hidden="1" customHeight="1" x14ac:dyDescent="0.25">
      <c r="A2163" s="8"/>
      <c r="B2163" s="8"/>
      <c r="C2163" s="8"/>
      <c r="D2163" s="151"/>
      <c r="E2163" s="151"/>
      <c r="F2163" s="24"/>
      <c r="G2163" s="30"/>
      <c r="H2163" s="81"/>
      <c r="I2163" s="30"/>
      <c r="J2163" s="16"/>
      <c r="K2163" s="9"/>
      <c r="L2163" s="9"/>
      <c r="M2163" s="152"/>
      <c r="N2163" s="153"/>
      <c r="O2163" s="152"/>
      <c r="P2163" s="154"/>
      <c r="Q2163" s="152"/>
      <c r="R2163" s="9"/>
      <c r="Z2163" s="21"/>
      <c r="AA2163" s="162">
        <f>+$AD$5-Tabla2[[#This Row],[FECHA DE FACTURACIÓN]]</f>
        <v>45443</v>
      </c>
      <c r="AB2163" s="163" t="str">
        <f>+IF(Tabla2[[#This Row],[dias de credito]]&gt;=Tabla2[[#This Row],[PLAZO Días]],"venc", "No venc")</f>
        <v>venc</v>
      </c>
      <c r="AC2163" s="163" t="str">
        <f>+IF(Tabla2[[#This Row],[FECHA DE PAGO]]&gt;0,"pagada","por pagar")</f>
        <v>por pagar</v>
      </c>
      <c r="AD2163" s="164" t="str">
        <f>+IF(AND(Tabla2[[#This Row],[venc]]="venc",Tabla2[[#This Row],[estado pago]]="por pagar"),"vencida","no")</f>
        <v>vencida</v>
      </c>
    </row>
    <row r="2164" spans="1:30" ht="19.5" hidden="1" customHeight="1" x14ac:dyDescent="0.25">
      <c r="A2164" s="8"/>
      <c r="B2164" s="8"/>
      <c r="C2164" s="8"/>
      <c r="D2164" s="151"/>
      <c r="E2164" s="151"/>
      <c r="F2164" s="24"/>
      <c r="G2164" s="30"/>
      <c r="H2164" s="81"/>
      <c r="I2164" s="30"/>
      <c r="J2164" s="16"/>
      <c r="K2164" s="9"/>
      <c r="L2164" s="9"/>
      <c r="M2164" s="152"/>
      <c r="N2164" s="153"/>
      <c r="O2164" s="152"/>
      <c r="P2164" s="154"/>
      <c r="Q2164" s="152"/>
      <c r="R2164" s="9"/>
      <c r="Z2164" s="21"/>
      <c r="AA2164" s="162">
        <f>+$AD$5-Tabla2[[#This Row],[FECHA DE FACTURACIÓN]]</f>
        <v>45443</v>
      </c>
      <c r="AB2164" s="163" t="str">
        <f>+IF(Tabla2[[#This Row],[dias de credito]]&gt;=Tabla2[[#This Row],[PLAZO Días]],"venc", "No venc")</f>
        <v>venc</v>
      </c>
      <c r="AC2164" s="163" t="str">
        <f>+IF(Tabla2[[#This Row],[FECHA DE PAGO]]&gt;0,"pagada","por pagar")</f>
        <v>por pagar</v>
      </c>
      <c r="AD2164" s="164" t="str">
        <f>+IF(AND(Tabla2[[#This Row],[venc]]="venc",Tabla2[[#This Row],[estado pago]]="por pagar"),"vencida","no")</f>
        <v>vencida</v>
      </c>
    </row>
    <row r="2165" spans="1:30" ht="19.5" hidden="1" customHeight="1" x14ac:dyDescent="0.25">
      <c r="A2165" s="8"/>
      <c r="B2165" s="8"/>
      <c r="C2165" s="8"/>
      <c r="D2165" s="151"/>
      <c r="E2165" s="151"/>
      <c r="F2165" s="24"/>
      <c r="G2165" s="30"/>
      <c r="H2165" s="81"/>
      <c r="I2165" s="30"/>
      <c r="J2165" s="16"/>
      <c r="K2165" s="9"/>
      <c r="L2165" s="9"/>
      <c r="M2165" s="152"/>
      <c r="N2165" s="153"/>
      <c r="O2165" s="152"/>
      <c r="P2165" s="154"/>
      <c r="Q2165" s="152"/>
      <c r="R2165" s="9"/>
      <c r="Z2165" s="21"/>
      <c r="AA2165" s="162">
        <f>+$AD$5-Tabla2[[#This Row],[FECHA DE FACTURACIÓN]]</f>
        <v>45443</v>
      </c>
      <c r="AB2165" s="163" t="str">
        <f>+IF(Tabla2[[#This Row],[dias de credito]]&gt;=Tabla2[[#This Row],[PLAZO Días]],"venc", "No venc")</f>
        <v>venc</v>
      </c>
      <c r="AC2165" s="163" t="str">
        <f>+IF(Tabla2[[#This Row],[FECHA DE PAGO]]&gt;0,"pagada","por pagar")</f>
        <v>por pagar</v>
      </c>
      <c r="AD2165" s="164" t="str">
        <f>+IF(AND(Tabla2[[#This Row],[venc]]="venc",Tabla2[[#This Row],[estado pago]]="por pagar"),"vencida","no")</f>
        <v>vencida</v>
      </c>
    </row>
    <row r="2166" spans="1:30" ht="19.5" hidden="1" customHeight="1" x14ac:dyDescent="0.25">
      <c r="A2166" s="8"/>
      <c r="B2166" s="8"/>
      <c r="C2166" s="8"/>
      <c r="D2166" s="151"/>
      <c r="E2166" s="151"/>
      <c r="F2166" s="24"/>
      <c r="G2166" s="30"/>
      <c r="H2166" s="81"/>
      <c r="I2166" s="30"/>
      <c r="J2166" s="16"/>
      <c r="K2166" s="9"/>
      <c r="L2166" s="9"/>
      <c r="M2166" s="152"/>
      <c r="N2166" s="153"/>
      <c r="O2166" s="152"/>
      <c r="P2166" s="154"/>
      <c r="Q2166" s="152"/>
      <c r="R2166" s="9"/>
      <c r="Z2166" s="21"/>
      <c r="AA2166" s="162">
        <f>+$AD$5-Tabla2[[#This Row],[FECHA DE FACTURACIÓN]]</f>
        <v>45443</v>
      </c>
      <c r="AB2166" s="163" t="str">
        <f>+IF(Tabla2[[#This Row],[dias de credito]]&gt;=Tabla2[[#This Row],[PLAZO Días]],"venc", "No venc")</f>
        <v>venc</v>
      </c>
      <c r="AC2166" s="163" t="str">
        <f>+IF(Tabla2[[#This Row],[FECHA DE PAGO]]&gt;0,"pagada","por pagar")</f>
        <v>por pagar</v>
      </c>
      <c r="AD2166" s="164" t="str">
        <f>+IF(AND(Tabla2[[#This Row],[venc]]="venc",Tabla2[[#This Row],[estado pago]]="por pagar"),"vencida","no")</f>
        <v>vencida</v>
      </c>
    </row>
    <row r="2167" spans="1:30" ht="19.5" hidden="1" customHeight="1" x14ac:dyDescent="0.25">
      <c r="A2167" s="8"/>
      <c r="B2167" s="8"/>
      <c r="C2167" s="8"/>
      <c r="D2167" s="151"/>
      <c r="E2167" s="151"/>
      <c r="F2167" s="24"/>
      <c r="G2167" s="30"/>
      <c r="H2167" s="81"/>
      <c r="I2167" s="30"/>
      <c r="J2167" s="16"/>
      <c r="K2167" s="9"/>
      <c r="L2167" s="9"/>
      <c r="M2167" s="152"/>
      <c r="N2167" s="153"/>
      <c r="O2167" s="152"/>
      <c r="P2167" s="154"/>
      <c r="Q2167" s="152"/>
      <c r="R2167" s="9"/>
      <c r="Z2167" s="21"/>
      <c r="AA2167" s="162">
        <f>+$AD$5-Tabla2[[#This Row],[FECHA DE FACTURACIÓN]]</f>
        <v>45443</v>
      </c>
      <c r="AB2167" s="163" t="str">
        <f>+IF(Tabla2[[#This Row],[dias de credito]]&gt;=Tabla2[[#This Row],[PLAZO Días]],"venc", "No venc")</f>
        <v>venc</v>
      </c>
      <c r="AC2167" s="163" t="str">
        <f>+IF(Tabla2[[#This Row],[FECHA DE PAGO]]&gt;0,"pagada","por pagar")</f>
        <v>por pagar</v>
      </c>
      <c r="AD2167" s="164" t="str">
        <f>+IF(AND(Tabla2[[#This Row],[venc]]="venc",Tabla2[[#This Row],[estado pago]]="por pagar"),"vencida","no")</f>
        <v>vencida</v>
      </c>
    </row>
    <row r="2168" spans="1:30" ht="19.5" hidden="1" customHeight="1" x14ac:dyDescent="0.25">
      <c r="A2168" s="8"/>
      <c r="B2168" s="8"/>
      <c r="C2168" s="8"/>
      <c r="D2168" s="151"/>
      <c r="E2168" s="151"/>
      <c r="F2168" s="24"/>
      <c r="G2168" s="30"/>
      <c r="H2168" s="81"/>
      <c r="I2168" s="30"/>
      <c r="J2168" s="16"/>
      <c r="K2168" s="9"/>
      <c r="L2168" s="9"/>
      <c r="M2168" s="152"/>
      <c r="N2168" s="153"/>
      <c r="O2168" s="152"/>
      <c r="P2168" s="154"/>
      <c r="Q2168" s="152"/>
      <c r="R2168" s="9"/>
      <c r="Z2168" s="21"/>
      <c r="AA2168" s="162">
        <f>+$AD$5-Tabla2[[#This Row],[FECHA DE FACTURACIÓN]]</f>
        <v>45443</v>
      </c>
      <c r="AB2168" s="163" t="str">
        <f>+IF(Tabla2[[#This Row],[dias de credito]]&gt;=Tabla2[[#This Row],[PLAZO Días]],"venc", "No venc")</f>
        <v>venc</v>
      </c>
      <c r="AC2168" s="163" t="str">
        <f>+IF(Tabla2[[#This Row],[FECHA DE PAGO]]&gt;0,"pagada","por pagar")</f>
        <v>por pagar</v>
      </c>
      <c r="AD2168" s="164" t="str">
        <f>+IF(AND(Tabla2[[#This Row],[venc]]="venc",Tabla2[[#This Row],[estado pago]]="por pagar"),"vencida","no")</f>
        <v>vencida</v>
      </c>
    </row>
    <row r="2169" spans="1:30" ht="19.5" hidden="1" customHeight="1" x14ac:dyDescent="0.25">
      <c r="A2169" s="8"/>
      <c r="B2169" s="8"/>
      <c r="C2169" s="8"/>
      <c r="D2169" s="151"/>
      <c r="E2169" s="151"/>
      <c r="F2169" s="24"/>
      <c r="G2169" s="30"/>
      <c r="H2169" s="81"/>
      <c r="I2169" s="30"/>
      <c r="J2169" s="16"/>
      <c r="K2169" s="9"/>
      <c r="L2169" s="9"/>
      <c r="M2169" s="152"/>
      <c r="N2169" s="153"/>
      <c r="O2169" s="152"/>
      <c r="P2169" s="154"/>
      <c r="Q2169" s="152"/>
      <c r="R2169" s="9"/>
      <c r="Z2169" s="21"/>
      <c r="AA2169" s="162">
        <f>+$AD$5-Tabla2[[#This Row],[FECHA DE FACTURACIÓN]]</f>
        <v>45443</v>
      </c>
      <c r="AB2169" s="163" t="str">
        <f>+IF(Tabla2[[#This Row],[dias de credito]]&gt;=Tabla2[[#This Row],[PLAZO Días]],"venc", "No venc")</f>
        <v>venc</v>
      </c>
      <c r="AC2169" s="163" t="str">
        <f>+IF(Tabla2[[#This Row],[FECHA DE PAGO]]&gt;0,"pagada","por pagar")</f>
        <v>por pagar</v>
      </c>
      <c r="AD2169" s="164" t="str">
        <f>+IF(AND(Tabla2[[#This Row],[venc]]="venc",Tabla2[[#This Row],[estado pago]]="por pagar"),"vencida","no")</f>
        <v>vencida</v>
      </c>
    </row>
    <row r="2170" spans="1:30" ht="19.5" hidden="1" customHeight="1" x14ac:dyDescent="0.25">
      <c r="A2170" s="8"/>
      <c r="B2170" s="8"/>
      <c r="C2170" s="8"/>
      <c r="D2170" s="151"/>
      <c r="E2170" s="151"/>
      <c r="F2170" s="24"/>
      <c r="G2170" s="30"/>
      <c r="H2170" s="81"/>
      <c r="I2170" s="30"/>
      <c r="J2170" s="16"/>
      <c r="K2170" s="9"/>
      <c r="L2170" s="9"/>
      <c r="M2170" s="152"/>
      <c r="N2170" s="153"/>
      <c r="O2170" s="152"/>
      <c r="P2170" s="154"/>
      <c r="Q2170" s="152"/>
      <c r="R2170" s="9"/>
      <c r="Z2170" s="21"/>
      <c r="AA2170" s="162">
        <f>+$AD$5-Tabla2[[#This Row],[FECHA DE FACTURACIÓN]]</f>
        <v>45443</v>
      </c>
      <c r="AB2170" s="163" t="str">
        <f>+IF(Tabla2[[#This Row],[dias de credito]]&gt;=Tabla2[[#This Row],[PLAZO Días]],"venc", "No venc")</f>
        <v>venc</v>
      </c>
      <c r="AC2170" s="163" t="str">
        <f>+IF(Tabla2[[#This Row],[FECHA DE PAGO]]&gt;0,"pagada","por pagar")</f>
        <v>por pagar</v>
      </c>
      <c r="AD2170" s="164" t="str">
        <f>+IF(AND(Tabla2[[#This Row],[venc]]="venc",Tabla2[[#This Row],[estado pago]]="por pagar"),"vencida","no")</f>
        <v>vencida</v>
      </c>
    </row>
    <row r="2171" spans="1:30" ht="19.5" hidden="1" customHeight="1" x14ac:dyDescent="0.25">
      <c r="A2171" s="8"/>
      <c r="B2171" s="8"/>
      <c r="C2171" s="8"/>
      <c r="D2171" s="151"/>
      <c r="E2171" s="151"/>
      <c r="F2171" s="24"/>
      <c r="G2171" s="30"/>
      <c r="H2171" s="81"/>
      <c r="I2171" s="30"/>
      <c r="J2171" s="16"/>
      <c r="K2171" s="9"/>
      <c r="L2171" s="9"/>
      <c r="M2171" s="152"/>
      <c r="N2171" s="153"/>
      <c r="O2171" s="152"/>
      <c r="P2171" s="154"/>
      <c r="Q2171" s="152"/>
      <c r="R2171" s="9"/>
      <c r="Z2171" s="21"/>
      <c r="AA2171" s="162">
        <f>+$AD$5-Tabla2[[#This Row],[FECHA DE FACTURACIÓN]]</f>
        <v>45443</v>
      </c>
      <c r="AB2171" s="163" t="str">
        <f>+IF(Tabla2[[#This Row],[dias de credito]]&gt;=Tabla2[[#This Row],[PLAZO Días]],"venc", "No venc")</f>
        <v>venc</v>
      </c>
      <c r="AC2171" s="163" t="str">
        <f>+IF(Tabla2[[#This Row],[FECHA DE PAGO]]&gt;0,"pagada","por pagar")</f>
        <v>por pagar</v>
      </c>
      <c r="AD2171" s="164" t="str">
        <f>+IF(AND(Tabla2[[#This Row],[venc]]="venc",Tabla2[[#This Row],[estado pago]]="por pagar"),"vencida","no")</f>
        <v>vencida</v>
      </c>
    </row>
    <row r="2172" spans="1:30" ht="19.5" hidden="1" customHeight="1" x14ac:dyDescent="0.25">
      <c r="A2172" s="8"/>
      <c r="B2172" s="8"/>
      <c r="C2172" s="8"/>
      <c r="D2172" s="151"/>
      <c r="E2172" s="151"/>
      <c r="F2172" s="24"/>
      <c r="G2172" s="30"/>
      <c r="H2172" s="81"/>
      <c r="I2172" s="30"/>
      <c r="J2172" s="16"/>
      <c r="K2172" s="9"/>
      <c r="L2172" s="9"/>
      <c r="M2172" s="152"/>
      <c r="N2172" s="153"/>
      <c r="O2172" s="152"/>
      <c r="P2172" s="154"/>
      <c r="Q2172" s="152"/>
      <c r="R2172" s="9"/>
      <c r="Z2172" s="21"/>
      <c r="AA2172" s="162">
        <f>+$AD$5-Tabla2[[#This Row],[FECHA DE FACTURACIÓN]]</f>
        <v>45443</v>
      </c>
      <c r="AB2172" s="163" t="str">
        <f>+IF(Tabla2[[#This Row],[dias de credito]]&gt;=Tabla2[[#This Row],[PLAZO Días]],"venc", "No venc")</f>
        <v>venc</v>
      </c>
      <c r="AC2172" s="163" t="str">
        <f>+IF(Tabla2[[#This Row],[FECHA DE PAGO]]&gt;0,"pagada","por pagar")</f>
        <v>por pagar</v>
      </c>
      <c r="AD2172" s="164" t="str">
        <f>+IF(AND(Tabla2[[#This Row],[venc]]="venc",Tabla2[[#This Row],[estado pago]]="por pagar"),"vencida","no")</f>
        <v>vencida</v>
      </c>
    </row>
    <row r="2173" spans="1:30" ht="19.5" hidden="1" customHeight="1" x14ac:dyDescent="0.25">
      <c r="A2173" s="8"/>
      <c r="B2173" s="8"/>
      <c r="C2173" s="8"/>
      <c r="D2173" s="151"/>
      <c r="E2173" s="151"/>
      <c r="F2173" s="24"/>
      <c r="G2173" s="30"/>
      <c r="H2173" s="81"/>
      <c r="I2173" s="30"/>
      <c r="J2173" s="16"/>
      <c r="K2173" s="9"/>
      <c r="L2173" s="9"/>
      <c r="M2173" s="152"/>
      <c r="N2173" s="153"/>
      <c r="O2173" s="152"/>
      <c r="P2173" s="154"/>
      <c r="Q2173" s="152"/>
      <c r="R2173" s="9"/>
      <c r="Z2173" s="21"/>
      <c r="AA2173" s="162">
        <f>+$AD$5-Tabla2[[#This Row],[FECHA DE FACTURACIÓN]]</f>
        <v>45443</v>
      </c>
      <c r="AB2173" s="163" t="str">
        <f>+IF(Tabla2[[#This Row],[dias de credito]]&gt;=Tabla2[[#This Row],[PLAZO Días]],"venc", "No venc")</f>
        <v>venc</v>
      </c>
      <c r="AC2173" s="163" t="str">
        <f>+IF(Tabla2[[#This Row],[FECHA DE PAGO]]&gt;0,"pagada","por pagar")</f>
        <v>por pagar</v>
      </c>
      <c r="AD2173" s="164" t="str">
        <f>+IF(AND(Tabla2[[#This Row],[venc]]="venc",Tabla2[[#This Row],[estado pago]]="por pagar"),"vencida","no")</f>
        <v>vencida</v>
      </c>
    </row>
    <row r="2174" spans="1:30" ht="19.5" hidden="1" customHeight="1" x14ac:dyDescent="0.25">
      <c r="A2174" s="8"/>
      <c r="B2174" s="8"/>
      <c r="C2174" s="8"/>
      <c r="D2174" s="151"/>
      <c r="E2174" s="151"/>
      <c r="F2174" s="24"/>
      <c r="G2174" s="30"/>
      <c r="H2174" s="81"/>
      <c r="I2174" s="30"/>
      <c r="J2174" s="16"/>
      <c r="K2174" s="9"/>
      <c r="L2174" s="9"/>
      <c r="M2174" s="152"/>
      <c r="N2174" s="153"/>
      <c r="O2174" s="152"/>
      <c r="P2174" s="154"/>
      <c r="Q2174" s="152"/>
      <c r="R2174" s="9"/>
      <c r="Z2174" s="21"/>
      <c r="AA2174" s="162">
        <f>+$AD$5-Tabla2[[#This Row],[FECHA DE FACTURACIÓN]]</f>
        <v>45443</v>
      </c>
      <c r="AB2174" s="163" t="str">
        <f>+IF(Tabla2[[#This Row],[dias de credito]]&gt;=Tabla2[[#This Row],[PLAZO Días]],"venc", "No venc")</f>
        <v>venc</v>
      </c>
      <c r="AC2174" s="163" t="str">
        <f>+IF(Tabla2[[#This Row],[FECHA DE PAGO]]&gt;0,"pagada","por pagar")</f>
        <v>por pagar</v>
      </c>
      <c r="AD2174" s="164" t="str">
        <f>+IF(AND(Tabla2[[#This Row],[venc]]="venc",Tabla2[[#This Row],[estado pago]]="por pagar"),"vencida","no")</f>
        <v>vencida</v>
      </c>
    </row>
    <row r="2175" spans="1:30" ht="19.5" hidden="1" customHeight="1" x14ac:dyDescent="0.25">
      <c r="A2175" s="8"/>
      <c r="B2175" s="8"/>
      <c r="C2175" s="8"/>
      <c r="D2175" s="151"/>
      <c r="E2175" s="151"/>
      <c r="F2175" s="24"/>
      <c r="G2175" s="30"/>
      <c r="H2175" s="81"/>
      <c r="I2175" s="30"/>
      <c r="J2175" s="16"/>
      <c r="K2175" s="9"/>
      <c r="L2175" s="9"/>
      <c r="M2175" s="152"/>
      <c r="N2175" s="153"/>
      <c r="O2175" s="152"/>
      <c r="P2175" s="154"/>
      <c r="Q2175" s="152"/>
      <c r="R2175" s="9"/>
      <c r="Z2175" s="21"/>
      <c r="AA2175" s="162">
        <f>+$AD$5-Tabla2[[#This Row],[FECHA DE FACTURACIÓN]]</f>
        <v>45443</v>
      </c>
      <c r="AB2175" s="163" t="str">
        <f>+IF(Tabla2[[#This Row],[dias de credito]]&gt;=Tabla2[[#This Row],[PLAZO Días]],"venc", "No venc")</f>
        <v>venc</v>
      </c>
      <c r="AC2175" s="163" t="str">
        <f>+IF(Tabla2[[#This Row],[FECHA DE PAGO]]&gt;0,"pagada","por pagar")</f>
        <v>por pagar</v>
      </c>
      <c r="AD2175" s="164" t="str">
        <f>+IF(AND(Tabla2[[#This Row],[venc]]="venc",Tabla2[[#This Row],[estado pago]]="por pagar"),"vencida","no")</f>
        <v>vencida</v>
      </c>
    </row>
    <row r="2176" spans="1:30" ht="19.5" hidden="1" customHeight="1" x14ac:dyDescent="0.25">
      <c r="A2176" s="8"/>
      <c r="B2176" s="8"/>
      <c r="C2176" s="8"/>
      <c r="D2176" s="151"/>
      <c r="E2176" s="151"/>
      <c r="F2176" s="24"/>
      <c r="G2176" s="30"/>
      <c r="H2176" s="81"/>
      <c r="I2176" s="30"/>
      <c r="J2176" s="16"/>
      <c r="K2176" s="9"/>
      <c r="L2176" s="9"/>
      <c r="M2176" s="152"/>
      <c r="N2176" s="153"/>
      <c r="O2176" s="152"/>
      <c r="P2176" s="154"/>
      <c r="Q2176" s="152"/>
      <c r="R2176" s="9"/>
      <c r="Z2176" s="21"/>
      <c r="AA2176" s="162">
        <f>+$AD$5-Tabla2[[#This Row],[FECHA DE FACTURACIÓN]]</f>
        <v>45443</v>
      </c>
      <c r="AB2176" s="163" t="str">
        <f>+IF(Tabla2[[#This Row],[dias de credito]]&gt;=Tabla2[[#This Row],[PLAZO Días]],"venc", "No venc")</f>
        <v>venc</v>
      </c>
      <c r="AC2176" s="163" t="str">
        <f>+IF(Tabla2[[#This Row],[FECHA DE PAGO]]&gt;0,"pagada","por pagar")</f>
        <v>por pagar</v>
      </c>
      <c r="AD2176" s="164" t="str">
        <f>+IF(AND(Tabla2[[#This Row],[venc]]="venc",Tabla2[[#This Row],[estado pago]]="por pagar"),"vencida","no")</f>
        <v>vencida</v>
      </c>
    </row>
    <row r="2177" spans="1:30" ht="19.5" hidden="1" customHeight="1" x14ac:dyDescent="0.25">
      <c r="A2177" s="8"/>
      <c r="B2177" s="8"/>
      <c r="C2177" s="8"/>
      <c r="D2177" s="151"/>
      <c r="E2177" s="151"/>
      <c r="F2177" s="24"/>
      <c r="G2177" s="30"/>
      <c r="H2177" s="81"/>
      <c r="I2177" s="30"/>
      <c r="J2177" s="16"/>
      <c r="K2177" s="9"/>
      <c r="L2177" s="9"/>
      <c r="M2177" s="152"/>
      <c r="N2177" s="153"/>
      <c r="O2177" s="152"/>
      <c r="P2177" s="154"/>
      <c r="Q2177" s="152"/>
      <c r="R2177" s="9"/>
      <c r="Z2177" s="21"/>
      <c r="AA2177" s="162">
        <f>+$AD$5-Tabla2[[#This Row],[FECHA DE FACTURACIÓN]]</f>
        <v>45443</v>
      </c>
      <c r="AB2177" s="163" t="str">
        <f>+IF(Tabla2[[#This Row],[dias de credito]]&gt;=Tabla2[[#This Row],[PLAZO Días]],"venc", "No venc")</f>
        <v>venc</v>
      </c>
      <c r="AC2177" s="163" t="str">
        <f>+IF(Tabla2[[#This Row],[FECHA DE PAGO]]&gt;0,"pagada","por pagar")</f>
        <v>por pagar</v>
      </c>
      <c r="AD2177" s="164" t="str">
        <f>+IF(AND(Tabla2[[#This Row],[venc]]="venc",Tabla2[[#This Row],[estado pago]]="por pagar"),"vencida","no")</f>
        <v>vencida</v>
      </c>
    </row>
    <row r="2178" spans="1:30" ht="19.5" hidden="1" customHeight="1" x14ac:dyDescent="0.25">
      <c r="A2178" s="8"/>
      <c r="B2178" s="8"/>
      <c r="C2178" s="8"/>
      <c r="D2178" s="151"/>
      <c r="E2178" s="151"/>
      <c r="F2178" s="24"/>
      <c r="G2178" s="30"/>
      <c r="H2178" s="81"/>
      <c r="I2178" s="30"/>
      <c r="J2178" s="16"/>
      <c r="K2178" s="9"/>
      <c r="L2178" s="9"/>
      <c r="M2178" s="152"/>
      <c r="N2178" s="153"/>
      <c r="O2178" s="152"/>
      <c r="P2178" s="154"/>
      <c r="Q2178" s="152"/>
      <c r="R2178" s="9"/>
      <c r="Z2178" s="21"/>
      <c r="AA2178" s="162">
        <f>+$AD$5-Tabla2[[#This Row],[FECHA DE FACTURACIÓN]]</f>
        <v>45443</v>
      </c>
      <c r="AB2178" s="163" t="str">
        <f>+IF(Tabla2[[#This Row],[dias de credito]]&gt;=Tabla2[[#This Row],[PLAZO Días]],"venc", "No venc")</f>
        <v>venc</v>
      </c>
      <c r="AC2178" s="163" t="str">
        <f>+IF(Tabla2[[#This Row],[FECHA DE PAGO]]&gt;0,"pagada","por pagar")</f>
        <v>por pagar</v>
      </c>
      <c r="AD2178" s="164" t="str">
        <f>+IF(AND(Tabla2[[#This Row],[venc]]="venc",Tabla2[[#This Row],[estado pago]]="por pagar"),"vencida","no")</f>
        <v>vencida</v>
      </c>
    </row>
    <row r="2179" spans="1:30" ht="19.5" hidden="1" customHeight="1" x14ac:dyDescent="0.25">
      <c r="A2179" s="8"/>
      <c r="B2179" s="8"/>
      <c r="C2179" s="8"/>
      <c r="D2179" s="151"/>
      <c r="E2179" s="151"/>
      <c r="F2179" s="24"/>
      <c r="G2179" s="30"/>
      <c r="H2179" s="81"/>
      <c r="I2179" s="30"/>
      <c r="J2179" s="16"/>
      <c r="K2179" s="9"/>
      <c r="L2179" s="9"/>
      <c r="M2179" s="152"/>
      <c r="N2179" s="153"/>
      <c r="O2179" s="152"/>
      <c r="P2179" s="154"/>
      <c r="Q2179" s="152"/>
      <c r="R2179" s="9"/>
      <c r="Z2179" s="21"/>
      <c r="AA2179" s="162">
        <f>+$AD$5-Tabla2[[#This Row],[FECHA DE FACTURACIÓN]]</f>
        <v>45443</v>
      </c>
      <c r="AB2179" s="163" t="str">
        <f>+IF(Tabla2[[#This Row],[dias de credito]]&gt;=Tabla2[[#This Row],[PLAZO Días]],"venc", "No venc")</f>
        <v>venc</v>
      </c>
      <c r="AC2179" s="163" t="str">
        <f>+IF(Tabla2[[#This Row],[FECHA DE PAGO]]&gt;0,"pagada","por pagar")</f>
        <v>por pagar</v>
      </c>
      <c r="AD2179" s="164" t="str">
        <f>+IF(AND(Tabla2[[#This Row],[venc]]="venc",Tabla2[[#This Row],[estado pago]]="por pagar"),"vencida","no")</f>
        <v>vencida</v>
      </c>
    </row>
    <row r="2180" spans="1:30" ht="19.5" hidden="1" customHeight="1" x14ac:dyDescent="0.25">
      <c r="A2180" s="8"/>
      <c r="B2180" s="8"/>
      <c r="C2180" s="8"/>
      <c r="D2180" s="151"/>
      <c r="E2180" s="151"/>
      <c r="F2180" s="24"/>
      <c r="G2180" s="30"/>
      <c r="H2180" s="81"/>
      <c r="I2180" s="30"/>
      <c r="J2180" s="16"/>
      <c r="K2180" s="9"/>
      <c r="L2180" s="9"/>
      <c r="M2180" s="152"/>
      <c r="N2180" s="153"/>
      <c r="O2180" s="152"/>
      <c r="P2180" s="154"/>
      <c r="Q2180" s="152"/>
      <c r="R2180" s="9"/>
      <c r="Z2180" s="21"/>
      <c r="AA2180" s="162">
        <f>+$AD$5-Tabla2[[#This Row],[FECHA DE FACTURACIÓN]]</f>
        <v>45443</v>
      </c>
      <c r="AB2180" s="163" t="str">
        <f>+IF(Tabla2[[#This Row],[dias de credito]]&gt;=Tabla2[[#This Row],[PLAZO Días]],"venc", "No venc")</f>
        <v>venc</v>
      </c>
      <c r="AC2180" s="163" t="str">
        <f>+IF(Tabla2[[#This Row],[FECHA DE PAGO]]&gt;0,"pagada","por pagar")</f>
        <v>por pagar</v>
      </c>
      <c r="AD2180" s="164" t="str">
        <f>+IF(AND(Tabla2[[#This Row],[venc]]="venc",Tabla2[[#This Row],[estado pago]]="por pagar"),"vencida","no")</f>
        <v>vencida</v>
      </c>
    </row>
    <row r="2181" spans="1:30" ht="19.5" hidden="1" customHeight="1" x14ac:dyDescent="0.25">
      <c r="A2181" s="8"/>
      <c r="B2181" s="8"/>
      <c r="C2181" s="8"/>
      <c r="D2181" s="151"/>
      <c r="E2181" s="151"/>
      <c r="F2181" s="24"/>
      <c r="G2181" s="30"/>
      <c r="H2181" s="81"/>
      <c r="I2181" s="30"/>
      <c r="J2181" s="16"/>
      <c r="K2181" s="9"/>
      <c r="L2181" s="9"/>
      <c r="M2181" s="152"/>
      <c r="N2181" s="153"/>
      <c r="O2181" s="152"/>
      <c r="P2181" s="154"/>
      <c r="Q2181" s="152"/>
      <c r="R2181" s="9"/>
      <c r="Z2181" s="21"/>
      <c r="AA2181" s="162">
        <f>+$AD$5-Tabla2[[#This Row],[FECHA DE FACTURACIÓN]]</f>
        <v>45443</v>
      </c>
      <c r="AB2181" s="163" t="str">
        <f>+IF(Tabla2[[#This Row],[dias de credito]]&gt;=Tabla2[[#This Row],[PLAZO Días]],"venc", "No venc")</f>
        <v>venc</v>
      </c>
      <c r="AC2181" s="163" t="str">
        <f>+IF(Tabla2[[#This Row],[FECHA DE PAGO]]&gt;0,"pagada","por pagar")</f>
        <v>por pagar</v>
      </c>
      <c r="AD2181" s="164" t="str">
        <f>+IF(AND(Tabla2[[#This Row],[venc]]="venc",Tabla2[[#This Row],[estado pago]]="por pagar"),"vencida","no")</f>
        <v>vencida</v>
      </c>
    </row>
    <row r="2182" spans="1:30" ht="19.5" hidden="1" customHeight="1" x14ac:dyDescent="0.25">
      <c r="A2182" s="8"/>
      <c r="B2182" s="8"/>
      <c r="C2182" s="8"/>
      <c r="D2182" s="151"/>
      <c r="E2182" s="151"/>
      <c r="F2182" s="24"/>
      <c r="G2182" s="30"/>
      <c r="H2182" s="81"/>
      <c r="I2182" s="30"/>
      <c r="J2182" s="16"/>
      <c r="K2182" s="9"/>
      <c r="L2182" s="9"/>
      <c r="M2182" s="152"/>
      <c r="N2182" s="153"/>
      <c r="O2182" s="152"/>
      <c r="P2182" s="154"/>
      <c r="Q2182" s="152"/>
      <c r="R2182" s="9"/>
      <c r="Z2182" s="21"/>
      <c r="AA2182" s="162">
        <f>+$AD$5-Tabla2[[#This Row],[FECHA DE FACTURACIÓN]]</f>
        <v>45443</v>
      </c>
      <c r="AB2182" s="163" t="str">
        <f>+IF(Tabla2[[#This Row],[dias de credito]]&gt;=Tabla2[[#This Row],[PLAZO Días]],"venc", "No venc")</f>
        <v>venc</v>
      </c>
      <c r="AC2182" s="163" t="str">
        <f>+IF(Tabla2[[#This Row],[FECHA DE PAGO]]&gt;0,"pagada","por pagar")</f>
        <v>por pagar</v>
      </c>
      <c r="AD2182" s="164" t="str">
        <f>+IF(AND(Tabla2[[#This Row],[venc]]="venc",Tabla2[[#This Row],[estado pago]]="por pagar"),"vencida","no")</f>
        <v>vencida</v>
      </c>
    </row>
    <row r="2183" spans="1:30" ht="19.5" hidden="1" customHeight="1" x14ac:dyDescent="0.25">
      <c r="A2183" s="8"/>
      <c r="B2183" s="8"/>
      <c r="C2183" s="8"/>
      <c r="D2183" s="151"/>
      <c r="E2183" s="151"/>
      <c r="F2183" s="24"/>
      <c r="G2183" s="30"/>
      <c r="H2183" s="81"/>
      <c r="I2183" s="30"/>
      <c r="J2183" s="16"/>
      <c r="K2183" s="9"/>
      <c r="L2183" s="9"/>
      <c r="M2183" s="152"/>
      <c r="N2183" s="153"/>
      <c r="O2183" s="152"/>
      <c r="P2183" s="154"/>
      <c r="Q2183" s="152"/>
      <c r="R2183" s="9"/>
      <c r="Z2183" s="21"/>
      <c r="AA2183" s="162">
        <f>+$AD$5-Tabla2[[#This Row],[FECHA DE FACTURACIÓN]]</f>
        <v>45443</v>
      </c>
      <c r="AB2183" s="163" t="str">
        <f>+IF(Tabla2[[#This Row],[dias de credito]]&gt;=Tabla2[[#This Row],[PLAZO Días]],"venc", "No venc")</f>
        <v>venc</v>
      </c>
      <c r="AC2183" s="163" t="str">
        <f>+IF(Tabla2[[#This Row],[FECHA DE PAGO]]&gt;0,"pagada","por pagar")</f>
        <v>por pagar</v>
      </c>
      <c r="AD2183" s="164" t="str">
        <f>+IF(AND(Tabla2[[#This Row],[venc]]="venc",Tabla2[[#This Row],[estado pago]]="por pagar"),"vencida","no")</f>
        <v>vencida</v>
      </c>
    </row>
    <row r="2184" spans="1:30" ht="19.5" hidden="1" customHeight="1" x14ac:dyDescent="0.25">
      <c r="A2184" s="8"/>
      <c r="B2184" s="8"/>
      <c r="C2184" s="8"/>
      <c r="D2184" s="151"/>
      <c r="E2184" s="151"/>
      <c r="F2184" s="24"/>
      <c r="G2184" s="30"/>
      <c r="H2184" s="81"/>
      <c r="I2184" s="30"/>
      <c r="J2184" s="16"/>
      <c r="K2184" s="9"/>
      <c r="L2184" s="9"/>
      <c r="M2184" s="152"/>
      <c r="N2184" s="153"/>
      <c r="O2184" s="152"/>
      <c r="P2184" s="154"/>
      <c r="Q2184" s="152"/>
      <c r="R2184" s="9"/>
      <c r="Z2184" s="21"/>
      <c r="AA2184" s="162">
        <f>+$AD$5-Tabla2[[#This Row],[FECHA DE FACTURACIÓN]]</f>
        <v>45443</v>
      </c>
      <c r="AB2184" s="163" t="str">
        <f>+IF(Tabla2[[#This Row],[dias de credito]]&gt;=Tabla2[[#This Row],[PLAZO Días]],"venc", "No venc")</f>
        <v>venc</v>
      </c>
      <c r="AC2184" s="163" t="str">
        <f>+IF(Tabla2[[#This Row],[FECHA DE PAGO]]&gt;0,"pagada","por pagar")</f>
        <v>por pagar</v>
      </c>
      <c r="AD2184" s="164" t="str">
        <f>+IF(AND(Tabla2[[#This Row],[venc]]="venc",Tabla2[[#This Row],[estado pago]]="por pagar"),"vencida","no")</f>
        <v>vencida</v>
      </c>
    </row>
    <row r="2185" spans="1:30" ht="19.5" hidden="1" customHeight="1" x14ac:dyDescent="0.25">
      <c r="A2185" s="8"/>
      <c r="B2185" s="8"/>
      <c r="C2185" s="8"/>
      <c r="D2185" s="151"/>
      <c r="E2185" s="151"/>
      <c r="F2185" s="24"/>
      <c r="G2185" s="30"/>
      <c r="H2185" s="81"/>
      <c r="I2185" s="30"/>
      <c r="J2185" s="16"/>
      <c r="K2185" s="9"/>
      <c r="L2185" s="9"/>
      <c r="M2185" s="152"/>
      <c r="N2185" s="153"/>
      <c r="O2185" s="152"/>
      <c r="P2185" s="154"/>
      <c r="Q2185" s="152"/>
      <c r="R2185" s="9"/>
      <c r="Z2185" s="21"/>
      <c r="AA2185" s="162">
        <f>+$AD$5-Tabla2[[#This Row],[FECHA DE FACTURACIÓN]]</f>
        <v>45443</v>
      </c>
      <c r="AB2185" s="163" t="str">
        <f>+IF(Tabla2[[#This Row],[dias de credito]]&gt;=Tabla2[[#This Row],[PLAZO Días]],"venc", "No venc")</f>
        <v>venc</v>
      </c>
      <c r="AC2185" s="163" t="str">
        <f>+IF(Tabla2[[#This Row],[FECHA DE PAGO]]&gt;0,"pagada","por pagar")</f>
        <v>por pagar</v>
      </c>
      <c r="AD2185" s="164" t="str">
        <f>+IF(AND(Tabla2[[#This Row],[venc]]="venc",Tabla2[[#This Row],[estado pago]]="por pagar"),"vencida","no")</f>
        <v>vencida</v>
      </c>
    </row>
    <row r="2186" spans="1:30" ht="19.5" hidden="1" customHeight="1" x14ac:dyDescent="0.25">
      <c r="A2186" s="8"/>
      <c r="B2186" s="8"/>
      <c r="C2186" s="8"/>
      <c r="D2186" s="151"/>
      <c r="E2186" s="151"/>
      <c r="F2186" s="24"/>
      <c r="G2186" s="30"/>
      <c r="H2186" s="81"/>
      <c r="I2186" s="30"/>
      <c r="J2186" s="16"/>
      <c r="K2186" s="9"/>
      <c r="L2186" s="9"/>
      <c r="M2186" s="152"/>
      <c r="N2186" s="153"/>
      <c r="O2186" s="152"/>
      <c r="P2186" s="154"/>
      <c r="Q2186" s="152"/>
      <c r="R2186" s="9"/>
      <c r="Z2186" s="21"/>
      <c r="AA2186" s="162">
        <f>+$AD$5-Tabla2[[#This Row],[FECHA DE FACTURACIÓN]]</f>
        <v>45443</v>
      </c>
      <c r="AB2186" s="163" t="str">
        <f>+IF(Tabla2[[#This Row],[dias de credito]]&gt;=Tabla2[[#This Row],[PLAZO Días]],"venc", "No venc")</f>
        <v>venc</v>
      </c>
      <c r="AC2186" s="163" t="str">
        <f>+IF(Tabla2[[#This Row],[FECHA DE PAGO]]&gt;0,"pagada","por pagar")</f>
        <v>por pagar</v>
      </c>
      <c r="AD2186" s="164" t="str">
        <f>+IF(AND(Tabla2[[#This Row],[venc]]="venc",Tabla2[[#This Row],[estado pago]]="por pagar"),"vencida","no")</f>
        <v>vencida</v>
      </c>
    </row>
    <row r="2187" spans="1:30" ht="19.5" hidden="1" customHeight="1" x14ac:dyDescent="0.25">
      <c r="A2187" s="8"/>
      <c r="B2187" s="8"/>
      <c r="C2187" s="8"/>
      <c r="D2187" s="151"/>
      <c r="E2187" s="151"/>
      <c r="F2187" s="24"/>
      <c r="G2187" s="30"/>
      <c r="H2187" s="81"/>
      <c r="I2187" s="30"/>
      <c r="J2187" s="16"/>
      <c r="K2187" s="9"/>
      <c r="L2187" s="9"/>
      <c r="M2187" s="152"/>
      <c r="N2187" s="153"/>
      <c r="O2187" s="152"/>
      <c r="P2187" s="154"/>
      <c r="Q2187" s="152"/>
      <c r="R2187" s="9"/>
      <c r="Z2187" s="21"/>
      <c r="AA2187" s="162">
        <f>+$AD$5-Tabla2[[#This Row],[FECHA DE FACTURACIÓN]]</f>
        <v>45443</v>
      </c>
      <c r="AB2187" s="163" t="str">
        <f>+IF(Tabla2[[#This Row],[dias de credito]]&gt;=Tabla2[[#This Row],[PLAZO Días]],"venc", "No venc")</f>
        <v>venc</v>
      </c>
      <c r="AC2187" s="163" t="str">
        <f>+IF(Tabla2[[#This Row],[FECHA DE PAGO]]&gt;0,"pagada","por pagar")</f>
        <v>por pagar</v>
      </c>
      <c r="AD2187" s="164" t="str">
        <f>+IF(AND(Tabla2[[#This Row],[venc]]="venc",Tabla2[[#This Row],[estado pago]]="por pagar"),"vencida","no")</f>
        <v>vencida</v>
      </c>
    </row>
    <row r="2188" spans="1:30" ht="19.5" hidden="1" customHeight="1" x14ac:dyDescent="0.25">
      <c r="A2188" s="8"/>
      <c r="B2188" s="8"/>
      <c r="C2188" s="8"/>
      <c r="D2188" s="151"/>
      <c r="E2188" s="151"/>
      <c r="F2188" s="24"/>
      <c r="G2188" s="30"/>
      <c r="H2188" s="81"/>
      <c r="I2188" s="30"/>
      <c r="J2188" s="16"/>
      <c r="K2188" s="9"/>
      <c r="L2188" s="9"/>
      <c r="M2188" s="152"/>
      <c r="N2188" s="153"/>
      <c r="O2188" s="152"/>
      <c r="P2188" s="154"/>
      <c r="Q2188" s="152"/>
      <c r="R2188" s="9"/>
      <c r="Z2188" s="21"/>
      <c r="AA2188" s="162">
        <f>+$AD$5-Tabla2[[#This Row],[FECHA DE FACTURACIÓN]]</f>
        <v>45443</v>
      </c>
      <c r="AB2188" s="163" t="str">
        <f>+IF(Tabla2[[#This Row],[dias de credito]]&gt;=Tabla2[[#This Row],[PLAZO Días]],"venc", "No venc")</f>
        <v>venc</v>
      </c>
      <c r="AC2188" s="163" t="str">
        <f>+IF(Tabla2[[#This Row],[FECHA DE PAGO]]&gt;0,"pagada","por pagar")</f>
        <v>por pagar</v>
      </c>
      <c r="AD2188" s="164" t="str">
        <f>+IF(AND(Tabla2[[#This Row],[venc]]="venc",Tabla2[[#This Row],[estado pago]]="por pagar"),"vencida","no")</f>
        <v>vencida</v>
      </c>
    </row>
    <row r="2189" spans="1:30" ht="19.5" hidden="1" customHeight="1" x14ac:dyDescent="0.25">
      <c r="A2189" s="8"/>
      <c r="B2189" s="8"/>
      <c r="C2189" s="8"/>
      <c r="D2189" s="151"/>
      <c r="E2189" s="151"/>
      <c r="F2189" s="24"/>
      <c r="G2189" s="30"/>
      <c r="H2189" s="81"/>
      <c r="I2189" s="30"/>
      <c r="J2189" s="16"/>
      <c r="K2189" s="9"/>
      <c r="L2189" s="9"/>
      <c r="M2189" s="152"/>
      <c r="N2189" s="153"/>
      <c r="O2189" s="152"/>
      <c r="P2189" s="154"/>
      <c r="Q2189" s="152"/>
      <c r="R2189" s="9"/>
      <c r="Z2189" s="21"/>
      <c r="AA2189" s="162">
        <f>+$AD$5-Tabla2[[#This Row],[FECHA DE FACTURACIÓN]]</f>
        <v>45443</v>
      </c>
      <c r="AB2189" s="163" t="str">
        <f>+IF(Tabla2[[#This Row],[dias de credito]]&gt;=Tabla2[[#This Row],[PLAZO Días]],"venc", "No venc")</f>
        <v>venc</v>
      </c>
      <c r="AC2189" s="163" t="str">
        <f>+IF(Tabla2[[#This Row],[FECHA DE PAGO]]&gt;0,"pagada","por pagar")</f>
        <v>por pagar</v>
      </c>
      <c r="AD2189" s="164" t="str">
        <f>+IF(AND(Tabla2[[#This Row],[venc]]="venc",Tabla2[[#This Row],[estado pago]]="por pagar"),"vencida","no")</f>
        <v>vencida</v>
      </c>
    </row>
    <row r="2190" spans="1:30" ht="19.5" hidden="1" customHeight="1" x14ac:dyDescent="0.25">
      <c r="A2190" s="8"/>
      <c r="B2190" s="8"/>
      <c r="C2190" s="8"/>
      <c r="D2190" s="151"/>
      <c r="E2190" s="151"/>
      <c r="F2190" s="24"/>
      <c r="G2190" s="30"/>
      <c r="H2190" s="81"/>
      <c r="I2190" s="30"/>
      <c r="J2190" s="16"/>
      <c r="K2190" s="9"/>
      <c r="L2190" s="9"/>
      <c r="M2190" s="152"/>
      <c r="N2190" s="153"/>
      <c r="O2190" s="152"/>
      <c r="P2190" s="154"/>
      <c r="Q2190" s="152"/>
      <c r="R2190" s="9"/>
      <c r="Z2190" s="21"/>
      <c r="AA2190" s="162">
        <f>+$AD$5-Tabla2[[#This Row],[FECHA DE FACTURACIÓN]]</f>
        <v>45443</v>
      </c>
      <c r="AB2190" s="163" t="str">
        <f>+IF(Tabla2[[#This Row],[dias de credito]]&gt;=Tabla2[[#This Row],[PLAZO Días]],"venc", "No venc")</f>
        <v>venc</v>
      </c>
      <c r="AC2190" s="163" t="str">
        <f>+IF(Tabla2[[#This Row],[FECHA DE PAGO]]&gt;0,"pagada","por pagar")</f>
        <v>por pagar</v>
      </c>
      <c r="AD2190" s="164" t="str">
        <f>+IF(AND(Tabla2[[#This Row],[venc]]="venc",Tabla2[[#This Row],[estado pago]]="por pagar"),"vencida","no")</f>
        <v>vencida</v>
      </c>
    </row>
    <row r="2191" spans="1:30" ht="19.5" hidden="1" customHeight="1" x14ac:dyDescent="0.25">
      <c r="A2191" s="8"/>
      <c r="B2191" s="8"/>
      <c r="C2191" s="8"/>
      <c r="D2191" s="151"/>
      <c r="E2191" s="151"/>
      <c r="F2191" s="24"/>
      <c r="G2191" s="30"/>
      <c r="H2191" s="81"/>
      <c r="I2191" s="30"/>
      <c r="J2191" s="16"/>
      <c r="K2191" s="9"/>
      <c r="L2191" s="9"/>
      <c r="M2191" s="152"/>
      <c r="N2191" s="153"/>
      <c r="O2191" s="152"/>
      <c r="P2191" s="154"/>
      <c r="Q2191" s="152"/>
      <c r="R2191" s="9"/>
      <c r="Z2191" s="21"/>
      <c r="AA2191" s="162">
        <f>+$AD$5-Tabla2[[#This Row],[FECHA DE FACTURACIÓN]]</f>
        <v>45443</v>
      </c>
      <c r="AB2191" s="163" t="str">
        <f>+IF(Tabla2[[#This Row],[dias de credito]]&gt;=Tabla2[[#This Row],[PLAZO Días]],"venc", "No venc")</f>
        <v>venc</v>
      </c>
      <c r="AC2191" s="163" t="str">
        <f>+IF(Tabla2[[#This Row],[FECHA DE PAGO]]&gt;0,"pagada","por pagar")</f>
        <v>por pagar</v>
      </c>
      <c r="AD2191" s="164" t="str">
        <f>+IF(AND(Tabla2[[#This Row],[venc]]="venc",Tabla2[[#This Row],[estado pago]]="por pagar"),"vencida","no")</f>
        <v>vencida</v>
      </c>
    </row>
    <row r="2192" spans="1:30" ht="19.5" hidden="1" customHeight="1" x14ac:dyDescent="0.25">
      <c r="A2192" s="8"/>
      <c r="B2192" s="8"/>
      <c r="C2192" s="8"/>
      <c r="D2192" s="151"/>
      <c r="E2192" s="151"/>
      <c r="F2192" s="24"/>
      <c r="G2192" s="30"/>
      <c r="H2192" s="81"/>
      <c r="I2192" s="30"/>
      <c r="J2192" s="16"/>
      <c r="K2192" s="9"/>
      <c r="L2192" s="9"/>
      <c r="M2192" s="152"/>
      <c r="N2192" s="153"/>
      <c r="O2192" s="152"/>
      <c r="P2192" s="154"/>
      <c r="Q2192" s="152"/>
      <c r="R2192" s="9"/>
      <c r="Z2192" s="21"/>
      <c r="AA2192" s="162">
        <f>+$AD$5-Tabla2[[#This Row],[FECHA DE FACTURACIÓN]]</f>
        <v>45443</v>
      </c>
      <c r="AB2192" s="163" t="str">
        <f>+IF(Tabla2[[#This Row],[dias de credito]]&gt;=Tabla2[[#This Row],[PLAZO Días]],"venc", "No venc")</f>
        <v>venc</v>
      </c>
      <c r="AC2192" s="163" t="str">
        <f>+IF(Tabla2[[#This Row],[FECHA DE PAGO]]&gt;0,"pagada","por pagar")</f>
        <v>por pagar</v>
      </c>
      <c r="AD2192" s="164" t="str">
        <f>+IF(AND(Tabla2[[#This Row],[venc]]="venc",Tabla2[[#This Row],[estado pago]]="por pagar"),"vencida","no")</f>
        <v>vencida</v>
      </c>
    </row>
    <row r="2193" spans="1:30" ht="19.5" hidden="1" customHeight="1" x14ac:dyDescent="0.25">
      <c r="A2193" s="8"/>
      <c r="B2193" s="8"/>
      <c r="C2193" s="8"/>
      <c r="D2193" s="151"/>
      <c r="E2193" s="151"/>
      <c r="F2193" s="24"/>
      <c r="G2193" s="30"/>
      <c r="H2193" s="81"/>
      <c r="I2193" s="30"/>
      <c r="J2193" s="16"/>
      <c r="K2193" s="9"/>
      <c r="L2193" s="9"/>
      <c r="M2193" s="152"/>
      <c r="N2193" s="153"/>
      <c r="O2193" s="152"/>
      <c r="P2193" s="154"/>
      <c r="Q2193" s="152"/>
      <c r="R2193" s="9"/>
      <c r="Z2193" s="21"/>
      <c r="AA2193" s="162">
        <f>+$AD$5-Tabla2[[#This Row],[FECHA DE FACTURACIÓN]]</f>
        <v>45443</v>
      </c>
      <c r="AB2193" s="163" t="str">
        <f>+IF(Tabla2[[#This Row],[dias de credito]]&gt;=Tabla2[[#This Row],[PLAZO Días]],"venc", "No venc")</f>
        <v>venc</v>
      </c>
      <c r="AC2193" s="163" t="str">
        <f>+IF(Tabla2[[#This Row],[FECHA DE PAGO]]&gt;0,"pagada","por pagar")</f>
        <v>por pagar</v>
      </c>
      <c r="AD2193" s="164" t="str">
        <f>+IF(AND(Tabla2[[#This Row],[venc]]="venc",Tabla2[[#This Row],[estado pago]]="por pagar"),"vencida","no")</f>
        <v>vencida</v>
      </c>
    </row>
    <row r="2194" spans="1:30" ht="19.5" hidden="1" customHeight="1" x14ac:dyDescent="0.25">
      <c r="A2194" s="8"/>
      <c r="B2194" s="8"/>
      <c r="C2194" s="8"/>
      <c r="D2194" s="151"/>
      <c r="E2194" s="151"/>
      <c r="F2194" s="24"/>
      <c r="G2194" s="30"/>
      <c r="H2194" s="81"/>
      <c r="I2194" s="30"/>
      <c r="J2194" s="16"/>
      <c r="K2194" s="9"/>
      <c r="L2194" s="9"/>
      <c r="M2194" s="152"/>
      <c r="N2194" s="153"/>
      <c r="O2194" s="152"/>
      <c r="P2194" s="154"/>
      <c r="Q2194" s="152"/>
      <c r="R2194" s="9"/>
      <c r="Z2194" s="21"/>
      <c r="AA2194" s="162">
        <f>+$AD$5-Tabla2[[#This Row],[FECHA DE FACTURACIÓN]]</f>
        <v>45443</v>
      </c>
      <c r="AB2194" s="163" t="str">
        <f>+IF(Tabla2[[#This Row],[dias de credito]]&gt;=Tabla2[[#This Row],[PLAZO Días]],"venc", "No venc")</f>
        <v>venc</v>
      </c>
      <c r="AC2194" s="163" t="str">
        <f>+IF(Tabla2[[#This Row],[FECHA DE PAGO]]&gt;0,"pagada","por pagar")</f>
        <v>por pagar</v>
      </c>
      <c r="AD2194" s="164" t="str">
        <f>+IF(AND(Tabla2[[#This Row],[venc]]="venc",Tabla2[[#This Row],[estado pago]]="por pagar"),"vencida","no")</f>
        <v>vencida</v>
      </c>
    </row>
    <row r="2195" spans="1:30" ht="19.5" hidden="1" customHeight="1" x14ac:dyDescent="0.25">
      <c r="A2195" s="8"/>
      <c r="B2195" s="8"/>
      <c r="C2195" s="8"/>
      <c r="D2195" s="151"/>
      <c r="E2195" s="151"/>
      <c r="F2195" s="24"/>
      <c r="G2195" s="30"/>
      <c r="H2195" s="81"/>
      <c r="I2195" s="30"/>
      <c r="J2195" s="16"/>
      <c r="K2195" s="9"/>
      <c r="L2195" s="9"/>
      <c r="M2195" s="152"/>
      <c r="N2195" s="153"/>
      <c r="O2195" s="152"/>
      <c r="P2195" s="154"/>
      <c r="Q2195" s="152"/>
      <c r="R2195" s="9"/>
      <c r="Z2195" s="21"/>
      <c r="AA2195" s="162">
        <f>+$AD$5-Tabla2[[#This Row],[FECHA DE FACTURACIÓN]]</f>
        <v>45443</v>
      </c>
      <c r="AB2195" s="163" t="str">
        <f>+IF(Tabla2[[#This Row],[dias de credito]]&gt;=Tabla2[[#This Row],[PLAZO Días]],"venc", "No venc")</f>
        <v>venc</v>
      </c>
      <c r="AC2195" s="163" t="str">
        <f>+IF(Tabla2[[#This Row],[FECHA DE PAGO]]&gt;0,"pagada","por pagar")</f>
        <v>por pagar</v>
      </c>
      <c r="AD2195" s="164" t="str">
        <f>+IF(AND(Tabla2[[#This Row],[venc]]="venc",Tabla2[[#This Row],[estado pago]]="por pagar"),"vencida","no")</f>
        <v>vencida</v>
      </c>
    </row>
    <row r="2196" spans="1:30" ht="19.5" hidden="1" customHeight="1" x14ac:dyDescent="0.25">
      <c r="A2196" s="8"/>
      <c r="B2196" s="8"/>
      <c r="C2196" s="8"/>
      <c r="D2196" s="151"/>
      <c r="E2196" s="151"/>
      <c r="F2196" s="24"/>
      <c r="G2196" s="30"/>
      <c r="H2196" s="81"/>
      <c r="I2196" s="30"/>
      <c r="J2196" s="16"/>
      <c r="K2196" s="9"/>
      <c r="L2196" s="9"/>
      <c r="M2196" s="152"/>
      <c r="N2196" s="153"/>
      <c r="O2196" s="152"/>
      <c r="P2196" s="154"/>
      <c r="Q2196" s="152"/>
      <c r="R2196" s="9"/>
      <c r="Z2196" s="21"/>
      <c r="AA2196" s="162">
        <f>+$AD$5-Tabla2[[#This Row],[FECHA DE FACTURACIÓN]]</f>
        <v>45443</v>
      </c>
      <c r="AB2196" s="163" t="str">
        <f>+IF(Tabla2[[#This Row],[dias de credito]]&gt;=Tabla2[[#This Row],[PLAZO Días]],"venc", "No venc")</f>
        <v>venc</v>
      </c>
      <c r="AC2196" s="163" t="str">
        <f>+IF(Tabla2[[#This Row],[FECHA DE PAGO]]&gt;0,"pagada","por pagar")</f>
        <v>por pagar</v>
      </c>
      <c r="AD2196" s="164" t="str">
        <f>+IF(AND(Tabla2[[#This Row],[venc]]="venc",Tabla2[[#This Row],[estado pago]]="por pagar"),"vencida","no")</f>
        <v>vencida</v>
      </c>
    </row>
    <row r="2197" spans="1:30" ht="19.5" hidden="1" customHeight="1" x14ac:dyDescent="0.25">
      <c r="A2197" s="8"/>
      <c r="B2197" s="8"/>
      <c r="C2197" s="8"/>
      <c r="D2197" s="151"/>
      <c r="E2197" s="151"/>
      <c r="F2197" s="24"/>
      <c r="G2197" s="30"/>
      <c r="H2197" s="81"/>
      <c r="I2197" s="30"/>
      <c r="J2197" s="16"/>
      <c r="K2197" s="9"/>
      <c r="L2197" s="9"/>
      <c r="M2197" s="152"/>
      <c r="N2197" s="153"/>
      <c r="O2197" s="152"/>
      <c r="P2197" s="154"/>
      <c r="Q2197" s="152"/>
      <c r="R2197" s="9"/>
      <c r="Z2197" s="21"/>
      <c r="AA2197" s="162">
        <f>+$AD$5-Tabla2[[#This Row],[FECHA DE FACTURACIÓN]]</f>
        <v>45443</v>
      </c>
      <c r="AB2197" s="163" t="str">
        <f>+IF(Tabla2[[#This Row],[dias de credito]]&gt;=Tabla2[[#This Row],[PLAZO Días]],"venc", "No venc")</f>
        <v>venc</v>
      </c>
      <c r="AC2197" s="163" t="str">
        <f>+IF(Tabla2[[#This Row],[FECHA DE PAGO]]&gt;0,"pagada","por pagar")</f>
        <v>por pagar</v>
      </c>
      <c r="AD2197" s="164" t="str">
        <f>+IF(AND(Tabla2[[#This Row],[venc]]="venc",Tabla2[[#This Row],[estado pago]]="por pagar"),"vencida","no")</f>
        <v>vencida</v>
      </c>
    </row>
    <row r="2198" spans="1:30" ht="19.5" hidden="1" customHeight="1" x14ac:dyDescent="0.25">
      <c r="A2198" s="8"/>
      <c r="B2198" s="8"/>
      <c r="C2198" s="8"/>
      <c r="D2198" s="151"/>
      <c r="E2198" s="151"/>
      <c r="F2198" s="24"/>
      <c r="G2198" s="30"/>
      <c r="H2198" s="81"/>
      <c r="I2198" s="30"/>
      <c r="J2198" s="16"/>
      <c r="K2198" s="9"/>
      <c r="L2198" s="9"/>
      <c r="M2198" s="152"/>
      <c r="N2198" s="153"/>
      <c r="O2198" s="152"/>
      <c r="P2198" s="154"/>
      <c r="Q2198" s="152"/>
      <c r="R2198" s="9"/>
      <c r="Z2198" s="21"/>
      <c r="AA2198" s="162">
        <f>+$AD$5-Tabla2[[#This Row],[FECHA DE FACTURACIÓN]]</f>
        <v>45443</v>
      </c>
      <c r="AB2198" s="163" t="str">
        <f>+IF(Tabla2[[#This Row],[dias de credito]]&gt;=Tabla2[[#This Row],[PLAZO Días]],"venc", "No venc")</f>
        <v>venc</v>
      </c>
      <c r="AC2198" s="163" t="str">
        <f>+IF(Tabla2[[#This Row],[FECHA DE PAGO]]&gt;0,"pagada","por pagar")</f>
        <v>por pagar</v>
      </c>
      <c r="AD2198" s="164" t="str">
        <f>+IF(AND(Tabla2[[#This Row],[venc]]="venc",Tabla2[[#This Row],[estado pago]]="por pagar"),"vencida","no")</f>
        <v>vencida</v>
      </c>
    </row>
    <row r="2199" spans="1:30" ht="19.5" hidden="1" customHeight="1" x14ac:dyDescent="0.25">
      <c r="A2199" s="8"/>
      <c r="B2199" s="8"/>
      <c r="C2199" s="8"/>
      <c r="D2199" s="151"/>
      <c r="E2199" s="151"/>
      <c r="F2199" s="24"/>
      <c r="G2199" s="30"/>
      <c r="H2199" s="81"/>
      <c r="I2199" s="30"/>
      <c r="J2199" s="16"/>
      <c r="K2199" s="9"/>
      <c r="L2199" s="9"/>
      <c r="M2199" s="152"/>
      <c r="N2199" s="153"/>
      <c r="O2199" s="152"/>
      <c r="P2199" s="154"/>
      <c r="Q2199" s="152"/>
      <c r="R2199" s="9"/>
      <c r="Z2199" s="21"/>
      <c r="AA2199" s="162">
        <f>+$AD$5-Tabla2[[#This Row],[FECHA DE FACTURACIÓN]]</f>
        <v>45443</v>
      </c>
      <c r="AB2199" s="163" t="str">
        <f>+IF(Tabla2[[#This Row],[dias de credito]]&gt;=Tabla2[[#This Row],[PLAZO Días]],"venc", "No venc")</f>
        <v>venc</v>
      </c>
      <c r="AC2199" s="163" t="str">
        <f>+IF(Tabla2[[#This Row],[FECHA DE PAGO]]&gt;0,"pagada","por pagar")</f>
        <v>por pagar</v>
      </c>
      <c r="AD2199" s="164" t="str">
        <f>+IF(AND(Tabla2[[#This Row],[venc]]="venc",Tabla2[[#This Row],[estado pago]]="por pagar"),"vencida","no")</f>
        <v>vencida</v>
      </c>
    </row>
    <row r="2200" spans="1:30" ht="19.5" hidden="1" customHeight="1" x14ac:dyDescent="0.25">
      <c r="A2200" s="8"/>
      <c r="B2200" s="8"/>
      <c r="C2200" s="8"/>
      <c r="D2200" s="151"/>
      <c r="E2200" s="151"/>
      <c r="F2200" s="24"/>
      <c r="G2200" s="30"/>
      <c r="H2200" s="81"/>
      <c r="I2200" s="30"/>
      <c r="J2200" s="16"/>
      <c r="K2200" s="9"/>
      <c r="L2200" s="9"/>
      <c r="M2200" s="152"/>
      <c r="N2200" s="153"/>
      <c r="O2200" s="152"/>
      <c r="P2200" s="154"/>
      <c r="Q2200" s="152"/>
      <c r="R2200" s="9"/>
      <c r="Z2200" s="21"/>
      <c r="AA2200" s="162">
        <f>+$AD$5-Tabla2[[#This Row],[FECHA DE FACTURACIÓN]]</f>
        <v>45443</v>
      </c>
      <c r="AB2200" s="163" t="str">
        <f>+IF(Tabla2[[#This Row],[dias de credito]]&gt;=Tabla2[[#This Row],[PLAZO Días]],"venc", "No venc")</f>
        <v>venc</v>
      </c>
      <c r="AC2200" s="163" t="str">
        <f>+IF(Tabla2[[#This Row],[FECHA DE PAGO]]&gt;0,"pagada","por pagar")</f>
        <v>por pagar</v>
      </c>
      <c r="AD2200" s="164" t="str">
        <f>+IF(AND(Tabla2[[#This Row],[venc]]="venc",Tabla2[[#This Row],[estado pago]]="por pagar"),"vencida","no")</f>
        <v>vencida</v>
      </c>
    </row>
    <row r="2201" spans="1:30" ht="19.5" hidden="1" customHeight="1" x14ac:dyDescent="0.25">
      <c r="A2201" s="8"/>
      <c r="B2201" s="8"/>
      <c r="C2201" s="8"/>
      <c r="D2201" s="151"/>
      <c r="E2201" s="151"/>
      <c r="F2201" s="24"/>
      <c r="G2201" s="30"/>
      <c r="H2201" s="81"/>
      <c r="I2201" s="30"/>
      <c r="J2201" s="16"/>
      <c r="K2201" s="9"/>
      <c r="L2201" s="9"/>
      <c r="M2201" s="152"/>
      <c r="N2201" s="153"/>
      <c r="O2201" s="152"/>
      <c r="P2201" s="154"/>
      <c r="Q2201" s="152"/>
      <c r="R2201" s="9"/>
      <c r="Z2201" s="21"/>
      <c r="AA2201" s="162">
        <f>+$AD$5-Tabla2[[#This Row],[FECHA DE FACTURACIÓN]]</f>
        <v>45443</v>
      </c>
      <c r="AB2201" s="163" t="str">
        <f>+IF(Tabla2[[#This Row],[dias de credito]]&gt;=Tabla2[[#This Row],[PLAZO Días]],"venc", "No venc")</f>
        <v>venc</v>
      </c>
      <c r="AC2201" s="163" t="str">
        <f>+IF(Tabla2[[#This Row],[FECHA DE PAGO]]&gt;0,"pagada","por pagar")</f>
        <v>por pagar</v>
      </c>
      <c r="AD2201" s="164" t="str">
        <f>+IF(AND(Tabla2[[#This Row],[venc]]="venc",Tabla2[[#This Row],[estado pago]]="por pagar"),"vencida","no")</f>
        <v>vencida</v>
      </c>
    </row>
    <row r="2202" spans="1:30" ht="19.5" hidden="1" customHeight="1" x14ac:dyDescent="0.25">
      <c r="A2202" s="8"/>
      <c r="B2202" s="8"/>
      <c r="C2202" s="8"/>
      <c r="D2202" s="151"/>
      <c r="E2202" s="151"/>
      <c r="F2202" s="24"/>
      <c r="G2202" s="30"/>
      <c r="H2202" s="81"/>
      <c r="I2202" s="30"/>
      <c r="J2202" s="16"/>
      <c r="K2202" s="9"/>
      <c r="L2202" s="9"/>
      <c r="M2202" s="152"/>
      <c r="N2202" s="153"/>
      <c r="O2202" s="152"/>
      <c r="P2202" s="154"/>
      <c r="Q2202" s="152"/>
      <c r="R2202" s="9"/>
      <c r="Z2202" s="21"/>
      <c r="AA2202" s="162">
        <f>+$AD$5-Tabla2[[#This Row],[FECHA DE FACTURACIÓN]]</f>
        <v>45443</v>
      </c>
      <c r="AB2202" s="163" t="str">
        <f>+IF(Tabla2[[#This Row],[dias de credito]]&gt;=Tabla2[[#This Row],[PLAZO Días]],"venc", "No venc")</f>
        <v>venc</v>
      </c>
      <c r="AC2202" s="163" t="str">
        <f>+IF(Tabla2[[#This Row],[FECHA DE PAGO]]&gt;0,"pagada","por pagar")</f>
        <v>por pagar</v>
      </c>
      <c r="AD2202" s="164" t="str">
        <f>+IF(AND(Tabla2[[#This Row],[venc]]="venc",Tabla2[[#This Row],[estado pago]]="por pagar"),"vencida","no")</f>
        <v>vencida</v>
      </c>
    </row>
    <row r="2203" spans="1:30" ht="19.5" hidden="1" customHeight="1" x14ac:dyDescent="0.25">
      <c r="A2203" s="8"/>
      <c r="B2203" s="8"/>
      <c r="C2203" s="8"/>
      <c r="D2203" s="151"/>
      <c r="E2203" s="151"/>
      <c r="F2203" s="24"/>
      <c r="G2203" s="30"/>
      <c r="H2203" s="81"/>
      <c r="I2203" s="30"/>
      <c r="J2203" s="16"/>
      <c r="K2203" s="9"/>
      <c r="L2203" s="9"/>
      <c r="M2203" s="152"/>
      <c r="N2203" s="153"/>
      <c r="O2203" s="152"/>
      <c r="P2203" s="154"/>
      <c r="Q2203" s="152"/>
      <c r="R2203" s="9"/>
      <c r="Z2203" s="21"/>
      <c r="AA2203" s="162">
        <f>+$AD$5-Tabla2[[#This Row],[FECHA DE FACTURACIÓN]]</f>
        <v>45443</v>
      </c>
      <c r="AB2203" s="163" t="str">
        <f>+IF(Tabla2[[#This Row],[dias de credito]]&gt;=Tabla2[[#This Row],[PLAZO Días]],"venc", "No venc")</f>
        <v>venc</v>
      </c>
      <c r="AC2203" s="163" t="str">
        <f>+IF(Tabla2[[#This Row],[FECHA DE PAGO]]&gt;0,"pagada","por pagar")</f>
        <v>por pagar</v>
      </c>
      <c r="AD2203" s="164" t="str">
        <f>+IF(AND(Tabla2[[#This Row],[venc]]="venc",Tabla2[[#This Row],[estado pago]]="por pagar"),"vencida","no")</f>
        <v>vencida</v>
      </c>
    </row>
    <row r="2204" spans="1:30" ht="19.5" hidden="1" customHeight="1" x14ac:dyDescent="0.25">
      <c r="A2204" s="8"/>
      <c r="B2204" s="8"/>
      <c r="C2204" s="8"/>
      <c r="D2204" s="151"/>
      <c r="E2204" s="151"/>
      <c r="F2204" s="24"/>
      <c r="G2204" s="30"/>
      <c r="H2204" s="81"/>
      <c r="I2204" s="30"/>
      <c r="J2204" s="16"/>
      <c r="K2204" s="9"/>
      <c r="L2204" s="9"/>
      <c r="M2204" s="152"/>
      <c r="N2204" s="153"/>
      <c r="O2204" s="152"/>
      <c r="P2204" s="154"/>
      <c r="Q2204" s="152"/>
      <c r="R2204" s="9"/>
      <c r="Z2204" s="21"/>
      <c r="AA2204" s="162">
        <f>+$AD$5-Tabla2[[#This Row],[FECHA DE FACTURACIÓN]]</f>
        <v>45443</v>
      </c>
      <c r="AB2204" s="163" t="str">
        <f>+IF(Tabla2[[#This Row],[dias de credito]]&gt;=Tabla2[[#This Row],[PLAZO Días]],"venc", "No venc")</f>
        <v>venc</v>
      </c>
      <c r="AC2204" s="163" t="str">
        <f>+IF(Tabla2[[#This Row],[FECHA DE PAGO]]&gt;0,"pagada","por pagar")</f>
        <v>por pagar</v>
      </c>
      <c r="AD2204" s="164" t="str">
        <f>+IF(AND(Tabla2[[#This Row],[venc]]="venc",Tabla2[[#This Row],[estado pago]]="por pagar"),"vencida","no")</f>
        <v>vencida</v>
      </c>
    </row>
    <row r="2205" spans="1:30" ht="19.5" hidden="1" customHeight="1" x14ac:dyDescent="0.25">
      <c r="A2205" s="8"/>
      <c r="B2205" s="8"/>
      <c r="C2205" s="8"/>
      <c r="D2205" s="151"/>
      <c r="E2205" s="151"/>
      <c r="F2205" s="24"/>
      <c r="G2205" s="30"/>
      <c r="H2205" s="81"/>
      <c r="I2205" s="30"/>
      <c r="J2205" s="16"/>
      <c r="K2205" s="9"/>
      <c r="L2205" s="9"/>
      <c r="M2205" s="152"/>
      <c r="N2205" s="153"/>
      <c r="O2205" s="152"/>
      <c r="P2205" s="154"/>
      <c r="Q2205" s="152"/>
      <c r="R2205" s="9"/>
      <c r="Z2205" s="21"/>
      <c r="AA2205" s="162">
        <f>+$AD$5-Tabla2[[#This Row],[FECHA DE FACTURACIÓN]]</f>
        <v>45443</v>
      </c>
      <c r="AB2205" s="163" t="str">
        <f>+IF(Tabla2[[#This Row],[dias de credito]]&gt;=Tabla2[[#This Row],[PLAZO Días]],"venc", "No venc")</f>
        <v>venc</v>
      </c>
      <c r="AC2205" s="163" t="str">
        <f>+IF(Tabla2[[#This Row],[FECHA DE PAGO]]&gt;0,"pagada","por pagar")</f>
        <v>por pagar</v>
      </c>
      <c r="AD2205" s="164" t="str">
        <f>+IF(AND(Tabla2[[#This Row],[venc]]="venc",Tabla2[[#This Row],[estado pago]]="por pagar"),"vencida","no")</f>
        <v>vencida</v>
      </c>
    </row>
    <row r="2206" spans="1:30" ht="19.5" hidden="1" customHeight="1" x14ac:dyDescent="0.25">
      <c r="A2206" s="8"/>
      <c r="B2206" s="8"/>
      <c r="C2206" s="8"/>
      <c r="D2206" s="151"/>
      <c r="E2206" s="151"/>
      <c r="F2206" s="24"/>
      <c r="G2206" s="30"/>
      <c r="H2206" s="81"/>
      <c r="I2206" s="30"/>
      <c r="J2206" s="16"/>
      <c r="K2206" s="9"/>
      <c r="L2206" s="9"/>
      <c r="M2206" s="152"/>
      <c r="N2206" s="153"/>
      <c r="O2206" s="152"/>
      <c r="P2206" s="154"/>
      <c r="Q2206" s="152"/>
      <c r="R2206" s="9"/>
      <c r="Z2206" s="21"/>
      <c r="AA2206" s="162">
        <f>+$AD$5-Tabla2[[#This Row],[FECHA DE FACTURACIÓN]]</f>
        <v>45443</v>
      </c>
      <c r="AB2206" s="163" t="str">
        <f>+IF(Tabla2[[#This Row],[dias de credito]]&gt;=Tabla2[[#This Row],[PLAZO Días]],"venc", "No venc")</f>
        <v>venc</v>
      </c>
      <c r="AC2206" s="163" t="str">
        <f>+IF(Tabla2[[#This Row],[FECHA DE PAGO]]&gt;0,"pagada","por pagar")</f>
        <v>por pagar</v>
      </c>
      <c r="AD2206" s="164" t="str">
        <f>+IF(AND(Tabla2[[#This Row],[venc]]="venc",Tabla2[[#This Row],[estado pago]]="por pagar"),"vencida","no")</f>
        <v>vencida</v>
      </c>
    </row>
    <row r="2207" spans="1:30" ht="19.5" hidden="1" customHeight="1" x14ac:dyDescent="0.25">
      <c r="A2207" s="8"/>
      <c r="B2207" s="8"/>
      <c r="C2207" s="8"/>
      <c r="D2207" s="151"/>
      <c r="E2207" s="151"/>
      <c r="F2207" s="24"/>
      <c r="G2207" s="30"/>
      <c r="H2207" s="81"/>
      <c r="I2207" s="30"/>
      <c r="J2207" s="16"/>
      <c r="K2207" s="9"/>
      <c r="L2207" s="9"/>
      <c r="M2207" s="152"/>
      <c r="N2207" s="153"/>
      <c r="O2207" s="152"/>
      <c r="P2207" s="154"/>
      <c r="Q2207" s="152"/>
      <c r="R2207" s="9"/>
      <c r="Z2207" s="21"/>
      <c r="AA2207" s="162">
        <f>+$AD$5-Tabla2[[#This Row],[FECHA DE FACTURACIÓN]]</f>
        <v>45443</v>
      </c>
      <c r="AB2207" s="163" t="str">
        <f>+IF(Tabla2[[#This Row],[dias de credito]]&gt;=Tabla2[[#This Row],[PLAZO Días]],"venc", "No venc")</f>
        <v>venc</v>
      </c>
      <c r="AC2207" s="163" t="str">
        <f>+IF(Tabla2[[#This Row],[FECHA DE PAGO]]&gt;0,"pagada","por pagar")</f>
        <v>por pagar</v>
      </c>
      <c r="AD2207" s="164" t="str">
        <f>+IF(AND(Tabla2[[#This Row],[venc]]="venc",Tabla2[[#This Row],[estado pago]]="por pagar"),"vencida","no")</f>
        <v>vencida</v>
      </c>
    </row>
    <row r="2208" spans="1:30" ht="19.5" hidden="1" customHeight="1" x14ac:dyDescent="0.25">
      <c r="A2208" s="8"/>
      <c r="B2208" s="8"/>
      <c r="C2208" s="8"/>
      <c r="D2208" s="151"/>
      <c r="E2208" s="151"/>
      <c r="F2208" s="24"/>
      <c r="G2208" s="30"/>
      <c r="H2208" s="81"/>
      <c r="I2208" s="30"/>
      <c r="J2208" s="16"/>
      <c r="K2208" s="9"/>
      <c r="L2208" s="9"/>
      <c r="M2208" s="152"/>
      <c r="N2208" s="153"/>
      <c r="O2208" s="152"/>
      <c r="P2208" s="154"/>
      <c r="Q2208" s="152"/>
      <c r="R2208" s="9"/>
      <c r="Z2208" s="21"/>
      <c r="AA2208" s="162">
        <f>+$AD$5-Tabla2[[#This Row],[FECHA DE FACTURACIÓN]]</f>
        <v>45443</v>
      </c>
      <c r="AB2208" s="163" t="str">
        <f>+IF(Tabla2[[#This Row],[dias de credito]]&gt;=Tabla2[[#This Row],[PLAZO Días]],"venc", "No venc")</f>
        <v>venc</v>
      </c>
      <c r="AC2208" s="163" t="str">
        <f>+IF(Tabla2[[#This Row],[FECHA DE PAGO]]&gt;0,"pagada","por pagar")</f>
        <v>por pagar</v>
      </c>
      <c r="AD2208" s="164" t="str">
        <f>+IF(AND(Tabla2[[#This Row],[venc]]="venc",Tabla2[[#This Row],[estado pago]]="por pagar"),"vencida","no")</f>
        <v>vencida</v>
      </c>
    </row>
    <row r="2209" spans="1:30" ht="19.5" hidden="1" customHeight="1" x14ac:dyDescent="0.25">
      <c r="A2209" s="8"/>
      <c r="B2209" s="8"/>
      <c r="C2209" s="8"/>
      <c r="D2209" s="151"/>
      <c r="E2209" s="151"/>
      <c r="F2209" s="24"/>
      <c r="G2209" s="30"/>
      <c r="H2209" s="81"/>
      <c r="I2209" s="30"/>
      <c r="J2209" s="16"/>
      <c r="K2209" s="9"/>
      <c r="L2209" s="9"/>
      <c r="M2209" s="152"/>
      <c r="N2209" s="153"/>
      <c r="O2209" s="152"/>
      <c r="P2209" s="154"/>
      <c r="Q2209" s="152"/>
      <c r="R2209" s="9"/>
      <c r="Z2209" s="21"/>
      <c r="AA2209" s="162">
        <f>+$AD$5-Tabla2[[#This Row],[FECHA DE FACTURACIÓN]]</f>
        <v>45443</v>
      </c>
      <c r="AB2209" s="163" t="str">
        <f>+IF(Tabla2[[#This Row],[dias de credito]]&gt;=Tabla2[[#This Row],[PLAZO Días]],"venc", "No venc")</f>
        <v>venc</v>
      </c>
      <c r="AC2209" s="163" t="str">
        <f>+IF(Tabla2[[#This Row],[FECHA DE PAGO]]&gt;0,"pagada","por pagar")</f>
        <v>por pagar</v>
      </c>
      <c r="AD2209" s="164" t="str">
        <f>+IF(AND(Tabla2[[#This Row],[venc]]="venc",Tabla2[[#This Row],[estado pago]]="por pagar"),"vencida","no")</f>
        <v>vencida</v>
      </c>
    </row>
    <row r="2210" spans="1:30" ht="19.5" hidden="1" customHeight="1" x14ac:dyDescent="0.25">
      <c r="A2210" s="8"/>
      <c r="B2210" s="8"/>
      <c r="C2210" s="8"/>
      <c r="D2210" s="151"/>
      <c r="E2210" s="151"/>
      <c r="F2210" s="24"/>
      <c r="G2210" s="30"/>
      <c r="H2210" s="81"/>
      <c r="I2210" s="30"/>
      <c r="J2210" s="16"/>
      <c r="K2210" s="9"/>
      <c r="L2210" s="9"/>
      <c r="M2210" s="152"/>
      <c r="N2210" s="153"/>
      <c r="O2210" s="152"/>
      <c r="P2210" s="154"/>
      <c r="Q2210" s="152"/>
      <c r="R2210" s="9"/>
      <c r="Z2210" s="21"/>
      <c r="AA2210" s="162">
        <f>+$AD$5-Tabla2[[#This Row],[FECHA DE FACTURACIÓN]]</f>
        <v>45443</v>
      </c>
      <c r="AB2210" s="163" t="str">
        <f>+IF(Tabla2[[#This Row],[dias de credito]]&gt;=Tabla2[[#This Row],[PLAZO Días]],"venc", "No venc")</f>
        <v>venc</v>
      </c>
      <c r="AC2210" s="163" t="str">
        <f>+IF(Tabla2[[#This Row],[FECHA DE PAGO]]&gt;0,"pagada","por pagar")</f>
        <v>por pagar</v>
      </c>
      <c r="AD2210" s="164" t="str">
        <f>+IF(AND(Tabla2[[#This Row],[venc]]="venc",Tabla2[[#This Row],[estado pago]]="por pagar"),"vencida","no")</f>
        <v>vencida</v>
      </c>
    </row>
    <row r="2211" spans="1:30" ht="19.5" hidden="1" customHeight="1" x14ac:dyDescent="0.25">
      <c r="A2211" s="8"/>
      <c r="B2211" s="8"/>
      <c r="C2211" s="8"/>
      <c r="D2211" s="151"/>
      <c r="E2211" s="151"/>
      <c r="F2211" s="24"/>
      <c r="G2211" s="30"/>
      <c r="H2211" s="81"/>
      <c r="I2211" s="30"/>
      <c r="J2211" s="16"/>
      <c r="K2211" s="9"/>
      <c r="L2211" s="9"/>
      <c r="M2211" s="152"/>
      <c r="N2211" s="153"/>
      <c r="O2211" s="152"/>
      <c r="P2211" s="154"/>
      <c r="Q2211" s="152"/>
      <c r="R2211" s="9"/>
      <c r="Z2211" s="21"/>
      <c r="AA2211" s="162">
        <f>+$AD$5-Tabla2[[#This Row],[FECHA DE FACTURACIÓN]]</f>
        <v>45443</v>
      </c>
      <c r="AB2211" s="163" t="str">
        <f>+IF(Tabla2[[#This Row],[dias de credito]]&gt;=Tabla2[[#This Row],[PLAZO Días]],"venc", "No venc")</f>
        <v>venc</v>
      </c>
      <c r="AC2211" s="163" t="str">
        <f>+IF(Tabla2[[#This Row],[FECHA DE PAGO]]&gt;0,"pagada","por pagar")</f>
        <v>por pagar</v>
      </c>
      <c r="AD2211" s="164" t="str">
        <f>+IF(AND(Tabla2[[#This Row],[venc]]="venc",Tabla2[[#This Row],[estado pago]]="por pagar"),"vencida","no")</f>
        <v>vencida</v>
      </c>
    </row>
    <row r="2212" spans="1:30" ht="19.5" hidden="1" customHeight="1" x14ac:dyDescent="0.25">
      <c r="A2212" s="8"/>
      <c r="B2212" s="8"/>
      <c r="C2212" s="8"/>
      <c r="D2212" s="151"/>
      <c r="E2212" s="151"/>
      <c r="F2212" s="24"/>
      <c r="G2212" s="30"/>
      <c r="H2212" s="81"/>
      <c r="I2212" s="30"/>
      <c r="J2212" s="16"/>
      <c r="K2212" s="9"/>
      <c r="L2212" s="9"/>
      <c r="M2212" s="152"/>
      <c r="N2212" s="153"/>
      <c r="O2212" s="152"/>
      <c r="P2212" s="154"/>
      <c r="Q2212" s="152"/>
      <c r="R2212" s="9"/>
      <c r="Z2212" s="21"/>
      <c r="AA2212" s="162">
        <f>+$AD$5-Tabla2[[#This Row],[FECHA DE FACTURACIÓN]]</f>
        <v>45443</v>
      </c>
      <c r="AB2212" s="163" t="str">
        <f>+IF(Tabla2[[#This Row],[dias de credito]]&gt;=Tabla2[[#This Row],[PLAZO Días]],"venc", "No venc")</f>
        <v>venc</v>
      </c>
      <c r="AC2212" s="163" t="str">
        <f>+IF(Tabla2[[#This Row],[FECHA DE PAGO]]&gt;0,"pagada","por pagar")</f>
        <v>por pagar</v>
      </c>
      <c r="AD2212" s="164" t="str">
        <f>+IF(AND(Tabla2[[#This Row],[venc]]="venc",Tabla2[[#This Row],[estado pago]]="por pagar"),"vencida","no")</f>
        <v>vencida</v>
      </c>
    </row>
    <row r="2213" spans="1:30" ht="19.5" hidden="1" customHeight="1" x14ac:dyDescent="0.25">
      <c r="A2213" s="8"/>
      <c r="B2213" s="8"/>
      <c r="C2213" s="8"/>
      <c r="D2213" s="151"/>
      <c r="E2213" s="151"/>
      <c r="F2213" s="24"/>
      <c r="G2213" s="30"/>
      <c r="H2213" s="81"/>
      <c r="I2213" s="30"/>
      <c r="J2213" s="16"/>
      <c r="K2213" s="9"/>
      <c r="L2213" s="9"/>
      <c r="M2213" s="152"/>
      <c r="N2213" s="153"/>
      <c r="O2213" s="152"/>
      <c r="P2213" s="154"/>
      <c r="Q2213" s="152"/>
      <c r="R2213" s="9"/>
      <c r="Z2213" s="21"/>
      <c r="AA2213" s="162">
        <f>+$AD$5-Tabla2[[#This Row],[FECHA DE FACTURACIÓN]]</f>
        <v>45443</v>
      </c>
      <c r="AB2213" s="163" t="str">
        <f>+IF(Tabla2[[#This Row],[dias de credito]]&gt;=Tabla2[[#This Row],[PLAZO Días]],"venc", "No venc")</f>
        <v>venc</v>
      </c>
      <c r="AC2213" s="163" t="str">
        <f>+IF(Tabla2[[#This Row],[FECHA DE PAGO]]&gt;0,"pagada","por pagar")</f>
        <v>por pagar</v>
      </c>
      <c r="AD2213" s="164" t="str">
        <f>+IF(AND(Tabla2[[#This Row],[venc]]="venc",Tabla2[[#This Row],[estado pago]]="por pagar"),"vencida","no")</f>
        <v>vencida</v>
      </c>
    </row>
    <row r="2214" spans="1:30" ht="19.5" hidden="1" customHeight="1" x14ac:dyDescent="0.25">
      <c r="A2214" s="8"/>
      <c r="B2214" s="8"/>
      <c r="C2214" s="8"/>
      <c r="D2214" s="151"/>
      <c r="E2214" s="151"/>
      <c r="F2214" s="24"/>
      <c r="G2214" s="30"/>
      <c r="H2214" s="81"/>
      <c r="I2214" s="30"/>
      <c r="J2214" s="16"/>
      <c r="K2214" s="9"/>
      <c r="L2214" s="9"/>
      <c r="M2214" s="152"/>
      <c r="N2214" s="153"/>
      <c r="O2214" s="152"/>
      <c r="P2214" s="154"/>
      <c r="Q2214" s="152"/>
      <c r="R2214" s="9"/>
      <c r="Z2214" s="21"/>
      <c r="AA2214" s="162">
        <f>+$AD$5-Tabla2[[#This Row],[FECHA DE FACTURACIÓN]]</f>
        <v>45443</v>
      </c>
      <c r="AB2214" s="163" t="str">
        <f>+IF(Tabla2[[#This Row],[dias de credito]]&gt;=Tabla2[[#This Row],[PLAZO Días]],"venc", "No venc")</f>
        <v>venc</v>
      </c>
      <c r="AC2214" s="163" t="str">
        <f>+IF(Tabla2[[#This Row],[FECHA DE PAGO]]&gt;0,"pagada","por pagar")</f>
        <v>por pagar</v>
      </c>
      <c r="AD2214" s="164" t="str">
        <f>+IF(AND(Tabla2[[#This Row],[venc]]="venc",Tabla2[[#This Row],[estado pago]]="por pagar"),"vencida","no")</f>
        <v>vencida</v>
      </c>
    </row>
    <row r="2215" spans="1:30" ht="19.5" hidden="1" customHeight="1" x14ac:dyDescent="0.25">
      <c r="A2215" s="8"/>
      <c r="B2215" s="8"/>
      <c r="C2215" s="8"/>
      <c r="D2215" s="151"/>
      <c r="E2215" s="151"/>
      <c r="F2215" s="24"/>
      <c r="G2215" s="30"/>
      <c r="H2215" s="81"/>
      <c r="I2215" s="30"/>
      <c r="J2215" s="16"/>
      <c r="K2215" s="9"/>
      <c r="L2215" s="9"/>
      <c r="M2215" s="152"/>
      <c r="N2215" s="153"/>
      <c r="O2215" s="152"/>
      <c r="P2215" s="154"/>
      <c r="Q2215" s="152"/>
      <c r="R2215" s="9"/>
      <c r="Z2215" s="21"/>
      <c r="AA2215" s="162">
        <f>+$AD$5-Tabla2[[#This Row],[FECHA DE FACTURACIÓN]]</f>
        <v>45443</v>
      </c>
      <c r="AB2215" s="163" t="str">
        <f>+IF(Tabla2[[#This Row],[dias de credito]]&gt;=Tabla2[[#This Row],[PLAZO Días]],"venc", "No venc")</f>
        <v>venc</v>
      </c>
      <c r="AC2215" s="163" t="str">
        <f>+IF(Tabla2[[#This Row],[FECHA DE PAGO]]&gt;0,"pagada","por pagar")</f>
        <v>por pagar</v>
      </c>
      <c r="AD2215" s="164" t="str">
        <f>+IF(AND(Tabla2[[#This Row],[venc]]="venc",Tabla2[[#This Row],[estado pago]]="por pagar"),"vencida","no")</f>
        <v>vencida</v>
      </c>
    </row>
    <row r="2216" spans="1:30" ht="19.5" hidden="1" customHeight="1" x14ac:dyDescent="0.25">
      <c r="A2216" s="8"/>
      <c r="B2216" s="8"/>
      <c r="C2216" s="8"/>
      <c r="D2216" s="151"/>
      <c r="E2216" s="151"/>
      <c r="F2216" s="24"/>
      <c r="G2216" s="30"/>
      <c r="H2216" s="81"/>
      <c r="I2216" s="30"/>
      <c r="J2216" s="16"/>
      <c r="K2216" s="9"/>
      <c r="L2216" s="9"/>
      <c r="M2216" s="152"/>
      <c r="N2216" s="153"/>
      <c r="O2216" s="152"/>
      <c r="P2216" s="154"/>
      <c r="Q2216" s="152"/>
      <c r="R2216" s="9"/>
      <c r="Z2216" s="21"/>
      <c r="AA2216" s="162">
        <f>+$AD$5-Tabla2[[#This Row],[FECHA DE FACTURACIÓN]]</f>
        <v>45443</v>
      </c>
      <c r="AB2216" s="163" t="str">
        <f>+IF(Tabla2[[#This Row],[dias de credito]]&gt;=Tabla2[[#This Row],[PLAZO Días]],"venc", "No venc")</f>
        <v>venc</v>
      </c>
      <c r="AC2216" s="163" t="str">
        <f>+IF(Tabla2[[#This Row],[FECHA DE PAGO]]&gt;0,"pagada","por pagar")</f>
        <v>por pagar</v>
      </c>
      <c r="AD2216" s="164" t="str">
        <f>+IF(AND(Tabla2[[#This Row],[venc]]="venc",Tabla2[[#This Row],[estado pago]]="por pagar"),"vencida","no")</f>
        <v>vencida</v>
      </c>
    </row>
    <row r="2217" spans="1:30" ht="19.5" hidden="1" customHeight="1" x14ac:dyDescent="0.25">
      <c r="A2217" s="8"/>
      <c r="B2217" s="8"/>
      <c r="C2217" s="8"/>
      <c r="D2217" s="151"/>
      <c r="E2217" s="151"/>
      <c r="F2217" s="24"/>
      <c r="G2217" s="30"/>
      <c r="H2217" s="81"/>
      <c r="I2217" s="30"/>
      <c r="J2217" s="16"/>
      <c r="K2217" s="9"/>
      <c r="L2217" s="9"/>
      <c r="M2217" s="152"/>
      <c r="N2217" s="153"/>
      <c r="O2217" s="152"/>
      <c r="P2217" s="154"/>
      <c r="Q2217" s="152"/>
      <c r="R2217" s="9"/>
      <c r="Z2217" s="21"/>
      <c r="AA2217" s="162">
        <f>+$AD$5-Tabla2[[#This Row],[FECHA DE FACTURACIÓN]]</f>
        <v>45443</v>
      </c>
      <c r="AB2217" s="163" t="str">
        <f>+IF(Tabla2[[#This Row],[dias de credito]]&gt;=Tabla2[[#This Row],[PLAZO Días]],"venc", "No venc")</f>
        <v>venc</v>
      </c>
      <c r="AC2217" s="163" t="str">
        <f>+IF(Tabla2[[#This Row],[FECHA DE PAGO]]&gt;0,"pagada","por pagar")</f>
        <v>por pagar</v>
      </c>
      <c r="AD2217" s="164" t="str">
        <f>+IF(AND(Tabla2[[#This Row],[venc]]="venc",Tabla2[[#This Row],[estado pago]]="por pagar"),"vencida","no")</f>
        <v>vencida</v>
      </c>
    </row>
    <row r="2218" spans="1:30" ht="19.5" hidden="1" customHeight="1" x14ac:dyDescent="0.25">
      <c r="A2218" s="8"/>
      <c r="B2218" s="8"/>
      <c r="C2218" s="8"/>
      <c r="D2218" s="151"/>
      <c r="E2218" s="151"/>
      <c r="F2218" s="24"/>
      <c r="G2218" s="30"/>
      <c r="H2218" s="81"/>
      <c r="I2218" s="30"/>
      <c r="J2218" s="16"/>
      <c r="K2218" s="9"/>
      <c r="L2218" s="9"/>
      <c r="M2218" s="152"/>
      <c r="N2218" s="153"/>
      <c r="O2218" s="152"/>
      <c r="P2218" s="154"/>
      <c r="Q2218" s="152"/>
      <c r="R2218" s="9"/>
      <c r="Z2218" s="21"/>
      <c r="AA2218" s="162">
        <f>+$AD$5-Tabla2[[#This Row],[FECHA DE FACTURACIÓN]]</f>
        <v>45443</v>
      </c>
      <c r="AB2218" s="163" t="str">
        <f>+IF(Tabla2[[#This Row],[dias de credito]]&gt;=Tabla2[[#This Row],[PLAZO Días]],"venc", "No venc")</f>
        <v>venc</v>
      </c>
      <c r="AC2218" s="163" t="str">
        <f>+IF(Tabla2[[#This Row],[FECHA DE PAGO]]&gt;0,"pagada","por pagar")</f>
        <v>por pagar</v>
      </c>
      <c r="AD2218" s="164" t="str">
        <f>+IF(AND(Tabla2[[#This Row],[venc]]="venc",Tabla2[[#This Row],[estado pago]]="por pagar"),"vencida","no")</f>
        <v>vencida</v>
      </c>
    </row>
    <row r="2219" spans="1:30" ht="19.5" hidden="1" customHeight="1" x14ac:dyDescent="0.25">
      <c r="A2219" s="8"/>
      <c r="B2219" s="8"/>
      <c r="C2219" s="8"/>
      <c r="D2219" s="151"/>
      <c r="E2219" s="151"/>
      <c r="F2219" s="24"/>
      <c r="G2219" s="30"/>
      <c r="H2219" s="81"/>
      <c r="I2219" s="30"/>
      <c r="J2219" s="16"/>
      <c r="K2219" s="9"/>
      <c r="L2219" s="9"/>
      <c r="M2219" s="152"/>
      <c r="N2219" s="153"/>
      <c r="O2219" s="152"/>
      <c r="P2219" s="154"/>
      <c r="Q2219" s="152"/>
      <c r="R2219" s="9"/>
      <c r="Z2219" s="21"/>
      <c r="AA2219" s="162">
        <f>+$AD$5-Tabla2[[#This Row],[FECHA DE FACTURACIÓN]]</f>
        <v>45443</v>
      </c>
      <c r="AB2219" s="163" t="str">
        <f>+IF(Tabla2[[#This Row],[dias de credito]]&gt;=Tabla2[[#This Row],[PLAZO Días]],"venc", "No venc")</f>
        <v>venc</v>
      </c>
      <c r="AC2219" s="163" t="str">
        <f>+IF(Tabla2[[#This Row],[FECHA DE PAGO]]&gt;0,"pagada","por pagar")</f>
        <v>por pagar</v>
      </c>
      <c r="AD2219" s="164" t="str">
        <f>+IF(AND(Tabla2[[#This Row],[venc]]="venc",Tabla2[[#This Row],[estado pago]]="por pagar"),"vencida","no")</f>
        <v>vencida</v>
      </c>
    </row>
    <row r="2220" spans="1:30" ht="19.5" hidden="1" customHeight="1" x14ac:dyDescent="0.25">
      <c r="A2220" s="8"/>
      <c r="B2220" s="8"/>
      <c r="C2220" s="8"/>
      <c r="D2220" s="151"/>
      <c r="E2220" s="151"/>
      <c r="F2220" s="24"/>
      <c r="G2220" s="30"/>
      <c r="H2220" s="81"/>
      <c r="I2220" s="30"/>
      <c r="J2220" s="16"/>
      <c r="K2220" s="9"/>
      <c r="L2220" s="9"/>
      <c r="M2220" s="152"/>
      <c r="N2220" s="153"/>
      <c r="O2220" s="152"/>
      <c r="P2220" s="154"/>
      <c r="Q2220" s="152"/>
      <c r="R2220" s="9"/>
      <c r="Z2220" s="21"/>
      <c r="AA2220" s="162">
        <f>+$AD$5-Tabla2[[#This Row],[FECHA DE FACTURACIÓN]]</f>
        <v>45443</v>
      </c>
      <c r="AB2220" s="163" t="str">
        <f>+IF(Tabla2[[#This Row],[dias de credito]]&gt;=Tabla2[[#This Row],[PLAZO Días]],"venc", "No venc")</f>
        <v>venc</v>
      </c>
      <c r="AC2220" s="163" t="str">
        <f>+IF(Tabla2[[#This Row],[FECHA DE PAGO]]&gt;0,"pagada","por pagar")</f>
        <v>por pagar</v>
      </c>
      <c r="AD2220" s="164" t="str">
        <f>+IF(AND(Tabla2[[#This Row],[venc]]="venc",Tabla2[[#This Row],[estado pago]]="por pagar"),"vencida","no")</f>
        <v>vencida</v>
      </c>
    </row>
    <row r="2221" spans="1:30" ht="19.5" hidden="1" customHeight="1" x14ac:dyDescent="0.25">
      <c r="A2221" s="8"/>
      <c r="B2221" s="8"/>
      <c r="C2221" s="8"/>
      <c r="D2221" s="151"/>
      <c r="E2221" s="151"/>
      <c r="F2221" s="24"/>
      <c r="G2221" s="30"/>
      <c r="H2221" s="81"/>
      <c r="I2221" s="30"/>
      <c r="J2221" s="16"/>
      <c r="K2221" s="9"/>
      <c r="L2221" s="9"/>
      <c r="M2221" s="152"/>
      <c r="N2221" s="153"/>
      <c r="O2221" s="152"/>
      <c r="P2221" s="154"/>
      <c r="Q2221" s="152"/>
      <c r="R2221" s="9"/>
      <c r="Z2221" s="21"/>
      <c r="AA2221" s="162">
        <f>+$AD$5-Tabla2[[#This Row],[FECHA DE FACTURACIÓN]]</f>
        <v>45443</v>
      </c>
      <c r="AB2221" s="163" t="str">
        <f>+IF(Tabla2[[#This Row],[dias de credito]]&gt;=Tabla2[[#This Row],[PLAZO Días]],"venc", "No venc")</f>
        <v>venc</v>
      </c>
      <c r="AC2221" s="163" t="str">
        <f>+IF(Tabla2[[#This Row],[FECHA DE PAGO]]&gt;0,"pagada","por pagar")</f>
        <v>por pagar</v>
      </c>
      <c r="AD2221" s="164" t="str">
        <f>+IF(AND(Tabla2[[#This Row],[venc]]="venc",Tabla2[[#This Row],[estado pago]]="por pagar"),"vencida","no")</f>
        <v>vencida</v>
      </c>
    </row>
    <row r="2222" spans="1:30" ht="19.5" hidden="1" customHeight="1" x14ac:dyDescent="0.25">
      <c r="A2222" s="8"/>
      <c r="B2222" s="8"/>
      <c r="C2222" s="8"/>
      <c r="D2222" s="151"/>
      <c r="E2222" s="151"/>
      <c r="F2222" s="24"/>
      <c r="G2222" s="30"/>
      <c r="H2222" s="81"/>
      <c r="I2222" s="30"/>
      <c r="J2222" s="16"/>
      <c r="K2222" s="9"/>
      <c r="L2222" s="9"/>
      <c r="M2222" s="152"/>
      <c r="N2222" s="153"/>
      <c r="O2222" s="152"/>
      <c r="P2222" s="154"/>
      <c r="Q2222" s="152"/>
      <c r="R2222" s="9"/>
      <c r="Z2222" s="21"/>
      <c r="AA2222" s="162">
        <f>+$AD$5-Tabla2[[#This Row],[FECHA DE FACTURACIÓN]]</f>
        <v>45443</v>
      </c>
      <c r="AB2222" s="163" t="str">
        <f>+IF(Tabla2[[#This Row],[dias de credito]]&gt;=Tabla2[[#This Row],[PLAZO Días]],"venc", "No venc")</f>
        <v>venc</v>
      </c>
      <c r="AC2222" s="163" t="str">
        <f>+IF(Tabla2[[#This Row],[FECHA DE PAGO]]&gt;0,"pagada","por pagar")</f>
        <v>por pagar</v>
      </c>
      <c r="AD2222" s="164" t="str">
        <f>+IF(AND(Tabla2[[#This Row],[venc]]="venc",Tabla2[[#This Row],[estado pago]]="por pagar"),"vencida","no")</f>
        <v>vencida</v>
      </c>
    </row>
    <row r="2223" spans="1:30" ht="19.5" hidden="1" customHeight="1" x14ac:dyDescent="0.25">
      <c r="A2223" s="8"/>
      <c r="B2223" s="8"/>
      <c r="C2223" s="8"/>
      <c r="D2223" s="151"/>
      <c r="E2223" s="151"/>
      <c r="F2223" s="24"/>
      <c r="G2223" s="30"/>
      <c r="H2223" s="81"/>
      <c r="I2223" s="30"/>
      <c r="J2223" s="16"/>
      <c r="K2223" s="9"/>
      <c r="L2223" s="9"/>
      <c r="M2223" s="152"/>
      <c r="N2223" s="153"/>
      <c r="O2223" s="152"/>
      <c r="P2223" s="154"/>
      <c r="Q2223" s="152"/>
      <c r="R2223" s="9"/>
      <c r="Z2223" s="21"/>
      <c r="AA2223" s="162">
        <f>+$AD$5-Tabla2[[#This Row],[FECHA DE FACTURACIÓN]]</f>
        <v>45443</v>
      </c>
      <c r="AB2223" s="163" t="str">
        <f>+IF(Tabla2[[#This Row],[dias de credito]]&gt;=Tabla2[[#This Row],[PLAZO Días]],"venc", "No venc")</f>
        <v>venc</v>
      </c>
      <c r="AC2223" s="163" t="str">
        <f>+IF(Tabla2[[#This Row],[FECHA DE PAGO]]&gt;0,"pagada","por pagar")</f>
        <v>por pagar</v>
      </c>
      <c r="AD2223" s="164" t="str">
        <f>+IF(AND(Tabla2[[#This Row],[venc]]="venc",Tabla2[[#This Row],[estado pago]]="por pagar"),"vencida","no")</f>
        <v>vencida</v>
      </c>
    </row>
    <row r="2224" spans="1:30" ht="19.5" hidden="1" customHeight="1" x14ac:dyDescent="0.25">
      <c r="A2224" s="8"/>
      <c r="B2224" s="8"/>
      <c r="C2224" s="8"/>
      <c r="D2224" s="151"/>
      <c r="E2224" s="151"/>
      <c r="F2224" s="24"/>
      <c r="G2224" s="30"/>
      <c r="H2224" s="81"/>
      <c r="I2224" s="30"/>
      <c r="J2224" s="16"/>
      <c r="K2224" s="9"/>
      <c r="L2224" s="9"/>
      <c r="M2224" s="152"/>
      <c r="N2224" s="153"/>
      <c r="O2224" s="152"/>
      <c r="P2224" s="154"/>
      <c r="Q2224" s="152"/>
      <c r="R2224" s="9"/>
      <c r="Z2224" s="21"/>
      <c r="AA2224" s="162">
        <f>+$AD$5-Tabla2[[#This Row],[FECHA DE FACTURACIÓN]]</f>
        <v>45443</v>
      </c>
      <c r="AB2224" s="163" t="str">
        <f>+IF(Tabla2[[#This Row],[dias de credito]]&gt;=Tabla2[[#This Row],[PLAZO Días]],"venc", "No venc")</f>
        <v>venc</v>
      </c>
      <c r="AC2224" s="163" t="str">
        <f>+IF(Tabla2[[#This Row],[FECHA DE PAGO]]&gt;0,"pagada","por pagar")</f>
        <v>por pagar</v>
      </c>
      <c r="AD2224" s="164" t="str">
        <f>+IF(AND(Tabla2[[#This Row],[venc]]="venc",Tabla2[[#This Row],[estado pago]]="por pagar"),"vencida","no")</f>
        <v>vencida</v>
      </c>
    </row>
    <row r="2225" spans="1:30" ht="19.5" hidden="1" customHeight="1" x14ac:dyDescent="0.25">
      <c r="A2225" s="8"/>
      <c r="B2225" s="8"/>
      <c r="C2225" s="8"/>
      <c r="D2225" s="151"/>
      <c r="E2225" s="151"/>
      <c r="F2225" s="24"/>
      <c r="G2225" s="30"/>
      <c r="H2225" s="81"/>
      <c r="I2225" s="30"/>
      <c r="J2225" s="16"/>
      <c r="K2225" s="9"/>
      <c r="L2225" s="9"/>
      <c r="M2225" s="152"/>
      <c r="N2225" s="153"/>
      <c r="O2225" s="152"/>
      <c r="P2225" s="154"/>
      <c r="Q2225" s="152"/>
      <c r="R2225" s="9"/>
      <c r="Z2225" s="21"/>
      <c r="AA2225" s="162">
        <f>+$AD$5-Tabla2[[#This Row],[FECHA DE FACTURACIÓN]]</f>
        <v>45443</v>
      </c>
      <c r="AB2225" s="163" t="str">
        <f>+IF(Tabla2[[#This Row],[dias de credito]]&gt;=Tabla2[[#This Row],[PLAZO Días]],"venc", "No venc")</f>
        <v>venc</v>
      </c>
      <c r="AC2225" s="163" t="str">
        <f>+IF(Tabla2[[#This Row],[FECHA DE PAGO]]&gt;0,"pagada","por pagar")</f>
        <v>por pagar</v>
      </c>
      <c r="AD2225" s="164" t="str">
        <f>+IF(AND(Tabla2[[#This Row],[venc]]="venc",Tabla2[[#This Row],[estado pago]]="por pagar"),"vencida","no")</f>
        <v>vencida</v>
      </c>
    </row>
    <row r="2226" spans="1:30" ht="19.5" hidden="1" customHeight="1" x14ac:dyDescent="0.25">
      <c r="A2226" s="8"/>
      <c r="B2226" s="8"/>
      <c r="C2226" s="8"/>
      <c r="D2226" s="151"/>
      <c r="E2226" s="151"/>
      <c r="F2226" s="24"/>
      <c r="G2226" s="30"/>
      <c r="H2226" s="81"/>
      <c r="I2226" s="30"/>
      <c r="J2226" s="16"/>
      <c r="K2226" s="9"/>
      <c r="L2226" s="9"/>
      <c r="M2226" s="152"/>
      <c r="N2226" s="153"/>
      <c r="O2226" s="152"/>
      <c r="P2226" s="154"/>
      <c r="Q2226" s="152"/>
      <c r="R2226" s="9"/>
      <c r="Z2226" s="21"/>
      <c r="AA2226" s="162">
        <f>+$AD$5-Tabla2[[#This Row],[FECHA DE FACTURACIÓN]]</f>
        <v>45443</v>
      </c>
      <c r="AB2226" s="163" t="str">
        <f>+IF(Tabla2[[#This Row],[dias de credito]]&gt;=Tabla2[[#This Row],[PLAZO Días]],"venc", "No venc")</f>
        <v>venc</v>
      </c>
      <c r="AC2226" s="163" t="str">
        <f>+IF(Tabla2[[#This Row],[FECHA DE PAGO]]&gt;0,"pagada","por pagar")</f>
        <v>por pagar</v>
      </c>
      <c r="AD2226" s="164" t="str">
        <f>+IF(AND(Tabla2[[#This Row],[venc]]="venc",Tabla2[[#This Row],[estado pago]]="por pagar"),"vencida","no")</f>
        <v>vencida</v>
      </c>
    </row>
    <row r="2227" spans="1:30" ht="19.5" hidden="1" customHeight="1" x14ac:dyDescent="0.25">
      <c r="A2227" s="8"/>
      <c r="B2227" s="8"/>
      <c r="C2227" s="8"/>
      <c r="D2227" s="151"/>
      <c r="E2227" s="151"/>
      <c r="F2227" s="24"/>
      <c r="G2227" s="30"/>
      <c r="H2227" s="81"/>
      <c r="I2227" s="30"/>
      <c r="J2227" s="16"/>
      <c r="K2227" s="9"/>
      <c r="L2227" s="9"/>
      <c r="M2227" s="152"/>
      <c r="N2227" s="153"/>
      <c r="O2227" s="152"/>
      <c r="P2227" s="154"/>
      <c r="Q2227" s="152"/>
      <c r="R2227" s="9"/>
      <c r="Z2227" s="21"/>
      <c r="AA2227" s="162">
        <f>+$AD$5-Tabla2[[#This Row],[FECHA DE FACTURACIÓN]]</f>
        <v>45443</v>
      </c>
      <c r="AB2227" s="163" t="str">
        <f>+IF(Tabla2[[#This Row],[dias de credito]]&gt;=Tabla2[[#This Row],[PLAZO Días]],"venc", "No venc")</f>
        <v>venc</v>
      </c>
      <c r="AC2227" s="163" t="str">
        <f>+IF(Tabla2[[#This Row],[FECHA DE PAGO]]&gt;0,"pagada","por pagar")</f>
        <v>por pagar</v>
      </c>
      <c r="AD2227" s="164" t="str">
        <f>+IF(AND(Tabla2[[#This Row],[venc]]="venc",Tabla2[[#This Row],[estado pago]]="por pagar"),"vencida","no")</f>
        <v>vencida</v>
      </c>
    </row>
    <row r="2228" spans="1:30" ht="19.5" hidden="1" customHeight="1" x14ac:dyDescent="0.25">
      <c r="A2228" s="8"/>
      <c r="B2228" s="8"/>
      <c r="C2228" s="8"/>
      <c r="D2228" s="151"/>
      <c r="E2228" s="151"/>
      <c r="F2228" s="24"/>
      <c r="G2228" s="30"/>
      <c r="H2228" s="81"/>
      <c r="I2228" s="30"/>
      <c r="J2228" s="16"/>
      <c r="K2228" s="9"/>
      <c r="L2228" s="9"/>
      <c r="M2228" s="152"/>
      <c r="N2228" s="153"/>
      <c r="O2228" s="152"/>
      <c r="P2228" s="154"/>
      <c r="Q2228" s="152"/>
      <c r="R2228" s="9"/>
      <c r="Z2228" s="21"/>
      <c r="AA2228" s="162">
        <f>+$AD$5-Tabla2[[#This Row],[FECHA DE FACTURACIÓN]]</f>
        <v>45443</v>
      </c>
      <c r="AB2228" s="163" t="str">
        <f>+IF(Tabla2[[#This Row],[dias de credito]]&gt;=Tabla2[[#This Row],[PLAZO Días]],"venc", "No venc")</f>
        <v>venc</v>
      </c>
      <c r="AC2228" s="163" t="str">
        <f>+IF(Tabla2[[#This Row],[FECHA DE PAGO]]&gt;0,"pagada","por pagar")</f>
        <v>por pagar</v>
      </c>
      <c r="AD2228" s="164" t="str">
        <f>+IF(AND(Tabla2[[#This Row],[venc]]="venc",Tabla2[[#This Row],[estado pago]]="por pagar"),"vencida","no")</f>
        <v>vencida</v>
      </c>
    </row>
    <row r="2229" spans="1:30" ht="19.5" hidden="1" customHeight="1" x14ac:dyDescent="0.25">
      <c r="A2229" s="8"/>
      <c r="B2229" s="8"/>
      <c r="C2229" s="8"/>
      <c r="D2229" s="151"/>
      <c r="E2229" s="151"/>
      <c r="F2229" s="24"/>
      <c r="G2229" s="30"/>
      <c r="H2229" s="81"/>
      <c r="I2229" s="30"/>
      <c r="J2229" s="16"/>
      <c r="K2229" s="9"/>
      <c r="L2229" s="9"/>
      <c r="M2229" s="152"/>
      <c r="N2229" s="153"/>
      <c r="O2229" s="152"/>
      <c r="P2229" s="154"/>
      <c r="Q2229" s="152"/>
      <c r="R2229" s="9"/>
      <c r="Z2229" s="21"/>
      <c r="AA2229" s="162">
        <f>+$AD$5-Tabla2[[#This Row],[FECHA DE FACTURACIÓN]]</f>
        <v>45443</v>
      </c>
      <c r="AB2229" s="163" t="str">
        <f>+IF(Tabla2[[#This Row],[dias de credito]]&gt;=Tabla2[[#This Row],[PLAZO Días]],"venc", "No venc")</f>
        <v>venc</v>
      </c>
      <c r="AC2229" s="163" t="str">
        <f>+IF(Tabla2[[#This Row],[FECHA DE PAGO]]&gt;0,"pagada","por pagar")</f>
        <v>por pagar</v>
      </c>
      <c r="AD2229" s="164" t="str">
        <f>+IF(AND(Tabla2[[#This Row],[venc]]="venc",Tabla2[[#This Row],[estado pago]]="por pagar"),"vencida","no")</f>
        <v>vencida</v>
      </c>
    </row>
    <row r="2230" spans="1:30" ht="19.5" hidden="1" customHeight="1" x14ac:dyDescent="0.25">
      <c r="A2230" s="8"/>
      <c r="B2230" s="8"/>
      <c r="C2230" s="8"/>
      <c r="D2230" s="151"/>
      <c r="E2230" s="151"/>
      <c r="F2230" s="24"/>
      <c r="G2230" s="30"/>
      <c r="H2230" s="81"/>
      <c r="I2230" s="30"/>
      <c r="J2230" s="16"/>
      <c r="K2230" s="9"/>
      <c r="L2230" s="9"/>
      <c r="M2230" s="152"/>
      <c r="N2230" s="153"/>
      <c r="O2230" s="152"/>
      <c r="P2230" s="154"/>
      <c r="Q2230" s="152"/>
      <c r="R2230" s="9"/>
      <c r="Z2230" s="21"/>
      <c r="AA2230" s="162">
        <f>+$AD$5-Tabla2[[#This Row],[FECHA DE FACTURACIÓN]]</f>
        <v>45443</v>
      </c>
      <c r="AB2230" s="163" t="str">
        <f>+IF(Tabla2[[#This Row],[dias de credito]]&gt;=Tabla2[[#This Row],[PLAZO Días]],"venc", "No venc")</f>
        <v>venc</v>
      </c>
      <c r="AC2230" s="163" t="str">
        <f>+IF(Tabla2[[#This Row],[FECHA DE PAGO]]&gt;0,"pagada","por pagar")</f>
        <v>por pagar</v>
      </c>
      <c r="AD2230" s="164" t="str">
        <f>+IF(AND(Tabla2[[#This Row],[venc]]="venc",Tabla2[[#This Row],[estado pago]]="por pagar"),"vencida","no")</f>
        <v>vencida</v>
      </c>
    </row>
    <row r="2231" spans="1:30" ht="19.5" hidden="1" customHeight="1" x14ac:dyDescent="0.25">
      <c r="A2231" s="8"/>
      <c r="B2231" s="8"/>
      <c r="C2231" s="8"/>
      <c r="D2231" s="151"/>
      <c r="E2231" s="151"/>
      <c r="F2231" s="24"/>
      <c r="G2231" s="30"/>
      <c r="H2231" s="81"/>
      <c r="I2231" s="30"/>
      <c r="J2231" s="16"/>
      <c r="K2231" s="9"/>
      <c r="L2231" s="9"/>
      <c r="M2231" s="152"/>
      <c r="N2231" s="153"/>
      <c r="O2231" s="152"/>
      <c r="P2231" s="154"/>
      <c r="Q2231" s="152"/>
      <c r="R2231" s="9"/>
      <c r="Z2231" s="21"/>
      <c r="AA2231" s="162">
        <f>+$AD$5-Tabla2[[#This Row],[FECHA DE FACTURACIÓN]]</f>
        <v>45443</v>
      </c>
      <c r="AB2231" s="163" t="str">
        <f>+IF(Tabla2[[#This Row],[dias de credito]]&gt;=Tabla2[[#This Row],[PLAZO Días]],"venc", "No venc")</f>
        <v>venc</v>
      </c>
      <c r="AC2231" s="163" t="str">
        <f>+IF(Tabla2[[#This Row],[FECHA DE PAGO]]&gt;0,"pagada","por pagar")</f>
        <v>por pagar</v>
      </c>
      <c r="AD2231" s="164" t="str">
        <f>+IF(AND(Tabla2[[#This Row],[venc]]="venc",Tabla2[[#This Row],[estado pago]]="por pagar"),"vencida","no")</f>
        <v>vencida</v>
      </c>
    </row>
    <row r="2232" spans="1:30" ht="19.5" hidden="1" customHeight="1" x14ac:dyDescent="0.25">
      <c r="A2232" s="8"/>
      <c r="B2232" s="8"/>
      <c r="C2232" s="8"/>
      <c r="D2232" s="151"/>
      <c r="E2232" s="151"/>
      <c r="F2232" s="24"/>
      <c r="G2232" s="30"/>
      <c r="H2232" s="81"/>
      <c r="I2232" s="30"/>
      <c r="J2232" s="16"/>
      <c r="K2232" s="9"/>
      <c r="L2232" s="9"/>
      <c r="M2232" s="152"/>
      <c r="N2232" s="153"/>
      <c r="O2232" s="152"/>
      <c r="P2232" s="154"/>
      <c r="Q2232" s="152"/>
      <c r="R2232" s="9"/>
      <c r="Z2232" s="21"/>
      <c r="AA2232" s="162">
        <f>+$AD$5-Tabla2[[#This Row],[FECHA DE FACTURACIÓN]]</f>
        <v>45443</v>
      </c>
      <c r="AB2232" s="163" t="str">
        <f>+IF(Tabla2[[#This Row],[dias de credito]]&gt;=Tabla2[[#This Row],[PLAZO Días]],"venc", "No venc")</f>
        <v>venc</v>
      </c>
      <c r="AC2232" s="163" t="str">
        <f>+IF(Tabla2[[#This Row],[FECHA DE PAGO]]&gt;0,"pagada","por pagar")</f>
        <v>por pagar</v>
      </c>
      <c r="AD2232" s="164" t="str">
        <f>+IF(AND(Tabla2[[#This Row],[venc]]="venc",Tabla2[[#This Row],[estado pago]]="por pagar"),"vencida","no")</f>
        <v>vencida</v>
      </c>
    </row>
    <row r="2233" spans="1:30" ht="19.5" hidden="1" customHeight="1" x14ac:dyDescent="0.25">
      <c r="A2233" s="8"/>
      <c r="B2233" s="8"/>
      <c r="C2233" s="8"/>
      <c r="D2233" s="151"/>
      <c r="E2233" s="151"/>
      <c r="F2233" s="24"/>
      <c r="G2233" s="30"/>
      <c r="H2233" s="81"/>
      <c r="I2233" s="30"/>
      <c r="J2233" s="16"/>
      <c r="K2233" s="9"/>
      <c r="L2233" s="9"/>
      <c r="M2233" s="152"/>
      <c r="N2233" s="153"/>
      <c r="O2233" s="152"/>
      <c r="P2233" s="154"/>
      <c r="Q2233" s="152"/>
      <c r="R2233" s="9"/>
      <c r="Z2233" s="21"/>
      <c r="AA2233" s="162">
        <f>+$AD$5-Tabla2[[#This Row],[FECHA DE FACTURACIÓN]]</f>
        <v>45443</v>
      </c>
      <c r="AB2233" s="163" t="str">
        <f>+IF(Tabla2[[#This Row],[dias de credito]]&gt;=Tabla2[[#This Row],[PLAZO Días]],"venc", "No venc")</f>
        <v>venc</v>
      </c>
      <c r="AC2233" s="163" t="str">
        <f>+IF(Tabla2[[#This Row],[FECHA DE PAGO]]&gt;0,"pagada","por pagar")</f>
        <v>por pagar</v>
      </c>
      <c r="AD2233" s="164" t="str">
        <f>+IF(AND(Tabla2[[#This Row],[venc]]="venc",Tabla2[[#This Row],[estado pago]]="por pagar"),"vencida","no")</f>
        <v>vencida</v>
      </c>
    </row>
    <row r="2234" spans="1:30" ht="19.5" hidden="1" customHeight="1" x14ac:dyDescent="0.25">
      <c r="A2234" s="8"/>
      <c r="B2234" s="8"/>
      <c r="C2234" s="8"/>
      <c r="D2234" s="151"/>
      <c r="E2234" s="151"/>
      <c r="F2234" s="24"/>
      <c r="G2234" s="30"/>
      <c r="H2234" s="81"/>
      <c r="I2234" s="30"/>
      <c r="J2234" s="16"/>
      <c r="K2234" s="9"/>
      <c r="L2234" s="9"/>
      <c r="M2234" s="152"/>
      <c r="N2234" s="153"/>
      <c r="O2234" s="152"/>
      <c r="P2234" s="154"/>
      <c r="Q2234" s="152"/>
      <c r="R2234" s="9"/>
      <c r="Z2234" s="21"/>
      <c r="AA2234" s="162">
        <f>+$AD$5-Tabla2[[#This Row],[FECHA DE FACTURACIÓN]]</f>
        <v>45443</v>
      </c>
      <c r="AB2234" s="163" t="str">
        <f>+IF(Tabla2[[#This Row],[dias de credito]]&gt;=Tabla2[[#This Row],[PLAZO Días]],"venc", "No venc")</f>
        <v>venc</v>
      </c>
      <c r="AC2234" s="163" t="str">
        <f>+IF(Tabla2[[#This Row],[FECHA DE PAGO]]&gt;0,"pagada","por pagar")</f>
        <v>por pagar</v>
      </c>
      <c r="AD2234" s="164" t="str">
        <f>+IF(AND(Tabla2[[#This Row],[venc]]="venc",Tabla2[[#This Row],[estado pago]]="por pagar"),"vencida","no")</f>
        <v>vencida</v>
      </c>
    </row>
    <row r="2235" spans="1:30" ht="19.5" hidden="1" customHeight="1" x14ac:dyDescent="0.25">
      <c r="A2235" s="8"/>
      <c r="B2235" s="8"/>
      <c r="C2235" s="8"/>
      <c r="D2235" s="151"/>
      <c r="E2235" s="151"/>
      <c r="F2235" s="24"/>
      <c r="G2235" s="30"/>
      <c r="H2235" s="81"/>
      <c r="I2235" s="30"/>
      <c r="J2235" s="16"/>
      <c r="K2235" s="9"/>
      <c r="L2235" s="9"/>
      <c r="M2235" s="152"/>
      <c r="N2235" s="153"/>
      <c r="O2235" s="152"/>
      <c r="P2235" s="154"/>
      <c r="Q2235" s="152"/>
      <c r="R2235" s="9"/>
      <c r="Z2235" s="21"/>
      <c r="AA2235" s="162">
        <f>+$AD$5-Tabla2[[#This Row],[FECHA DE FACTURACIÓN]]</f>
        <v>45443</v>
      </c>
      <c r="AB2235" s="163" t="str">
        <f>+IF(Tabla2[[#This Row],[dias de credito]]&gt;=Tabla2[[#This Row],[PLAZO Días]],"venc", "No venc")</f>
        <v>venc</v>
      </c>
      <c r="AC2235" s="163" t="str">
        <f>+IF(Tabla2[[#This Row],[FECHA DE PAGO]]&gt;0,"pagada","por pagar")</f>
        <v>por pagar</v>
      </c>
      <c r="AD2235" s="164" t="str">
        <f>+IF(AND(Tabla2[[#This Row],[venc]]="venc",Tabla2[[#This Row],[estado pago]]="por pagar"),"vencida","no")</f>
        <v>vencida</v>
      </c>
    </row>
    <row r="2236" spans="1:30" ht="19.5" hidden="1" customHeight="1" x14ac:dyDescent="0.25">
      <c r="A2236" s="8"/>
      <c r="B2236" s="8"/>
      <c r="C2236" s="8"/>
      <c r="D2236" s="151"/>
      <c r="E2236" s="151"/>
      <c r="F2236" s="24"/>
      <c r="G2236" s="30"/>
      <c r="H2236" s="81"/>
      <c r="I2236" s="30"/>
      <c r="J2236" s="16"/>
      <c r="K2236" s="9"/>
      <c r="L2236" s="9"/>
      <c r="M2236" s="152"/>
      <c r="N2236" s="153"/>
      <c r="O2236" s="152"/>
      <c r="P2236" s="154"/>
      <c r="Q2236" s="152"/>
      <c r="R2236" s="9"/>
      <c r="Z2236" s="21"/>
      <c r="AA2236" s="162">
        <f>+$AD$5-Tabla2[[#This Row],[FECHA DE FACTURACIÓN]]</f>
        <v>45443</v>
      </c>
      <c r="AB2236" s="163" t="str">
        <f>+IF(Tabla2[[#This Row],[dias de credito]]&gt;=Tabla2[[#This Row],[PLAZO Días]],"venc", "No venc")</f>
        <v>venc</v>
      </c>
      <c r="AC2236" s="163" t="str">
        <f>+IF(Tabla2[[#This Row],[FECHA DE PAGO]]&gt;0,"pagada","por pagar")</f>
        <v>por pagar</v>
      </c>
      <c r="AD2236" s="164" t="str">
        <f>+IF(AND(Tabla2[[#This Row],[venc]]="venc",Tabla2[[#This Row],[estado pago]]="por pagar"),"vencida","no")</f>
        <v>vencida</v>
      </c>
    </row>
    <row r="2237" spans="1:30" ht="19.5" hidden="1" customHeight="1" x14ac:dyDescent="0.25">
      <c r="A2237" s="8"/>
      <c r="B2237" s="8"/>
      <c r="C2237" s="8"/>
      <c r="D2237" s="151"/>
      <c r="E2237" s="151"/>
      <c r="F2237" s="24"/>
      <c r="G2237" s="30"/>
      <c r="H2237" s="81"/>
      <c r="I2237" s="30"/>
      <c r="J2237" s="16"/>
      <c r="K2237" s="9"/>
      <c r="L2237" s="9"/>
      <c r="M2237" s="152"/>
      <c r="N2237" s="153"/>
      <c r="O2237" s="152"/>
      <c r="P2237" s="154"/>
      <c r="Q2237" s="152"/>
      <c r="R2237" s="9"/>
      <c r="Z2237" s="21"/>
      <c r="AA2237" s="162">
        <f>+$AD$5-Tabla2[[#This Row],[FECHA DE FACTURACIÓN]]</f>
        <v>45443</v>
      </c>
      <c r="AB2237" s="163" t="str">
        <f>+IF(Tabla2[[#This Row],[dias de credito]]&gt;=Tabla2[[#This Row],[PLAZO Días]],"venc", "No venc")</f>
        <v>venc</v>
      </c>
      <c r="AC2237" s="163" t="str">
        <f>+IF(Tabla2[[#This Row],[FECHA DE PAGO]]&gt;0,"pagada","por pagar")</f>
        <v>por pagar</v>
      </c>
      <c r="AD2237" s="164" t="str">
        <f>+IF(AND(Tabla2[[#This Row],[venc]]="venc",Tabla2[[#This Row],[estado pago]]="por pagar"),"vencida","no")</f>
        <v>vencida</v>
      </c>
    </row>
    <row r="2238" spans="1:30" ht="19.5" hidden="1" customHeight="1" x14ac:dyDescent="0.25">
      <c r="A2238" s="8"/>
      <c r="B2238" s="8"/>
      <c r="C2238" s="8"/>
      <c r="D2238" s="151"/>
      <c r="E2238" s="151"/>
      <c r="F2238" s="24"/>
      <c r="G2238" s="30"/>
      <c r="H2238" s="81"/>
      <c r="I2238" s="30"/>
      <c r="J2238" s="16"/>
      <c r="K2238" s="9"/>
      <c r="L2238" s="9"/>
      <c r="M2238" s="152"/>
      <c r="N2238" s="153"/>
      <c r="O2238" s="152"/>
      <c r="P2238" s="154"/>
      <c r="Q2238" s="152"/>
      <c r="R2238" s="9"/>
      <c r="Z2238" s="21"/>
      <c r="AA2238" s="162">
        <f>+$AD$5-Tabla2[[#This Row],[FECHA DE FACTURACIÓN]]</f>
        <v>45443</v>
      </c>
      <c r="AB2238" s="163" t="str">
        <f>+IF(Tabla2[[#This Row],[dias de credito]]&gt;=Tabla2[[#This Row],[PLAZO Días]],"venc", "No venc")</f>
        <v>venc</v>
      </c>
      <c r="AC2238" s="163" t="str">
        <f>+IF(Tabla2[[#This Row],[FECHA DE PAGO]]&gt;0,"pagada","por pagar")</f>
        <v>por pagar</v>
      </c>
      <c r="AD2238" s="164" t="str">
        <f>+IF(AND(Tabla2[[#This Row],[venc]]="venc",Tabla2[[#This Row],[estado pago]]="por pagar"),"vencida","no")</f>
        <v>vencida</v>
      </c>
    </row>
    <row r="2239" spans="1:30" ht="19.5" hidden="1" customHeight="1" x14ac:dyDescent="0.25">
      <c r="A2239" s="8"/>
      <c r="B2239" s="8"/>
      <c r="C2239" s="8"/>
      <c r="D2239" s="151"/>
      <c r="E2239" s="151"/>
      <c r="F2239" s="24"/>
      <c r="G2239" s="30"/>
      <c r="H2239" s="81"/>
      <c r="I2239" s="30"/>
      <c r="J2239" s="16"/>
      <c r="K2239" s="9"/>
      <c r="L2239" s="9"/>
      <c r="M2239" s="152"/>
      <c r="N2239" s="153"/>
      <c r="O2239" s="152"/>
      <c r="P2239" s="154"/>
      <c r="Q2239" s="152"/>
      <c r="R2239" s="9"/>
      <c r="Z2239" s="21"/>
      <c r="AA2239" s="162">
        <f>+$AD$5-Tabla2[[#This Row],[FECHA DE FACTURACIÓN]]</f>
        <v>45443</v>
      </c>
      <c r="AB2239" s="163" t="str">
        <f>+IF(Tabla2[[#This Row],[dias de credito]]&gt;=Tabla2[[#This Row],[PLAZO Días]],"venc", "No venc")</f>
        <v>venc</v>
      </c>
      <c r="AC2239" s="163" t="str">
        <f>+IF(Tabla2[[#This Row],[FECHA DE PAGO]]&gt;0,"pagada","por pagar")</f>
        <v>por pagar</v>
      </c>
      <c r="AD2239" s="164" t="str">
        <f>+IF(AND(Tabla2[[#This Row],[venc]]="venc",Tabla2[[#This Row],[estado pago]]="por pagar"),"vencida","no")</f>
        <v>vencida</v>
      </c>
    </row>
    <row r="2240" spans="1:30" ht="19.5" hidden="1" customHeight="1" x14ac:dyDescent="0.25">
      <c r="A2240" s="8"/>
      <c r="B2240" s="8"/>
      <c r="C2240" s="8"/>
      <c r="D2240" s="151"/>
      <c r="E2240" s="151"/>
      <c r="F2240" s="24"/>
      <c r="G2240" s="30"/>
      <c r="H2240" s="81"/>
      <c r="I2240" s="30"/>
      <c r="J2240" s="16"/>
      <c r="K2240" s="9"/>
      <c r="L2240" s="9"/>
      <c r="M2240" s="152"/>
      <c r="N2240" s="153"/>
      <c r="O2240" s="152"/>
      <c r="P2240" s="154"/>
      <c r="Q2240" s="152"/>
      <c r="R2240" s="9"/>
      <c r="Z2240" s="21"/>
      <c r="AA2240" s="162">
        <f>+$AD$5-Tabla2[[#This Row],[FECHA DE FACTURACIÓN]]</f>
        <v>45443</v>
      </c>
      <c r="AB2240" s="163" t="str">
        <f>+IF(Tabla2[[#This Row],[dias de credito]]&gt;=Tabla2[[#This Row],[PLAZO Días]],"venc", "No venc")</f>
        <v>venc</v>
      </c>
      <c r="AC2240" s="163" t="str">
        <f>+IF(Tabla2[[#This Row],[FECHA DE PAGO]]&gt;0,"pagada","por pagar")</f>
        <v>por pagar</v>
      </c>
      <c r="AD2240" s="164" t="str">
        <f>+IF(AND(Tabla2[[#This Row],[venc]]="venc",Tabla2[[#This Row],[estado pago]]="por pagar"),"vencida","no")</f>
        <v>vencida</v>
      </c>
    </row>
    <row r="2241" spans="1:30" ht="19.5" hidden="1" customHeight="1" x14ac:dyDescent="0.25">
      <c r="A2241" s="8"/>
      <c r="B2241" s="8"/>
      <c r="C2241" s="8"/>
      <c r="D2241" s="151"/>
      <c r="E2241" s="151"/>
      <c r="F2241" s="24"/>
      <c r="G2241" s="30"/>
      <c r="H2241" s="81"/>
      <c r="I2241" s="30"/>
      <c r="J2241" s="16"/>
      <c r="K2241" s="9"/>
      <c r="L2241" s="9"/>
      <c r="M2241" s="152"/>
      <c r="N2241" s="153"/>
      <c r="O2241" s="152"/>
      <c r="P2241" s="154"/>
      <c r="Q2241" s="152"/>
      <c r="R2241" s="9"/>
      <c r="Z2241" s="21"/>
      <c r="AA2241" s="162">
        <f>+$AD$5-Tabla2[[#This Row],[FECHA DE FACTURACIÓN]]</f>
        <v>45443</v>
      </c>
      <c r="AB2241" s="163" t="str">
        <f>+IF(Tabla2[[#This Row],[dias de credito]]&gt;=Tabla2[[#This Row],[PLAZO Días]],"venc", "No venc")</f>
        <v>venc</v>
      </c>
      <c r="AC2241" s="163" t="str">
        <f>+IF(Tabla2[[#This Row],[FECHA DE PAGO]]&gt;0,"pagada","por pagar")</f>
        <v>por pagar</v>
      </c>
      <c r="AD2241" s="164" t="str">
        <f>+IF(AND(Tabla2[[#This Row],[venc]]="venc",Tabla2[[#This Row],[estado pago]]="por pagar"),"vencida","no")</f>
        <v>vencida</v>
      </c>
    </row>
    <row r="2242" spans="1:30" ht="19.5" hidden="1" customHeight="1" x14ac:dyDescent="0.25">
      <c r="A2242" s="8"/>
      <c r="B2242" s="8"/>
      <c r="C2242" s="8"/>
      <c r="D2242" s="151"/>
      <c r="E2242" s="151"/>
      <c r="F2242" s="24"/>
      <c r="G2242" s="30"/>
      <c r="H2242" s="81"/>
      <c r="I2242" s="30"/>
      <c r="J2242" s="16"/>
      <c r="K2242" s="9"/>
      <c r="L2242" s="9"/>
      <c r="M2242" s="152"/>
      <c r="N2242" s="153"/>
      <c r="O2242" s="152"/>
      <c r="P2242" s="154"/>
      <c r="Q2242" s="152"/>
      <c r="R2242" s="9"/>
      <c r="Z2242" s="21"/>
      <c r="AA2242" s="162">
        <f>+$AD$5-Tabla2[[#This Row],[FECHA DE FACTURACIÓN]]</f>
        <v>45443</v>
      </c>
      <c r="AB2242" s="163" t="str">
        <f>+IF(Tabla2[[#This Row],[dias de credito]]&gt;=Tabla2[[#This Row],[PLAZO Días]],"venc", "No venc")</f>
        <v>venc</v>
      </c>
      <c r="AC2242" s="163" t="str">
        <f>+IF(Tabla2[[#This Row],[FECHA DE PAGO]]&gt;0,"pagada","por pagar")</f>
        <v>por pagar</v>
      </c>
      <c r="AD2242" s="164" t="str">
        <f>+IF(AND(Tabla2[[#This Row],[venc]]="venc",Tabla2[[#This Row],[estado pago]]="por pagar"),"vencida","no")</f>
        <v>vencida</v>
      </c>
    </row>
    <row r="2243" spans="1:30" ht="19.5" hidden="1" customHeight="1" x14ac:dyDescent="0.25">
      <c r="A2243" s="8"/>
      <c r="B2243" s="8"/>
      <c r="C2243" s="8"/>
      <c r="D2243" s="151"/>
      <c r="E2243" s="151"/>
      <c r="F2243" s="24"/>
      <c r="G2243" s="30"/>
      <c r="H2243" s="81"/>
      <c r="I2243" s="30"/>
      <c r="J2243" s="16"/>
      <c r="K2243" s="9"/>
      <c r="L2243" s="9"/>
      <c r="M2243" s="152"/>
      <c r="N2243" s="153"/>
      <c r="O2243" s="152"/>
      <c r="P2243" s="154"/>
      <c r="Q2243" s="152"/>
      <c r="R2243" s="9"/>
      <c r="Z2243" s="21"/>
      <c r="AA2243" s="162">
        <f>+$AD$5-Tabla2[[#This Row],[FECHA DE FACTURACIÓN]]</f>
        <v>45443</v>
      </c>
      <c r="AB2243" s="163" t="str">
        <f>+IF(Tabla2[[#This Row],[dias de credito]]&gt;=Tabla2[[#This Row],[PLAZO Días]],"venc", "No venc")</f>
        <v>venc</v>
      </c>
      <c r="AC2243" s="163" t="str">
        <f>+IF(Tabla2[[#This Row],[FECHA DE PAGO]]&gt;0,"pagada","por pagar")</f>
        <v>por pagar</v>
      </c>
      <c r="AD2243" s="164" t="str">
        <f>+IF(AND(Tabla2[[#This Row],[venc]]="venc",Tabla2[[#This Row],[estado pago]]="por pagar"),"vencida","no")</f>
        <v>vencida</v>
      </c>
    </row>
    <row r="2244" spans="1:30" ht="19.5" hidden="1" customHeight="1" x14ac:dyDescent="0.25">
      <c r="A2244" s="8"/>
      <c r="B2244" s="8"/>
      <c r="C2244" s="8"/>
      <c r="D2244" s="151"/>
      <c r="E2244" s="151"/>
      <c r="F2244" s="24"/>
      <c r="G2244" s="30"/>
      <c r="H2244" s="81"/>
      <c r="I2244" s="30"/>
      <c r="J2244" s="16"/>
      <c r="K2244" s="9"/>
      <c r="L2244" s="9"/>
      <c r="M2244" s="152"/>
      <c r="N2244" s="153"/>
      <c r="O2244" s="152"/>
      <c r="P2244" s="154"/>
      <c r="Q2244" s="152"/>
      <c r="R2244" s="9"/>
      <c r="Z2244" s="21"/>
      <c r="AA2244" s="162">
        <f>+$AD$5-Tabla2[[#This Row],[FECHA DE FACTURACIÓN]]</f>
        <v>45443</v>
      </c>
      <c r="AB2244" s="163" t="str">
        <f>+IF(Tabla2[[#This Row],[dias de credito]]&gt;=Tabla2[[#This Row],[PLAZO Días]],"venc", "No venc")</f>
        <v>venc</v>
      </c>
      <c r="AC2244" s="163" t="str">
        <f>+IF(Tabla2[[#This Row],[FECHA DE PAGO]]&gt;0,"pagada","por pagar")</f>
        <v>por pagar</v>
      </c>
      <c r="AD2244" s="164" t="str">
        <f>+IF(AND(Tabla2[[#This Row],[venc]]="venc",Tabla2[[#This Row],[estado pago]]="por pagar"),"vencida","no")</f>
        <v>vencida</v>
      </c>
    </row>
    <row r="2245" spans="1:30" ht="19.5" hidden="1" customHeight="1" x14ac:dyDescent="0.25">
      <c r="A2245" s="8"/>
      <c r="B2245" s="8"/>
      <c r="C2245" s="8"/>
      <c r="D2245" s="151"/>
      <c r="E2245" s="151"/>
      <c r="F2245" s="24"/>
      <c r="G2245" s="30"/>
      <c r="H2245" s="81"/>
      <c r="I2245" s="30"/>
      <c r="J2245" s="16"/>
      <c r="K2245" s="9"/>
      <c r="L2245" s="9"/>
      <c r="M2245" s="152"/>
      <c r="N2245" s="153"/>
      <c r="O2245" s="152"/>
      <c r="P2245" s="154"/>
      <c r="Q2245" s="152"/>
      <c r="R2245" s="9"/>
      <c r="Z2245" s="21"/>
      <c r="AA2245" s="162">
        <f>+$AD$5-Tabla2[[#This Row],[FECHA DE FACTURACIÓN]]</f>
        <v>45443</v>
      </c>
      <c r="AB2245" s="163" t="str">
        <f>+IF(Tabla2[[#This Row],[dias de credito]]&gt;=Tabla2[[#This Row],[PLAZO Días]],"venc", "No venc")</f>
        <v>venc</v>
      </c>
      <c r="AC2245" s="163" t="str">
        <f>+IF(Tabla2[[#This Row],[FECHA DE PAGO]]&gt;0,"pagada","por pagar")</f>
        <v>por pagar</v>
      </c>
      <c r="AD2245" s="164" t="str">
        <f>+IF(AND(Tabla2[[#This Row],[venc]]="venc",Tabla2[[#This Row],[estado pago]]="por pagar"),"vencida","no")</f>
        <v>vencida</v>
      </c>
    </row>
    <row r="2246" spans="1:30" ht="19.5" hidden="1" customHeight="1" x14ac:dyDescent="0.25">
      <c r="A2246" s="8"/>
      <c r="B2246" s="8"/>
      <c r="C2246" s="8"/>
      <c r="D2246" s="151"/>
      <c r="E2246" s="151"/>
      <c r="F2246" s="24"/>
      <c r="G2246" s="30"/>
      <c r="H2246" s="81"/>
      <c r="I2246" s="30"/>
      <c r="J2246" s="16"/>
      <c r="K2246" s="9"/>
      <c r="L2246" s="9"/>
      <c r="M2246" s="152"/>
      <c r="N2246" s="153"/>
      <c r="O2246" s="152"/>
      <c r="P2246" s="154"/>
      <c r="Q2246" s="152"/>
      <c r="R2246" s="9"/>
      <c r="Z2246" s="21"/>
      <c r="AA2246" s="162">
        <f>+$AD$5-Tabla2[[#This Row],[FECHA DE FACTURACIÓN]]</f>
        <v>45443</v>
      </c>
      <c r="AB2246" s="163" t="str">
        <f>+IF(Tabla2[[#This Row],[dias de credito]]&gt;=Tabla2[[#This Row],[PLAZO Días]],"venc", "No venc")</f>
        <v>venc</v>
      </c>
      <c r="AC2246" s="163" t="str">
        <f>+IF(Tabla2[[#This Row],[FECHA DE PAGO]]&gt;0,"pagada","por pagar")</f>
        <v>por pagar</v>
      </c>
      <c r="AD2246" s="164" t="str">
        <f>+IF(AND(Tabla2[[#This Row],[venc]]="venc",Tabla2[[#This Row],[estado pago]]="por pagar"),"vencida","no")</f>
        <v>vencida</v>
      </c>
    </row>
    <row r="2247" spans="1:30" ht="19.5" hidden="1" customHeight="1" x14ac:dyDescent="0.25">
      <c r="A2247" s="8"/>
      <c r="B2247" s="8"/>
      <c r="C2247" s="8"/>
      <c r="D2247" s="151"/>
      <c r="E2247" s="151"/>
      <c r="F2247" s="24"/>
      <c r="G2247" s="30"/>
      <c r="H2247" s="81"/>
      <c r="I2247" s="30"/>
      <c r="J2247" s="16"/>
      <c r="K2247" s="9"/>
      <c r="L2247" s="9"/>
      <c r="M2247" s="152"/>
      <c r="N2247" s="153"/>
      <c r="O2247" s="152"/>
      <c r="P2247" s="154"/>
      <c r="Q2247" s="152"/>
      <c r="R2247" s="9"/>
      <c r="Z2247" s="21"/>
      <c r="AA2247" s="162">
        <f>+$AD$5-Tabla2[[#This Row],[FECHA DE FACTURACIÓN]]</f>
        <v>45443</v>
      </c>
      <c r="AB2247" s="163" t="str">
        <f>+IF(Tabla2[[#This Row],[dias de credito]]&gt;=Tabla2[[#This Row],[PLAZO Días]],"venc", "No venc")</f>
        <v>venc</v>
      </c>
      <c r="AC2247" s="163" t="str">
        <f>+IF(Tabla2[[#This Row],[FECHA DE PAGO]]&gt;0,"pagada","por pagar")</f>
        <v>por pagar</v>
      </c>
      <c r="AD2247" s="164" t="str">
        <f>+IF(AND(Tabla2[[#This Row],[venc]]="venc",Tabla2[[#This Row],[estado pago]]="por pagar"),"vencida","no")</f>
        <v>vencida</v>
      </c>
    </row>
    <row r="2248" spans="1:30" ht="19.5" hidden="1" customHeight="1" x14ac:dyDescent="0.25">
      <c r="A2248" s="8"/>
      <c r="B2248" s="8"/>
      <c r="C2248" s="8"/>
      <c r="D2248" s="151"/>
      <c r="E2248" s="151"/>
      <c r="F2248" s="24"/>
      <c r="G2248" s="30"/>
      <c r="H2248" s="81"/>
      <c r="I2248" s="30"/>
      <c r="J2248" s="16"/>
      <c r="K2248" s="9"/>
      <c r="L2248" s="9"/>
      <c r="M2248" s="152"/>
      <c r="N2248" s="153"/>
      <c r="O2248" s="152"/>
      <c r="P2248" s="154"/>
      <c r="Q2248" s="152"/>
      <c r="R2248" s="9"/>
      <c r="Z2248" s="21"/>
      <c r="AA2248" s="162">
        <f>+$AD$5-Tabla2[[#This Row],[FECHA DE FACTURACIÓN]]</f>
        <v>45443</v>
      </c>
      <c r="AB2248" s="163" t="str">
        <f>+IF(Tabla2[[#This Row],[dias de credito]]&gt;=Tabla2[[#This Row],[PLAZO Días]],"venc", "No venc")</f>
        <v>venc</v>
      </c>
      <c r="AC2248" s="163" t="str">
        <f>+IF(Tabla2[[#This Row],[FECHA DE PAGO]]&gt;0,"pagada","por pagar")</f>
        <v>por pagar</v>
      </c>
      <c r="AD2248" s="164" t="str">
        <f>+IF(AND(Tabla2[[#This Row],[venc]]="venc",Tabla2[[#This Row],[estado pago]]="por pagar"),"vencida","no")</f>
        <v>vencida</v>
      </c>
    </row>
    <row r="2249" spans="1:30" ht="19.5" hidden="1" customHeight="1" x14ac:dyDescent="0.25">
      <c r="A2249" s="8"/>
      <c r="B2249" s="8"/>
      <c r="C2249" s="8"/>
      <c r="D2249" s="151"/>
      <c r="E2249" s="151"/>
      <c r="F2249" s="24"/>
      <c r="G2249" s="30"/>
      <c r="H2249" s="81"/>
      <c r="I2249" s="30"/>
      <c r="J2249" s="16"/>
      <c r="K2249" s="9"/>
      <c r="L2249" s="9"/>
      <c r="M2249" s="152"/>
      <c r="N2249" s="153"/>
      <c r="O2249" s="152"/>
      <c r="P2249" s="154"/>
      <c r="Q2249" s="152"/>
      <c r="R2249" s="9"/>
      <c r="Z2249" s="21"/>
      <c r="AA2249" s="162">
        <f>+$AD$5-Tabla2[[#This Row],[FECHA DE FACTURACIÓN]]</f>
        <v>45443</v>
      </c>
      <c r="AB2249" s="163" t="str">
        <f>+IF(Tabla2[[#This Row],[dias de credito]]&gt;=Tabla2[[#This Row],[PLAZO Días]],"venc", "No venc")</f>
        <v>venc</v>
      </c>
      <c r="AC2249" s="163" t="str">
        <f>+IF(Tabla2[[#This Row],[FECHA DE PAGO]]&gt;0,"pagada","por pagar")</f>
        <v>por pagar</v>
      </c>
      <c r="AD2249" s="164" t="str">
        <f>+IF(AND(Tabla2[[#This Row],[venc]]="venc",Tabla2[[#This Row],[estado pago]]="por pagar"),"vencida","no")</f>
        <v>vencida</v>
      </c>
    </row>
    <row r="2250" spans="1:30" ht="19.5" hidden="1" customHeight="1" x14ac:dyDescent="0.25">
      <c r="A2250" s="8"/>
      <c r="B2250" s="8"/>
      <c r="C2250" s="8"/>
      <c r="D2250" s="151"/>
      <c r="E2250" s="151"/>
      <c r="F2250" s="24"/>
      <c r="G2250" s="30"/>
      <c r="H2250" s="81"/>
      <c r="I2250" s="30"/>
      <c r="J2250" s="16"/>
      <c r="K2250" s="9"/>
      <c r="L2250" s="9"/>
      <c r="M2250" s="152"/>
      <c r="N2250" s="153"/>
      <c r="O2250" s="152"/>
      <c r="P2250" s="154"/>
      <c r="Q2250" s="152"/>
      <c r="R2250" s="9"/>
      <c r="Z2250" s="21"/>
      <c r="AA2250" s="162">
        <f>+$AD$5-Tabla2[[#This Row],[FECHA DE FACTURACIÓN]]</f>
        <v>45443</v>
      </c>
      <c r="AB2250" s="163" t="str">
        <f>+IF(Tabla2[[#This Row],[dias de credito]]&gt;=Tabla2[[#This Row],[PLAZO Días]],"venc", "No venc")</f>
        <v>venc</v>
      </c>
      <c r="AC2250" s="163" t="str">
        <f>+IF(Tabla2[[#This Row],[FECHA DE PAGO]]&gt;0,"pagada","por pagar")</f>
        <v>por pagar</v>
      </c>
      <c r="AD2250" s="164" t="str">
        <f>+IF(AND(Tabla2[[#This Row],[venc]]="venc",Tabla2[[#This Row],[estado pago]]="por pagar"),"vencida","no")</f>
        <v>vencida</v>
      </c>
    </row>
    <row r="2251" spans="1:30" ht="19.5" hidden="1" customHeight="1" x14ac:dyDescent="0.25">
      <c r="A2251" s="8"/>
      <c r="B2251" s="8"/>
      <c r="C2251" s="8"/>
      <c r="D2251" s="151"/>
      <c r="E2251" s="151"/>
      <c r="F2251" s="24"/>
      <c r="G2251" s="30"/>
      <c r="H2251" s="81"/>
      <c r="I2251" s="30"/>
      <c r="J2251" s="16"/>
      <c r="K2251" s="9"/>
      <c r="L2251" s="9"/>
      <c r="M2251" s="152"/>
      <c r="N2251" s="153"/>
      <c r="O2251" s="152"/>
      <c r="P2251" s="154"/>
      <c r="Q2251" s="152"/>
      <c r="R2251" s="9"/>
      <c r="Z2251" s="21"/>
      <c r="AA2251" s="162">
        <f>+$AD$5-Tabla2[[#This Row],[FECHA DE FACTURACIÓN]]</f>
        <v>45443</v>
      </c>
      <c r="AB2251" s="163" t="str">
        <f>+IF(Tabla2[[#This Row],[dias de credito]]&gt;=Tabla2[[#This Row],[PLAZO Días]],"venc", "No venc")</f>
        <v>venc</v>
      </c>
      <c r="AC2251" s="163" t="str">
        <f>+IF(Tabla2[[#This Row],[FECHA DE PAGO]]&gt;0,"pagada","por pagar")</f>
        <v>por pagar</v>
      </c>
      <c r="AD2251" s="164" t="str">
        <f>+IF(AND(Tabla2[[#This Row],[venc]]="venc",Tabla2[[#This Row],[estado pago]]="por pagar"),"vencida","no")</f>
        <v>vencida</v>
      </c>
    </row>
    <row r="2252" spans="1:30" ht="19.5" hidden="1" customHeight="1" x14ac:dyDescent="0.25">
      <c r="A2252" s="8"/>
      <c r="B2252" s="8"/>
      <c r="C2252" s="8"/>
      <c r="D2252" s="151"/>
      <c r="E2252" s="151"/>
      <c r="F2252" s="24"/>
      <c r="G2252" s="30"/>
      <c r="H2252" s="81"/>
      <c r="I2252" s="30"/>
      <c r="J2252" s="16"/>
      <c r="K2252" s="9"/>
      <c r="L2252" s="9"/>
      <c r="M2252" s="152"/>
      <c r="N2252" s="153"/>
      <c r="O2252" s="152"/>
      <c r="P2252" s="154"/>
      <c r="Q2252" s="152"/>
      <c r="R2252" s="9"/>
      <c r="Z2252" s="21"/>
      <c r="AA2252" s="162">
        <f>+$AD$5-Tabla2[[#This Row],[FECHA DE FACTURACIÓN]]</f>
        <v>45443</v>
      </c>
      <c r="AB2252" s="163" t="str">
        <f>+IF(Tabla2[[#This Row],[dias de credito]]&gt;=Tabla2[[#This Row],[PLAZO Días]],"venc", "No venc")</f>
        <v>venc</v>
      </c>
      <c r="AC2252" s="163" t="str">
        <f>+IF(Tabla2[[#This Row],[FECHA DE PAGO]]&gt;0,"pagada","por pagar")</f>
        <v>por pagar</v>
      </c>
      <c r="AD2252" s="164" t="str">
        <f>+IF(AND(Tabla2[[#This Row],[venc]]="venc",Tabla2[[#This Row],[estado pago]]="por pagar"),"vencida","no")</f>
        <v>vencida</v>
      </c>
    </row>
    <row r="2253" spans="1:30" ht="19.5" hidden="1" customHeight="1" x14ac:dyDescent="0.25">
      <c r="A2253" s="8"/>
      <c r="B2253" s="8"/>
      <c r="C2253" s="8"/>
      <c r="D2253" s="151"/>
      <c r="E2253" s="151"/>
      <c r="F2253" s="24"/>
      <c r="G2253" s="30"/>
      <c r="H2253" s="81"/>
      <c r="I2253" s="30"/>
      <c r="J2253" s="16"/>
      <c r="K2253" s="9"/>
      <c r="L2253" s="9"/>
      <c r="M2253" s="152"/>
      <c r="N2253" s="153"/>
      <c r="O2253" s="152"/>
      <c r="P2253" s="154"/>
      <c r="Q2253" s="152"/>
      <c r="R2253" s="9"/>
      <c r="Z2253" s="21"/>
      <c r="AA2253" s="162">
        <f>+$AD$5-Tabla2[[#This Row],[FECHA DE FACTURACIÓN]]</f>
        <v>45443</v>
      </c>
      <c r="AB2253" s="163" t="str">
        <f>+IF(Tabla2[[#This Row],[dias de credito]]&gt;=Tabla2[[#This Row],[PLAZO Días]],"venc", "No venc")</f>
        <v>venc</v>
      </c>
      <c r="AC2253" s="163" t="str">
        <f>+IF(Tabla2[[#This Row],[FECHA DE PAGO]]&gt;0,"pagada","por pagar")</f>
        <v>por pagar</v>
      </c>
      <c r="AD2253" s="164" t="str">
        <f>+IF(AND(Tabla2[[#This Row],[venc]]="venc",Tabla2[[#This Row],[estado pago]]="por pagar"),"vencida","no")</f>
        <v>vencida</v>
      </c>
    </row>
    <row r="2254" spans="1:30" ht="19.5" hidden="1" customHeight="1" x14ac:dyDescent="0.25">
      <c r="A2254" s="8"/>
      <c r="B2254" s="8"/>
      <c r="C2254" s="8"/>
      <c r="D2254" s="151"/>
      <c r="E2254" s="151"/>
      <c r="F2254" s="24"/>
      <c r="G2254" s="30"/>
      <c r="H2254" s="81"/>
      <c r="I2254" s="30"/>
      <c r="J2254" s="16"/>
      <c r="K2254" s="9"/>
      <c r="L2254" s="9"/>
      <c r="M2254" s="152"/>
      <c r="N2254" s="153"/>
      <c r="O2254" s="152"/>
      <c r="P2254" s="154"/>
      <c r="Q2254" s="152"/>
      <c r="R2254" s="9"/>
      <c r="Z2254" s="21"/>
      <c r="AA2254" s="162">
        <f>+$AD$5-Tabla2[[#This Row],[FECHA DE FACTURACIÓN]]</f>
        <v>45443</v>
      </c>
      <c r="AB2254" s="163" t="str">
        <f>+IF(Tabla2[[#This Row],[dias de credito]]&gt;=Tabla2[[#This Row],[PLAZO Días]],"venc", "No venc")</f>
        <v>venc</v>
      </c>
      <c r="AC2254" s="163" t="str">
        <f>+IF(Tabla2[[#This Row],[FECHA DE PAGO]]&gt;0,"pagada","por pagar")</f>
        <v>por pagar</v>
      </c>
      <c r="AD2254" s="164" t="str">
        <f>+IF(AND(Tabla2[[#This Row],[venc]]="venc",Tabla2[[#This Row],[estado pago]]="por pagar"),"vencida","no")</f>
        <v>vencida</v>
      </c>
    </row>
    <row r="2255" spans="1:30" ht="19.5" hidden="1" customHeight="1" x14ac:dyDescent="0.25">
      <c r="A2255" s="8"/>
      <c r="B2255" s="8"/>
      <c r="C2255" s="8"/>
      <c r="D2255" s="151"/>
      <c r="E2255" s="151"/>
      <c r="F2255" s="24"/>
      <c r="G2255" s="30"/>
      <c r="H2255" s="81"/>
      <c r="I2255" s="30"/>
      <c r="J2255" s="16"/>
      <c r="K2255" s="9"/>
      <c r="L2255" s="9"/>
      <c r="M2255" s="152"/>
      <c r="N2255" s="153"/>
      <c r="O2255" s="152"/>
      <c r="P2255" s="154"/>
      <c r="Q2255" s="152"/>
      <c r="R2255" s="9"/>
      <c r="Z2255" s="21"/>
      <c r="AA2255" s="162">
        <f>+$AD$5-Tabla2[[#This Row],[FECHA DE FACTURACIÓN]]</f>
        <v>45443</v>
      </c>
      <c r="AB2255" s="163" t="str">
        <f>+IF(Tabla2[[#This Row],[dias de credito]]&gt;=Tabla2[[#This Row],[PLAZO Días]],"venc", "No venc")</f>
        <v>venc</v>
      </c>
      <c r="AC2255" s="163" t="str">
        <f>+IF(Tabla2[[#This Row],[FECHA DE PAGO]]&gt;0,"pagada","por pagar")</f>
        <v>por pagar</v>
      </c>
      <c r="AD2255" s="164" t="str">
        <f>+IF(AND(Tabla2[[#This Row],[venc]]="venc",Tabla2[[#This Row],[estado pago]]="por pagar"),"vencida","no")</f>
        <v>vencida</v>
      </c>
    </row>
    <row r="2256" spans="1:30" ht="19.5" hidden="1" customHeight="1" x14ac:dyDescent="0.25">
      <c r="A2256" s="8"/>
      <c r="B2256" s="8"/>
      <c r="C2256" s="8"/>
      <c r="D2256" s="151"/>
      <c r="E2256" s="151"/>
      <c r="F2256" s="24"/>
      <c r="G2256" s="30"/>
      <c r="H2256" s="81"/>
      <c r="I2256" s="30"/>
      <c r="J2256" s="16"/>
      <c r="K2256" s="9"/>
      <c r="L2256" s="9"/>
      <c r="M2256" s="152"/>
      <c r="N2256" s="153"/>
      <c r="O2256" s="152"/>
      <c r="P2256" s="154"/>
      <c r="Q2256" s="152"/>
      <c r="R2256" s="9"/>
      <c r="Z2256" s="21"/>
      <c r="AA2256" s="162">
        <f>+$AD$5-Tabla2[[#This Row],[FECHA DE FACTURACIÓN]]</f>
        <v>45443</v>
      </c>
      <c r="AB2256" s="163" t="str">
        <f>+IF(Tabla2[[#This Row],[dias de credito]]&gt;=Tabla2[[#This Row],[PLAZO Días]],"venc", "No venc")</f>
        <v>venc</v>
      </c>
      <c r="AC2256" s="163" t="str">
        <f>+IF(Tabla2[[#This Row],[FECHA DE PAGO]]&gt;0,"pagada","por pagar")</f>
        <v>por pagar</v>
      </c>
      <c r="AD2256" s="164" t="str">
        <f>+IF(AND(Tabla2[[#This Row],[venc]]="venc",Tabla2[[#This Row],[estado pago]]="por pagar"),"vencida","no")</f>
        <v>vencida</v>
      </c>
    </row>
    <row r="2257" spans="1:30" ht="19.5" hidden="1" customHeight="1" x14ac:dyDescent="0.25">
      <c r="A2257" s="8"/>
      <c r="B2257" s="8"/>
      <c r="C2257" s="8"/>
      <c r="D2257" s="151"/>
      <c r="E2257" s="151"/>
      <c r="F2257" s="24"/>
      <c r="G2257" s="30"/>
      <c r="H2257" s="81"/>
      <c r="I2257" s="30"/>
      <c r="J2257" s="16"/>
      <c r="K2257" s="9"/>
      <c r="L2257" s="9"/>
      <c r="M2257" s="152"/>
      <c r="N2257" s="153"/>
      <c r="O2257" s="152"/>
      <c r="P2257" s="154"/>
      <c r="Q2257" s="152"/>
      <c r="R2257" s="9"/>
      <c r="Z2257" s="21"/>
      <c r="AA2257" s="162">
        <f>+$AD$5-Tabla2[[#This Row],[FECHA DE FACTURACIÓN]]</f>
        <v>45443</v>
      </c>
      <c r="AB2257" s="163" t="str">
        <f>+IF(Tabla2[[#This Row],[dias de credito]]&gt;=Tabla2[[#This Row],[PLAZO Días]],"venc", "No venc")</f>
        <v>venc</v>
      </c>
      <c r="AC2257" s="163" t="str">
        <f>+IF(Tabla2[[#This Row],[FECHA DE PAGO]]&gt;0,"pagada","por pagar")</f>
        <v>por pagar</v>
      </c>
      <c r="AD2257" s="164" t="str">
        <f>+IF(AND(Tabla2[[#This Row],[venc]]="venc",Tabla2[[#This Row],[estado pago]]="por pagar"),"vencida","no")</f>
        <v>vencida</v>
      </c>
    </row>
    <row r="2258" spans="1:30" ht="19.5" hidden="1" customHeight="1" x14ac:dyDescent="0.25">
      <c r="A2258" s="8"/>
      <c r="B2258" s="8"/>
      <c r="C2258" s="8"/>
      <c r="D2258" s="151"/>
      <c r="E2258" s="151"/>
      <c r="F2258" s="24"/>
      <c r="G2258" s="30"/>
      <c r="H2258" s="81"/>
      <c r="I2258" s="30"/>
      <c r="J2258" s="16"/>
      <c r="K2258" s="9"/>
      <c r="L2258" s="9"/>
      <c r="M2258" s="152"/>
      <c r="N2258" s="153"/>
      <c r="O2258" s="152"/>
      <c r="P2258" s="154"/>
      <c r="Q2258" s="152"/>
      <c r="R2258" s="9"/>
      <c r="Z2258" s="21"/>
      <c r="AA2258" s="162">
        <f>+$AD$5-Tabla2[[#This Row],[FECHA DE FACTURACIÓN]]</f>
        <v>45443</v>
      </c>
      <c r="AB2258" s="163" t="str">
        <f>+IF(Tabla2[[#This Row],[dias de credito]]&gt;=Tabla2[[#This Row],[PLAZO Días]],"venc", "No venc")</f>
        <v>venc</v>
      </c>
      <c r="AC2258" s="163" t="str">
        <f>+IF(Tabla2[[#This Row],[FECHA DE PAGO]]&gt;0,"pagada","por pagar")</f>
        <v>por pagar</v>
      </c>
      <c r="AD2258" s="164" t="str">
        <f>+IF(AND(Tabla2[[#This Row],[venc]]="venc",Tabla2[[#This Row],[estado pago]]="por pagar"),"vencida","no")</f>
        <v>vencida</v>
      </c>
    </row>
    <row r="2259" spans="1:30" ht="19.5" hidden="1" customHeight="1" x14ac:dyDescent="0.25">
      <c r="A2259" s="8"/>
      <c r="B2259" s="8"/>
      <c r="C2259" s="8"/>
      <c r="D2259" s="151"/>
      <c r="E2259" s="151"/>
      <c r="F2259" s="24"/>
      <c r="G2259" s="30"/>
      <c r="H2259" s="81"/>
      <c r="I2259" s="30"/>
      <c r="J2259" s="16"/>
      <c r="K2259" s="9"/>
      <c r="L2259" s="9"/>
      <c r="M2259" s="152"/>
      <c r="N2259" s="153"/>
      <c r="O2259" s="152"/>
      <c r="P2259" s="154"/>
      <c r="Q2259" s="152"/>
      <c r="R2259" s="9"/>
      <c r="Z2259" s="21"/>
      <c r="AA2259" s="162">
        <f>+$AD$5-Tabla2[[#This Row],[FECHA DE FACTURACIÓN]]</f>
        <v>45443</v>
      </c>
      <c r="AB2259" s="163" t="str">
        <f>+IF(Tabla2[[#This Row],[dias de credito]]&gt;=Tabla2[[#This Row],[PLAZO Días]],"venc", "No venc")</f>
        <v>venc</v>
      </c>
      <c r="AC2259" s="163" t="str">
        <f>+IF(Tabla2[[#This Row],[FECHA DE PAGO]]&gt;0,"pagada","por pagar")</f>
        <v>por pagar</v>
      </c>
      <c r="AD2259" s="164" t="str">
        <f>+IF(AND(Tabla2[[#This Row],[venc]]="venc",Tabla2[[#This Row],[estado pago]]="por pagar"),"vencida","no")</f>
        <v>vencida</v>
      </c>
    </row>
    <row r="2260" spans="1:30" ht="19.5" hidden="1" customHeight="1" x14ac:dyDescent="0.25">
      <c r="A2260" s="8"/>
      <c r="B2260" s="8"/>
      <c r="C2260" s="8"/>
      <c r="D2260" s="151"/>
      <c r="E2260" s="151"/>
      <c r="F2260" s="24"/>
      <c r="G2260" s="30"/>
      <c r="H2260" s="81"/>
      <c r="I2260" s="30"/>
      <c r="J2260" s="16"/>
      <c r="K2260" s="9"/>
      <c r="L2260" s="9"/>
      <c r="M2260" s="152"/>
      <c r="N2260" s="153"/>
      <c r="O2260" s="152"/>
      <c r="P2260" s="154"/>
      <c r="Q2260" s="152"/>
      <c r="R2260" s="9"/>
      <c r="Z2260" s="21"/>
      <c r="AA2260" s="162">
        <f>+$AD$5-Tabla2[[#This Row],[FECHA DE FACTURACIÓN]]</f>
        <v>45443</v>
      </c>
      <c r="AB2260" s="163" t="str">
        <f>+IF(Tabla2[[#This Row],[dias de credito]]&gt;=Tabla2[[#This Row],[PLAZO Días]],"venc", "No venc")</f>
        <v>venc</v>
      </c>
      <c r="AC2260" s="163" t="str">
        <f>+IF(Tabla2[[#This Row],[FECHA DE PAGO]]&gt;0,"pagada","por pagar")</f>
        <v>por pagar</v>
      </c>
      <c r="AD2260" s="164" t="str">
        <f>+IF(AND(Tabla2[[#This Row],[venc]]="venc",Tabla2[[#This Row],[estado pago]]="por pagar"),"vencida","no")</f>
        <v>vencida</v>
      </c>
    </row>
    <row r="2261" spans="1:30" ht="19.5" hidden="1" customHeight="1" x14ac:dyDescent="0.25">
      <c r="A2261" s="8"/>
      <c r="B2261" s="8"/>
      <c r="C2261" s="8"/>
      <c r="D2261" s="151"/>
      <c r="E2261" s="151"/>
      <c r="F2261" s="24"/>
      <c r="G2261" s="30"/>
      <c r="H2261" s="81"/>
      <c r="I2261" s="30"/>
      <c r="J2261" s="16"/>
      <c r="K2261" s="9"/>
      <c r="L2261" s="9"/>
      <c r="M2261" s="152"/>
      <c r="N2261" s="153"/>
      <c r="O2261" s="152"/>
      <c r="P2261" s="154"/>
      <c r="Q2261" s="152"/>
      <c r="R2261" s="9"/>
      <c r="Z2261" s="21"/>
      <c r="AA2261" s="162">
        <f>+$AD$5-Tabla2[[#This Row],[FECHA DE FACTURACIÓN]]</f>
        <v>45443</v>
      </c>
      <c r="AB2261" s="163" t="str">
        <f>+IF(Tabla2[[#This Row],[dias de credito]]&gt;=Tabla2[[#This Row],[PLAZO Días]],"venc", "No venc")</f>
        <v>venc</v>
      </c>
      <c r="AC2261" s="163" t="str">
        <f>+IF(Tabla2[[#This Row],[FECHA DE PAGO]]&gt;0,"pagada","por pagar")</f>
        <v>por pagar</v>
      </c>
      <c r="AD2261" s="164" t="str">
        <f>+IF(AND(Tabla2[[#This Row],[venc]]="venc",Tabla2[[#This Row],[estado pago]]="por pagar"),"vencida","no")</f>
        <v>vencida</v>
      </c>
    </row>
    <row r="2262" spans="1:30" ht="19.5" hidden="1" customHeight="1" x14ac:dyDescent="0.25">
      <c r="A2262" s="8"/>
      <c r="B2262" s="8"/>
      <c r="C2262" s="8"/>
      <c r="D2262" s="151"/>
      <c r="E2262" s="151"/>
      <c r="F2262" s="24"/>
      <c r="G2262" s="30"/>
      <c r="H2262" s="81"/>
      <c r="I2262" s="30"/>
      <c r="J2262" s="16"/>
      <c r="K2262" s="9"/>
      <c r="L2262" s="9"/>
      <c r="M2262" s="152"/>
      <c r="N2262" s="153"/>
      <c r="O2262" s="152"/>
      <c r="P2262" s="154"/>
      <c r="Q2262" s="152"/>
      <c r="R2262" s="9"/>
      <c r="Z2262" s="21"/>
      <c r="AA2262" s="162">
        <f>+$AD$5-Tabla2[[#This Row],[FECHA DE FACTURACIÓN]]</f>
        <v>45443</v>
      </c>
      <c r="AB2262" s="163" t="str">
        <f>+IF(Tabla2[[#This Row],[dias de credito]]&gt;=Tabla2[[#This Row],[PLAZO Días]],"venc", "No venc")</f>
        <v>venc</v>
      </c>
      <c r="AC2262" s="163" t="str">
        <f>+IF(Tabla2[[#This Row],[FECHA DE PAGO]]&gt;0,"pagada","por pagar")</f>
        <v>por pagar</v>
      </c>
      <c r="AD2262" s="164" t="str">
        <f>+IF(AND(Tabla2[[#This Row],[venc]]="venc",Tabla2[[#This Row],[estado pago]]="por pagar"),"vencida","no")</f>
        <v>vencida</v>
      </c>
    </row>
    <row r="2263" spans="1:30" ht="19.5" hidden="1" customHeight="1" x14ac:dyDescent="0.25">
      <c r="A2263" s="8"/>
      <c r="B2263" s="8"/>
      <c r="C2263" s="8"/>
      <c r="D2263" s="151"/>
      <c r="E2263" s="151"/>
      <c r="F2263" s="24"/>
      <c r="G2263" s="30"/>
      <c r="H2263" s="81"/>
      <c r="I2263" s="30"/>
      <c r="J2263" s="16"/>
      <c r="K2263" s="9"/>
      <c r="L2263" s="9"/>
      <c r="M2263" s="152"/>
      <c r="N2263" s="153"/>
      <c r="O2263" s="152"/>
      <c r="P2263" s="154"/>
      <c r="Q2263" s="152"/>
      <c r="R2263" s="9"/>
      <c r="Z2263" s="21"/>
      <c r="AA2263" s="162">
        <f>+$AD$5-Tabla2[[#This Row],[FECHA DE FACTURACIÓN]]</f>
        <v>45443</v>
      </c>
      <c r="AB2263" s="163" t="str">
        <f>+IF(Tabla2[[#This Row],[dias de credito]]&gt;=Tabla2[[#This Row],[PLAZO Días]],"venc", "No venc")</f>
        <v>venc</v>
      </c>
      <c r="AC2263" s="163" t="str">
        <f>+IF(Tabla2[[#This Row],[FECHA DE PAGO]]&gt;0,"pagada","por pagar")</f>
        <v>por pagar</v>
      </c>
      <c r="AD2263" s="164" t="str">
        <f>+IF(AND(Tabla2[[#This Row],[venc]]="venc",Tabla2[[#This Row],[estado pago]]="por pagar"),"vencida","no")</f>
        <v>vencida</v>
      </c>
    </row>
    <row r="2264" spans="1:30" ht="19.5" hidden="1" customHeight="1" x14ac:dyDescent="0.25">
      <c r="A2264" s="8"/>
      <c r="B2264" s="8"/>
      <c r="C2264" s="8"/>
      <c r="D2264" s="151"/>
      <c r="E2264" s="151"/>
      <c r="F2264" s="24"/>
      <c r="G2264" s="30"/>
      <c r="H2264" s="81"/>
      <c r="I2264" s="30"/>
      <c r="J2264" s="16"/>
      <c r="K2264" s="9"/>
      <c r="L2264" s="9"/>
      <c r="M2264" s="152"/>
      <c r="N2264" s="153"/>
      <c r="O2264" s="152"/>
      <c r="P2264" s="154"/>
      <c r="Q2264" s="152"/>
      <c r="R2264" s="9"/>
      <c r="Z2264" s="21"/>
      <c r="AA2264" s="162">
        <f>+$AD$5-Tabla2[[#This Row],[FECHA DE FACTURACIÓN]]</f>
        <v>45443</v>
      </c>
      <c r="AB2264" s="163" t="str">
        <f>+IF(Tabla2[[#This Row],[dias de credito]]&gt;=Tabla2[[#This Row],[PLAZO Días]],"venc", "No venc")</f>
        <v>venc</v>
      </c>
      <c r="AC2264" s="163" t="str">
        <f>+IF(Tabla2[[#This Row],[FECHA DE PAGO]]&gt;0,"pagada","por pagar")</f>
        <v>por pagar</v>
      </c>
      <c r="AD2264" s="164" t="str">
        <f>+IF(AND(Tabla2[[#This Row],[venc]]="venc",Tabla2[[#This Row],[estado pago]]="por pagar"),"vencida","no")</f>
        <v>vencida</v>
      </c>
    </row>
    <row r="2265" spans="1:30" ht="19.5" hidden="1" customHeight="1" x14ac:dyDescent="0.25">
      <c r="A2265" s="8"/>
      <c r="B2265" s="8"/>
      <c r="C2265" s="8"/>
      <c r="D2265" s="151"/>
      <c r="E2265" s="151"/>
      <c r="F2265" s="24"/>
      <c r="G2265" s="30"/>
      <c r="H2265" s="81"/>
      <c r="I2265" s="30"/>
      <c r="J2265" s="16"/>
      <c r="K2265" s="9"/>
      <c r="L2265" s="9"/>
      <c r="M2265" s="152"/>
      <c r="N2265" s="153"/>
      <c r="O2265" s="152"/>
      <c r="P2265" s="154"/>
      <c r="Q2265" s="152"/>
      <c r="R2265" s="9"/>
      <c r="Z2265" s="21"/>
      <c r="AA2265" s="162">
        <f>+$AD$5-Tabla2[[#This Row],[FECHA DE FACTURACIÓN]]</f>
        <v>45443</v>
      </c>
      <c r="AB2265" s="163" t="str">
        <f>+IF(Tabla2[[#This Row],[dias de credito]]&gt;=Tabla2[[#This Row],[PLAZO Días]],"venc", "No venc")</f>
        <v>venc</v>
      </c>
      <c r="AC2265" s="163" t="str">
        <f>+IF(Tabla2[[#This Row],[FECHA DE PAGO]]&gt;0,"pagada","por pagar")</f>
        <v>por pagar</v>
      </c>
      <c r="AD2265" s="164" t="str">
        <f>+IF(AND(Tabla2[[#This Row],[venc]]="venc",Tabla2[[#This Row],[estado pago]]="por pagar"),"vencida","no")</f>
        <v>vencida</v>
      </c>
    </row>
    <row r="2266" spans="1:30" ht="19.5" hidden="1" customHeight="1" x14ac:dyDescent="0.25">
      <c r="A2266" s="8"/>
      <c r="B2266" s="8"/>
      <c r="C2266" s="8"/>
      <c r="D2266" s="151"/>
      <c r="E2266" s="151"/>
      <c r="F2266" s="24"/>
      <c r="G2266" s="30"/>
      <c r="H2266" s="81"/>
      <c r="I2266" s="30"/>
      <c r="J2266" s="16"/>
      <c r="K2266" s="9"/>
      <c r="L2266" s="9"/>
      <c r="M2266" s="152"/>
      <c r="N2266" s="153"/>
      <c r="O2266" s="152"/>
      <c r="P2266" s="154"/>
      <c r="Q2266" s="152"/>
      <c r="R2266" s="9"/>
      <c r="Z2266" s="21"/>
      <c r="AA2266" s="162">
        <f>+$AD$5-Tabla2[[#This Row],[FECHA DE FACTURACIÓN]]</f>
        <v>45443</v>
      </c>
      <c r="AB2266" s="163" t="str">
        <f>+IF(Tabla2[[#This Row],[dias de credito]]&gt;=Tabla2[[#This Row],[PLAZO Días]],"venc", "No venc")</f>
        <v>venc</v>
      </c>
      <c r="AC2266" s="163" t="str">
        <f>+IF(Tabla2[[#This Row],[FECHA DE PAGO]]&gt;0,"pagada","por pagar")</f>
        <v>por pagar</v>
      </c>
      <c r="AD2266" s="164" t="str">
        <f>+IF(AND(Tabla2[[#This Row],[venc]]="venc",Tabla2[[#This Row],[estado pago]]="por pagar"),"vencida","no")</f>
        <v>vencida</v>
      </c>
    </row>
    <row r="2267" spans="1:30" ht="19.5" hidden="1" customHeight="1" x14ac:dyDescent="0.25">
      <c r="A2267" s="8"/>
      <c r="B2267" s="8"/>
      <c r="C2267" s="8"/>
      <c r="D2267" s="151"/>
      <c r="E2267" s="151"/>
      <c r="F2267" s="24"/>
      <c r="G2267" s="30"/>
      <c r="H2267" s="81"/>
      <c r="I2267" s="30"/>
      <c r="J2267" s="16"/>
      <c r="K2267" s="9"/>
      <c r="L2267" s="9"/>
      <c r="M2267" s="152"/>
      <c r="N2267" s="153"/>
      <c r="O2267" s="152"/>
      <c r="P2267" s="154"/>
      <c r="Q2267" s="152"/>
      <c r="R2267" s="9"/>
      <c r="Z2267" s="21"/>
      <c r="AA2267" s="162">
        <f>+$AD$5-Tabla2[[#This Row],[FECHA DE FACTURACIÓN]]</f>
        <v>45443</v>
      </c>
      <c r="AB2267" s="163" t="str">
        <f>+IF(Tabla2[[#This Row],[dias de credito]]&gt;=Tabla2[[#This Row],[PLAZO Días]],"venc", "No venc")</f>
        <v>venc</v>
      </c>
      <c r="AC2267" s="163" t="str">
        <f>+IF(Tabla2[[#This Row],[FECHA DE PAGO]]&gt;0,"pagada","por pagar")</f>
        <v>por pagar</v>
      </c>
      <c r="AD2267" s="164" t="str">
        <f>+IF(AND(Tabla2[[#This Row],[venc]]="venc",Tabla2[[#This Row],[estado pago]]="por pagar"),"vencida","no")</f>
        <v>vencida</v>
      </c>
    </row>
    <row r="2268" spans="1:30" ht="19.5" hidden="1" customHeight="1" x14ac:dyDescent="0.25">
      <c r="A2268" s="8"/>
      <c r="B2268" s="8"/>
      <c r="C2268" s="8"/>
      <c r="D2268" s="151"/>
      <c r="E2268" s="151"/>
      <c r="F2268" s="24"/>
      <c r="G2268" s="30"/>
      <c r="H2268" s="81"/>
      <c r="I2268" s="30"/>
      <c r="J2268" s="16"/>
      <c r="K2268" s="9"/>
      <c r="L2268" s="9"/>
      <c r="M2268" s="152"/>
      <c r="N2268" s="153"/>
      <c r="O2268" s="152"/>
      <c r="P2268" s="154"/>
      <c r="Q2268" s="152"/>
      <c r="R2268" s="9"/>
      <c r="Z2268" s="21"/>
      <c r="AA2268" s="162">
        <f>+$AD$5-Tabla2[[#This Row],[FECHA DE FACTURACIÓN]]</f>
        <v>45443</v>
      </c>
      <c r="AB2268" s="163" t="str">
        <f>+IF(Tabla2[[#This Row],[dias de credito]]&gt;=Tabla2[[#This Row],[PLAZO Días]],"venc", "No venc")</f>
        <v>venc</v>
      </c>
      <c r="AC2268" s="163" t="str">
        <f>+IF(Tabla2[[#This Row],[FECHA DE PAGO]]&gt;0,"pagada","por pagar")</f>
        <v>por pagar</v>
      </c>
      <c r="AD2268" s="164" t="str">
        <f>+IF(AND(Tabla2[[#This Row],[venc]]="venc",Tabla2[[#This Row],[estado pago]]="por pagar"),"vencida","no")</f>
        <v>vencida</v>
      </c>
    </row>
    <row r="2269" spans="1:30" ht="19.5" hidden="1" customHeight="1" x14ac:dyDescent="0.25">
      <c r="A2269" s="8"/>
      <c r="B2269" s="8"/>
      <c r="C2269" s="8"/>
      <c r="D2269" s="151"/>
      <c r="E2269" s="151"/>
      <c r="F2269" s="24"/>
      <c r="G2269" s="30"/>
      <c r="H2269" s="81"/>
      <c r="I2269" s="30"/>
      <c r="J2269" s="16"/>
      <c r="K2269" s="9"/>
      <c r="L2269" s="9"/>
      <c r="M2269" s="152"/>
      <c r="N2269" s="153"/>
      <c r="O2269" s="152"/>
      <c r="P2269" s="154"/>
      <c r="Q2269" s="152"/>
      <c r="R2269" s="9"/>
      <c r="Z2269" s="21"/>
      <c r="AA2269" s="162">
        <f>+$AD$5-Tabla2[[#This Row],[FECHA DE FACTURACIÓN]]</f>
        <v>45443</v>
      </c>
      <c r="AB2269" s="163" t="str">
        <f>+IF(Tabla2[[#This Row],[dias de credito]]&gt;=Tabla2[[#This Row],[PLAZO Días]],"venc", "No venc")</f>
        <v>venc</v>
      </c>
      <c r="AC2269" s="163" t="str">
        <f>+IF(Tabla2[[#This Row],[FECHA DE PAGO]]&gt;0,"pagada","por pagar")</f>
        <v>por pagar</v>
      </c>
      <c r="AD2269" s="164" t="str">
        <f>+IF(AND(Tabla2[[#This Row],[venc]]="venc",Tabla2[[#This Row],[estado pago]]="por pagar"),"vencida","no")</f>
        <v>vencida</v>
      </c>
    </row>
    <row r="2270" spans="1:30" ht="19.5" hidden="1" customHeight="1" x14ac:dyDescent="0.25">
      <c r="A2270" s="8"/>
      <c r="B2270" s="8"/>
      <c r="C2270" s="8"/>
      <c r="D2270" s="151"/>
      <c r="E2270" s="151"/>
      <c r="F2270" s="24"/>
      <c r="G2270" s="30"/>
      <c r="H2270" s="81"/>
      <c r="I2270" s="30"/>
      <c r="J2270" s="16"/>
      <c r="K2270" s="9"/>
      <c r="L2270" s="9"/>
      <c r="M2270" s="152"/>
      <c r="N2270" s="153"/>
      <c r="O2270" s="152"/>
      <c r="P2270" s="154"/>
      <c r="Q2270" s="152"/>
      <c r="R2270" s="9"/>
      <c r="Z2270" s="21"/>
      <c r="AA2270" s="162">
        <f>+$AD$5-Tabla2[[#This Row],[FECHA DE FACTURACIÓN]]</f>
        <v>45443</v>
      </c>
      <c r="AB2270" s="163" t="str">
        <f>+IF(Tabla2[[#This Row],[dias de credito]]&gt;=Tabla2[[#This Row],[PLAZO Días]],"venc", "No venc")</f>
        <v>venc</v>
      </c>
      <c r="AC2270" s="163" t="str">
        <f>+IF(Tabla2[[#This Row],[FECHA DE PAGO]]&gt;0,"pagada","por pagar")</f>
        <v>por pagar</v>
      </c>
      <c r="AD2270" s="164" t="str">
        <f>+IF(AND(Tabla2[[#This Row],[venc]]="venc",Tabla2[[#This Row],[estado pago]]="por pagar"),"vencida","no")</f>
        <v>vencida</v>
      </c>
    </row>
    <row r="2271" spans="1:30" ht="19.5" hidden="1" customHeight="1" x14ac:dyDescent="0.25">
      <c r="A2271" s="8"/>
      <c r="B2271" s="8"/>
      <c r="C2271" s="8"/>
      <c r="D2271" s="151"/>
      <c r="E2271" s="151"/>
      <c r="F2271" s="24"/>
      <c r="G2271" s="30"/>
      <c r="H2271" s="81"/>
      <c r="I2271" s="30"/>
      <c r="J2271" s="16"/>
      <c r="K2271" s="9"/>
      <c r="L2271" s="9"/>
      <c r="M2271" s="152"/>
      <c r="N2271" s="153"/>
      <c r="O2271" s="152"/>
      <c r="P2271" s="154"/>
      <c r="Q2271" s="152"/>
      <c r="R2271" s="9"/>
      <c r="Z2271" s="21"/>
      <c r="AA2271" s="162">
        <f>+$AD$5-Tabla2[[#This Row],[FECHA DE FACTURACIÓN]]</f>
        <v>45443</v>
      </c>
      <c r="AB2271" s="163" t="str">
        <f>+IF(Tabla2[[#This Row],[dias de credito]]&gt;=Tabla2[[#This Row],[PLAZO Días]],"venc", "No venc")</f>
        <v>venc</v>
      </c>
      <c r="AC2271" s="163" t="str">
        <f>+IF(Tabla2[[#This Row],[FECHA DE PAGO]]&gt;0,"pagada","por pagar")</f>
        <v>por pagar</v>
      </c>
      <c r="AD2271" s="164" t="str">
        <f>+IF(AND(Tabla2[[#This Row],[venc]]="venc",Tabla2[[#This Row],[estado pago]]="por pagar"),"vencida","no")</f>
        <v>vencida</v>
      </c>
    </row>
    <row r="2272" spans="1:30" ht="19.5" hidden="1" customHeight="1" x14ac:dyDescent="0.25">
      <c r="A2272" s="8"/>
      <c r="B2272" s="8"/>
      <c r="C2272" s="8"/>
      <c r="D2272" s="151"/>
      <c r="E2272" s="151"/>
      <c r="F2272" s="24"/>
      <c r="G2272" s="30"/>
      <c r="H2272" s="81"/>
      <c r="I2272" s="30"/>
      <c r="J2272" s="16"/>
      <c r="K2272" s="9"/>
      <c r="L2272" s="9"/>
      <c r="M2272" s="152"/>
      <c r="N2272" s="153"/>
      <c r="O2272" s="152"/>
      <c r="P2272" s="154"/>
      <c r="Q2272" s="152"/>
      <c r="R2272" s="9"/>
      <c r="Z2272" s="21"/>
      <c r="AA2272" s="162">
        <f>+$AD$5-Tabla2[[#This Row],[FECHA DE FACTURACIÓN]]</f>
        <v>45443</v>
      </c>
      <c r="AB2272" s="163" t="str">
        <f>+IF(Tabla2[[#This Row],[dias de credito]]&gt;=Tabla2[[#This Row],[PLAZO Días]],"venc", "No venc")</f>
        <v>venc</v>
      </c>
      <c r="AC2272" s="163" t="str">
        <f>+IF(Tabla2[[#This Row],[FECHA DE PAGO]]&gt;0,"pagada","por pagar")</f>
        <v>por pagar</v>
      </c>
      <c r="AD2272" s="164" t="str">
        <f>+IF(AND(Tabla2[[#This Row],[venc]]="venc",Tabla2[[#This Row],[estado pago]]="por pagar"),"vencida","no")</f>
        <v>vencida</v>
      </c>
    </row>
    <row r="2273" spans="1:30" ht="19.5" hidden="1" customHeight="1" x14ac:dyDescent="0.25">
      <c r="A2273" s="8"/>
      <c r="B2273" s="8"/>
      <c r="C2273" s="8"/>
      <c r="D2273" s="151"/>
      <c r="E2273" s="151"/>
      <c r="F2273" s="24"/>
      <c r="G2273" s="30"/>
      <c r="H2273" s="81"/>
      <c r="I2273" s="30"/>
      <c r="J2273" s="16"/>
      <c r="K2273" s="9"/>
      <c r="L2273" s="9"/>
      <c r="M2273" s="152"/>
      <c r="N2273" s="153"/>
      <c r="O2273" s="152"/>
      <c r="P2273" s="154"/>
      <c r="Q2273" s="152"/>
      <c r="R2273" s="9"/>
      <c r="Z2273" s="21"/>
      <c r="AA2273" s="162">
        <f>+$AD$5-Tabla2[[#This Row],[FECHA DE FACTURACIÓN]]</f>
        <v>45443</v>
      </c>
      <c r="AB2273" s="163" t="str">
        <f>+IF(Tabla2[[#This Row],[dias de credito]]&gt;=Tabla2[[#This Row],[PLAZO Días]],"venc", "No venc")</f>
        <v>venc</v>
      </c>
      <c r="AC2273" s="163" t="str">
        <f>+IF(Tabla2[[#This Row],[FECHA DE PAGO]]&gt;0,"pagada","por pagar")</f>
        <v>por pagar</v>
      </c>
      <c r="AD2273" s="164" t="str">
        <f>+IF(AND(Tabla2[[#This Row],[venc]]="venc",Tabla2[[#This Row],[estado pago]]="por pagar"),"vencida","no")</f>
        <v>vencida</v>
      </c>
    </row>
    <row r="2274" spans="1:30" ht="19.5" hidden="1" customHeight="1" x14ac:dyDescent="0.25">
      <c r="A2274" s="8"/>
      <c r="B2274" s="8"/>
      <c r="C2274" s="8"/>
      <c r="D2274" s="151"/>
      <c r="E2274" s="151"/>
      <c r="F2274" s="24"/>
      <c r="G2274" s="30"/>
      <c r="H2274" s="81"/>
      <c r="I2274" s="30"/>
      <c r="J2274" s="16"/>
      <c r="K2274" s="9"/>
      <c r="L2274" s="9"/>
      <c r="M2274" s="152"/>
      <c r="N2274" s="153"/>
      <c r="O2274" s="152"/>
      <c r="P2274" s="154"/>
      <c r="Q2274" s="152"/>
      <c r="R2274" s="9"/>
      <c r="Z2274" s="21"/>
      <c r="AA2274" s="162">
        <f>+$AD$5-Tabla2[[#This Row],[FECHA DE FACTURACIÓN]]</f>
        <v>45443</v>
      </c>
      <c r="AB2274" s="163" t="str">
        <f>+IF(Tabla2[[#This Row],[dias de credito]]&gt;=Tabla2[[#This Row],[PLAZO Días]],"venc", "No venc")</f>
        <v>venc</v>
      </c>
      <c r="AC2274" s="163" t="str">
        <f>+IF(Tabla2[[#This Row],[FECHA DE PAGO]]&gt;0,"pagada","por pagar")</f>
        <v>por pagar</v>
      </c>
      <c r="AD2274" s="164" t="str">
        <f>+IF(AND(Tabla2[[#This Row],[venc]]="venc",Tabla2[[#This Row],[estado pago]]="por pagar"),"vencida","no")</f>
        <v>vencida</v>
      </c>
    </row>
    <row r="2275" spans="1:30" ht="19.5" hidden="1" customHeight="1" x14ac:dyDescent="0.25">
      <c r="A2275" s="8"/>
      <c r="B2275" s="8"/>
      <c r="C2275" s="8"/>
      <c r="D2275" s="151"/>
      <c r="E2275" s="151"/>
      <c r="F2275" s="24"/>
      <c r="G2275" s="30"/>
      <c r="H2275" s="81"/>
      <c r="I2275" s="30"/>
      <c r="J2275" s="16"/>
      <c r="K2275" s="9"/>
      <c r="L2275" s="9"/>
      <c r="M2275" s="152"/>
      <c r="N2275" s="153"/>
      <c r="O2275" s="152"/>
      <c r="P2275" s="154"/>
      <c r="Q2275" s="152"/>
      <c r="R2275" s="9"/>
      <c r="Z2275" s="21"/>
      <c r="AA2275" s="162">
        <f>+$AD$5-Tabla2[[#This Row],[FECHA DE FACTURACIÓN]]</f>
        <v>45443</v>
      </c>
      <c r="AB2275" s="163" t="str">
        <f>+IF(Tabla2[[#This Row],[dias de credito]]&gt;=Tabla2[[#This Row],[PLAZO Días]],"venc", "No venc")</f>
        <v>venc</v>
      </c>
      <c r="AC2275" s="163" t="str">
        <f>+IF(Tabla2[[#This Row],[FECHA DE PAGO]]&gt;0,"pagada","por pagar")</f>
        <v>por pagar</v>
      </c>
      <c r="AD2275" s="164" t="str">
        <f>+IF(AND(Tabla2[[#This Row],[venc]]="venc",Tabla2[[#This Row],[estado pago]]="por pagar"),"vencida","no")</f>
        <v>vencida</v>
      </c>
    </row>
    <row r="2276" spans="1:30" ht="19.5" hidden="1" customHeight="1" x14ac:dyDescent="0.25">
      <c r="A2276" s="8"/>
      <c r="B2276" s="8"/>
      <c r="C2276" s="8"/>
      <c r="D2276" s="151"/>
      <c r="E2276" s="151"/>
      <c r="F2276" s="24"/>
      <c r="G2276" s="30"/>
      <c r="H2276" s="81"/>
      <c r="I2276" s="30"/>
      <c r="J2276" s="16"/>
      <c r="K2276" s="9"/>
      <c r="L2276" s="9"/>
      <c r="M2276" s="152"/>
      <c r="N2276" s="153"/>
      <c r="O2276" s="152"/>
      <c r="P2276" s="154"/>
      <c r="Q2276" s="152"/>
      <c r="R2276" s="9"/>
      <c r="Z2276" s="21"/>
      <c r="AA2276" s="162">
        <f>+$AD$5-Tabla2[[#This Row],[FECHA DE FACTURACIÓN]]</f>
        <v>45443</v>
      </c>
      <c r="AB2276" s="163" t="str">
        <f>+IF(Tabla2[[#This Row],[dias de credito]]&gt;=Tabla2[[#This Row],[PLAZO Días]],"venc", "No venc")</f>
        <v>venc</v>
      </c>
      <c r="AC2276" s="163" t="str">
        <f>+IF(Tabla2[[#This Row],[FECHA DE PAGO]]&gt;0,"pagada","por pagar")</f>
        <v>por pagar</v>
      </c>
      <c r="AD2276" s="164" t="str">
        <f>+IF(AND(Tabla2[[#This Row],[venc]]="venc",Tabla2[[#This Row],[estado pago]]="por pagar"),"vencida","no")</f>
        <v>vencida</v>
      </c>
    </row>
    <row r="2277" spans="1:30" ht="19.5" hidden="1" customHeight="1" x14ac:dyDescent="0.25">
      <c r="A2277" s="8"/>
      <c r="B2277" s="8"/>
      <c r="C2277" s="8"/>
      <c r="D2277" s="151"/>
      <c r="E2277" s="151"/>
      <c r="F2277" s="24"/>
      <c r="G2277" s="30"/>
      <c r="H2277" s="81"/>
      <c r="I2277" s="30"/>
      <c r="J2277" s="16"/>
      <c r="K2277" s="9"/>
      <c r="L2277" s="9"/>
      <c r="M2277" s="152"/>
      <c r="N2277" s="153"/>
      <c r="O2277" s="152"/>
      <c r="P2277" s="154"/>
      <c r="Q2277" s="152"/>
      <c r="R2277" s="9"/>
      <c r="Z2277" s="21"/>
      <c r="AA2277" s="162">
        <f>+$AD$5-Tabla2[[#This Row],[FECHA DE FACTURACIÓN]]</f>
        <v>45443</v>
      </c>
      <c r="AB2277" s="163" t="str">
        <f>+IF(Tabla2[[#This Row],[dias de credito]]&gt;=Tabla2[[#This Row],[PLAZO Días]],"venc", "No venc")</f>
        <v>venc</v>
      </c>
      <c r="AC2277" s="163" t="str">
        <f>+IF(Tabla2[[#This Row],[FECHA DE PAGO]]&gt;0,"pagada","por pagar")</f>
        <v>por pagar</v>
      </c>
      <c r="AD2277" s="164" t="str">
        <f>+IF(AND(Tabla2[[#This Row],[venc]]="venc",Tabla2[[#This Row],[estado pago]]="por pagar"),"vencida","no")</f>
        <v>vencida</v>
      </c>
    </row>
    <row r="2278" spans="1:30" ht="19.5" hidden="1" customHeight="1" x14ac:dyDescent="0.25">
      <c r="A2278" s="8"/>
      <c r="B2278" s="8"/>
      <c r="C2278" s="8"/>
      <c r="D2278" s="151"/>
      <c r="E2278" s="151"/>
      <c r="F2278" s="24"/>
      <c r="G2278" s="30"/>
      <c r="H2278" s="81"/>
      <c r="I2278" s="30"/>
      <c r="J2278" s="16"/>
      <c r="K2278" s="9"/>
      <c r="L2278" s="9"/>
      <c r="M2278" s="152"/>
      <c r="N2278" s="153"/>
      <c r="O2278" s="152"/>
      <c r="P2278" s="154"/>
      <c r="Q2278" s="152"/>
      <c r="R2278" s="9"/>
      <c r="Z2278" s="21"/>
      <c r="AA2278" s="162">
        <f>+$AD$5-Tabla2[[#This Row],[FECHA DE FACTURACIÓN]]</f>
        <v>45443</v>
      </c>
      <c r="AB2278" s="163" t="str">
        <f>+IF(Tabla2[[#This Row],[dias de credito]]&gt;=Tabla2[[#This Row],[PLAZO Días]],"venc", "No venc")</f>
        <v>venc</v>
      </c>
      <c r="AC2278" s="163" t="str">
        <f>+IF(Tabla2[[#This Row],[FECHA DE PAGO]]&gt;0,"pagada","por pagar")</f>
        <v>por pagar</v>
      </c>
      <c r="AD2278" s="164" t="str">
        <f>+IF(AND(Tabla2[[#This Row],[venc]]="venc",Tabla2[[#This Row],[estado pago]]="por pagar"),"vencida","no")</f>
        <v>vencida</v>
      </c>
    </row>
    <row r="2279" spans="1:30" ht="19.5" hidden="1" customHeight="1" x14ac:dyDescent="0.25">
      <c r="A2279" s="8"/>
      <c r="B2279" s="8"/>
      <c r="C2279" s="8"/>
      <c r="D2279" s="151"/>
      <c r="E2279" s="151"/>
      <c r="F2279" s="24"/>
      <c r="G2279" s="30"/>
      <c r="H2279" s="81"/>
      <c r="I2279" s="30"/>
      <c r="J2279" s="16"/>
      <c r="K2279" s="9"/>
      <c r="L2279" s="9"/>
      <c r="M2279" s="152"/>
      <c r="N2279" s="153"/>
      <c r="O2279" s="152"/>
      <c r="P2279" s="154"/>
      <c r="Q2279" s="152"/>
      <c r="R2279" s="9"/>
      <c r="Z2279" s="21"/>
      <c r="AA2279" s="162">
        <f>+$AD$5-Tabla2[[#This Row],[FECHA DE FACTURACIÓN]]</f>
        <v>45443</v>
      </c>
      <c r="AB2279" s="163" t="str">
        <f>+IF(Tabla2[[#This Row],[dias de credito]]&gt;=Tabla2[[#This Row],[PLAZO Días]],"venc", "No venc")</f>
        <v>venc</v>
      </c>
      <c r="AC2279" s="163" t="str">
        <f>+IF(Tabla2[[#This Row],[FECHA DE PAGO]]&gt;0,"pagada","por pagar")</f>
        <v>por pagar</v>
      </c>
      <c r="AD2279" s="164" t="str">
        <f>+IF(AND(Tabla2[[#This Row],[venc]]="venc",Tabla2[[#This Row],[estado pago]]="por pagar"),"vencida","no")</f>
        <v>vencida</v>
      </c>
    </row>
    <row r="2280" spans="1:30" ht="19.5" hidden="1" customHeight="1" x14ac:dyDescent="0.25">
      <c r="A2280" s="8"/>
      <c r="B2280" s="8"/>
      <c r="C2280" s="8"/>
      <c r="D2280" s="151"/>
      <c r="E2280" s="151"/>
      <c r="F2280" s="24"/>
      <c r="G2280" s="30"/>
      <c r="H2280" s="81"/>
      <c r="I2280" s="30"/>
      <c r="J2280" s="16"/>
      <c r="K2280" s="9"/>
      <c r="L2280" s="9"/>
      <c r="M2280" s="152"/>
      <c r="N2280" s="153"/>
      <c r="O2280" s="152"/>
      <c r="P2280" s="154"/>
      <c r="Q2280" s="152"/>
      <c r="R2280" s="9"/>
      <c r="Z2280" s="21"/>
      <c r="AA2280" s="162">
        <f>+$AD$5-Tabla2[[#This Row],[FECHA DE FACTURACIÓN]]</f>
        <v>45443</v>
      </c>
      <c r="AB2280" s="163" t="str">
        <f>+IF(Tabla2[[#This Row],[dias de credito]]&gt;=Tabla2[[#This Row],[PLAZO Días]],"venc", "No venc")</f>
        <v>venc</v>
      </c>
      <c r="AC2280" s="163" t="str">
        <f>+IF(Tabla2[[#This Row],[FECHA DE PAGO]]&gt;0,"pagada","por pagar")</f>
        <v>por pagar</v>
      </c>
      <c r="AD2280" s="164" t="str">
        <f>+IF(AND(Tabla2[[#This Row],[venc]]="venc",Tabla2[[#This Row],[estado pago]]="por pagar"),"vencida","no")</f>
        <v>vencida</v>
      </c>
    </row>
    <row r="2281" spans="1:30" ht="19.5" hidden="1" customHeight="1" x14ac:dyDescent="0.25">
      <c r="A2281" s="8"/>
      <c r="B2281" s="8"/>
      <c r="C2281" s="8"/>
      <c r="D2281" s="151"/>
      <c r="E2281" s="151"/>
      <c r="F2281" s="24"/>
      <c r="G2281" s="30"/>
      <c r="H2281" s="81"/>
      <c r="I2281" s="30"/>
      <c r="J2281" s="16"/>
      <c r="K2281" s="9"/>
      <c r="L2281" s="9"/>
      <c r="M2281" s="152"/>
      <c r="N2281" s="153"/>
      <c r="O2281" s="152"/>
      <c r="P2281" s="154"/>
      <c r="Q2281" s="152"/>
      <c r="R2281" s="9"/>
      <c r="Z2281" s="21"/>
      <c r="AA2281" s="162">
        <f>+$AD$5-Tabla2[[#This Row],[FECHA DE FACTURACIÓN]]</f>
        <v>45443</v>
      </c>
      <c r="AB2281" s="163" t="str">
        <f>+IF(Tabla2[[#This Row],[dias de credito]]&gt;=Tabla2[[#This Row],[PLAZO Días]],"venc", "No venc")</f>
        <v>venc</v>
      </c>
      <c r="AC2281" s="163" t="str">
        <f>+IF(Tabla2[[#This Row],[FECHA DE PAGO]]&gt;0,"pagada","por pagar")</f>
        <v>por pagar</v>
      </c>
      <c r="AD2281" s="164" t="str">
        <f>+IF(AND(Tabla2[[#This Row],[venc]]="venc",Tabla2[[#This Row],[estado pago]]="por pagar"),"vencida","no")</f>
        <v>vencida</v>
      </c>
    </row>
    <row r="2282" spans="1:30" ht="19.5" hidden="1" customHeight="1" x14ac:dyDescent="0.25">
      <c r="A2282" s="8"/>
      <c r="B2282" s="8"/>
      <c r="C2282" s="8"/>
      <c r="D2282" s="151"/>
      <c r="E2282" s="151"/>
      <c r="F2282" s="24"/>
      <c r="G2282" s="30"/>
      <c r="H2282" s="81"/>
      <c r="I2282" s="30"/>
      <c r="J2282" s="16"/>
      <c r="K2282" s="9"/>
      <c r="L2282" s="9"/>
      <c r="M2282" s="152"/>
      <c r="N2282" s="153"/>
      <c r="O2282" s="152"/>
      <c r="P2282" s="154"/>
      <c r="Q2282" s="152"/>
      <c r="R2282" s="9"/>
      <c r="Z2282" s="21"/>
      <c r="AA2282" s="162">
        <f>+$AD$5-Tabla2[[#This Row],[FECHA DE FACTURACIÓN]]</f>
        <v>45443</v>
      </c>
      <c r="AB2282" s="163" t="str">
        <f>+IF(Tabla2[[#This Row],[dias de credito]]&gt;=Tabla2[[#This Row],[PLAZO Días]],"venc", "No venc")</f>
        <v>venc</v>
      </c>
      <c r="AC2282" s="163" t="str">
        <f>+IF(Tabla2[[#This Row],[FECHA DE PAGO]]&gt;0,"pagada","por pagar")</f>
        <v>por pagar</v>
      </c>
      <c r="AD2282" s="164" t="str">
        <f>+IF(AND(Tabla2[[#This Row],[venc]]="venc",Tabla2[[#This Row],[estado pago]]="por pagar"),"vencida","no")</f>
        <v>vencida</v>
      </c>
    </row>
    <row r="2283" spans="1:30" ht="19.5" hidden="1" customHeight="1" x14ac:dyDescent="0.25">
      <c r="A2283" s="8"/>
      <c r="B2283" s="8"/>
      <c r="C2283" s="8"/>
      <c r="D2283" s="151"/>
      <c r="E2283" s="151"/>
      <c r="F2283" s="24"/>
      <c r="G2283" s="30"/>
      <c r="H2283" s="81"/>
      <c r="I2283" s="30"/>
      <c r="J2283" s="16"/>
      <c r="K2283" s="9"/>
      <c r="L2283" s="9"/>
      <c r="M2283" s="152"/>
      <c r="N2283" s="153"/>
      <c r="O2283" s="152"/>
      <c r="P2283" s="154"/>
      <c r="Q2283" s="152"/>
      <c r="R2283" s="9"/>
      <c r="Z2283" s="21"/>
      <c r="AA2283" s="162">
        <f>+$AD$5-Tabla2[[#This Row],[FECHA DE FACTURACIÓN]]</f>
        <v>45443</v>
      </c>
      <c r="AB2283" s="163" t="str">
        <f>+IF(Tabla2[[#This Row],[dias de credito]]&gt;=Tabla2[[#This Row],[PLAZO Días]],"venc", "No venc")</f>
        <v>venc</v>
      </c>
      <c r="AC2283" s="163" t="str">
        <f>+IF(Tabla2[[#This Row],[FECHA DE PAGO]]&gt;0,"pagada","por pagar")</f>
        <v>por pagar</v>
      </c>
      <c r="AD2283" s="164" t="str">
        <f>+IF(AND(Tabla2[[#This Row],[venc]]="venc",Tabla2[[#This Row],[estado pago]]="por pagar"),"vencida","no")</f>
        <v>vencida</v>
      </c>
    </row>
    <row r="2284" spans="1:30" ht="19.5" hidden="1" customHeight="1" x14ac:dyDescent="0.25">
      <c r="A2284" s="8"/>
      <c r="B2284" s="8"/>
      <c r="C2284" s="8"/>
      <c r="D2284" s="151"/>
      <c r="E2284" s="151"/>
      <c r="F2284" s="24"/>
      <c r="G2284" s="30"/>
      <c r="H2284" s="81"/>
      <c r="I2284" s="30"/>
      <c r="J2284" s="16"/>
      <c r="K2284" s="9"/>
      <c r="L2284" s="9"/>
      <c r="M2284" s="152"/>
      <c r="N2284" s="153"/>
      <c r="O2284" s="152"/>
      <c r="P2284" s="154"/>
      <c r="Q2284" s="152"/>
      <c r="R2284" s="9"/>
      <c r="Z2284" s="21"/>
      <c r="AA2284" s="162">
        <f>+$AD$5-Tabla2[[#This Row],[FECHA DE FACTURACIÓN]]</f>
        <v>45443</v>
      </c>
      <c r="AB2284" s="163" t="str">
        <f>+IF(Tabla2[[#This Row],[dias de credito]]&gt;=Tabla2[[#This Row],[PLAZO Días]],"venc", "No venc")</f>
        <v>venc</v>
      </c>
      <c r="AC2284" s="163" t="str">
        <f>+IF(Tabla2[[#This Row],[FECHA DE PAGO]]&gt;0,"pagada","por pagar")</f>
        <v>por pagar</v>
      </c>
      <c r="AD2284" s="164" t="str">
        <f>+IF(AND(Tabla2[[#This Row],[venc]]="venc",Tabla2[[#This Row],[estado pago]]="por pagar"),"vencida","no")</f>
        <v>vencida</v>
      </c>
    </row>
    <row r="2285" spans="1:30" ht="19.5" hidden="1" customHeight="1" x14ac:dyDescent="0.25">
      <c r="A2285" s="8"/>
      <c r="B2285" s="8"/>
      <c r="C2285" s="8"/>
      <c r="D2285" s="151"/>
      <c r="E2285" s="151"/>
      <c r="F2285" s="24"/>
      <c r="G2285" s="30"/>
      <c r="H2285" s="81"/>
      <c r="I2285" s="30"/>
      <c r="J2285" s="16"/>
      <c r="K2285" s="9"/>
      <c r="L2285" s="9"/>
      <c r="M2285" s="152"/>
      <c r="N2285" s="153"/>
      <c r="O2285" s="152"/>
      <c r="P2285" s="154"/>
      <c r="Q2285" s="152"/>
      <c r="R2285" s="9"/>
      <c r="Z2285" s="21"/>
      <c r="AA2285" s="162">
        <f>+$AD$5-Tabla2[[#This Row],[FECHA DE FACTURACIÓN]]</f>
        <v>45443</v>
      </c>
      <c r="AB2285" s="163" t="str">
        <f>+IF(Tabla2[[#This Row],[dias de credito]]&gt;=Tabla2[[#This Row],[PLAZO Días]],"venc", "No venc")</f>
        <v>venc</v>
      </c>
      <c r="AC2285" s="163" t="str">
        <f>+IF(Tabla2[[#This Row],[FECHA DE PAGO]]&gt;0,"pagada","por pagar")</f>
        <v>por pagar</v>
      </c>
      <c r="AD2285" s="164" t="str">
        <f>+IF(AND(Tabla2[[#This Row],[venc]]="venc",Tabla2[[#This Row],[estado pago]]="por pagar"),"vencida","no")</f>
        <v>vencida</v>
      </c>
    </row>
    <row r="2286" spans="1:30" ht="19.5" hidden="1" customHeight="1" x14ac:dyDescent="0.25">
      <c r="A2286" s="8"/>
      <c r="B2286" s="8"/>
      <c r="C2286" s="8"/>
      <c r="D2286" s="151"/>
      <c r="E2286" s="151"/>
      <c r="F2286" s="24"/>
      <c r="G2286" s="30"/>
      <c r="H2286" s="81"/>
      <c r="I2286" s="30"/>
      <c r="J2286" s="16"/>
      <c r="K2286" s="9"/>
      <c r="L2286" s="9"/>
      <c r="M2286" s="152"/>
      <c r="N2286" s="153"/>
      <c r="O2286" s="152"/>
      <c r="P2286" s="154"/>
      <c r="Q2286" s="152"/>
      <c r="R2286" s="9"/>
      <c r="Z2286" s="21"/>
      <c r="AA2286" s="162">
        <f>+$AD$5-Tabla2[[#This Row],[FECHA DE FACTURACIÓN]]</f>
        <v>45443</v>
      </c>
      <c r="AB2286" s="163" t="str">
        <f>+IF(Tabla2[[#This Row],[dias de credito]]&gt;=Tabla2[[#This Row],[PLAZO Días]],"venc", "No venc")</f>
        <v>venc</v>
      </c>
      <c r="AC2286" s="163" t="str">
        <f>+IF(Tabla2[[#This Row],[FECHA DE PAGO]]&gt;0,"pagada","por pagar")</f>
        <v>por pagar</v>
      </c>
      <c r="AD2286" s="164" t="str">
        <f>+IF(AND(Tabla2[[#This Row],[venc]]="venc",Tabla2[[#This Row],[estado pago]]="por pagar"),"vencida","no")</f>
        <v>vencida</v>
      </c>
    </row>
    <row r="2287" spans="1:30" ht="19.5" hidden="1" customHeight="1" x14ac:dyDescent="0.25">
      <c r="A2287" s="8"/>
      <c r="B2287" s="8"/>
      <c r="C2287" s="8"/>
      <c r="D2287" s="151"/>
      <c r="E2287" s="151"/>
      <c r="F2287" s="24"/>
      <c r="G2287" s="30"/>
      <c r="H2287" s="81"/>
      <c r="I2287" s="30"/>
      <c r="J2287" s="16"/>
      <c r="K2287" s="9"/>
      <c r="L2287" s="9"/>
      <c r="M2287" s="152"/>
      <c r="N2287" s="153"/>
      <c r="O2287" s="152"/>
      <c r="P2287" s="154"/>
      <c r="Q2287" s="152"/>
      <c r="R2287" s="9"/>
      <c r="Z2287" s="21"/>
      <c r="AA2287" s="162">
        <f>+$AD$5-Tabla2[[#This Row],[FECHA DE FACTURACIÓN]]</f>
        <v>45443</v>
      </c>
      <c r="AB2287" s="163" t="str">
        <f>+IF(Tabla2[[#This Row],[dias de credito]]&gt;=Tabla2[[#This Row],[PLAZO Días]],"venc", "No venc")</f>
        <v>venc</v>
      </c>
      <c r="AC2287" s="163" t="str">
        <f>+IF(Tabla2[[#This Row],[FECHA DE PAGO]]&gt;0,"pagada","por pagar")</f>
        <v>por pagar</v>
      </c>
      <c r="AD2287" s="164" t="str">
        <f>+IF(AND(Tabla2[[#This Row],[venc]]="venc",Tabla2[[#This Row],[estado pago]]="por pagar"),"vencida","no")</f>
        <v>vencida</v>
      </c>
    </row>
    <row r="2288" spans="1:30" ht="19.5" hidden="1" customHeight="1" x14ac:dyDescent="0.25">
      <c r="A2288" s="8"/>
      <c r="B2288" s="8"/>
      <c r="C2288" s="8"/>
      <c r="D2288" s="151"/>
      <c r="E2288" s="151"/>
      <c r="F2288" s="24"/>
      <c r="G2288" s="30"/>
      <c r="H2288" s="81"/>
      <c r="I2288" s="30"/>
      <c r="J2288" s="16"/>
      <c r="K2288" s="9"/>
      <c r="L2288" s="9"/>
      <c r="M2288" s="152"/>
      <c r="N2288" s="153"/>
      <c r="O2288" s="152"/>
      <c r="P2288" s="154"/>
      <c r="Q2288" s="152"/>
      <c r="R2288" s="9"/>
      <c r="Z2288" s="21"/>
      <c r="AA2288" s="162">
        <f>+$AD$5-Tabla2[[#This Row],[FECHA DE FACTURACIÓN]]</f>
        <v>45443</v>
      </c>
      <c r="AB2288" s="163" t="str">
        <f>+IF(Tabla2[[#This Row],[dias de credito]]&gt;=Tabla2[[#This Row],[PLAZO Días]],"venc", "No venc")</f>
        <v>venc</v>
      </c>
      <c r="AC2288" s="163" t="str">
        <f>+IF(Tabla2[[#This Row],[FECHA DE PAGO]]&gt;0,"pagada","por pagar")</f>
        <v>por pagar</v>
      </c>
      <c r="AD2288" s="164" t="str">
        <f>+IF(AND(Tabla2[[#This Row],[venc]]="venc",Tabla2[[#This Row],[estado pago]]="por pagar"),"vencida","no")</f>
        <v>vencida</v>
      </c>
    </row>
    <row r="2289" spans="1:30" ht="19.5" hidden="1" customHeight="1" x14ac:dyDescent="0.25">
      <c r="A2289" s="8"/>
      <c r="B2289" s="8"/>
      <c r="C2289" s="8"/>
      <c r="D2289" s="151"/>
      <c r="E2289" s="151"/>
      <c r="F2289" s="24"/>
      <c r="G2289" s="30"/>
      <c r="H2289" s="81"/>
      <c r="I2289" s="30"/>
      <c r="J2289" s="16"/>
      <c r="K2289" s="9"/>
      <c r="L2289" s="9"/>
      <c r="M2289" s="152"/>
      <c r="N2289" s="153"/>
      <c r="O2289" s="152"/>
      <c r="P2289" s="154"/>
      <c r="Q2289" s="152"/>
      <c r="R2289" s="9"/>
      <c r="Z2289" s="21"/>
      <c r="AA2289" s="162">
        <f>+$AD$5-Tabla2[[#This Row],[FECHA DE FACTURACIÓN]]</f>
        <v>45443</v>
      </c>
      <c r="AB2289" s="163" t="str">
        <f>+IF(Tabla2[[#This Row],[dias de credito]]&gt;=Tabla2[[#This Row],[PLAZO Días]],"venc", "No venc")</f>
        <v>venc</v>
      </c>
      <c r="AC2289" s="163" t="str">
        <f>+IF(Tabla2[[#This Row],[FECHA DE PAGO]]&gt;0,"pagada","por pagar")</f>
        <v>por pagar</v>
      </c>
      <c r="AD2289" s="164" t="str">
        <f>+IF(AND(Tabla2[[#This Row],[venc]]="venc",Tabla2[[#This Row],[estado pago]]="por pagar"),"vencida","no")</f>
        <v>vencida</v>
      </c>
    </row>
    <row r="2290" spans="1:30" ht="19.5" hidden="1" customHeight="1" x14ac:dyDescent="0.25">
      <c r="A2290" s="8"/>
      <c r="B2290" s="8"/>
      <c r="C2290" s="8"/>
      <c r="D2290" s="151"/>
      <c r="E2290" s="151"/>
      <c r="F2290" s="24"/>
      <c r="G2290" s="30"/>
      <c r="H2290" s="81"/>
      <c r="I2290" s="30"/>
      <c r="J2290" s="16"/>
      <c r="K2290" s="9"/>
      <c r="L2290" s="9"/>
      <c r="M2290" s="152"/>
      <c r="N2290" s="153"/>
      <c r="O2290" s="152"/>
      <c r="P2290" s="154"/>
      <c r="Q2290" s="152"/>
      <c r="R2290" s="9"/>
      <c r="Z2290" s="21"/>
      <c r="AA2290" s="162">
        <f>+$AD$5-Tabla2[[#This Row],[FECHA DE FACTURACIÓN]]</f>
        <v>45443</v>
      </c>
      <c r="AB2290" s="163" t="str">
        <f>+IF(Tabla2[[#This Row],[dias de credito]]&gt;=Tabla2[[#This Row],[PLAZO Días]],"venc", "No venc")</f>
        <v>venc</v>
      </c>
      <c r="AC2290" s="163" t="str">
        <f>+IF(Tabla2[[#This Row],[FECHA DE PAGO]]&gt;0,"pagada","por pagar")</f>
        <v>por pagar</v>
      </c>
      <c r="AD2290" s="164" t="str">
        <f>+IF(AND(Tabla2[[#This Row],[venc]]="venc",Tabla2[[#This Row],[estado pago]]="por pagar"),"vencida","no")</f>
        <v>vencida</v>
      </c>
    </row>
    <row r="2291" spans="1:30" ht="19.5" hidden="1" customHeight="1" x14ac:dyDescent="0.25">
      <c r="A2291" s="8"/>
      <c r="B2291" s="8"/>
      <c r="C2291" s="8"/>
      <c r="D2291" s="151"/>
      <c r="E2291" s="151"/>
      <c r="F2291" s="24"/>
      <c r="G2291" s="30"/>
      <c r="H2291" s="81"/>
      <c r="I2291" s="30"/>
      <c r="J2291" s="16"/>
      <c r="K2291" s="9"/>
      <c r="L2291" s="9"/>
      <c r="M2291" s="152"/>
      <c r="N2291" s="153"/>
      <c r="O2291" s="152"/>
      <c r="P2291" s="154"/>
      <c r="Q2291" s="152"/>
      <c r="R2291" s="9"/>
      <c r="Z2291" s="21"/>
      <c r="AA2291" s="162">
        <f>+$AD$5-Tabla2[[#This Row],[FECHA DE FACTURACIÓN]]</f>
        <v>45443</v>
      </c>
      <c r="AB2291" s="163" t="str">
        <f>+IF(Tabla2[[#This Row],[dias de credito]]&gt;=Tabla2[[#This Row],[PLAZO Días]],"venc", "No venc")</f>
        <v>venc</v>
      </c>
      <c r="AC2291" s="163" t="str">
        <f>+IF(Tabla2[[#This Row],[FECHA DE PAGO]]&gt;0,"pagada","por pagar")</f>
        <v>por pagar</v>
      </c>
      <c r="AD2291" s="164" t="str">
        <f>+IF(AND(Tabla2[[#This Row],[venc]]="venc",Tabla2[[#This Row],[estado pago]]="por pagar"),"vencida","no")</f>
        <v>vencida</v>
      </c>
    </row>
    <row r="2292" spans="1:30" ht="19.5" hidden="1" customHeight="1" x14ac:dyDescent="0.25">
      <c r="A2292" s="8"/>
      <c r="B2292" s="8"/>
      <c r="C2292" s="8"/>
      <c r="D2292" s="151"/>
      <c r="E2292" s="151"/>
      <c r="F2292" s="24"/>
      <c r="G2292" s="30"/>
      <c r="H2292" s="81"/>
      <c r="I2292" s="30"/>
      <c r="J2292" s="16"/>
      <c r="K2292" s="9"/>
      <c r="L2292" s="9"/>
      <c r="M2292" s="152"/>
      <c r="N2292" s="153"/>
      <c r="O2292" s="152"/>
      <c r="P2292" s="154"/>
      <c r="Q2292" s="152"/>
      <c r="R2292" s="9"/>
      <c r="Z2292" s="21"/>
      <c r="AA2292" s="162">
        <f>+$AD$5-Tabla2[[#This Row],[FECHA DE FACTURACIÓN]]</f>
        <v>45443</v>
      </c>
      <c r="AB2292" s="163" t="str">
        <f>+IF(Tabla2[[#This Row],[dias de credito]]&gt;=Tabla2[[#This Row],[PLAZO Días]],"venc", "No venc")</f>
        <v>venc</v>
      </c>
      <c r="AC2292" s="163" t="str">
        <f>+IF(Tabla2[[#This Row],[FECHA DE PAGO]]&gt;0,"pagada","por pagar")</f>
        <v>por pagar</v>
      </c>
      <c r="AD2292" s="164" t="str">
        <f>+IF(AND(Tabla2[[#This Row],[venc]]="venc",Tabla2[[#This Row],[estado pago]]="por pagar"),"vencida","no")</f>
        <v>vencida</v>
      </c>
    </row>
    <row r="2293" spans="1:30" ht="19.5" hidden="1" customHeight="1" x14ac:dyDescent="0.25">
      <c r="A2293" s="8"/>
      <c r="B2293" s="8"/>
      <c r="C2293" s="8"/>
      <c r="D2293" s="151"/>
      <c r="E2293" s="151"/>
      <c r="F2293" s="24"/>
      <c r="G2293" s="30"/>
      <c r="H2293" s="81"/>
      <c r="I2293" s="30"/>
      <c r="J2293" s="16"/>
      <c r="K2293" s="9"/>
      <c r="L2293" s="9"/>
      <c r="M2293" s="152"/>
      <c r="N2293" s="153"/>
      <c r="O2293" s="152"/>
      <c r="P2293" s="154"/>
      <c r="Q2293" s="152"/>
      <c r="R2293" s="9"/>
      <c r="Z2293" s="21"/>
      <c r="AA2293" s="162">
        <f>+$AD$5-Tabla2[[#This Row],[FECHA DE FACTURACIÓN]]</f>
        <v>45443</v>
      </c>
      <c r="AB2293" s="163" t="str">
        <f>+IF(Tabla2[[#This Row],[dias de credito]]&gt;=Tabla2[[#This Row],[PLAZO Días]],"venc", "No venc")</f>
        <v>venc</v>
      </c>
      <c r="AC2293" s="163" t="str">
        <f>+IF(Tabla2[[#This Row],[FECHA DE PAGO]]&gt;0,"pagada","por pagar")</f>
        <v>por pagar</v>
      </c>
      <c r="AD2293" s="164" t="str">
        <f>+IF(AND(Tabla2[[#This Row],[venc]]="venc",Tabla2[[#This Row],[estado pago]]="por pagar"),"vencida","no")</f>
        <v>vencida</v>
      </c>
    </row>
    <row r="2294" spans="1:30" ht="19.5" hidden="1" customHeight="1" x14ac:dyDescent="0.25">
      <c r="A2294" s="8"/>
      <c r="B2294" s="8"/>
      <c r="C2294" s="8"/>
      <c r="D2294" s="151"/>
      <c r="E2294" s="151"/>
      <c r="F2294" s="24"/>
      <c r="G2294" s="30"/>
      <c r="H2294" s="81"/>
      <c r="I2294" s="30"/>
      <c r="J2294" s="16"/>
      <c r="K2294" s="9"/>
      <c r="L2294" s="9"/>
      <c r="M2294" s="152"/>
      <c r="N2294" s="153"/>
      <c r="O2294" s="152"/>
      <c r="P2294" s="154"/>
      <c r="Q2294" s="152"/>
      <c r="R2294" s="9"/>
      <c r="Z2294" s="21"/>
      <c r="AA2294" s="162">
        <f>+$AD$5-Tabla2[[#This Row],[FECHA DE FACTURACIÓN]]</f>
        <v>45443</v>
      </c>
      <c r="AB2294" s="163" t="str">
        <f>+IF(Tabla2[[#This Row],[dias de credito]]&gt;=Tabla2[[#This Row],[PLAZO Días]],"venc", "No venc")</f>
        <v>venc</v>
      </c>
      <c r="AC2294" s="163" t="str">
        <f>+IF(Tabla2[[#This Row],[FECHA DE PAGO]]&gt;0,"pagada","por pagar")</f>
        <v>por pagar</v>
      </c>
      <c r="AD2294" s="164" t="str">
        <f>+IF(AND(Tabla2[[#This Row],[venc]]="venc",Tabla2[[#This Row],[estado pago]]="por pagar"),"vencida","no")</f>
        <v>vencida</v>
      </c>
    </row>
    <row r="2295" spans="1:30" ht="19.5" hidden="1" customHeight="1" x14ac:dyDescent="0.25">
      <c r="A2295" s="8"/>
      <c r="B2295" s="8"/>
      <c r="C2295" s="8"/>
      <c r="D2295" s="151"/>
      <c r="E2295" s="151"/>
      <c r="F2295" s="24"/>
      <c r="G2295" s="30"/>
      <c r="H2295" s="81"/>
      <c r="I2295" s="30"/>
      <c r="J2295" s="16"/>
      <c r="K2295" s="9"/>
      <c r="L2295" s="9"/>
      <c r="M2295" s="152"/>
      <c r="N2295" s="153"/>
      <c r="O2295" s="152"/>
      <c r="P2295" s="154"/>
      <c r="Q2295" s="152"/>
      <c r="R2295" s="9"/>
      <c r="Z2295" s="21"/>
      <c r="AA2295" s="162">
        <f>+$AD$5-Tabla2[[#This Row],[FECHA DE FACTURACIÓN]]</f>
        <v>45443</v>
      </c>
      <c r="AB2295" s="163" t="str">
        <f>+IF(Tabla2[[#This Row],[dias de credito]]&gt;=Tabla2[[#This Row],[PLAZO Días]],"venc", "No venc")</f>
        <v>venc</v>
      </c>
      <c r="AC2295" s="163" t="str">
        <f>+IF(Tabla2[[#This Row],[FECHA DE PAGO]]&gt;0,"pagada","por pagar")</f>
        <v>por pagar</v>
      </c>
      <c r="AD2295" s="164" t="str">
        <f>+IF(AND(Tabla2[[#This Row],[venc]]="venc",Tabla2[[#This Row],[estado pago]]="por pagar"),"vencida","no")</f>
        <v>vencida</v>
      </c>
    </row>
    <row r="2296" spans="1:30" ht="19.5" hidden="1" customHeight="1" x14ac:dyDescent="0.25">
      <c r="A2296" s="8"/>
      <c r="B2296" s="8"/>
      <c r="C2296" s="8"/>
      <c r="D2296" s="151"/>
      <c r="E2296" s="151"/>
      <c r="F2296" s="24"/>
      <c r="G2296" s="30"/>
      <c r="H2296" s="81"/>
      <c r="I2296" s="30"/>
      <c r="J2296" s="16"/>
      <c r="K2296" s="9"/>
      <c r="L2296" s="9"/>
      <c r="M2296" s="152"/>
      <c r="N2296" s="153"/>
      <c r="O2296" s="152"/>
      <c r="P2296" s="154"/>
      <c r="Q2296" s="152"/>
      <c r="R2296" s="9"/>
      <c r="Z2296" s="21"/>
      <c r="AA2296" s="162">
        <f>+$AD$5-Tabla2[[#This Row],[FECHA DE FACTURACIÓN]]</f>
        <v>45443</v>
      </c>
      <c r="AB2296" s="163" t="str">
        <f>+IF(Tabla2[[#This Row],[dias de credito]]&gt;=Tabla2[[#This Row],[PLAZO Días]],"venc", "No venc")</f>
        <v>venc</v>
      </c>
      <c r="AC2296" s="163" t="str">
        <f>+IF(Tabla2[[#This Row],[FECHA DE PAGO]]&gt;0,"pagada","por pagar")</f>
        <v>por pagar</v>
      </c>
      <c r="AD2296" s="164" t="str">
        <f>+IF(AND(Tabla2[[#This Row],[venc]]="venc",Tabla2[[#This Row],[estado pago]]="por pagar"),"vencida","no")</f>
        <v>vencida</v>
      </c>
    </row>
    <row r="2297" spans="1:30" ht="19.5" hidden="1" customHeight="1" x14ac:dyDescent="0.25">
      <c r="A2297" s="8"/>
      <c r="B2297" s="8"/>
      <c r="C2297" s="8"/>
      <c r="D2297" s="151"/>
      <c r="E2297" s="151"/>
      <c r="F2297" s="24"/>
      <c r="G2297" s="30"/>
      <c r="H2297" s="81"/>
      <c r="I2297" s="30"/>
      <c r="J2297" s="16"/>
      <c r="K2297" s="9"/>
      <c r="L2297" s="9"/>
      <c r="M2297" s="152"/>
      <c r="N2297" s="153"/>
      <c r="O2297" s="152"/>
      <c r="P2297" s="154"/>
      <c r="Q2297" s="152"/>
      <c r="R2297" s="9"/>
      <c r="Z2297" s="21"/>
      <c r="AA2297" s="162">
        <f>+$AD$5-Tabla2[[#This Row],[FECHA DE FACTURACIÓN]]</f>
        <v>45443</v>
      </c>
      <c r="AB2297" s="163" t="str">
        <f>+IF(Tabla2[[#This Row],[dias de credito]]&gt;=Tabla2[[#This Row],[PLAZO Días]],"venc", "No venc")</f>
        <v>venc</v>
      </c>
      <c r="AC2297" s="163" t="str">
        <f>+IF(Tabla2[[#This Row],[FECHA DE PAGO]]&gt;0,"pagada","por pagar")</f>
        <v>por pagar</v>
      </c>
      <c r="AD2297" s="164" t="str">
        <f>+IF(AND(Tabla2[[#This Row],[venc]]="venc",Tabla2[[#This Row],[estado pago]]="por pagar"),"vencida","no")</f>
        <v>vencida</v>
      </c>
    </row>
    <row r="2298" spans="1:30" ht="19.5" hidden="1" customHeight="1" x14ac:dyDescent="0.25">
      <c r="A2298" s="8"/>
      <c r="B2298" s="8"/>
      <c r="C2298" s="8"/>
      <c r="D2298" s="151"/>
      <c r="E2298" s="151"/>
      <c r="F2298" s="24"/>
      <c r="G2298" s="30"/>
      <c r="H2298" s="81"/>
      <c r="I2298" s="30"/>
      <c r="J2298" s="16"/>
      <c r="K2298" s="9"/>
      <c r="L2298" s="9"/>
      <c r="M2298" s="152"/>
      <c r="N2298" s="153"/>
      <c r="O2298" s="152"/>
      <c r="P2298" s="154"/>
      <c r="Q2298" s="152"/>
      <c r="R2298" s="9"/>
      <c r="Z2298" s="21"/>
      <c r="AA2298" s="162">
        <f>+$AD$5-Tabla2[[#This Row],[FECHA DE FACTURACIÓN]]</f>
        <v>45443</v>
      </c>
      <c r="AB2298" s="163" t="str">
        <f>+IF(Tabla2[[#This Row],[dias de credito]]&gt;=Tabla2[[#This Row],[PLAZO Días]],"venc", "No venc")</f>
        <v>venc</v>
      </c>
      <c r="AC2298" s="163" t="str">
        <f>+IF(Tabla2[[#This Row],[FECHA DE PAGO]]&gt;0,"pagada","por pagar")</f>
        <v>por pagar</v>
      </c>
      <c r="AD2298" s="164" t="str">
        <f>+IF(AND(Tabla2[[#This Row],[venc]]="venc",Tabla2[[#This Row],[estado pago]]="por pagar"),"vencida","no")</f>
        <v>vencida</v>
      </c>
    </row>
    <row r="2299" spans="1:30" ht="19.5" hidden="1" customHeight="1" x14ac:dyDescent="0.25">
      <c r="A2299" s="8"/>
      <c r="B2299" s="8"/>
      <c r="C2299" s="8"/>
      <c r="D2299" s="151"/>
      <c r="E2299" s="151"/>
      <c r="F2299" s="24"/>
      <c r="G2299" s="30"/>
      <c r="H2299" s="81"/>
      <c r="I2299" s="30"/>
      <c r="J2299" s="16"/>
      <c r="K2299" s="9"/>
      <c r="L2299" s="9"/>
      <c r="M2299" s="152"/>
      <c r="N2299" s="153"/>
      <c r="O2299" s="152"/>
      <c r="P2299" s="154"/>
      <c r="Q2299" s="152"/>
      <c r="R2299" s="9"/>
      <c r="Z2299" s="21"/>
      <c r="AA2299" s="162">
        <f>+$AD$5-Tabla2[[#This Row],[FECHA DE FACTURACIÓN]]</f>
        <v>45443</v>
      </c>
      <c r="AB2299" s="163" t="str">
        <f>+IF(Tabla2[[#This Row],[dias de credito]]&gt;=Tabla2[[#This Row],[PLAZO Días]],"venc", "No venc")</f>
        <v>venc</v>
      </c>
      <c r="AC2299" s="163" t="str">
        <f>+IF(Tabla2[[#This Row],[FECHA DE PAGO]]&gt;0,"pagada","por pagar")</f>
        <v>por pagar</v>
      </c>
      <c r="AD2299" s="164" t="str">
        <f>+IF(AND(Tabla2[[#This Row],[venc]]="venc",Tabla2[[#This Row],[estado pago]]="por pagar"),"vencida","no")</f>
        <v>vencida</v>
      </c>
    </row>
    <row r="2300" spans="1:30" ht="19.5" hidden="1" customHeight="1" x14ac:dyDescent="0.25">
      <c r="A2300" s="8"/>
      <c r="B2300" s="8"/>
      <c r="C2300" s="8"/>
      <c r="D2300" s="151"/>
      <c r="E2300" s="151"/>
      <c r="F2300" s="24"/>
      <c r="G2300" s="30"/>
      <c r="H2300" s="81"/>
      <c r="I2300" s="30"/>
      <c r="J2300" s="16"/>
      <c r="K2300" s="9"/>
      <c r="L2300" s="9"/>
      <c r="M2300" s="152"/>
      <c r="N2300" s="153"/>
      <c r="O2300" s="152"/>
      <c r="P2300" s="154"/>
      <c r="Q2300" s="152"/>
      <c r="R2300" s="9"/>
      <c r="Z2300" s="21"/>
      <c r="AA2300" s="162">
        <f>+$AD$5-Tabla2[[#This Row],[FECHA DE FACTURACIÓN]]</f>
        <v>45443</v>
      </c>
      <c r="AB2300" s="163" t="str">
        <f>+IF(Tabla2[[#This Row],[dias de credito]]&gt;=Tabla2[[#This Row],[PLAZO Días]],"venc", "No venc")</f>
        <v>venc</v>
      </c>
      <c r="AC2300" s="163" t="str">
        <f>+IF(Tabla2[[#This Row],[FECHA DE PAGO]]&gt;0,"pagada","por pagar")</f>
        <v>por pagar</v>
      </c>
      <c r="AD2300" s="164" t="str">
        <f>+IF(AND(Tabla2[[#This Row],[venc]]="venc",Tabla2[[#This Row],[estado pago]]="por pagar"),"vencida","no")</f>
        <v>vencida</v>
      </c>
    </row>
    <row r="2301" spans="1:30" ht="19.5" hidden="1" customHeight="1" x14ac:dyDescent="0.25">
      <c r="A2301" s="8"/>
      <c r="B2301" s="8"/>
      <c r="C2301" s="8"/>
      <c r="D2301" s="151"/>
      <c r="E2301" s="151"/>
      <c r="F2301" s="24"/>
      <c r="G2301" s="30"/>
      <c r="H2301" s="81"/>
      <c r="I2301" s="30"/>
      <c r="J2301" s="16"/>
      <c r="K2301" s="9"/>
      <c r="L2301" s="9"/>
      <c r="M2301" s="152"/>
      <c r="N2301" s="153"/>
      <c r="O2301" s="152"/>
      <c r="P2301" s="154"/>
      <c r="Q2301" s="152"/>
      <c r="R2301" s="9"/>
      <c r="Z2301" s="21"/>
      <c r="AA2301" s="162">
        <f>+$AD$5-Tabla2[[#This Row],[FECHA DE FACTURACIÓN]]</f>
        <v>45443</v>
      </c>
      <c r="AB2301" s="163" t="str">
        <f>+IF(Tabla2[[#This Row],[dias de credito]]&gt;=Tabla2[[#This Row],[PLAZO Días]],"venc", "No venc")</f>
        <v>venc</v>
      </c>
      <c r="AC2301" s="163" t="str">
        <f>+IF(Tabla2[[#This Row],[FECHA DE PAGO]]&gt;0,"pagada","por pagar")</f>
        <v>por pagar</v>
      </c>
      <c r="AD2301" s="164" t="str">
        <f>+IF(AND(Tabla2[[#This Row],[venc]]="venc",Tabla2[[#This Row],[estado pago]]="por pagar"),"vencida","no")</f>
        <v>vencida</v>
      </c>
    </row>
    <row r="2302" spans="1:30" ht="19.5" hidden="1" customHeight="1" x14ac:dyDescent="0.25">
      <c r="A2302" s="8"/>
      <c r="B2302" s="8"/>
      <c r="C2302" s="8"/>
      <c r="D2302" s="151"/>
      <c r="E2302" s="151"/>
      <c r="F2302" s="24"/>
      <c r="G2302" s="30"/>
      <c r="H2302" s="81"/>
      <c r="I2302" s="30"/>
      <c r="J2302" s="16"/>
      <c r="K2302" s="9"/>
      <c r="L2302" s="9"/>
      <c r="M2302" s="152"/>
      <c r="N2302" s="153"/>
      <c r="O2302" s="152"/>
      <c r="P2302" s="154"/>
      <c r="Q2302" s="152"/>
      <c r="R2302" s="9"/>
      <c r="Z2302" s="21"/>
      <c r="AA2302" s="162">
        <f>+$AD$5-Tabla2[[#This Row],[FECHA DE FACTURACIÓN]]</f>
        <v>45443</v>
      </c>
      <c r="AB2302" s="163" t="str">
        <f>+IF(Tabla2[[#This Row],[dias de credito]]&gt;=Tabla2[[#This Row],[PLAZO Días]],"venc", "No venc")</f>
        <v>venc</v>
      </c>
      <c r="AC2302" s="163" t="str">
        <f>+IF(Tabla2[[#This Row],[FECHA DE PAGO]]&gt;0,"pagada","por pagar")</f>
        <v>por pagar</v>
      </c>
      <c r="AD2302" s="164" t="str">
        <f>+IF(AND(Tabla2[[#This Row],[venc]]="venc",Tabla2[[#This Row],[estado pago]]="por pagar"),"vencida","no")</f>
        <v>vencida</v>
      </c>
    </row>
    <row r="2303" spans="1:30" ht="19.5" hidden="1" customHeight="1" x14ac:dyDescent="0.25">
      <c r="A2303" s="8"/>
      <c r="B2303" s="8"/>
      <c r="C2303" s="8"/>
      <c r="D2303" s="151"/>
      <c r="E2303" s="151"/>
      <c r="F2303" s="24"/>
      <c r="G2303" s="30"/>
      <c r="H2303" s="81"/>
      <c r="I2303" s="30"/>
      <c r="J2303" s="16"/>
      <c r="K2303" s="9"/>
      <c r="L2303" s="9"/>
      <c r="M2303" s="152"/>
      <c r="N2303" s="153"/>
      <c r="O2303" s="152"/>
      <c r="P2303" s="154"/>
      <c r="Q2303" s="152"/>
      <c r="R2303" s="9"/>
      <c r="Z2303" s="21"/>
      <c r="AA2303" s="162">
        <f>+$AD$5-Tabla2[[#This Row],[FECHA DE FACTURACIÓN]]</f>
        <v>45443</v>
      </c>
      <c r="AB2303" s="163" t="str">
        <f>+IF(Tabla2[[#This Row],[dias de credito]]&gt;=Tabla2[[#This Row],[PLAZO Días]],"venc", "No venc")</f>
        <v>venc</v>
      </c>
      <c r="AC2303" s="163" t="str">
        <f>+IF(Tabla2[[#This Row],[FECHA DE PAGO]]&gt;0,"pagada","por pagar")</f>
        <v>por pagar</v>
      </c>
      <c r="AD2303" s="164" t="str">
        <f>+IF(AND(Tabla2[[#This Row],[venc]]="venc",Tabla2[[#This Row],[estado pago]]="por pagar"),"vencida","no")</f>
        <v>vencida</v>
      </c>
    </row>
    <row r="2304" spans="1:30" ht="19.5" hidden="1" customHeight="1" x14ac:dyDescent="0.25">
      <c r="A2304" s="8"/>
      <c r="B2304" s="8"/>
      <c r="C2304" s="8"/>
      <c r="D2304" s="151"/>
      <c r="E2304" s="151"/>
      <c r="F2304" s="24"/>
      <c r="G2304" s="30"/>
      <c r="H2304" s="81"/>
      <c r="I2304" s="30"/>
      <c r="J2304" s="16"/>
      <c r="K2304" s="9"/>
      <c r="L2304" s="9"/>
      <c r="M2304" s="152"/>
      <c r="N2304" s="153"/>
      <c r="O2304" s="152"/>
      <c r="P2304" s="154"/>
      <c r="Q2304" s="152"/>
      <c r="R2304" s="9"/>
      <c r="Z2304" s="21"/>
      <c r="AA2304" s="162">
        <f>+$AD$5-Tabla2[[#This Row],[FECHA DE FACTURACIÓN]]</f>
        <v>45443</v>
      </c>
      <c r="AB2304" s="163" t="str">
        <f>+IF(Tabla2[[#This Row],[dias de credito]]&gt;=Tabla2[[#This Row],[PLAZO Días]],"venc", "No venc")</f>
        <v>venc</v>
      </c>
      <c r="AC2304" s="163" t="str">
        <f>+IF(Tabla2[[#This Row],[FECHA DE PAGO]]&gt;0,"pagada","por pagar")</f>
        <v>por pagar</v>
      </c>
      <c r="AD2304" s="164" t="str">
        <f>+IF(AND(Tabla2[[#This Row],[venc]]="venc",Tabla2[[#This Row],[estado pago]]="por pagar"),"vencida","no")</f>
        <v>vencida</v>
      </c>
    </row>
    <row r="2305" spans="1:30" ht="19.5" hidden="1" customHeight="1" x14ac:dyDescent="0.25">
      <c r="A2305" s="8"/>
      <c r="B2305" s="8"/>
      <c r="C2305" s="8"/>
      <c r="D2305" s="151"/>
      <c r="E2305" s="151"/>
      <c r="F2305" s="24"/>
      <c r="G2305" s="30"/>
      <c r="H2305" s="81"/>
      <c r="I2305" s="30"/>
      <c r="J2305" s="16"/>
      <c r="K2305" s="9"/>
      <c r="L2305" s="9"/>
      <c r="M2305" s="152"/>
      <c r="N2305" s="153"/>
      <c r="O2305" s="152"/>
      <c r="P2305" s="154"/>
      <c r="Q2305" s="152"/>
      <c r="R2305" s="9"/>
      <c r="Z2305" s="21"/>
      <c r="AA2305" s="162">
        <f>+$AD$5-Tabla2[[#This Row],[FECHA DE FACTURACIÓN]]</f>
        <v>45443</v>
      </c>
      <c r="AB2305" s="163" t="str">
        <f>+IF(Tabla2[[#This Row],[dias de credito]]&gt;=Tabla2[[#This Row],[PLAZO Días]],"venc", "No venc")</f>
        <v>venc</v>
      </c>
      <c r="AC2305" s="163" t="str">
        <f>+IF(Tabla2[[#This Row],[FECHA DE PAGO]]&gt;0,"pagada","por pagar")</f>
        <v>por pagar</v>
      </c>
      <c r="AD2305" s="164" t="str">
        <f>+IF(AND(Tabla2[[#This Row],[venc]]="venc",Tabla2[[#This Row],[estado pago]]="por pagar"),"vencida","no")</f>
        <v>vencida</v>
      </c>
    </row>
    <row r="2306" spans="1:30" ht="19.5" hidden="1" customHeight="1" x14ac:dyDescent="0.25">
      <c r="A2306" s="8"/>
      <c r="B2306" s="8"/>
      <c r="C2306" s="8"/>
      <c r="D2306" s="151"/>
      <c r="E2306" s="151"/>
      <c r="F2306" s="24"/>
      <c r="G2306" s="30"/>
      <c r="H2306" s="81"/>
      <c r="I2306" s="30"/>
      <c r="J2306" s="16"/>
      <c r="K2306" s="9"/>
      <c r="L2306" s="9"/>
      <c r="M2306" s="152"/>
      <c r="N2306" s="153"/>
      <c r="O2306" s="152"/>
      <c r="P2306" s="154"/>
      <c r="Q2306" s="152"/>
      <c r="R2306" s="9"/>
      <c r="Z2306" s="21"/>
      <c r="AA2306" s="162">
        <f>+$AD$5-Tabla2[[#This Row],[FECHA DE FACTURACIÓN]]</f>
        <v>45443</v>
      </c>
      <c r="AB2306" s="163" t="str">
        <f>+IF(Tabla2[[#This Row],[dias de credito]]&gt;=Tabla2[[#This Row],[PLAZO Días]],"venc", "No venc")</f>
        <v>venc</v>
      </c>
      <c r="AC2306" s="163" t="str">
        <f>+IF(Tabla2[[#This Row],[FECHA DE PAGO]]&gt;0,"pagada","por pagar")</f>
        <v>por pagar</v>
      </c>
      <c r="AD2306" s="164" t="str">
        <f>+IF(AND(Tabla2[[#This Row],[venc]]="venc",Tabla2[[#This Row],[estado pago]]="por pagar"),"vencida","no")</f>
        <v>vencida</v>
      </c>
    </row>
    <row r="2307" spans="1:30" ht="19.5" hidden="1" customHeight="1" x14ac:dyDescent="0.25">
      <c r="A2307" s="8"/>
      <c r="B2307" s="8"/>
      <c r="C2307" s="8"/>
      <c r="D2307" s="151"/>
      <c r="E2307" s="151"/>
      <c r="F2307" s="24"/>
      <c r="G2307" s="30"/>
      <c r="H2307" s="81"/>
      <c r="I2307" s="30"/>
      <c r="J2307" s="16"/>
      <c r="K2307" s="9"/>
      <c r="L2307" s="9"/>
      <c r="M2307" s="152"/>
      <c r="N2307" s="153"/>
      <c r="O2307" s="152"/>
      <c r="P2307" s="154"/>
      <c r="Q2307" s="152"/>
      <c r="R2307" s="9"/>
      <c r="Z2307" s="21"/>
      <c r="AA2307" s="162">
        <f>+$AD$5-Tabla2[[#This Row],[FECHA DE FACTURACIÓN]]</f>
        <v>45443</v>
      </c>
      <c r="AB2307" s="163" t="str">
        <f>+IF(Tabla2[[#This Row],[dias de credito]]&gt;=Tabla2[[#This Row],[PLAZO Días]],"venc", "No venc")</f>
        <v>venc</v>
      </c>
      <c r="AC2307" s="163" t="str">
        <f>+IF(Tabla2[[#This Row],[FECHA DE PAGO]]&gt;0,"pagada","por pagar")</f>
        <v>por pagar</v>
      </c>
      <c r="AD2307" s="164" t="str">
        <f>+IF(AND(Tabla2[[#This Row],[venc]]="venc",Tabla2[[#This Row],[estado pago]]="por pagar"),"vencida","no")</f>
        <v>vencida</v>
      </c>
    </row>
    <row r="2308" spans="1:30" ht="19.5" hidden="1" customHeight="1" x14ac:dyDescent="0.25">
      <c r="A2308" s="8"/>
      <c r="B2308" s="8"/>
      <c r="C2308" s="8"/>
      <c r="D2308" s="151"/>
      <c r="E2308" s="151"/>
      <c r="F2308" s="24"/>
      <c r="G2308" s="30"/>
      <c r="H2308" s="81"/>
      <c r="I2308" s="30"/>
      <c r="J2308" s="16"/>
      <c r="K2308" s="9"/>
      <c r="L2308" s="9"/>
      <c r="M2308" s="152"/>
      <c r="N2308" s="153"/>
      <c r="O2308" s="152"/>
      <c r="P2308" s="154"/>
      <c r="Q2308" s="152"/>
      <c r="R2308" s="9"/>
      <c r="Z2308" s="21"/>
      <c r="AA2308" s="162">
        <f>+$AD$5-Tabla2[[#This Row],[FECHA DE FACTURACIÓN]]</f>
        <v>45443</v>
      </c>
      <c r="AB2308" s="163" t="str">
        <f>+IF(Tabla2[[#This Row],[dias de credito]]&gt;=Tabla2[[#This Row],[PLAZO Días]],"venc", "No venc")</f>
        <v>venc</v>
      </c>
      <c r="AC2308" s="163" t="str">
        <f>+IF(Tabla2[[#This Row],[FECHA DE PAGO]]&gt;0,"pagada","por pagar")</f>
        <v>por pagar</v>
      </c>
      <c r="AD2308" s="164" t="str">
        <f>+IF(AND(Tabla2[[#This Row],[venc]]="venc",Tabla2[[#This Row],[estado pago]]="por pagar"),"vencida","no")</f>
        <v>vencida</v>
      </c>
    </row>
    <row r="2309" spans="1:30" ht="19.5" hidden="1" customHeight="1" x14ac:dyDescent="0.25">
      <c r="A2309" s="8"/>
      <c r="B2309" s="8"/>
      <c r="C2309" s="8"/>
      <c r="D2309" s="151"/>
      <c r="E2309" s="151"/>
      <c r="F2309" s="24"/>
      <c r="G2309" s="30"/>
      <c r="H2309" s="81"/>
      <c r="I2309" s="30"/>
      <c r="J2309" s="16"/>
      <c r="K2309" s="9"/>
      <c r="L2309" s="9"/>
      <c r="M2309" s="152"/>
      <c r="N2309" s="153"/>
      <c r="O2309" s="152"/>
      <c r="P2309" s="154"/>
      <c r="Q2309" s="152"/>
      <c r="R2309" s="9"/>
      <c r="Z2309" s="21"/>
      <c r="AA2309" s="162">
        <f>+$AD$5-Tabla2[[#This Row],[FECHA DE FACTURACIÓN]]</f>
        <v>45443</v>
      </c>
      <c r="AB2309" s="163" t="str">
        <f>+IF(Tabla2[[#This Row],[dias de credito]]&gt;=Tabla2[[#This Row],[PLAZO Días]],"venc", "No venc")</f>
        <v>venc</v>
      </c>
      <c r="AC2309" s="163" t="str">
        <f>+IF(Tabla2[[#This Row],[FECHA DE PAGO]]&gt;0,"pagada","por pagar")</f>
        <v>por pagar</v>
      </c>
      <c r="AD2309" s="164" t="str">
        <f>+IF(AND(Tabla2[[#This Row],[venc]]="venc",Tabla2[[#This Row],[estado pago]]="por pagar"),"vencida","no")</f>
        <v>vencida</v>
      </c>
    </row>
    <row r="2310" spans="1:30" ht="19.5" hidden="1" customHeight="1" x14ac:dyDescent="0.25">
      <c r="A2310" s="8"/>
      <c r="B2310" s="8"/>
      <c r="C2310" s="8"/>
      <c r="D2310" s="151"/>
      <c r="E2310" s="151"/>
      <c r="F2310" s="24"/>
      <c r="G2310" s="30"/>
      <c r="H2310" s="81"/>
      <c r="I2310" s="30"/>
      <c r="J2310" s="16"/>
      <c r="K2310" s="9"/>
      <c r="L2310" s="9"/>
      <c r="M2310" s="152"/>
      <c r="N2310" s="153"/>
      <c r="O2310" s="152"/>
      <c r="P2310" s="154"/>
      <c r="Q2310" s="152"/>
      <c r="R2310" s="9"/>
      <c r="Z2310" s="21"/>
      <c r="AA2310" s="162">
        <f>+$AD$5-Tabla2[[#This Row],[FECHA DE FACTURACIÓN]]</f>
        <v>45443</v>
      </c>
      <c r="AB2310" s="163" t="str">
        <f>+IF(Tabla2[[#This Row],[dias de credito]]&gt;=Tabla2[[#This Row],[PLAZO Días]],"venc", "No venc")</f>
        <v>venc</v>
      </c>
      <c r="AC2310" s="163" t="str">
        <f>+IF(Tabla2[[#This Row],[FECHA DE PAGO]]&gt;0,"pagada","por pagar")</f>
        <v>por pagar</v>
      </c>
      <c r="AD2310" s="164" t="str">
        <f>+IF(AND(Tabla2[[#This Row],[venc]]="venc",Tabla2[[#This Row],[estado pago]]="por pagar"),"vencida","no")</f>
        <v>vencida</v>
      </c>
    </row>
    <row r="2311" spans="1:30" ht="19.5" hidden="1" customHeight="1" x14ac:dyDescent="0.25">
      <c r="A2311" s="8"/>
      <c r="B2311" s="8"/>
      <c r="C2311" s="8"/>
      <c r="D2311" s="151"/>
      <c r="E2311" s="151"/>
      <c r="F2311" s="24"/>
      <c r="G2311" s="30"/>
      <c r="H2311" s="81"/>
      <c r="I2311" s="30"/>
      <c r="J2311" s="16"/>
      <c r="K2311" s="9"/>
      <c r="L2311" s="9"/>
      <c r="M2311" s="152"/>
      <c r="N2311" s="153"/>
      <c r="O2311" s="152"/>
      <c r="P2311" s="154"/>
      <c r="Q2311" s="152"/>
      <c r="R2311" s="9"/>
      <c r="Z2311" s="21"/>
      <c r="AA2311" s="162">
        <f>+$AD$5-Tabla2[[#This Row],[FECHA DE FACTURACIÓN]]</f>
        <v>45443</v>
      </c>
      <c r="AB2311" s="163" t="str">
        <f>+IF(Tabla2[[#This Row],[dias de credito]]&gt;=Tabla2[[#This Row],[PLAZO Días]],"venc", "No venc")</f>
        <v>venc</v>
      </c>
      <c r="AC2311" s="163" t="str">
        <f>+IF(Tabla2[[#This Row],[FECHA DE PAGO]]&gt;0,"pagada","por pagar")</f>
        <v>por pagar</v>
      </c>
      <c r="AD2311" s="164" t="str">
        <f>+IF(AND(Tabla2[[#This Row],[venc]]="venc",Tabla2[[#This Row],[estado pago]]="por pagar"),"vencida","no")</f>
        <v>vencida</v>
      </c>
    </row>
    <row r="2312" spans="1:30" ht="19.5" hidden="1" customHeight="1" x14ac:dyDescent="0.25">
      <c r="A2312" s="8"/>
      <c r="B2312" s="8"/>
      <c r="C2312" s="8"/>
      <c r="D2312" s="151"/>
      <c r="E2312" s="151"/>
      <c r="F2312" s="24"/>
      <c r="G2312" s="30"/>
      <c r="H2312" s="81"/>
      <c r="I2312" s="30"/>
      <c r="J2312" s="16"/>
      <c r="K2312" s="9"/>
      <c r="L2312" s="9"/>
      <c r="M2312" s="152"/>
      <c r="N2312" s="153"/>
      <c r="O2312" s="152"/>
      <c r="P2312" s="154"/>
      <c r="Q2312" s="152"/>
      <c r="R2312" s="9"/>
      <c r="Z2312" s="21"/>
      <c r="AA2312" s="162">
        <f>+$AD$5-Tabla2[[#This Row],[FECHA DE FACTURACIÓN]]</f>
        <v>45443</v>
      </c>
      <c r="AB2312" s="163" t="str">
        <f>+IF(Tabla2[[#This Row],[dias de credito]]&gt;=Tabla2[[#This Row],[PLAZO Días]],"venc", "No venc")</f>
        <v>venc</v>
      </c>
      <c r="AC2312" s="163" t="str">
        <f>+IF(Tabla2[[#This Row],[FECHA DE PAGO]]&gt;0,"pagada","por pagar")</f>
        <v>por pagar</v>
      </c>
      <c r="AD2312" s="164" t="str">
        <f>+IF(AND(Tabla2[[#This Row],[venc]]="venc",Tabla2[[#This Row],[estado pago]]="por pagar"),"vencida","no")</f>
        <v>vencida</v>
      </c>
    </row>
    <row r="2313" spans="1:30" ht="19.5" hidden="1" customHeight="1" x14ac:dyDescent="0.25">
      <c r="A2313" s="8"/>
      <c r="B2313" s="8"/>
      <c r="C2313" s="8"/>
      <c r="D2313" s="151"/>
      <c r="E2313" s="151"/>
      <c r="F2313" s="24"/>
      <c r="G2313" s="30"/>
      <c r="H2313" s="81"/>
      <c r="I2313" s="30"/>
      <c r="J2313" s="16"/>
      <c r="K2313" s="9"/>
      <c r="L2313" s="9"/>
      <c r="M2313" s="152"/>
      <c r="N2313" s="153"/>
      <c r="O2313" s="152"/>
      <c r="P2313" s="154"/>
      <c r="Q2313" s="152"/>
      <c r="R2313" s="9"/>
      <c r="Z2313" s="21"/>
      <c r="AA2313" s="162">
        <f>+$AD$5-Tabla2[[#This Row],[FECHA DE FACTURACIÓN]]</f>
        <v>45443</v>
      </c>
      <c r="AB2313" s="163" t="str">
        <f>+IF(Tabla2[[#This Row],[dias de credito]]&gt;=Tabla2[[#This Row],[PLAZO Días]],"venc", "No venc")</f>
        <v>venc</v>
      </c>
      <c r="AC2313" s="163" t="str">
        <f>+IF(Tabla2[[#This Row],[FECHA DE PAGO]]&gt;0,"pagada","por pagar")</f>
        <v>por pagar</v>
      </c>
      <c r="AD2313" s="164" t="str">
        <f>+IF(AND(Tabla2[[#This Row],[venc]]="venc",Tabla2[[#This Row],[estado pago]]="por pagar"),"vencida","no")</f>
        <v>vencida</v>
      </c>
    </row>
    <row r="2314" spans="1:30" ht="19.5" hidden="1" customHeight="1" x14ac:dyDescent="0.25">
      <c r="A2314" s="8"/>
      <c r="B2314" s="8"/>
      <c r="C2314" s="8"/>
      <c r="D2314" s="151"/>
      <c r="E2314" s="151"/>
      <c r="F2314" s="24"/>
      <c r="G2314" s="30"/>
      <c r="H2314" s="81"/>
      <c r="I2314" s="30"/>
      <c r="J2314" s="16"/>
      <c r="K2314" s="9"/>
      <c r="L2314" s="9"/>
      <c r="M2314" s="152"/>
      <c r="N2314" s="153"/>
      <c r="O2314" s="152"/>
      <c r="P2314" s="154"/>
      <c r="Q2314" s="152"/>
      <c r="R2314" s="9"/>
      <c r="Z2314" s="21"/>
      <c r="AA2314" s="162">
        <f>+$AD$5-Tabla2[[#This Row],[FECHA DE FACTURACIÓN]]</f>
        <v>45443</v>
      </c>
      <c r="AB2314" s="163" t="str">
        <f>+IF(Tabla2[[#This Row],[dias de credito]]&gt;=Tabla2[[#This Row],[PLAZO Días]],"venc", "No venc")</f>
        <v>venc</v>
      </c>
      <c r="AC2314" s="163" t="str">
        <f>+IF(Tabla2[[#This Row],[FECHA DE PAGO]]&gt;0,"pagada","por pagar")</f>
        <v>por pagar</v>
      </c>
      <c r="AD2314" s="164" t="str">
        <f>+IF(AND(Tabla2[[#This Row],[venc]]="venc",Tabla2[[#This Row],[estado pago]]="por pagar"),"vencida","no")</f>
        <v>vencida</v>
      </c>
    </row>
    <row r="2315" spans="1:30" ht="19.5" hidden="1" customHeight="1" x14ac:dyDescent="0.25">
      <c r="A2315" s="8"/>
      <c r="B2315" s="8"/>
      <c r="C2315" s="8"/>
      <c r="D2315" s="151"/>
      <c r="E2315" s="151"/>
      <c r="F2315" s="24"/>
      <c r="G2315" s="30"/>
      <c r="H2315" s="81"/>
      <c r="I2315" s="30"/>
      <c r="J2315" s="16"/>
      <c r="K2315" s="9"/>
      <c r="L2315" s="9"/>
      <c r="M2315" s="152"/>
      <c r="N2315" s="153"/>
      <c r="O2315" s="152"/>
      <c r="P2315" s="154"/>
      <c r="Q2315" s="152"/>
      <c r="R2315" s="9"/>
      <c r="Z2315" s="21"/>
      <c r="AA2315" s="162">
        <f>+$AD$5-Tabla2[[#This Row],[FECHA DE FACTURACIÓN]]</f>
        <v>45443</v>
      </c>
      <c r="AB2315" s="163" t="str">
        <f>+IF(Tabla2[[#This Row],[dias de credito]]&gt;=Tabla2[[#This Row],[PLAZO Días]],"venc", "No venc")</f>
        <v>venc</v>
      </c>
      <c r="AC2315" s="163" t="str">
        <f>+IF(Tabla2[[#This Row],[FECHA DE PAGO]]&gt;0,"pagada","por pagar")</f>
        <v>por pagar</v>
      </c>
      <c r="AD2315" s="164" t="str">
        <f>+IF(AND(Tabla2[[#This Row],[venc]]="venc",Tabla2[[#This Row],[estado pago]]="por pagar"),"vencida","no")</f>
        <v>vencida</v>
      </c>
    </row>
    <row r="2316" spans="1:30" ht="19.5" hidden="1" customHeight="1" x14ac:dyDescent="0.25">
      <c r="A2316" s="8"/>
      <c r="B2316" s="8"/>
      <c r="C2316" s="8"/>
      <c r="D2316" s="151"/>
      <c r="E2316" s="151"/>
      <c r="F2316" s="24"/>
      <c r="G2316" s="30"/>
      <c r="H2316" s="81"/>
      <c r="I2316" s="30"/>
      <c r="J2316" s="16"/>
      <c r="K2316" s="9"/>
      <c r="L2316" s="9"/>
      <c r="M2316" s="152"/>
      <c r="N2316" s="153"/>
      <c r="O2316" s="152"/>
      <c r="P2316" s="154"/>
      <c r="Q2316" s="152"/>
      <c r="R2316" s="9"/>
      <c r="Z2316" s="21"/>
      <c r="AA2316" s="162">
        <f>+$AD$5-Tabla2[[#This Row],[FECHA DE FACTURACIÓN]]</f>
        <v>45443</v>
      </c>
      <c r="AB2316" s="163" t="str">
        <f>+IF(Tabla2[[#This Row],[dias de credito]]&gt;=Tabla2[[#This Row],[PLAZO Días]],"venc", "No venc")</f>
        <v>venc</v>
      </c>
      <c r="AC2316" s="163" t="str">
        <f>+IF(Tabla2[[#This Row],[FECHA DE PAGO]]&gt;0,"pagada","por pagar")</f>
        <v>por pagar</v>
      </c>
      <c r="AD2316" s="164" t="str">
        <f>+IF(AND(Tabla2[[#This Row],[venc]]="venc",Tabla2[[#This Row],[estado pago]]="por pagar"),"vencida","no")</f>
        <v>vencida</v>
      </c>
    </row>
    <row r="2317" spans="1:30" ht="19.5" hidden="1" customHeight="1" x14ac:dyDescent="0.25">
      <c r="A2317" s="8"/>
      <c r="B2317" s="8"/>
      <c r="C2317" s="8"/>
      <c r="D2317" s="151"/>
      <c r="E2317" s="151"/>
      <c r="F2317" s="24"/>
      <c r="G2317" s="30"/>
      <c r="H2317" s="81"/>
      <c r="I2317" s="30"/>
      <c r="J2317" s="16"/>
      <c r="K2317" s="9"/>
      <c r="L2317" s="9"/>
      <c r="M2317" s="152"/>
      <c r="N2317" s="153"/>
      <c r="O2317" s="152"/>
      <c r="P2317" s="154"/>
      <c r="Q2317" s="152"/>
      <c r="R2317" s="9"/>
      <c r="Z2317" s="21"/>
      <c r="AA2317" s="162">
        <f>+$AD$5-Tabla2[[#This Row],[FECHA DE FACTURACIÓN]]</f>
        <v>45443</v>
      </c>
      <c r="AB2317" s="163" t="str">
        <f>+IF(Tabla2[[#This Row],[dias de credito]]&gt;=Tabla2[[#This Row],[PLAZO Días]],"venc", "No venc")</f>
        <v>venc</v>
      </c>
      <c r="AC2317" s="163" t="str">
        <f>+IF(Tabla2[[#This Row],[FECHA DE PAGO]]&gt;0,"pagada","por pagar")</f>
        <v>por pagar</v>
      </c>
      <c r="AD2317" s="164" t="str">
        <f>+IF(AND(Tabla2[[#This Row],[venc]]="venc",Tabla2[[#This Row],[estado pago]]="por pagar"),"vencida","no")</f>
        <v>vencida</v>
      </c>
    </row>
    <row r="2318" spans="1:30" ht="19.5" hidden="1" customHeight="1" x14ac:dyDescent="0.25">
      <c r="A2318" s="8"/>
      <c r="B2318" s="8"/>
      <c r="C2318" s="8"/>
      <c r="D2318" s="151"/>
      <c r="E2318" s="151"/>
      <c r="F2318" s="24"/>
      <c r="G2318" s="30"/>
      <c r="H2318" s="81"/>
      <c r="I2318" s="30"/>
      <c r="J2318" s="16"/>
      <c r="K2318" s="9"/>
      <c r="L2318" s="9"/>
      <c r="M2318" s="152"/>
      <c r="N2318" s="153"/>
      <c r="O2318" s="152"/>
      <c r="P2318" s="154"/>
      <c r="Q2318" s="152"/>
      <c r="R2318" s="9"/>
      <c r="Z2318" s="21"/>
      <c r="AA2318" s="162">
        <f>+$AD$5-Tabla2[[#This Row],[FECHA DE FACTURACIÓN]]</f>
        <v>45443</v>
      </c>
      <c r="AB2318" s="163" t="str">
        <f>+IF(Tabla2[[#This Row],[dias de credito]]&gt;=Tabla2[[#This Row],[PLAZO Días]],"venc", "No venc")</f>
        <v>venc</v>
      </c>
      <c r="AC2318" s="163" t="str">
        <f>+IF(Tabla2[[#This Row],[FECHA DE PAGO]]&gt;0,"pagada","por pagar")</f>
        <v>por pagar</v>
      </c>
      <c r="AD2318" s="164" t="str">
        <f>+IF(AND(Tabla2[[#This Row],[venc]]="venc",Tabla2[[#This Row],[estado pago]]="por pagar"),"vencida","no")</f>
        <v>vencida</v>
      </c>
    </row>
    <row r="2319" spans="1:30" ht="19.5" hidden="1" customHeight="1" x14ac:dyDescent="0.25">
      <c r="A2319" s="8"/>
      <c r="B2319" s="8"/>
      <c r="C2319" s="8"/>
      <c r="D2319" s="151"/>
      <c r="E2319" s="151"/>
      <c r="F2319" s="24"/>
      <c r="G2319" s="30"/>
      <c r="H2319" s="81"/>
      <c r="I2319" s="30"/>
      <c r="J2319" s="16"/>
      <c r="K2319" s="9"/>
      <c r="L2319" s="9"/>
      <c r="M2319" s="152"/>
      <c r="N2319" s="153"/>
      <c r="O2319" s="152"/>
      <c r="P2319" s="154"/>
      <c r="Q2319" s="152"/>
      <c r="R2319" s="9"/>
      <c r="Z2319" s="21"/>
      <c r="AA2319" s="162">
        <f>+$AD$5-Tabla2[[#This Row],[FECHA DE FACTURACIÓN]]</f>
        <v>45443</v>
      </c>
      <c r="AB2319" s="163" t="str">
        <f>+IF(Tabla2[[#This Row],[dias de credito]]&gt;=Tabla2[[#This Row],[PLAZO Días]],"venc", "No venc")</f>
        <v>venc</v>
      </c>
      <c r="AC2319" s="163" t="str">
        <f>+IF(Tabla2[[#This Row],[FECHA DE PAGO]]&gt;0,"pagada","por pagar")</f>
        <v>por pagar</v>
      </c>
      <c r="AD2319" s="164" t="str">
        <f>+IF(AND(Tabla2[[#This Row],[venc]]="venc",Tabla2[[#This Row],[estado pago]]="por pagar"),"vencida","no")</f>
        <v>vencida</v>
      </c>
    </row>
    <row r="2320" spans="1:30" ht="19.5" hidden="1" customHeight="1" x14ac:dyDescent="0.25">
      <c r="A2320" s="8"/>
      <c r="B2320" s="8"/>
      <c r="C2320" s="8"/>
      <c r="D2320" s="151"/>
      <c r="E2320" s="151"/>
      <c r="F2320" s="24"/>
      <c r="G2320" s="30"/>
      <c r="H2320" s="81"/>
      <c r="I2320" s="30"/>
      <c r="J2320" s="16"/>
      <c r="K2320" s="9"/>
      <c r="L2320" s="9"/>
      <c r="M2320" s="152"/>
      <c r="N2320" s="153"/>
      <c r="O2320" s="152"/>
      <c r="P2320" s="154"/>
      <c r="Q2320" s="152"/>
      <c r="R2320" s="9"/>
      <c r="Z2320" s="21"/>
      <c r="AA2320" s="162">
        <f>+$AD$5-Tabla2[[#This Row],[FECHA DE FACTURACIÓN]]</f>
        <v>45443</v>
      </c>
      <c r="AB2320" s="163" t="str">
        <f>+IF(Tabla2[[#This Row],[dias de credito]]&gt;=Tabla2[[#This Row],[PLAZO Días]],"venc", "No venc")</f>
        <v>venc</v>
      </c>
      <c r="AC2320" s="163" t="str">
        <f>+IF(Tabla2[[#This Row],[FECHA DE PAGO]]&gt;0,"pagada","por pagar")</f>
        <v>por pagar</v>
      </c>
      <c r="AD2320" s="164" t="str">
        <f>+IF(AND(Tabla2[[#This Row],[venc]]="venc",Tabla2[[#This Row],[estado pago]]="por pagar"),"vencida","no")</f>
        <v>vencida</v>
      </c>
    </row>
    <row r="2321" spans="1:30" ht="19.5" hidden="1" customHeight="1" x14ac:dyDescent="0.25">
      <c r="A2321" s="8"/>
      <c r="B2321" s="8"/>
      <c r="C2321" s="8"/>
      <c r="D2321" s="151"/>
      <c r="E2321" s="151"/>
      <c r="F2321" s="24"/>
      <c r="G2321" s="30"/>
      <c r="H2321" s="81"/>
      <c r="I2321" s="30"/>
      <c r="J2321" s="16"/>
      <c r="K2321" s="9"/>
      <c r="L2321" s="9"/>
      <c r="M2321" s="152"/>
      <c r="N2321" s="153"/>
      <c r="O2321" s="152"/>
      <c r="P2321" s="154"/>
      <c r="Q2321" s="152"/>
      <c r="R2321" s="9"/>
      <c r="Z2321" s="21"/>
      <c r="AA2321" s="162">
        <f>+$AD$5-Tabla2[[#This Row],[FECHA DE FACTURACIÓN]]</f>
        <v>45443</v>
      </c>
      <c r="AB2321" s="163" t="str">
        <f>+IF(Tabla2[[#This Row],[dias de credito]]&gt;=Tabla2[[#This Row],[PLAZO Días]],"venc", "No venc")</f>
        <v>venc</v>
      </c>
      <c r="AC2321" s="163" t="str">
        <f>+IF(Tabla2[[#This Row],[FECHA DE PAGO]]&gt;0,"pagada","por pagar")</f>
        <v>por pagar</v>
      </c>
      <c r="AD2321" s="164" t="str">
        <f>+IF(AND(Tabla2[[#This Row],[venc]]="venc",Tabla2[[#This Row],[estado pago]]="por pagar"),"vencida","no")</f>
        <v>vencida</v>
      </c>
    </row>
    <row r="2322" spans="1:30" ht="19.5" hidden="1" customHeight="1" x14ac:dyDescent="0.25">
      <c r="A2322" s="8"/>
      <c r="B2322" s="8"/>
      <c r="C2322" s="8"/>
      <c r="D2322" s="151"/>
      <c r="E2322" s="151"/>
      <c r="F2322" s="24"/>
      <c r="G2322" s="30"/>
      <c r="H2322" s="81"/>
      <c r="I2322" s="30"/>
      <c r="J2322" s="16"/>
      <c r="K2322" s="9"/>
      <c r="L2322" s="9"/>
      <c r="M2322" s="152"/>
      <c r="N2322" s="153"/>
      <c r="O2322" s="152"/>
      <c r="P2322" s="154"/>
      <c r="Q2322" s="152"/>
      <c r="R2322" s="9"/>
      <c r="Z2322" s="21"/>
      <c r="AA2322" s="162">
        <f>+$AD$5-Tabla2[[#This Row],[FECHA DE FACTURACIÓN]]</f>
        <v>45443</v>
      </c>
      <c r="AB2322" s="163" t="str">
        <f>+IF(Tabla2[[#This Row],[dias de credito]]&gt;=Tabla2[[#This Row],[PLAZO Días]],"venc", "No venc")</f>
        <v>venc</v>
      </c>
      <c r="AC2322" s="163" t="str">
        <f>+IF(Tabla2[[#This Row],[FECHA DE PAGO]]&gt;0,"pagada","por pagar")</f>
        <v>por pagar</v>
      </c>
      <c r="AD2322" s="164" t="str">
        <f>+IF(AND(Tabla2[[#This Row],[venc]]="venc",Tabla2[[#This Row],[estado pago]]="por pagar"),"vencida","no")</f>
        <v>vencida</v>
      </c>
    </row>
    <row r="2323" spans="1:30" ht="19.5" hidden="1" customHeight="1" x14ac:dyDescent="0.25">
      <c r="A2323" s="8"/>
      <c r="B2323" s="8"/>
      <c r="C2323" s="8"/>
      <c r="D2323" s="151"/>
      <c r="E2323" s="151"/>
      <c r="F2323" s="24"/>
      <c r="G2323" s="30"/>
      <c r="H2323" s="81"/>
      <c r="I2323" s="30"/>
      <c r="J2323" s="16"/>
      <c r="K2323" s="9"/>
      <c r="L2323" s="9"/>
      <c r="M2323" s="152"/>
      <c r="N2323" s="153"/>
      <c r="O2323" s="152"/>
      <c r="P2323" s="154"/>
      <c r="Q2323" s="152"/>
      <c r="R2323" s="9"/>
      <c r="Z2323" s="21"/>
      <c r="AA2323" s="162">
        <f>+$AD$5-Tabla2[[#This Row],[FECHA DE FACTURACIÓN]]</f>
        <v>45443</v>
      </c>
      <c r="AB2323" s="163" t="str">
        <f>+IF(Tabla2[[#This Row],[dias de credito]]&gt;=Tabla2[[#This Row],[PLAZO Días]],"venc", "No venc")</f>
        <v>venc</v>
      </c>
      <c r="AC2323" s="163" t="str">
        <f>+IF(Tabla2[[#This Row],[FECHA DE PAGO]]&gt;0,"pagada","por pagar")</f>
        <v>por pagar</v>
      </c>
      <c r="AD2323" s="164" t="str">
        <f>+IF(AND(Tabla2[[#This Row],[venc]]="venc",Tabla2[[#This Row],[estado pago]]="por pagar"),"vencida","no")</f>
        <v>vencida</v>
      </c>
    </row>
    <row r="2324" spans="1:30" ht="19.5" hidden="1" customHeight="1" x14ac:dyDescent="0.25">
      <c r="A2324" s="8"/>
      <c r="B2324" s="8"/>
      <c r="C2324" s="8"/>
      <c r="D2324" s="151"/>
      <c r="E2324" s="151"/>
      <c r="F2324" s="24"/>
      <c r="G2324" s="30"/>
      <c r="H2324" s="81"/>
      <c r="I2324" s="30"/>
      <c r="J2324" s="16"/>
      <c r="K2324" s="9"/>
      <c r="L2324" s="9"/>
      <c r="M2324" s="152"/>
      <c r="N2324" s="153"/>
      <c r="O2324" s="152"/>
      <c r="P2324" s="154"/>
      <c r="Q2324" s="152"/>
      <c r="R2324" s="9"/>
      <c r="Z2324" s="21"/>
      <c r="AA2324" s="162">
        <f>+$AD$5-Tabla2[[#This Row],[FECHA DE FACTURACIÓN]]</f>
        <v>45443</v>
      </c>
      <c r="AB2324" s="163" t="str">
        <f>+IF(Tabla2[[#This Row],[dias de credito]]&gt;=Tabla2[[#This Row],[PLAZO Días]],"venc", "No venc")</f>
        <v>venc</v>
      </c>
      <c r="AC2324" s="163" t="str">
        <f>+IF(Tabla2[[#This Row],[FECHA DE PAGO]]&gt;0,"pagada","por pagar")</f>
        <v>por pagar</v>
      </c>
      <c r="AD2324" s="164" t="str">
        <f>+IF(AND(Tabla2[[#This Row],[venc]]="venc",Tabla2[[#This Row],[estado pago]]="por pagar"),"vencida","no")</f>
        <v>vencida</v>
      </c>
    </row>
    <row r="2325" spans="1:30" ht="19.5" hidden="1" customHeight="1" x14ac:dyDescent="0.25">
      <c r="A2325" s="8"/>
      <c r="B2325" s="8"/>
      <c r="C2325" s="8"/>
      <c r="D2325" s="151"/>
      <c r="E2325" s="151"/>
      <c r="F2325" s="24"/>
      <c r="G2325" s="30"/>
      <c r="H2325" s="81"/>
      <c r="I2325" s="30"/>
      <c r="J2325" s="16"/>
      <c r="K2325" s="9"/>
      <c r="L2325" s="9"/>
      <c r="M2325" s="152"/>
      <c r="N2325" s="153"/>
      <c r="O2325" s="152"/>
      <c r="P2325" s="154"/>
      <c r="Q2325" s="152"/>
      <c r="R2325" s="9"/>
      <c r="Z2325" s="21"/>
      <c r="AA2325" s="162">
        <f>+$AD$5-Tabla2[[#This Row],[FECHA DE FACTURACIÓN]]</f>
        <v>45443</v>
      </c>
      <c r="AB2325" s="163" t="str">
        <f>+IF(Tabla2[[#This Row],[dias de credito]]&gt;=Tabla2[[#This Row],[PLAZO Días]],"venc", "No venc")</f>
        <v>venc</v>
      </c>
      <c r="AC2325" s="163" t="str">
        <f>+IF(Tabla2[[#This Row],[FECHA DE PAGO]]&gt;0,"pagada","por pagar")</f>
        <v>por pagar</v>
      </c>
      <c r="AD2325" s="164" t="str">
        <f>+IF(AND(Tabla2[[#This Row],[venc]]="venc",Tabla2[[#This Row],[estado pago]]="por pagar"),"vencida","no")</f>
        <v>vencida</v>
      </c>
    </row>
    <row r="2326" spans="1:30" ht="19.5" hidden="1" customHeight="1" x14ac:dyDescent="0.25">
      <c r="A2326" s="8"/>
      <c r="B2326" s="8"/>
      <c r="C2326" s="8"/>
      <c r="D2326" s="151"/>
      <c r="E2326" s="151"/>
      <c r="F2326" s="24"/>
      <c r="G2326" s="30"/>
      <c r="H2326" s="81"/>
      <c r="I2326" s="30"/>
      <c r="J2326" s="16"/>
      <c r="K2326" s="9"/>
      <c r="L2326" s="9"/>
      <c r="M2326" s="152"/>
      <c r="N2326" s="153"/>
      <c r="O2326" s="152"/>
      <c r="P2326" s="154"/>
      <c r="Q2326" s="152"/>
      <c r="R2326" s="9"/>
      <c r="Z2326" s="21"/>
      <c r="AA2326" s="162">
        <f>+$AD$5-Tabla2[[#This Row],[FECHA DE FACTURACIÓN]]</f>
        <v>45443</v>
      </c>
      <c r="AB2326" s="163" t="str">
        <f>+IF(Tabla2[[#This Row],[dias de credito]]&gt;=Tabla2[[#This Row],[PLAZO Días]],"venc", "No venc")</f>
        <v>venc</v>
      </c>
      <c r="AC2326" s="163" t="str">
        <f>+IF(Tabla2[[#This Row],[FECHA DE PAGO]]&gt;0,"pagada","por pagar")</f>
        <v>por pagar</v>
      </c>
      <c r="AD2326" s="164" t="str">
        <f>+IF(AND(Tabla2[[#This Row],[venc]]="venc",Tabla2[[#This Row],[estado pago]]="por pagar"),"vencida","no")</f>
        <v>vencida</v>
      </c>
    </row>
    <row r="2327" spans="1:30" ht="19.5" hidden="1" customHeight="1" x14ac:dyDescent="0.25">
      <c r="A2327" s="8"/>
      <c r="B2327" s="8"/>
      <c r="C2327" s="8"/>
      <c r="D2327" s="151"/>
      <c r="E2327" s="151"/>
      <c r="F2327" s="24"/>
      <c r="G2327" s="30"/>
      <c r="H2327" s="81"/>
      <c r="I2327" s="30"/>
      <c r="J2327" s="16"/>
      <c r="K2327" s="9"/>
      <c r="L2327" s="9"/>
      <c r="M2327" s="152"/>
      <c r="N2327" s="153"/>
      <c r="O2327" s="152"/>
      <c r="P2327" s="154"/>
      <c r="Q2327" s="152"/>
      <c r="R2327" s="9"/>
      <c r="Z2327" s="21"/>
      <c r="AA2327" s="162">
        <f>+$AD$5-Tabla2[[#This Row],[FECHA DE FACTURACIÓN]]</f>
        <v>45443</v>
      </c>
      <c r="AB2327" s="163" t="str">
        <f>+IF(Tabla2[[#This Row],[dias de credito]]&gt;=Tabla2[[#This Row],[PLAZO Días]],"venc", "No venc")</f>
        <v>venc</v>
      </c>
      <c r="AC2327" s="163" t="str">
        <f>+IF(Tabla2[[#This Row],[FECHA DE PAGO]]&gt;0,"pagada","por pagar")</f>
        <v>por pagar</v>
      </c>
      <c r="AD2327" s="164" t="str">
        <f>+IF(AND(Tabla2[[#This Row],[venc]]="venc",Tabla2[[#This Row],[estado pago]]="por pagar"),"vencida","no")</f>
        <v>vencida</v>
      </c>
    </row>
    <row r="2328" spans="1:30" ht="19.5" hidden="1" customHeight="1" x14ac:dyDescent="0.25">
      <c r="A2328" s="8"/>
      <c r="B2328" s="8"/>
      <c r="C2328" s="8"/>
      <c r="D2328" s="151"/>
      <c r="E2328" s="151"/>
      <c r="F2328" s="24"/>
      <c r="G2328" s="30"/>
      <c r="H2328" s="81"/>
      <c r="I2328" s="30"/>
      <c r="J2328" s="16"/>
      <c r="K2328" s="9"/>
      <c r="L2328" s="9"/>
      <c r="M2328" s="152"/>
      <c r="N2328" s="153"/>
      <c r="O2328" s="152"/>
      <c r="P2328" s="154"/>
      <c r="Q2328" s="152"/>
      <c r="R2328" s="9"/>
      <c r="Z2328" s="21"/>
      <c r="AA2328" s="162">
        <f>+$AD$5-Tabla2[[#This Row],[FECHA DE FACTURACIÓN]]</f>
        <v>45443</v>
      </c>
      <c r="AB2328" s="163" t="str">
        <f>+IF(Tabla2[[#This Row],[dias de credito]]&gt;=Tabla2[[#This Row],[PLAZO Días]],"venc", "No venc")</f>
        <v>venc</v>
      </c>
      <c r="AC2328" s="163" t="str">
        <f>+IF(Tabla2[[#This Row],[FECHA DE PAGO]]&gt;0,"pagada","por pagar")</f>
        <v>por pagar</v>
      </c>
      <c r="AD2328" s="164" t="str">
        <f>+IF(AND(Tabla2[[#This Row],[venc]]="venc",Tabla2[[#This Row],[estado pago]]="por pagar"),"vencida","no")</f>
        <v>vencida</v>
      </c>
    </row>
    <row r="2329" spans="1:30" ht="19.5" hidden="1" customHeight="1" x14ac:dyDescent="0.25">
      <c r="A2329" s="8"/>
      <c r="B2329" s="8"/>
      <c r="C2329" s="8"/>
      <c r="D2329" s="151"/>
      <c r="E2329" s="151"/>
      <c r="F2329" s="24"/>
      <c r="G2329" s="30"/>
      <c r="H2329" s="81"/>
      <c r="I2329" s="30"/>
      <c r="J2329" s="16"/>
      <c r="K2329" s="9"/>
      <c r="L2329" s="9"/>
      <c r="M2329" s="152"/>
      <c r="N2329" s="153"/>
      <c r="O2329" s="152"/>
      <c r="P2329" s="154"/>
      <c r="Q2329" s="152"/>
      <c r="R2329" s="9"/>
      <c r="Z2329" s="21"/>
      <c r="AA2329" s="162">
        <f>+$AD$5-Tabla2[[#This Row],[FECHA DE FACTURACIÓN]]</f>
        <v>45443</v>
      </c>
      <c r="AB2329" s="163" t="str">
        <f>+IF(Tabla2[[#This Row],[dias de credito]]&gt;=Tabla2[[#This Row],[PLAZO Días]],"venc", "No venc")</f>
        <v>venc</v>
      </c>
      <c r="AC2329" s="163" t="str">
        <f>+IF(Tabla2[[#This Row],[FECHA DE PAGO]]&gt;0,"pagada","por pagar")</f>
        <v>por pagar</v>
      </c>
      <c r="AD2329" s="164" t="str">
        <f>+IF(AND(Tabla2[[#This Row],[venc]]="venc",Tabla2[[#This Row],[estado pago]]="por pagar"),"vencida","no")</f>
        <v>vencida</v>
      </c>
    </row>
    <row r="2330" spans="1:30" ht="19.5" hidden="1" customHeight="1" x14ac:dyDescent="0.25">
      <c r="A2330" s="8"/>
      <c r="B2330" s="8"/>
      <c r="C2330" s="8"/>
      <c r="D2330" s="151"/>
      <c r="E2330" s="151"/>
      <c r="F2330" s="24"/>
      <c r="G2330" s="30"/>
      <c r="H2330" s="81"/>
      <c r="I2330" s="30"/>
      <c r="J2330" s="16"/>
      <c r="K2330" s="9"/>
      <c r="L2330" s="9"/>
      <c r="M2330" s="152"/>
      <c r="N2330" s="153"/>
      <c r="O2330" s="152"/>
      <c r="P2330" s="154"/>
      <c r="Q2330" s="152"/>
      <c r="R2330" s="9"/>
      <c r="Z2330" s="21"/>
      <c r="AA2330" s="162">
        <f>+$AD$5-Tabla2[[#This Row],[FECHA DE FACTURACIÓN]]</f>
        <v>45443</v>
      </c>
      <c r="AB2330" s="163" t="str">
        <f>+IF(Tabla2[[#This Row],[dias de credito]]&gt;=Tabla2[[#This Row],[PLAZO Días]],"venc", "No venc")</f>
        <v>venc</v>
      </c>
      <c r="AC2330" s="163" t="str">
        <f>+IF(Tabla2[[#This Row],[FECHA DE PAGO]]&gt;0,"pagada","por pagar")</f>
        <v>por pagar</v>
      </c>
      <c r="AD2330" s="164" t="str">
        <f>+IF(AND(Tabla2[[#This Row],[venc]]="venc",Tabla2[[#This Row],[estado pago]]="por pagar"),"vencida","no")</f>
        <v>vencida</v>
      </c>
    </row>
    <row r="2331" spans="1:30" ht="19.5" hidden="1" customHeight="1" x14ac:dyDescent="0.25">
      <c r="A2331" s="8"/>
      <c r="B2331" s="8"/>
      <c r="C2331" s="8"/>
      <c r="D2331" s="151"/>
      <c r="E2331" s="151"/>
      <c r="F2331" s="24"/>
      <c r="G2331" s="30"/>
      <c r="H2331" s="81"/>
      <c r="I2331" s="30"/>
      <c r="J2331" s="16"/>
      <c r="K2331" s="9"/>
      <c r="L2331" s="9"/>
      <c r="M2331" s="152"/>
      <c r="N2331" s="153"/>
      <c r="O2331" s="152"/>
      <c r="P2331" s="154"/>
      <c r="Q2331" s="152"/>
      <c r="R2331" s="9"/>
      <c r="Z2331" s="21"/>
      <c r="AA2331" s="162">
        <f>+$AD$5-Tabla2[[#This Row],[FECHA DE FACTURACIÓN]]</f>
        <v>45443</v>
      </c>
      <c r="AB2331" s="163" t="str">
        <f>+IF(Tabla2[[#This Row],[dias de credito]]&gt;=Tabla2[[#This Row],[PLAZO Días]],"venc", "No venc")</f>
        <v>venc</v>
      </c>
      <c r="AC2331" s="163" t="str">
        <f>+IF(Tabla2[[#This Row],[FECHA DE PAGO]]&gt;0,"pagada","por pagar")</f>
        <v>por pagar</v>
      </c>
      <c r="AD2331" s="164" t="str">
        <f>+IF(AND(Tabla2[[#This Row],[venc]]="venc",Tabla2[[#This Row],[estado pago]]="por pagar"),"vencida","no")</f>
        <v>vencida</v>
      </c>
    </row>
    <row r="2332" spans="1:30" ht="19.5" hidden="1" customHeight="1" x14ac:dyDescent="0.25">
      <c r="A2332" s="8"/>
      <c r="B2332" s="8"/>
      <c r="C2332" s="8"/>
      <c r="D2332" s="151"/>
      <c r="E2332" s="151"/>
      <c r="F2332" s="24"/>
      <c r="G2332" s="30"/>
      <c r="H2332" s="81"/>
      <c r="I2332" s="30"/>
      <c r="J2332" s="16"/>
      <c r="K2332" s="9"/>
      <c r="L2332" s="9"/>
      <c r="M2332" s="152"/>
      <c r="N2332" s="153"/>
      <c r="O2332" s="152"/>
      <c r="P2332" s="154"/>
      <c r="Q2332" s="152"/>
      <c r="R2332" s="9"/>
      <c r="Z2332" s="21"/>
      <c r="AA2332" s="162">
        <f>+$AD$5-Tabla2[[#This Row],[FECHA DE FACTURACIÓN]]</f>
        <v>45443</v>
      </c>
      <c r="AB2332" s="163" t="str">
        <f>+IF(Tabla2[[#This Row],[dias de credito]]&gt;=Tabla2[[#This Row],[PLAZO Días]],"venc", "No venc")</f>
        <v>venc</v>
      </c>
      <c r="AC2332" s="163" t="str">
        <f>+IF(Tabla2[[#This Row],[FECHA DE PAGO]]&gt;0,"pagada","por pagar")</f>
        <v>por pagar</v>
      </c>
      <c r="AD2332" s="164" t="str">
        <f>+IF(AND(Tabla2[[#This Row],[venc]]="venc",Tabla2[[#This Row],[estado pago]]="por pagar"),"vencida","no")</f>
        <v>vencida</v>
      </c>
    </row>
    <row r="2333" spans="1:30" ht="19.5" hidden="1" customHeight="1" x14ac:dyDescent="0.25">
      <c r="A2333" s="8"/>
      <c r="B2333" s="8"/>
      <c r="C2333" s="8"/>
      <c r="D2333" s="151"/>
      <c r="E2333" s="151"/>
      <c r="F2333" s="24"/>
      <c r="G2333" s="30"/>
      <c r="H2333" s="81"/>
      <c r="I2333" s="30"/>
      <c r="J2333" s="16"/>
      <c r="K2333" s="9"/>
      <c r="L2333" s="9"/>
      <c r="M2333" s="152"/>
      <c r="N2333" s="153"/>
      <c r="O2333" s="152"/>
      <c r="P2333" s="154"/>
      <c r="Q2333" s="152"/>
      <c r="R2333" s="9"/>
      <c r="Z2333" s="21"/>
      <c r="AA2333" s="162">
        <f>+$AD$5-Tabla2[[#This Row],[FECHA DE FACTURACIÓN]]</f>
        <v>45443</v>
      </c>
      <c r="AB2333" s="163" t="str">
        <f>+IF(Tabla2[[#This Row],[dias de credito]]&gt;=Tabla2[[#This Row],[PLAZO Días]],"venc", "No venc")</f>
        <v>venc</v>
      </c>
      <c r="AC2333" s="163" t="str">
        <f>+IF(Tabla2[[#This Row],[FECHA DE PAGO]]&gt;0,"pagada","por pagar")</f>
        <v>por pagar</v>
      </c>
      <c r="AD2333" s="164" t="str">
        <f>+IF(AND(Tabla2[[#This Row],[venc]]="venc",Tabla2[[#This Row],[estado pago]]="por pagar"),"vencida","no")</f>
        <v>vencida</v>
      </c>
    </row>
    <row r="2334" spans="1:30" ht="19.5" hidden="1" customHeight="1" x14ac:dyDescent="0.25">
      <c r="A2334" s="8"/>
      <c r="B2334" s="8"/>
      <c r="C2334" s="8"/>
      <c r="D2334" s="151"/>
      <c r="E2334" s="151"/>
      <c r="F2334" s="24"/>
      <c r="G2334" s="30"/>
      <c r="H2334" s="81"/>
      <c r="I2334" s="30"/>
      <c r="J2334" s="16"/>
      <c r="K2334" s="9"/>
      <c r="L2334" s="9"/>
      <c r="M2334" s="152"/>
      <c r="N2334" s="153"/>
      <c r="O2334" s="152"/>
      <c r="P2334" s="154"/>
      <c r="Q2334" s="152"/>
      <c r="R2334" s="9"/>
      <c r="Z2334" s="21"/>
      <c r="AA2334" s="162">
        <f>+$AD$5-Tabla2[[#This Row],[FECHA DE FACTURACIÓN]]</f>
        <v>45443</v>
      </c>
      <c r="AB2334" s="163" t="str">
        <f>+IF(Tabla2[[#This Row],[dias de credito]]&gt;=Tabla2[[#This Row],[PLAZO Días]],"venc", "No venc")</f>
        <v>venc</v>
      </c>
      <c r="AC2334" s="163" t="str">
        <f>+IF(Tabla2[[#This Row],[FECHA DE PAGO]]&gt;0,"pagada","por pagar")</f>
        <v>por pagar</v>
      </c>
      <c r="AD2334" s="164" t="str">
        <f>+IF(AND(Tabla2[[#This Row],[venc]]="venc",Tabla2[[#This Row],[estado pago]]="por pagar"),"vencida","no")</f>
        <v>vencida</v>
      </c>
    </row>
    <row r="2335" spans="1:30" ht="19.5" hidden="1" customHeight="1" x14ac:dyDescent="0.25">
      <c r="A2335" s="8"/>
      <c r="B2335" s="8"/>
      <c r="C2335" s="8"/>
      <c r="D2335" s="151"/>
      <c r="E2335" s="151"/>
      <c r="F2335" s="24"/>
      <c r="G2335" s="30"/>
      <c r="H2335" s="81"/>
      <c r="I2335" s="30"/>
      <c r="J2335" s="16"/>
      <c r="K2335" s="9"/>
      <c r="L2335" s="9"/>
      <c r="M2335" s="152"/>
      <c r="N2335" s="153"/>
      <c r="O2335" s="152"/>
      <c r="P2335" s="154"/>
      <c r="Q2335" s="152"/>
      <c r="R2335" s="9"/>
      <c r="Z2335" s="21"/>
      <c r="AA2335" s="162">
        <f>+$AD$5-Tabla2[[#This Row],[FECHA DE FACTURACIÓN]]</f>
        <v>45443</v>
      </c>
      <c r="AB2335" s="163" t="str">
        <f>+IF(Tabla2[[#This Row],[dias de credito]]&gt;=Tabla2[[#This Row],[PLAZO Días]],"venc", "No venc")</f>
        <v>venc</v>
      </c>
      <c r="AC2335" s="163" t="str">
        <f>+IF(Tabla2[[#This Row],[FECHA DE PAGO]]&gt;0,"pagada","por pagar")</f>
        <v>por pagar</v>
      </c>
      <c r="AD2335" s="164" t="str">
        <f>+IF(AND(Tabla2[[#This Row],[venc]]="venc",Tabla2[[#This Row],[estado pago]]="por pagar"),"vencida","no")</f>
        <v>vencida</v>
      </c>
    </row>
    <row r="2336" spans="1:30" ht="19.5" hidden="1" customHeight="1" x14ac:dyDescent="0.25">
      <c r="A2336" s="8"/>
      <c r="B2336" s="8"/>
      <c r="C2336" s="8"/>
      <c r="D2336" s="151"/>
      <c r="E2336" s="151"/>
      <c r="F2336" s="24"/>
      <c r="G2336" s="30"/>
      <c r="H2336" s="81"/>
      <c r="I2336" s="30"/>
      <c r="J2336" s="16"/>
      <c r="K2336" s="9"/>
      <c r="L2336" s="9"/>
      <c r="M2336" s="152"/>
      <c r="N2336" s="153"/>
      <c r="O2336" s="152"/>
      <c r="P2336" s="154"/>
      <c r="Q2336" s="152"/>
      <c r="R2336" s="9"/>
      <c r="Z2336" s="21"/>
      <c r="AA2336" s="162">
        <f>+$AD$5-Tabla2[[#This Row],[FECHA DE FACTURACIÓN]]</f>
        <v>45443</v>
      </c>
      <c r="AB2336" s="163" t="str">
        <f>+IF(Tabla2[[#This Row],[dias de credito]]&gt;=Tabla2[[#This Row],[PLAZO Días]],"venc", "No venc")</f>
        <v>venc</v>
      </c>
      <c r="AC2336" s="163" t="str">
        <f>+IF(Tabla2[[#This Row],[FECHA DE PAGO]]&gt;0,"pagada","por pagar")</f>
        <v>por pagar</v>
      </c>
      <c r="AD2336" s="164" t="str">
        <f>+IF(AND(Tabla2[[#This Row],[venc]]="venc",Tabla2[[#This Row],[estado pago]]="por pagar"),"vencida","no")</f>
        <v>vencida</v>
      </c>
    </row>
    <row r="2337" spans="1:30" ht="19.5" hidden="1" customHeight="1" x14ac:dyDescent="0.25">
      <c r="A2337" s="8"/>
      <c r="B2337" s="8"/>
      <c r="C2337" s="8"/>
      <c r="D2337" s="151"/>
      <c r="E2337" s="151"/>
      <c r="F2337" s="24"/>
      <c r="G2337" s="30"/>
      <c r="H2337" s="81"/>
      <c r="I2337" s="30"/>
      <c r="J2337" s="16"/>
      <c r="K2337" s="9"/>
      <c r="L2337" s="9"/>
      <c r="M2337" s="152"/>
      <c r="N2337" s="153"/>
      <c r="O2337" s="152"/>
      <c r="P2337" s="154"/>
      <c r="Q2337" s="152"/>
      <c r="R2337" s="9"/>
      <c r="Z2337" s="21"/>
      <c r="AA2337" s="162">
        <f>+$AD$5-Tabla2[[#This Row],[FECHA DE FACTURACIÓN]]</f>
        <v>45443</v>
      </c>
      <c r="AB2337" s="163" t="str">
        <f>+IF(Tabla2[[#This Row],[dias de credito]]&gt;=Tabla2[[#This Row],[PLAZO Días]],"venc", "No venc")</f>
        <v>venc</v>
      </c>
      <c r="AC2337" s="163" t="str">
        <f>+IF(Tabla2[[#This Row],[FECHA DE PAGO]]&gt;0,"pagada","por pagar")</f>
        <v>por pagar</v>
      </c>
      <c r="AD2337" s="164" t="str">
        <f>+IF(AND(Tabla2[[#This Row],[venc]]="venc",Tabla2[[#This Row],[estado pago]]="por pagar"),"vencida","no")</f>
        <v>vencida</v>
      </c>
    </row>
    <row r="2338" spans="1:30" ht="19.5" hidden="1" customHeight="1" x14ac:dyDescent="0.25">
      <c r="A2338" s="8"/>
      <c r="B2338" s="8"/>
      <c r="C2338" s="8"/>
      <c r="D2338" s="151"/>
      <c r="E2338" s="151"/>
      <c r="F2338" s="24"/>
      <c r="G2338" s="30"/>
      <c r="H2338" s="81"/>
      <c r="I2338" s="30"/>
      <c r="J2338" s="16"/>
      <c r="K2338" s="9"/>
      <c r="L2338" s="9"/>
      <c r="M2338" s="152"/>
      <c r="N2338" s="153"/>
      <c r="O2338" s="152"/>
      <c r="P2338" s="154"/>
      <c r="Q2338" s="152"/>
      <c r="R2338" s="9"/>
      <c r="Z2338" s="21"/>
      <c r="AA2338" s="162">
        <f>+$AD$5-Tabla2[[#This Row],[FECHA DE FACTURACIÓN]]</f>
        <v>45443</v>
      </c>
      <c r="AB2338" s="163" t="str">
        <f>+IF(Tabla2[[#This Row],[dias de credito]]&gt;=Tabla2[[#This Row],[PLAZO Días]],"venc", "No venc")</f>
        <v>venc</v>
      </c>
      <c r="AC2338" s="163" t="str">
        <f>+IF(Tabla2[[#This Row],[FECHA DE PAGO]]&gt;0,"pagada","por pagar")</f>
        <v>por pagar</v>
      </c>
      <c r="AD2338" s="164" t="str">
        <f>+IF(AND(Tabla2[[#This Row],[venc]]="venc",Tabla2[[#This Row],[estado pago]]="por pagar"),"vencida","no")</f>
        <v>vencida</v>
      </c>
    </row>
    <row r="2339" spans="1:30" ht="19.5" hidden="1" customHeight="1" x14ac:dyDescent="0.25">
      <c r="A2339" s="8"/>
      <c r="B2339" s="8"/>
      <c r="C2339" s="8"/>
      <c r="D2339" s="151"/>
      <c r="E2339" s="151"/>
      <c r="F2339" s="24"/>
      <c r="G2339" s="30"/>
      <c r="H2339" s="81"/>
      <c r="I2339" s="30"/>
      <c r="J2339" s="16"/>
      <c r="K2339" s="9"/>
      <c r="L2339" s="9"/>
      <c r="M2339" s="152"/>
      <c r="N2339" s="153"/>
      <c r="O2339" s="152"/>
      <c r="P2339" s="154"/>
      <c r="Q2339" s="152"/>
      <c r="R2339" s="9"/>
      <c r="Z2339" s="21"/>
      <c r="AA2339" s="162">
        <f>+$AD$5-Tabla2[[#This Row],[FECHA DE FACTURACIÓN]]</f>
        <v>45443</v>
      </c>
      <c r="AB2339" s="163" t="str">
        <f>+IF(Tabla2[[#This Row],[dias de credito]]&gt;=Tabla2[[#This Row],[PLAZO Días]],"venc", "No venc")</f>
        <v>venc</v>
      </c>
      <c r="AC2339" s="163" t="str">
        <f>+IF(Tabla2[[#This Row],[FECHA DE PAGO]]&gt;0,"pagada","por pagar")</f>
        <v>por pagar</v>
      </c>
      <c r="AD2339" s="164" t="str">
        <f>+IF(AND(Tabla2[[#This Row],[venc]]="venc",Tabla2[[#This Row],[estado pago]]="por pagar"),"vencida","no")</f>
        <v>vencida</v>
      </c>
    </row>
    <row r="2340" spans="1:30" ht="19.5" hidden="1" customHeight="1" x14ac:dyDescent="0.25">
      <c r="A2340" s="8"/>
      <c r="B2340" s="8"/>
      <c r="C2340" s="8"/>
      <c r="D2340" s="151"/>
      <c r="E2340" s="151"/>
      <c r="F2340" s="24"/>
      <c r="G2340" s="30"/>
      <c r="H2340" s="81"/>
      <c r="I2340" s="30"/>
      <c r="J2340" s="16"/>
      <c r="K2340" s="9"/>
      <c r="L2340" s="9"/>
      <c r="M2340" s="152"/>
      <c r="N2340" s="153"/>
      <c r="O2340" s="152"/>
      <c r="P2340" s="154"/>
      <c r="Q2340" s="152"/>
      <c r="R2340" s="9"/>
      <c r="Z2340" s="21"/>
      <c r="AA2340" s="162">
        <f>+$AD$5-Tabla2[[#This Row],[FECHA DE FACTURACIÓN]]</f>
        <v>45443</v>
      </c>
      <c r="AB2340" s="163" t="str">
        <f>+IF(Tabla2[[#This Row],[dias de credito]]&gt;=Tabla2[[#This Row],[PLAZO Días]],"venc", "No venc")</f>
        <v>venc</v>
      </c>
      <c r="AC2340" s="163" t="str">
        <f>+IF(Tabla2[[#This Row],[FECHA DE PAGO]]&gt;0,"pagada","por pagar")</f>
        <v>por pagar</v>
      </c>
      <c r="AD2340" s="164" t="str">
        <f>+IF(AND(Tabla2[[#This Row],[venc]]="venc",Tabla2[[#This Row],[estado pago]]="por pagar"),"vencida","no")</f>
        <v>vencida</v>
      </c>
    </row>
    <row r="2341" spans="1:30" ht="19.5" hidden="1" customHeight="1" x14ac:dyDescent="0.25">
      <c r="A2341" s="8"/>
      <c r="B2341" s="8"/>
      <c r="C2341" s="8"/>
      <c r="D2341" s="151"/>
      <c r="E2341" s="151"/>
      <c r="F2341" s="24"/>
      <c r="G2341" s="30"/>
      <c r="H2341" s="81"/>
      <c r="I2341" s="30"/>
      <c r="J2341" s="16"/>
      <c r="K2341" s="9"/>
      <c r="L2341" s="9"/>
      <c r="M2341" s="152"/>
      <c r="N2341" s="153"/>
      <c r="O2341" s="152"/>
      <c r="P2341" s="154"/>
      <c r="Q2341" s="152"/>
      <c r="R2341" s="9"/>
      <c r="Z2341" s="21"/>
      <c r="AA2341" s="162">
        <f>+$AD$5-Tabla2[[#This Row],[FECHA DE FACTURACIÓN]]</f>
        <v>45443</v>
      </c>
      <c r="AB2341" s="163" t="str">
        <f>+IF(Tabla2[[#This Row],[dias de credito]]&gt;=Tabla2[[#This Row],[PLAZO Días]],"venc", "No venc")</f>
        <v>venc</v>
      </c>
      <c r="AC2341" s="163" t="str">
        <f>+IF(Tabla2[[#This Row],[FECHA DE PAGO]]&gt;0,"pagada","por pagar")</f>
        <v>por pagar</v>
      </c>
      <c r="AD2341" s="164" t="str">
        <f>+IF(AND(Tabla2[[#This Row],[venc]]="venc",Tabla2[[#This Row],[estado pago]]="por pagar"),"vencida","no")</f>
        <v>vencida</v>
      </c>
    </row>
    <row r="2342" spans="1:30" ht="19.5" hidden="1" customHeight="1" x14ac:dyDescent="0.25">
      <c r="A2342" s="8"/>
      <c r="B2342" s="8"/>
      <c r="C2342" s="8"/>
      <c r="D2342" s="151"/>
      <c r="E2342" s="151"/>
      <c r="F2342" s="24"/>
      <c r="G2342" s="30"/>
      <c r="H2342" s="81"/>
      <c r="I2342" s="30"/>
      <c r="J2342" s="16"/>
      <c r="K2342" s="9"/>
      <c r="L2342" s="9"/>
      <c r="M2342" s="152"/>
      <c r="N2342" s="153"/>
      <c r="O2342" s="152"/>
      <c r="P2342" s="154"/>
      <c r="Q2342" s="152"/>
      <c r="R2342" s="9"/>
      <c r="Z2342" s="21"/>
      <c r="AA2342" s="162">
        <f>+$AD$5-Tabla2[[#This Row],[FECHA DE FACTURACIÓN]]</f>
        <v>45443</v>
      </c>
      <c r="AB2342" s="163" t="str">
        <f>+IF(Tabla2[[#This Row],[dias de credito]]&gt;=Tabla2[[#This Row],[PLAZO Días]],"venc", "No venc")</f>
        <v>venc</v>
      </c>
      <c r="AC2342" s="163" t="str">
        <f>+IF(Tabla2[[#This Row],[FECHA DE PAGO]]&gt;0,"pagada","por pagar")</f>
        <v>por pagar</v>
      </c>
      <c r="AD2342" s="164" t="str">
        <f>+IF(AND(Tabla2[[#This Row],[venc]]="venc",Tabla2[[#This Row],[estado pago]]="por pagar"),"vencida","no")</f>
        <v>vencida</v>
      </c>
    </row>
    <row r="2343" spans="1:30" ht="19.5" hidden="1" customHeight="1" x14ac:dyDescent="0.25">
      <c r="A2343" s="8"/>
      <c r="B2343" s="8"/>
      <c r="C2343" s="8"/>
      <c r="D2343" s="151"/>
      <c r="E2343" s="151"/>
      <c r="F2343" s="24"/>
      <c r="G2343" s="30"/>
      <c r="H2343" s="81"/>
      <c r="I2343" s="30"/>
      <c r="J2343" s="16"/>
      <c r="K2343" s="9"/>
      <c r="L2343" s="9"/>
      <c r="M2343" s="152"/>
      <c r="N2343" s="153"/>
      <c r="O2343" s="152"/>
      <c r="P2343" s="154"/>
      <c r="Q2343" s="152"/>
      <c r="R2343" s="9"/>
      <c r="Z2343" s="21"/>
      <c r="AA2343" s="162">
        <f>+$AD$5-Tabla2[[#This Row],[FECHA DE FACTURACIÓN]]</f>
        <v>45443</v>
      </c>
      <c r="AB2343" s="163" t="str">
        <f>+IF(Tabla2[[#This Row],[dias de credito]]&gt;=Tabla2[[#This Row],[PLAZO Días]],"venc", "No venc")</f>
        <v>venc</v>
      </c>
      <c r="AC2343" s="163" t="str">
        <f>+IF(Tabla2[[#This Row],[FECHA DE PAGO]]&gt;0,"pagada","por pagar")</f>
        <v>por pagar</v>
      </c>
      <c r="AD2343" s="164" t="str">
        <f>+IF(AND(Tabla2[[#This Row],[venc]]="venc",Tabla2[[#This Row],[estado pago]]="por pagar"),"vencida","no")</f>
        <v>vencida</v>
      </c>
    </row>
    <row r="2344" spans="1:30" ht="19.5" hidden="1" customHeight="1" x14ac:dyDescent="0.25">
      <c r="A2344" s="8"/>
      <c r="B2344" s="8"/>
      <c r="C2344" s="8"/>
      <c r="D2344" s="151"/>
      <c r="E2344" s="151"/>
      <c r="F2344" s="24"/>
      <c r="G2344" s="30"/>
      <c r="H2344" s="81"/>
      <c r="I2344" s="30"/>
      <c r="J2344" s="16"/>
      <c r="K2344" s="9"/>
      <c r="L2344" s="9"/>
      <c r="M2344" s="152"/>
      <c r="N2344" s="153"/>
      <c r="O2344" s="152"/>
      <c r="P2344" s="154"/>
      <c r="Q2344" s="152"/>
      <c r="R2344" s="9"/>
      <c r="Z2344" s="21"/>
      <c r="AA2344" s="162">
        <f>+$AD$5-Tabla2[[#This Row],[FECHA DE FACTURACIÓN]]</f>
        <v>45443</v>
      </c>
      <c r="AB2344" s="163" t="str">
        <f>+IF(Tabla2[[#This Row],[dias de credito]]&gt;=Tabla2[[#This Row],[PLAZO Días]],"venc", "No venc")</f>
        <v>venc</v>
      </c>
      <c r="AC2344" s="163" t="str">
        <f>+IF(Tabla2[[#This Row],[FECHA DE PAGO]]&gt;0,"pagada","por pagar")</f>
        <v>por pagar</v>
      </c>
      <c r="AD2344" s="164" t="str">
        <f>+IF(AND(Tabla2[[#This Row],[venc]]="venc",Tabla2[[#This Row],[estado pago]]="por pagar"),"vencida","no")</f>
        <v>vencida</v>
      </c>
    </row>
    <row r="2345" spans="1:30" ht="19.5" hidden="1" customHeight="1" x14ac:dyDescent="0.25">
      <c r="A2345" s="8"/>
      <c r="B2345" s="8"/>
      <c r="C2345" s="8"/>
      <c r="D2345" s="151"/>
      <c r="E2345" s="151"/>
      <c r="F2345" s="24"/>
      <c r="G2345" s="30"/>
      <c r="H2345" s="81"/>
      <c r="I2345" s="30"/>
      <c r="J2345" s="16"/>
      <c r="K2345" s="9"/>
      <c r="L2345" s="9"/>
      <c r="M2345" s="152"/>
      <c r="N2345" s="153"/>
      <c r="O2345" s="152"/>
      <c r="P2345" s="154"/>
      <c r="Q2345" s="152"/>
      <c r="R2345" s="9"/>
      <c r="Z2345" s="21"/>
      <c r="AA2345" s="162">
        <f>+$AD$5-Tabla2[[#This Row],[FECHA DE FACTURACIÓN]]</f>
        <v>45443</v>
      </c>
      <c r="AB2345" s="163" t="str">
        <f>+IF(Tabla2[[#This Row],[dias de credito]]&gt;=Tabla2[[#This Row],[PLAZO Días]],"venc", "No venc")</f>
        <v>venc</v>
      </c>
      <c r="AC2345" s="163" t="str">
        <f>+IF(Tabla2[[#This Row],[FECHA DE PAGO]]&gt;0,"pagada","por pagar")</f>
        <v>por pagar</v>
      </c>
      <c r="AD2345" s="164" t="str">
        <f>+IF(AND(Tabla2[[#This Row],[venc]]="venc",Tabla2[[#This Row],[estado pago]]="por pagar"),"vencida","no")</f>
        <v>vencida</v>
      </c>
    </row>
    <row r="2346" spans="1:30" ht="19.5" hidden="1" customHeight="1" x14ac:dyDescent="0.25">
      <c r="A2346" s="8"/>
      <c r="B2346" s="8"/>
      <c r="C2346" s="8"/>
      <c r="D2346" s="151"/>
      <c r="E2346" s="151"/>
      <c r="F2346" s="24"/>
      <c r="G2346" s="30"/>
      <c r="H2346" s="81"/>
      <c r="I2346" s="30"/>
      <c r="J2346" s="16"/>
      <c r="K2346" s="9"/>
      <c r="L2346" s="9"/>
      <c r="M2346" s="152"/>
      <c r="N2346" s="153"/>
      <c r="O2346" s="152"/>
      <c r="P2346" s="154"/>
      <c r="Q2346" s="152"/>
      <c r="R2346" s="9"/>
      <c r="Z2346" s="21"/>
      <c r="AA2346" s="162">
        <f>+$AD$5-Tabla2[[#This Row],[FECHA DE FACTURACIÓN]]</f>
        <v>45443</v>
      </c>
      <c r="AB2346" s="163" t="str">
        <f>+IF(Tabla2[[#This Row],[dias de credito]]&gt;=Tabla2[[#This Row],[PLAZO Días]],"venc", "No venc")</f>
        <v>venc</v>
      </c>
      <c r="AC2346" s="163" t="str">
        <f>+IF(Tabla2[[#This Row],[FECHA DE PAGO]]&gt;0,"pagada","por pagar")</f>
        <v>por pagar</v>
      </c>
      <c r="AD2346" s="164" t="str">
        <f>+IF(AND(Tabla2[[#This Row],[venc]]="venc",Tabla2[[#This Row],[estado pago]]="por pagar"),"vencida","no")</f>
        <v>vencida</v>
      </c>
    </row>
    <row r="2347" spans="1:30" ht="19.5" hidden="1" customHeight="1" x14ac:dyDescent="0.25">
      <c r="A2347" s="8"/>
      <c r="B2347" s="8"/>
      <c r="C2347" s="8"/>
      <c r="D2347" s="151"/>
      <c r="E2347" s="151"/>
      <c r="F2347" s="24"/>
      <c r="G2347" s="30"/>
      <c r="H2347" s="81"/>
      <c r="I2347" s="30"/>
      <c r="J2347" s="16"/>
      <c r="K2347" s="9"/>
      <c r="L2347" s="9"/>
      <c r="M2347" s="152"/>
      <c r="N2347" s="153"/>
      <c r="O2347" s="152"/>
      <c r="P2347" s="154"/>
      <c r="Q2347" s="152"/>
      <c r="R2347" s="9"/>
      <c r="Z2347" s="21"/>
      <c r="AA2347" s="162">
        <f>+$AD$5-Tabla2[[#This Row],[FECHA DE FACTURACIÓN]]</f>
        <v>45443</v>
      </c>
      <c r="AB2347" s="163" t="str">
        <f>+IF(Tabla2[[#This Row],[dias de credito]]&gt;=Tabla2[[#This Row],[PLAZO Días]],"venc", "No venc")</f>
        <v>venc</v>
      </c>
      <c r="AC2347" s="163" t="str">
        <f>+IF(Tabla2[[#This Row],[FECHA DE PAGO]]&gt;0,"pagada","por pagar")</f>
        <v>por pagar</v>
      </c>
      <c r="AD2347" s="164" t="str">
        <f>+IF(AND(Tabla2[[#This Row],[venc]]="venc",Tabla2[[#This Row],[estado pago]]="por pagar"),"vencida","no")</f>
        <v>vencida</v>
      </c>
    </row>
    <row r="2348" spans="1:30" ht="19.5" hidden="1" customHeight="1" x14ac:dyDescent="0.25">
      <c r="A2348" s="8"/>
      <c r="B2348" s="8"/>
      <c r="C2348" s="8"/>
      <c r="D2348" s="151"/>
      <c r="E2348" s="151"/>
      <c r="F2348" s="24"/>
      <c r="G2348" s="30"/>
      <c r="H2348" s="81"/>
      <c r="I2348" s="30"/>
      <c r="J2348" s="16"/>
      <c r="K2348" s="9"/>
      <c r="L2348" s="9"/>
      <c r="M2348" s="152"/>
      <c r="N2348" s="153"/>
      <c r="O2348" s="152"/>
      <c r="P2348" s="154"/>
      <c r="Q2348" s="152"/>
      <c r="R2348" s="9"/>
      <c r="Z2348" s="21"/>
      <c r="AA2348" s="162">
        <f>+$AD$5-Tabla2[[#This Row],[FECHA DE FACTURACIÓN]]</f>
        <v>45443</v>
      </c>
      <c r="AB2348" s="163" t="str">
        <f>+IF(Tabla2[[#This Row],[dias de credito]]&gt;=Tabla2[[#This Row],[PLAZO Días]],"venc", "No venc")</f>
        <v>venc</v>
      </c>
      <c r="AC2348" s="163" t="str">
        <f>+IF(Tabla2[[#This Row],[FECHA DE PAGO]]&gt;0,"pagada","por pagar")</f>
        <v>por pagar</v>
      </c>
      <c r="AD2348" s="164" t="str">
        <f>+IF(AND(Tabla2[[#This Row],[venc]]="venc",Tabla2[[#This Row],[estado pago]]="por pagar"),"vencida","no")</f>
        <v>vencida</v>
      </c>
    </row>
    <row r="2349" spans="1:30" ht="19.5" hidden="1" customHeight="1" x14ac:dyDescent="0.25">
      <c r="A2349" s="8"/>
      <c r="B2349" s="8"/>
      <c r="C2349" s="8"/>
      <c r="D2349" s="151"/>
      <c r="E2349" s="151"/>
      <c r="F2349" s="24"/>
      <c r="G2349" s="30"/>
      <c r="H2349" s="81"/>
      <c r="I2349" s="30"/>
      <c r="J2349" s="16"/>
      <c r="K2349" s="9"/>
      <c r="L2349" s="9"/>
      <c r="M2349" s="152"/>
      <c r="N2349" s="153"/>
      <c r="O2349" s="152"/>
      <c r="P2349" s="154"/>
      <c r="Q2349" s="152"/>
      <c r="R2349" s="9"/>
      <c r="Z2349" s="21"/>
      <c r="AA2349" s="162">
        <f>+$AD$5-Tabla2[[#This Row],[FECHA DE FACTURACIÓN]]</f>
        <v>45443</v>
      </c>
      <c r="AB2349" s="163" t="str">
        <f>+IF(Tabla2[[#This Row],[dias de credito]]&gt;=Tabla2[[#This Row],[PLAZO Días]],"venc", "No venc")</f>
        <v>venc</v>
      </c>
      <c r="AC2349" s="163" t="str">
        <f>+IF(Tabla2[[#This Row],[FECHA DE PAGO]]&gt;0,"pagada","por pagar")</f>
        <v>por pagar</v>
      </c>
      <c r="AD2349" s="164" t="str">
        <f>+IF(AND(Tabla2[[#This Row],[venc]]="venc",Tabla2[[#This Row],[estado pago]]="por pagar"),"vencida","no")</f>
        <v>vencida</v>
      </c>
    </row>
    <row r="2350" spans="1:30" ht="19.5" hidden="1" customHeight="1" x14ac:dyDescent="0.25">
      <c r="A2350" s="8"/>
      <c r="B2350" s="8"/>
      <c r="C2350" s="8"/>
      <c r="D2350" s="151"/>
      <c r="E2350" s="151"/>
      <c r="F2350" s="24"/>
      <c r="G2350" s="30"/>
      <c r="H2350" s="81"/>
      <c r="I2350" s="30"/>
      <c r="J2350" s="16"/>
      <c r="K2350" s="9"/>
      <c r="L2350" s="9"/>
      <c r="M2350" s="152"/>
      <c r="N2350" s="153"/>
      <c r="O2350" s="152"/>
      <c r="P2350" s="154"/>
      <c r="Q2350" s="152"/>
      <c r="R2350" s="9"/>
      <c r="Z2350" s="21"/>
      <c r="AA2350" s="162">
        <f>+$AD$5-Tabla2[[#This Row],[FECHA DE FACTURACIÓN]]</f>
        <v>45443</v>
      </c>
      <c r="AB2350" s="163" t="str">
        <f>+IF(Tabla2[[#This Row],[dias de credito]]&gt;=Tabla2[[#This Row],[PLAZO Días]],"venc", "No venc")</f>
        <v>venc</v>
      </c>
      <c r="AC2350" s="163" t="str">
        <f>+IF(Tabla2[[#This Row],[FECHA DE PAGO]]&gt;0,"pagada","por pagar")</f>
        <v>por pagar</v>
      </c>
      <c r="AD2350" s="164" t="str">
        <f>+IF(AND(Tabla2[[#This Row],[venc]]="venc",Tabla2[[#This Row],[estado pago]]="por pagar"),"vencida","no")</f>
        <v>vencida</v>
      </c>
    </row>
    <row r="2351" spans="1:30" ht="19.5" hidden="1" customHeight="1" x14ac:dyDescent="0.25">
      <c r="A2351" s="8"/>
      <c r="B2351" s="8"/>
      <c r="C2351" s="8"/>
      <c r="D2351" s="151"/>
      <c r="E2351" s="151"/>
      <c r="F2351" s="24"/>
      <c r="G2351" s="30"/>
      <c r="H2351" s="81"/>
      <c r="I2351" s="30"/>
      <c r="J2351" s="16"/>
      <c r="K2351" s="9"/>
      <c r="L2351" s="9"/>
      <c r="M2351" s="152"/>
      <c r="N2351" s="153"/>
      <c r="O2351" s="152"/>
      <c r="P2351" s="154"/>
      <c r="Q2351" s="152"/>
      <c r="R2351" s="9"/>
      <c r="Z2351" s="21"/>
      <c r="AA2351" s="162">
        <f>+$AD$5-Tabla2[[#This Row],[FECHA DE FACTURACIÓN]]</f>
        <v>45443</v>
      </c>
      <c r="AB2351" s="163" t="str">
        <f>+IF(Tabla2[[#This Row],[dias de credito]]&gt;=Tabla2[[#This Row],[PLAZO Días]],"venc", "No venc")</f>
        <v>venc</v>
      </c>
      <c r="AC2351" s="163" t="str">
        <f>+IF(Tabla2[[#This Row],[FECHA DE PAGO]]&gt;0,"pagada","por pagar")</f>
        <v>por pagar</v>
      </c>
      <c r="AD2351" s="164" t="str">
        <f>+IF(AND(Tabla2[[#This Row],[venc]]="venc",Tabla2[[#This Row],[estado pago]]="por pagar"),"vencida","no")</f>
        <v>vencida</v>
      </c>
    </row>
    <row r="2352" spans="1:30" ht="19.5" hidden="1" customHeight="1" x14ac:dyDescent="0.25">
      <c r="A2352" s="8"/>
      <c r="B2352" s="8"/>
      <c r="C2352" s="8"/>
      <c r="D2352" s="151"/>
      <c r="E2352" s="151"/>
      <c r="F2352" s="24"/>
      <c r="G2352" s="30"/>
      <c r="H2352" s="81"/>
      <c r="I2352" s="30"/>
      <c r="J2352" s="16"/>
      <c r="K2352" s="9"/>
      <c r="L2352" s="9"/>
      <c r="M2352" s="152"/>
      <c r="N2352" s="153"/>
      <c r="O2352" s="152"/>
      <c r="P2352" s="154"/>
      <c r="Q2352" s="152"/>
      <c r="R2352" s="9"/>
      <c r="Z2352" s="21"/>
      <c r="AA2352" s="162">
        <f>+$AD$5-Tabla2[[#This Row],[FECHA DE FACTURACIÓN]]</f>
        <v>45443</v>
      </c>
      <c r="AB2352" s="163" t="str">
        <f>+IF(Tabla2[[#This Row],[dias de credito]]&gt;=Tabla2[[#This Row],[PLAZO Días]],"venc", "No venc")</f>
        <v>venc</v>
      </c>
      <c r="AC2352" s="163" t="str">
        <f>+IF(Tabla2[[#This Row],[FECHA DE PAGO]]&gt;0,"pagada","por pagar")</f>
        <v>por pagar</v>
      </c>
      <c r="AD2352" s="164" t="str">
        <f>+IF(AND(Tabla2[[#This Row],[venc]]="venc",Tabla2[[#This Row],[estado pago]]="por pagar"),"vencida","no")</f>
        <v>vencida</v>
      </c>
    </row>
    <row r="2353" spans="1:30" ht="19.5" hidden="1" customHeight="1" x14ac:dyDescent="0.25">
      <c r="A2353" s="8"/>
      <c r="B2353" s="8"/>
      <c r="C2353" s="8"/>
      <c r="D2353" s="151"/>
      <c r="E2353" s="151"/>
      <c r="F2353" s="24"/>
      <c r="G2353" s="30"/>
      <c r="H2353" s="81"/>
      <c r="I2353" s="30"/>
      <c r="J2353" s="16"/>
      <c r="K2353" s="9"/>
      <c r="L2353" s="9"/>
      <c r="M2353" s="152"/>
      <c r="N2353" s="153"/>
      <c r="O2353" s="152"/>
      <c r="P2353" s="154"/>
      <c r="Q2353" s="152"/>
      <c r="R2353" s="9"/>
      <c r="Z2353" s="21"/>
      <c r="AA2353" s="162">
        <f>+$AD$5-Tabla2[[#This Row],[FECHA DE FACTURACIÓN]]</f>
        <v>45443</v>
      </c>
      <c r="AB2353" s="163" t="str">
        <f>+IF(Tabla2[[#This Row],[dias de credito]]&gt;=Tabla2[[#This Row],[PLAZO Días]],"venc", "No venc")</f>
        <v>venc</v>
      </c>
      <c r="AC2353" s="163" t="str">
        <f>+IF(Tabla2[[#This Row],[FECHA DE PAGO]]&gt;0,"pagada","por pagar")</f>
        <v>por pagar</v>
      </c>
      <c r="AD2353" s="164" t="str">
        <f>+IF(AND(Tabla2[[#This Row],[venc]]="venc",Tabla2[[#This Row],[estado pago]]="por pagar"),"vencida","no")</f>
        <v>vencida</v>
      </c>
    </row>
    <row r="2354" spans="1:30" ht="19.5" hidden="1" customHeight="1" x14ac:dyDescent="0.25">
      <c r="A2354" s="8"/>
      <c r="B2354" s="8"/>
      <c r="C2354" s="8"/>
      <c r="D2354" s="151"/>
      <c r="E2354" s="151"/>
      <c r="F2354" s="24"/>
      <c r="G2354" s="30"/>
      <c r="H2354" s="81"/>
      <c r="I2354" s="30"/>
      <c r="J2354" s="16"/>
      <c r="K2354" s="9"/>
      <c r="L2354" s="9"/>
      <c r="M2354" s="152"/>
      <c r="N2354" s="153"/>
      <c r="O2354" s="152"/>
      <c r="P2354" s="154"/>
      <c r="Q2354" s="152"/>
      <c r="R2354" s="9"/>
      <c r="Z2354" s="21"/>
      <c r="AA2354" s="162">
        <f>+$AD$5-Tabla2[[#This Row],[FECHA DE FACTURACIÓN]]</f>
        <v>45443</v>
      </c>
      <c r="AB2354" s="163" t="str">
        <f>+IF(Tabla2[[#This Row],[dias de credito]]&gt;=Tabla2[[#This Row],[PLAZO Días]],"venc", "No venc")</f>
        <v>venc</v>
      </c>
      <c r="AC2354" s="163" t="str">
        <f>+IF(Tabla2[[#This Row],[FECHA DE PAGO]]&gt;0,"pagada","por pagar")</f>
        <v>por pagar</v>
      </c>
      <c r="AD2354" s="164" t="str">
        <f>+IF(AND(Tabla2[[#This Row],[venc]]="venc",Tabla2[[#This Row],[estado pago]]="por pagar"),"vencida","no")</f>
        <v>vencida</v>
      </c>
    </row>
    <row r="2355" spans="1:30" ht="19.5" hidden="1" customHeight="1" x14ac:dyDescent="0.25">
      <c r="A2355" s="8"/>
      <c r="B2355" s="8"/>
      <c r="C2355" s="8"/>
      <c r="D2355" s="151"/>
      <c r="E2355" s="151"/>
      <c r="F2355" s="24"/>
      <c r="G2355" s="30"/>
      <c r="H2355" s="81"/>
      <c r="I2355" s="30"/>
      <c r="J2355" s="16"/>
      <c r="K2355" s="9"/>
      <c r="L2355" s="9"/>
      <c r="M2355" s="152"/>
      <c r="N2355" s="153"/>
      <c r="O2355" s="152"/>
      <c r="P2355" s="154"/>
      <c r="Q2355" s="152"/>
      <c r="R2355" s="9"/>
      <c r="Z2355" s="21"/>
      <c r="AA2355" s="162">
        <f>+$AD$5-Tabla2[[#This Row],[FECHA DE FACTURACIÓN]]</f>
        <v>45443</v>
      </c>
      <c r="AB2355" s="163" t="str">
        <f>+IF(Tabla2[[#This Row],[dias de credito]]&gt;=Tabla2[[#This Row],[PLAZO Días]],"venc", "No venc")</f>
        <v>venc</v>
      </c>
      <c r="AC2355" s="163" t="str">
        <f>+IF(Tabla2[[#This Row],[FECHA DE PAGO]]&gt;0,"pagada","por pagar")</f>
        <v>por pagar</v>
      </c>
      <c r="AD2355" s="164" t="str">
        <f>+IF(AND(Tabla2[[#This Row],[venc]]="venc",Tabla2[[#This Row],[estado pago]]="por pagar"),"vencida","no")</f>
        <v>vencida</v>
      </c>
    </row>
    <row r="2356" spans="1:30" ht="19.5" hidden="1" customHeight="1" x14ac:dyDescent="0.25">
      <c r="A2356" s="8"/>
      <c r="B2356" s="8"/>
      <c r="C2356" s="8"/>
      <c r="D2356" s="151"/>
      <c r="E2356" s="151"/>
      <c r="F2356" s="24"/>
      <c r="G2356" s="30"/>
      <c r="H2356" s="81"/>
      <c r="I2356" s="30"/>
      <c r="J2356" s="16"/>
      <c r="K2356" s="9"/>
      <c r="L2356" s="9"/>
      <c r="M2356" s="152"/>
      <c r="N2356" s="153"/>
      <c r="O2356" s="152"/>
      <c r="P2356" s="154"/>
      <c r="Q2356" s="152"/>
      <c r="R2356" s="9"/>
      <c r="Z2356" s="21"/>
      <c r="AA2356" s="162">
        <f>+$AD$5-Tabla2[[#This Row],[FECHA DE FACTURACIÓN]]</f>
        <v>45443</v>
      </c>
      <c r="AB2356" s="163" t="str">
        <f>+IF(Tabla2[[#This Row],[dias de credito]]&gt;=Tabla2[[#This Row],[PLAZO Días]],"venc", "No venc")</f>
        <v>venc</v>
      </c>
      <c r="AC2356" s="163" t="str">
        <f>+IF(Tabla2[[#This Row],[FECHA DE PAGO]]&gt;0,"pagada","por pagar")</f>
        <v>por pagar</v>
      </c>
      <c r="AD2356" s="164" t="str">
        <f>+IF(AND(Tabla2[[#This Row],[venc]]="venc",Tabla2[[#This Row],[estado pago]]="por pagar"),"vencida","no")</f>
        <v>vencida</v>
      </c>
    </row>
    <row r="2357" spans="1:30" ht="19.5" hidden="1" customHeight="1" x14ac:dyDescent="0.25">
      <c r="A2357" s="8"/>
      <c r="B2357" s="8"/>
      <c r="C2357" s="8"/>
      <c r="D2357" s="151"/>
      <c r="E2357" s="151"/>
      <c r="F2357" s="24"/>
      <c r="G2357" s="30"/>
      <c r="H2357" s="81"/>
      <c r="I2357" s="30"/>
      <c r="J2357" s="16"/>
      <c r="K2357" s="9"/>
      <c r="L2357" s="9"/>
      <c r="M2357" s="152"/>
      <c r="N2357" s="153"/>
      <c r="O2357" s="152"/>
      <c r="P2357" s="154"/>
      <c r="Q2357" s="152"/>
      <c r="R2357" s="9"/>
      <c r="Z2357" s="21"/>
      <c r="AA2357" s="162">
        <f>+$AD$5-Tabla2[[#This Row],[FECHA DE FACTURACIÓN]]</f>
        <v>45443</v>
      </c>
      <c r="AB2357" s="163" t="str">
        <f>+IF(Tabla2[[#This Row],[dias de credito]]&gt;=Tabla2[[#This Row],[PLAZO Días]],"venc", "No venc")</f>
        <v>venc</v>
      </c>
      <c r="AC2357" s="163" t="str">
        <f>+IF(Tabla2[[#This Row],[FECHA DE PAGO]]&gt;0,"pagada","por pagar")</f>
        <v>por pagar</v>
      </c>
      <c r="AD2357" s="164" t="str">
        <f>+IF(AND(Tabla2[[#This Row],[venc]]="venc",Tabla2[[#This Row],[estado pago]]="por pagar"),"vencida","no")</f>
        <v>vencida</v>
      </c>
    </row>
    <row r="2358" spans="1:30" ht="19.5" hidden="1" customHeight="1" x14ac:dyDescent="0.25">
      <c r="A2358" s="8"/>
      <c r="B2358" s="8"/>
      <c r="C2358" s="8"/>
      <c r="D2358" s="151"/>
      <c r="E2358" s="151"/>
      <c r="F2358" s="24"/>
      <c r="G2358" s="30"/>
      <c r="H2358" s="81"/>
      <c r="I2358" s="30"/>
      <c r="J2358" s="16"/>
      <c r="K2358" s="9"/>
      <c r="L2358" s="9"/>
      <c r="M2358" s="152"/>
      <c r="N2358" s="153"/>
      <c r="O2358" s="152"/>
      <c r="P2358" s="154"/>
      <c r="Q2358" s="152"/>
      <c r="R2358" s="9"/>
      <c r="Z2358" s="21"/>
      <c r="AA2358" s="162">
        <f>+$AD$5-Tabla2[[#This Row],[FECHA DE FACTURACIÓN]]</f>
        <v>45443</v>
      </c>
      <c r="AB2358" s="163" t="str">
        <f>+IF(Tabla2[[#This Row],[dias de credito]]&gt;=Tabla2[[#This Row],[PLAZO Días]],"venc", "No venc")</f>
        <v>venc</v>
      </c>
      <c r="AC2358" s="163" t="str">
        <f>+IF(Tabla2[[#This Row],[FECHA DE PAGO]]&gt;0,"pagada","por pagar")</f>
        <v>por pagar</v>
      </c>
      <c r="AD2358" s="164" t="str">
        <f>+IF(AND(Tabla2[[#This Row],[venc]]="venc",Tabla2[[#This Row],[estado pago]]="por pagar"),"vencida","no")</f>
        <v>vencida</v>
      </c>
    </row>
    <row r="2359" spans="1:30" ht="19.5" hidden="1" customHeight="1" x14ac:dyDescent="0.25">
      <c r="A2359" s="8"/>
      <c r="B2359" s="8"/>
      <c r="C2359" s="8"/>
      <c r="D2359" s="151"/>
      <c r="E2359" s="151"/>
      <c r="F2359" s="24"/>
      <c r="G2359" s="30"/>
      <c r="H2359" s="81"/>
      <c r="I2359" s="30"/>
      <c r="J2359" s="16"/>
      <c r="K2359" s="9"/>
      <c r="L2359" s="9"/>
      <c r="M2359" s="152"/>
      <c r="N2359" s="153"/>
      <c r="O2359" s="152"/>
      <c r="P2359" s="154"/>
      <c r="Q2359" s="152"/>
      <c r="R2359" s="9"/>
      <c r="Z2359" s="21"/>
      <c r="AA2359" s="162">
        <f>+$AD$5-Tabla2[[#This Row],[FECHA DE FACTURACIÓN]]</f>
        <v>45443</v>
      </c>
      <c r="AB2359" s="163" t="str">
        <f>+IF(Tabla2[[#This Row],[dias de credito]]&gt;=Tabla2[[#This Row],[PLAZO Días]],"venc", "No venc")</f>
        <v>venc</v>
      </c>
      <c r="AC2359" s="163" t="str">
        <f>+IF(Tabla2[[#This Row],[FECHA DE PAGO]]&gt;0,"pagada","por pagar")</f>
        <v>por pagar</v>
      </c>
      <c r="AD2359" s="164" t="str">
        <f>+IF(AND(Tabla2[[#This Row],[venc]]="venc",Tabla2[[#This Row],[estado pago]]="por pagar"),"vencida","no")</f>
        <v>vencida</v>
      </c>
    </row>
    <row r="2360" spans="1:30" ht="19.5" hidden="1" customHeight="1" x14ac:dyDescent="0.25">
      <c r="A2360" s="8"/>
      <c r="B2360" s="8"/>
      <c r="C2360" s="8"/>
      <c r="D2360" s="151"/>
      <c r="E2360" s="151"/>
      <c r="F2360" s="24"/>
      <c r="G2360" s="30"/>
      <c r="H2360" s="81"/>
      <c r="I2360" s="30"/>
      <c r="J2360" s="16"/>
      <c r="K2360" s="9"/>
      <c r="L2360" s="9"/>
      <c r="M2360" s="152"/>
      <c r="N2360" s="153"/>
      <c r="O2360" s="152"/>
      <c r="P2360" s="154"/>
      <c r="Q2360" s="152"/>
      <c r="R2360" s="9"/>
      <c r="Z2360" s="21"/>
      <c r="AA2360" s="162">
        <f>+$AD$5-Tabla2[[#This Row],[FECHA DE FACTURACIÓN]]</f>
        <v>45443</v>
      </c>
      <c r="AB2360" s="163" t="str">
        <f>+IF(Tabla2[[#This Row],[dias de credito]]&gt;=Tabla2[[#This Row],[PLAZO Días]],"venc", "No venc")</f>
        <v>venc</v>
      </c>
      <c r="AC2360" s="163" t="str">
        <f>+IF(Tabla2[[#This Row],[FECHA DE PAGO]]&gt;0,"pagada","por pagar")</f>
        <v>por pagar</v>
      </c>
      <c r="AD2360" s="164" t="str">
        <f>+IF(AND(Tabla2[[#This Row],[venc]]="venc",Tabla2[[#This Row],[estado pago]]="por pagar"),"vencida","no")</f>
        <v>vencida</v>
      </c>
    </row>
    <row r="2361" spans="1:30" ht="19.5" hidden="1" customHeight="1" x14ac:dyDescent="0.25">
      <c r="A2361" s="8"/>
      <c r="B2361" s="8"/>
      <c r="C2361" s="8"/>
      <c r="D2361" s="151"/>
      <c r="E2361" s="151"/>
      <c r="F2361" s="24"/>
      <c r="G2361" s="30"/>
      <c r="H2361" s="81"/>
      <c r="I2361" s="30"/>
      <c r="J2361" s="16"/>
      <c r="K2361" s="9"/>
      <c r="L2361" s="9"/>
      <c r="M2361" s="152"/>
      <c r="N2361" s="153"/>
      <c r="O2361" s="152"/>
      <c r="P2361" s="154"/>
      <c r="Q2361" s="152"/>
      <c r="R2361" s="9"/>
      <c r="Z2361" s="21"/>
      <c r="AA2361" s="162">
        <f>+$AD$5-Tabla2[[#This Row],[FECHA DE FACTURACIÓN]]</f>
        <v>45443</v>
      </c>
      <c r="AB2361" s="163" t="str">
        <f>+IF(Tabla2[[#This Row],[dias de credito]]&gt;=Tabla2[[#This Row],[PLAZO Días]],"venc", "No venc")</f>
        <v>venc</v>
      </c>
      <c r="AC2361" s="163" t="str">
        <f>+IF(Tabla2[[#This Row],[FECHA DE PAGO]]&gt;0,"pagada","por pagar")</f>
        <v>por pagar</v>
      </c>
      <c r="AD2361" s="164" t="str">
        <f>+IF(AND(Tabla2[[#This Row],[venc]]="venc",Tabla2[[#This Row],[estado pago]]="por pagar"),"vencida","no")</f>
        <v>vencida</v>
      </c>
    </row>
    <row r="2362" spans="1:30" ht="19.5" hidden="1" customHeight="1" x14ac:dyDescent="0.25">
      <c r="A2362" s="8"/>
      <c r="B2362" s="8"/>
      <c r="C2362" s="8"/>
      <c r="D2362" s="151"/>
      <c r="E2362" s="151"/>
      <c r="F2362" s="24"/>
      <c r="G2362" s="30"/>
      <c r="H2362" s="81"/>
      <c r="I2362" s="30"/>
      <c r="J2362" s="16"/>
      <c r="K2362" s="9"/>
      <c r="L2362" s="9"/>
      <c r="M2362" s="152"/>
      <c r="N2362" s="153"/>
      <c r="O2362" s="152"/>
      <c r="P2362" s="154"/>
      <c r="Q2362" s="152"/>
      <c r="R2362" s="9"/>
      <c r="Z2362" s="21"/>
      <c r="AA2362" s="162">
        <f>+$AD$5-Tabla2[[#This Row],[FECHA DE FACTURACIÓN]]</f>
        <v>45443</v>
      </c>
      <c r="AB2362" s="163" t="str">
        <f>+IF(Tabla2[[#This Row],[dias de credito]]&gt;=Tabla2[[#This Row],[PLAZO Días]],"venc", "No venc")</f>
        <v>venc</v>
      </c>
      <c r="AC2362" s="163" t="str">
        <f>+IF(Tabla2[[#This Row],[FECHA DE PAGO]]&gt;0,"pagada","por pagar")</f>
        <v>por pagar</v>
      </c>
      <c r="AD2362" s="164" t="str">
        <f>+IF(AND(Tabla2[[#This Row],[venc]]="venc",Tabla2[[#This Row],[estado pago]]="por pagar"),"vencida","no")</f>
        <v>vencida</v>
      </c>
    </row>
    <row r="2363" spans="1:30" ht="19.5" hidden="1" customHeight="1" x14ac:dyDescent="0.25">
      <c r="A2363" s="8"/>
      <c r="B2363" s="8"/>
      <c r="C2363" s="8"/>
      <c r="D2363" s="151"/>
      <c r="E2363" s="151"/>
      <c r="F2363" s="24"/>
      <c r="G2363" s="30"/>
      <c r="H2363" s="81"/>
      <c r="I2363" s="30"/>
      <c r="J2363" s="16"/>
      <c r="K2363" s="9"/>
      <c r="L2363" s="9"/>
      <c r="M2363" s="152"/>
      <c r="N2363" s="153"/>
      <c r="O2363" s="152"/>
      <c r="P2363" s="154"/>
      <c r="Q2363" s="152"/>
      <c r="R2363" s="9"/>
      <c r="Z2363" s="21"/>
      <c r="AA2363" s="162">
        <f>+$AD$5-Tabla2[[#This Row],[FECHA DE FACTURACIÓN]]</f>
        <v>45443</v>
      </c>
      <c r="AB2363" s="163" t="str">
        <f>+IF(Tabla2[[#This Row],[dias de credito]]&gt;=Tabla2[[#This Row],[PLAZO Días]],"venc", "No venc")</f>
        <v>venc</v>
      </c>
      <c r="AC2363" s="163" t="str">
        <f>+IF(Tabla2[[#This Row],[FECHA DE PAGO]]&gt;0,"pagada","por pagar")</f>
        <v>por pagar</v>
      </c>
      <c r="AD2363" s="164" t="str">
        <f>+IF(AND(Tabla2[[#This Row],[venc]]="venc",Tabla2[[#This Row],[estado pago]]="por pagar"),"vencida","no")</f>
        <v>vencida</v>
      </c>
    </row>
    <row r="2364" spans="1:30" ht="19.5" hidden="1" customHeight="1" x14ac:dyDescent="0.25">
      <c r="A2364" s="8"/>
      <c r="B2364" s="8"/>
      <c r="C2364" s="8"/>
      <c r="D2364" s="151"/>
      <c r="E2364" s="151"/>
      <c r="F2364" s="24"/>
      <c r="G2364" s="30"/>
      <c r="H2364" s="81"/>
      <c r="I2364" s="30"/>
      <c r="J2364" s="16"/>
      <c r="K2364" s="9"/>
      <c r="L2364" s="9"/>
      <c r="M2364" s="152"/>
      <c r="N2364" s="153"/>
      <c r="O2364" s="152"/>
      <c r="P2364" s="154"/>
      <c r="Q2364" s="152"/>
      <c r="R2364" s="9"/>
      <c r="Z2364" s="21"/>
      <c r="AA2364" s="162">
        <f>+$AD$5-Tabla2[[#This Row],[FECHA DE FACTURACIÓN]]</f>
        <v>45443</v>
      </c>
      <c r="AB2364" s="163" t="str">
        <f>+IF(Tabla2[[#This Row],[dias de credito]]&gt;=Tabla2[[#This Row],[PLAZO Días]],"venc", "No venc")</f>
        <v>venc</v>
      </c>
      <c r="AC2364" s="163" t="str">
        <f>+IF(Tabla2[[#This Row],[FECHA DE PAGO]]&gt;0,"pagada","por pagar")</f>
        <v>por pagar</v>
      </c>
      <c r="AD2364" s="164" t="str">
        <f>+IF(AND(Tabla2[[#This Row],[venc]]="venc",Tabla2[[#This Row],[estado pago]]="por pagar"),"vencida","no")</f>
        <v>vencida</v>
      </c>
    </row>
    <row r="2365" spans="1:30" ht="19.5" hidden="1" customHeight="1" x14ac:dyDescent="0.25">
      <c r="A2365" s="8"/>
      <c r="B2365" s="8"/>
      <c r="C2365" s="8"/>
      <c r="D2365" s="151"/>
      <c r="E2365" s="151"/>
      <c r="F2365" s="24"/>
      <c r="G2365" s="30"/>
      <c r="H2365" s="81"/>
      <c r="I2365" s="30"/>
      <c r="J2365" s="16"/>
      <c r="K2365" s="9"/>
      <c r="L2365" s="9"/>
      <c r="M2365" s="152"/>
      <c r="N2365" s="153"/>
      <c r="O2365" s="152"/>
      <c r="P2365" s="154"/>
      <c r="Q2365" s="152"/>
      <c r="R2365" s="9"/>
      <c r="Z2365" s="21"/>
      <c r="AA2365" s="162">
        <f>+$AD$5-Tabla2[[#This Row],[FECHA DE FACTURACIÓN]]</f>
        <v>45443</v>
      </c>
      <c r="AB2365" s="163" t="str">
        <f>+IF(Tabla2[[#This Row],[dias de credito]]&gt;=Tabla2[[#This Row],[PLAZO Días]],"venc", "No venc")</f>
        <v>venc</v>
      </c>
      <c r="AC2365" s="163" t="str">
        <f>+IF(Tabla2[[#This Row],[FECHA DE PAGO]]&gt;0,"pagada","por pagar")</f>
        <v>por pagar</v>
      </c>
      <c r="AD2365" s="164" t="str">
        <f>+IF(AND(Tabla2[[#This Row],[venc]]="venc",Tabla2[[#This Row],[estado pago]]="por pagar"),"vencida","no")</f>
        <v>vencida</v>
      </c>
    </row>
    <row r="2366" spans="1:30" ht="19.5" hidden="1" customHeight="1" x14ac:dyDescent="0.25">
      <c r="A2366" s="8"/>
      <c r="B2366" s="8"/>
      <c r="C2366" s="8"/>
      <c r="D2366" s="151"/>
      <c r="E2366" s="151"/>
      <c r="F2366" s="24"/>
      <c r="G2366" s="30"/>
      <c r="H2366" s="81"/>
      <c r="I2366" s="30"/>
      <c r="J2366" s="16"/>
      <c r="K2366" s="9"/>
      <c r="L2366" s="9"/>
      <c r="M2366" s="152"/>
      <c r="N2366" s="153"/>
      <c r="O2366" s="152"/>
      <c r="P2366" s="154"/>
      <c r="Q2366" s="152"/>
      <c r="R2366" s="9"/>
      <c r="Z2366" s="21"/>
      <c r="AA2366" s="162">
        <f>+$AD$5-Tabla2[[#This Row],[FECHA DE FACTURACIÓN]]</f>
        <v>45443</v>
      </c>
      <c r="AB2366" s="163" t="str">
        <f>+IF(Tabla2[[#This Row],[dias de credito]]&gt;=Tabla2[[#This Row],[PLAZO Días]],"venc", "No venc")</f>
        <v>venc</v>
      </c>
      <c r="AC2366" s="163" t="str">
        <f>+IF(Tabla2[[#This Row],[FECHA DE PAGO]]&gt;0,"pagada","por pagar")</f>
        <v>por pagar</v>
      </c>
      <c r="AD2366" s="164" t="str">
        <f>+IF(AND(Tabla2[[#This Row],[venc]]="venc",Tabla2[[#This Row],[estado pago]]="por pagar"),"vencida","no")</f>
        <v>vencida</v>
      </c>
    </row>
    <row r="2367" spans="1:30" ht="19.5" hidden="1" customHeight="1" x14ac:dyDescent="0.25">
      <c r="A2367" s="8"/>
      <c r="B2367" s="8"/>
      <c r="C2367" s="8"/>
      <c r="D2367" s="151"/>
      <c r="E2367" s="151"/>
      <c r="F2367" s="24"/>
      <c r="G2367" s="30"/>
      <c r="H2367" s="81"/>
      <c r="I2367" s="30"/>
      <c r="J2367" s="16"/>
      <c r="K2367" s="9"/>
      <c r="L2367" s="9"/>
      <c r="M2367" s="152"/>
      <c r="N2367" s="153"/>
      <c r="O2367" s="152"/>
      <c r="P2367" s="154"/>
      <c r="Q2367" s="152"/>
      <c r="R2367" s="9"/>
      <c r="Z2367" s="21"/>
      <c r="AA2367" s="162">
        <f>+$AD$5-Tabla2[[#This Row],[FECHA DE FACTURACIÓN]]</f>
        <v>45443</v>
      </c>
      <c r="AB2367" s="163" t="str">
        <f>+IF(Tabla2[[#This Row],[dias de credito]]&gt;=Tabla2[[#This Row],[PLAZO Días]],"venc", "No venc")</f>
        <v>venc</v>
      </c>
      <c r="AC2367" s="163" t="str">
        <f>+IF(Tabla2[[#This Row],[FECHA DE PAGO]]&gt;0,"pagada","por pagar")</f>
        <v>por pagar</v>
      </c>
      <c r="AD2367" s="164" t="str">
        <f>+IF(AND(Tabla2[[#This Row],[venc]]="venc",Tabla2[[#This Row],[estado pago]]="por pagar"),"vencida","no")</f>
        <v>vencida</v>
      </c>
    </row>
    <row r="2368" spans="1:30" ht="19.5" hidden="1" customHeight="1" x14ac:dyDescent="0.25">
      <c r="A2368" s="8"/>
      <c r="B2368" s="8"/>
      <c r="C2368" s="8"/>
      <c r="D2368" s="151"/>
      <c r="E2368" s="151"/>
      <c r="F2368" s="24"/>
      <c r="G2368" s="30"/>
      <c r="H2368" s="81"/>
      <c r="I2368" s="30"/>
      <c r="J2368" s="16"/>
      <c r="K2368" s="9"/>
      <c r="L2368" s="9"/>
      <c r="M2368" s="152"/>
      <c r="N2368" s="153"/>
      <c r="O2368" s="152"/>
      <c r="P2368" s="154"/>
      <c r="Q2368" s="152"/>
      <c r="R2368" s="9"/>
      <c r="Z2368" s="21"/>
      <c r="AA2368" s="162">
        <f>+$AD$5-Tabla2[[#This Row],[FECHA DE FACTURACIÓN]]</f>
        <v>45443</v>
      </c>
      <c r="AB2368" s="163" t="str">
        <f>+IF(Tabla2[[#This Row],[dias de credito]]&gt;=Tabla2[[#This Row],[PLAZO Días]],"venc", "No venc")</f>
        <v>venc</v>
      </c>
      <c r="AC2368" s="163" t="str">
        <f>+IF(Tabla2[[#This Row],[FECHA DE PAGO]]&gt;0,"pagada","por pagar")</f>
        <v>por pagar</v>
      </c>
      <c r="AD2368" s="164" t="str">
        <f>+IF(AND(Tabla2[[#This Row],[venc]]="venc",Tabla2[[#This Row],[estado pago]]="por pagar"),"vencida","no")</f>
        <v>vencida</v>
      </c>
    </row>
    <row r="2369" spans="1:30" ht="19.5" hidden="1" customHeight="1" x14ac:dyDescent="0.25">
      <c r="A2369" s="8"/>
      <c r="B2369" s="8"/>
      <c r="C2369" s="8"/>
      <c r="D2369" s="151"/>
      <c r="E2369" s="151"/>
      <c r="F2369" s="24"/>
      <c r="G2369" s="30"/>
      <c r="H2369" s="81"/>
      <c r="I2369" s="30"/>
      <c r="J2369" s="16"/>
      <c r="K2369" s="9"/>
      <c r="L2369" s="9"/>
      <c r="M2369" s="152"/>
      <c r="N2369" s="153"/>
      <c r="O2369" s="152"/>
      <c r="P2369" s="154"/>
      <c r="Q2369" s="152"/>
      <c r="R2369" s="9"/>
      <c r="Z2369" s="21"/>
      <c r="AA2369" s="162">
        <f>+$AD$5-Tabla2[[#This Row],[FECHA DE FACTURACIÓN]]</f>
        <v>45443</v>
      </c>
      <c r="AB2369" s="163" t="str">
        <f>+IF(Tabla2[[#This Row],[dias de credito]]&gt;=Tabla2[[#This Row],[PLAZO Días]],"venc", "No venc")</f>
        <v>venc</v>
      </c>
      <c r="AC2369" s="163" t="str">
        <f>+IF(Tabla2[[#This Row],[FECHA DE PAGO]]&gt;0,"pagada","por pagar")</f>
        <v>por pagar</v>
      </c>
      <c r="AD2369" s="164" t="str">
        <f>+IF(AND(Tabla2[[#This Row],[venc]]="venc",Tabla2[[#This Row],[estado pago]]="por pagar"),"vencida","no")</f>
        <v>vencida</v>
      </c>
    </row>
    <row r="2370" spans="1:30" ht="19.5" hidden="1" customHeight="1" x14ac:dyDescent="0.25">
      <c r="A2370" s="8"/>
      <c r="B2370" s="8"/>
      <c r="C2370" s="8"/>
      <c r="D2370" s="151"/>
      <c r="E2370" s="151"/>
      <c r="F2370" s="24"/>
      <c r="G2370" s="30"/>
      <c r="H2370" s="81"/>
      <c r="I2370" s="30"/>
      <c r="J2370" s="16"/>
      <c r="K2370" s="9"/>
      <c r="L2370" s="9"/>
      <c r="M2370" s="152"/>
      <c r="N2370" s="153"/>
      <c r="O2370" s="152"/>
      <c r="P2370" s="154"/>
      <c r="Q2370" s="152"/>
      <c r="R2370" s="9"/>
      <c r="Z2370" s="21"/>
      <c r="AA2370" s="162">
        <f>+$AD$5-Tabla2[[#This Row],[FECHA DE FACTURACIÓN]]</f>
        <v>45443</v>
      </c>
      <c r="AB2370" s="163" t="str">
        <f>+IF(Tabla2[[#This Row],[dias de credito]]&gt;=Tabla2[[#This Row],[PLAZO Días]],"venc", "No venc")</f>
        <v>venc</v>
      </c>
      <c r="AC2370" s="163" t="str">
        <f>+IF(Tabla2[[#This Row],[FECHA DE PAGO]]&gt;0,"pagada","por pagar")</f>
        <v>por pagar</v>
      </c>
      <c r="AD2370" s="164" t="str">
        <f>+IF(AND(Tabla2[[#This Row],[venc]]="venc",Tabla2[[#This Row],[estado pago]]="por pagar"),"vencida","no")</f>
        <v>vencida</v>
      </c>
    </row>
    <row r="2371" spans="1:30" ht="19.5" hidden="1" customHeight="1" x14ac:dyDescent="0.25">
      <c r="A2371" s="8"/>
      <c r="B2371" s="8"/>
      <c r="C2371" s="8"/>
      <c r="D2371" s="151"/>
      <c r="E2371" s="151"/>
      <c r="F2371" s="24"/>
      <c r="G2371" s="30"/>
      <c r="H2371" s="81"/>
      <c r="I2371" s="30"/>
      <c r="J2371" s="16"/>
      <c r="K2371" s="9"/>
      <c r="L2371" s="9"/>
      <c r="M2371" s="152"/>
      <c r="N2371" s="153"/>
      <c r="O2371" s="152"/>
      <c r="P2371" s="154"/>
      <c r="Q2371" s="152"/>
      <c r="R2371" s="9"/>
      <c r="Z2371" s="21"/>
      <c r="AA2371" s="162">
        <f>+$AD$5-Tabla2[[#This Row],[FECHA DE FACTURACIÓN]]</f>
        <v>45443</v>
      </c>
      <c r="AB2371" s="163" t="str">
        <f>+IF(Tabla2[[#This Row],[dias de credito]]&gt;=Tabla2[[#This Row],[PLAZO Días]],"venc", "No venc")</f>
        <v>venc</v>
      </c>
      <c r="AC2371" s="163" t="str">
        <f>+IF(Tabla2[[#This Row],[FECHA DE PAGO]]&gt;0,"pagada","por pagar")</f>
        <v>por pagar</v>
      </c>
      <c r="AD2371" s="164" t="str">
        <f>+IF(AND(Tabla2[[#This Row],[venc]]="venc",Tabla2[[#This Row],[estado pago]]="por pagar"),"vencida","no")</f>
        <v>vencida</v>
      </c>
    </row>
    <row r="2372" spans="1:30" ht="19.5" hidden="1" customHeight="1" x14ac:dyDescent="0.25">
      <c r="A2372" s="8"/>
      <c r="B2372" s="8"/>
      <c r="C2372" s="8"/>
      <c r="D2372" s="151"/>
      <c r="E2372" s="151"/>
      <c r="F2372" s="24"/>
      <c r="G2372" s="30"/>
      <c r="H2372" s="81"/>
      <c r="I2372" s="30"/>
      <c r="J2372" s="16"/>
      <c r="K2372" s="9"/>
      <c r="L2372" s="9"/>
      <c r="M2372" s="152"/>
      <c r="N2372" s="153"/>
      <c r="O2372" s="152"/>
      <c r="P2372" s="154"/>
      <c r="Q2372" s="152"/>
      <c r="R2372" s="9"/>
      <c r="Z2372" s="21"/>
      <c r="AA2372" s="162">
        <f>+$AD$5-Tabla2[[#This Row],[FECHA DE FACTURACIÓN]]</f>
        <v>45443</v>
      </c>
      <c r="AB2372" s="163" t="str">
        <f>+IF(Tabla2[[#This Row],[dias de credito]]&gt;=Tabla2[[#This Row],[PLAZO Días]],"venc", "No venc")</f>
        <v>venc</v>
      </c>
      <c r="AC2372" s="163" t="str">
        <f>+IF(Tabla2[[#This Row],[FECHA DE PAGO]]&gt;0,"pagada","por pagar")</f>
        <v>por pagar</v>
      </c>
      <c r="AD2372" s="164" t="str">
        <f>+IF(AND(Tabla2[[#This Row],[venc]]="venc",Tabla2[[#This Row],[estado pago]]="por pagar"),"vencida","no")</f>
        <v>vencida</v>
      </c>
    </row>
    <row r="2373" spans="1:30" ht="19.5" hidden="1" customHeight="1" x14ac:dyDescent="0.25">
      <c r="A2373" s="8"/>
      <c r="B2373" s="8"/>
      <c r="C2373" s="8"/>
      <c r="D2373" s="151"/>
      <c r="E2373" s="151"/>
      <c r="F2373" s="24"/>
      <c r="G2373" s="30"/>
      <c r="H2373" s="81"/>
      <c r="I2373" s="30"/>
      <c r="J2373" s="16"/>
      <c r="K2373" s="9"/>
      <c r="L2373" s="9"/>
      <c r="M2373" s="152"/>
      <c r="N2373" s="153"/>
      <c r="O2373" s="152"/>
      <c r="P2373" s="154"/>
      <c r="Q2373" s="152"/>
      <c r="R2373" s="9"/>
      <c r="Z2373" s="21"/>
      <c r="AA2373" s="162">
        <f>+$AD$5-Tabla2[[#This Row],[FECHA DE FACTURACIÓN]]</f>
        <v>45443</v>
      </c>
      <c r="AB2373" s="163" t="str">
        <f>+IF(Tabla2[[#This Row],[dias de credito]]&gt;=Tabla2[[#This Row],[PLAZO Días]],"venc", "No venc")</f>
        <v>venc</v>
      </c>
      <c r="AC2373" s="163" t="str">
        <f>+IF(Tabla2[[#This Row],[FECHA DE PAGO]]&gt;0,"pagada","por pagar")</f>
        <v>por pagar</v>
      </c>
      <c r="AD2373" s="164" t="str">
        <f>+IF(AND(Tabla2[[#This Row],[venc]]="venc",Tabla2[[#This Row],[estado pago]]="por pagar"),"vencida","no")</f>
        <v>vencida</v>
      </c>
    </row>
    <row r="2374" spans="1:30" ht="19.5" hidden="1" customHeight="1" x14ac:dyDescent="0.25">
      <c r="A2374" s="8"/>
      <c r="B2374" s="8"/>
      <c r="C2374" s="8"/>
      <c r="D2374" s="151"/>
      <c r="E2374" s="151"/>
      <c r="F2374" s="24"/>
      <c r="G2374" s="30"/>
      <c r="H2374" s="81"/>
      <c r="I2374" s="30"/>
      <c r="J2374" s="16"/>
      <c r="K2374" s="9"/>
      <c r="L2374" s="9"/>
      <c r="M2374" s="152"/>
      <c r="N2374" s="153"/>
      <c r="O2374" s="152"/>
      <c r="P2374" s="154"/>
      <c r="Q2374" s="152"/>
      <c r="R2374" s="9"/>
      <c r="Z2374" s="21"/>
      <c r="AA2374" s="162">
        <f>+$AD$5-Tabla2[[#This Row],[FECHA DE FACTURACIÓN]]</f>
        <v>45443</v>
      </c>
      <c r="AB2374" s="163" t="str">
        <f>+IF(Tabla2[[#This Row],[dias de credito]]&gt;=Tabla2[[#This Row],[PLAZO Días]],"venc", "No venc")</f>
        <v>venc</v>
      </c>
      <c r="AC2374" s="163" t="str">
        <f>+IF(Tabla2[[#This Row],[FECHA DE PAGO]]&gt;0,"pagada","por pagar")</f>
        <v>por pagar</v>
      </c>
      <c r="AD2374" s="164" t="str">
        <f>+IF(AND(Tabla2[[#This Row],[venc]]="venc",Tabla2[[#This Row],[estado pago]]="por pagar"),"vencida","no")</f>
        <v>vencida</v>
      </c>
    </row>
    <row r="2375" spans="1:30" ht="19.5" hidden="1" customHeight="1" x14ac:dyDescent="0.25">
      <c r="A2375" s="8"/>
      <c r="B2375" s="8"/>
      <c r="C2375" s="8"/>
      <c r="D2375" s="151"/>
      <c r="E2375" s="151"/>
      <c r="F2375" s="24"/>
      <c r="G2375" s="30"/>
      <c r="H2375" s="81"/>
      <c r="I2375" s="30"/>
      <c r="J2375" s="16"/>
      <c r="K2375" s="9"/>
      <c r="L2375" s="9"/>
      <c r="M2375" s="152"/>
      <c r="N2375" s="153"/>
      <c r="O2375" s="152"/>
      <c r="P2375" s="154"/>
      <c r="Q2375" s="152"/>
      <c r="R2375" s="9"/>
      <c r="Z2375" s="21"/>
      <c r="AA2375" s="162">
        <f>+$AD$5-Tabla2[[#This Row],[FECHA DE FACTURACIÓN]]</f>
        <v>45443</v>
      </c>
      <c r="AB2375" s="163" t="str">
        <f>+IF(Tabla2[[#This Row],[dias de credito]]&gt;=Tabla2[[#This Row],[PLAZO Días]],"venc", "No venc")</f>
        <v>venc</v>
      </c>
      <c r="AC2375" s="163" t="str">
        <f>+IF(Tabla2[[#This Row],[FECHA DE PAGO]]&gt;0,"pagada","por pagar")</f>
        <v>por pagar</v>
      </c>
      <c r="AD2375" s="164" t="str">
        <f>+IF(AND(Tabla2[[#This Row],[venc]]="venc",Tabla2[[#This Row],[estado pago]]="por pagar"),"vencida","no")</f>
        <v>vencida</v>
      </c>
    </row>
    <row r="2376" spans="1:30" ht="19.5" hidden="1" customHeight="1" x14ac:dyDescent="0.25">
      <c r="A2376" s="8"/>
      <c r="B2376" s="8"/>
      <c r="C2376" s="8"/>
      <c r="D2376" s="151"/>
      <c r="E2376" s="151"/>
      <c r="F2376" s="24"/>
      <c r="G2376" s="30"/>
      <c r="H2376" s="81"/>
      <c r="I2376" s="30"/>
      <c r="J2376" s="16"/>
      <c r="K2376" s="9"/>
      <c r="L2376" s="9"/>
      <c r="M2376" s="152"/>
      <c r="N2376" s="153"/>
      <c r="O2376" s="152"/>
      <c r="P2376" s="154"/>
      <c r="Q2376" s="152"/>
      <c r="R2376" s="9"/>
      <c r="Z2376" s="21"/>
      <c r="AA2376" s="162">
        <f>+$AD$5-Tabla2[[#This Row],[FECHA DE FACTURACIÓN]]</f>
        <v>45443</v>
      </c>
      <c r="AB2376" s="163" t="str">
        <f>+IF(Tabla2[[#This Row],[dias de credito]]&gt;=Tabla2[[#This Row],[PLAZO Días]],"venc", "No venc")</f>
        <v>venc</v>
      </c>
      <c r="AC2376" s="163" t="str">
        <f>+IF(Tabla2[[#This Row],[FECHA DE PAGO]]&gt;0,"pagada","por pagar")</f>
        <v>por pagar</v>
      </c>
      <c r="AD2376" s="164" t="str">
        <f>+IF(AND(Tabla2[[#This Row],[venc]]="venc",Tabla2[[#This Row],[estado pago]]="por pagar"),"vencida","no")</f>
        <v>vencida</v>
      </c>
    </row>
    <row r="2377" spans="1:30" ht="19.5" hidden="1" customHeight="1" x14ac:dyDescent="0.25">
      <c r="A2377" s="8"/>
      <c r="B2377" s="8"/>
      <c r="C2377" s="8"/>
      <c r="D2377" s="151"/>
      <c r="E2377" s="151"/>
      <c r="F2377" s="24"/>
      <c r="G2377" s="30"/>
      <c r="H2377" s="81"/>
      <c r="I2377" s="30"/>
      <c r="J2377" s="16"/>
      <c r="K2377" s="9"/>
      <c r="L2377" s="9"/>
      <c r="M2377" s="152"/>
      <c r="N2377" s="153"/>
      <c r="O2377" s="152"/>
      <c r="P2377" s="154"/>
      <c r="Q2377" s="152"/>
      <c r="R2377" s="9"/>
      <c r="Z2377" s="21"/>
      <c r="AA2377" s="162">
        <f>+$AD$5-Tabla2[[#This Row],[FECHA DE FACTURACIÓN]]</f>
        <v>45443</v>
      </c>
      <c r="AB2377" s="163" t="str">
        <f>+IF(Tabla2[[#This Row],[dias de credito]]&gt;=Tabla2[[#This Row],[PLAZO Días]],"venc", "No venc")</f>
        <v>venc</v>
      </c>
      <c r="AC2377" s="163" t="str">
        <f>+IF(Tabla2[[#This Row],[FECHA DE PAGO]]&gt;0,"pagada","por pagar")</f>
        <v>por pagar</v>
      </c>
      <c r="AD2377" s="164" t="str">
        <f>+IF(AND(Tabla2[[#This Row],[venc]]="venc",Tabla2[[#This Row],[estado pago]]="por pagar"),"vencida","no")</f>
        <v>vencida</v>
      </c>
    </row>
    <row r="2378" spans="1:30" ht="19.5" hidden="1" customHeight="1" x14ac:dyDescent="0.25">
      <c r="A2378" s="8"/>
      <c r="B2378" s="8"/>
      <c r="C2378" s="8"/>
      <c r="D2378" s="151"/>
      <c r="E2378" s="151"/>
      <c r="F2378" s="24"/>
      <c r="G2378" s="30"/>
      <c r="H2378" s="81"/>
      <c r="I2378" s="30"/>
      <c r="J2378" s="16"/>
      <c r="K2378" s="9"/>
      <c r="L2378" s="9"/>
      <c r="M2378" s="152"/>
      <c r="N2378" s="153"/>
      <c r="O2378" s="152"/>
      <c r="P2378" s="154"/>
      <c r="Q2378" s="152"/>
      <c r="R2378" s="9"/>
      <c r="Z2378" s="21"/>
      <c r="AA2378" s="162">
        <f>+$AD$5-Tabla2[[#This Row],[FECHA DE FACTURACIÓN]]</f>
        <v>45443</v>
      </c>
      <c r="AB2378" s="163" t="str">
        <f>+IF(Tabla2[[#This Row],[dias de credito]]&gt;=Tabla2[[#This Row],[PLAZO Días]],"venc", "No venc")</f>
        <v>venc</v>
      </c>
      <c r="AC2378" s="163" t="str">
        <f>+IF(Tabla2[[#This Row],[FECHA DE PAGO]]&gt;0,"pagada","por pagar")</f>
        <v>por pagar</v>
      </c>
      <c r="AD2378" s="164" t="str">
        <f>+IF(AND(Tabla2[[#This Row],[venc]]="venc",Tabla2[[#This Row],[estado pago]]="por pagar"),"vencida","no")</f>
        <v>vencida</v>
      </c>
    </row>
    <row r="2379" spans="1:30" ht="19.5" hidden="1" customHeight="1" x14ac:dyDescent="0.25">
      <c r="A2379" s="8"/>
      <c r="B2379" s="8"/>
      <c r="C2379" s="8"/>
      <c r="D2379" s="151"/>
      <c r="E2379" s="151"/>
      <c r="F2379" s="24"/>
      <c r="G2379" s="30"/>
      <c r="H2379" s="81"/>
      <c r="I2379" s="30"/>
      <c r="J2379" s="16"/>
      <c r="K2379" s="9"/>
      <c r="L2379" s="9"/>
      <c r="M2379" s="152"/>
      <c r="N2379" s="153"/>
      <c r="O2379" s="152"/>
      <c r="P2379" s="154"/>
      <c r="Q2379" s="152"/>
      <c r="R2379" s="9"/>
      <c r="Z2379" s="21"/>
      <c r="AA2379" s="162">
        <f>+$AD$5-Tabla2[[#This Row],[FECHA DE FACTURACIÓN]]</f>
        <v>45443</v>
      </c>
      <c r="AB2379" s="163" t="str">
        <f>+IF(Tabla2[[#This Row],[dias de credito]]&gt;=Tabla2[[#This Row],[PLAZO Días]],"venc", "No venc")</f>
        <v>venc</v>
      </c>
      <c r="AC2379" s="163" t="str">
        <f>+IF(Tabla2[[#This Row],[FECHA DE PAGO]]&gt;0,"pagada","por pagar")</f>
        <v>por pagar</v>
      </c>
      <c r="AD2379" s="164" t="str">
        <f>+IF(AND(Tabla2[[#This Row],[venc]]="venc",Tabla2[[#This Row],[estado pago]]="por pagar"),"vencida","no")</f>
        <v>vencida</v>
      </c>
    </row>
    <row r="2380" spans="1:30" ht="19.5" hidden="1" customHeight="1" x14ac:dyDescent="0.25">
      <c r="A2380" s="8"/>
      <c r="B2380" s="8"/>
      <c r="C2380" s="8"/>
      <c r="D2380" s="151"/>
      <c r="E2380" s="151"/>
      <c r="F2380" s="24"/>
      <c r="G2380" s="30"/>
      <c r="H2380" s="81"/>
      <c r="I2380" s="30"/>
      <c r="J2380" s="16"/>
      <c r="K2380" s="9"/>
      <c r="L2380" s="9"/>
      <c r="M2380" s="152"/>
      <c r="N2380" s="153"/>
      <c r="O2380" s="152"/>
      <c r="P2380" s="154"/>
      <c r="Q2380" s="152"/>
      <c r="R2380" s="9"/>
      <c r="Z2380" s="21"/>
      <c r="AA2380" s="162">
        <f>+$AD$5-Tabla2[[#This Row],[FECHA DE FACTURACIÓN]]</f>
        <v>45443</v>
      </c>
      <c r="AB2380" s="163" t="str">
        <f>+IF(Tabla2[[#This Row],[dias de credito]]&gt;=Tabla2[[#This Row],[PLAZO Días]],"venc", "No venc")</f>
        <v>venc</v>
      </c>
      <c r="AC2380" s="163" t="str">
        <f>+IF(Tabla2[[#This Row],[FECHA DE PAGO]]&gt;0,"pagada","por pagar")</f>
        <v>por pagar</v>
      </c>
      <c r="AD2380" s="164" t="str">
        <f>+IF(AND(Tabla2[[#This Row],[venc]]="venc",Tabla2[[#This Row],[estado pago]]="por pagar"),"vencida","no")</f>
        <v>vencida</v>
      </c>
    </row>
    <row r="2381" spans="1:30" ht="19.5" hidden="1" customHeight="1" x14ac:dyDescent="0.25">
      <c r="A2381" s="8"/>
      <c r="B2381" s="8"/>
      <c r="C2381" s="8"/>
      <c r="D2381" s="151"/>
      <c r="E2381" s="151"/>
      <c r="F2381" s="24"/>
      <c r="G2381" s="30"/>
      <c r="H2381" s="81"/>
      <c r="I2381" s="30"/>
      <c r="J2381" s="16"/>
      <c r="K2381" s="9"/>
      <c r="L2381" s="9"/>
      <c r="M2381" s="152"/>
      <c r="N2381" s="153"/>
      <c r="O2381" s="152"/>
      <c r="P2381" s="154"/>
      <c r="Q2381" s="152"/>
      <c r="R2381" s="9"/>
      <c r="Z2381" s="21"/>
      <c r="AA2381" s="162">
        <f>+$AD$5-Tabla2[[#This Row],[FECHA DE FACTURACIÓN]]</f>
        <v>45443</v>
      </c>
      <c r="AB2381" s="163" t="str">
        <f>+IF(Tabla2[[#This Row],[dias de credito]]&gt;=Tabla2[[#This Row],[PLAZO Días]],"venc", "No venc")</f>
        <v>venc</v>
      </c>
      <c r="AC2381" s="163" t="str">
        <f>+IF(Tabla2[[#This Row],[FECHA DE PAGO]]&gt;0,"pagada","por pagar")</f>
        <v>por pagar</v>
      </c>
      <c r="AD2381" s="164" t="str">
        <f>+IF(AND(Tabla2[[#This Row],[venc]]="venc",Tabla2[[#This Row],[estado pago]]="por pagar"),"vencida","no")</f>
        <v>vencida</v>
      </c>
    </row>
    <row r="2382" spans="1:30" ht="19.5" hidden="1" customHeight="1" x14ac:dyDescent="0.25">
      <c r="A2382" s="8"/>
      <c r="B2382" s="8"/>
      <c r="C2382" s="8"/>
      <c r="D2382" s="151"/>
      <c r="E2382" s="151"/>
      <c r="F2382" s="24"/>
      <c r="G2382" s="30"/>
      <c r="H2382" s="81"/>
      <c r="I2382" s="30"/>
      <c r="J2382" s="16"/>
      <c r="K2382" s="9"/>
      <c r="L2382" s="9"/>
      <c r="M2382" s="152"/>
      <c r="N2382" s="153"/>
      <c r="O2382" s="152"/>
      <c r="P2382" s="154"/>
      <c r="Q2382" s="152"/>
      <c r="R2382" s="9"/>
      <c r="Z2382" s="21"/>
      <c r="AA2382" s="162">
        <f>+$AD$5-Tabla2[[#This Row],[FECHA DE FACTURACIÓN]]</f>
        <v>45443</v>
      </c>
      <c r="AB2382" s="163" t="str">
        <f>+IF(Tabla2[[#This Row],[dias de credito]]&gt;=Tabla2[[#This Row],[PLAZO Días]],"venc", "No venc")</f>
        <v>venc</v>
      </c>
      <c r="AC2382" s="163" t="str">
        <f>+IF(Tabla2[[#This Row],[FECHA DE PAGO]]&gt;0,"pagada","por pagar")</f>
        <v>por pagar</v>
      </c>
      <c r="AD2382" s="164" t="str">
        <f>+IF(AND(Tabla2[[#This Row],[venc]]="venc",Tabla2[[#This Row],[estado pago]]="por pagar"),"vencida","no")</f>
        <v>vencida</v>
      </c>
    </row>
    <row r="2383" spans="1:30" ht="19.5" hidden="1" customHeight="1" x14ac:dyDescent="0.25">
      <c r="A2383" s="8"/>
      <c r="B2383" s="8"/>
      <c r="C2383" s="8"/>
      <c r="D2383" s="151"/>
      <c r="E2383" s="151"/>
      <c r="F2383" s="24"/>
      <c r="G2383" s="30"/>
      <c r="H2383" s="81"/>
      <c r="I2383" s="30"/>
      <c r="J2383" s="16"/>
      <c r="K2383" s="9"/>
      <c r="L2383" s="9"/>
      <c r="M2383" s="152"/>
      <c r="N2383" s="153"/>
      <c r="O2383" s="152"/>
      <c r="P2383" s="154"/>
      <c r="Q2383" s="152"/>
      <c r="R2383" s="9"/>
      <c r="Z2383" s="21"/>
      <c r="AA2383" s="162">
        <f>+$AD$5-Tabla2[[#This Row],[FECHA DE FACTURACIÓN]]</f>
        <v>45443</v>
      </c>
      <c r="AB2383" s="163" t="str">
        <f>+IF(Tabla2[[#This Row],[dias de credito]]&gt;=Tabla2[[#This Row],[PLAZO Días]],"venc", "No venc")</f>
        <v>venc</v>
      </c>
      <c r="AC2383" s="163" t="str">
        <f>+IF(Tabla2[[#This Row],[FECHA DE PAGO]]&gt;0,"pagada","por pagar")</f>
        <v>por pagar</v>
      </c>
      <c r="AD2383" s="164" t="str">
        <f>+IF(AND(Tabla2[[#This Row],[venc]]="venc",Tabla2[[#This Row],[estado pago]]="por pagar"),"vencida","no")</f>
        <v>vencida</v>
      </c>
    </row>
    <row r="2384" spans="1:30" ht="19.5" hidden="1" customHeight="1" x14ac:dyDescent="0.25">
      <c r="A2384" s="8"/>
      <c r="B2384" s="8"/>
      <c r="C2384" s="8"/>
      <c r="D2384" s="151"/>
      <c r="E2384" s="151"/>
      <c r="F2384" s="24"/>
      <c r="G2384" s="30"/>
      <c r="H2384" s="81"/>
      <c r="I2384" s="30"/>
      <c r="J2384" s="16"/>
      <c r="K2384" s="9"/>
      <c r="L2384" s="9"/>
      <c r="M2384" s="152"/>
      <c r="N2384" s="153"/>
      <c r="O2384" s="152"/>
      <c r="P2384" s="154"/>
      <c r="Q2384" s="152"/>
      <c r="R2384" s="9"/>
      <c r="Z2384" s="21"/>
      <c r="AA2384" s="162">
        <f>+$AD$5-Tabla2[[#This Row],[FECHA DE FACTURACIÓN]]</f>
        <v>45443</v>
      </c>
      <c r="AB2384" s="163" t="str">
        <f>+IF(Tabla2[[#This Row],[dias de credito]]&gt;=Tabla2[[#This Row],[PLAZO Días]],"venc", "No venc")</f>
        <v>venc</v>
      </c>
      <c r="AC2384" s="163" t="str">
        <f>+IF(Tabla2[[#This Row],[FECHA DE PAGO]]&gt;0,"pagada","por pagar")</f>
        <v>por pagar</v>
      </c>
      <c r="AD2384" s="164" t="str">
        <f>+IF(AND(Tabla2[[#This Row],[venc]]="venc",Tabla2[[#This Row],[estado pago]]="por pagar"),"vencida","no")</f>
        <v>vencida</v>
      </c>
    </row>
    <row r="2385" spans="1:30" ht="19.5" hidden="1" customHeight="1" x14ac:dyDescent="0.25">
      <c r="A2385" s="8"/>
      <c r="B2385" s="8"/>
      <c r="C2385" s="8"/>
      <c r="D2385" s="151"/>
      <c r="E2385" s="151"/>
      <c r="F2385" s="24"/>
      <c r="G2385" s="30"/>
      <c r="H2385" s="81"/>
      <c r="I2385" s="30"/>
      <c r="J2385" s="16"/>
      <c r="K2385" s="9"/>
      <c r="L2385" s="9"/>
      <c r="M2385" s="152"/>
      <c r="N2385" s="153"/>
      <c r="O2385" s="152"/>
      <c r="P2385" s="154"/>
      <c r="Q2385" s="152"/>
      <c r="R2385" s="9"/>
      <c r="Z2385" s="21"/>
      <c r="AA2385" s="162">
        <f>+$AD$5-Tabla2[[#This Row],[FECHA DE FACTURACIÓN]]</f>
        <v>45443</v>
      </c>
      <c r="AB2385" s="163" t="str">
        <f>+IF(Tabla2[[#This Row],[dias de credito]]&gt;=Tabla2[[#This Row],[PLAZO Días]],"venc", "No venc")</f>
        <v>venc</v>
      </c>
      <c r="AC2385" s="163" t="str">
        <f>+IF(Tabla2[[#This Row],[FECHA DE PAGO]]&gt;0,"pagada","por pagar")</f>
        <v>por pagar</v>
      </c>
      <c r="AD2385" s="164" t="str">
        <f>+IF(AND(Tabla2[[#This Row],[venc]]="venc",Tabla2[[#This Row],[estado pago]]="por pagar"),"vencida","no")</f>
        <v>vencida</v>
      </c>
    </row>
    <row r="2386" spans="1:30" ht="19.5" hidden="1" customHeight="1" x14ac:dyDescent="0.25">
      <c r="A2386" s="8"/>
      <c r="B2386" s="8"/>
      <c r="C2386" s="8"/>
      <c r="D2386" s="151"/>
      <c r="E2386" s="151"/>
      <c r="F2386" s="24"/>
      <c r="G2386" s="30"/>
      <c r="H2386" s="81"/>
      <c r="I2386" s="30"/>
      <c r="J2386" s="16"/>
      <c r="K2386" s="9"/>
      <c r="L2386" s="9"/>
      <c r="M2386" s="152"/>
      <c r="N2386" s="153"/>
      <c r="O2386" s="152"/>
      <c r="P2386" s="154"/>
      <c r="Q2386" s="152"/>
      <c r="R2386" s="9"/>
      <c r="Z2386" s="21"/>
      <c r="AA2386" s="162">
        <f>+$AD$5-Tabla2[[#This Row],[FECHA DE FACTURACIÓN]]</f>
        <v>45443</v>
      </c>
      <c r="AB2386" s="163" t="str">
        <f>+IF(Tabla2[[#This Row],[dias de credito]]&gt;=Tabla2[[#This Row],[PLAZO Días]],"venc", "No venc")</f>
        <v>venc</v>
      </c>
      <c r="AC2386" s="163" t="str">
        <f>+IF(Tabla2[[#This Row],[FECHA DE PAGO]]&gt;0,"pagada","por pagar")</f>
        <v>por pagar</v>
      </c>
      <c r="AD2386" s="164" t="str">
        <f>+IF(AND(Tabla2[[#This Row],[venc]]="venc",Tabla2[[#This Row],[estado pago]]="por pagar"),"vencida","no")</f>
        <v>vencida</v>
      </c>
    </row>
    <row r="2387" spans="1:30" ht="19.5" hidden="1" customHeight="1" x14ac:dyDescent="0.25">
      <c r="A2387" s="8"/>
      <c r="B2387" s="8"/>
      <c r="C2387" s="8"/>
      <c r="D2387" s="151"/>
      <c r="E2387" s="151"/>
      <c r="F2387" s="24"/>
      <c r="G2387" s="30"/>
      <c r="H2387" s="81"/>
      <c r="I2387" s="30"/>
      <c r="J2387" s="16"/>
      <c r="K2387" s="9"/>
      <c r="L2387" s="9"/>
      <c r="M2387" s="152"/>
      <c r="N2387" s="153"/>
      <c r="O2387" s="152"/>
      <c r="P2387" s="154"/>
      <c r="Q2387" s="152"/>
      <c r="R2387" s="9"/>
      <c r="Z2387" s="21"/>
      <c r="AA2387" s="162">
        <f>+$AD$5-Tabla2[[#This Row],[FECHA DE FACTURACIÓN]]</f>
        <v>45443</v>
      </c>
      <c r="AB2387" s="163" t="str">
        <f>+IF(Tabla2[[#This Row],[dias de credito]]&gt;=Tabla2[[#This Row],[PLAZO Días]],"venc", "No venc")</f>
        <v>venc</v>
      </c>
      <c r="AC2387" s="163" t="str">
        <f>+IF(Tabla2[[#This Row],[FECHA DE PAGO]]&gt;0,"pagada","por pagar")</f>
        <v>por pagar</v>
      </c>
      <c r="AD2387" s="164" t="str">
        <f>+IF(AND(Tabla2[[#This Row],[venc]]="venc",Tabla2[[#This Row],[estado pago]]="por pagar"),"vencida","no")</f>
        <v>vencida</v>
      </c>
    </row>
    <row r="2388" spans="1:30" ht="19.5" hidden="1" customHeight="1" x14ac:dyDescent="0.25">
      <c r="A2388" s="8"/>
      <c r="B2388" s="8"/>
      <c r="C2388" s="8"/>
      <c r="D2388" s="151"/>
      <c r="E2388" s="151"/>
      <c r="F2388" s="24"/>
      <c r="G2388" s="30"/>
      <c r="H2388" s="81"/>
      <c r="I2388" s="30"/>
      <c r="J2388" s="16"/>
      <c r="K2388" s="9"/>
      <c r="L2388" s="9"/>
      <c r="M2388" s="152"/>
      <c r="N2388" s="153"/>
      <c r="O2388" s="152"/>
      <c r="P2388" s="154"/>
      <c r="Q2388" s="152"/>
      <c r="R2388" s="9"/>
      <c r="Z2388" s="21"/>
      <c r="AA2388" s="162">
        <f>+$AD$5-Tabla2[[#This Row],[FECHA DE FACTURACIÓN]]</f>
        <v>45443</v>
      </c>
      <c r="AB2388" s="163" t="str">
        <f>+IF(Tabla2[[#This Row],[dias de credito]]&gt;=Tabla2[[#This Row],[PLAZO Días]],"venc", "No venc")</f>
        <v>venc</v>
      </c>
      <c r="AC2388" s="163" t="str">
        <f>+IF(Tabla2[[#This Row],[FECHA DE PAGO]]&gt;0,"pagada","por pagar")</f>
        <v>por pagar</v>
      </c>
      <c r="AD2388" s="164" t="str">
        <f>+IF(AND(Tabla2[[#This Row],[venc]]="venc",Tabla2[[#This Row],[estado pago]]="por pagar"),"vencida","no")</f>
        <v>vencida</v>
      </c>
    </row>
    <row r="2389" spans="1:30" ht="19.5" hidden="1" customHeight="1" x14ac:dyDescent="0.25">
      <c r="A2389" s="8"/>
      <c r="B2389" s="8"/>
      <c r="C2389" s="8"/>
      <c r="D2389" s="151"/>
      <c r="E2389" s="151"/>
      <c r="F2389" s="24"/>
      <c r="G2389" s="30"/>
      <c r="H2389" s="81"/>
      <c r="I2389" s="30"/>
      <c r="J2389" s="16"/>
      <c r="K2389" s="9"/>
      <c r="L2389" s="9"/>
      <c r="M2389" s="152"/>
      <c r="N2389" s="153"/>
      <c r="O2389" s="152"/>
      <c r="P2389" s="154"/>
      <c r="Q2389" s="152"/>
      <c r="R2389" s="9"/>
      <c r="Z2389" s="21"/>
      <c r="AA2389" s="162">
        <f>+$AD$5-Tabla2[[#This Row],[FECHA DE FACTURACIÓN]]</f>
        <v>45443</v>
      </c>
      <c r="AB2389" s="163" t="str">
        <f>+IF(Tabla2[[#This Row],[dias de credito]]&gt;=Tabla2[[#This Row],[PLAZO Días]],"venc", "No venc")</f>
        <v>venc</v>
      </c>
      <c r="AC2389" s="163" t="str">
        <f>+IF(Tabla2[[#This Row],[FECHA DE PAGO]]&gt;0,"pagada","por pagar")</f>
        <v>por pagar</v>
      </c>
      <c r="AD2389" s="164" t="str">
        <f>+IF(AND(Tabla2[[#This Row],[venc]]="venc",Tabla2[[#This Row],[estado pago]]="por pagar"),"vencida","no")</f>
        <v>vencida</v>
      </c>
    </row>
    <row r="2390" spans="1:30" ht="19.5" hidden="1" customHeight="1" x14ac:dyDescent="0.25">
      <c r="A2390" s="8"/>
      <c r="B2390" s="8"/>
      <c r="C2390" s="8"/>
      <c r="D2390" s="151"/>
      <c r="E2390" s="151"/>
      <c r="F2390" s="24"/>
      <c r="G2390" s="30"/>
      <c r="H2390" s="81"/>
      <c r="I2390" s="30"/>
      <c r="J2390" s="16"/>
      <c r="K2390" s="9"/>
      <c r="L2390" s="9"/>
      <c r="M2390" s="152"/>
      <c r="N2390" s="153"/>
      <c r="O2390" s="152"/>
      <c r="P2390" s="154"/>
      <c r="Q2390" s="152"/>
      <c r="R2390" s="9"/>
      <c r="Z2390" s="21"/>
      <c r="AA2390" s="162">
        <f>+$AD$5-Tabla2[[#This Row],[FECHA DE FACTURACIÓN]]</f>
        <v>45443</v>
      </c>
      <c r="AB2390" s="163" t="str">
        <f>+IF(Tabla2[[#This Row],[dias de credito]]&gt;=Tabla2[[#This Row],[PLAZO Días]],"venc", "No venc")</f>
        <v>venc</v>
      </c>
      <c r="AC2390" s="163" t="str">
        <f>+IF(Tabla2[[#This Row],[FECHA DE PAGO]]&gt;0,"pagada","por pagar")</f>
        <v>por pagar</v>
      </c>
      <c r="AD2390" s="164" t="str">
        <f>+IF(AND(Tabla2[[#This Row],[venc]]="venc",Tabla2[[#This Row],[estado pago]]="por pagar"),"vencida","no")</f>
        <v>vencida</v>
      </c>
    </row>
    <row r="2391" spans="1:30" ht="19.5" hidden="1" customHeight="1" x14ac:dyDescent="0.25">
      <c r="A2391" s="8"/>
      <c r="B2391" s="8"/>
      <c r="C2391" s="8"/>
      <c r="D2391" s="151"/>
      <c r="E2391" s="151"/>
      <c r="F2391" s="24"/>
      <c r="G2391" s="30"/>
      <c r="H2391" s="81"/>
      <c r="I2391" s="30"/>
      <c r="J2391" s="16"/>
      <c r="K2391" s="9"/>
      <c r="L2391" s="9"/>
      <c r="M2391" s="152"/>
      <c r="N2391" s="153"/>
      <c r="O2391" s="152"/>
      <c r="P2391" s="154"/>
      <c r="Q2391" s="152"/>
      <c r="R2391" s="9"/>
      <c r="Z2391" s="21"/>
      <c r="AA2391" s="162">
        <f>+$AD$5-Tabla2[[#This Row],[FECHA DE FACTURACIÓN]]</f>
        <v>45443</v>
      </c>
      <c r="AB2391" s="163" t="str">
        <f>+IF(Tabla2[[#This Row],[dias de credito]]&gt;=Tabla2[[#This Row],[PLAZO Días]],"venc", "No venc")</f>
        <v>venc</v>
      </c>
      <c r="AC2391" s="163" t="str">
        <f>+IF(Tabla2[[#This Row],[FECHA DE PAGO]]&gt;0,"pagada","por pagar")</f>
        <v>por pagar</v>
      </c>
      <c r="AD2391" s="164" t="str">
        <f>+IF(AND(Tabla2[[#This Row],[venc]]="venc",Tabla2[[#This Row],[estado pago]]="por pagar"),"vencida","no")</f>
        <v>vencida</v>
      </c>
    </row>
    <row r="2392" spans="1:30" ht="19.5" hidden="1" customHeight="1" x14ac:dyDescent="0.25">
      <c r="A2392" s="8"/>
      <c r="B2392" s="8"/>
      <c r="C2392" s="8"/>
      <c r="D2392" s="151"/>
      <c r="E2392" s="151"/>
      <c r="F2392" s="24"/>
      <c r="G2392" s="30"/>
      <c r="H2392" s="81"/>
      <c r="I2392" s="30"/>
      <c r="J2392" s="16"/>
      <c r="K2392" s="9"/>
      <c r="L2392" s="9"/>
      <c r="M2392" s="152"/>
      <c r="N2392" s="153"/>
      <c r="O2392" s="152"/>
      <c r="P2392" s="154"/>
      <c r="Q2392" s="152"/>
      <c r="R2392" s="9"/>
      <c r="Z2392" s="21"/>
      <c r="AA2392" s="162">
        <f>+$AD$5-Tabla2[[#This Row],[FECHA DE FACTURACIÓN]]</f>
        <v>45443</v>
      </c>
      <c r="AB2392" s="163" t="str">
        <f>+IF(Tabla2[[#This Row],[dias de credito]]&gt;=Tabla2[[#This Row],[PLAZO Días]],"venc", "No venc")</f>
        <v>venc</v>
      </c>
      <c r="AC2392" s="163" t="str">
        <f>+IF(Tabla2[[#This Row],[FECHA DE PAGO]]&gt;0,"pagada","por pagar")</f>
        <v>por pagar</v>
      </c>
      <c r="AD2392" s="164" t="str">
        <f>+IF(AND(Tabla2[[#This Row],[venc]]="venc",Tabla2[[#This Row],[estado pago]]="por pagar"),"vencida","no")</f>
        <v>vencida</v>
      </c>
    </row>
    <row r="2393" spans="1:30" ht="19.5" hidden="1" customHeight="1" x14ac:dyDescent="0.25">
      <c r="A2393" s="8"/>
      <c r="B2393" s="8"/>
      <c r="C2393" s="8"/>
      <c r="D2393" s="151"/>
      <c r="E2393" s="151"/>
      <c r="F2393" s="24"/>
      <c r="G2393" s="30"/>
      <c r="H2393" s="81"/>
      <c r="I2393" s="30"/>
      <c r="J2393" s="16"/>
      <c r="K2393" s="9"/>
      <c r="L2393" s="9"/>
      <c r="M2393" s="152"/>
      <c r="N2393" s="153"/>
      <c r="O2393" s="152"/>
      <c r="P2393" s="154"/>
      <c r="Q2393" s="152"/>
      <c r="R2393" s="9"/>
      <c r="Z2393" s="21"/>
      <c r="AA2393" s="162">
        <f>+$AD$5-Tabla2[[#This Row],[FECHA DE FACTURACIÓN]]</f>
        <v>45443</v>
      </c>
      <c r="AB2393" s="163" t="str">
        <f>+IF(Tabla2[[#This Row],[dias de credito]]&gt;=Tabla2[[#This Row],[PLAZO Días]],"venc", "No venc")</f>
        <v>venc</v>
      </c>
      <c r="AC2393" s="163" t="str">
        <f>+IF(Tabla2[[#This Row],[FECHA DE PAGO]]&gt;0,"pagada","por pagar")</f>
        <v>por pagar</v>
      </c>
      <c r="AD2393" s="164" t="str">
        <f>+IF(AND(Tabla2[[#This Row],[venc]]="venc",Tabla2[[#This Row],[estado pago]]="por pagar"),"vencida","no")</f>
        <v>vencida</v>
      </c>
    </row>
    <row r="2394" spans="1:30" ht="19.5" hidden="1" customHeight="1" x14ac:dyDescent="0.25">
      <c r="A2394" s="8"/>
      <c r="B2394" s="8"/>
      <c r="C2394" s="8"/>
      <c r="D2394" s="151"/>
      <c r="E2394" s="151"/>
      <c r="F2394" s="24"/>
      <c r="G2394" s="30"/>
      <c r="H2394" s="81"/>
      <c r="I2394" s="30"/>
      <c r="J2394" s="16"/>
      <c r="K2394" s="9"/>
      <c r="L2394" s="9"/>
      <c r="M2394" s="152"/>
      <c r="N2394" s="153"/>
      <c r="O2394" s="152"/>
      <c r="P2394" s="154"/>
      <c r="Q2394" s="152"/>
      <c r="R2394" s="9"/>
      <c r="Z2394" s="21"/>
      <c r="AA2394" s="162">
        <f>+$AD$5-Tabla2[[#This Row],[FECHA DE FACTURACIÓN]]</f>
        <v>45443</v>
      </c>
      <c r="AB2394" s="163" t="str">
        <f>+IF(Tabla2[[#This Row],[dias de credito]]&gt;=Tabla2[[#This Row],[PLAZO Días]],"venc", "No venc")</f>
        <v>venc</v>
      </c>
      <c r="AC2394" s="163" t="str">
        <f>+IF(Tabla2[[#This Row],[FECHA DE PAGO]]&gt;0,"pagada","por pagar")</f>
        <v>por pagar</v>
      </c>
      <c r="AD2394" s="164" t="str">
        <f>+IF(AND(Tabla2[[#This Row],[venc]]="venc",Tabla2[[#This Row],[estado pago]]="por pagar"),"vencida","no")</f>
        <v>vencida</v>
      </c>
    </row>
    <row r="2395" spans="1:30" ht="19.5" hidden="1" customHeight="1" x14ac:dyDescent="0.25">
      <c r="A2395" s="8"/>
      <c r="B2395" s="8"/>
      <c r="C2395" s="8"/>
      <c r="D2395" s="151"/>
      <c r="E2395" s="151"/>
      <c r="F2395" s="24"/>
      <c r="G2395" s="30"/>
      <c r="H2395" s="81"/>
      <c r="I2395" s="30"/>
      <c r="J2395" s="16"/>
      <c r="K2395" s="9"/>
      <c r="L2395" s="9"/>
      <c r="M2395" s="152"/>
      <c r="N2395" s="153"/>
      <c r="O2395" s="152"/>
      <c r="P2395" s="154"/>
      <c r="Q2395" s="152"/>
      <c r="R2395" s="9"/>
      <c r="Z2395" s="21"/>
      <c r="AA2395" s="162">
        <f>+$AD$5-Tabla2[[#This Row],[FECHA DE FACTURACIÓN]]</f>
        <v>45443</v>
      </c>
      <c r="AB2395" s="163" t="str">
        <f>+IF(Tabla2[[#This Row],[dias de credito]]&gt;=Tabla2[[#This Row],[PLAZO Días]],"venc", "No venc")</f>
        <v>venc</v>
      </c>
      <c r="AC2395" s="163" t="str">
        <f>+IF(Tabla2[[#This Row],[FECHA DE PAGO]]&gt;0,"pagada","por pagar")</f>
        <v>por pagar</v>
      </c>
      <c r="AD2395" s="164" t="str">
        <f>+IF(AND(Tabla2[[#This Row],[venc]]="venc",Tabla2[[#This Row],[estado pago]]="por pagar"),"vencida","no")</f>
        <v>vencida</v>
      </c>
    </row>
    <row r="2396" spans="1:30" ht="19.5" hidden="1" customHeight="1" x14ac:dyDescent="0.25">
      <c r="A2396" s="8"/>
      <c r="B2396" s="8"/>
      <c r="C2396" s="8"/>
      <c r="D2396" s="151"/>
      <c r="E2396" s="151"/>
      <c r="F2396" s="24"/>
      <c r="G2396" s="30"/>
      <c r="H2396" s="81"/>
      <c r="I2396" s="30"/>
      <c r="J2396" s="16"/>
      <c r="K2396" s="9"/>
      <c r="L2396" s="9"/>
      <c r="M2396" s="152"/>
      <c r="N2396" s="153"/>
      <c r="O2396" s="152"/>
      <c r="P2396" s="154"/>
      <c r="Q2396" s="152"/>
      <c r="R2396" s="9"/>
      <c r="Z2396" s="21"/>
      <c r="AA2396" s="162">
        <f>+$AD$5-Tabla2[[#This Row],[FECHA DE FACTURACIÓN]]</f>
        <v>45443</v>
      </c>
      <c r="AB2396" s="163" t="str">
        <f>+IF(Tabla2[[#This Row],[dias de credito]]&gt;=Tabla2[[#This Row],[PLAZO Días]],"venc", "No venc")</f>
        <v>venc</v>
      </c>
      <c r="AC2396" s="163" t="str">
        <f>+IF(Tabla2[[#This Row],[FECHA DE PAGO]]&gt;0,"pagada","por pagar")</f>
        <v>por pagar</v>
      </c>
      <c r="AD2396" s="164" t="str">
        <f>+IF(AND(Tabla2[[#This Row],[venc]]="venc",Tabla2[[#This Row],[estado pago]]="por pagar"),"vencida","no")</f>
        <v>vencida</v>
      </c>
    </row>
    <row r="2397" spans="1:30" ht="19.5" hidden="1" customHeight="1" x14ac:dyDescent="0.25">
      <c r="A2397" s="8"/>
      <c r="B2397" s="8"/>
      <c r="C2397" s="8"/>
      <c r="D2397" s="151"/>
      <c r="E2397" s="151"/>
      <c r="F2397" s="24"/>
      <c r="G2397" s="30"/>
      <c r="H2397" s="81"/>
      <c r="I2397" s="30"/>
      <c r="J2397" s="16"/>
      <c r="K2397" s="9"/>
      <c r="L2397" s="9"/>
      <c r="M2397" s="152"/>
      <c r="N2397" s="153"/>
      <c r="O2397" s="152"/>
      <c r="P2397" s="154"/>
      <c r="Q2397" s="152"/>
      <c r="R2397" s="9"/>
      <c r="Z2397" s="21"/>
      <c r="AA2397" s="162">
        <f>+$AD$5-Tabla2[[#This Row],[FECHA DE FACTURACIÓN]]</f>
        <v>45443</v>
      </c>
      <c r="AB2397" s="163" t="str">
        <f>+IF(Tabla2[[#This Row],[dias de credito]]&gt;=Tabla2[[#This Row],[PLAZO Días]],"venc", "No venc")</f>
        <v>venc</v>
      </c>
      <c r="AC2397" s="163" t="str">
        <f>+IF(Tabla2[[#This Row],[FECHA DE PAGO]]&gt;0,"pagada","por pagar")</f>
        <v>por pagar</v>
      </c>
      <c r="AD2397" s="164" t="str">
        <f>+IF(AND(Tabla2[[#This Row],[venc]]="venc",Tabla2[[#This Row],[estado pago]]="por pagar"),"vencida","no")</f>
        <v>vencida</v>
      </c>
    </row>
    <row r="2398" spans="1:30" ht="19.5" hidden="1" customHeight="1" x14ac:dyDescent="0.25">
      <c r="A2398" s="8"/>
      <c r="B2398" s="8"/>
      <c r="C2398" s="8"/>
      <c r="D2398" s="151"/>
      <c r="E2398" s="151"/>
      <c r="F2398" s="24"/>
      <c r="G2398" s="30"/>
      <c r="H2398" s="81"/>
      <c r="I2398" s="30"/>
      <c r="J2398" s="16"/>
      <c r="K2398" s="9"/>
      <c r="L2398" s="9"/>
      <c r="M2398" s="152"/>
      <c r="N2398" s="153"/>
      <c r="O2398" s="152"/>
      <c r="P2398" s="154"/>
      <c r="Q2398" s="152"/>
      <c r="R2398" s="9"/>
      <c r="Z2398" s="21"/>
      <c r="AA2398" s="162">
        <f>+$AD$5-Tabla2[[#This Row],[FECHA DE FACTURACIÓN]]</f>
        <v>45443</v>
      </c>
      <c r="AB2398" s="163" t="str">
        <f>+IF(Tabla2[[#This Row],[dias de credito]]&gt;=Tabla2[[#This Row],[PLAZO Días]],"venc", "No venc")</f>
        <v>venc</v>
      </c>
      <c r="AC2398" s="163" t="str">
        <f>+IF(Tabla2[[#This Row],[FECHA DE PAGO]]&gt;0,"pagada","por pagar")</f>
        <v>por pagar</v>
      </c>
      <c r="AD2398" s="164" t="str">
        <f>+IF(AND(Tabla2[[#This Row],[venc]]="venc",Tabla2[[#This Row],[estado pago]]="por pagar"),"vencida","no")</f>
        <v>vencida</v>
      </c>
    </row>
    <row r="2399" spans="1:30" ht="19.5" hidden="1" customHeight="1" x14ac:dyDescent="0.25">
      <c r="A2399" s="8"/>
      <c r="B2399" s="8"/>
      <c r="C2399" s="8"/>
      <c r="D2399" s="151"/>
      <c r="E2399" s="151"/>
      <c r="F2399" s="24"/>
      <c r="G2399" s="30"/>
      <c r="H2399" s="81"/>
      <c r="I2399" s="30"/>
      <c r="J2399" s="16"/>
      <c r="K2399" s="9"/>
      <c r="L2399" s="9"/>
      <c r="M2399" s="152"/>
      <c r="N2399" s="153"/>
      <c r="O2399" s="152"/>
      <c r="P2399" s="154"/>
      <c r="Q2399" s="152"/>
      <c r="R2399" s="9"/>
      <c r="Z2399" s="21"/>
      <c r="AA2399" s="162">
        <f>+$AD$5-Tabla2[[#This Row],[FECHA DE FACTURACIÓN]]</f>
        <v>45443</v>
      </c>
      <c r="AB2399" s="163" t="str">
        <f>+IF(Tabla2[[#This Row],[dias de credito]]&gt;=Tabla2[[#This Row],[PLAZO Días]],"venc", "No venc")</f>
        <v>venc</v>
      </c>
      <c r="AC2399" s="163" t="str">
        <f>+IF(Tabla2[[#This Row],[FECHA DE PAGO]]&gt;0,"pagada","por pagar")</f>
        <v>por pagar</v>
      </c>
      <c r="AD2399" s="164" t="str">
        <f>+IF(AND(Tabla2[[#This Row],[venc]]="venc",Tabla2[[#This Row],[estado pago]]="por pagar"),"vencida","no")</f>
        <v>vencida</v>
      </c>
    </row>
    <row r="2400" spans="1:30" ht="19.5" hidden="1" customHeight="1" x14ac:dyDescent="0.25">
      <c r="A2400" s="8"/>
      <c r="B2400" s="8"/>
      <c r="C2400" s="8"/>
      <c r="D2400" s="151"/>
      <c r="E2400" s="151"/>
      <c r="F2400" s="24"/>
      <c r="G2400" s="30"/>
      <c r="H2400" s="81"/>
      <c r="I2400" s="30"/>
      <c r="J2400" s="16"/>
      <c r="K2400" s="9"/>
      <c r="L2400" s="9"/>
      <c r="M2400" s="152"/>
      <c r="N2400" s="153"/>
      <c r="O2400" s="152"/>
      <c r="P2400" s="154"/>
      <c r="Q2400" s="152"/>
      <c r="R2400" s="9"/>
      <c r="Z2400" s="21"/>
      <c r="AA2400" s="162">
        <f>+$AD$5-Tabla2[[#This Row],[FECHA DE FACTURACIÓN]]</f>
        <v>45443</v>
      </c>
      <c r="AB2400" s="163" t="str">
        <f>+IF(Tabla2[[#This Row],[dias de credito]]&gt;=Tabla2[[#This Row],[PLAZO Días]],"venc", "No venc")</f>
        <v>venc</v>
      </c>
      <c r="AC2400" s="163" t="str">
        <f>+IF(Tabla2[[#This Row],[FECHA DE PAGO]]&gt;0,"pagada","por pagar")</f>
        <v>por pagar</v>
      </c>
      <c r="AD2400" s="164" t="str">
        <f>+IF(AND(Tabla2[[#This Row],[venc]]="venc",Tabla2[[#This Row],[estado pago]]="por pagar"),"vencida","no")</f>
        <v>vencida</v>
      </c>
    </row>
    <row r="2401" spans="1:30" ht="19.5" hidden="1" customHeight="1" x14ac:dyDescent="0.25">
      <c r="A2401" s="8"/>
      <c r="B2401" s="8"/>
      <c r="C2401" s="8"/>
      <c r="D2401" s="151"/>
      <c r="E2401" s="151"/>
      <c r="F2401" s="24"/>
      <c r="G2401" s="30"/>
      <c r="H2401" s="81"/>
      <c r="I2401" s="30"/>
      <c r="J2401" s="16"/>
      <c r="K2401" s="9"/>
      <c r="L2401" s="9"/>
      <c r="M2401" s="152"/>
      <c r="N2401" s="153"/>
      <c r="O2401" s="152"/>
      <c r="P2401" s="154"/>
      <c r="Q2401" s="152"/>
      <c r="R2401" s="9"/>
      <c r="Z2401" s="21"/>
      <c r="AA2401" s="162">
        <f>+$AD$5-Tabla2[[#This Row],[FECHA DE FACTURACIÓN]]</f>
        <v>45443</v>
      </c>
      <c r="AB2401" s="163" t="str">
        <f>+IF(Tabla2[[#This Row],[dias de credito]]&gt;=Tabla2[[#This Row],[PLAZO Días]],"venc", "No venc")</f>
        <v>venc</v>
      </c>
      <c r="AC2401" s="163" t="str">
        <f>+IF(Tabla2[[#This Row],[FECHA DE PAGO]]&gt;0,"pagada","por pagar")</f>
        <v>por pagar</v>
      </c>
      <c r="AD2401" s="164" t="str">
        <f>+IF(AND(Tabla2[[#This Row],[venc]]="venc",Tabla2[[#This Row],[estado pago]]="por pagar"),"vencida","no")</f>
        <v>vencida</v>
      </c>
    </row>
    <row r="2402" spans="1:30" ht="19.5" hidden="1" customHeight="1" x14ac:dyDescent="0.25">
      <c r="A2402" s="8"/>
      <c r="B2402" s="8"/>
      <c r="C2402" s="8"/>
      <c r="D2402" s="151"/>
      <c r="E2402" s="151"/>
      <c r="F2402" s="24"/>
      <c r="G2402" s="30"/>
      <c r="H2402" s="81"/>
      <c r="I2402" s="30"/>
      <c r="J2402" s="16"/>
      <c r="K2402" s="9"/>
      <c r="L2402" s="9"/>
      <c r="M2402" s="152"/>
      <c r="N2402" s="153"/>
      <c r="O2402" s="152"/>
      <c r="P2402" s="154"/>
      <c r="Q2402" s="152"/>
      <c r="R2402" s="9"/>
      <c r="Z2402" s="21"/>
      <c r="AA2402" s="162">
        <f>+$AD$5-Tabla2[[#This Row],[FECHA DE FACTURACIÓN]]</f>
        <v>45443</v>
      </c>
      <c r="AB2402" s="163" t="str">
        <f>+IF(Tabla2[[#This Row],[dias de credito]]&gt;=Tabla2[[#This Row],[PLAZO Días]],"venc", "No venc")</f>
        <v>venc</v>
      </c>
      <c r="AC2402" s="163" t="str">
        <f>+IF(Tabla2[[#This Row],[FECHA DE PAGO]]&gt;0,"pagada","por pagar")</f>
        <v>por pagar</v>
      </c>
      <c r="AD2402" s="164" t="str">
        <f>+IF(AND(Tabla2[[#This Row],[venc]]="venc",Tabla2[[#This Row],[estado pago]]="por pagar"),"vencida","no")</f>
        <v>vencida</v>
      </c>
    </row>
    <row r="2403" spans="1:30" ht="19.5" hidden="1" customHeight="1" x14ac:dyDescent="0.25">
      <c r="A2403" s="8"/>
      <c r="B2403" s="8"/>
      <c r="C2403" s="8"/>
      <c r="D2403" s="151"/>
      <c r="E2403" s="151"/>
      <c r="F2403" s="24"/>
      <c r="G2403" s="30"/>
      <c r="H2403" s="81"/>
      <c r="I2403" s="30"/>
      <c r="J2403" s="16"/>
      <c r="K2403" s="9"/>
      <c r="L2403" s="9"/>
      <c r="M2403" s="152"/>
      <c r="N2403" s="153"/>
      <c r="O2403" s="152"/>
      <c r="P2403" s="154"/>
      <c r="Q2403" s="152"/>
      <c r="R2403" s="9"/>
      <c r="Z2403" s="21"/>
      <c r="AA2403" s="162">
        <f>+$AD$5-Tabla2[[#This Row],[FECHA DE FACTURACIÓN]]</f>
        <v>45443</v>
      </c>
      <c r="AB2403" s="163" t="str">
        <f>+IF(Tabla2[[#This Row],[dias de credito]]&gt;=Tabla2[[#This Row],[PLAZO Días]],"venc", "No venc")</f>
        <v>venc</v>
      </c>
      <c r="AC2403" s="163" t="str">
        <f>+IF(Tabla2[[#This Row],[FECHA DE PAGO]]&gt;0,"pagada","por pagar")</f>
        <v>por pagar</v>
      </c>
      <c r="AD2403" s="164" t="str">
        <f>+IF(AND(Tabla2[[#This Row],[venc]]="venc",Tabla2[[#This Row],[estado pago]]="por pagar"),"vencida","no")</f>
        <v>vencida</v>
      </c>
    </row>
    <row r="2404" spans="1:30" ht="19.5" hidden="1" customHeight="1" x14ac:dyDescent="0.25">
      <c r="A2404" s="8"/>
      <c r="B2404" s="8"/>
      <c r="C2404" s="8"/>
      <c r="D2404" s="151"/>
      <c r="E2404" s="151"/>
      <c r="F2404" s="24"/>
      <c r="G2404" s="30"/>
      <c r="H2404" s="81"/>
      <c r="I2404" s="30"/>
      <c r="J2404" s="16"/>
      <c r="K2404" s="9"/>
      <c r="L2404" s="9"/>
      <c r="M2404" s="152"/>
      <c r="N2404" s="153"/>
      <c r="O2404" s="152"/>
      <c r="P2404" s="154"/>
      <c r="Q2404" s="152"/>
      <c r="R2404" s="9"/>
      <c r="Z2404" s="21"/>
      <c r="AA2404" s="162">
        <f>+$AD$5-Tabla2[[#This Row],[FECHA DE FACTURACIÓN]]</f>
        <v>45443</v>
      </c>
      <c r="AB2404" s="163" t="str">
        <f>+IF(Tabla2[[#This Row],[dias de credito]]&gt;=Tabla2[[#This Row],[PLAZO Días]],"venc", "No venc")</f>
        <v>venc</v>
      </c>
      <c r="AC2404" s="163" t="str">
        <f>+IF(Tabla2[[#This Row],[FECHA DE PAGO]]&gt;0,"pagada","por pagar")</f>
        <v>por pagar</v>
      </c>
      <c r="AD2404" s="164" t="str">
        <f>+IF(AND(Tabla2[[#This Row],[venc]]="venc",Tabla2[[#This Row],[estado pago]]="por pagar"),"vencida","no")</f>
        <v>vencida</v>
      </c>
    </row>
    <row r="2405" spans="1:30" ht="19.5" hidden="1" customHeight="1" x14ac:dyDescent="0.25">
      <c r="A2405" s="8"/>
      <c r="B2405" s="8"/>
      <c r="C2405" s="8"/>
      <c r="D2405" s="151"/>
      <c r="E2405" s="151"/>
      <c r="F2405" s="24"/>
      <c r="G2405" s="30"/>
      <c r="H2405" s="81"/>
      <c r="I2405" s="30"/>
      <c r="J2405" s="16"/>
      <c r="K2405" s="9"/>
      <c r="L2405" s="9"/>
      <c r="M2405" s="152"/>
      <c r="N2405" s="153"/>
      <c r="O2405" s="152"/>
      <c r="P2405" s="154"/>
      <c r="Q2405" s="152"/>
      <c r="R2405" s="9"/>
      <c r="Z2405" s="21"/>
      <c r="AA2405" s="162">
        <f>+$AD$5-Tabla2[[#This Row],[FECHA DE FACTURACIÓN]]</f>
        <v>45443</v>
      </c>
      <c r="AB2405" s="163" t="str">
        <f>+IF(Tabla2[[#This Row],[dias de credito]]&gt;=Tabla2[[#This Row],[PLAZO Días]],"venc", "No venc")</f>
        <v>venc</v>
      </c>
      <c r="AC2405" s="163" t="str">
        <f>+IF(Tabla2[[#This Row],[FECHA DE PAGO]]&gt;0,"pagada","por pagar")</f>
        <v>por pagar</v>
      </c>
      <c r="AD2405" s="164" t="str">
        <f>+IF(AND(Tabla2[[#This Row],[venc]]="venc",Tabla2[[#This Row],[estado pago]]="por pagar"),"vencida","no")</f>
        <v>vencida</v>
      </c>
    </row>
    <row r="2406" spans="1:30" ht="19.5" hidden="1" customHeight="1" x14ac:dyDescent="0.25">
      <c r="A2406" s="8"/>
      <c r="B2406" s="8"/>
      <c r="C2406" s="8"/>
      <c r="D2406" s="151"/>
      <c r="E2406" s="151"/>
      <c r="F2406" s="24"/>
      <c r="G2406" s="30"/>
      <c r="H2406" s="81"/>
      <c r="I2406" s="30"/>
      <c r="J2406" s="16"/>
      <c r="K2406" s="9"/>
      <c r="L2406" s="9"/>
      <c r="M2406" s="152"/>
      <c r="N2406" s="153"/>
      <c r="O2406" s="152"/>
      <c r="P2406" s="154"/>
      <c r="Q2406" s="152"/>
      <c r="R2406" s="9"/>
      <c r="Z2406" s="21"/>
      <c r="AA2406" s="162">
        <f>+$AD$5-Tabla2[[#This Row],[FECHA DE FACTURACIÓN]]</f>
        <v>45443</v>
      </c>
      <c r="AB2406" s="163" t="str">
        <f>+IF(Tabla2[[#This Row],[dias de credito]]&gt;=Tabla2[[#This Row],[PLAZO Días]],"venc", "No venc")</f>
        <v>venc</v>
      </c>
      <c r="AC2406" s="163" t="str">
        <f>+IF(Tabla2[[#This Row],[FECHA DE PAGO]]&gt;0,"pagada","por pagar")</f>
        <v>por pagar</v>
      </c>
      <c r="AD2406" s="164" t="str">
        <f>+IF(AND(Tabla2[[#This Row],[venc]]="venc",Tabla2[[#This Row],[estado pago]]="por pagar"),"vencida","no")</f>
        <v>vencida</v>
      </c>
    </row>
    <row r="2407" spans="1:30" ht="19.5" hidden="1" customHeight="1" x14ac:dyDescent="0.25">
      <c r="A2407" s="8"/>
      <c r="B2407" s="8"/>
      <c r="C2407" s="8"/>
      <c r="D2407" s="151"/>
      <c r="E2407" s="151"/>
      <c r="F2407" s="24"/>
      <c r="G2407" s="30"/>
      <c r="H2407" s="81"/>
      <c r="I2407" s="30"/>
      <c r="J2407" s="16"/>
      <c r="K2407" s="9"/>
      <c r="L2407" s="9"/>
      <c r="M2407" s="152"/>
      <c r="N2407" s="153"/>
      <c r="O2407" s="152"/>
      <c r="P2407" s="154"/>
      <c r="Q2407" s="152"/>
      <c r="R2407" s="9"/>
      <c r="Z2407" s="21"/>
      <c r="AA2407" s="162">
        <f>+$AD$5-Tabla2[[#This Row],[FECHA DE FACTURACIÓN]]</f>
        <v>45443</v>
      </c>
      <c r="AB2407" s="163" t="str">
        <f>+IF(Tabla2[[#This Row],[dias de credito]]&gt;=Tabla2[[#This Row],[PLAZO Días]],"venc", "No venc")</f>
        <v>venc</v>
      </c>
      <c r="AC2407" s="163" t="str">
        <f>+IF(Tabla2[[#This Row],[FECHA DE PAGO]]&gt;0,"pagada","por pagar")</f>
        <v>por pagar</v>
      </c>
      <c r="AD2407" s="164" t="str">
        <f>+IF(AND(Tabla2[[#This Row],[venc]]="venc",Tabla2[[#This Row],[estado pago]]="por pagar"),"vencida","no")</f>
        <v>vencida</v>
      </c>
    </row>
    <row r="2408" spans="1:30" ht="19.5" hidden="1" customHeight="1" x14ac:dyDescent="0.25">
      <c r="A2408" s="8"/>
      <c r="B2408" s="8"/>
      <c r="C2408" s="8"/>
      <c r="D2408" s="151"/>
      <c r="E2408" s="151"/>
      <c r="F2408" s="24"/>
      <c r="G2408" s="30"/>
      <c r="H2408" s="81"/>
      <c r="I2408" s="30"/>
      <c r="J2408" s="16"/>
      <c r="K2408" s="9"/>
      <c r="L2408" s="9"/>
      <c r="M2408" s="152"/>
      <c r="N2408" s="153"/>
      <c r="O2408" s="152"/>
      <c r="P2408" s="154"/>
      <c r="Q2408" s="152"/>
      <c r="R2408" s="9"/>
      <c r="Z2408" s="21"/>
      <c r="AA2408" s="162">
        <f>+$AD$5-Tabla2[[#This Row],[FECHA DE FACTURACIÓN]]</f>
        <v>45443</v>
      </c>
      <c r="AB2408" s="163" t="str">
        <f>+IF(Tabla2[[#This Row],[dias de credito]]&gt;=Tabla2[[#This Row],[PLAZO Días]],"venc", "No venc")</f>
        <v>venc</v>
      </c>
      <c r="AC2408" s="163" t="str">
        <f>+IF(Tabla2[[#This Row],[FECHA DE PAGO]]&gt;0,"pagada","por pagar")</f>
        <v>por pagar</v>
      </c>
      <c r="AD2408" s="164" t="str">
        <f>+IF(AND(Tabla2[[#This Row],[venc]]="venc",Tabla2[[#This Row],[estado pago]]="por pagar"),"vencida","no")</f>
        <v>vencida</v>
      </c>
    </row>
    <row r="2409" spans="1:30" ht="19.5" hidden="1" customHeight="1" x14ac:dyDescent="0.25">
      <c r="A2409" s="8"/>
      <c r="B2409" s="8"/>
      <c r="C2409" s="8"/>
      <c r="D2409" s="151"/>
      <c r="E2409" s="151"/>
      <c r="F2409" s="24"/>
      <c r="G2409" s="30"/>
      <c r="H2409" s="81"/>
      <c r="I2409" s="30"/>
      <c r="J2409" s="16"/>
      <c r="K2409" s="9"/>
      <c r="L2409" s="9"/>
      <c r="M2409" s="152"/>
      <c r="N2409" s="153"/>
      <c r="O2409" s="152"/>
      <c r="P2409" s="154"/>
      <c r="Q2409" s="152"/>
      <c r="R2409" s="9"/>
      <c r="Z2409" s="21"/>
      <c r="AA2409" s="162">
        <f>+$AD$5-Tabla2[[#This Row],[FECHA DE FACTURACIÓN]]</f>
        <v>45443</v>
      </c>
      <c r="AB2409" s="163" t="str">
        <f>+IF(Tabla2[[#This Row],[dias de credito]]&gt;=Tabla2[[#This Row],[PLAZO Días]],"venc", "No venc")</f>
        <v>venc</v>
      </c>
      <c r="AC2409" s="163" t="str">
        <f>+IF(Tabla2[[#This Row],[FECHA DE PAGO]]&gt;0,"pagada","por pagar")</f>
        <v>por pagar</v>
      </c>
      <c r="AD2409" s="164" t="str">
        <f>+IF(AND(Tabla2[[#This Row],[venc]]="venc",Tabla2[[#This Row],[estado pago]]="por pagar"),"vencida","no")</f>
        <v>vencida</v>
      </c>
    </row>
    <row r="2410" spans="1:30" ht="19.5" hidden="1" customHeight="1" x14ac:dyDescent="0.25">
      <c r="A2410" s="8"/>
      <c r="B2410" s="8"/>
      <c r="C2410" s="8"/>
      <c r="D2410" s="151"/>
      <c r="E2410" s="151"/>
      <c r="F2410" s="24"/>
      <c r="G2410" s="30"/>
      <c r="H2410" s="81"/>
      <c r="I2410" s="30"/>
      <c r="J2410" s="16"/>
      <c r="K2410" s="9"/>
      <c r="L2410" s="9"/>
      <c r="M2410" s="152"/>
      <c r="N2410" s="153"/>
      <c r="O2410" s="152"/>
      <c r="P2410" s="154"/>
      <c r="Q2410" s="152"/>
      <c r="R2410" s="9"/>
      <c r="Z2410" s="21"/>
      <c r="AA2410" s="162">
        <f>+$AD$5-Tabla2[[#This Row],[FECHA DE FACTURACIÓN]]</f>
        <v>45443</v>
      </c>
      <c r="AB2410" s="163" t="str">
        <f>+IF(Tabla2[[#This Row],[dias de credito]]&gt;=Tabla2[[#This Row],[PLAZO Días]],"venc", "No venc")</f>
        <v>venc</v>
      </c>
      <c r="AC2410" s="163" t="str">
        <f>+IF(Tabla2[[#This Row],[FECHA DE PAGO]]&gt;0,"pagada","por pagar")</f>
        <v>por pagar</v>
      </c>
      <c r="AD2410" s="164" t="str">
        <f>+IF(AND(Tabla2[[#This Row],[venc]]="venc",Tabla2[[#This Row],[estado pago]]="por pagar"),"vencida","no")</f>
        <v>vencida</v>
      </c>
    </row>
    <row r="2411" spans="1:30" ht="19.5" hidden="1" customHeight="1" x14ac:dyDescent="0.25">
      <c r="A2411" s="8"/>
      <c r="B2411" s="8"/>
      <c r="C2411" s="8"/>
      <c r="D2411" s="151"/>
      <c r="E2411" s="151"/>
      <c r="F2411" s="24"/>
      <c r="G2411" s="30"/>
      <c r="H2411" s="81"/>
      <c r="I2411" s="30"/>
      <c r="J2411" s="16"/>
      <c r="K2411" s="9"/>
      <c r="L2411" s="9"/>
      <c r="M2411" s="152"/>
      <c r="N2411" s="153"/>
      <c r="O2411" s="152"/>
      <c r="P2411" s="154"/>
      <c r="Q2411" s="152"/>
      <c r="R2411" s="9"/>
      <c r="Z2411" s="21"/>
      <c r="AA2411" s="162">
        <f>+$AD$5-Tabla2[[#This Row],[FECHA DE FACTURACIÓN]]</f>
        <v>45443</v>
      </c>
      <c r="AB2411" s="163" t="str">
        <f>+IF(Tabla2[[#This Row],[dias de credito]]&gt;=Tabla2[[#This Row],[PLAZO Días]],"venc", "No venc")</f>
        <v>venc</v>
      </c>
      <c r="AC2411" s="163" t="str">
        <f>+IF(Tabla2[[#This Row],[FECHA DE PAGO]]&gt;0,"pagada","por pagar")</f>
        <v>por pagar</v>
      </c>
      <c r="AD2411" s="164" t="str">
        <f>+IF(AND(Tabla2[[#This Row],[venc]]="venc",Tabla2[[#This Row],[estado pago]]="por pagar"),"vencida","no")</f>
        <v>vencida</v>
      </c>
    </row>
    <row r="2412" spans="1:30" ht="19.5" hidden="1" customHeight="1" x14ac:dyDescent="0.25">
      <c r="A2412" s="8"/>
      <c r="B2412" s="8"/>
      <c r="C2412" s="8"/>
      <c r="D2412" s="151"/>
      <c r="E2412" s="151"/>
      <c r="F2412" s="24"/>
      <c r="G2412" s="30"/>
      <c r="H2412" s="81"/>
      <c r="I2412" s="30"/>
      <c r="J2412" s="16"/>
      <c r="K2412" s="9"/>
      <c r="L2412" s="9"/>
      <c r="M2412" s="152"/>
      <c r="N2412" s="153"/>
      <c r="O2412" s="152"/>
      <c r="P2412" s="154"/>
      <c r="Q2412" s="152"/>
      <c r="R2412" s="9"/>
      <c r="Z2412" s="21"/>
      <c r="AA2412" s="162">
        <f>+$AD$5-Tabla2[[#This Row],[FECHA DE FACTURACIÓN]]</f>
        <v>45443</v>
      </c>
      <c r="AB2412" s="163" t="str">
        <f>+IF(Tabla2[[#This Row],[dias de credito]]&gt;=Tabla2[[#This Row],[PLAZO Días]],"venc", "No venc")</f>
        <v>venc</v>
      </c>
      <c r="AC2412" s="163" t="str">
        <f>+IF(Tabla2[[#This Row],[FECHA DE PAGO]]&gt;0,"pagada","por pagar")</f>
        <v>por pagar</v>
      </c>
      <c r="AD2412" s="164" t="str">
        <f>+IF(AND(Tabla2[[#This Row],[venc]]="venc",Tabla2[[#This Row],[estado pago]]="por pagar"),"vencida","no")</f>
        <v>vencida</v>
      </c>
    </row>
    <row r="2413" spans="1:30" ht="19.5" hidden="1" customHeight="1" x14ac:dyDescent="0.25">
      <c r="A2413" s="8"/>
      <c r="B2413" s="8"/>
      <c r="C2413" s="8"/>
      <c r="D2413" s="151"/>
      <c r="E2413" s="151"/>
      <c r="F2413" s="24"/>
      <c r="G2413" s="30"/>
      <c r="H2413" s="81"/>
      <c r="I2413" s="30"/>
      <c r="J2413" s="16"/>
      <c r="K2413" s="9"/>
      <c r="L2413" s="9"/>
      <c r="M2413" s="152"/>
      <c r="N2413" s="153"/>
      <c r="O2413" s="152"/>
      <c r="P2413" s="154"/>
      <c r="Q2413" s="152"/>
      <c r="R2413" s="9"/>
      <c r="Z2413" s="21"/>
      <c r="AA2413" s="162">
        <f>+$AD$5-Tabla2[[#This Row],[FECHA DE FACTURACIÓN]]</f>
        <v>45443</v>
      </c>
      <c r="AB2413" s="163" t="str">
        <f>+IF(Tabla2[[#This Row],[dias de credito]]&gt;=Tabla2[[#This Row],[PLAZO Días]],"venc", "No venc")</f>
        <v>venc</v>
      </c>
      <c r="AC2413" s="163" t="str">
        <f>+IF(Tabla2[[#This Row],[FECHA DE PAGO]]&gt;0,"pagada","por pagar")</f>
        <v>por pagar</v>
      </c>
      <c r="AD2413" s="164" t="str">
        <f>+IF(AND(Tabla2[[#This Row],[venc]]="venc",Tabla2[[#This Row],[estado pago]]="por pagar"),"vencida","no")</f>
        <v>vencida</v>
      </c>
    </row>
    <row r="2414" spans="1:30" ht="19.5" hidden="1" customHeight="1" x14ac:dyDescent="0.25">
      <c r="A2414" s="8"/>
      <c r="B2414" s="8"/>
      <c r="C2414" s="8"/>
      <c r="D2414" s="151"/>
      <c r="E2414" s="151"/>
      <c r="F2414" s="24"/>
      <c r="G2414" s="30"/>
      <c r="H2414" s="81"/>
      <c r="I2414" s="30"/>
      <c r="J2414" s="16"/>
      <c r="K2414" s="9"/>
      <c r="L2414" s="9"/>
      <c r="M2414" s="152"/>
      <c r="N2414" s="153"/>
      <c r="O2414" s="152"/>
      <c r="P2414" s="154"/>
      <c r="Q2414" s="152"/>
      <c r="R2414" s="9"/>
      <c r="Z2414" s="21"/>
      <c r="AA2414" s="162">
        <f>+$AD$5-Tabla2[[#This Row],[FECHA DE FACTURACIÓN]]</f>
        <v>45443</v>
      </c>
      <c r="AB2414" s="163" t="str">
        <f>+IF(Tabla2[[#This Row],[dias de credito]]&gt;=Tabla2[[#This Row],[PLAZO Días]],"venc", "No venc")</f>
        <v>venc</v>
      </c>
      <c r="AC2414" s="163" t="str">
        <f>+IF(Tabla2[[#This Row],[FECHA DE PAGO]]&gt;0,"pagada","por pagar")</f>
        <v>por pagar</v>
      </c>
      <c r="AD2414" s="164" t="str">
        <f>+IF(AND(Tabla2[[#This Row],[venc]]="venc",Tabla2[[#This Row],[estado pago]]="por pagar"),"vencida","no")</f>
        <v>vencida</v>
      </c>
    </row>
    <row r="2415" spans="1:30" ht="19.5" hidden="1" customHeight="1" x14ac:dyDescent="0.25">
      <c r="A2415" s="8"/>
      <c r="B2415" s="8"/>
      <c r="C2415" s="8"/>
      <c r="D2415" s="151"/>
      <c r="E2415" s="151"/>
      <c r="F2415" s="24"/>
      <c r="G2415" s="30"/>
      <c r="H2415" s="81"/>
      <c r="I2415" s="30"/>
      <c r="J2415" s="16"/>
      <c r="K2415" s="9"/>
      <c r="L2415" s="9"/>
      <c r="M2415" s="152"/>
      <c r="N2415" s="153"/>
      <c r="O2415" s="152"/>
      <c r="P2415" s="154"/>
      <c r="Q2415" s="152"/>
      <c r="R2415" s="9"/>
      <c r="Z2415" s="21"/>
      <c r="AA2415" s="162">
        <f>+$AD$5-Tabla2[[#This Row],[FECHA DE FACTURACIÓN]]</f>
        <v>45443</v>
      </c>
      <c r="AB2415" s="163" t="str">
        <f>+IF(Tabla2[[#This Row],[dias de credito]]&gt;=Tabla2[[#This Row],[PLAZO Días]],"venc", "No venc")</f>
        <v>venc</v>
      </c>
      <c r="AC2415" s="163" t="str">
        <f>+IF(Tabla2[[#This Row],[FECHA DE PAGO]]&gt;0,"pagada","por pagar")</f>
        <v>por pagar</v>
      </c>
      <c r="AD2415" s="164" t="str">
        <f>+IF(AND(Tabla2[[#This Row],[venc]]="venc",Tabla2[[#This Row],[estado pago]]="por pagar"),"vencida","no")</f>
        <v>vencida</v>
      </c>
    </row>
    <row r="2416" spans="1:30" ht="19.5" hidden="1" customHeight="1" x14ac:dyDescent="0.25">
      <c r="A2416" s="8"/>
      <c r="B2416" s="8"/>
      <c r="C2416" s="8"/>
      <c r="D2416" s="151"/>
      <c r="E2416" s="151"/>
      <c r="F2416" s="24"/>
      <c r="G2416" s="30"/>
      <c r="H2416" s="81"/>
      <c r="I2416" s="30"/>
      <c r="J2416" s="16"/>
      <c r="K2416" s="9"/>
      <c r="L2416" s="9"/>
      <c r="M2416" s="152"/>
      <c r="N2416" s="153"/>
      <c r="O2416" s="152"/>
      <c r="P2416" s="154"/>
      <c r="Q2416" s="152"/>
      <c r="R2416" s="9"/>
      <c r="Z2416" s="21"/>
      <c r="AA2416" s="162">
        <f>+$AD$5-Tabla2[[#This Row],[FECHA DE FACTURACIÓN]]</f>
        <v>45443</v>
      </c>
      <c r="AB2416" s="163" t="str">
        <f>+IF(Tabla2[[#This Row],[dias de credito]]&gt;=Tabla2[[#This Row],[PLAZO Días]],"venc", "No venc")</f>
        <v>venc</v>
      </c>
      <c r="AC2416" s="163" t="str">
        <f>+IF(Tabla2[[#This Row],[FECHA DE PAGO]]&gt;0,"pagada","por pagar")</f>
        <v>por pagar</v>
      </c>
      <c r="AD2416" s="164" t="str">
        <f>+IF(AND(Tabla2[[#This Row],[venc]]="venc",Tabla2[[#This Row],[estado pago]]="por pagar"),"vencida","no")</f>
        <v>vencida</v>
      </c>
    </row>
    <row r="2417" spans="1:30" ht="19.5" hidden="1" customHeight="1" x14ac:dyDescent="0.25">
      <c r="A2417" s="8"/>
      <c r="B2417" s="8"/>
      <c r="C2417" s="8"/>
      <c r="D2417" s="151"/>
      <c r="E2417" s="151"/>
      <c r="F2417" s="24"/>
      <c r="G2417" s="30"/>
      <c r="H2417" s="81"/>
      <c r="I2417" s="30"/>
      <c r="J2417" s="16"/>
      <c r="K2417" s="9"/>
      <c r="L2417" s="9"/>
      <c r="M2417" s="152"/>
      <c r="N2417" s="153"/>
      <c r="O2417" s="152"/>
      <c r="P2417" s="154"/>
      <c r="Q2417" s="152"/>
      <c r="R2417" s="9"/>
      <c r="Z2417" s="21"/>
      <c r="AA2417" s="162">
        <f>+$AD$5-Tabla2[[#This Row],[FECHA DE FACTURACIÓN]]</f>
        <v>45443</v>
      </c>
      <c r="AB2417" s="163" t="str">
        <f>+IF(Tabla2[[#This Row],[dias de credito]]&gt;=Tabla2[[#This Row],[PLAZO Días]],"venc", "No venc")</f>
        <v>venc</v>
      </c>
      <c r="AC2417" s="163" t="str">
        <f>+IF(Tabla2[[#This Row],[FECHA DE PAGO]]&gt;0,"pagada","por pagar")</f>
        <v>por pagar</v>
      </c>
      <c r="AD2417" s="164" t="str">
        <f>+IF(AND(Tabla2[[#This Row],[venc]]="venc",Tabla2[[#This Row],[estado pago]]="por pagar"),"vencida","no")</f>
        <v>vencida</v>
      </c>
    </row>
    <row r="2418" spans="1:30" ht="19.5" hidden="1" customHeight="1" x14ac:dyDescent="0.25">
      <c r="A2418" s="8"/>
      <c r="B2418" s="8"/>
      <c r="C2418" s="8"/>
      <c r="D2418" s="151"/>
      <c r="E2418" s="151"/>
      <c r="F2418" s="24"/>
      <c r="G2418" s="30"/>
      <c r="H2418" s="81"/>
      <c r="I2418" s="30"/>
      <c r="J2418" s="16"/>
      <c r="K2418" s="9"/>
      <c r="L2418" s="9"/>
      <c r="M2418" s="152"/>
      <c r="N2418" s="153"/>
      <c r="O2418" s="152"/>
      <c r="P2418" s="154"/>
      <c r="Q2418" s="152"/>
      <c r="R2418" s="9"/>
      <c r="Z2418" s="21"/>
      <c r="AA2418" s="162">
        <f>+$AD$5-Tabla2[[#This Row],[FECHA DE FACTURACIÓN]]</f>
        <v>45443</v>
      </c>
      <c r="AB2418" s="163" t="str">
        <f>+IF(Tabla2[[#This Row],[dias de credito]]&gt;=Tabla2[[#This Row],[PLAZO Días]],"venc", "No venc")</f>
        <v>venc</v>
      </c>
      <c r="AC2418" s="163" t="str">
        <f>+IF(Tabla2[[#This Row],[FECHA DE PAGO]]&gt;0,"pagada","por pagar")</f>
        <v>por pagar</v>
      </c>
      <c r="AD2418" s="164" t="str">
        <f>+IF(AND(Tabla2[[#This Row],[venc]]="venc",Tabla2[[#This Row],[estado pago]]="por pagar"),"vencida","no")</f>
        <v>vencida</v>
      </c>
    </row>
    <row r="2419" spans="1:30" ht="19.5" hidden="1" customHeight="1" x14ac:dyDescent="0.25">
      <c r="A2419" s="8"/>
      <c r="B2419" s="8"/>
      <c r="C2419" s="8"/>
      <c r="D2419" s="151"/>
      <c r="E2419" s="151"/>
      <c r="F2419" s="24"/>
      <c r="G2419" s="30"/>
      <c r="H2419" s="81"/>
      <c r="I2419" s="30"/>
      <c r="J2419" s="16"/>
      <c r="K2419" s="9"/>
      <c r="L2419" s="9"/>
      <c r="M2419" s="152"/>
      <c r="N2419" s="153"/>
      <c r="O2419" s="152"/>
      <c r="P2419" s="154"/>
      <c r="Q2419" s="152"/>
      <c r="R2419" s="9"/>
      <c r="Z2419" s="21"/>
      <c r="AA2419" s="162">
        <f>+$AD$5-Tabla2[[#This Row],[FECHA DE FACTURACIÓN]]</f>
        <v>45443</v>
      </c>
      <c r="AB2419" s="163" t="str">
        <f>+IF(Tabla2[[#This Row],[dias de credito]]&gt;=Tabla2[[#This Row],[PLAZO Días]],"venc", "No venc")</f>
        <v>venc</v>
      </c>
      <c r="AC2419" s="163" t="str">
        <f>+IF(Tabla2[[#This Row],[FECHA DE PAGO]]&gt;0,"pagada","por pagar")</f>
        <v>por pagar</v>
      </c>
      <c r="AD2419" s="164" t="str">
        <f>+IF(AND(Tabla2[[#This Row],[venc]]="venc",Tabla2[[#This Row],[estado pago]]="por pagar"),"vencida","no")</f>
        <v>vencida</v>
      </c>
    </row>
    <row r="2420" spans="1:30" ht="19.5" hidden="1" customHeight="1" x14ac:dyDescent="0.25">
      <c r="A2420" s="8"/>
      <c r="B2420" s="8"/>
      <c r="C2420" s="8"/>
      <c r="D2420" s="151"/>
      <c r="E2420" s="151"/>
      <c r="F2420" s="24"/>
      <c r="G2420" s="30"/>
      <c r="H2420" s="81"/>
      <c r="I2420" s="30"/>
      <c r="J2420" s="16"/>
      <c r="K2420" s="9"/>
      <c r="L2420" s="9"/>
      <c r="M2420" s="152"/>
      <c r="N2420" s="153"/>
      <c r="O2420" s="152"/>
      <c r="P2420" s="154"/>
      <c r="Q2420" s="152"/>
      <c r="R2420" s="9"/>
      <c r="Z2420" s="21"/>
      <c r="AA2420" s="162">
        <f>+$AD$5-Tabla2[[#This Row],[FECHA DE FACTURACIÓN]]</f>
        <v>45443</v>
      </c>
      <c r="AB2420" s="163" t="str">
        <f>+IF(Tabla2[[#This Row],[dias de credito]]&gt;=Tabla2[[#This Row],[PLAZO Días]],"venc", "No venc")</f>
        <v>venc</v>
      </c>
      <c r="AC2420" s="163" t="str">
        <f>+IF(Tabla2[[#This Row],[FECHA DE PAGO]]&gt;0,"pagada","por pagar")</f>
        <v>por pagar</v>
      </c>
      <c r="AD2420" s="164" t="str">
        <f>+IF(AND(Tabla2[[#This Row],[venc]]="venc",Tabla2[[#This Row],[estado pago]]="por pagar"),"vencida","no")</f>
        <v>vencida</v>
      </c>
    </row>
    <row r="2421" spans="1:30" ht="19.5" hidden="1" customHeight="1" x14ac:dyDescent="0.25">
      <c r="A2421" s="8"/>
      <c r="B2421" s="8"/>
      <c r="C2421" s="8"/>
      <c r="D2421" s="151"/>
      <c r="E2421" s="151"/>
      <c r="F2421" s="24"/>
      <c r="G2421" s="30"/>
      <c r="H2421" s="81"/>
      <c r="I2421" s="30"/>
      <c r="J2421" s="16"/>
      <c r="K2421" s="9"/>
      <c r="L2421" s="9"/>
      <c r="M2421" s="152"/>
      <c r="N2421" s="153"/>
      <c r="O2421" s="152"/>
      <c r="P2421" s="154"/>
      <c r="Q2421" s="152"/>
      <c r="R2421" s="9"/>
      <c r="Z2421" s="21"/>
      <c r="AA2421" s="162">
        <f>+$AD$5-Tabla2[[#This Row],[FECHA DE FACTURACIÓN]]</f>
        <v>45443</v>
      </c>
      <c r="AB2421" s="163" t="str">
        <f>+IF(Tabla2[[#This Row],[dias de credito]]&gt;=Tabla2[[#This Row],[PLAZO Días]],"venc", "No venc")</f>
        <v>venc</v>
      </c>
      <c r="AC2421" s="163" t="str">
        <f>+IF(Tabla2[[#This Row],[FECHA DE PAGO]]&gt;0,"pagada","por pagar")</f>
        <v>por pagar</v>
      </c>
      <c r="AD2421" s="164" t="str">
        <f>+IF(AND(Tabla2[[#This Row],[venc]]="venc",Tabla2[[#This Row],[estado pago]]="por pagar"),"vencida","no")</f>
        <v>vencida</v>
      </c>
    </row>
    <row r="2422" spans="1:30" ht="19.5" hidden="1" customHeight="1" x14ac:dyDescent="0.25">
      <c r="A2422" s="8"/>
      <c r="B2422" s="8"/>
      <c r="C2422" s="8"/>
      <c r="D2422" s="151"/>
      <c r="E2422" s="151"/>
      <c r="F2422" s="24"/>
      <c r="G2422" s="30"/>
      <c r="H2422" s="81"/>
      <c r="I2422" s="30"/>
      <c r="J2422" s="16"/>
      <c r="K2422" s="9"/>
      <c r="L2422" s="9"/>
      <c r="M2422" s="152"/>
      <c r="N2422" s="153"/>
      <c r="O2422" s="152"/>
      <c r="P2422" s="154"/>
      <c r="Q2422" s="152"/>
      <c r="R2422" s="9"/>
      <c r="Z2422" s="21"/>
      <c r="AA2422" s="162">
        <f>+$AD$5-Tabla2[[#This Row],[FECHA DE FACTURACIÓN]]</f>
        <v>45443</v>
      </c>
      <c r="AB2422" s="163" t="str">
        <f>+IF(Tabla2[[#This Row],[dias de credito]]&gt;=Tabla2[[#This Row],[PLAZO Días]],"venc", "No venc")</f>
        <v>venc</v>
      </c>
      <c r="AC2422" s="163" t="str">
        <f>+IF(Tabla2[[#This Row],[FECHA DE PAGO]]&gt;0,"pagada","por pagar")</f>
        <v>por pagar</v>
      </c>
      <c r="AD2422" s="164" t="str">
        <f>+IF(AND(Tabla2[[#This Row],[venc]]="venc",Tabla2[[#This Row],[estado pago]]="por pagar"),"vencida","no")</f>
        <v>vencida</v>
      </c>
    </row>
    <row r="2423" spans="1:30" ht="19.5" hidden="1" customHeight="1" x14ac:dyDescent="0.25">
      <c r="A2423" s="8"/>
      <c r="B2423" s="8"/>
      <c r="C2423" s="8"/>
      <c r="D2423" s="151"/>
      <c r="E2423" s="151"/>
      <c r="F2423" s="24"/>
      <c r="G2423" s="30"/>
      <c r="H2423" s="81"/>
      <c r="I2423" s="30"/>
      <c r="J2423" s="16"/>
      <c r="K2423" s="9"/>
      <c r="L2423" s="9"/>
      <c r="M2423" s="152"/>
      <c r="N2423" s="153"/>
      <c r="O2423" s="152"/>
      <c r="P2423" s="154"/>
      <c r="Q2423" s="152"/>
      <c r="R2423" s="9"/>
      <c r="Z2423" s="21"/>
      <c r="AA2423" s="162">
        <f>+$AD$5-Tabla2[[#This Row],[FECHA DE FACTURACIÓN]]</f>
        <v>45443</v>
      </c>
      <c r="AB2423" s="163" t="str">
        <f>+IF(Tabla2[[#This Row],[dias de credito]]&gt;=Tabla2[[#This Row],[PLAZO Días]],"venc", "No venc")</f>
        <v>venc</v>
      </c>
      <c r="AC2423" s="163" t="str">
        <f>+IF(Tabla2[[#This Row],[FECHA DE PAGO]]&gt;0,"pagada","por pagar")</f>
        <v>por pagar</v>
      </c>
      <c r="AD2423" s="164" t="str">
        <f>+IF(AND(Tabla2[[#This Row],[venc]]="venc",Tabla2[[#This Row],[estado pago]]="por pagar"),"vencida","no")</f>
        <v>vencida</v>
      </c>
    </row>
    <row r="2424" spans="1:30" ht="19.5" hidden="1" customHeight="1" x14ac:dyDescent="0.25">
      <c r="A2424" s="8"/>
      <c r="B2424" s="8"/>
      <c r="C2424" s="8"/>
      <c r="D2424" s="151"/>
      <c r="E2424" s="151"/>
      <c r="F2424" s="24"/>
      <c r="G2424" s="30"/>
      <c r="H2424" s="81"/>
      <c r="I2424" s="30"/>
      <c r="J2424" s="16"/>
      <c r="K2424" s="9"/>
      <c r="L2424" s="9"/>
      <c r="M2424" s="152"/>
      <c r="N2424" s="153"/>
      <c r="O2424" s="152"/>
      <c r="P2424" s="154"/>
      <c r="Q2424" s="152"/>
      <c r="R2424" s="9"/>
      <c r="Z2424" s="21"/>
      <c r="AA2424" s="162">
        <f>+$AD$5-Tabla2[[#This Row],[FECHA DE FACTURACIÓN]]</f>
        <v>45443</v>
      </c>
      <c r="AB2424" s="163" t="str">
        <f>+IF(Tabla2[[#This Row],[dias de credito]]&gt;=Tabla2[[#This Row],[PLAZO Días]],"venc", "No venc")</f>
        <v>venc</v>
      </c>
      <c r="AC2424" s="163" t="str">
        <f>+IF(Tabla2[[#This Row],[FECHA DE PAGO]]&gt;0,"pagada","por pagar")</f>
        <v>por pagar</v>
      </c>
      <c r="AD2424" s="164" t="str">
        <f>+IF(AND(Tabla2[[#This Row],[venc]]="venc",Tabla2[[#This Row],[estado pago]]="por pagar"),"vencida","no")</f>
        <v>vencida</v>
      </c>
    </row>
    <row r="2425" spans="1:30" ht="19.5" hidden="1" customHeight="1" x14ac:dyDescent="0.25">
      <c r="A2425" s="8"/>
      <c r="B2425" s="8"/>
      <c r="C2425" s="8"/>
      <c r="D2425" s="151"/>
      <c r="E2425" s="151"/>
      <c r="F2425" s="24"/>
      <c r="G2425" s="30"/>
      <c r="H2425" s="81"/>
      <c r="I2425" s="30"/>
      <c r="J2425" s="16"/>
      <c r="K2425" s="9"/>
      <c r="L2425" s="9"/>
      <c r="M2425" s="152"/>
      <c r="N2425" s="153"/>
      <c r="O2425" s="152"/>
      <c r="P2425" s="154"/>
      <c r="Q2425" s="152"/>
      <c r="R2425" s="9"/>
      <c r="Z2425" s="21"/>
      <c r="AA2425" s="162">
        <f>+$AD$5-Tabla2[[#This Row],[FECHA DE FACTURACIÓN]]</f>
        <v>45443</v>
      </c>
      <c r="AB2425" s="163" t="str">
        <f>+IF(Tabla2[[#This Row],[dias de credito]]&gt;=Tabla2[[#This Row],[PLAZO Días]],"venc", "No venc")</f>
        <v>venc</v>
      </c>
      <c r="AC2425" s="163" t="str">
        <f>+IF(Tabla2[[#This Row],[FECHA DE PAGO]]&gt;0,"pagada","por pagar")</f>
        <v>por pagar</v>
      </c>
      <c r="AD2425" s="164" t="str">
        <f>+IF(AND(Tabla2[[#This Row],[venc]]="venc",Tabla2[[#This Row],[estado pago]]="por pagar"),"vencida","no")</f>
        <v>vencida</v>
      </c>
    </row>
    <row r="2426" spans="1:30" ht="19.5" hidden="1" customHeight="1" x14ac:dyDescent="0.25">
      <c r="A2426" s="8"/>
      <c r="B2426" s="8"/>
      <c r="C2426" s="8"/>
      <c r="D2426" s="151"/>
      <c r="E2426" s="151"/>
      <c r="F2426" s="24"/>
      <c r="G2426" s="30"/>
      <c r="H2426" s="81"/>
      <c r="I2426" s="30"/>
      <c r="J2426" s="16"/>
      <c r="K2426" s="9"/>
      <c r="L2426" s="9"/>
      <c r="M2426" s="152"/>
      <c r="N2426" s="153"/>
      <c r="O2426" s="152"/>
      <c r="P2426" s="154"/>
      <c r="Q2426" s="152"/>
      <c r="R2426" s="9"/>
      <c r="Z2426" s="21"/>
      <c r="AA2426" s="162">
        <f>+$AD$5-Tabla2[[#This Row],[FECHA DE FACTURACIÓN]]</f>
        <v>45443</v>
      </c>
      <c r="AB2426" s="163" t="str">
        <f>+IF(Tabla2[[#This Row],[dias de credito]]&gt;=Tabla2[[#This Row],[PLAZO Días]],"venc", "No venc")</f>
        <v>venc</v>
      </c>
      <c r="AC2426" s="163" t="str">
        <f>+IF(Tabla2[[#This Row],[FECHA DE PAGO]]&gt;0,"pagada","por pagar")</f>
        <v>por pagar</v>
      </c>
      <c r="AD2426" s="164" t="str">
        <f>+IF(AND(Tabla2[[#This Row],[venc]]="venc",Tabla2[[#This Row],[estado pago]]="por pagar"),"vencida","no")</f>
        <v>vencida</v>
      </c>
    </row>
    <row r="2427" spans="1:30" ht="19.5" hidden="1" customHeight="1" x14ac:dyDescent="0.25">
      <c r="A2427" s="8"/>
      <c r="B2427" s="8"/>
      <c r="C2427" s="8"/>
      <c r="D2427" s="151"/>
      <c r="E2427" s="151"/>
      <c r="F2427" s="24"/>
      <c r="G2427" s="30"/>
      <c r="H2427" s="81"/>
      <c r="I2427" s="30"/>
      <c r="J2427" s="16"/>
      <c r="K2427" s="9"/>
      <c r="L2427" s="9"/>
      <c r="M2427" s="152"/>
      <c r="N2427" s="153"/>
      <c r="O2427" s="152"/>
      <c r="P2427" s="154"/>
      <c r="Q2427" s="152"/>
      <c r="R2427" s="9"/>
      <c r="Z2427" s="21"/>
      <c r="AA2427" s="162">
        <f>+$AD$5-Tabla2[[#This Row],[FECHA DE FACTURACIÓN]]</f>
        <v>45443</v>
      </c>
      <c r="AB2427" s="163" t="str">
        <f>+IF(Tabla2[[#This Row],[dias de credito]]&gt;=Tabla2[[#This Row],[PLAZO Días]],"venc", "No venc")</f>
        <v>venc</v>
      </c>
      <c r="AC2427" s="163" t="str">
        <f>+IF(Tabla2[[#This Row],[FECHA DE PAGO]]&gt;0,"pagada","por pagar")</f>
        <v>por pagar</v>
      </c>
      <c r="AD2427" s="164" t="str">
        <f>+IF(AND(Tabla2[[#This Row],[venc]]="venc",Tabla2[[#This Row],[estado pago]]="por pagar"),"vencida","no")</f>
        <v>vencida</v>
      </c>
    </row>
    <row r="2428" spans="1:30" ht="19.5" hidden="1" customHeight="1" x14ac:dyDescent="0.25">
      <c r="A2428" s="8"/>
      <c r="B2428" s="8"/>
      <c r="C2428" s="8"/>
      <c r="D2428" s="151"/>
      <c r="E2428" s="151"/>
      <c r="F2428" s="24"/>
      <c r="G2428" s="30"/>
      <c r="H2428" s="81"/>
      <c r="I2428" s="30"/>
      <c r="J2428" s="16"/>
      <c r="K2428" s="9"/>
      <c r="L2428" s="9"/>
      <c r="M2428" s="152"/>
      <c r="N2428" s="153"/>
      <c r="O2428" s="152"/>
      <c r="P2428" s="154"/>
      <c r="Q2428" s="152"/>
      <c r="R2428" s="9"/>
      <c r="Z2428" s="21"/>
      <c r="AA2428" s="162">
        <f>+$AD$5-Tabla2[[#This Row],[FECHA DE FACTURACIÓN]]</f>
        <v>45443</v>
      </c>
      <c r="AB2428" s="163" t="str">
        <f>+IF(Tabla2[[#This Row],[dias de credito]]&gt;=Tabla2[[#This Row],[PLAZO Días]],"venc", "No venc")</f>
        <v>venc</v>
      </c>
      <c r="AC2428" s="163" t="str">
        <f>+IF(Tabla2[[#This Row],[FECHA DE PAGO]]&gt;0,"pagada","por pagar")</f>
        <v>por pagar</v>
      </c>
      <c r="AD2428" s="164" t="str">
        <f>+IF(AND(Tabla2[[#This Row],[venc]]="venc",Tabla2[[#This Row],[estado pago]]="por pagar"),"vencida","no")</f>
        <v>vencida</v>
      </c>
    </row>
    <row r="2429" spans="1:30" ht="19.5" hidden="1" customHeight="1" x14ac:dyDescent="0.25">
      <c r="A2429" s="8"/>
      <c r="B2429" s="8"/>
      <c r="C2429" s="8"/>
      <c r="D2429" s="151"/>
      <c r="E2429" s="151"/>
      <c r="F2429" s="24"/>
      <c r="G2429" s="30"/>
      <c r="H2429" s="81"/>
      <c r="I2429" s="30"/>
      <c r="J2429" s="16"/>
      <c r="K2429" s="9"/>
      <c r="L2429" s="9"/>
      <c r="M2429" s="152"/>
      <c r="N2429" s="153"/>
      <c r="O2429" s="152"/>
      <c r="P2429" s="154"/>
      <c r="Q2429" s="152"/>
      <c r="R2429" s="9"/>
      <c r="Z2429" s="21"/>
      <c r="AA2429" s="162">
        <f>+$AD$5-Tabla2[[#This Row],[FECHA DE FACTURACIÓN]]</f>
        <v>45443</v>
      </c>
      <c r="AB2429" s="163" t="str">
        <f>+IF(Tabla2[[#This Row],[dias de credito]]&gt;=Tabla2[[#This Row],[PLAZO Días]],"venc", "No venc")</f>
        <v>venc</v>
      </c>
      <c r="AC2429" s="163" t="str">
        <f>+IF(Tabla2[[#This Row],[FECHA DE PAGO]]&gt;0,"pagada","por pagar")</f>
        <v>por pagar</v>
      </c>
      <c r="AD2429" s="164" t="str">
        <f>+IF(AND(Tabla2[[#This Row],[venc]]="venc",Tabla2[[#This Row],[estado pago]]="por pagar"),"vencida","no")</f>
        <v>vencida</v>
      </c>
    </row>
    <row r="2430" spans="1:30" ht="19.5" hidden="1" customHeight="1" x14ac:dyDescent="0.25">
      <c r="A2430" s="8"/>
      <c r="B2430" s="8"/>
      <c r="C2430" s="8"/>
      <c r="D2430" s="151"/>
      <c r="E2430" s="151"/>
      <c r="F2430" s="24"/>
      <c r="G2430" s="30"/>
      <c r="H2430" s="81"/>
      <c r="I2430" s="30"/>
      <c r="J2430" s="16"/>
      <c r="K2430" s="9"/>
      <c r="L2430" s="9"/>
      <c r="M2430" s="152"/>
      <c r="N2430" s="153"/>
      <c r="O2430" s="152"/>
      <c r="P2430" s="154"/>
      <c r="Q2430" s="152"/>
      <c r="R2430" s="9"/>
      <c r="Z2430" s="21"/>
      <c r="AA2430" s="162">
        <f>+$AD$5-Tabla2[[#This Row],[FECHA DE FACTURACIÓN]]</f>
        <v>45443</v>
      </c>
      <c r="AB2430" s="163" t="str">
        <f>+IF(Tabla2[[#This Row],[dias de credito]]&gt;=Tabla2[[#This Row],[PLAZO Días]],"venc", "No venc")</f>
        <v>venc</v>
      </c>
      <c r="AC2430" s="163" t="str">
        <f>+IF(Tabla2[[#This Row],[FECHA DE PAGO]]&gt;0,"pagada","por pagar")</f>
        <v>por pagar</v>
      </c>
      <c r="AD2430" s="164" t="str">
        <f>+IF(AND(Tabla2[[#This Row],[venc]]="venc",Tabla2[[#This Row],[estado pago]]="por pagar"),"vencida","no")</f>
        <v>vencida</v>
      </c>
    </row>
    <row r="2431" spans="1:30" ht="19.5" hidden="1" customHeight="1" x14ac:dyDescent="0.25">
      <c r="A2431" s="8"/>
      <c r="B2431" s="8"/>
      <c r="C2431" s="8"/>
      <c r="D2431" s="151"/>
      <c r="E2431" s="151"/>
      <c r="F2431" s="24"/>
      <c r="G2431" s="30"/>
      <c r="H2431" s="81"/>
      <c r="I2431" s="30"/>
      <c r="J2431" s="16"/>
      <c r="K2431" s="9"/>
      <c r="L2431" s="9"/>
      <c r="M2431" s="152"/>
      <c r="N2431" s="153"/>
      <c r="O2431" s="152"/>
      <c r="P2431" s="154"/>
      <c r="Q2431" s="152"/>
      <c r="R2431" s="9"/>
      <c r="Z2431" s="21"/>
      <c r="AA2431" s="162">
        <f>+$AD$5-Tabla2[[#This Row],[FECHA DE FACTURACIÓN]]</f>
        <v>45443</v>
      </c>
      <c r="AB2431" s="163" t="str">
        <f>+IF(Tabla2[[#This Row],[dias de credito]]&gt;=Tabla2[[#This Row],[PLAZO Días]],"venc", "No venc")</f>
        <v>venc</v>
      </c>
      <c r="AC2431" s="163" t="str">
        <f>+IF(Tabla2[[#This Row],[FECHA DE PAGO]]&gt;0,"pagada","por pagar")</f>
        <v>por pagar</v>
      </c>
      <c r="AD2431" s="164" t="str">
        <f>+IF(AND(Tabla2[[#This Row],[venc]]="venc",Tabla2[[#This Row],[estado pago]]="por pagar"),"vencida","no")</f>
        <v>vencida</v>
      </c>
    </row>
    <row r="2432" spans="1:30" ht="19.5" hidden="1" customHeight="1" x14ac:dyDescent="0.25">
      <c r="A2432" s="8"/>
      <c r="B2432" s="8"/>
      <c r="C2432" s="8"/>
      <c r="D2432" s="151"/>
      <c r="E2432" s="151"/>
      <c r="F2432" s="24"/>
      <c r="G2432" s="30"/>
      <c r="H2432" s="81"/>
      <c r="I2432" s="30"/>
      <c r="J2432" s="16"/>
      <c r="K2432" s="9"/>
      <c r="L2432" s="9"/>
      <c r="M2432" s="152"/>
      <c r="N2432" s="153"/>
      <c r="O2432" s="152"/>
      <c r="P2432" s="154"/>
      <c r="Q2432" s="152"/>
      <c r="R2432" s="9"/>
      <c r="Z2432" s="21"/>
      <c r="AA2432" s="162">
        <f>+$AD$5-Tabla2[[#This Row],[FECHA DE FACTURACIÓN]]</f>
        <v>45443</v>
      </c>
      <c r="AB2432" s="163" t="str">
        <f>+IF(Tabla2[[#This Row],[dias de credito]]&gt;=Tabla2[[#This Row],[PLAZO Días]],"venc", "No venc")</f>
        <v>venc</v>
      </c>
      <c r="AC2432" s="163" t="str">
        <f>+IF(Tabla2[[#This Row],[FECHA DE PAGO]]&gt;0,"pagada","por pagar")</f>
        <v>por pagar</v>
      </c>
      <c r="AD2432" s="164" t="str">
        <f>+IF(AND(Tabla2[[#This Row],[venc]]="venc",Tabla2[[#This Row],[estado pago]]="por pagar"),"vencida","no")</f>
        <v>vencida</v>
      </c>
    </row>
    <row r="2433" spans="1:30" ht="19.5" hidden="1" customHeight="1" x14ac:dyDescent="0.25">
      <c r="A2433" s="8"/>
      <c r="B2433" s="8"/>
      <c r="C2433" s="8"/>
      <c r="D2433" s="151"/>
      <c r="E2433" s="151"/>
      <c r="F2433" s="24"/>
      <c r="G2433" s="30"/>
      <c r="H2433" s="81"/>
      <c r="I2433" s="30"/>
      <c r="J2433" s="16"/>
      <c r="K2433" s="9"/>
      <c r="L2433" s="9"/>
      <c r="M2433" s="152"/>
      <c r="N2433" s="153"/>
      <c r="O2433" s="152"/>
      <c r="P2433" s="154"/>
      <c r="Q2433" s="152"/>
      <c r="R2433" s="9"/>
      <c r="Z2433" s="21"/>
      <c r="AA2433" s="162">
        <f>+$AD$5-Tabla2[[#This Row],[FECHA DE FACTURACIÓN]]</f>
        <v>45443</v>
      </c>
      <c r="AB2433" s="163" t="str">
        <f>+IF(Tabla2[[#This Row],[dias de credito]]&gt;=Tabla2[[#This Row],[PLAZO Días]],"venc", "No venc")</f>
        <v>venc</v>
      </c>
      <c r="AC2433" s="163" t="str">
        <f>+IF(Tabla2[[#This Row],[FECHA DE PAGO]]&gt;0,"pagada","por pagar")</f>
        <v>por pagar</v>
      </c>
      <c r="AD2433" s="164" t="str">
        <f>+IF(AND(Tabla2[[#This Row],[venc]]="venc",Tabla2[[#This Row],[estado pago]]="por pagar"),"vencida","no")</f>
        <v>vencida</v>
      </c>
    </row>
    <row r="2434" spans="1:30" ht="19.5" hidden="1" customHeight="1" x14ac:dyDescent="0.25">
      <c r="A2434" s="8"/>
      <c r="B2434" s="8"/>
      <c r="C2434" s="8"/>
      <c r="D2434" s="151"/>
      <c r="E2434" s="151"/>
      <c r="F2434" s="24"/>
      <c r="G2434" s="30"/>
      <c r="H2434" s="81"/>
      <c r="I2434" s="30"/>
      <c r="J2434" s="16"/>
      <c r="K2434" s="9"/>
      <c r="L2434" s="9"/>
      <c r="M2434" s="152"/>
      <c r="N2434" s="153"/>
      <c r="O2434" s="152"/>
      <c r="P2434" s="154"/>
      <c r="Q2434" s="152"/>
      <c r="R2434" s="9"/>
      <c r="Z2434" s="21"/>
      <c r="AA2434" s="162">
        <f>+$AD$5-Tabla2[[#This Row],[FECHA DE FACTURACIÓN]]</f>
        <v>45443</v>
      </c>
      <c r="AB2434" s="163" t="str">
        <f>+IF(Tabla2[[#This Row],[dias de credito]]&gt;=Tabla2[[#This Row],[PLAZO Días]],"venc", "No venc")</f>
        <v>venc</v>
      </c>
      <c r="AC2434" s="163" t="str">
        <f>+IF(Tabla2[[#This Row],[FECHA DE PAGO]]&gt;0,"pagada","por pagar")</f>
        <v>por pagar</v>
      </c>
      <c r="AD2434" s="164" t="str">
        <f>+IF(AND(Tabla2[[#This Row],[venc]]="venc",Tabla2[[#This Row],[estado pago]]="por pagar"),"vencida","no")</f>
        <v>vencida</v>
      </c>
    </row>
    <row r="2435" spans="1:30" ht="19.5" hidden="1" customHeight="1" x14ac:dyDescent="0.25">
      <c r="A2435" s="8"/>
      <c r="B2435" s="8"/>
      <c r="C2435" s="8"/>
      <c r="D2435" s="151"/>
      <c r="E2435" s="151"/>
      <c r="F2435" s="24"/>
      <c r="G2435" s="30"/>
      <c r="H2435" s="81"/>
      <c r="I2435" s="30"/>
      <c r="J2435" s="16"/>
      <c r="K2435" s="9"/>
      <c r="L2435" s="9"/>
      <c r="M2435" s="152"/>
      <c r="N2435" s="153"/>
      <c r="O2435" s="152"/>
      <c r="P2435" s="154"/>
      <c r="Q2435" s="152"/>
      <c r="R2435" s="9"/>
      <c r="Z2435" s="21"/>
      <c r="AA2435" s="162">
        <f>+$AD$5-Tabla2[[#This Row],[FECHA DE FACTURACIÓN]]</f>
        <v>45443</v>
      </c>
      <c r="AB2435" s="163" t="str">
        <f>+IF(Tabla2[[#This Row],[dias de credito]]&gt;=Tabla2[[#This Row],[PLAZO Días]],"venc", "No venc")</f>
        <v>venc</v>
      </c>
      <c r="AC2435" s="163" t="str">
        <f>+IF(Tabla2[[#This Row],[FECHA DE PAGO]]&gt;0,"pagada","por pagar")</f>
        <v>por pagar</v>
      </c>
      <c r="AD2435" s="164" t="str">
        <f>+IF(AND(Tabla2[[#This Row],[venc]]="venc",Tabla2[[#This Row],[estado pago]]="por pagar"),"vencida","no")</f>
        <v>vencida</v>
      </c>
    </row>
    <row r="2436" spans="1:30" ht="19.5" hidden="1" customHeight="1" x14ac:dyDescent="0.25">
      <c r="A2436" s="8"/>
      <c r="B2436" s="8"/>
      <c r="C2436" s="8"/>
      <c r="D2436" s="151"/>
      <c r="E2436" s="151"/>
      <c r="F2436" s="24"/>
      <c r="G2436" s="30"/>
      <c r="H2436" s="81"/>
      <c r="I2436" s="30"/>
      <c r="J2436" s="16"/>
      <c r="K2436" s="9"/>
      <c r="L2436" s="9"/>
      <c r="M2436" s="152"/>
      <c r="N2436" s="153"/>
      <c r="O2436" s="152"/>
      <c r="P2436" s="154"/>
      <c r="Q2436" s="152"/>
      <c r="R2436" s="9"/>
      <c r="Z2436" s="21"/>
      <c r="AA2436" s="162">
        <f>+$AD$5-Tabla2[[#This Row],[FECHA DE FACTURACIÓN]]</f>
        <v>45443</v>
      </c>
      <c r="AB2436" s="163" t="str">
        <f>+IF(Tabla2[[#This Row],[dias de credito]]&gt;=Tabla2[[#This Row],[PLAZO Días]],"venc", "No venc")</f>
        <v>venc</v>
      </c>
      <c r="AC2436" s="163" t="str">
        <f>+IF(Tabla2[[#This Row],[FECHA DE PAGO]]&gt;0,"pagada","por pagar")</f>
        <v>por pagar</v>
      </c>
      <c r="AD2436" s="164" t="str">
        <f>+IF(AND(Tabla2[[#This Row],[venc]]="venc",Tabla2[[#This Row],[estado pago]]="por pagar"),"vencida","no")</f>
        <v>vencida</v>
      </c>
    </row>
    <row r="2437" spans="1:30" ht="19.5" hidden="1" customHeight="1" x14ac:dyDescent="0.25">
      <c r="A2437" s="8"/>
      <c r="B2437" s="8"/>
      <c r="C2437" s="8"/>
      <c r="D2437" s="151"/>
      <c r="E2437" s="151"/>
      <c r="F2437" s="24"/>
      <c r="G2437" s="30"/>
      <c r="H2437" s="81"/>
      <c r="I2437" s="30"/>
      <c r="J2437" s="16"/>
      <c r="K2437" s="9"/>
      <c r="L2437" s="9"/>
      <c r="M2437" s="152"/>
      <c r="N2437" s="153"/>
      <c r="O2437" s="152"/>
      <c r="P2437" s="154"/>
      <c r="Q2437" s="152"/>
      <c r="R2437" s="9"/>
      <c r="Z2437" s="21"/>
      <c r="AA2437" s="162">
        <f>+$AD$5-Tabla2[[#This Row],[FECHA DE FACTURACIÓN]]</f>
        <v>45443</v>
      </c>
      <c r="AB2437" s="163" t="str">
        <f>+IF(Tabla2[[#This Row],[dias de credito]]&gt;=Tabla2[[#This Row],[PLAZO Días]],"venc", "No venc")</f>
        <v>venc</v>
      </c>
      <c r="AC2437" s="163" t="str">
        <f>+IF(Tabla2[[#This Row],[FECHA DE PAGO]]&gt;0,"pagada","por pagar")</f>
        <v>por pagar</v>
      </c>
      <c r="AD2437" s="164" t="str">
        <f>+IF(AND(Tabla2[[#This Row],[venc]]="venc",Tabla2[[#This Row],[estado pago]]="por pagar"),"vencida","no")</f>
        <v>vencida</v>
      </c>
    </row>
    <row r="2438" spans="1:30" ht="19.5" hidden="1" customHeight="1" x14ac:dyDescent="0.25">
      <c r="A2438" s="8"/>
      <c r="B2438" s="8"/>
      <c r="C2438" s="8"/>
      <c r="D2438" s="151"/>
      <c r="E2438" s="151"/>
      <c r="F2438" s="24"/>
      <c r="G2438" s="30"/>
      <c r="H2438" s="81"/>
      <c r="I2438" s="30"/>
      <c r="J2438" s="16"/>
      <c r="K2438" s="9"/>
      <c r="L2438" s="9"/>
      <c r="M2438" s="152"/>
      <c r="N2438" s="153"/>
      <c r="O2438" s="152"/>
      <c r="P2438" s="154"/>
      <c r="Q2438" s="152"/>
      <c r="R2438" s="9"/>
      <c r="Z2438" s="21"/>
      <c r="AA2438" s="162">
        <f>+$AD$5-Tabla2[[#This Row],[FECHA DE FACTURACIÓN]]</f>
        <v>45443</v>
      </c>
      <c r="AB2438" s="163" t="str">
        <f>+IF(Tabla2[[#This Row],[dias de credito]]&gt;=Tabla2[[#This Row],[PLAZO Días]],"venc", "No venc")</f>
        <v>venc</v>
      </c>
      <c r="AC2438" s="163" t="str">
        <f>+IF(Tabla2[[#This Row],[FECHA DE PAGO]]&gt;0,"pagada","por pagar")</f>
        <v>por pagar</v>
      </c>
      <c r="AD2438" s="164" t="str">
        <f>+IF(AND(Tabla2[[#This Row],[venc]]="venc",Tabla2[[#This Row],[estado pago]]="por pagar"),"vencida","no")</f>
        <v>vencida</v>
      </c>
    </row>
    <row r="2439" spans="1:30" ht="19.5" hidden="1" customHeight="1" x14ac:dyDescent="0.25">
      <c r="A2439" s="8"/>
      <c r="B2439" s="8"/>
      <c r="C2439" s="8"/>
      <c r="D2439" s="151"/>
      <c r="E2439" s="151"/>
      <c r="F2439" s="24"/>
      <c r="G2439" s="30"/>
      <c r="H2439" s="81"/>
      <c r="I2439" s="30"/>
      <c r="J2439" s="16"/>
      <c r="K2439" s="9"/>
      <c r="L2439" s="9"/>
      <c r="M2439" s="152"/>
      <c r="N2439" s="153"/>
      <c r="O2439" s="152"/>
      <c r="P2439" s="154"/>
      <c r="Q2439" s="152"/>
      <c r="R2439" s="9"/>
      <c r="Z2439" s="21"/>
      <c r="AA2439" s="162">
        <f>+$AD$5-Tabla2[[#This Row],[FECHA DE FACTURACIÓN]]</f>
        <v>45443</v>
      </c>
      <c r="AB2439" s="163" t="str">
        <f>+IF(Tabla2[[#This Row],[dias de credito]]&gt;=Tabla2[[#This Row],[PLAZO Días]],"venc", "No venc")</f>
        <v>venc</v>
      </c>
      <c r="AC2439" s="163" t="str">
        <f>+IF(Tabla2[[#This Row],[FECHA DE PAGO]]&gt;0,"pagada","por pagar")</f>
        <v>por pagar</v>
      </c>
      <c r="AD2439" s="164" t="str">
        <f>+IF(AND(Tabla2[[#This Row],[venc]]="venc",Tabla2[[#This Row],[estado pago]]="por pagar"),"vencida","no")</f>
        <v>vencida</v>
      </c>
    </row>
    <row r="2440" spans="1:30" ht="19.5" hidden="1" customHeight="1" x14ac:dyDescent="0.25">
      <c r="A2440" s="8"/>
      <c r="B2440" s="8"/>
      <c r="C2440" s="8"/>
      <c r="D2440" s="151"/>
      <c r="E2440" s="151"/>
      <c r="F2440" s="24"/>
      <c r="G2440" s="30"/>
      <c r="H2440" s="81"/>
      <c r="I2440" s="30"/>
      <c r="J2440" s="16"/>
      <c r="K2440" s="9"/>
      <c r="L2440" s="9"/>
      <c r="M2440" s="152"/>
      <c r="N2440" s="153"/>
      <c r="O2440" s="152"/>
      <c r="P2440" s="154"/>
      <c r="Q2440" s="152"/>
      <c r="R2440" s="9"/>
      <c r="Z2440" s="21"/>
      <c r="AA2440" s="162">
        <f>+$AD$5-Tabla2[[#This Row],[FECHA DE FACTURACIÓN]]</f>
        <v>45443</v>
      </c>
      <c r="AB2440" s="163" t="str">
        <f>+IF(Tabla2[[#This Row],[dias de credito]]&gt;=Tabla2[[#This Row],[PLAZO Días]],"venc", "No venc")</f>
        <v>venc</v>
      </c>
      <c r="AC2440" s="163" t="str">
        <f>+IF(Tabla2[[#This Row],[FECHA DE PAGO]]&gt;0,"pagada","por pagar")</f>
        <v>por pagar</v>
      </c>
      <c r="AD2440" s="164" t="str">
        <f>+IF(AND(Tabla2[[#This Row],[venc]]="venc",Tabla2[[#This Row],[estado pago]]="por pagar"),"vencida","no")</f>
        <v>vencida</v>
      </c>
    </row>
    <row r="2441" spans="1:30" ht="19.5" hidden="1" customHeight="1" x14ac:dyDescent="0.25">
      <c r="A2441" s="8"/>
      <c r="B2441" s="8"/>
      <c r="C2441" s="8"/>
      <c r="D2441" s="151"/>
      <c r="E2441" s="151"/>
      <c r="F2441" s="24"/>
      <c r="G2441" s="30"/>
      <c r="H2441" s="81"/>
      <c r="I2441" s="30"/>
      <c r="J2441" s="16"/>
      <c r="K2441" s="9"/>
      <c r="L2441" s="9"/>
      <c r="M2441" s="152"/>
      <c r="N2441" s="153"/>
      <c r="O2441" s="152"/>
      <c r="P2441" s="154"/>
      <c r="Q2441" s="152"/>
      <c r="R2441" s="9"/>
      <c r="Z2441" s="21"/>
      <c r="AA2441" s="162">
        <f>+$AD$5-Tabla2[[#This Row],[FECHA DE FACTURACIÓN]]</f>
        <v>45443</v>
      </c>
      <c r="AB2441" s="163" t="str">
        <f>+IF(Tabla2[[#This Row],[dias de credito]]&gt;=Tabla2[[#This Row],[PLAZO Días]],"venc", "No venc")</f>
        <v>venc</v>
      </c>
      <c r="AC2441" s="163" t="str">
        <f>+IF(Tabla2[[#This Row],[FECHA DE PAGO]]&gt;0,"pagada","por pagar")</f>
        <v>por pagar</v>
      </c>
      <c r="AD2441" s="164" t="str">
        <f>+IF(AND(Tabla2[[#This Row],[venc]]="venc",Tabla2[[#This Row],[estado pago]]="por pagar"),"vencida","no")</f>
        <v>vencida</v>
      </c>
    </row>
    <row r="2442" spans="1:30" ht="19.5" hidden="1" customHeight="1" x14ac:dyDescent="0.25">
      <c r="A2442" s="8"/>
      <c r="B2442" s="8"/>
      <c r="C2442" s="8"/>
      <c r="D2442" s="151"/>
      <c r="E2442" s="151"/>
      <c r="F2442" s="24"/>
      <c r="G2442" s="30"/>
      <c r="H2442" s="81"/>
      <c r="I2442" s="30"/>
      <c r="J2442" s="16"/>
      <c r="K2442" s="9"/>
      <c r="L2442" s="9"/>
      <c r="M2442" s="152"/>
      <c r="N2442" s="153"/>
      <c r="O2442" s="152"/>
      <c r="P2442" s="154"/>
      <c r="Q2442" s="152"/>
      <c r="R2442" s="9"/>
      <c r="Z2442" s="21"/>
      <c r="AA2442" s="162">
        <f>+$AD$5-Tabla2[[#This Row],[FECHA DE FACTURACIÓN]]</f>
        <v>45443</v>
      </c>
      <c r="AB2442" s="163" t="str">
        <f>+IF(Tabla2[[#This Row],[dias de credito]]&gt;=Tabla2[[#This Row],[PLAZO Días]],"venc", "No venc")</f>
        <v>venc</v>
      </c>
      <c r="AC2442" s="163" t="str">
        <f>+IF(Tabla2[[#This Row],[FECHA DE PAGO]]&gt;0,"pagada","por pagar")</f>
        <v>por pagar</v>
      </c>
      <c r="AD2442" s="164" t="str">
        <f>+IF(AND(Tabla2[[#This Row],[venc]]="venc",Tabla2[[#This Row],[estado pago]]="por pagar"),"vencida","no")</f>
        <v>vencida</v>
      </c>
    </row>
    <row r="2443" spans="1:30" ht="19.5" hidden="1" customHeight="1" x14ac:dyDescent="0.25">
      <c r="A2443" s="8"/>
      <c r="B2443" s="8"/>
      <c r="C2443" s="8"/>
      <c r="D2443" s="151"/>
      <c r="E2443" s="151"/>
      <c r="F2443" s="24"/>
      <c r="G2443" s="30"/>
      <c r="H2443" s="81"/>
      <c r="I2443" s="30"/>
      <c r="J2443" s="16"/>
      <c r="K2443" s="9"/>
      <c r="L2443" s="9"/>
      <c r="M2443" s="152"/>
      <c r="N2443" s="153"/>
      <c r="O2443" s="152"/>
      <c r="P2443" s="154"/>
      <c r="Q2443" s="152"/>
      <c r="R2443" s="9"/>
      <c r="Z2443" s="21"/>
      <c r="AA2443" s="162">
        <f>+$AD$5-Tabla2[[#This Row],[FECHA DE FACTURACIÓN]]</f>
        <v>45443</v>
      </c>
      <c r="AB2443" s="163" t="str">
        <f>+IF(Tabla2[[#This Row],[dias de credito]]&gt;=Tabla2[[#This Row],[PLAZO Días]],"venc", "No venc")</f>
        <v>venc</v>
      </c>
      <c r="AC2443" s="163" t="str">
        <f>+IF(Tabla2[[#This Row],[FECHA DE PAGO]]&gt;0,"pagada","por pagar")</f>
        <v>por pagar</v>
      </c>
      <c r="AD2443" s="164" t="str">
        <f>+IF(AND(Tabla2[[#This Row],[venc]]="venc",Tabla2[[#This Row],[estado pago]]="por pagar"),"vencida","no")</f>
        <v>vencida</v>
      </c>
    </row>
    <row r="2444" spans="1:30" ht="19.5" hidden="1" customHeight="1" x14ac:dyDescent="0.25">
      <c r="A2444" s="8"/>
      <c r="B2444" s="8"/>
      <c r="C2444" s="8"/>
      <c r="D2444" s="151"/>
      <c r="E2444" s="151"/>
      <c r="F2444" s="24"/>
      <c r="G2444" s="30"/>
      <c r="H2444" s="81"/>
      <c r="I2444" s="30"/>
      <c r="J2444" s="16"/>
      <c r="K2444" s="9"/>
      <c r="L2444" s="9"/>
      <c r="M2444" s="152"/>
      <c r="N2444" s="153"/>
      <c r="O2444" s="152"/>
      <c r="P2444" s="154"/>
      <c r="Q2444" s="152"/>
      <c r="R2444" s="9"/>
      <c r="Z2444" s="21"/>
      <c r="AA2444" s="162">
        <f>+$AD$5-Tabla2[[#This Row],[FECHA DE FACTURACIÓN]]</f>
        <v>45443</v>
      </c>
      <c r="AB2444" s="163" t="str">
        <f>+IF(Tabla2[[#This Row],[dias de credito]]&gt;=Tabla2[[#This Row],[PLAZO Días]],"venc", "No venc")</f>
        <v>venc</v>
      </c>
      <c r="AC2444" s="163" t="str">
        <f>+IF(Tabla2[[#This Row],[FECHA DE PAGO]]&gt;0,"pagada","por pagar")</f>
        <v>por pagar</v>
      </c>
      <c r="AD2444" s="164" t="str">
        <f>+IF(AND(Tabla2[[#This Row],[venc]]="venc",Tabla2[[#This Row],[estado pago]]="por pagar"),"vencida","no")</f>
        <v>vencida</v>
      </c>
    </row>
    <row r="2445" spans="1:30" ht="19.5" hidden="1" customHeight="1" x14ac:dyDescent="0.25">
      <c r="A2445" s="8"/>
      <c r="B2445" s="8"/>
      <c r="C2445" s="8"/>
      <c r="D2445" s="151"/>
      <c r="E2445" s="151"/>
      <c r="F2445" s="24"/>
      <c r="G2445" s="30"/>
      <c r="H2445" s="81"/>
      <c r="I2445" s="30"/>
      <c r="J2445" s="16"/>
      <c r="K2445" s="9"/>
      <c r="L2445" s="9"/>
      <c r="M2445" s="152"/>
      <c r="N2445" s="153"/>
      <c r="O2445" s="152"/>
      <c r="P2445" s="154"/>
      <c r="Q2445" s="152"/>
      <c r="R2445" s="9"/>
      <c r="Z2445" s="21"/>
      <c r="AA2445" s="162">
        <f>+$AD$5-Tabla2[[#This Row],[FECHA DE FACTURACIÓN]]</f>
        <v>45443</v>
      </c>
      <c r="AB2445" s="163" t="str">
        <f>+IF(Tabla2[[#This Row],[dias de credito]]&gt;=Tabla2[[#This Row],[PLAZO Días]],"venc", "No venc")</f>
        <v>venc</v>
      </c>
      <c r="AC2445" s="163" t="str">
        <f>+IF(Tabla2[[#This Row],[FECHA DE PAGO]]&gt;0,"pagada","por pagar")</f>
        <v>por pagar</v>
      </c>
      <c r="AD2445" s="164" t="str">
        <f>+IF(AND(Tabla2[[#This Row],[venc]]="venc",Tabla2[[#This Row],[estado pago]]="por pagar"),"vencida","no")</f>
        <v>vencida</v>
      </c>
    </row>
    <row r="2446" spans="1:30" ht="19.5" hidden="1" customHeight="1" x14ac:dyDescent="0.25">
      <c r="A2446" s="8"/>
      <c r="B2446" s="8"/>
      <c r="C2446" s="8"/>
      <c r="D2446" s="151"/>
      <c r="E2446" s="151"/>
      <c r="F2446" s="24"/>
      <c r="G2446" s="30"/>
      <c r="H2446" s="81"/>
      <c r="I2446" s="30"/>
      <c r="J2446" s="16"/>
      <c r="K2446" s="9"/>
      <c r="L2446" s="9"/>
      <c r="M2446" s="152"/>
      <c r="N2446" s="153"/>
      <c r="O2446" s="152"/>
      <c r="P2446" s="154"/>
      <c r="Q2446" s="152"/>
      <c r="R2446" s="9"/>
      <c r="Z2446" s="21"/>
      <c r="AA2446" s="162">
        <f>+$AD$5-Tabla2[[#This Row],[FECHA DE FACTURACIÓN]]</f>
        <v>45443</v>
      </c>
      <c r="AB2446" s="163" t="str">
        <f>+IF(Tabla2[[#This Row],[dias de credito]]&gt;=Tabla2[[#This Row],[PLAZO Días]],"venc", "No venc")</f>
        <v>venc</v>
      </c>
      <c r="AC2446" s="163" t="str">
        <f>+IF(Tabla2[[#This Row],[FECHA DE PAGO]]&gt;0,"pagada","por pagar")</f>
        <v>por pagar</v>
      </c>
      <c r="AD2446" s="164" t="str">
        <f>+IF(AND(Tabla2[[#This Row],[venc]]="venc",Tabla2[[#This Row],[estado pago]]="por pagar"),"vencida","no")</f>
        <v>vencida</v>
      </c>
    </row>
    <row r="2447" spans="1:30" ht="19.5" hidden="1" customHeight="1" x14ac:dyDescent="0.25">
      <c r="A2447" s="8"/>
      <c r="B2447" s="8"/>
      <c r="C2447" s="8"/>
      <c r="D2447" s="151"/>
      <c r="E2447" s="151"/>
      <c r="F2447" s="24"/>
      <c r="G2447" s="30"/>
      <c r="H2447" s="81"/>
      <c r="I2447" s="30"/>
      <c r="J2447" s="16"/>
      <c r="K2447" s="9"/>
      <c r="L2447" s="9"/>
      <c r="M2447" s="152"/>
      <c r="N2447" s="153"/>
      <c r="O2447" s="152"/>
      <c r="P2447" s="154"/>
      <c r="Q2447" s="152"/>
      <c r="R2447" s="9"/>
      <c r="Z2447" s="21"/>
      <c r="AA2447" s="162">
        <f>+$AD$5-Tabla2[[#This Row],[FECHA DE FACTURACIÓN]]</f>
        <v>45443</v>
      </c>
      <c r="AB2447" s="163" t="str">
        <f>+IF(Tabla2[[#This Row],[dias de credito]]&gt;=Tabla2[[#This Row],[PLAZO Días]],"venc", "No venc")</f>
        <v>venc</v>
      </c>
      <c r="AC2447" s="163" t="str">
        <f>+IF(Tabla2[[#This Row],[FECHA DE PAGO]]&gt;0,"pagada","por pagar")</f>
        <v>por pagar</v>
      </c>
      <c r="AD2447" s="164" t="str">
        <f>+IF(AND(Tabla2[[#This Row],[venc]]="venc",Tabla2[[#This Row],[estado pago]]="por pagar"),"vencida","no")</f>
        <v>vencida</v>
      </c>
    </row>
    <row r="2448" spans="1:30" ht="19.5" hidden="1" customHeight="1" x14ac:dyDescent="0.25">
      <c r="A2448" s="8"/>
      <c r="B2448" s="8"/>
      <c r="C2448" s="8"/>
      <c r="D2448" s="151"/>
      <c r="E2448" s="151"/>
      <c r="F2448" s="24"/>
      <c r="G2448" s="30"/>
      <c r="H2448" s="81"/>
      <c r="I2448" s="30"/>
      <c r="J2448" s="16"/>
      <c r="K2448" s="9"/>
      <c r="L2448" s="9"/>
      <c r="M2448" s="152"/>
      <c r="N2448" s="153"/>
      <c r="O2448" s="152"/>
      <c r="P2448" s="154"/>
      <c r="Q2448" s="152"/>
      <c r="R2448" s="9"/>
      <c r="Z2448" s="21"/>
      <c r="AA2448" s="162">
        <f>+$AD$5-Tabla2[[#This Row],[FECHA DE FACTURACIÓN]]</f>
        <v>45443</v>
      </c>
      <c r="AB2448" s="163" t="str">
        <f>+IF(Tabla2[[#This Row],[dias de credito]]&gt;=Tabla2[[#This Row],[PLAZO Días]],"venc", "No venc")</f>
        <v>venc</v>
      </c>
      <c r="AC2448" s="163" t="str">
        <f>+IF(Tabla2[[#This Row],[FECHA DE PAGO]]&gt;0,"pagada","por pagar")</f>
        <v>por pagar</v>
      </c>
      <c r="AD2448" s="164" t="str">
        <f>+IF(AND(Tabla2[[#This Row],[venc]]="venc",Tabla2[[#This Row],[estado pago]]="por pagar"),"vencida","no")</f>
        <v>vencida</v>
      </c>
    </row>
    <row r="2449" spans="1:30" ht="19.5" hidden="1" customHeight="1" x14ac:dyDescent="0.25">
      <c r="A2449" s="8"/>
      <c r="B2449" s="8"/>
      <c r="C2449" s="8"/>
      <c r="D2449" s="151"/>
      <c r="E2449" s="151"/>
      <c r="F2449" s="24"/>
      <c r="G2449" s="30"/>
      <c r="H2449" s="81"/>
      <c r="I2449" s="30"/>
      <c r="J2449" s="16"/>
      <c r="K2449" s="9"/>
      <c r="L2449" s="9"/>
      <c r="M2449" s="152"/>
      <c r="N2449" s="153"/>
      <c r="O2449" s="152"/>
      <c r="P2449" s="154"/>
      <c r="Q2449" s="152"/>
      <c r="R2449" s="9"/>
      <c r="Z2449" s="21"/>
      <c r="AA2449" s="162">
        <f>+$AD$5-Tabla2[[#This Row],[FECHA DE FACTURACIÓN]]</f>
        <v>45443</v>
      </c>
      <c r="AB2449" s="163" t="str">
        <f>+IF(Tabla2[[#This Row],[dias de credito]]&gt;=Tabla2[[#This Row],[PLAZO Días]],"venc", "No venc")</f>
        <v>venc</v>
      </c>
      <c r="AC2449" s="163" t="str">
        <f>+IF(Tabla2[[#This Row],[FECHA DE PAGO]]&gt;0,"pagada","por pagar")</f>
        <v>por pagar</v>
      </c>
      <c r="AD2449" s="164" t="str">
        <f>+IF(AND(Tabla2[[#This Row],[venc]]="venc",Tabla2[[#This Row],[estado pago]]="por pagar"),"vencida","no")</f>
        <v>vencida</v>
      </c>
    </row>
    <row r="2450" spans="1:30" ht="19.5" hidden="1" customHeight="1" x14ac:dyDescent="0.25">
      <c r="A2450" s="8"/>
      <c r="B2450" s="8"/>
      <c r="C2450" s="8"/>
      <c r="D2450" s="151"/>
      <c r="E2450" s="151"/>
      <c r="F2450" s="24"/>
      <c r="G2450" s="30"/>
      <c r="H2450" s="81"/>
      <c r="I2450" s="30"/>
      <c r="J2450" s="16"/>
      <c r="K2450" s="9"/>
      <c r="L2450" s="9"/>
      <c r="M2450" s="152"/>
      <c r="N2450" s="153"/>
      <c r="O2450" s="152"/>
      <c r="P2450" s="154"/>
      <c r="Q2450" s="152"/>
      <c r="R2450" s="9"/>
      <c r="Z2450" s="21"/>
      <c r="AA2450" s="162">
        <f>+$AD$5-Tabla2[[#This Row],[FECHA DE FACTURACIÓN]]</f>
        <v>45443</v>
      </c>
      <c r="AB2450" s="163" t="str">
        <f>+IF(Tabla2[[#This Row],[dias de credito]]&gt;=Tabla2[[#This Row],[PLAZO Días]],"venc", "No venc")</f>
        <v>venc</v>
      </c>
      <c r="AC2450" s="163" t="str">
        <f>+IF(Tabla2[[#This Row],[FECHA DE PAGO]]&gt;0,"pagada","por pagar")</f>
        <v>por pagar</v>
      </c>
      <c r="AD2450" s="164" t="str">
        <f>+IF(AND(Tabla2[[#This Row],[venc]]="venc",Tabla2[[#This Row],[estado pago]]="por pagar"),"vencida","no")</f>
        <v>vencida</v>
      </c>
    </row>
    <row r="2451" spans="1:30" ht="19.5" hidden="1" customHeight="1" x14ac:dyDescent="0.25">
      <c r="A2451" s="8"/>
      <c r="B2451" s="8"/>
      <c r="C2451" s="8"/>
      <c r="D2451" s="151"/>
      <c r="E2451" s="151"/>
      <c r="F2451" s="24"/>
      <c r="G2451" s="30"/>
      <c r="H2451" s="81"/>
      <c r="I2451" s="30"/>
      <c r="J2451" s="16"/>
      <c r="K2451" s="9"/>
      <c r="L2451" s="9"/>
      <c r="M2451" s="152"/>
      <c r="N2451" s="153"/>
      <c r="O2451" s="152"/>
      <c r="P2451" s="154"/>
      <c r="Q2451" s="152"/>
      <c r="R2451" s="9"/>
      <c r="Z2451" s="21"/>
      <c r="AA2451" s="162">
        <f>+$AD$5-Tabla2[[#This Row],[FECHA DE FACTURACIÓN]]</f>
        <v>45443</v>
      </c>
      <c r="AB2451" s="163" t="str">
        <f>+IF(Tabla2[[#This Row],[dias de credito]]&gt;=Tabla2[[#This Row],[PLAZO Días]],"venc", "No venc")</f>
        <v>venc</v>
      </c>
      <c r="AC2451" s="163" t="str">
        <f>+IF(Tabla2[[#This Row],[FECHA DE PAGO]]&gt;0,"pagada","por pagar")</f>
        <v>por pagar</v>
      </c>
      <c r="AD2451" s="164" t="str">
        <f>+IF(AND(Tabla2[[#This Row],[venc]]="venc",Tabla2[[#This Row],[estado pago]]="por pagar"),"vencida","no")</f>
        <v>vencida</v>
      </c>
    </row>
    <row r="2452" spans="1:30" ht="19.5" hidden="1" customHeight="1" x14ac:dyDescent="0.25">
      <c r="A2452" s="8"/>
      <c r="B2452" s="8"/>
      <c r="C2452" s="8"/>
      <c r="D2452" s="151"/>
      <c r="E2452" s="151"/>
      <c r="F2452" s="24"/>
      <c r="G2452" s="30"/>
      <c r="H2452" s="81"/>
      <c r="I2452" s="30"/>
      <c r="J2452" s="16"/>
      <c r="K2452" s="9"/>
      <c r="L2452" s="9"/>
      <c r="M2452" s="152"/>
      <c r="N2452" s="153"/>
      <c r="O2452" s="152"/>
      <c r="P2452" s="154"/>
      <c r="Q2452" s="152"/>
      <c r="R2452" s="9"/>
      <c r="Z2452" s="21"/>
      <c r="AA2452" s="162">
        <f>+$AD$5-Tabla2[[#This Row],[FECHA DE FACTURACIÓN]]</f>
        <v>45443</v>
      </c>
      <c r="AB2452" s="163" t="str">
        <f>+IF(Tabla2[[#This Row],[dias de credito]]&gt;=Tabla2[[#This Row],[PLAZO Días]],"venc", "No venc")</f>
        <v>venc</v>
      </c>
      <c r="AC2452" s="163" t="str">
        <f>+IF(Tabla2[[#This Row],[FECHA DE PAGO]]&gt;0,"pagada","por pagar")</f>
        <v>por pagar</v>
      </c>
      <c r="AD2452" s="164" t="str">
        <f>+IF(AND(Tabla2[[#This Row],[venc]]="venc",Tabla2[[#This Row],[estado pago]]="por pagar"),"vencida","no")</f>
        <v>vencida</v>
      </c>
    </row>
    <row r="2453" spans="1:30" ht="19.5" hidden="1" customHeight="1" x14ac:dyDescent="0.25">
      <c r="A2453" s="8"/>
      <c r="B2453" s="8"/>
      <c r="C2453" s="8"/>
      <c r="D2453" s="151"/>
      <c r="E2453" s="151"/>
      <c r="F2453" s="24"/>
      <c r="G2453" s="30"/>
      <c r="H2453" s="81"/>
      <c r="I2453" s="30"/>
      <c r="J2453" s="16"/>
      <c r="K2453" s="9"/>
      <c r="L2453" s="9"/>
      <c r="M2453" s="152"/>
      <c r="N2453" s="153"/>
      <c r="O2453" s="152"/>
      <c r="P2453" s="154"/>
      <c r="Q2453" s="152"/>
      <c r="R2453" s="9"/>
      <c r="Z2453" s="21"/>
      <c r="AA2453" s="162">
        <f>+$AD$5-Tabla2[[#This Row],[FECHA DE FACTURACIÓN]]</f>
        <v>45443</v>
      </c>
      <c r="AB2453" s="163" t="str">
        <f>+IF(Tabla2[[#This Row],[dias de credito]]&gt;=Tabla2[[#This Row],[PLAZO Días]],"venc", "No venc")</f>
        <v>venc</v>
      </c>
      <c r="AC2453" s="163" t="str">
        <f>+IF(Tabla2[[#This Row],[FECHA DE PAGO]]&gt;0,"pagada","por pagar")</f>
        <v>por pagar</v>
      </c>
      <c r="AD2453" s="164" t="str">
        <f>+IF(AND(Tabla2[[#This Row],[venc]]="venc",Tabla2[[#This Row],[estado pago]]="por pagar"),"vencida","no")</f>
        <v>vencida</v>
      </c>
    </row>
    <row r="2454" spans="1:30" ht="19.5" hidden="1" customHeight="1" x14ac:dyDescent="0.25">
      <c r="A2454" s="8"/>
      <c r="B2454" s="8"/>
      <c r="C2454" s="8"/>
      <c r="D2454" s="151"/>
      <c r="E2454" s="151"/>
      <c r="F2454" s="24"/>
      <c r="G2454" s="30"/>
      <c r="H2454" s="81"/>
      <c r="I2454" s="30"/>
      <c r="J2454" s="16"/>
      <c r="K2454" s="9"/>
      <c r="L2454" s="9"/>
      <c r="M2454" s="152"/>
      <c r="N2454" s="153"/>
      <c r="O2454" s="152"/>
      <c r="P2454" s="154"/>
      <c r="Q2454" s="152"/>
      <c r="R2454" s="9"/>
      <c r="Z2454" s="21"/>
      <c r="AA2454" s="162">
        <f>+$AD$5-Tabla2[[#This Row],[FECHA DE FACTURACIÓN]]</f>
        <v>45443</v>
      </c>
      <c r="AB2454" s="163" t="str">
        <f>+IF(Tabla2[[#This Row],[dias de credito]]&gt;=Tabla2[[#This Row],[PLAZO Días]],"venc", "No venc")</f>
        <v>venc</v>
      </c>
      <c r="AC2454" s="163" t="str">
        <f>+IF(Tabla2[[#This Row],[FECHA DE PAGO]]&gt;0,"pagada","por pagar")</f>
        <v>por pagar</v>
      </c>
      <c r="AD2454" s="164" t="str">
        <f>+IF(AND(Tabla2[[#This Row],[venc]]="venc",Tabla2[[#This Row],[estado pago]]="por pagar"),"vencida","no")</f>
        <v>vencida</v>
      </c>
    </row>
    <row r="2455" spans="1:30" ht="19.5" hidden="1" customHeight="1" x14ac:dyDescent="0.25">
      <c r="A2455" s="8"/>
      <c r="B2455" s="8"/>
      <c r="C2455" s="8"/>
      <c r="D2455" s="151"/>
      <c r="E2455" s="151"/>
      <c r="F2455" s="24"/>
      <c r="G2455" s="30"/>
      <c r="H2455" s="81"/>
      <c r="I2455" s="30"/>
      <c r="J2455" s="16"/>
      <c r="K2455" s="9"/>
      <c r="L2455" s="9"/>
      <c r="M2455" s="152"/>
      <c r="N2455" s="153"/>
      <c r="O2455" s="152"/>
      <c r="P2455" s="154"/>
      <c r="Q2455" s="152"/>
      <c r="R2455" s="9"/>
      <c r="Z2455" s="21"/>
      <c r="AA2455" s="162">
        <f>+$AD$5-Tabla2[[#This Row],[FECHA DE FACTURACIÓN]]</f>
        <v>45443</v>
      </c>
      <c r="AB2455" s="163" t="str">
        <f>+IF(Tabla2[[#This Row],[dias de credito]]&gt;=Tabla2[[#This Row],[PLAZO Días]],"venc", "No venc")</f>
        <v>venc</v>
      </c>
      <c r="AC2455" s="163" t="str">
        <f>+IF(Tabla2[[#This Row],[FECHA DE PAGO]]&gt;0,"pagada","por pagar")</f>
        <v>por pagar</v>
      </c>
      <c r="AD2455" s="164" t="str">
        <f>+IF(AND(Tabla2[[#This Row],[venc]]="venc",Tabla2[[#This Row],[estado pago]]="por pagar"),"vencida","no")</f>
        <v>vencida</v>
      </c>
    </row>
    <row r="2456" spans="1:30" ht="19.5" hidden="1" customHeight="1" x14ac:dyDescent="0.25">
      <c r="A2456" s="8"/>
      <c r="B2456" s="8"/>
      <c r="C2456" s="8"/>
      <c r="D2456" s="151"/>
      <c r="E2456" s="151"/>
      <c r="F2456" s="24"/>
      <c r="G2456" s="30"/>
      <c r="H2456" s="81"/>
      <c r="I2456" s="30"/>
      <c r="J2456" s="16"/>
      <c r="K2456" s="9"/>
      <c r="L2456" s="9"/>
      <c r="M2456" s="152"/>
      <c r="N2456" s="153"/>
      <c r="O2456" s="152"/>
      <c r="P2456" s="154"/>
      <c r="Q2456" s="152"/>
      <c r="R2456" s="9"/>
      <c r="Z2456" s="21"/>
      <c r="AA2456" s="162">
        <f>+$AD$5-Tabla2[[#This Row],[FECHA DE FACTURACIÓN]]</f>
        <v>45443</v>
      </c>
      <c r="AB2456" s="163" t="str">
        <f>+IF(Tabla2[[#This Row],[dias de credito]]&gt;=Tabla2[[#This Row],[PLAZO Días]],"venc", "No venc")</f>
        <v>venc</v>
      </c>
      <c r="AC2456" s="163" t="str">
        <f>+IF(Tabla2[[#This Row],[FECHA DE PAGO]]&gt;0,"pagada","por pagar")</f>
        <v>por pagar</v>
      </c>
      <c r="AD2456" s="164" t="str">
        <f>+IF(AND(Tabla2[[#This Row],[venc]]="venc",Tabla2[[#This Row],[estado pago]]="por pagar"),"vencida","no")</f>
        <v>vencida</v>
      </c>
    </row>
    <row r="2457" spans="1:30" ht="19.5" hidden="1" customHeight="1" x14ac:dyDescent="0.25">
      <c r="A2457" s="8"/>
      <c r="B2457" s="8"/>
      <c r="C2457" s="8"/>
      <c r="D2457" s="151"/>
      <c r="E2457" s="151"/>
      <c r="F2457" s="24"/>
      <c r="G2457" s="30"/>
      <c r="H2457" s="81"/>
      <c r="I2457" s="30"/>
      <c r="J2457" s="16"/>
      <c r="K2457" s="9"/>
      <c r="L2457" s="9"/>
      <c r="M2457" s="152"/>
      <c r="N2457" s="153"/>
      <c r="O2457" s="152"/>
      <c r="P2457" s="154"/>
      <c r="Q2457" s="152"/>
      <c r="R2457" s="9"/>
      <c r="Z2457" s="21"/>
      <c r="AA2457" s="162">
        <f>+$AD$5-Tabla2[[#This Row],[FECHA DE FACTURACIÓN]]</f>
        <v>45443</v>
      </c>
      <c r="AB2457" s="163" t="str">
        <f>+IF(Tabla2[[#This Row],[dias de credito]]&gt;=Tabla2[[#This Row],[PLAZO Días]],"venc", "No venc")</f>
        <v>venc</v>
      </c>
      <c r="AC2457" s="163" t="str">
        <f>+IF(Tabla2[[#This Row],[FECHA DE PAGO]]&gt;0,"pagada","por pagar")</f>
        <v>por pagar</v>
      </c>
      <c r="AD2457" s="164" t="str">
        <f>+IF(AND(Tabla2[[#This Row],[venc]]="venc",Tabla2[[#This Row],[estado pago]]="por pagar"),"vencida","no")</f>
        <v>vencida</v>
      </c>
    </row>
    <row r="2458" spans="1:30" ht="19.5" hidden="1" customHeight="1" x14ac:dyDescent="0.25">
      <c r="A2458" s="8"/>
      <c r="B2458" s="8"/>
      <c r="C2458" s="8"/>
      <c r="D2458" s="151"/>
      <c r="E2458" s="151"/>
      <c r="F2458" s="24"/>
      <c r="G2458" s="30"/>
      <c r="H2458" s="81"/>
      <c r="I2458" s="30"/>
      <c r="J2458" s="16"/>
      <c r="K2458" s="9"/>
      <c r="L2458" s="9"/>
      <c r="M2458" s="152"/>
      <c r="N2458" s="153"/>
      <c r="O2458" s="152"/>
      <c r="P2458" s="154"/>
      <c r="Q2458" s="152"/>
      <c r="R2458" s="9"/>
      <c r="Z2458" s="21"/>
      <c r="AA2458" s="162">
        <f>+$AD$5-Tabla2[[#This Row],[FECHA DE FACTURACIÓN]]</f>
        <v>45443</v>
      </c>
      <c r="AB2458" s="163" t="str">
        <f>+IF(Tabla2[[#This Row],[dias de credito]]&gt;=Tabla2[[#This Row],[PLAZO Días]],"venc", "No venc")</f>
        <v>venc</v>
      </c>
      <c r="AC2458" s="163" t="str">
        <f>+IF(Tabla2[[#This Row],[FECHA DE PAGO]]&gt;0,"pagada","por pagar")</f>
        <v>por pagar</v>
      </c>
      <c r="AD2458" s="164" t="str">
        <f>+IF(AND(Tabla2[[#This Row],[venc]]="venc",Tabla2[[#This Row],[estado pago]]="por pagar"),"vencida","no")</f>
        <v>vencida</v>
      </c>
    </row>
    <row r="2459" spans="1:30" ht="19.5" hidden="1" customHeight="1" x14ac:dyDescent="0.25">
      <c r="A2459" s="8"/>
      <c r="B2459" s="8"/>
      <c r="C2459" s="8"/>
      <c r="D2459" s="151"/>
      <c r="E2459" s="151"/>
      <c r="F2459" s="24"/>
      <c r="G2459" s="30"/>
      <c r="H2459" s="81"/>
      <c r="I2459" s="30"/>
      <c r="J2459" s="16"/>
      <c r="K2459" s="9"/>
      <c r="L2459" s="9"/>
      <c r="M2459" s="152"/>
      <c r="N2459" s="153"/>
      <c r="O2459" s="152"/>
      <c r="P2459" s="154"/>
      <c r="Q2459" s="152"/>
      <c r="R2459" s="9"/>
      <c r="Z2459" s="21"/>
      <c r="AA2459" s="162">
        <f>+$AD$5-Tabla2[[#This Row],[FECHA DE FACTURACIÓN]]</f>
        <v>45443</v>
      </c>
      <c r="AB2459" s="163" t="str">
        <f>+IF(Tabla2[[#This Row],[dias de credito]]&gt;=Tabla2[[#This Row],[PLAZO Días]],"venc", "No venc")</f>
        <v>venc</v>
      </c>
      <c r="AC2459" s="163" t="str">
        <f>+IF(Tabla2[[#This Row],[FECHA DE PAGO]]&gt;0,"pagada","por pagar")</f>
        <v>por pagar</v>
      </c>
      <c r="AD2459" s="164" t="str">
        <f>+IF(AND(Tabla2[[#This Row],[venc]]="venc",Tabla2[[#This Row],[estado pago]]="por pagar"),"vencida","no")</f>
        <v>vencida</v>
      </c>
    </row>
    <row r="2460" spans="1:30" ht="19.5" hidden="1" customHeight="1" x14ac:dyDescent="0.25">
      <c r="A2460" s="8"/>
      <c r="B2460" s="8"/>
      <c r="C2460" s="8"/>
      <c r="D2460" s="151"/>
      <c r="E2460" s="151"/>
      <c r="F2460" s="24"/>
      <c r="G2460" s="30"/>
      <c r="H2460" s="81"/>
      <c r="I2460" s="30"/>
      <c r="J2460" s="16"/>
      <c r="K2460" s="9"/>
      <c r="L2460" s="9"/>
      <c r="M2460" s="152"/>
      <c r="N2460" s="153"/>
      <c r="O2460" s="152"/>
      <c r="P2460" s="154"/>
      <c r="Q2460" s="152"/>
      <c r="R2460" s="9"/>
      <c r="Z2460" s="21"/>
      <c r="AA2460" s="162">
        <f>+$AD$5-Tabla2[[#This Row],[FECHA DE FACTURACIÓN]]</f>
        <v>45443</v>
      </c>
      <c r="AB2460" s="163" t="str">
        <f>+IF(Tabla2[[#This Row],[dias de credito]]&gt;=Tabla2[[#This Row],[PLAZO Días]],"venc", "No venc")</f>
        <v>venc</v>
      </c>
      <c r="AC2460" s="163" t="str">
        <f>+IF(Tabla2[[#This Row],[FECHA DE PAGO]]&gt;0,"pagada","por pagar")</f>
        <v>por pagar</v>
      </c>
      <c r="AD2460" s="164" t="str">
        <f>+IF(AND(Tabla2[[#This Row],[venc]]="venc",Tabla2[[#This Row],[estado pago]]="por pagar"),"vencida","no")</f>
        <v>vencida</v>
      </c>
    </row>
    <row r="2461" spans="1:30" ht="19.5" hidden="1" customHeight="1" x14ac:dyDescent="0.25">
      <c r="A2461" s="8"/>
      <c r="B2461" s="8"/>
      <c r="C2461" s="8"/>
      <c r="D2461" s="151"/>
      <c r="E2461" s="151"/>
      <c r="F2461" s="24"/>
      <c r="G2461" s="30"/>
      <c r="H2461" s="81"/>
      <c r="I2461" s="30"/>
      <c r="J2461" s="16"/>
      <c r="K2461" s="9"/>
      <c r="L2461" s="9"/>
      <c r="M2461" s="152"/>
      <c r="N2461" s="153"/>
      <c r="O2461" s="152"/>
      <c r="P2461" s="154"/>
      <c r="Q2461" s="152"/>
      <c r="R2461" s="9"/>
      <c r="Z2461" s="21"/>
      <c r="AA2461" s="162">
        <f>+$AD$5-Tabla2[[#This Row],[FECHA DE FACTURACIÓN]]</f>
        <v>45443</v>
      </c>
      <c r="AB2461" s="163" t="str">
        <f>+IF(Tabla2[[#This Row],[dias de credito]]&gt;=Tabla2[[#This Row],[PLAZO Días]],"venc", "No venc")</f>
        <v>venc</v>
      </c>
      <c r="AC2461" s="163" t="str">
        <f>+IF(Tabla2[[#This Row],[FECHA DE PAGO]]&gt;0,"pagada","por pagar")</f>
        <v>por pagar</v>
      </c>
      <c r="AD2461" s="164" t="str">
        <f>+IF(AND(Tabla2[[#This Row],[venc]]="venc",Tabla2[[#This Row],[estado pago]]="por pagar"),"vencida","no")</f>
        <v>vencida</v>
      </c>
    </row>
    <row r="2462" spans="1:30" ht="19.5" hidden="1" customHeight="1" x14ac:dyDescent="0.25">
      <c r="A2462" s="8"/>
      <c r="B2462" s="8"/>
      <c r="C2462" s="8"/>
      <c r="D2462" s="151"/>
      <c r="E2462" s="151"/>
      <c r="F2462" s="24"/>
      <c r="G2462" s="30"/>
      <c r="H2462" s="81"/>
      <c r="I2462" s="30"/>
      <c r="J2462" s="16"/>
      <c r="K2462" s="9"/>
      <c r="L2462" s="9"/>
      <c r="M2462" s="152"/>
      <c r="N2462" s="153"/>
      <c r="O2462" s="152"/>
      <c r="P2462" s="154"/>
      <c r="Q2462" s="152"/>
      <c r="R2462" s="9"/>
      <c r="Z2462" s="21"/>
      <c r="AA2462" s="162">
        <f>+$AD$5-Tabla2[[#This Row],[FECHA DE FACTURACIÓN]]</f>
        <v>45443</v>
      </c>
      <c r="AB2462" s="163" t="str">
        <f>+IF(Tabla2[[#This Row],[dias de credito]]&gt;=Tabla2[[#This Row],[PLAZO Días]],"venc", "No venc")</f>
        <v>venc</v>
      </c>
      <c r="AC2462" s="163" t="str">
        <f>+IF(Tabla2[[#This Row],[FECHA DE PAGO]]&gt;0,"pagada","por pagar")</f>
        <v>por pagar</v>
      </c>
      <c r="AD2462" s="164" t="str">
        <f>+IF(AND(Tabla2[[#This Row],[venc]]="venc",Tabla2[[#This Row],[estado pago]]="por pagar"),"vencida","no")</f>
        <v>vencida</v>
      </c>
    </row>
    <row r="2463" spans="1:30" ht="19.5" hidden="1" customHeight="1" x14ac:dyDescent="0.25">
      <c r="A2463" s="8"/>
      <c r="B2463" s="8"/>
      <c r="C2463" s="8"/>
      <c r="D2463" s="151"/>
      <c r="E2463" s="151"/>
      <c r="F2463" s="24"/>
      <c r="G2463" s="30"/>
      <c r="H2463" s="81"/>
      <c r="I2463" s="30"/>
      <c r="J2463" s="16"/>
      <c r="K2463" s="9"/>
      <c r="L2463" s="9"/>
      <c r="M2463" s="152"/>
      <c r="N2463" s="153"/>
      <c r="O2463" s="152"/>
      <c r="P2463" s="154"/>
      <c r="Q2463" s="152"/>
      <c r="R2463" s="9"/>
      <c r="Z2463" s="21"/>
      <c r="AA2463" s="162">
        <f>+$AD$5-Tabla2[[#This Row],[FECHA DE FACTURACIÓN]]</f>
        <v>45443</v>
      </c>
      <c r="AB2463" s="163" t="str">
        <f>+IF(Tabla2[[#This Row],[dias de credito]]&gt;=Tabla2[[#This Row],[PLAZO Días]],"venc", "No venc")</f>
        <v>venc</v>
      </c>
      <c r="AC2463" s="163" t="str">
        <f>+IF(Tabla2[[#This Row],[FECHA DE PAGO]]&gt;0,"pagada","por pagar")</f>
        <v>por pagar</v>
      </c>
      <c r="AD2463" s="164" t="str">
        <f>+IF(AND(Tabla2[[#This Row],[venc]]="venc",Tabla2[[#This Row],[estado pago]]="por pagar"),"vencida","no")</f>
        <v>vencida</v>
      </c>
    </row>
    <row r="2464" spans="1:30" ht="19.5" hidden="1" customHeight="1" x14ac:dyDescent="0.25">
      <c r="A2464" s="8"/>
      <c r="B2464" s="8"/>
      <c r="C2464" s="8"/>
      <c r="D2464" s="151"/>
      <c r="E2464" s="151"/>
      <c r="F2464" s="24"/>
      <c r="G2464" s="30"/>
      <c r="H2464" s="81"/>
      <c r="I2464" s="30"/>
      <c r="J2464" s="16"/>
      <c r="K2464" s="9"/>
      <c r="L2464" s="9"/>
      <c r="M2464" s="152"/>
      <c r="N2464" s="153"/>
      <c r="O2464" s="152"/>
      <c r="P2464" s="154"/>
      <c r="Q2464" s="152"/>
      <c r="R2464" s="9"/>
      <c r="Z2464" s="21"/>
      <c r="AA2464" s="162">
        <f>+$AD$5-Tabla2[[#This Row],[FECHA DE FACTURACIÓN]]</f>
        <v>45443</v>
      </c>
      <c r="AB2464" s="163" t="str">
        <f>+IF(Tabla2[[#This Row],[dias de credito]]&gt;=Tabla2[[#This Row],[PLAZO Días]],"venc", "No venc")</f>
        <v>venc</v>
      </c>
      <c r="AC2464" s="163" t="str">
        <f>+IF(Tabla2[[#This Row],[FECHA DE PAGO]]&gt;0,"pagada","por pagar")</f>
        <v>por pagar</v>
      </c>
      <c r="AD2464" s="164" t="str">
        <f>+IF(AND(Tabla2[[#This Row],[venc]]="venc",Tabla2[[#This Row],[estado pago]]="por pagar"),"vencida","no")</f>
        <v>vencida</v>
      </c>
    </row>
    <row r="2465" spans="1:30" ht="19.5" hidden="1" customHeight="1" x14ac:dyDescent="0.25">
      <c r="A2465" s="8"/>
      <c r="B2465" s="8"/>
      <c r="C2465" s="8"/>
      <c r="D2465" s="151"/>
      <c r="E2465" s="151"/>
      <c r="F2465" s="24"/>
      <c r="G2465" s="30"/>
      <c r="H2465" s="81"/>
      <c r="I2465" s="30"/>
      <c r="J2465" s="16"/>
      <c r="K2465" s="9"/>
      <c r="L2465" s="9"/>
      <c r="M2465" s="152"/>
      <c r="N2465" s="153"/>
      <c r="O2465" s="152"/>
      <c r="P2465" s="154"/>
      <c r="Q2465" s="152"/>
      <c r="R2465" s="9"/>
      <c r="Z2465" s="21"/>
      <c r="AA2465" s="162">
        <f>+$AD$5-Tabla2[[#This Row],[FECHA DE FACTURACIÓN]]</f>
        <v>45443</v>
      </c>
      <c r="AB2465" s="163" t="str">
        <f>+IF(Tabla2[[#This Row],[dias de credito]]&gt;=Tabla2[[#This Row],[PLAZO Días]],"venc", "No venc")</f>
        <v>venc</v>
      </c>
      <c r="AC2465" s="163" t="str">
        <f>+IF(Tabla2[[#This Row],[FECHA DE PAGO]]&gt;0,"pagada","por pagar")</f>
        <v>por pagar</v>
      </c>
      <c r="AD2465" s="164" t="str">
        <f>+IF(AND(Tabla2[[#This Row],[venc]]="venc",Tabla2[[#This Row],[estado pago]]="por pagar"),"vencida","no")</f>
        <v>vencida</v>
      </c>
    </row>
    <row r="2466" spans="1:30" ht="19.5" hidden="1" customHeight="1" x14ac:dyDescent="0.25">
      <c r="A2466" s="8"/>
      <c r="B2466" s="8"/>
      <c r="C2466" s="8"/>
      <c r="D2466" s="151"/>
      <c r="E2466" s="151"/>
      <c r="F2466" s="24"/>
      <c r="G2466" s="30"/>
      <c r="H2466" s="81"/>
      <c r="I2466" s="30"/>
      <c r="J2466" s="16"/>
      <c r="K2466" s="9"/>
      <c r="L2466" s="9"/>
      <c r="M2466" s="152"/>
      <c r="N2466" s="153"/>
      <c r="O2466" s="152"/>
      <c r="P2466" s="154"/>
      <c r="Q2466" s="152"/>
      <c r="R2466" s="9"/>
      <c r="Z2466" s="21"/>
      <c r="AA2466" s="162">
        <f>+$AD$5-Tabla2[[#This Row],[FECHA DE FACTURACIÓN]]</f>
        <v>45443</v>
      </c>
      <c r="AB2466" s="163" t="str">
        <f>+IF(Tabla2[[#This Row],[dias de credito]]&gt;=Tabla2[[#This Row],[PLAZO Días]],"venc", "No venc")</f>
        <v>venc</v>
      </c>
      <c r="AC2466" s="163" t="str">
        <f>+IF(Tabla2[[#This Row],[FECHA DE PAGO]]&gt;0,"pagada","por pagar")</f>
        <v>por pagar</v>
      </c>
      <c r="AD2466" s="164" t="str">
        <f>+IF(AND(Tabla2[[#This Row],[venc]]="venc",Tabla2[[#This Row],[estado pago]]="por pagar"),"vencida","no")</f>
        <v>vencida</v>
      </c>
    </row>
    <row r="2467" spans="1:30" ht="19.5" hidden="1" customHeight="1" x14ac:dyDescent="0.25">
      <c r="A2467" s="8"/>
      <c r="B2467" s="8"/>
      <c r="C2467" s="8"/>
      <c r="D2467" s="151"/>
      <c r="E2467" s="151"/>
      <c r="F2467" s="24"/>
      <c r="G2467" s="30"/>
      <c r="H2467" s="81"/>
      <c r="I2467" s="30"/>
      <c r="J2467" s="16"/>
      <c r="K2467" s="9"/>
      <c r="L2467" s="9"/>
      <c r="M2467" s="152"/>
      <c r="N2467" s="153"/>
      <c r="O2467" s="152"/>
      <c r="P2467" s="154"/>
      <c r="Q2467" s="152"/>
      <c r="R2467" s="9"/>
      <c r="Z2467" s="21"/>
      <c r="AA2467" s="162">
        <f>+$AD$5-Tabla2[[#This Row],[FECHA DE FACTURACIÓN]]</f>
        <v>45443</v>
      </c>
      <c r="AB2467" s="163" t="str">
        <f>+IF(Tabla2[[#This Row],[dias de credito]]&gt;=Tabla2[[#This Row],[PLAZO Días]],"venc", "No venc")</f>
        <v>venc</v>
      </c>
      <c r="AC2467" s="163" t="str">
        <f>+IF(Tabla2[[#This Row],[FECHA DE PAGO]]&gt;0,"pagada","por pagar")</f>
        <v>por pagar</v>
      </c>
      <c r="AD2467" s="164" t="str">
        <f>+IF(AND(Tabla2[[#This Row],[venc]]="venc",Tabla2[[#This Row],[estado pago]]="por pagar"),"vencida","no")</f>
        <v>vencida</v>
      </c>
    </row>
    <row r="2468" spans="1:30" ht="19.5" hidden="1" customHeight="1" x14ac:dyDescent="0.25">
      <c r="A2468" s="8"/>
      <c r="B2468" s="8"/>
      <c r="C2468" s="8"/>
      <c r="D2468" s="151"/>
      <c r="E2468" s="151"/>
      <c r="F2468" s="24"/>
      <c r="G2468" s="30"/>
      <c r="H2468" s="81"/>
      <c r="I2468" s="30"/>
      <c r="J2468" s="16"/>
      <c r="K2468" s="9"/>
      <c r="L2468" s="9"/>
      <c r="M2468" s="152"/>
      <c r="N2468" s="153"/>
      <c r="O2468" s="152"/>
      <c r="P2468" s="154"/>
      <c r="Q2468" s="152"/>
      <c r="R2468" s="9"/>
      <c r="Z2468" s="21"/>
      <c r="AA2468" s="162">
        <f>+$AD$5-Tabla2[[#This Row],[FECHA DE FACTURACIÓN]]</f>
        <v>45443</v>
      </c>
      <c r="AB2468" s="163" t="str">
        <f>+IF(Tabla2[[#This Row],[dias de credito]]&gt;=Tabla2[[#This Row],[PLAZO Días]],"venc", "No venc")</f>
        <v>venc</v>
      </c>
      <c r="AC2468" s="163" t="str">
        <f>+IF(Tabla2[[#This Row],[FECHA DE PAGO]]&gt;0,"pagada","por pagar")</f>
        <v>por pagar</v>
      </c>
      <c r="AD2468" s="164" t="str">
        <f>+IF(AND(Tabla2[[#This Row],[venc]]="venc",Tabla2[[#This Row],[estado pago]]="por pagar"),"vencida","no")</f>
        <v>vencida</v>
      </c>
    </row>
    <row r="2469" spans="1:30" ht="19.5" hidden="1" customHeight="1" x14ac:dyDescent="0.25">
      <c r="A2469" s="8"/>
      <c r="B2469" s="8"/>
      <c r="C2469" s="8"/>
      <c r="D2469" s="151"/>
      <c r="E2469" s="151"/>
      <c r="F2469" s="24"/>
      <c r="G2469" s="30"/>
      <c r="H2469" s="81"/>
      <c r="I2469" s="30"/>
      <c r="J2469" s="16"/>
      <c r="K2469" s="9"/>
      <c r="L2469" s="9"/>
      <c r="M2469" s="152"/>
      <c r="N2469" s="153"/>
      <c r="O2469" s="152"/>
      <c r="P2469" s="154"/>
      <c r="Q2469" s="152"/>
      <c r="R2469" s="9"/>
      <c r="Z2469" s="21"/>
      <c r="AA2469" s="162">
        <f>+$AD$5-Tabla2[[#This Row],[FECHA DE FACTURACIÓN]]</f>
        <v>45443</v>
      </c>
      <c r="AB2469" s="163" t="str">
        <f>+IF(Tabla2[[#This Row],[dias de credito]]&gt;=Tabla2[[#This Row],[PLAZO Días]],"venc", "No venc")</f>
        <v>venc</v>
      </c>
      <c r="AC2469" s="163" t="str">
        <f>+IF(Tabla2[[#This Row],[FECHA DE PAGO]]&gt;0,"pagada","por pagar")</f>
        <v>por pagar</v>
      </c>
      <c r="AD2469" s="164" t="str">
        <f>+IF(AND(Tabla2[[#This Row],[venc]]="venc",Tabla2[[#This Row],[estado pago]]="por pagar"),"vencida","no")</f>
        <v>vencida</v>
      </c>
    </row>
    <row r="2470" spans="1:30" ht="19.5" hidden="1" customHeight="1" x14ac:dyDescent="0.25">
      <c r="A2470" s="8"/>
      <c r="B2470" s="8"/>
      <c r="C2470" s="8"/>
      <c r="D2470" s="151"/>
      <c r="E2470" s="151"/>
      <c r="F2470" s="24"/>
      <c r="G2470" s="30"/>
      <c r="H2470" s="81"/>
      <c r="I2470" s="30"/>
      <c r="J2470" s="16"/>
      <c r="K2470" s="9"/>
      <c r="L2470" s="9"/>
      <c r="M2470" s="152"/>
      <c r="N2470" s="153"/>
      <c r="O2470" s="152"/>
      <c r="P2470" s="154"/>
      <c r="Q2470" s="152"/>
      <c r="R2470" s="9"/>
      <c r="Z2470" s="21"/>
      <c r="AA2470" s="162">
        <f>+$AD$5-Tabla2[[#This Row],[FECHA DE FACTURACIÓN]]</f>
        <v>45443</v>
      </c>
      <c r="AB2470" s="163" t="str">
        <f>+IF(Tabla2[[#This Row],[dias de credito]]&gt;=Tabla2[[#This Row],[PLAZO Días]],"venc", "No venc")</f>
        <v>venc</v>
      </c>
      <c r="AC2470" s="163" t="str">
        <f>+IF(Tabla2[[#This Row],[FECHA DE PAGO]]&gt;0,"pagada","por pagar")</f>
        <v>por pagar</v>
      </c>
      <c r="AD2470" s="164" t="str">
        <f>+IF(AND(Tabla2[[#This Row],[venc]]="venc",Tabla2[[#This Row],[estado pago]]="por pagar"),"vencida","no")</f>
        <v>vencida</v>
      </c>
    </row>
    <row r="2471" spans="1:30" ht="19.5" hidden="1" customHeight="1" x14ac:dyDescent="0.25">
      <c r="A2471" s="8"/>
      <c r="B2471" s="8"/>
      <c r="C2471" s="8"/>
      <c r="D2471" s="151"/>
      <c r="E2471" s="151"/>
      <c r="F2471" s="24"/>
      <c r="G2471" s="30"/>
      <c r="H2471" s="81"/>
      <c r="I2471" s="30"/>
      <c r="J2471" s="16"/>
      <c r="K2471" s="9"/>
      <c r="L2471" s="9"/>
      <c r="M2471" s="152"/>
      <c r="N2471" s="153"/>
      <c r="O2471" s="152"/>
      <c r="P2471" s="154"/>
      <c r="Q2471" s="152"/>
      <c r="R2471" s="9"/>
      <c r="Z2471" s="21"/>
      <c r="AA2471" s="162">
        <f>+$AD$5-Tabla2[[#This Row],[FECHA DE FACTURACIÓN]]</f>
        <v>45443</v>
      </c>
      <c r="AB2471" s="163" t="str">
        <f>+IF(Tabla2[[#This Row],[dias de credito]]&gt;=Tabla2[[#This Row],[PLAZO Días]],"venc", "No venc")</f>
        <v>venc</v>
      </c>
      <c r="AC2471" s="163" t="str">
        <f>+IF(Tabla2[[#This Row],[FECHA DE PAGO]]&gt;0,"pagada","por pagar")</f>
        <v>por pagar</v>
      </c>
      <c r="AD2471" s="164" t="str">
        <f>+IF(AND(Tabla2[[#This Row],[venc]]="venc",Tabla2[[#This Row],[estado pago]]="por pagar"),"vencida","no")</f>
        <v>vencida</v>
      </c>
    </row>
    <row r="2472" spans="1:30" ht="19.5" hidden="1" customHeight="1" x14ac:dyDescent="0.25">
      <c r="A2472" s="8"/>
      <c r="B2472" s="8"/>
      <c r="C2472" s="8"/>
      <c r="D2472" s="151"/>
      <c r="E2472" s="151"/>
      <c r="F2472" s="24"/>
      <c r="G2472" s="30"/>
      <c r="H2472" s="81"/>
      <c r="I2472" s="30"/>
      <c r="J2472" s="16"/>
      <c r="K2472" s="9"/>
      <c r="L2472" s="9"/>
      <c r="M2472" s="152"/>
      <c r="N2472" s="153"/>
      <c r="O2472" s="152"/>
      <c r="P2472" s="154"/>
      <c r="Q2472" s="152"/>
      <c r="R2472" s="9"/>
      <c r="Z2472" s="21"/>
      <c r="AA2472" s="162">
        <f>+$AD$5-Tabla2[[#This Row],[FECHA DE FACTURACIÓN]]</f>
        <v>45443</v>
      </c>
      <c r="AB2472" s="163" t="str">
        <f>+IF(Tabla2[[#This Row],[dias de credito]]&gt;=Tabla2[[#This Row],[PLAZO Días]],"venc", "No venc")</f>
        <v>venc</v>
      </c>
      <c r="AC2472" s="163" t="str">
        <f>+IF(Tabla2[[#This Row],[FECHA DE PAGO]]&gt;0,"pagada","por pagar")</f>
        <v>por pagar</v>
      </c>
      <c r="AD2472" s="164" t="str">
        <f>+IF(AND(Tabla2[[#This Row],[venc]]="venc",Tabla2[[#This Row],[estado pago]]="por pagar"),"vencida","no")</f>
        <v>vencida</v>
      </c>
    </row>
    <row r="2473" spans="1:30" ht="19.5" hidden="1" customHeight="1" x14ac:dyDescent="0.25">
      <c r="A2473" s="8"/>
      <c r="B2473" s="8"/>
      <c r="C2473" s="8"/>
      <c r="D2473" s="151"/>
      <c r="E2473" s="151"/>
      <c r="F2473" s="24"/>
      <c r="G2473" s="30"/>
      <c r="H2473" s="81"/>
      <c r="I2473" s="30"/>
      <c r="J2473" s="16"/>
      <c r="K2473" s="9"/>
      <c r="L2473" s="9"/>
      <c r="M2473" s="152"/>
      <c r="N2473" s="153"/>
      <c r="O2473" s="152"/>
      <c r="P2473" s="154"/>
      <c r="Q2473" s="152"/>
      <c r="R2473" s="9"/>
      <c r="Z2473" s="21"/>
      <c r="AA2473" s="162">
        <f>+$AD$5-Tabla2[[#This Row],[FECHA DE FACTURACIÓN]]</f>
        <v>45443</v>
      </c>
      <c r="AB2473" s="163" t="str">
        <f>+IF(Tabla2[[#This Row],[dias de credito]]&gt;=Tabla2[[#This Row],[PLAZO Días]],"venc", "No venc")</f>
        <v>venc</v>
      </c>
      <c r="AC2473" s="163" t="str">
        <f>+IF(Tabla2[[#This Row],[FECHA DE PAGO]]&gt;0,"pagada","por pagar")</f>
        <v>por pagar</v>
      </c>
      <c r="AD2473" s="164" t="str">
        <f>+IF(AND(Tabla2[[#This Row],[venc]]="venc",Tabla2[[#This Row],[estado pago]]="por pagar"),"vencida","no")</f>
        <v>vencida</v>
      </c>
    </row>
    <row r="2474" spans="1:30" ht="19.5" hidden="1" customHeight="1" x14ac:dyDescent="0.25">
      <c r="A2474" s="8"/>
      <c r="B2474" s="8"/>
      <c r="C2474" s="8"/>
      <c r="D2474" s="151"/>
      <c r="E2474" s="151"/>
      <c r="F2474" s="24"/>
      <c r="G2474" s="30"/>
      <c r="H2474" s="81"/>
      <c r="I2474" s="30"/>
      <c r="J2474" s="16"/>
      <c r="K2474" s="9"/>
      <c r="L2474" s="9"/>
      <c r="M2474" s="152"/>
      <c r="N2474" s="153"/>
      <c r="O2474" s="152"/>
      <c r="P2474" s="154"/>
      <c r="Q2474" s="152"/>
      <c r="R2474" s="9"/>
      <c r="Z2474" s="21"/>
      <c r="AA2474" s="162">
        <f>+$AD$5-Tabla2[[#This Row],[FECHA DE FACTURACIÓN]]</f>
        <v>45443</v>
      </c>
      <c r="AB2474" s="163" t="str">
        <f>+IF(Tabla2[[#This Row],[dias de credito]]&gt;=Tabla2[[#This Row],[PLAZO Días]],"venc", "No venc")</f>
        <v>venc</v>
      </c>
      <c r="AC2474" s="163" t="str">
        <f>+IF(Tabla2[[#This Row],[FECHA DE PAGO]]&gt;0,"pagada","por pagar")</f>
        <v>por pagar</v>
      </c>
      <c r="AD2474" s="164" t="str">
        <f>+IF(AND(Tabla2[[#This Row],[venc]]="venc",Tabla2[[#This Row],[estado pago]]="por pagar"),"vencida","no")</f>
        <v>vencida</v>
      </c>
    </row>
    <row r="2475" spans="1:30" ht="19.5" hidden="1" customHeight="1" x14ac:dyDescent="0.25">
      <c r="A2475" s="8"/>
      <c r="B2475" s="8"/>
      <c r="C2475" s="8"/>
      <c r="D2475" s="151"/>
      <c r="E2475" s="151"/>
      <c r="F2475" s="24"/>
      <c r="G2475" s="30"/>
      <c r="H2475" s="81"/>
      <c r="I2475" s="30"/>
      <c r="J2475" s="16"/>
      <c r="K2475" s="9"/>
      <c r="L2475" s="9"/>
      <c r="M2475" s="152"/>
      <c r="N2475" s="153"/>
      <c r="O2475" s="152"/>
      <c r="P2475" s="154"/>
      <c r="Q2475" s="152"/>
      <c r="R2475" s="9"/>
      <c r="Z2475" s="21"/>
      <c r="AA2475" s="162">
        <f>+$AD$5-Tabla2[[#This Row],[FECHA DE FACTURACIÓN]]</f>
        <v>45443</v>
      </c>
      <c r="AB2475" s="163" t="str">
        <f>+IF(Tabla2[[#This Row],[dias de credito]]&gt;=Tabla2[[#This Row],[PLAZO Días]],"venc", "No venc")</f>
        <v>venc</v>
      </c>
      <c r="AC2475" s="163" t="str">
        <f>+IF(Tabla2[[#This Row],[FECHA DE PAGO]]&gt;0,"pagada","por pagar")</f>
        <v>por pagar</v>
      </c>
      <c r="AD2475" s="164" t="str">
        <f>+IF(AND(Tabla2[[#This Row],[venc]]="venc",Tabla2[[#This Row],[estado pago]]="por pagar"),"vencida","no")</f>
        <v>vencida</v>
      </c>
    </row>
    <row r="2476" spans="1:30" ht="19.5" hidden="1" customHeight="1" x14ac:dyDescent="0.25">
      <c r="A2476" s="8"/>
      <c r="B2476" s="8"/>
      <c r="C2476" s="8"/>
      <c r="D2476" s="151"/>
      <c r="E2476" s="151"/>
      <c r="F2476" s="24"/>
      <c r="G2476" s="30"/>
      <c r="H2476" s="81"/>
      <c r="I2476" s="30"/>
      <c r="J2476" s="16"/>
      <c r="K2476" s="9"/>
      <c r="L2476" s="9"/>
      <c r="M2476" s="152"/>
      <c r="N2476" s="153"/>
      <c r="O2476" s="152"/>
      <c r="P2476" s="154"/>
      <c r="Q2476" s="152"/>
      <c r="R2476" s="9"/>
      <c r="Z2476" s="21"/>
      <c r="AA2476" s="162">
        <f>+$AD$5-Tabla2[[#This Row],[FECHA DE FACTURACIÓN]]</f>
        <v>45443</v>
      </c>
      <c r="AB2476" s="163" t="str">
        <f>+IF(Tabla2[[#This Row],[dias de credito]]&gt;=Tabla2[[#This Row],[PLAZO Días]],"venc", "No venc")</f>
        <v>venc</v>
      </c>
      <c r="AC2476" s="163" t="str">
        <f>+IF(Tabla2[[#This Row],[FECHA DE PAGO]]&gt;0,"pagada","por pagar")</f>
        <v>por pagar</v>
      </c>
      <c r="AD2476" s="164" t="str">
        <f>+IF(AND(Tabla2[[#This Row],[venc]]="venc",Tabla2[[#This Row],[estado pago]]="por pagar"),"vencida","no")</f>
        <v>vencida</v>
      </c>
    </row>
    <row r="2477" spans="1:30" ht="19.5" hidden="1" customHeight="1" x14ac:dyDescent="0.25">
      <c r="A2477" s="8"/>
      <c r="B2477" s="8"/>
      <c r="C2477" s="8"/>
      <c r="D2477" s="151"/>
      <c r="E2477" s="151"/>
      <c r="F2477" s="24"/>
      <c r="G2477" s="30"/>
      <c r="H2477" s="81"/>
      <c r="I2477" s="30"/>
      <c r="J2477" s="16"/>
      <c r="K2477" s="9"/>
      <c r="L2477" s="9"/>
      <c r="M2477" s="152"/>
      <c r="N2477" s="153"/>
      <c r="O2477" s="152"/>
      <c r="P2477" s="154"/>
      <c r="Q2477" s="152"/>
      <c r="R2477" s="9"/>
      <c r="Z2477" s="21"/>
      <c r="AA2477" s="162">
        <f>+$AD$5-Tabla2[[#This Row],[FECHA DE FACTURACIÓN]]</f>
        <v>45443</v>
      </c>
      <c r="AB2477" s="163" t="str">
        <f>+IF(Tabla2[[#This Row],[dias de credito]]&gt;=Tabla2[[#This Row],[PLAZO Días]],"venc", "No venc")</f>
        <v>venc</v>
      </c>
      <c r="AC2477" s="163" t="str">
        <f>+IF(Tabla2[[#This Row],[FECHA DE PAGO]]&gt;0,"pagada","por pagar")</f>
        <v>por pagar</v>
      </c>
      <c r="AD2477" s="164" t="str">
        <f>+IF(AND(Tabla2[[#This Row],[venc]]="venc",Tabla2[[#This Row],[estado pago]]="por pagar"),"vencida","no")</f>
        <v>vencida</v>
      </c>
    </row>
    <row r="2478" spans="1:30" ht="19.5" hidden="1" customHeight="1" x14ac:dyDescent="0.25">
      <c r="A2478" s="8"/>
      <c r="B2478" s="8"/>
      <c r="C2478" s="8"/>
      <c r="D2478" s="151"/>
      <c r="E2478" s="151"/>
      <c r="F2478" s="24"/>
      <c r="G2478" s="30"/>
      <c r="H2478" s="81"/>
      <c r="I2478" s="30"/>
      <c r="J2478" s="16"/>
      <c r="K2478" s="9"/>
      <c r="L2478" s="9"/>
      <c r="M2478" s="152"/>
      <c r="N2478" s="153"/>
      <c r="O2478" s="152"/>
      <c r="P2478" s="154"/>
      <c r="Q2478" s="152"/>
      <c r="R2478" s="9"/>
      <c r="Z2478" s="21"/>
      <c r="AA2478" s="162">
        <f>+$AD$5-Tabla2[[#This Row],[FECHA DE FACTURACIÓN]]</f>
        <v>45443</v>
      </c>
      <c r="AB2478" s="163" t="str">
        <f>+IF(Tabla2[[#This Row],[dias de credito]]&gt;=Tabla2[[#This Row],[PLAZO Días]],"venc", "No venc")</f>
        <v>venc</v>
      </c>
      <c r="AC2478" s="163" t="str">
        <f>+IF(Tabla2[[#This Row],[FECHA DE PAGO]]&gt;0,"pagada","por pagar")</f>
        <v>por pagar</v>
      </c>
      <c r="AD2478" s="164" t="str">
        <f>+IF(AND(Tabla2[[#This Row],[venc]]="venc",Tabla2[[#This Row],[estado pago]]="por pagar"),"vencida","no")</f>
        <v>vencida</v>
      </c>
    </row>
    <row r="2479" spans="1:30" ht="19.5" hidden="1" customHeight="1" x14ac:dyDescent="0.25">
      <c r="A2479" s="8"/>
      <c r="B2479" s="8"/>
      <c r="C2479" s="8"/>
      <c r="D2479" s="151"/>
      <c r="E2479" s="151"/>
      <c r="F2479" s="24"/>
      <c r="G2479" s="30"/>
      <c r="H2479" s="81"/>
      <c r="I2479" s="30"/>
      <c r="J2479" s="16"/>
      <c r="K2479" s="9"/>
      <c r="L2479" s="9"/>
      <c r="M2479" s="152"/>
      <c r="N2479" s="153"/>
      <c r="O2479" s="152"/>
      <c r="P2479" s="154"/>
      <c r="Q2479" s="152"/>
      <c r="R2479" s="9"/>
      <c r="Z2479" s="21"/>
      <c r="AA2479" s="162">
        <f>+$AD$5-Tabla2[[#This Row],[FECHA DE FACTURACIÓN]]</f>
        <v>45443</v>
      </c>
      <c r="AB2479" s="163" t="str">
        <f>+IF(Tabla2[[#This Row],[dias de credito]]&gt;=Tabla2[[#This Row],[PLAZO Días]],"venc", "No venc")</f>
        <v>venc</v>
      </c>
      <c r="AC2479" s="163" t="str">
        <f>+IF(Tabla2[[#This Row],[FECHA DE PAGO]]&gt;0,"pagada","por pagar")</f>
        <v>por pagar</v>
      </c>
      <c r="AD2479" s="164" t="str">
        <f>+IF(AND(Tabla2[[#This Row],[venc]]="venc",Tabla2[[#This Row],[estado pago]]="por pagar"),"vencida","no")</f>
        <v>vencida</v>
      </c>
    </row>
    <row r="2480" spans="1:30" ht="19.5" hidden="1" customHeight="1" x14ac:dyDescent="0.25">
      <c r="A2480" s="8"/>
      <c r="B2480" s="8"/>
      <c r="C2480" s="8"/>
      <c r="D2480" s="151"/>
      <c r="E2480" s="151"/>
      <c r="F2480" s="24"/>
      <c r="G2480" s="30"/>
      <c r="H2480" s="81"/>
      <c r="I2480" s="30"/>
      <c r="J2480" s="16"/>
      <c r="K2480" s="9"/>
      <c r="L2480" s="9"/>
      <c r="M2480" s="152"/>
      <c r="N2480" s="153"/>
      <c r="O2480" s="152"/>
      <c r="P2480" s="154"/>
      <c r="Q2480" s="152"/>
      <c r="R2480" s="9"/>
      <c r="Z2480" s="21"/>
      <c r="AA2480" s="162">
        <f>+$AD$5-Tabla2[[#This Row],[FECHA DE FACTURACIÓN]]</f>
        <v>45443</v>
      </c>
      <c r="AB2480" s="163" t="str">
        <f>+IF(Tabla2[[#This Row],[dias de credito]]&gt;=Tabla2[[#This Row],[PLAZO Días]],"venc", "No venc")</f>
        <v>venc</v>
      </c>
      <c r="AC2480" s="163" t="str">
        <f>+IF(Tabla2[[#This Row],[FECHA DE PAGO]]&gt;0,"pagada","por pagar")</f>
        <v>por pagar</v>
      </c>
      <c r="AD2480" s="164" t="str">
        <f>+IF(AND(Tabla2[[#This Row],[venc]]="venc",Tabla2[[#This Row],[estado pago]]="por pagar"),"vencida","no")</f>
        <v>vencida</v>
      </c>
    </row>
    <row r="2481" spans="1:30" ht="19.5" hidden="1" customHeight="1" x14ac:dyDescent="0.25">
      <c r="A2481" s="8"/>
      <c r="B2481" s="8"/>
      <c r="C2481" s="8"/>
      <c r="D2481" s="151"/>
      <c r="E2481" s="151"/>
      <c r="F2481" s="24"/>
      <c r="G2481" s="30"/>
      <c r="H2481" s="81"/>
      <c r="I2481" s="30"/>
      <c r="J2481" s="16"/>
      <c r="K2481" s="9"/>
      <c r="L2481" s="9"/>
      <c r="M2481" s="152"/>
      <c r="N2481" s="153"/>
      <c r="O2481" s="152"/>
      <c r="P2481" s="154"/>
      <c r="Q2481" s="152"/>
      <c r="R2481" s="9"/>
      <c r="Z2481" s="21"/>
      <c r="AA2481" s="162">
        <f>+$AD$5-Tabla2[[#This Row],[FECHA DE FACTURACIÓN]]</f>
        <v>45443</v>
      </c>
      <c r="AB2481" s="163" t="str">
        <f>+IF(Tabla2[[#This Row],[dias de credito]]&gt;=Tabla2[[#This Row],[PLAZO Días]],"venc", "No venc")</f>
        <v>venc</v>
      </c>
      <c r="AC2481" s="163" t="str">
        <f>+IF(Tabla2[[#This Row],[FECHA DE PAGO]]&gt;0,"pagada","por pagar")</f>
        <v>por pagar</v>
      </c>
      <c r="AD2481" s="164" t="str">
        <f>+IF(AND(Tabla2[[#This Row],[venc]]="venc",Tabla2[[#This Row],[estado pago]]="por pagar"),"vencida","no")</f>
        <v>vencida</v>
      </c>
    </row>
    <row r="2482" spans="1:30" ht="19.5" hidden="1" customHeight="1" x14ac:dyDescent="0.25">
      <c r="A2482" s="8"/>
      <c r="B2482" s="8"/>
      <c r="C2482" s="8"/>
      <c r="D2482" s="151"/>
      <c r="E2482" s="151"/>
      <c r="F2482" s="24"/>
      <c r="G2482" s="30"/>
      <c r="H2482" s="81"/>
      <c r="I2482" s="30"/>
      <c r="J2482" s="16"/>
      <c r="K2482" s="9"/>
      <c r="L2482" s="9"/>
      <c r="M2482" s="152"/>
      <c r="N2482" s="153"/>
      <c r="O2482" s="152"/>
      <c r="P2482" s="154"/>
      <c r="Q2482" s="152"/>
      <c r="R2482" s="9"/>
      <c r="Z2482" s="21"/>
      <c r="AA2482" s="162">
        <f>+$AD$5-Tabla2[[#This Row],[FECHA DE FACTURACIÓN]]</f>
        <v>45443</v>
      </c>
      <c r="AB2482" s="163" t="str">
        <f>+IF(Tabla2[[#This Row],[dias de credito]]&gt;=Tabla2[[#This Row],[PLAZO Días]],"venc", "No venc")</f>
        <v>venc</v>
      </c>
      <c r="AC2482" s="163" t="str">
        <f>+IF(Tabla2[[#This Row],[FECHA DE PAGO]]&gt;0,"pagada","por pagar")</f>
        <v>por pagar</v>
      </c>
      <c r="AD2482" s="164" t="str">
        <f>+IF(AND(Tabla2[[#This Row],[venc]]="venc",Tabla2[[#This Row],[estado pago]]="por pagar"),"vencida","no")</f>
        <v>vencida</v>
      </c>
    </row>
    <row r="2483" spans="1:30" ht="19.5" hidden="1" customHeight="1" x14ac:dyDescent="0.25">
      <c r="A2483" s="8"/>
      <c r="B2483" s="8"/>
      <c r="C2483" s="8"/>
      <c r="D2483" s="151"/>
      <c r="E2483" s="151"/>
      <c r="F2483" s="24"/>
      <c r="G2483" s="30"/>
      <c r="H2483" s="81"/>
      <c r="I2483" s="30"/>
      <c r="J2483" s="16"/>
      <c r="K2483" s="9"/>
      <c r="L2483" s="9"/>
      <c r="M2483" s="152"/>
      <c r="N2483" s="153"/>
      <c r="O2483" s="152"/>
      <c r="P2483" s="154"/>
      <c r="Q2483" s="152"/>
      <c r="R2483" s="9"/>
      <c r="Z2483" s="21"/>
      <c r="AA2483" s="162">
        <f>+$AD$5-Tabla2[[#This Row],[FECHA DE FACTURACIÓN]]</f>
        <v>45443</v>
      </c>
      <c r="AB2483" s="163" t="str">
        <f>+IF(Tabla2[[#This Row],[dias de credito]]&gt;=Tabla2[[#This Row],[PLAZO Días]],"venc", "No venc")</f>
        <v>venc</v>
      </c>
      <c r="AC2483" s="163" t="str">
        <f>+IF(Tabla2[[#This Row],[FECHA DE PAGO]]&gt;0,"pagada","por pagar")</f>
        <v>por pagar</v>
      </c>
      <c r="AD2483" s="164" t="str">
        <f>+IF(AND(Tabla2[[#This Row],[venc]]="venc",Tabla2[[#This Row],[estado pago]]="por pagar"),"vencida","no")</f>
        <v>vencida</v>
      </c>
    </row>
    <row r="2484" spans="1:30" ht="19.5" hidden="1" customHeight="1" x14ac:dyDescent="0.25">
      <c r="A2484" s="8"/>
      <c r="B2484" s="8"/>
      <c r="C2484" s="8"/>
      <c r="D2484" s="151"/>
      <c r="E2484" s="151"/>
      <c r="F2484" s="24"/>
      <c r="G2484" s="30"/>
      <c r="H2484" s="81"/>
      <c r="I2484" s="30"/>
      <c r="J2484" s="16"/>
      <c r="K2484" s="9"/>
      <c r="L2484" s="9"/>
      <c r="M2484" s="152"/>
      <c r="N2484" s="153"/>
      <c r="O2484" s="152"/>
      <c r="P2484" s="154"/>
      <c r="Q2484" s="152"/>
      <c r="R2484" s="9"/>
      <c r="Z2484" s="21"/>
      <c r="AA2484" s="162">
        <f>+$AD$5-Tabla2[[#This Row],[FECHA DE FACTURACIÓN]]</f>
        <v>45443</v>
      </c>
      <c r="AB2484" s="163" t="str">
        <f>+IF(Tabla2[[#This Row],[dias de credito]]&gt;=Tabla2[[#This Row],[PLAZO Días]],"venc", "No venc")</f>
        <v>venc</v>
      </c>
      <c r="AC2484" s="163" t="str">
        <f>+IF(Tabla2[[#This Row],[FECHA DE PAGO]]&gt;0,"pagada","por pagar")</f>
        <v>por pagar</v>
      </c>
      <c r="AD2484" s="164" t="str">
        <f>+IF(AND(Tabla2[[#This Row],[venc]]="venc",Tabla2[[#This Row],[estado pago]]="por pagar"),"vencida","no")</f>
        <v>vencida</v>
      </c>
    </row>
    <row r="2485" spans="1:30" ht="19.5" hidden="1" customHeight="1" x14ac:dyDescent="0.25">
      <c r="A2485" s="8"/>
      <c r="B2485" s="8"/>
      <c r="C2485" s="8"/>
      <c r="D2485" s="151"/>
      <c r="E2485" s="151"/>
      <c r="F2485" s="24"/>
      <c r="G2485" s="30"/>
      <c r="H2485" s="81"/>
      <c r="I2485" s="30"/>
      <c r="J2485" s="16"/>
      <c r="K2485" s="9"/>
      <c r="L2485" s="9"/>
      <c r="M2485" s="152"/>
      <c r="N2485" s="153"/>
      <c r="O2485" s="152"/>
      <c r="P2485" s="154"/>
      <c r="Q2485" s="152"/>
      <c r="R2485" s="9"/>
      <c r="Z2485" s="21"/>
      <c r="AA2485" s="162">
        <f>+$AD$5-Tabla2[[#This Row],[FECHA DE FACTURACIÓN]]</f>
        <v>45443</v>
      </c>
      <c r="AB2485" s="163" t="str">
        <f>+IF(Tabla2[[#This Row],[dias de credito]]&gt;=Tabla2[[#This Row],[PLAZO Días]],"venc", "No venc")</f>
        <v>venc</v>
      </c>
      <c r="AC2485" s="163" t="str">
        <f>+IF(Tabla2[[#This Row],[FECHA DE PAGO]]&gt;0,"pagada","por pagar")</f>
        <v>por pagar</v>
      </c>
      <c r="AD2485" s="164" t="str">
        <f>+IF(AND(Tabla2[[#This Row],[venc]]="venc",Tabla2[[#This Row],[estado pago]]="por pagar"),"vencida","no")</f>
        <v>vencida</v>
      </c>
    </row>
    <row r="2486" spans="1:30" ht="19.5" hidden="1" customHeight="1" x14ac:dyDescent="0.25">
      <c r="A2486" s="8"/>
      <c r="B2486" s="8"/>
      <c r="C2486" s="8"/>
      <c r="D2486" s="151"/>
      <c r="E2486" s="151"/>
      <c r="F2486" s="24"/>
      <c r="G2486" s="30"/>
      <c r="H2486" s="81"/>
      <c r="I2486" s="30"/>
      <c r="J2486" s="16"/>
      <c r="K2486" s="9"/>
      <c r="L2486" s="9"/>
      <c r="M2486" s="152"/>
      <c r="N2486" s="153"/>
      <c r="O2486" s="152"/>
      <c r="P2486" s="154"/>
      <c r="Q2486" s="152"/>
      <c r="R2486" s="9"/>
      <c r="Z2486" s="21"/>
      <c r="AA2486" s="162">
        <f>+$AD$5-Tabla2[[#This Row],[FECHA DE FACTURACIÓN]]</f>
        <v>45443</v>
      </c>
      <c r="AB2486" s="163" t="str">
        <f>+IF(Tabla2[[#This Row],[dias de credito]]&gt;=Tabla2[[#This Row],[PLAZO Días]],"venc", "No venc")</f>
        <v>venc</v>
      </c>
      <c r="AC2486" s="163" t="str">
        <f>+IF(Tabla2[[#This Row],[FECHA DE PAGO]]&gt;0,"pagada","por pagar")</f>
        <v>por pagar</v>
      </c>
      <c r="AD2486" s="164" t="str">
        <f>+IF(AND(Tabla2[[#This Row],[venc]]="venc",Tabla2[[#This Row],[estado pago]]="por pagar"),"vencida","no")</f>
        <v>vencida</v>
      </c>
    </row>
    <row r="2487" spans="1:30" ht="19.5" hidden="1" customHeight="1" x14ac:dyDescent="0.25">
      <c r="A2487" s="8"/>
      <c r="B2487" s="8"/>
      <c r="C2487" s="8"/>
      <c r="D2487" s="151"/>
      <c r="E2487" s="151"/>
      <c r="F2487" s="24"/>
      <c r="G2487" s="30"/>
      <c r="H2487" s="81"/>
      <c r="I2487" s="30"/>
      <c r="J2487" s="16"/>
      <c r="K2487" s="9"/>
      <c r="L2487" s="9"/>
      <c r="M2487" s="152"/>
      <c r="N2487" s="153"/>
      <c r="O2487" s="152"/>
      <c r="P2487" s="154"/>
      <c r="Q2487" s="152"/>
      <c r="R2487" s="9"/>
      <c r="Z2487" s="21"/>
      <c r="AA2487" s="162">
        <f>+$AD$5-Tabla2[[#This Row],[FECHA DE FACTURACIÓN]]</f>
        <v>45443</v>
      </c>
      <c r="AB2487" s="163" t="str">
        <f>+IF(Tabla2[[#This Row],[dias de credito]]&gt;=Tabla2[[#This Row],[PLAZO Días]],"venc", "No venc")</f>
        <v>venc</v>
      </c>
      <c r="AC2487" s="163" t="str">
        <f>+IF(Tabla2[[#This Row],[FECHA DE PAGO]]&gt;0,"pagada","por pagar")</f>
        <v>por pagar</v>
      </c>
      <c r="AD2487" s="164" t="str">
        <f>+IF(AND(Tabla2[[#This Row],[venc]]="venc",Tabla2[[#This Row],[estado pago]]="por pagar"),"vencida","no")</f>
        <v>vencida</v>
      </c>
    </row>
    <row r="2488" spans="1:30" ht="19.5" hidden="1" customHeight="1" x14ac:dyDescent="0.25">
      <c r="A2488" s="8"/>
      <c r="B2488" s="8"/>
      <c r="C2488" s="8"/>
      <c r="D2488" s="151"/>
      <c r="E2488" s="151"/>
      <c r="F2488" s="24"/>
      <c r="G2488" s="30"/>
      <c r="H2488" s="81"/>
      <c r="I2488" s="30"/>
      <c r="J2488" s="16"/>
      <c r="K2488" s="9"/>
      <c r="L2488" s="9"/>
      <c r="M2488" s="152"/>
      <c r="N2488" s="153"/>
      <c r="O2488" s="152"/>
      <c r="P2488" s="154"/>
      <c r="Q2488" s="152"/>
      <c r="R2488" s="9"/>
      <c r="Z2488" s="21"/>
      <c r="AA2488" s="162">
        <f>+$AD$5-Tabla2[[#This Row],[FECHA DE FACTURACIÓN]]</f>
        <v>45443</v>
      </c>
      <c r="AB2488" s="163" t="str">
        <f>+IF(Tabla2[[#This Row],[dias de credito]]&gt;=Tabla2[[#This Row],[PLAZO Días]],"venc", "No venc")</f>
        <v>venc</v>
      </c>
      <c r="AC2488" s="163" t="str">
        <f>+IF(Tabla2[[#This Row],[FECHA DE PAGO]]&gt;0,"pagada","por pagar")</f>
        <v>por pagar</v>
      </c>
      <c r="AD2488" s="164" t="str">
        <f>+IF(AND(Tabla2[[#This Row],[venc]]="venc",Tabla2[[#This Row],[estado pago]]="por pagar"),"vencida","no")</f>
        <v>vencida</v>
      </c>
    </row>
    <row r="2489" spans="1:30" ht="19.5" hidden="1" customHeight="1" x14ac:dyDescent="0.25">
      <c r="A2489" s="8"/>
      <c r="B2489" s="8"/>
      <c r="C2489" s="8"/>
      <c r="D2489" s="151"/>
      <c r="E2489" s="151"/>
      <c r="F2489" s="24"/>
      <c r="G2489" s="30"/>
      <c r="H2489" s="81"/>
      <c r="I2489" s="30"/>
      <c r="J2489" s="16"/>
      <c r="K2489" s="9"/>
      <c r="L2489" s="9"/>
      <c r="M2489" s="152"/>
      <c r="N2489" s="153"/>
      <c r="O2489" s="152"/>
      <c r="P2489" s="154"/>
      <c r="Q2489" s="152"/>
      <c r="R2489" s="9"/>
      <c r="Z2489" s="21"/>
      <c r="AA2489" s="162">
        <f>+$AD$5-Tabla2[[#This Row],[FECHA DE FACTURACIÓN]]</f>
        <v>45443</v>
      </c>
      <c r="AB2489" s="163" t="str">
        <f>+IF(Tabla2[[#This Row],[dias de credito]]&gt;=Tabla2[[#This Row],[PLAZO Días]],"venc", "No venc")</f>
        <v>venc</v>
      </c>
      <c r="AC2489" s="163" t="str">
        <f>+IF(Tabla2[[#This Row],[FECHA DE PAGO]]&gt;0,"pagada","por pagar")</f>
        <v>por pagar</v>
      </c>
      <c r="AD2489" s="164" t="str">
        <f>+IF(AND(Tabla2[[#This Row],[venc]]="venc",Tabla2[[#This Row],[estado pago]]="por pagar"),"vencida","no")</f>
        <v>vencida</v>
      </c>
    </row>
    <row r="2490" spans="1:30" ht="19.5" hidden="1" customHeight="1" x14ac:dyDescent="0.25">
      <c r="A2490" s="8"/>
      <c r="B2490" s="8"/>
      <c r="C2490" s="8"/>
      <c r="D2490" s="151"/>
      <c r="E2490" s="151"/>
      <c r="F2490" s="24"/>
      <c r="G2490" s="30"/>
      <c r="H2490" s="81"/>
      <c r="I2490" s="30"/>
      <c r="J2490" s="16"/>
      <c r="K2490" s="9"/>
      <c r="L2490" s="9"/>
      <c r="M2490" s="152"/>
      <c r="N2490" s="153"/>
      <c r="O2490" s="152"/>
      <c r="P2490" s="154"/>
      <c r="Q2490" s="152"/>
      <c r="R2490" s="9"/>
      <c r="Z2490" s="21"/>
      <c r="AA2490" s="162">
        <f>+$AD$5-Tabla2[[#This Row],[FECHA DE FACTURACIÓN]]</f>
        <v>45443</v>
      </c>
      <c r="AB2490" s="163" t="str">
        <f>+IF(Tabla2[[#This Row],[dias de credito]]&gt;=Tabla2[[#This Row],[PLAZO Días]],"venc", "No venc")</f>
        <v>venc</v>
      </c>
      <c r="AC2490" s="163" t="str">
        <f>+IF(Tabla2[[#This Row],[FECHA DE PAGO]]&gt;0,"pagada","por pagar")</f>
        <v>por pagar</v>
      </c>
      <c r="AD2490" s="164" t="str">
        <f>+IF(AND(Tabla2[[#This Row],[venc]]="venc",Tabla2[[#This Row],[estado pago]]="por pagar"),"vencida","no")</f>
        <v>vencida</v>
      </c>
    </row>
    <row r="2491" spans="1:30" ht="19.5" hidden="1" customHeight="1" x14ac:dyDescent="0.25">
      <c r="A2491" s="8"/>
      <c r="B2491" s="8"/>
      <c r="C2491" s="8"/>
      <c r="D2491" s="151"/>
      <c r="E2491" s="151"/>
      <c r="F2491" s="24"/>
      <c r="G2491" s="30"/>
      <c r="H2491" s="81"/>
      <c r="I2491" s="30"/>
      <c r="J2491" s="16"/>
      <c r="K2491" s="9"/>
      <c r="L2491" s="9"/>
      <c r="M2491" s="152"/>
      <c r="N2491" s="153"/>
      <c r="O2491" s="152"/>
      <c r="P2491" s="154"/>
      <c r="Q2491" s="152"/>
      <c r="R2491" s="9"/>
      <c r="Z2491" s="21"/>
      <c r="AA2491" s="162">
        <f>+$AD$5-Tabla2[[#This Row],[FECHA DE FACTURACIÓN]]</f>
        <v>45443</v>
      </c>
      <c r="AB2491" s="163" t="str">
        <f>+IF(Tabla2[[#This Row],[dias de credito]]&gt;=Tabla2[[#This Row],[PLAZO Días]],"venc", "No venc")</f>
        <v>venc</v>
      </c>
      <c r="AC2491" s="163" t="str">
        <f>+IF(Tabla2[[#This Row],[FECHA DE PAGO]]&gt;0,"pagada","por pagar")</f>
        <v>por pagar</v>
      </c>
      <c r="AD2491" s="164" t="str">
        <f>+IF(AND(Tabla2[[#This Row],[venc]]="venc",Tabla2[[#This Row],[estado pago]]="por pagar"),"vencida","no")</f>
        <v>vencida</v>
      </c>
    </row>
    <row r="2492" spans="1:30" ht="19.5" hidden="1" customHeight="1" x14ac:dyDescent="0.25">
      <c r="A2492" s="8"/>
      <c r="B2492" s="8"/>
      <c r="C2492" s="8"/>
      <c r="D2492" s="151"/>
      <c r="E2492" s="151"/>
      <c r="F2492" s="24"/>
      <c r="G2492" s="30"/>
      <c r="H2492" s="81"/>
      <c r="I2492" s="30"/>
      <c r="J2492" s="16"/>
      <c r="K2492" s="9"/>
      <c r="L2492" s="9"/>
      <c r="M2492" s="152"/>
      <c r="N2492" s="153"/>
      <c r="O2492" s="152"/>
      <c r="P2492" s="154"/>
      <c r="Q2492" s="152"/>
      <c r="R2492" s="9"/>
      <c r="Z2492" s="21"/>
      <c r="AA2492" s="162">
        <f>+$AD$5-Tabla2[[#This Row],[FECHA DE FACTURACIÓN]]</f>
        <v>45443</v>
      </c>
      <c r="AB2492" s="163" t="str">
        <f>+IF(Tabla2[[#This Row],[dias de credito]]&gt;=Tabla2[[#This Row],[PLAZO Días]],"venc", "No venc")</f>
        <v>venc</v>
      </c>
      <c r="AC2492" s="163" t="str">
        <f>+IF(Tabla2[[#This Row],[FECHA DE PAGO]]&gt;0,"pagada","por pagar")</f>
        <v>por pagar</v>
      </c>
      <c r="AD2492" s="164" t="str">
        <f>+IF(AND(Tabla2[[#This Row],[venc]]="venc",Tabla2[[#This Row],[estado pago]]="por pagar"),"vencida","no")</f>
        <v>vencida</v>
      </c>
    </row>
    <row r="2493" spans="1:30" ht="19.5" hidden="1" customHeight="1" x14ac:dyDescent="0.25">
      <c r="A2493" s="8"/>
      <c r="B2493" s="8"/>
      <c r="C2493" s="8"/>
      <c r="D2493" s="151"/>
      <c r="E2493" s="151"/>
      <c r="F2493" s="24"/>
      <c r="G2493" s="30"/>
      <c r="H2493" s="81"/>
      <c r="I2493" s="30"/>
      <c r="J2493" s="16"/>
      <c r="K2493" s="9"/>
      <c r="L2493" s="9"/>
      <c r="M2493" s="152"/>
      <c r="N2493" s="153"/>
      <c r="O2493" s="152"/>
      <c r="P2493" s="154"/>
      <c r="Q2493" s="152"/>
      <c r="R2493" s="9"/>
      <c r="Z2493" s="21"/>
      <c r="AA2493" s="162">
        <f>+$AD$5-Tabla2[[#This Row],[FECHA DE FACTURACIÓN]]</f>
        <v>45443</v>
      </c>
      <c r="AB2493" s="163" t="str">
        <f>+IF(Tabla2[[#This Row],[dias de credito]]&gt;=Tabla2[[#This Row],[PLAZO Días]],"venc", "No venc")</f>
        <v>venc</v>
      </c>
      <c r="AC2493" s="163" t="str">
        <f>+IF(Tabla2[[#This Row],[FECHA DE PAGO]]&gt;0,"pagada","por pagar")</f>
        <v>por pagar</v>
      </c>
      <c r="AD2493" s="164" t="str">
        <f>+IF(AND(Tabla2[[#This Row],[venc]]="venc",Tabla2[[#This Row],[estado pago]]="por pagar"),"vencida","no")</f>
        <v>vencida</v>
      </c>
    </row>
    <row r="2494" spans="1:30" ht="19.5" hidden="1" customHeight="1" x14ac:dyDescent="0.25">
      <c r="A2494" s="8"/>
      <c r="B2494" s="8"/>
      <c r="C2494" s="8"/>
      <c r="D2494" s="151"/>
      <c r="E2494" s="151"/>
      <c r="F2494" s="24"/>
      <c r="G2494" s="30"/>
      <c r="H2494" s="81"/>
      <c r="I2494" s="30"/>
      <c r="J2494" s="16"/>
      <c r="K2494" s="9"/>
      <c r="L2494" s="9"/>
      <c r="M2494" s="152"/>
      <c r="N2494" s="153"/>
      <c r="O2494" s="152"/>
      <c r="P2494" s="154"/>
      <c r="Q2494" s="152"/>
      <c r="R2494" s="9"/>
      <c r="Z2494" s="21"/>
      <c r="AA2494" s="162">
        <f>+$AD$5-Tabla2[[#This Row],[FECHA DE FACTURACIÓN]]</f>
        <v>45443</v>
      </c>
      <c r="AB2494" s="163" t="str">
        <f>+IF(Tabla2[[#This Row],[dias de credito]]&gt;=Tabla2[[#This Row],[PLAZO Días]],"venc", "No venc")</f>
        <v>venc</v>
      </c>
      <c r="AC2494" s="163" t="str">
        <f>+IF(Tabla2[[#This Row],[FECHA DE PAGO]]&gt;0,"pagada","por pagar")</f>
        <v>por pagar</v>
      </c>
      <c r="AD2494" s="164" t="str">
        <f>+IF(AND(Tabla2[[#This Row],[venc]]="venc",Tabla2[[#This Row],[estado pago]]="por pagar"),"vencida","no")</f>
        <v>vencida</v>
      </c>
    </row>
    <row r="2495" spans="1:30" ht="19.5" hidden="1" customHeight="1" x14ac:dyDescent="0.25">
      <c r="A2495" s="8"/>
      <c r="B2495" s="8"/>
      <c r="C2495" s="8"/>
      <c r="D2495" s="151"/>
      <c r="E2495" s="151"/>
      <c r="F2495" s="24"/>
      <c r="G2495" s="30"/>
      <c r="H2495" s="81"/>
      <c r="I2495" s="30"/>
      <c r="J2495" s="16"/>
      <c r="K2495" s="9"/>
      <c r="L2495" s="9"/>
      <c r="M2495" s="152"/>
      <c r="N2495" s="153"/>
      <c r="O2495" s="152"/>
      <c r="P2495" s="154"/>
      <c r="Q2495" s="152"/>
      <c r="R2495" s="9"/>
      <c r="Z2495" s="21"/>
      <c r="AA2495" s="162">
        <f>+$AD$5-Tabla2[[#This Row],[FECHA DE FACTURACIÓN]]</f>
        <v>45443</v>
      </c>
      <c r="AB2495" s="163" t="str">
        <f>+IF(Tabla2[[#This Row],[dias de credito]]&gt;=Tabla2[[#This Row],[PLAZO Días]],"venc", "No venc")</f>
        <v>venc</v>
      </c>
      <c r="AC2495" s="163" t="str">
        <f>+IF(Tabla2[[#This Row],[FECHA DE PAGO]]&gt;0,"pagada","por pagar")</f>
        <v>por pagar</v>
      </c>
      <c r="AD2495" s="164" t="str">
        <f>+IF(AND(Tabla2[[#This Row],[venc]]="venc",Tabla2[[#This Row],[estado pago]]="por pagar"),"vencida","no")</f>
        <v>vencida</v>
      </c>
    </row>
    <row r="2496" spans="1:30" ht="19.5" hidden="1" customHeight="1" x14ac:dyDescent="0.25">
      <c r="A2496" s="8"/>
      <c r="B2496" s="8"/>
      <c r="C2496" s="8"/>
      <c r="D2496" s="151"/>
      <c r="E2496" s="151"/>
      <c r="F2496" s="24"/>
      <c r="G2496" s="30"/>
      <c r="H2496" s="81"/>
      <c r="I2496" s="30"/>
      <c r="J2496" s="16"/>
      <c r="K2496" s="9"/>
      <c r="L2496" s="9"/>
      <c r="M2496" s="152"/>
      <c r="N2496" s="153"/>
      <c r="O2496" s="152"/>
      <c r="P2496" s="154"/>
      <c r="Q2496" s="152"/>
      <c r="R2496" s="9"/>
      <c r="Z2496" s="21"/>
      <c r="AA2496" s="162">
        <f>+$AD$5-Tabla2[[#This Row],[FECHA DE FACTURACIÓN]]</f>
        <v>45443</v>
      </c>
      <c r="AB2496" s="163" t="str">
        <f>+IF(Tabla2[[#This Row],[dias de credito]]&gt;=Tabla2[[#This Row],[PLAZO Días]],"venc", "No venc")</f>
        <v>venc</v>
      </c>
      <c r="AC2496" s="163" t="str">
        <f>+IF(Tabla2[[#This Row],[FECHA DE PAGO]]&gt;0,"pagada","por pagar")</f>
        <v>por pagar</v>
      </c>
      <c r="AD2496" s="164" t="str">
        <f>+IF(AND(Tabla2[[#This Row],[venc]]="venc",Tabla2[[#This Row],[estado pago]]="por pagar"),"vencida","no")</f>
        <v>vencida</v>
      </c>
    </row>
    <row r="2497" spans="1:30" ht="19.5" hidden="1" customHeight="1" x14ac:dyDescent="0.25">
      <c r="A2497" s="8"/>
      <c r="B2497" s="8"/>
      <c r="C2497" s="8"/>
      <c r="D2497" s="151"/>
      <c r="E2497" s="151"/>
      <c r="F2497" s="24"/>
      <c r="G2497" s="30"/>
      <c r="H2497" s="81"/>
      <c r="I2497" s="30"/>
      <c r="J2497" s="16"/>
      <c r="K2497" s="9"/>
      <c r="L2497" s="9"/>
      <c r="M2497" s="152"/>
      <c r="N2497" s="153"/>
      <c r="O2497" s="152"/>
      <c r="P2497" s="154"/>
      <c r="Q2497" s="152"/>
      <c r="R2497" s="9"/>
      <c r="Z2497" s="21"/>
      <c r="AA2497" s="162">
        <f>+$AD$5-Tabla2[[#This Row],[FECHA DE FACTURACIÓN]]</f>
        <v>45443</v>
      </c>
      <c r="AB2497" s="163" t="str">
        <f>+IF(Tabla2[[#This Row],[dias de credito]]&gt;=Tabla2[[#This Row],[PLAZO Días]],"venc", "No venc")</f>
        <v>venc</v>
      </c>
      <c r="AC2497" s="163" t="str">
        <f>+IF(Tabla2[[#This Row],[FECHA DE PAGO]]&gt;0,"pagada","por pagar")</f>
        <v>por pagar</v>
      </c>
      <c r="AD2497" s="164" t="str">
        <f>+IF(AND(Tabla2[[#This Row],[venc]]="venc",Tabla2[[#This Row],[estado pago]]="por pagar"),"vencida","no")</f>
        <v>vencida</v>
      </c>
    </row>
    <row r="2498" spans="1:30" ht="19.5" hidden="1" customHeight="1" x14ac:dyDescent="0.25">
      <c r="A2498" s="8"/>
      <c r="B2498" s="8"/>
      <c r="C2498" s="8"/>
      <c r="D2498" s="151"/>
      <c r="E2498" s="151"/>
      <c r="F2498" s="24"/>
      <c r="G2498" s="30"/>
      <c r="H2498" s="81"/>
      <c r="I2498" s="30"/>
      <c r="J2498" s="16"/>
      <c r="K2498" s="9"/>
      <c r="L2498" s="9"/>
      <c r="M2498" s="152"/>
      <c r="N2498" s="153"/>
      <c r="O2498" s="152"/>
      <c r="P2498" s="154"/>
      <c r="Q2498" s="152"/>
      <c r="R2498" s="9"/>
      <c r="Z2498" s="21"/>
      <c r="AA2498" s="162">
        <f>+$AD$5-Tabla2[[#This Row],[FECHA DE FACTURACIÓN]]</f>
        <v>45443</v>
      </c>
      <c r="AB2498" s="163" t="str">
        <f>+IF(Tabla2[[#This Row],[dias de credito]]&gt;=Tabla2[[#This Row],[PLAZO Días]],"venc", "No venc")</f>
        <v>venc</v>
      </c>
      <c r="AC2498" s="163" t="str">
        <f>+IF(Tabla2[[#This Row],[FECHA DE PAGO]]&gt;0,"pagada","por pagar")</f>
        <v>por pagar</v>
      </c>
      <c r="AD2498" s="164" t="str">
        <f>+IF(AND(Tabla2[[#This Row],[venc]]="venc",Tabla2[[#This Row],[estado pago]]="por pagar"),"vencida","no")</f>
        <v>vencida</v>
      </c>
    </row>
    <row r="2499" spans="1:30" ht="19.5" hidden="1" customHeight="1" x14ac:dyDescent="0.25">
      <c r="A2499" s="8"/>
      <c r="B2499" s="8"/>
      <c r="C2499" s="8"/>
      <c r="D2499" s="151"/>
      <c r="E2499" s="151"/>
      <c r="F2499" s="24"/>
      <c r="G2499" s="30"/>
      <c r="H2499" s="81"/>
      <c r="I2499" s="30"/>
      <c r="J2499" s="16"/>
      <c r="K2499" s="9"/>
      <c r="L2499" s="9"/>
      <c r="M2499" s="152"/>
      <c r="N2499" s="153"/>
      <c r="O2499" s="152"/>
      <c r="P2499" s="154"/>
      <c r="Q2499" s="152"/>
      <c r="R2499" s="9"/>
      <c r="Z2499" s="21"/>
      <c r="AA2499" s="162">
        <f>+$AD$5-Tabla2[[#This Row],[FECHA DE FACTURACIÓN]]</f>
        <v>45443</v>
      </c>
      <c r="AB2499" s="163" t="str">
        <f>+IF(Tabla2[[#This Row],[dias de credito]]&gt;=Tabla2[[#This Row],[PLAZO Días]],"venc", "No venc")</f>
        <v>venc</v>
      </c>
      <c r="AC2499" s="163" t="str">
        <f>+IF(Tabla2[[#This Row],[FECHA DE PAGO]]&gt;0,"pagada","por pagar")</f>
        <v>por pagar</v>
      </c>
      <c r="AD2499" s="164" t="str">
        <f>+IF(AND(Tabla2[[#This Row],[venc]]="venc",Tabla2[[#This Row],[estado pago]]="por pagar"),"vencida","no")</f>
        <v>vencida</v>
      </c>
    </row>
    <row r="2500" spans="1:30" ht="19.5" hidden="1" customHeight="1" x14ac:dyDescent="0.25">
      <c r="A2500" s="8"/>
      <c r="B2500" s="8"/>
      <c r="C2500" s="8"/>
      <c r="D2500" s="151"/>
      <c r="E2500" s="151"/>
      <c r="F2500" s="24"/>
      <c r="G2500" s="30"/>
      <c r="H2500" s="81"/>
      <c r="I2500" s="30"/>
      <c r="J2500" s="16"/>
      <c r="K2500" s="9"/>
      <c r="L2500" s="9"/>
      <c r="M2500" s="152"/>
      <c r="N2500" s="153"/>
      <c r="O2500" s="152"/>
      <c r="P2500" s="154"/>
      <c r="Q2500" s="152"/>
      <c r="R2500" s="9"/>
      <c r="Z2500" s="21"/>
      <c r="AA2500" s="162">
        <f>+$AD$5-Tabla2[[#This Row],[FECHA DE FACTURACIÓN]]</f>
        <v>45443</v>
      </c>
      <c r="AB2500" s="163" t="str">
        <f>+IF(Tabla2[[#This Row],[dias de credito]]&gt;=Tabla2[[#This Row],[PLAZO Días]],"venc", "No venc")</f>
        <v>venc</v>
      </c>
      <c r="AC2500" s="163" t="str">
        <f>+IF(Tabla2[[#This Row],[FECHA DE PAGO]]&gt;0,"pagada","por pagar")</f>
        <v>por pagar</v>
      </c>
      <c r="AD2500" s="164" t="str">
        <f>+IF(AND(Tabla2[[#This Row],[venc]]="venc",Tabla2[[#This Row],[estado pago]]="por pagar"),"vencida","no")</f>
        <v>vencida</v>
      </c>
    </row>
    <row r="2501" spans="1:30" ht="19.5" hidden="1" customHeight="1" x14ac:dyDescent="0.25">
      <c r="A2501" s="8"/>
      <c r="B2501" s="8"/>
      <c r="C2501" s="8"/>
      <c r="D2501" s="151"/>
      <c r="E2501" s="151"/>
      <c r="F2501" s="24"/>
      <c r="G2501" s="30"/>
      <c r="H2501" s="81"/>
      <c r="I2501" s="30"/>
      <c r="J2501" s="16"/>
      <c r="K2501" s="9"/>
      <c r="L2501" s="9"/>
      <c r="M2501" s="152"/>
      <c r="N2501" s="153"/>
      <c r="O2501" s="152"/>
      <c r="P2501" s="154"/>
      <c r="Q2501" s="152"/>
      <c r="R2501" s="9"/>
      <c r="Z2501" s="21"/>
      <c r="AA2501" s="162">
        <f>+$AD$5-Tabla2[[#This Row],[FECHA DE FACTURACIÓN]]</f>
        <v>45443</v>
      </c>
      <c r="AB2501" s="163" t="str">
        <f>+IF(Tabla2[[#This Row],[dias de credito]]&gt;=Tabla2[[#This Row],[PLAZO Días]],"venc", "No venc")</f>
        <v>venc</v>
      </c>
      <c r="AC2501" s="163" t="str">
        <f>+IF(Tabla2[[#This Row],[FECHA DE PAGO]]&gt;0,"pagada","por pagar")</f>
        <v>por pagar</v>
      </c>
      <c r="AD2501" s="164" t="str">
        <f>+IF(AND(Tabla2[[#This Row],[venc]]="venc",Tabla2[[#This Row],[estado pago]]="por pagar"),"vencida","no")</f>
        <v>vencida</v>
      </c>
    </row>
    <row r="2502" spans="1:30" ht="19.5" hidden="1" customHeight="1" x14ac:dyDescent="0.25">
      <c r="A2502" s="8"/>
      <c r="B2502" s="8"/>
      <c r="C2502" s="8"/>
      <c r="D2502" s="151"/>
      <c r="E2502" s="151"/>
      <c r="F2502" s="24"/>
      <c r="G2502" s="30"/>
      <c r="H2502" s="81"/>
      <c r="I2502" s="30"/>
      <c r="J2502" s="16"/>
      <c r="K2502" s="9"/>
      <c r="L2502" s="9"/>
      <c r="M2502" s="152"/>
      <c r="N2502" s="153"/>
      <c r="O2502" s="152"/>
      <c r="P2502" s="154"/>
      <c r="Q2502" s="152"/>
      <c r="R2502" s="9"/>
      <c r="Z2502" s="21"/>
      <c r="AA2502" s="162">
        <f>+$AD$5-Tabla2[[#This Row],[FECHA DE FACTURACIÓN]]</f>
        <v>45443</v>
      </c>
      <c r="AB2502" s="163" t="str">
        <f>+IF(Tabla2[[#This Row],[dias de credito]]&gt;=Tabla2[[#This Row],[PLAZO Días]],"venc", "No venc")</f>
        <v>venc</v>
      </c>
      <c r="AC2502" s="163" t="str">
        <f>+IF(Tabla2[[#This Row],[FECHA DE PAGO]]&gt;0,"pagada","por pagar")</f>
        <v>por pagar</v>
      </c>
      <c r="AD2502" s="164" t="str">
        <f>+IF(AND(Tabla2[[#This Row],[venc]]="venc",Tabla2[[#This Row],[estado pago]]="por pagar"),"vencida","no")</f>
        <v>vencida</v>
      </c>
    </row>
    <row r="2503" spans="1:30" ht="19.5" hidden="1" customHeight="1" x14ac:dyDescent="0.25">
      <c r="A2503" s="8"/>
      <c r="B2503" s="8"/>
      <c r="C2503" s="8"/>
      <c r="D2503" s="151"/>
      <c r="E2503" s="151"/>
      <c r="F2503" s="24"/>
      <c r="G2503" s="30"/>
      <c r="H2503" s="81"/>
      <c r="I2503" s="30"/>
      <c r="J2503" s="16"/>
      <c r="K2503" s="9"/>
      <c r="L2503" s="9"/>
      <c r="M2503" s="152"/>
      <c r="N2503" s="153"/>
      <c r="O2503" s="152"/>
      <c r="P2503" s="154"/>
      <c r="Q2503" s="152"/>
      <c r="R2503" s="9"/>
      <c r="Z2503" s="21"/>
      <c r="AA2503" s="162">
        <f>+$AD$5-Tabla2[[#This Row],[FECHA DE FACTURACIÓN]]</f>
        <v>45443</v>
      </c>
      <c r="AB2503" s="163" t="str">
        <f>+IF(Tabla2[[#This Row],[dias de credito]]&gt;=Tabla2[[#This Row],[PLAZO Días]],"venc", "No venc")</f>
        <v>venc</v>
      </c>
      <c r="AC2503" s="163" t="str">
        <f>+IF(Tabla2[[#This Row],[FECHA DE PAGO]]&gt;0,"pagada","por pagar")</f>
        <v>por pagar</v>
      </c>
      <c r="AD2503" s="164" t="str">
        <f>+IF(AND(Tabla2[[#This Row],[venc]]="venc",Tabla2[[#This Row],[estado pago]]="por pagar"),"vencida","no")</f>
        <v>vencida</v>
      </c>
    </row>
    <row r="2504" spans="1:30" ht="19.5" hidden="1" customHeight="1" x14ac:dyDescent="0.25">
      <c r="A2504" s="8"/>
      <c r="B2504" s="8"/>
      <c r="C2504" s="8"/>
      <c r="D2504" s="151"/>
      <c r="E2504" s="151"/>
      <c r="F2504" s="24"/>
      <c r="G2504" s="30"/>
      <c r="H2504" s="81"/>
      <c r="I2504" s="30"/>
      <c r="J2504" s="16"/>
      <c r="K2504" s="9"/>
      <c r="L2504" s="9"/>
      <c r="M2504" s="152"/>
      <c r="N2504" s="153"/>
      <c r="O2504" s="152"/>
      <c r="P2504" s="154"/>
      <c r="Q2504" s="152"/>
      <c r="R2504" s="9"/>
      <c r="Z2504" s="21"/>
      <c r="AA2504" s="162">
        <f>+$AD$5-Tabla2[[#This Row],[FECHA DE FACTURACIÓN]]</f>
        <v>45443</v>
      </c>
      <c r="AB2504" s="163" t="str">
        <f>+IF(Tabla2[[#This Row],[dias de credito]]&gt;=Tabla2[[#This Row],[PLAZO Días]],"venc", "No venc")</f>
        <v>venc</v>
      </c>
      <c r="AC2504" s="163" t="str">
        <f>+IF(Tabla2[[#This Row],[FECHA DE PAGO]]&gt;0,"pagada","por pagar")</f>
        <v>por pagar</v>
      </c>
      <c r="AD2504" s="164" t="str">
        <f>+IF(AND(Tabla2[[#This Row],[venc]]="venc",Tabla2[[#This Row],[estado pago]]="por pagar"),"vencida","no")</f>
        <v>vencida</v>
      </c>
    </row>
    <row r="2505" spans="1:30" ht="19.5" hidden="1" customHeight="1" x14ac:dyDescent="0.25">
      <c r="A2505" s="8"/>
      <c r="B2505" s="8"/>
      <c r="C2505" s="8"/>
      <c r="D2505" s="151"/>
      <c r="E2505" s="151"/>
      <c r="F2505" s="24"/>
      <c r="G2505" s="30"/>
      <c r="H2505" s="81"/>
      <c r="I2505" s="30"/>
      <c r="J2505" s="16"/>
      <c r="K2505" s="9"/>
      <c r="L2505" s="9"/>
      <c r="M2505" s="152"/>
      <c r="N2505" s="153"/>
      <c r="O2505" s="152"/>
      <c r="P2505" s="154"/>
      <c r="Q2505" s="152"/>
      <c r="R2505" s="9"/>
      <c r="Z2505" s="21"/>
      <c r="AA2505" s="162">
        <f>+$AD$5-Tabla2[[#This Row],[FECHA DE FACTURACIÓN]]</f>
        <v>45443</v>
      </c>
      <c r="AB2505" s="163" t="str">
        <f>+IF(Tabla2[[#This Row],[dias de credito]]&gt;=Tabla2[[#This Row],[PLAZO Días]],"venc", "No venc")</f>
        <v>venc</v>
      </c>
      <c r="AC2505" s="163" t="str">
        <f>+IF(Tabla2[[#This Row],[FECHA DE PAGO]]&gt;0,"pagada","por pagar")</f>
        <v>por pagar</v>
      </c>
      <c r="AD2505" s="164" t="str">
        <f>+IF(AND(Tabla2[[#This Row],[venc]]="venc",Tabla2[[#This Row],[estado pago]]="por pagar"),"vencida","no")</f>
        <v>vencida</v>
      </c>
    </row>
    <row r="2506" spans="1:30" ht="19.5" hidden="1" customHeight="1" x14ac:dyDescent="0.25">
      <c r="A2506" s="8"/>
      <c r="B2506" s="8"/>
      <c r="C2506" s="8"/>
      <c r="D2506" s="151"/>
      <c r="E2506" s="151"/>
      <c r="F2506" s="24"/>
      <c r="G2506" s="30"/>
      <c r="H2506" s="81"/>
      <c r="I2506" s="30"/>
      <c r="J2506" s="16"/>
      <c r="K2506" s="9"/>
      <c r="L2506" s="9"/>
      <c r="M2506" s="152"/>
      <c r="N2506" s="153"/>
      <c r="O2506" s="152"/>
      <c r="P2506" s="154"/>
      <c r="Q2506" s="152"/>
      <c r="R2506" s="9"/>
      <c r="Z2506" s="21"/>
      <c r="AA2506" s="162">
        <f>+$AD$5-Tabla2[[#This Row],[FECHA DE FACTURACIÓN]]</f>
        <v>45443</v>
      </c>
      <c r="AB2506" s="163" t="str">
        <f>+IF(Tabla2[[#This Row],[dias de credito]]&gt;=Tabla2[[#This Row],[PLAZO Días]],"venc", "No venc")</f>
        <v>venc</v>
      </c>
      <c r="AC2506" s="163" t="str">
        <f>+IF(Tabla2[[#This Row],[FECHA DE PAGO]]&gt;0,"pagada","por pagar")</f>
        <v>por pagar</v>
      </c>
      <c r="AD2506" s="164" t="str">
        <f>+IF(AND(Tabla2[[#This Row],[venc]]="venc",Tabla2[[#This Row],[estado pago]]="por pagar"),"vencida","no")</f>
        <v>vencida</v>
      </c>
    </row>
    <row r="2507" spans="1:30" ht="19.5" hidden="1" customHeight="1" x14ac:dyDescent="0.25">
      <c r="A2507" s="8"/>
      <c r="B2507" s="8"/>
      <c r="C2507" s="8"/>
      <c r="D2507" s="151"/>
      <c r="E2507" s="151"/>
      <c r="F2507" s="24"/>
      <c r="G2507" s="30"/>
      <c r="H2507" s="81"/>
      <c r="I2507" s="30"/>
      <c r="J2507" s="16"/>
      <c r="K2507" s="9"/>
      <c r="L2507" s="9"/>
      <c r="M2507" s="152"/>
      <c r="N2507" s="153"/>
      <c r="O2507" s="152"/>
      <c r="P2507" s="154"/>
      <c r="Q2507" s="152"/>
      <c r="R2507" s="9"/>
      <c r="Z2507" s="21"/>
      <c r="AA2507" s="162">
        <f>+$AD$5-Tabla2[[#This Row],[FECHA DE FACTURACIÓN]]</f>
        <v>45443</v>
      </c>
      <c r="AB2507" s="163" t="str">
        <f>+IF(Tabla2[[#This Row],[dias de credito]]&gt;=Tabla2[[#This Row],[PLAZO Días]],"venc", "No venc")</f>
        <v>venc</v>
      </c>
      <c r="AC2507" s="163" t="str">
        <f>+IF(Tabla2[[#This Row],[FECHA DE PAGO]]&gt;0,"pagada","por pagar")</f>
        <v>por pagar</v>
      </c>
      <c r="AD2507" s="164" t="str">
        <f>+IF(AND(Tabla2[[#This Row],[venc]]="venc",Tabla2[[#This Row],[estado pago]]="por pagar"),"vencida","no")</f>
        <v>vencida</v>
      </c>
    </row>
    <row r="2508" spans="1:30" ht="19.5" hidden="1" customHeight="1" x14ac:dyDescent="0.25">
      <c r="A2508" s="8"/>
      <c r="B2508" s="8"/>
      <c r="C2508" s="8"/>
      <c r="D2508" s="151"/>
      <c r="E2508" s="151"/>
      <c r="F2508" s="24"/>
      <c r="G2508" s="30"/>
      <c r="H2508" s="81"/>
      <c r="I2508" s="30"/>
      <c r="J2508" s="16"/>
      <c r="K2508" s="9"/>
      <c r="L2508" s="9"/>
      <c r="M2508" s="152"/>
      <c r="N2508" s="153"/>
      <c r="O2508" s="152"/>
      <c r="P2508" s="154"/>
      <c r="Q2508" s="152"/>
      <c r="R2508" s="9"/>
      <c r="Z2508" s="21"/>
      <c r="AA2508" s="162">
        <f>+$AD$5-Tabla2[[#This Row],[FECHA DE FACTURACIÓN]]</f>
        <v>45443</v>
      </c>
      <c r="AB2508" s="163" t="str">
        <f>+IF(Tabla2[[#This Row],[dias de credito]]&gt;=Tabla2[[#This Row],[PLAZO Días]],"venc", "No venc")</f>
        <v>venc</v>
      </c>
      <c r="AC2508" s="163" t="str">
        <f>+IF(Tabla2[[#This Row],[FECHA DE PAGO]]&gt;0,"pagada","por pagar")</f>
        <v>por pagar</v>
      </c>
      <c r="AD2508" s="164" t="str">
        <f>+IF(AND(Tabla2[[#This Row],[venc]]="venc",Tabla2[[#This Row],[estado pago]]="por pagar"),"vencida","no")</f>
        <v>vencida</v>
      </c>
    </row>
    <row r="2509" spans="1:30" ht="19.5" hidden="1" customHeight="1" x14ac:dyDescent="0.25">
      <c r="A2509" s="8"/>
      <c r="B2509" s="8"/>
      <c r="C2509" s="8"/>
      <c r="D2509" s="151"/>
      <c r="E2509" s="151"/>
      <c r="F2509" s="24"/>
      <c r="G2509" s="30"/>
      <c r="H2509" s="81"/>
      <c r="I2509" s="30"/>
      <c r="J2509" s="16"/>
      <c r="K2509" s="9"/>
      <c r="L2509" s="9"/>
      <c r="M2509" s="152"/>
      <c r="N2509" s="153"/>
      <c r="O2509" s="152"/>
      <c r="P2509" s="154"/>
      <c r="Q2509" s="152"/>
      <c r="R2509" s="9"/>
      <c r="Z2509" s="21"/>
      <c r="AA2509" s="162">
        <f>+$AD$5-Tabla2[[#This Row],[FECHA DE FACTURACIÓN]]</f>
        <v>45443</v>
      </c>
      <c r="AB2509" s="163" t="str">
        <f>+IF(Tabla2[[#This Row],[dias de credito]]&gt;=Tabla2[[#This Row],[PLAZO Días]],"venc", "No venc")</f>
        <v>venc</v>
      </c>
      <c r="AC2509" s="163" t="str">
        <f>+IF(Tabla2[[#This Row],[FECHA DE PAGO]]&gt;0,"pagada","por pagar")</f>
        <v>por pagar</v>
      </c>
      <c r="AD2509" s="164" t="str">
        <f>+IF(AND(Tabla2[[#This Row],[venc]]="venc",Tabla2[[#This Row],[estado pago]]="por pagar"),"vencida","no")</f>
        <v>vencida</v>
      </c>
    </row>
    <row r="2510" spans="1:30" ht="19.5" hidden="1" customHeight="1" x14ac:dyDescent="0.25">
      <c r="A2510" s="8"/>
      <c r="B2510" s="8"/>
      <c r="C2510" s="8"/>
      <c r="D2510" s="151"/>
      <c r="E2510" s="151"/>
      <c r="F2510" s="24"/>
      <c r="G2510" s="30"/>
      <c r="H2510" s="81"/>
      <c r="I2510" s="30"/>
      <c r="J2510" s="16"/>
      <c r="K2510" s="9"/>
      <c r="L2510" s="9"/>
      <c r="M2510" s="152"/>
      <c r="N2510" s="153"/>
      <c r="O2510" s="152"/>
      <c r="P2510" s="154"/>
      <c r="Q2510" s="152"/>
      <c r="R2510" s="9"/>
      <c r="Z2510" s="21"/>
      <c r="AA2510" s="162">
        <f>+$AD$5-Tabla2[[#This Row],[FECHA DE FACTURACIÓN]]</f>
        <v>45443</v>
      </c>
      <c r="AB2510" s="163" t="str">
        <f>+IF(Tabla2[[#This Row],[dias de credito]]&gt;=Tabla2[[#This Row],[PLAZO Días]],"venc", "No venc")</f>
        <v>venc</v>
      </c>
      <c r="AC2510" s="163" t="str">
        <f>+IF(Tabla2[[#This Row],[FECHA DE PAGO]]&gt;0,"pagada","por pagar")</f>
        <v>por pagar</v>
      </c>
      <c r="AD2510" s="164" t="str">
        <f>+IF(AND(Tabla2[[#This Row],[venc]]="venc",Tabla2[[#This Row],[estado pago]]="por pagar"),"vencida","no")</f>
        <v>vencida</v>
      </c>
    </row>
    <row r="2511" spans="1:30" ht="19.5" hidden="1" customHeight="1" x14ac:dyDescent="0.25">
      <c r="A2511" s="8"/>
      <c r="B2511" s="8"/>
      <c r="C2511" s="8"/>
      <c r="D2511" s="151"/>
      <c r="E2511" s="151"/>
      <c r="F2511" s="24"/>
      <c r="G2511" s="30"/>
      <c r="H2511" s="81"/>
      <c r="I2511" s="30"/>
      <c r="J2511" s="16"/>
      <c r="K2511" s="9"/>
      <c r="L2511" s="9"/>
      <c r="M2511" s="152"/>
      <c r="N2511" s="153"/>
      <c r="O2511" s="152"/>
      <c r="P2511" s="154"/>
      <c r="Q2511" s="152"/>
      <c r="R2511" s="9"/>
      <c r="Z2511" s="21"/>
      <c r="AA2511" s="162">
        <f>+$AD$5-Tabla2[[#This Row],[FECHA DE FACTURACIÓN]]</f>
        <v>45443</v>
      </c>
      <c r="AB2511" s="163" t="str">
        <f>+IF(Tabla2[[#This Row],[dias de credito]]&gt;=Tabla2[[#This Row],[PLAZO Días]],"venc", "No venc")</f>
        <v>venc</v>
      </c>
      <c r="AC2511" s="163" t="str">
        <f>+IF(Tabla2[[#This Row],[FECHA DE PAGO]]&gt;0,"pagada","por pagar")</f>
        <v>por pagar</v>
      </c>
      <c r="AD2511" s="164" t="str">
        <f>+IF(AND(Tabla2[[#This Row],[venc]]="venc",Tabla2[[#This Row],[estado pago]]="por pagar"),"vencida","no")</f>
        <v>vencida</v>
      </c>
    </row>
    <row r="2512" spans="1:30" ht="19.5" hidden="1" customHeight="1" x14ac:dyDescent="0.25">
      <c r="A2512" s="8"/>
      <c r="B2512" s="8"/>
      <c r="C2512" s="8"/>
      <c r="D2512" s="151"/>
      <c r="E2512" s="151"/>
      <c r="F2512" s="24"/>
      <c r="G2512" s="30"/>
      <c r="H2512" s="81"/>
      <c r="I2512" s="30"/>
      <c r="J2512" s="16"/>
      <c r="K2512" s="9"/>
      <c r="L2512" s="9"/>
      <c r="M2512" s="152"/>
      <c r="N2512" s="153"/>
      <c r="O2512" s="152"/>
      <c r="P2512" s="154"/>
      <c r="Q2512" s="152"/>
      <c r="R2512" s="9"/>
      <c r="Z2512" s="21"/>
      <c r="AA2512" s="162">
        <f>+$AD$5-Tabla2[[#This Row],[FECHA DE FACTURACIÓN]]</f>
        <v>45443</v>
      </c>
      <c r="AB2512" s="163" t="str">
        <f>+IF(Tabla2[[#This Row],[dias de credito]]&gt;=Tabla2[[#This Row],[PLAZO Días]],"venc", "No venc")</f>
        <v>venc</v>
      </c>
      <c r="AC2512" s="163" t="str">
        <f>+IF(Tabla2[[#This Row],[FECHA DE PAGO]]&gt;0,"pagada","por pagar")</f>
        <v>por pagar</v>
      </c>
      <c r="AD2512" s="164" t="str">
        <f>+IF(AND(Tabla2[[#This Row],[venc]]="venc",Tabla2[[#This Row],[estado pago]]="por pagar"),"vencida","no")</f>
        <v>vencida</v>
      </c>
    </row>
    <row r="2513" spans="1:30" ht="19.5" hidden="1" customHeight="1" x14ac:dyDescent="0.25">
      <c r="A2513" s="8"/>
      <c r="B2513" s="8"/>
      <c r="C2513" s="8"/>
      <c r="D2513" s="151"/>
      <c r="E2513" s="151"/>
      <c r="F2513" s="24"/>
      <c r="G2513" s="30"/>
      <c r="H2513" s="81"/>
      <c r="I2513" s="30"/>
      <c r="J2513" s="16"/>
      <c r="K2513" s="9"/>
      <c r="L2513" s="9"/>
      <c r="M2513" s="152"/>
      <c r="N2513" s="153"/>
      <c r="O2513" s="152"/>
      <c r="P2513" s="154"/>
      <c r="Q2513" s="152"/>
      <c r="R2513" s="9"/>
      <c r="Z2513" s="21"/>
      <c r="AA2513" s="162">
        <f>+$AD$5-Tabla2[[#This Row],[FECHA DE FACTURACIÓN]]</f>
        <v>45443</v>
      </c>
      <c r="AB2513" s="163" t="str">
        <f>+IF(Tabla2[[#This Row],[dias de credito]]&gt;=Tabla2[[#This Row],[PLAZO Días]],"venc", "No venc")</f>
        <v>venc</v>
      </c>
      <c r="AC2513" s="163" t="str">
        <f>+IF(Tabla2[[#This Row],[FECHA DE PAGO]]&gt;0,"pagada","por pagar")</f>
        <v>por pagar</v>
      </c>
      <c r="AD2513" s="164" t="str">
        <f>+IF(AND(Tabla2[[#This Row],[venc]]="venc",Tabla2[[#This Row],[estado pago]]="por pagar"),"vencida","no")</f>
        <v>vencida</v>
      </c>
    </row>
    <row r="2514" spans="1:30" ht="19.5" hidden="1" customHeight="1" x14ac:dyDescent="0.25">
      <c r="A2514" s="8"/>
      <c r="B2514" s="8"/>
      <c r="C2514" s="8"/>
      <c r="D2514" s="151"/>
      <c r="E2514" s="151"/>
      <c r="F2514" s="24"/>
      <c r="G2514" s="30"/>
      <c r="H2514" s="81"/>
      <c r="I2514" s="30"/>
      <c r="J2514" s="16"/>
      <c r="K2514" s="9"/>
      <c r="L2514" s="9"/>
      <c r="M2514" s="152"/>
      <c r="N2514" s="153"/>
      <c r="O2514" s="152"/>
      <c r="P2514" s="154"/>
      <c r="Q2514" s="152"/>
      <c r="R2514" s="9"/>
      <c r="Z2514" s="21"/>
      <c r="AA2514" s="162">
        <f>+$AD$5-Tabla2[[#This Row],[FECHA DE FACTURACIÓN]]</f>
        <v>45443</v>
      </c>
      <c r="AB2514" s="163" t="str">
        <f>+IF(Tabla2[[#This Row],[dias de credito]]&gt;=Tabla2[[#This Row],[PLAZO Días]],"venc", "No venc")</f>
        <v>venc</v>
      </c>
      <c r="AC2514" s="163" t="str">
        <f>+IF(Tabla2[[#This Row],[FECHA DE PAGO]]&gt;0,"pagada","por pagar")</f>
        <v>por pagar</v>
      </c>
      <c r="AD2514" s="164" t="str">
        <f>+IF(AND(Tabla2[[#This Row],[venc]]="venc",Tabla2[[#This Row],[estado pago]]="por pagar"),"vencida","no")</f>
        <v>vencida</v>
      </c>
    </row>
    <row r="2515" spans="1:30" ht="19.5" hidden="1" customHeight="1" x14ac:dyDescent="0.25">
      <c r="A2515" s="8"/>
      <c r="B2515" s="8"/>
      <c r="C2515" s="8"/>
      <c r="D2515" s="151"/>
      <c r="E2515" s="151"/>
      <c r="F2515" s="24"/>
      <c r="G2515" s="30"/>
      <c r="H2515" s="81"/>
      <c r="I2515" s="30"/>
      <c r="J2515" s="16"/>
      <c r="K2515" s="9"/>
      <c r="L2515" s="9"/>
      <c r="M2515" s="152"/>
      <c r="N2515" s="153"/>
      <c r="O2515" s="152"/>
      <c r="P2515" s="154"/>
      <c r="Q2515" s="152"/>
      <c r="R2515" s="9"/>
      <c r="Z2515" s="21"/>
      <c r="AA2515" s="162">
        <f>+$AD$5-Tabla2[[#This Row],[FECHA DE FACTURACIÓN]]</f>
        <v>45443</v>
      </c>
      <c r="AB2515" s="163" t="str">
        <f>+IF(Tabla2[[#This Row],[dias de credito]]&gt;=Tabla2[[#This Row],[PLAZO Días]],"venc", "No venc")</f>
        <v>venc</v>
      </c>
      <c r="AC2515" s="163" t="str">
        <f>+IF(Tabla2[[#This Row],[FECHA DE PAGO]]&gt;0,"pagada","por pagar")</f>
        <v>por pagar</v>
      </c>
      <c r="AD2515" s="164" t="str">
        <f>+IF(AND(Tabla2[[#This Row],[venc]]="venc",Tabla2[[#This Row],[estado pago]]="por pagar"),"vencida","no")</f>
        <v>vencida</v>
      </c>
    </row>
    <row r="2516" spans="1:30" ht="19.5" hidden="1" customHeight="1" x14ac:dyDescent="0.25">
      <c r="A2516" s="8"/>
      <c r="B2516" s="8"/>
      <c r="C2516" s="8"/>
      <c r="D2516" s="151"/>
      <c r="E2516" s="151"/>
      <c r="F2516" s="24"/>
      <c r="G2516" s="30"/>
      <c r="H2516" s="81"/>
      <c r="I2516" s="30"/>
      <c r="J2516" s="16"/>
      <c r="K2516" s="9"/>
      <c r="L2516" s="9"/>
      <c r="M2516" s="152"/>
      <c r="N2516" s="153"/>
      <c r="O2516" s="152"/>
      <c r="P2516" s="154"/>
      <c r="Q2516" s="152"/>
      <c r="R2516" s="9"/>
      <c r="Z2516" s="21"/>
      <c r="AA2516" s="162">
        <f>+$AD$5-Tabla2[[#This Row],[FECHA DE FACTURACIÓN]]</f>
        <v>45443</v>
      </c>
      <c r="AB2516" s="163" t="str">
        <f>+IF(Tabla2[[#This Row],[dias de credito]]&gt;=Tabla2[[#This Row],[PLAZO Días]],"venc", "No venc")</f>
        <v>venc</v>
      </c>
      <c r="AC2516" s="163" t="str">
        <f>+IF(Tabla2[[#This Row],[FECHA DE PAGO]]&gt;0,"pagada","por pagar")</f>
        <v>por pagar</v>
      </c>
      <c r="AD2516" s="164" t="str">
        <f>+IF(AND(Tabla2[[#This Row],[venc]]="venc",Tabla2[[#This Row],[estado pago]]="por pagar"),"vencida","no")</f>
        <v>vencida</v>
      </c>
    </row>
    <row r="2517" spans="1:30" ht="19.5" hidden="1" customHeight="1" x14ac:dyDescent="0.25">
      <c r="A2517" s="8"/>
      <c r="B2517" s="8"/>
      <c r="C2517" s="8"/>
      <c r="D2517" s="151"/>
      <c r="E2517" s="151"/>
      <c r="F2517" s="24"/>
      <c r="G2517" s="30"/>
      <c r="H2517" s="81"/>
      <c r="I2517" s="30"/>
      <c r="J2517" s="16"/>
      <c r="K2517" s="9"/>
      <c r="L2517" s="9"/>
      <c r="M2517" s="152"/>
      <c r="N2517" s="153"/>
      <c r="O2517" s="152"/>
      <c r="P2517" s="154"/>
      <c r="Q2517" s="152"/>
      <c r="R2517" s="9"/>
      <c r="Z2517" s="21"/>
      <c r="AA2517" s="162">
        <f>+$AD$5-Tabla2[[#This Row],[FECHA DE FACTURACIÓN]]</f>
        <v>45443</v>
      </c>
      <c r="AB2517" s="163" t="str">
        <f>+IF(Tabla2[[#This Row],[dias de credito]]&gt;=Tabla2[[#This Row],[PLAZO Días]],"venc", "No venc")</f>
        <v>venc</v>
      </c>
      <c r="AC2517" s="163" t="str">
        <f>+IF(Tabla2[[#This Row],[FECHA DE PAGO]]&gt;0,"pagada","por pagar")</f>
        <v>por pagar</v>
      </c>
      <c r="AD2517" s="164" t="str">
        <f>+IF(AND(Tabla2[[#This Row],[venc]]="venc",Tabla2[[#This Row],[estado pago]]="por pagar"),"vencida","no")</f>
        <v>vencida</v>
      </c>
    </row>
    <row r="2518" spans="1:30" ht="19.5" hidden="1" customHeight="1" x14ac:dyDescent="0.25">
      <c r="A2518" s="8"/>
      <c r="B2518" s="8"/>
      <c r="C2518" s="8"/>
      <c r="D2518" s="151"/>
      <c r="E2518" s="151"/>
      <c r="F2518" s="24"/>
      <c r="G2518" s="30"/>
      <c r="H2518" s="81"/>
      <c r="I2518" s="30"/>
      <c r="J2518" s="16"/>
      <c r="K2518" s="9"/>
      <c r="L2518" s="9"/>
      <c r="M2518" s="152"/>
      <c r="N2518" s="153"/>
      <c r="O2518" s="152"/>
      <c r="P2518" s="154"/>
      <c r="Q2518" s="152"/>
      <c r="R2518" s="9"/>
      <c r="Z2518" s="21"/>
      <c r="AA2518" s="162">
        <f>+$AD$5-Tabla2[[#This Row],[FECHA DE FACTURACIÓN]]</f>
        <v>45443</v>
      </c>
      <c r="AB2518" s="163" t="str">
        <f>+IF(Tabla2[[#This Row],[dias de credito]]&gt;=Tabla2[[#This Row],[PLAZO Días]],"venc", "No venc")</f>
        <v>venc</v>
      </c>
      <c r="AC2518" s="163" t="str">
        <f>+IF(Tabla2[[#This Row],[FECHA DE PAGO]]&gt;0,"pagada","por pagar")</f>
        <v>por pagar</v>
      </c>
      <c r="AD2518" s="164" t="str">
        <f>+IF(AND(Tabla2[[#This Row],[venc]]="venc",Tabla2[[#This Row],[estado pago]]="por pagar"),"vencida","no")</f>
        <v>vencida</v>
      </c>
    </row>
    <row r="2519" spans="1:30" ht="19.5" hidden="1" customHeight="1" x14ac:dyDescent="0.25">
      <c r="A2519" s="8"/>
      <c r="B2519" s="8"/>
      <c r="C2519" s="8"/>
      <c r="D2519" s="151"/>
      <c r="E2519" s="151"/>
      <c r="F2519" s="24"/>
      <c r="G2519" s="30"/>
      <c r="H2519" s="81"/>
      <c r="I2519" s="30"/>
      <c r="J2519" s="16"/>
      <c r="K2519" s="9"/>
      <c r="L2519" s="9"/>
      <c r="M2519" s="152"/>
      <c r="N2519" s="153"/>
      <c r="O2519" s="152"/>
      <c r="P2519" s="154"/>
      <c r="Q2519" s="152"/>
      <c r="R2519" s="9"/>
      <c r="Z2519" s="21"/>
      <c r="AA2519" s="162">
        <f>+$AD$5-Tabla2[[#This Row],[FECHA DE FACTURACIÓN]]</f>
        <v>45443</v>
      </c>
      <c r="AB2519" s="163" t="str">
        <f>+IF(Tabla2[[#This Row],[dias de credito]]&gt;=Tabla2[[#This Row],[PLAZO Días]],"venc", "No venc")</f>
        <v>venc</v>
      </c>
      <c r="AC2519" s="163" t="str">
        <f>+IF(Tabla2[[#This Row],[FECHA DE PAGO]]&gt;0,"pagada","por pagar")</f>
        <v>por pagar</v>
      </c>
      <c r="AD2519" s="164" t="str">
        <f>+IF(AND(Tabla2[[#This Row],[venc]]="venc",Tabla2[[#This Row],[estado pago]]="por pagar"),"vencida","no")</f>
        <v>vencida</v>
      </c>
    </row>
    <row r="2520" spans="1:30" ht="19.5" hidden="1" customHeight="1" x14ac:dyDescent="0.25">
      <c r="A2520" s="8"/>
      <c r="B2520" s="8"/>
      <c r="C2520" s="8"/>
      <c r="D2520" s="151"/>
      <c r="E2520" s="151"/>
      <c r="F2520" s="24"/>
      <c r="G2520" s="30"/>
      <c r="H2520" s="81"/>
      <c r="I2520" s="30"/>
      <c r="J2520" s="16"/>
      <c r="K2520" s="9"/>
      <c r="L2520" s="9"/>
      <c r="M2520" s="152"/>
      <c r="N2520" s="153"/>
      <c r="O2520" s="152"/>
      <c r="P2520" s="154"/>
      <c r="Q2520" s="152"/>
      <c r="R2520" s="9"/>
      <c r="Z2520" s="21"/>
      <c r="AA2520" s="162">
        <f>+$AD$5-Tabla2[[#This Row],[FECHA DE FACTURACIÓN]]</f>
        <v>45443</v>
      </c>
      <c r="AB2520" s="163" t="str">
        <f>+IF(Tabla2[[#This Row],[dias de credito]]&gt;=Tabla2[[#This Row],[PLAZO Días]],"venc", "No venc")</f>
        <v>venc</v>
      </c>
      <c r="AC2520" s="163" t="str">
        <f>+IF(Tabla2[[#This Row],[FECHA DE PAGO]]&gt;0,"pagada","por pagar")</f>
        <v>por pagar</v>
      </c>
      <c r="AD2520" s="164" t="str">
        <f>+IF(AND(Tabla2[[#This Row],[venc]]="venc",Tabla2[[#This Row],[estado pago]]="por pagar"),"vencida","no")</f>
        <v>vencida</v>
      </c>
    </row>
    <row r="2521" spans="1:30" ht="19.5" hidden="1" customHeight="1" x14ac:dyDescent="0.25">
      <c r="A2521" s="8"/>
      <c r="B2521" s="8"/>
      <c r="C2521" s="8"/>
      <c r="D2521" s="151"/>
      <c r="E2521" s="151"/>
      <c r="F2521" s="24"/>
      <c r="G2521" s="30"/>
      <c r="H2521" s="81"/>
      <c r="I2521" s="30"/>
      <c r="J2521" s="16"/>
      <c r="K2521" s="9"/>
      <c r="L2521" s="9"/>
      <c r="M2521" s="152"/>
      <c r="N2521" s="153"/>
      <c r="O2521" s="152"/>
      <c r="P2521" s="154"/>
      <c r="Q2521" s="152"/>
      <c r="R2521" s="9"/>
      <c r="Z2521" s="21"/>
      <c r="AA2521" s="162">
        <f>+$AD$5-Tabla2[[#This Row],[FECHA DE FACTURACIÓN]]</f>
        <v>45443</v>
      </c>
      <c r="AB2521" s="163" t="str">
        <f>+IF(Tabla2[[#This Row],[dias de credito]]&gt;=Tabla2[[#This Row],[PLAZO Días]],"venc", "No venc")</f>
        <v>venc</v>
      </c>
      <c r="AC2521" s="163" t="str">
        <f>+IF(Tabla2[[#This Row],[FECHA DE PAGO]]&gt;0,"pagada","por pagar")</f>
        <v>por pagar</v>
      </c>
      <c r="AD2521" s="164" t="str">
        <f>+IF(AND(Tabla2[[#This Row],[venc]]="venc",Tabla2[[#This Row],[estado pago]]="por pagar"),"vencida","no")</f>
        <v>vencida</v>
      </c>
    </row>
    <row r="2522" spans="1:30" ht="19.5" hidden="1" customHeight="1" x14ac:dyDescent="0.25">
      <c r="A2522" s="8"/>
      <c r="B2522" s="8"/>
      <c r="C2522" s="8"/>
      <c r="D2522" s="151"/>
      <c r="E2522" s="151"/>
      <c r="F2522" s="24"/>
      <c r="G2522" s="30"/>
      <c r="H2522" s="81"/>
      <c r="I2522" s="30"/>
      <c r="J2522" s="16"/>
      <c r="K2522" s="9"/>
      <c r="L2522" s="9"/>
      <c r="M2522" s="152"/>
      <c r="N2522" s="153"/>
      <c r="O2522" s="152"/>
      <c r="P2522" s="154"/>
      <c r="Q2522" s="152"/>
      <c r="R2522" s="9"/>
      <c r="Z2522" s="21"/>
      <c r="AA2522" s="162">
        <f>+$AD$5-Tabla2[[#This Row],[FECHA DE FACTURACIÓN]]</f>
        <v>45443</v>
      </c>
      <c r="AB2522" s="163" t="str">
        <f>+IF(Tabla2[[#This Row],[dias de credito]]&gt;=Tabla2[[#This Row],[PLAZO Días]],"venc", "No venc")</f>
        <v>venc</v>
      </c>
      <c r="AC2522" s="163" t="str">
        <f>+IF(Tabla2[[#This Row],[FECHA DE PAGO]]&gt;0,"pagada","por pagar")</f>
        <v>por pagar</v>
      </c>
      <c r="AD2522" s="164" t="str">
        <f>+IF(AND(Tabla2[[#This Row],[venc]]="venc",Tabla2[[#This Row],[estado pago]]="por pagar"),"vencida","no")</f>
        <v>vencida</v>
      </c>
    </row>
    <row r="2523" spans="1:30" ht="19.5" hidden="1" customHeight="1" x14ac:dyDescent="0.25">
      <c r="A2523" s="8"/>
      <c r="B2523" s="8"/>
      <c r="C2523" s="8"/>
      <c r="D2523" s="151"/>
      <c r="E2523" s="151"/>
      <c r="F2523" s="24"/>
      <c r="G2523" s="30"/>
      <c r="H2523" s="81"/>
      <c r="I2523" s="30"/>
      <c r="J2523" s="16"/>
      <c r="K2523" s="9"/>
      <c r="L2523" s="9"/>
      <c r="M2523" s="152"/>
      <c r="N2523" s="153"/>
      <c r="O2523" s="152"/>
      <c r="P2523" s="154"/>
      <c r="Q2523" s="152"/>
      <c r="R2523" s="9"/>
      <c r="Z2523" s="21"/>
      <c r="AA2523" s="162">
        <f>+$AD$5-Tabla2[[#This Row],[FECHA DE FACTURACIÓN]]</f>
        <v>45443</v>
      </c>
      <c r="AB2523" s="163" t="str">
        <f>+IF(Tabla2[[#This Row],[dias de credito]]&gt;=Tabla2[[#This Row],[PLAZO Días]],"venc", "No venc")</f>
        <v>venc</v>
      </c>
      <c r="AC2523" s="163" t="str">
        <f>+IF(Tabla2[[#This Row],[FECHA DE PAGO]]&gt;0,"pagada","por pagar")</f>
        <v>por pagar</v>
      </c>
      <c r="AD2523" s="164" t="str">
        <f>+IF(AND(Tabla2[[#This Row],[venc]]="venc",Tabla2[[#This Row],[estado pago]]="por pagar"),"vencida","no")</f>
        <v>vencida</v>
      </c>
    </row>
    <row r="2524" spans="1:30" ht="19.5" hidden="1" customHeight="1" x14ac:dyDescent="0.25">
      <c r="A2524" s="8"/>
      <c r="B2524" s="8"/>
      <c r="C2524" s="8"/>
      <c r="D2524" s="151"/>
      <c r="E2524" s="151"/>
      <c r="F2524" s="24"/>
      <c r="G2524" s="30"/>
      <c r="H2524" s="81"/>
      <c r="I2524" s="30"/>
      <c r="J2524" s="16"/>
      <c r="K2524" s="9"/>
      <c r="L2524" s="9"/>
      <c r="M2524" s="152"/>
      <c r="N2524" s="153"/>
      <c r="O2524" s="152"/>
      <c r="P2524" s="154"/>
      <c r="Q2524" s="152"/>
      <c r="R2524" s="9"/>
      <c r="Z2524" s="21"/>
      <c r="AA2524" s="162">
        <f>+$AD$5-Tabla2[[#This Row],[FECHA DE FACTURACIÓN]]</f>
        <v>45443</v>
      </c>
      <c r="AB2524" s="163" t="str">
        <f>+IF(Tabla2[[#This Row],[dias de credito]]&gt;=Tabla2[[#This Row],[PLAZO Días]],"venc", "No venc")</f>
        <v>venc</v>
      </c>
      <c r="AC2524" s="163" t="str">
        <f>+IF(Tabla2[[#This Row],[FECHA DE PAGO]]&gt;0,"pagada","por pagar")</f>
        <v>por pagar</v>
      </c>
      <c r="AD2524" s="164" t="str">
        <f>+IF(AND(Tabla2[[#This Row],[venc]]="venc",Tabla2[[#This Row],[estado pago]]="por pagar"),"vencida","no")</f>
        <v>vencida</v>
      </c>
    </row>
    <row r="2525" spans="1:30" ht="19.5" hidden="1" customHeight="1" x14ac:dyDescent="0.25">
      <c r="A2525" s="8"/>
      <c r="B2525" s="8"/>
      <c r="C2525" s="8"/>
      <c r="D2525" s="151"/>
      <c r="E2525" s="151"/>
      <c r="F2525" s="24"/>
      <c r="G2525" s="30"/>
      <c r="H2525" s="81"/>
      <c r="I2525" s="30"/>
      <c r="J2525" s="16"/>
      <c r="K2525" s="9"/>
      <c r="L2525" s="9"/>
      <c r="M2525" s="152"/>
      <c r="N2525" s="153"/>
      <c r="O2525" s="152"/>
      <c r="P2525" s="154"/>
      <c r="Q2525" s="152"/>
      <c r="R2525" s="9"/>
      <c r="Z2525" s="21"/>
      <c r="AA2525" s="162">
        <f>+$AD$5-Tabla2[[#This Row],[FECHA DE FACTURACIÓN]]</f>
        <v>45443</v>
      </c>
      <c r="AB2525" s="163" t="str">
        <f>+IF(Tabla2[[#This Row],[dias de credito]]&gt;=Tabla2[[#This Row],[PLAZO Días]],"venc", "No venc")</f>
        <v>venc</v>
      </c>
      <c r="AC2525" s="163" t="str">
        <f>+IF(Tabla2[[#This Row],[FECHA DE PAGO]]&gt;0,"pagada","por pagar")</f>
        <v>por pagar</v>
      </c>
      <c r="AD2525" s="164" t="str">
        <f>+IF(AND(Tabla2[[#This Row],[venc]]="venc",Tabla2[[#This Row],[estado pago]]="por pagar"),"vencida","no")</f>
        <v>vencida</v>
      </c>
    </row>
    <row r="2526" spans="1:30" ht="19.5" hidden="1" customHeight="1" x14ac:dyDescent="0.25">
      <c r="A2526" s="8"/>
      <c r="B2526" s="8"/>
      <c r="C2526" s="8"/>
      <c r="D2526" s="151"/>
      <c r="E2526" s="151"/>
      <c r="F2526" s="24"/>
      <c r="G2526" s="30"/>
      <c r="H2526" s="81"/>
      <c r="I2526" s="30"/>
      <c r="J2526" s="16"/>
      <c r="K2526" s="9"/>
      <c r="L2526" s="9"/>
      <c r="M2526" s="152"/>
      <c r="N2526" s="153"/>
      <c r="O2526" s="152"/>
      <c r="P2526" s="154"/>
      <c r="Q2526" s="152"/>
      <c r="R2526" s="9"/>
      <c r="Z2526" s="21"/>
      <c r="AA2526" s="162">
        <f>+$AD$5-Tabla2[[#This Row],[FECHA DE FACTURACIÓN]]</f>
        <v>45443</v>
      </c>
      <c r="AB2526" s="163" t="str">
        <f>+IF(Tabla2[[#This Row],[dias de credito]]&gt;=Tabla2[[#This Row],[PLAZO Días]],"venc", "No venc")</f>
        <v>venc</v>
      </c>
      <c r="AC2526" s="163" t="str">
        <f>+IF(Tabla2[[#This Row],[FECHA DE PAGO]]&gt;0,"pagada","por pagar")</f>
        <v>por pagar</v>
      </c>
      <c r="AD2526" s="164" t="str">
        <f>+IF(AND(Tabla2[[#This Row],[venc]]="venc",Tabla2[[#This Row],[estado pago]]="por pagar"),"vencida","no")</f>
        <v>vencida</v>
      </c>
    </row>
    <row r="2527" spans="1:30" ht="19.5" hidden="1" customHeight="1" x14ac:dyDescent="0.25">
      <c r="A2527" s="8"/>
      <c r="B2527" s="8"/>
      <c r="C2527" s="8"/>
      <c r="D2527" s="151"/>
      <c r="E2527" s="151"/>
      <c r="F2527" s="24"/>
      <c r="G2527" s="30"/>
      <c r="H2527" s="81"/>
      <c r="I2527" s="30"/>
      <c r="J2527" s="16"/>
      <c r="K2527" s="9"/>
      <c r="L2527" s="9"/>
      <c r="M2527" s="152"/>
      <c r="N2527" s="153"/>
      <c r="O2527" s="152"/>
      <c r="P2527" s="154"/>
      <c r="Q2527" s="152"/>
      <c r="R2527" s="9"/>
      <c r="Z2527" s="21"/>
      <c r="AA2527" s="162">
        <f>+$AD$5-Tabla2[[#This Row],[FECHA DE FACTURACIÓN]]</f>
        <v>45443</v>
      </c>
      <c r="AB2527" s="163" t="str">
        <f>+IF(Tabla2[[#This Row],[dias de credito]]&gt;=Tabla2[[#This Row],[PLAZO Días]],"venc", "No venc")</f>
        <v>venc</v>
      </c>
      <c r="AC2527" s="163" t="str">
        <f>+IF(Tabla2[[#This Row],[FECHA DE PAGO]]&gt;0,"pagada","por pagar")</f>
        <v>por pagar</v>
      </c>
      <c r="AD2527" s="164" t="str">
        <f>+IF(AND(Tabla2[[#This Row],[venc]]="venc",Tabla2[[#This Row],[estado pago]]="por pagar"),"vencida","no")</f>
        <v>vencida</v>
      </c>
    </row>
    <row r="2528" spans="1:30" ht="19.5" hidden="1" customHeight="1" x14ac:dyDescent="0.25">
      <c r="A2528" s="8"/>
      <c r="B2528" s="8"/>
      <c r="C2528" s="8"/>
      <c r="D2528" s="151"/>
      <c r="E2528" s="151"/>
      <c r="F2528" s="24"/>
      <c r="G2528" s="30"/>
      <c r="H2528" s="81"/>
      <c r="I2528" s="30"/>
      <c r="J2528" s="16"/>
      <c r="K2528" s="9"/>
      <c r="L2528" s="9"/>
      <c r="M2528" s="152"/>
      <c r="N2528" s="153"/>
      <c r="O2528" s="152"/>
      <c r="P2528" s="154"/>
      <c r="Q2528" s="152"/>
      <c r="R2528" s="9"/>
      <c r="Z2528" s="21"/>
      <c r="AA2528" s="162">
        <f>+$AD$5-Tabla2[[#This Row],[FECHA DE FACTURACIÓN]]</f>
        <v>45443</v>
      </c>
      <c r="AB2528" s="163" t="str">
        <f>+IF(Tabla2[[#This Row],[dias de credito]]&gt;=Tabla2[[#This Row],[PLAZO Días]],"venc", "No venc")</f>
        <v>venc</v>
      </c>
      <c r="AC2528" s="163" t="str">
        <f>+IF(Tabla2[[#This Row],[FECHA DE PAGO]]&gt;0,"pagada","por pagar")</f>
        <v>por pagar</v>
      </c>
      <c r="AD2528" s="164" t="str">
        <f>+IF(AND(Tabla2[[#This Row],[venc]]="venc",Tabla2[[#This Row],[estado pago]]="por pagar"),"vencida","no")</f>
        <v>vencida</v>
      </c>
    </row>
    <row r="2529" spans="1:30" ht="19.5" hidden="1" customHeight="1" x14ac:dyDescent="0.25">
      <c r="A2529" s="8"/>
      <c r="B2529" s="8"/>
      <c r="C2529" s="8"/>
      <c r="D2529" s="151"/>
      <c r="E2529" s="151"/>
      <c r="F2529" s="24"/>
      <c r="G2529" s="30"/>
      <c r="H2529" s="81"/>
      <c r="I2529" s="30"/>
      <c r="J2529" s="16"/>
      <c r="K2529" s="9"/>
      <c r="L2529" s="9"/>
      <c r="M2529" s="152"/>
      <c r="N2529" s="153"/>
      <c r="O2529" s="152"/>
      <c r="P2529" s="154"/>
      <c r="Q2529" s="152"/>
      <c r="R2529" s="9"/>
      <c r="Z2529" s="21"/>
      <c r="AA2529" s="162">
        <f>+$AD$5-Tabla2[[#This Row],[FECHA DE FACTURACIÓN]]</f>
        <v>45443</v>
      </c>
      <c r="AB2529" s="163" t="str">
        <f>+IF(Tabla2[[#This Row],[dias de credito]]&gt;=Tabla2[[#This Row],[PLAZO Días]],"venc", "No venc")</f>
        <v>venc</v>
      </c>
      <c r="AC2529" s="163" t="str">
        <f>+IF(Tabla2[[#This Row],[FECHA DE PAGO]]&gt;0,"pagada","por pagar")</f>
        <v>por pagar</v>
      </c>
      <c r="AD2529" s="164" t="str">
        <f>+IF(AND(Tabla2[[#This Row],[venc]]="venc",Tabla2[[#This Row],[estado pago]]="por pagar"),"vencida","no")</f>
        <v>vencida</v>
      </c>
    </row>
    <row r="2530" spans="1:30" ht="19.5" hidden="1" customHeight="1" x14ac:dyDescent="0.25">
      <c r="A2530" s="8"/>
      <c r="B2530" s="8"/>
      <c r="C2530" s="8"/>
      <c r="D2530" s="151"/>
      <c r="E2530" s="151"/>
      <c r="F2530" s="24"/>
      <c r="G2530" s="30"/>
      <c r="H2530" s="81"/>
      <c r="I2530" s="30"/>
      <c r="J2530" s="16"/>
      <c r="K2530" s="9"/>
      <c r="L2530" s="9"/>
      <c r="M2530" s="152"/>
      <c r="N2530" s="153"/>
      <c r="O2530" s="152"/>
      <c r="P2530" s="154"/>
      <c r="Q2530" s="152"/>
      <c r="R2530" s="9"/>
      <c r="Z2530" s="21"/>
      <c r="AA2530" s="162">
        <f>+$AD$5-Tabla2[[#This Row],[FECHA DE FACTURACIÓN]]</f>
        <v>45443</v>
      </c>
      <c r="AB2530" s="163" t="str">
        <f>+IF(Tabla2[[#This Row],[dias de credito]]&gt;=Tabla2[[#This Row],[PLAZO Días]],"venc", "No venc")</f>
        <v>venc</v>
      </c>
      <c r="AC2530" s="163" t="str">
        <f>+IF(Tabla2[[#This Row],[FECHA DE PAGO]]&gt;0,"pagada","por pagar")</f>
        <v>por pagar</v>
      </c>
      <c r="AD2530" s="164" t="str">
        <f>+IF(AND(Tabla2[[#This Row],[venc]]="venc",Tabla2[[#This Row],[estado pago]]="por pagar"),"vencida","no")</f>
        <v>vencida</v>
      </c>
    </row>
    <row r="2531" spans="1:30" ht="19.5" hidden="1" customHeight="1" x14ac:dyDescent="0.25">
      <c r="A2531" s="8"/>
      <c r="B2531" s="8"/>
      <c r="C2531" s="8"/>
      <c r="D2531" s="151"/>
      <c r="E2531" s="151"/>
      <c r="F2531" s="24"/>
      <c r="G2531" s="30"/>
      <c r="H2531" s="81"/>
      <c r="I2531" s="30"/>
      <c r="J2531" s="16"/>
      <c r="K2531" s="9"/>
      <c r="L2531" s="9"/>
      <c r="M2531" s="152"/>
      <c r="N2531" s="153"/>
      <c r="O2531" s="152"/>
      <c r="P2531" s="154"/>
      <c r="Q2531" s="152"/>
      <c r="R2531" s="9"/>
      <c r="Z2531" s="21"/>
      <c r="AA2531" s="162">
        <f>+$AD$5-Tabla2[[#This Row],[FECHA DE FACTURACIÓN]]</f>
        <v>45443</v>
      </c>
      <c r="AB2531" s="163" t="str">
        <f>+IF(Tabla2[[#This Row],[dias de credito]]&gt;=Tabla2[[#This Row],[PLAZO Días]],"venc", "No venc")</f>
        <v>venc</v>
      </c>
      <c r="AC2531" s="163" t="str">
        <f>+IF(Tabla2[[#This Row],[FECHA DE PAGO]]&gt;0,"pagada","por pagar")</f>
        <v>por pagar</v>
      </c>
      <c r="AD2531" s="164" t="str">
        <f>+IF(AND(Tabla2[[#This Row],[venc]]="venc",Tabla2[[#This Row],[estado pago]]="por pagar"),"vencida","no")</f>
        <v>vencida</v>
      </c>
    </row>
    <row r="2532" spans="1:30" ht="19.5" hidden="1" customHeight="1" x14ac:dyDescent="0.25">
      <c r="A2532" s="8"/>
      <c r="B2532" s="8"/>
      <c r="C2532" s="8"/>
      <c r="D2532" s="151"/>
      <c r="E2532" s="151"/>
      <c r="F2532" s="24"/>
      <c r="G2532" s="30"/>
      <c r="H2532" s="81"/>
      <c r="I2532" s="30"/>
      <c r="J2532" s="16"/>
      <c r="K2532" s="9"/>
      <c r="L2532" s="9"/>
      <c r="M2532" s="152"/>
      <c r="N2532" s="153"/>
      <c r="O2532" s="152"/>
      <c r="P2532" s="154"/>
      <c r="Q2532" s="152"/>
      <c r="R2532" s="9"/>
      <c r="Z2532" s="21"/>
      <c r="AA2532" s="162">
        <f>+$AD$5-Tabla2[[#This Row],[FECHA DE FACTURACIÓN]]</f>
        <v>45443</v>
      </c>
      <c r="AB2532" s="163" t="str">
        <f>+IF(Tabla2[[#This Row],[dias de credito]]&gt;=Tabla2[[#This Row],[PLAZO Días]],"venc", "No venc")</f>
        <v>venc</v>
      </c>
      <c r="AC2532" s="163" t="str">
        <f>+IF(Tabla2[[#This Row],[FECHA DE PAGO]]&gt;0,"pagada","por pagar")</f>
        <v>por pagar</v>
      </c>
      <c r="AD2532" s="164" t="str">
        <f>+IF(AND(Tabla2[[#This Row],[venc]]="venc",Tabla2[[#This Row],[estado pago]]="por pagar"),"vencida","no")</f>
        <v>vencida</v>
      </c>
    </row>
    <row r="2533" spans="1:30" ht="19.5" hidden="1" customHeight="1" x14ac:dyDescent="0.25">
      <c r="A2533" s="8"/>
      <c r="B2533" s="8"/>
      <c r="C2533" s="8"/>
      <c r="D2533" s="151"/>
      <c r="E2533" s="151"/>
      <c r="F2533" s="24"/>
      <c r="G2533" s="30"/>
      <c r="H2533" s="81"/>
      <c r="I2533" s="30"/>
      <c r="J2533" s="16"/>
      <c r="K2533" s="9"/>
      <c r="L2533" s="9"/>
      <c r="M2533" s="152"/>
      <c r="N2533" s="153"/>
      <c r="O2533" s="152"/>
      <c r="P2533" s="154"/>
      <c r="Q2533" s="152"/>
      <c r="R2533" s="9"/>
      <c r="Z2533" s="21"/>
      <c r="AA2533" s="162">
        <f>+$AD$5-Tabla2[[#This Row],[FECHA DE FACTURACIÓN]]</f>
        <v>45443</v>
      </c>
      <c r="AB2533" s="163" t="str">
        <f>+IF(Tabla2[[#This Row],[dias de credito]]&gt;=Tabla2[[#This Row],[PLAZO Días]],"venc", "No venc")</f>
        <v>venc</v>
      </c>
      <c r="AC2533" s="163" t="str">
        <f>+IF(Tabla2[[#This Row],[FECHA DE PAGO]]&gt;0,"pagada","por pagar")</f>
        <v>por pagar</v>
      </c>
      <c r="AD2533" s="164" t="str">
        <f>+IF(AND(Tabla2[[#This Row],[venc]]="venc",Tabla2[[#This Row],[estado pago]]="por pagar"),"vencida","no")</f>
        <v>vencida</v>
      </c>
    </row>
    <row r="2534" spans="1:30" ht="19.5" hidden="1" customHeight="1" x14ac:dyDescent="0.25">
      <c r="A2534" s="8"/>
      <c r="B2534" s="8"/>
      <c r="C2534" s="8"/>
      <c r="D2534" s="151"/>
      <c r="E2534" s="151"/>
      <c r="F2534" s="24"/>
      <c r="G2534" s="30"/>
      <c r="H2534" s="81"/>
      <c r="I2534" s="30"/>
      <c r="J2534" s="16"/>
      <c r="K2534" s="9"/>
      <c r="L2534" s="9"/>
      <c r="M2534" s="152"/>
      <c r="N2534" s="153"/>
      <c r="O2534" s="152"/>
      <c r="P2534" s="154"/>
      <c r="Q2534" s="152"/>
      <c r="R2534" s="9"/>
      <c r="Z2534" s="21"/>
      <c r="AA2534" s="162">
        <f>+$AD$5-Tabla2[[#This Row],[FECHA DE FACTURACIÓN]]</f>
        <v>45443</v>
      </c>
      <c r="AB2534" s="163" t="str">
        <f>+IF(Tabla2[[#This Row],[dias de credito]]&gt;=Tabla2[[#This Row],[PLAZO Días]],"venc", "No venc")</f>
        <v>venc</v>
      </c>
      <c r="AC2534" s="163" t="str">
        <f>+IF(Tabla2[[#This Row],[FECHA DE PAGO]]&gt;0,"pagada","por pagar")</f>
        <v>por pagar</v>
      </c>
      <c r="AD2534" s="164" t="str">
        <f>+IF(AND(Tabla2[[#This Row],[venc]]="venc",Tabla2[[#This Row],[estado pago]]="por pagar"),"vencida","no")</f>
        <v>vencida</v>
      </c>
    </row>
    <row r="2535" spans="1:30" ht="19.5" hidden="1" customHeight="1" x14ac:dyDescent="0.25">
      <c r="A2535" s="8"/>
      <c r="B2535" s="8"/>
      <c r="C2535" s="8"/>
      <c r="D2535" s="151"/>
      <c r="E2535" s="151"/>
      <c r="F2535" s="24"/>
      <c r="G2535" s="30"/>
      <c r="H2535" s="81"/>
      <c r="I2535" s="30"/>
      <c r="J2535" s="16"/>
      <c r="K2535" s="9"/>
      <c r="L2535" s="9"/>
      <c r="M2535" s="152"/>
      <c r="N2535" s="153"/>
      <c r="O2535" s="152"/>
      <c r="P2535" s="154"/>
      <c r="Q2535" s="152"/>
      <c r="R2535" s="9"/>
      <c r="Z2535" s="21"/>
      <c r="AA2535" s="162">
        <f>+$AD$5-Tabla2[[#This Row],[FECHA DE FACTURACIÓN]]</f>
        <v>45443</v>
      </c>
      <c r="AB2535" s="163" t="str">
        <f>+IF(Tabla2[[#This Row],[dias de credito]]&gt;=Tabla2[[#This Row],[PLAZO Días]],"venc", "No venc")</f>
        <v>venc</v>
      </c>
      <c r="AC2535" s="163" t="str">
        <f>+IF(Tabla2[[#This Row],[FECHA DE PAGO]]&gt;0,"pagada","por pagar")</f>
        <v>por pagar</v>
      </c>
      <c r="AD2535" s="164" t="str">
        <f>+IF(AND(Tabla2[[#This Row],[venc]]="venc",Tabla2[[#This Row],[estado pago]]="por pagar"),"vencida","no")</f>
        <v>vencida</v>
      </c>
    </row>
    <row r="2536" spans="1:30" ht="19.5" hidden="1" customHeight="1" x14ac:dyDescent="0.25">
      <c r="A2536" s="8"/>
      <c r="B2536" s="8"/>
      <c r="C2536" s="8"/>
      <c r="D2536" s="151"/>
      <c r="E2536" s="151"/>
      <c r="F2536" s="24"/>
      <c r="G2536" s="30"/>
      <c r="H2536" s="81"/>
      <c r="I2536" s="30"/>
      <c r="J2536" s="16"/>
      <c r="K2536" s="9"/>
      <c r="L2536" s="9"/>
      <c r="M2536" s="152"/>
      <c r="N2536" s="153"/>
      <c r="O2536" s="152"/>
      <c r="P2536" s="154"/>
      <c r="Q2536" s="152"/>
      <c r="R2536" s="9"/>
      <c r="Z2536" s="21"/>
      <c r="AA2536" s="162">
        <f>+$AD$5-Tabla2[[#This Row],[FECHA DE FACTURACIÓN]]</f>
        <v>45443</v>
      </c>
      <c r="AB2536" s="163" t="str">
        <f>+IF(Tabla2[[#This Row],[dias de credito]]&gt;=Tabla2[[#This Row],[PLAZO Días]],"venc", "No venc")</f>
        <v>venc</v>
      </c>
      <c r="AC2536" s="163" t="str">
        <f>+IF(Tabla2[[#This Row],[FECHA DE PAGO]]&gt;0,"pagada","por pagar")</f>
        <v>por pagar</v>
      </c>
      <c r="AD2536" s="164" t="str">
        <f>+IF(AND(Tabla2[[#This Row],[venc]]="venc",Tabla2[[#This Row],[estado pago]]="por pagar"),"vencida","no")</f>
        <v>vencida</v>
      </c>
    </row>
    <row r="2537" spans="1:30" ht="19.5" hidden="1" customHeight="1" x14ac:dyDescent="0.25">
      <c r="A2537" s="8"/>
      <c r="B2537" s="8"/>
      <c r="C2537" s="8"/>
      <c r="D2537" s="151"/>
      <c r="E2537" s="151"/>
      <c r="F2537" s="24"/>
      <c r="G2537" s="30"/>
      <c r="H2537" s="81"/>
      <c r="I2537" s="30"/>
      <c r="J2537" s="16"/>
      <c r="K2537" s="9"/>
      <c r="L2537" s="9"/>
      <c r="M2537" s="152"/>
      <c r="N2537" s="153"/>
      <c r="O2537" s="152"/>
      <c r="P2537" s="154"/>
      <c r="Q2537" s="152"/>
      <c r="R2537" s="9"/>
      <c r="Z2537" s="21"/>
      <c r="AA2537" s="162">
        <f>+$AD$5-Tabla2[[#This Row],[FECHA DE FACTURACIÓN]]</f>
        <v>45443</v>
      </c>
      <c r="AB2537" s="163" t="str">
        <f>+IF(Tabla2[[#This Row],[dias de credito]]&gt;=Tabla2[[#This Row],[PLAZO Días]],"venc", "No venc")</f>
        <v>venc</v>
      </c>
      <c r="AC2537" s="163" t="str">
        <f>+IF(Tabla2[[#This Row],[FECHA DE PAGO]]&gt;0,"pagada","por pagar")</f>
        <v>por pagar</v>
      </c>
      <c r="AD2537" s="164" t="str">
        <f>+IF(AND(Tabla2[[#This Row],[venc]]="venc",Tabla2[[#This Row],[estado pago]]="por pagar"),"vencida","no")</f>
        <v>vencida</v>
      </c>
    </row>
    <row r="2538" spans="1:30" ht="19.5" hidden="1" customHeight="1" x14ac:dyDescent="0.25">
      <c r="A2538" s="8"/>
      <c r="B2538" s="8"/>
      <c r="C2538" s="8"/>
      <c r="D2538" s="151"/>
      <c r="E2538" s="151"/>
      <c r="F2538" s="24"/>
      <c r="G2538" s="30"/>
      <c r="H2538" s="81"/>
      <c r="I2538" s="30"/>
      <c r="J2538" s="16"/>
      <c r="K2538" s="9"/>
      <c r="L2538" s="9"/>
      <c r="M2538" s="152"/>
      <c r="N2538" s="153"/>
      <c r="O2538" s="152"/>
      <c r="P2538" s="154"/>
      <c r="Q2538" s="152"/>
      <c r="R2538" s="9"/>
      <c r="Z2538" s="21"/>
      <c r="AA2538" s="162">
        <f>+$AD$5-Tabla2[[#This Row],[FECHA DE FACTURACIÓN]]</f>
        <v>45443</v>
      </c>
      <c r="AB2538" s="163" t="str">
        <f>+IF(Tabla2[[#This Row],[dias de credito]]&gt;=Tabla2[[#This Row],[PLAZO Días]],"venc", "No venc")</f>
        <v>venc</v>
      </c>
      <c r="AC2538" s="163" t="str">
        <f>+IF(Tabla2[[#This Row],[FECHA DE PAGO]]&gt;0,"pagada","por pagar")</f>
        <v>por pagar</v>
      </c>
      <c r="AD2538" s="164" t="str">
        <f>+IF(AND(Tabla2[[#This Row],[venc]]="venc",Tabla2[[#This Row],[estado pago]]="por pagar"),"vencida","no")</f>
        <v>vencida</v>
      </c>
    </row>
    <row r="2539" spans="1:30" ht="19.5" hidden="1" customHeight="1" x14ac:dyDescent="0.25">
      <c r="A2539" s="8"/>
      <c r="B2539" s="8"/>
      <c r="C2539" s="8"/>
      <c r="D2539" s="151"/>
      <c r="E2539" s="151"/>
      <c r="F2539" s="24"/>
      <c r="G2539" s="30"/>
      <c r="H2539" s="81"/>
      <c r="I2539" s="30"/>
      <c r="J2539" s="16"/>
      <c r="K2539" s="9"/>
      <c r="L2539" s="9"/>
      <c r="M2539" s="152"/>
      <c r="N2539" s="153"/>
      <c r="O2539" s="152"/>
      <c r="P2539" s="154"/>
      <c r="Q2539" s="152"/>
      <c r="R2539" s="9"/>
      <c r="Z2539" s="21"/>
      <c r="AA2539" s="162">
        <f>+$AD$5-Tabla2[[#This Row],[FECHA DE FACTURACIÓN]]</f>
        <v>45443</v>
      </c>
      <c r="AB2539" s="163" t="str">
        <f>+IF(Tabla2[[#This Row],[dias de credito]]&gt;=Tabla2[[#This Row],[PLAZO Días]],"venc", "No venc")</f>
        <v>venc</v>
      </c>
      <c r="AC2539" s="163" t="str">
        <f>+IF(Tabla2[[#This Row],[FECHA DE PAGO]]&gt;0,"pagada","por pagar")</f>
        <v>por pagar</v>
      </c>
      <c r="AD2539" s="164" t="str">
        <f>+IF(AND(Tabla2[[#This Row],[venc]]="venc",Tabla2[[#This Row],[estado pago]]="por pagar"),"vencida","no")</f>
        <v>vencida</v>
      </c>
    </row>
    <row r="2540" spans="1:30" ht="19.5" hidden="1" customHeight="1" x14ac:dyDescent="0.25">
      <c r="A2540" s="8"/>
      <c r="B2540" s="8"/>
      <c r="C2540" s="8"/>
      <c r="D2540" s="151"/>
      <c r="E2540" s="151"/>
      <c r="F2540" s="24"/>
      <c r="G2540" s="30"/>
      <c r="H2540" s="81"/>
      <c r="I2540" s="30"/>
      <c r="J2540" s="16"/>
      <c r="K2540" s="9"/>
      <c r="L2540" s="9"/>
      <c r="M2540" s="152"/>
      <c r="N2540" s="153"/>
      <c r="O2540" s="152"/>
      <c r="P2540" s="154"/>
      <c r="Q2540" s="152"/>
      <c r="R2540" s="9"/>
      <c r="Z2540" s="21"/>
      <c r="AA2540" s="162">
        <f>+$AD$5-Tabla2[[#This Row],[FECHA DE FACTURACIÓN]]</f>
        <v>45443</v>
      </c>
      <c r="AB2540" s="163" t="str">
        <f>+IF(Tabla2[[#This Row],[dias de credito]]&gt;=Tabla2[[#This Row],[PLAZO Días]],"venc", "No venc")</f>
        <v>venc</v>
      </c>
      <c r="AC2540" s="163" t="str">
        <f>+IF(Tabla2[[#This Row],[FECHA DE PAGO]]&gt;0,"pagada","por pagar")</f>
        <v>por pagar</v>
      </c>
      <c r="AD2540" s="164" t="str">
        <f>+IF(AND(Tabla2[[#This Row],[venc]]="venc",Tabla2[[#This Row],[estado pago]]="por pagar"),"vencida","no")</f>
        <v>vencida</v>
      </c>
    </row>
    <row r="2541" spans="1:30" ht="19.5" hidden="1" customHeight="1" x14ac:dyDescent="0.25">
      <c r="A2541" s="8"/>
      <c r="B2541" s="8"/>
      <c r="C2541" s="8"/>
      <c r="D2541" s="151"/>
      <c r="E2541" s="151"/>
      <c r="F2541" s="24"/>
      <c r="G2541" s="30"/>
      <c r="H2541" s="81"/>
      <c r="I2541" s="30"/>
      <c r="J2541" s="16"/>
      <c r="K2541" s="9"/>
      <c r="L2541" s="9"/>
      <c r="M2541" s="152"/>
      <c r="N2541" s="153"/>
      <c r="O2541" s="152"/>
      <c r="P2541" s="154"/>
      <c r="Q2541" s="152"/>
      <c r="R2541" s="9"/>
      <c r="Z2541" s="21"/>
      <c r="AA2541" s="162">
        <f>+$AD$5-Tabla2[[#This Row],[FECHA DE FACTURACIÓN]]</f>
        <v>45443</v>
      </c>
      <c r="AB2541" s="163" t="str">
        <f>+IF(Tabla2[[#This Row],[dias de credito]]&gt;=Tabla2[[#This Row],[PLAZO Días]],"venc", "No venc")</f>
        <v>venc</v>
      </c>
      <c r="AC2541" s="163" t="str">
        <f>+IF(Tabla2[[#This Row],[FECHA DE PAGO]]&gt;0,"pagada","por pagar")</f>
        <v>por pagar</v>
      </c>
      <c r="AD2541" s="164" t="str">
        <f>+IF(AND(Tabla2[[#This Row],[venc]]="venc",Tabla2[[#This Row],[estado pago]]="por pagar"),"vencida","no")</f>
        <v>vencida</v>
      </c>
    </row>
    <row r="2542" spans="1:30" ht="19.5" hidden="1" customHeight="1" x14ac:dyDescent="0.25">
      <c r="A2542" s="8"/>
      <c r="B2542" s="8"/>
      <c r="C2542" s="8"/>
      <c r="D2542" s="151"/>
      <c r="E2542" s="151"/>
      <c r="F2542" s="24"/>
      <c r="G2542" s="30"/>
      <c r="H2542" s="81"/>
      <c r="I2542" s="30"/>
      <c r="J2542" s="16"/>
      <c r="K2542" s="9"/>
      <c r="L2542" s="9"/>
      <c r="M2542" s="152"/>
      <c r="N2542" s="153"/>
      <c r="O2542" s="152"/>
      <c r="P2542" s="154"/>
      <c r="Q2542" s="152"/>
      <c r="R2542" s="9"/>
      <c r="Z2542" s="21"/>
      <c r="AA2542" s="162">
        <f>+$AD$5-Tabla2[[#This Row],[FECHA DE FACTURACIÓN]]</f>
        <v>45443</v>
      </c>
      <c r="AB2542" s="163" t="str">
        <f>+IF(Tabla2[[#This Row],[dias de credito]]&gt;=Tabla2[[#This Row],[PLAZO Días]],"venc", "No venc")</f>
        <v>venc</v>
      </c>
      <c r="AC2542" s="163" t="str">
        <f>+IF(Tabla2[[#This Row],[FECHA DE PAGO]]&gt;0,"pagada","por pagar")</f>
        <v>por pagar</v>
      </c>
      <c r="AD2542" s="164" t="str">
        <f>+IF(AND(Tabla2[[#This Row],[venc]]="venc",Tabla2[[#This Row],[estado pago]]="por pagar"),"vencida","no")</f>
        <v>vencida</v>
      </c>
    </row>
    <row r="2543" spans="1:30" ht="19.5" hidden="1" customHeight="1" x14ac:dyDescent="0.25">
      <c r="A2543" s="8"/>
      <c r="B2543" s="8"/>
      <c r="C2543" s="8"/>
      <c r="D2543" s="151"/>
      <c r="E2543" s="151"/>
      <c r="F2543" s="24"/>
      <c r="G2543" s="30"/>
      <c r="H2543" s="81"/>
      <c r="I2543" s="30"/>
      <c r="J2543" s="16"/>
      <c r="K2543" s="9"/>
      <c r="L2543" s="9"/>
      <c r="M2543" s="152"/>
      <c r="N2543" s="153"/>
      <c r="O2543" s="152"/>
      <c r="P2543" s="154"/>
      <c r="Q2543" s="152"/>
      <c r="R2543" s="9"/>
      <c r="Z2543" s="21"/>
      <c r="AA2543" s="162">
        <f>+$AD$5-Tabla2[[#This Row],[FECHA DE FACTURACIÓN]]</f>
        <v>45443</v>
      </c>
      <c r="AB2543" s="163" t="str">
        <f>+IF(Tabla2[[#This Row],[dias de credito]]&gt;=Tabla2[[#This Row],[PLAZO Días]],"venc", "No venc")</f>
        <v>venc</v>
      </c>
      <c r="AC2543" s="163" t="str">
        <f>+IF(Tabla2[[#This Row],[FECHA DE PAGO]]&gt;0,"pagada","por pagar")</f>
        <v>por pagar</v>
      </c>
      <c r="AD2543" s="164" t="str">
        <f>+IF(AND(Tabla2[[#This Row],[venc]]="venc",Tabla2[[#This Row],[estado pago]]="por pagar"),"vencida","no")</f>
        <v>vencida</v>
      </c>
    </row>
    <row r="2544" spans="1:30" ht="19.5" hidden="1" customHeight="1" x14ac:dyDescent="0.25">
      <c r="A2544" s="8"/>
      <c r="B2544" s="8"/>
      <c r="C2544" s="8"/>
      <c r="D2544" s="151"/>
      <c r="E2544" s="151"/>
      <c r="F2544" s="24"/>
      <c r="G2544" s="30"/>
      <c r="H2544" s="81"/>
      <c r="I2544" s="30"/>
      <c r="J2544" s="16"/>
      <c r="K2544" s="9"/>
      <c r="L2544" s="9"/>
      <c r="M2544" s="152"/>
      <c r="N2544" s="153"/>
      <c r="O2544" s="152"/>
      <c r="P2544" s="154"/>
      <c r="Q2544" s="152"/>
      <c r="R2544" s="9"/>
      <c r="Z2544" s="21"/>
      <c r="AA2544" s="162">
        <f>+$AD$5-Tabla2[[#This Row],[FECHA DE FACTURACIÓN]]</f>
        <v>45443</v>
      </c>
      <c r="AB2544" s="163" t="str">
        <f>+IF(Tabla2[[#This Row],[dias de credito]]&gt;=Tabla2[[#This Row],[PLAZO Días]],"venc", "No venc")</f>
        <v>venc</v>
      </c>
      <c r="AC2544" s="163" t="str">
        <f>+IF(Tabla2[[#This Row],[FECHA DE PAGO]]&gt;0,"pagada","por pagar")</f>
        <v>por pagar</v>
      </c>
      <c r="AD2544" s="164" t="str">
        <f>+IF(AND(Tabla2[[#This Row],[venc]]="venc",Tabla2[[#This Row],[estado pago]]="por pagar"),"vencida","no")</f>
        <v>vencida</v>
      </c>
    </row>
    <row r="2545" spans="1:30" ht="19.5" hidden="1" customHeight="1" x14ac:dyDescent="0.25">
      <c r="A2545" s="8"/>
      <c r="B2545" s="8"/>
      <c r="C2545" s="8"/>
      <c r="D2545" s="151"/>
      <c r="E2545" s="151"/>
      <c r="F2545" s="24"/>
      <c r="G2545" s="30"/>
      <c r="H2545" s="81"/>
      <c r="I2545" s="30"/>
      <c r="J2545" s="16"/>
      <c r="K2545" s="9"/>
      <c r="L2545" s="9"/>
      <c r="M2545" s="152"/>
      <c r="N2545" s="153"/>
      <c r="O2545" s="152"/>
      <c r="P2545" s="154"/>
      <c r="Q2545" s="152"/>
      <c r="R2545" s="9"/>
      <c r="Z2545" s="21"/>
      <c r="AA2545" s="162">
        <f>+$AD$5-Tabla2[[#This Row],[FECHA DE FACTURACIÓN]]</f>
        <v>45443</v>
      </c>
      <c r="AB2545" s="163" t="str">
        <f>+IF(Tabla2[[#This Row],[dias de credito]]&gt;=Tabla2[[#This Row],[PLAZO Días]],"venc", "No venc")</f>
        <v>venc</v>
      </c>
      <c r="AC2545" s="163" t="str">
        <f>+IF(Tabla2[[#This Row],[FECHA DE PAGO]]&gt;0,"pagada","por pagar")</f>
        <v>por pagar</v>
      </c>
      <c r="AD2545" s="164" t="str">
        <f>+IF(AND(Tabla2[[#This Row],[venc]]="venc",Tabla2[[#This Row],[estado pago]]="por pagar"),"vencida","no")</f>
        <v>vencida</v>
      </c>
    </row>
    <row r="2546" spans="1:30" ht="19.5" hidden="1" customHeight="1" x14ac:dyDescent="0.25">
      <c r="A2546" s="8"/>
      <c r="B2546" s="8"/>
      <c r="C2546" s="8"/>
      <c r="D2546" s="151"/>
      <c r="E2546" s="151"/>
      <c r="F2546" s="24"/>
      <c r="G2546" s="30"/>
      <c r="H2546" s="81"/>
      <c r="I2546" s="30"/>
      <c r="J2546" s="16"/>
      <c r="K2546" s="9"/>
      <c r="L2546" s="9"/>
      <c r="M2546" s="152"/>
      <c r="N2546" s="153"/>
      <c r="O2546" s="152"/>
      <c r="P2546" s="154"/>
      <c r="Q2546" s="152"/>
      <c r="R2546" s="9"/>
      <c r="Z2546" s="21"/>
      <c r="AA2546" s="162">
        <f>+$AD$5-Tabla2[[#This Row],[FECHA DE FACTURACIÓN]]</f>
        <v>45443</v>
      </c>
      <c r="AB2546" s="163" t="str">
        <f>+IF(Tabla2[[#This Row],[dias de credito]]&gt;=Tabla2[[#This Row],[PLAZO Días]],"venc", "No venc")</f>
        <v>venc</v>
      </c>
      <c r="AC2546" s="163" t="str">
        <f>+IF(Tabla2[[#This Row],[FECHA DE PAGO]]&gt;0,"pagada","por pagar")</f>
        <v>por pagar</v>
      </c>
      <c r="AD2546" s="164" t="str">
        <f>+IF(AND(Tabla2[[#This Row],[venc]]="venc",Tabla2[[#This Row],[estado pago]]="por pagar"),"vencida","no")</f>
        <v>vencida</v>
      </c>
    </row>
    <row r="2547" spans="1:30" ht="19.5" hidden="1" customHeight="1" x14ac:dyDescent="0.25">
      <c r="A2547" s="8"/>
      <c r="B2547" s="8"/>
      <c r="C2547" s="8"/>
      <c r="D2547" s="151"/>
      <c r="E2547" s="151"/>
      <c r="F2547" s="24"/>
      <c r="G2547" s="30"/>
      <c r="H2547" s="81"/>
      <c r="I2547" s="30"/>
      <c r="J2547" s="16"/>
      <c r="K2547" s="9"/>
      <c r="L2547" s="9"/>
      <c r="M2547" s="152"/>
      <c r="N2547" s="153"/>
      <c r="O2547" s="152"/>
      <c r="P2547" s="154"/>
      <c r="Q2547" s="152"/>
      <c r="R2547" s="9"/>
      <c r="Z2547" s="21"/>
      <c r="AA2547" s="162">
        <f>+$AD$5-Tabla2[[#This Row],[FECHA DE FACTURACIÓN]]</f>
        <v>45443</v>
      </c>
      <c r="AB2547" s="163" t="str">
        <f>+IF(Tabla2[[#This Row],[dias de credito]]&gt;=Tabla2[[#This Row],[PLAZO Días]],"venc", "No venc")</f>
        <v>venc</v>
      </c>
      <c r="AC2547" s="163" t="str">
        <f>+IF(Tabla2[[#This Row],[FECHA DE PAGO]]&gt;0,"pagada","por pagar")</f>
        <v>por pagar</v>
      </c>
      <c r="AD2547" s="164" t="str">
        <f>+IF(AND(Tabla2[[#This Row],[venc]]="venc",Tabla2[[#This Row],[estado pago]]="por pagar"),"vencida","no")</f>
        <v>vencida</v>
      </c>
    </row>
    <row r="2548" spans="1:30" ht="19.5" hidden="1" customHeight="1" x14ac:dyDescent="0.25">
      <c r="A2548" s="8"/>
      <c r="B2548" s="8"/>
      <c r="C2548" s="8"/>
      <c r="D2548" s="151"/>
      <c r="E2548" s="151"/>
      <c r="F2548" s="24"/>
      <c r="G2548" s="30"/>
      <c r="H2548" s="81"/>
      <c r="I2548" s="30"/>
      <c r="J2548" s="16"/>
      <c r="K2548" s="9"/>
      <c r="L2548" s="9"/>
      <c r="M2548" s="152"/>
      <c r="N2548" s="153"/>
      <c r="O2548" s="152"/>
      <c r="P2548" s="154"/>
      <c r="Q2548" s="152"/>
      <c r="R2548" s="9"/>
      <c r="Z2548" s="21"/>
      <c r="AA2548" s="162">
        <f>+$AD$5-Tabla2[[#This Row],[FECHA DE FACTURACIÓN]]</f>
        <v>45443</v>
      </c>
      <c r="AB2548" s="163" t="str">
        <f>+IF(Tabla2[[#This Row],[dias de credito]]&gt;=Tabla2[[#This Row],[PLAZO Días]],"venc", "No venc")</f>
        <v>venc</v>
      </c>
      <c r="AC2548" s="163" t="str">
        <f>+IF(Tabla2[[#This Row],[FECHA DE PAGO]]&gt;0,"pagada","por pagar")</f>
        <v>por pagar</v>
      </c>
      <c r="AD2548" s="164" t="str">
        <f>+IF(AND(Tabla2[[#This Row],[venc]]="venc",Tabla2[[#This Row],[estado pago]]="por pagar"),"vencida","no")</f>
        <v>vencida</v>
      </c>
    </row>
    <row r="2549" spans="1:30" ht="19.5" hidden="1" customHeight="1" x14ac:dyDescent="0.25">
      <c r="A2549" s="8"/>
      <c r="B2549" s="8"/>
      <c r="C2549" s="8"/>
      <c r="D2549" s="151"/>
      <c r="E2549" s="151"/>
      <c r="F2549" s="24"/>
      <c r="G2549" s="30"/>
      <c r="H2549" s="81"/>
      <c r="I2549" s="30"/>
      <c r="J2549" s="16"/>
      <c r="K2549" s="9"/>
      <c r="L2549" s="9"/>
      <c r="M2549" s="152"/>
      <c r="N2549" s="153"/>
      <c r="O2549" s="152"/>
      <c r="P2549" s="154"/>
      <c r="Q2549" s="152"/>
      <c r="R2549" s="9"/>
      <c r="Z2549" s="21"/>
      <c r="AA2549" s="162">
        <f>+$AD$5-Tabla2[[#This Row],[FECHA DE FACTURACIÓN]]</f>
        <v>45443</v>
      </c>
      <c r="AB2549" s="163" t="str">
        <f>+IF(Tabla2[[#This Row],[dias de credito]]&gt;=Tabla2[[#This Row],[PLAZO Días]],"venc", "No venc")</f>
        <v>venc</v>
      </c>
      <c r="AC2549" s="163" t="str">
        <f>+IF(Tabla2[[#This Row],[FECHA DE PAGO]]&gt;0,"pagada","por pagar")</f>
        <v>por pagar</v>
      </c>
      <c r="AD2549" s="164" t="str">
        <f>+IF(AND(Tabla2[[#This Row],[venc]]="venc",Tabla2[[#This Row],[estado pago]]="por pagar"),"vencida","no")</f>
        <v>vencida</v>
      </c>
    </row>
    <row r="2550" spans="1:30" ht="19.5" hidden="1" customHeight="1" x14ac:dyDescent="0.25">
      <c r="A2550" s="8"/>
      <c r="B2550" s="8"/>
      <c r="C2550" s="8"/>
      <c r="D2550" s="151"/>
      <c r="E2550" s="151"/>
      <c r="F2550" s="24"/>
      <c r="G2550" s="30"/>
      <c r="H2550" s="81"/>
      <c r="I2550" s="30"/>
      <c r="J2550" s="16"/>
      <c r="K2550" s="9"/>
      <c r="L2550" s="9"/>
      <c r="M2550" s="152"/>
      <c r="N2550" s="153"/>
      <c r="O2550" s="152"/>
      <c r="P2550" s="154"/>
      <c r="Q2550" s="152"/>
      <c r="R2550" s="9"/>
      <c r="Z2550" s="21"/>
      <c r="AA2550" s="162">
        <f>+$AD$5-Tabla2[[#This Row],[FECHA DE FACTURACIÓN]]</f>
        <v>45443</v>
      </c>
      <c r="AB2550" s="163" t="str">
        <f>+IF(Tabla2[[#This Row],[dias de credito]]&gt;=Tabla2[[#This Row],[PLAZO Días]],"venc", "No venc")</f>
        <v>venc</v>
      </c>
      <c r="AC2550" s="163" t="str">
        <f>+IF(Tabla2[[#This Row],[FECHA DE PAGO]]&gt;0,"pagada","por pagar")</f>
        <v>por pagar</v>
      </c>
      <c r="AD2550" s="164" t="str">
        <f>+IF(AND(Tabla2[[#This Row],[venc]]="venc",Tabla2[[#This Row],[estado pago]]="por pagar"),"vencida","no")</f>
        <v>vencida</v>
      </c>
    </row>
    <row r="2551" spans="1:30" ht="19.5" hidden="1" customHeight="1" x14ac:dyDescent="0.25">
      <c r="A2551" s="8"/>
      <c r="B2551" s="8"/>
      <c r="C2551" s="8"/>
      <c r="D2551" s="151"/>
      <c r="E2551" s="151"/>
      <c r="F2551" s="24"/>
      <c r="G2551" s="30"/>
      <c r="H2551" s="81"/>
      <c r="I2551" s="30"/>
      <c r="J2551" s="16"/>
      <c r="K2551" s="9"/>
      <c r="L2551" s="9"/>
      <c r="M2551" s="152"/>
      <c r="N2551" s="153"/>
      <c r="O2551" s="152"/>
      <c r="P2551" s="154"/>
      <c r="Q2551" s="152"/>
      <c r="R2551" s="9"/>
      <c r="Z2551" s="21"/>
      <c r="AA2551" s="162">
        <f>+$AD$5-Tabla2[[#This Row],[FECHA DE FACTURACIÓN]]</f>
        <v>45443</v>
      </c>
      <c r="AB2551" s="163" t="str">
        <f>+IF(Tabla2[[#This Row],[dias de credito]]&gt;=Tabla2[[#This Row],[PLAZO Días]],"venc", "No venc")</f>
        <v>venc</v>
      </c>
      <c r="AC2551" s="163" t="str">
        <f>+IF(Tabla2[[#This Row],[FECHA DE PAGO]]&gt;0,"pagada","por pagar")</f>
        <v>por pagar</v>
      </c>
      <c r="AD2551" s="164" t="str">
        <f>+IF(AND(Tabla2[[#This Row],[venc]]="venc",Tabla2[[#This Row],[estado pago]]="por pagar"),"vencida","no")</f>
        <v>vencida</v>
      </c>
    </row>
    <row r="2552" spans="1:30" ht="19.5" hidden="1" customHeight="1" x14ac:dyDescent="0.25">
      <c r="A2552" s="8"/>
      <c r="B2552" s="8"/>
      <c r="C2552" s="8"/>
      <c r="D2552" s="151"/>
      <c r="E2552" s="151"/>
      <c r="F2552" s="24"/>
      <c r="G2552" s="30"/>
      <c r="H2552" s="81"/>
      <c r="I2552" s="30"/>
      <c r="J2552" s="16"/>
      <c r="K2552" s="9"/>
      <c r="L2552" s="9"/>
      <c r="M2552" s="152"/>
      <c r="N2552" s="153"/>
      <c r="O2552" s="152"/>
      <c r="P2552" s="154"/>
      <c r="Q2552" s="152"/>
      <c r="R2552" s="9"/>
      <c r="Z2552" s="21"/>
      <c r="AA2552" s="162">
        <f>+$AD$5-Tabla2[[#This Row],[FECHA DE FACTURACIÓN]]</f>
        <v>45443</v>
      </c>
      <c r="AB2552" s="163" t="str">
        <f>+IF(Tabla2[[#This Row],[dias de credito]]&gt;=Tabla2[[#This Row],[PLAZO Días]],"venc", "No venc")</f>
        <v>venc</v>
      </c>
      <c r="AC2552" s="163" t="str">
        <f>+IF(Tabla2[[#This Row],[FECHA DE PAGO]]&gt;0,"pagada","por pagar")</f>
        <v>por pagar</v>
      </c>
      <c r="AD2552" s="164" t="str">
        <f>+IF(AND(Tabla2[[#This Row],[venc]]="venc",Tabla2[[#This Row],[estado pago]]="por pagar"),"vencida","no")</f>
        <v>vencida</v>
      </c>
    </row>
    <row r="2553" spans="1:30" ht="19.5" hidden="1" customHeight="1" x14ac:dyDescent="0.25">
      <c r="A2553" s="8"/>
      <c r="B2553" s="8"/>
      <c r="C2553" s="8"/>
      <c r="D2553" s="151"/>
      <c r="E2553" s="151"/>
      <c r="F2553" s="24"/>
      <c r="G2553" s="30"/>
      <c r="H2553" s="81"/>
      <c r="I2553" s="30"/>
      <c r="J2553" s="16"/>
      <c r="K2553" s="9"/>
      <c r="L2553" s="9"/>
      <c r="M2553" s="152"/>
      <c r="N2553" s="153"/>
      <c r="O2553" s="152"/>
      <c r="P2553" s="154"/>
      <c r="Q2553" s="152"/>
      <c r="R2553" s="9"/>
      <c r="Z2553" s="21"/>
      <c r="AA2553" s="162">
        <f>+$AD$5-Tabla2[[#This Row],[FECHA DE FACTURACIÓN]]</f>
        <v>45443</v>
      </c>
      <c r="AB2553" s="163" t="str">
        <f>+IF(Tabla2[[#This Row],[dias de credito]]&gt;=Tabla2[[#This Row],[PLAZO Días]],"venc", "No venc")</f>
        <v>venc</v>
      </c>
      <c r="AC2553" s="163" t="str">
        <f>+IF(Tabla2[[#This Row],[FECHA DE PAGO]]&gt;0,"pagada","por pagar")</f>
        <v>por pagar</v>
      </c>
      <c r="AD2553" s="164" t="str">
        <f>+IF(AND(Tabla2[[#This Row],[venc]]="venc",Tabla2[[#This Row],[estado pago]]="por pagar"),"vencida","no")</f>
        <v>vencida</v>
      </c>
    </row>
    <row r="2554" spans="1:30" ht="19.5" hidden="1" customHeight="1" x14ac:dyDescent="0.25">
      <c r="A2554" s="8"/>
      <c r="B2554" s="8"/>
      <c r="C2554" s="8"/>
      <c r="D2554" s="151"/>
      <c r="E2554" s="151"/>
      <c r="F2554" s="24"/>
      <c r="G2554" s="30"/>
      <c r="H2554" s="81"/>
      <c r="I2554" s="30"/>
      <c r="J2554" s="16"/>
      <c r="K2554" s="9"/>
      <c r="L2554" s="9"/>
      <c r="M2554" s="152"/>
      <c r="N2554" s="153"/>
      <c r="O2554" s="152"/>
      <c r="P2554" s="154"/>
      <c r="Q2554" s="152"/>
      <c r="R2554" s="9"/>
      <c r="Z2554" s="21"/>
      <c r="AA2554" s="162">
        <f>+$AD$5-Tabla2[[#This Row],[FECHA DE FACTURACIÓN]]</f>
        <v>45443</v>
      </c>
      <c r="AB2554" s="163" t="str">
        <f>+IF(Tabla2[[#This Row],[dias de credito]]&gt;=Tabla2[[#This Row],[PLAZO Días]],"venc", "No venc")</f>
        <v>venc</v>
      </c>
      <c r="AC2554" s="163" t="str">
        <f>+IF(Tabla2[[#This Row],[FECHA DE PAGO]]&gt;0,"pagada","por pagar")</f>
        <v>por pagar</v>
      </c>
      <c r="AD2554" s="164" t="str">
        <f>+IF(AND(Tabla2[[#This Row],[venc]]="venc",Tabla2[[#This Row],[estado pago]]="por pagar"),"vencida","no")</f>
        <v>vencida</v>
      </c>
    </row>
    <row r="2555" spans="1:30" ht="19.5" hidden="1" customHeight="1" x14ac:dyDescent="0.25">
      <c r="A2555" s="8"/>
      <c r="B2555" s="8"/>
      <c r="C2555" s="8"/>
      <c r="D2555" s="151"/>
      <c r="E2555" s="151"/>
      <c r="F2555" s="24"/>
      <c r="G2555" s="30"/>
      <c r="H2555" s="81"/>
      <c r="I2555" s="30"/>
      <c r="J2555" s="16"/>
      <c r="K2555" s="9"/>
      <c r="L2555" s="9"/>
      <c r="M2555" s="152"/>
      <c r="N2555" s="153"/>
      <c r="O2555" s="152"/>
      <c r="P2555" s="154"/>
      <c r="Q2555" s="152"/>
      <c r="R2555" s="9"/>
      <c r="Z2555" s="21"/>
      <c r="AA2555" s="162">
        <f>+$AD$5-Tabla2[[#This Row],[FECHA DE FACTURACIÓN]]</f>
        <v>45443</v>
      </c>
      <c r="AB2555" s="163" t="str">
        <f>+IF(Tabla2[[#This Row],[dias de credito]]&gt;=Tabla2[[#This Row],[PLAZO Días]],"venc", "No venc")</f>
        <v>venc</v>
      </c>
      <c r="AC2555" s="163" t="str">
        <f>+IF(Tabla2[[#This Row],[FECHA DE PAGO]]&gt;0,"pagada","por pagar")</f>
        <v>por pagar</v>
      </c>
      <c r="AD2555" s="164" t="str">
        <f>+IF(AND(Tabla2[[#This Row],[venc]]="venc",Tabla2[[#This Row],[estado pago]]="por pagar"),"vencida","no")</f>
        <v>vencida</v>
      </c>
    </row>
    <row r="2556" spans="1:30" ht="19.5" hidden="1" customHeight="1" x14ac:dyDescent="0.25">
      <c r="A2556" s="8"/>
      <c r="B2556" s="8"/>
      <c r="C2556" s="8"/>
      <c r="D2556" s="151"/>
      <c r="E2556" s="151"/>
      <c r="F2556" s="24"/>
      <c r="G2556" s="30"/>
      <c r="H2556" s="81"/>
      <c r="I2556" s="30"/>
      <c r="J2556" s="16"/>
      <c r="K2556" s="9"/>
      <c r="L2556" s="9"/>
      <c r="M2556" s="152"/>
      <c r="N2556" s="153"/>
      <c r="O2556" s="152"/>
      <c r="P2556" s="154"/>
      <c r="Q2556" s="152"/>
      <c r="R2556" s="9"/>
      <c r="Z2556" s="21"/>
      <c r="AA2556" s="162">
        <f>+$AD$5-Tabla2[[#This Row],[FECHA DE FACTURACIÓN]]</f>
        <v>45443</v>
      </c>
      <c r="AB2556" s="163" t="str">
        <f>+IF(Tabla2[[#This Row],[dias de credito]]&gt;=Tabla2[[#This Row],[PLAZO Días]],"venc", "No venc")</f>
        <v>venc</v>
      </c>
      <c r="AC2556" s="163" t="str">
        <f>+IF(Tabla2[[#This Row],[FECHA DE PAGO]]&gt;0,"pagada","por pagar")</f>
        <v>por pagar</v>
      </c>
      <c r="AD2556" s="164" t="str">
        <f>+IF(AND(Tabla2[[#This Row],[venc]]="venc",Tabla2[[#This Row],[estado pago]]="por pagar"),"vencida","no")</f>
        <v>vencida</v>
      </c>
    </row>
    <row r="2557" spans="1:30" ht="19.5" hidden="1" customHeight="1" x14ac:dyDescent="0.25">
      <c r="A2557" s="8"/>
      <c r="B2557" s="8"/>
      <c r="C2557" s="8"/>
      <c r="D2557" s="151"/>
      <c r="E2557" s="151"/>
      <c r="F2557" s="24"/>
      <c r="G2557" s="30"/>
      <c r="H2557" s="81"/>
      <c r="I2557" s="30"/>
      <c r="J2557" s="16"/>
      <c r="K2557" s="9"/>
      <c r="L2557" s="9"/>
      <c r="M2557" s="152"/>
      <c r="N2557" s="153"/>
      <c r="O2557" s="152"/>
      <c r="P2557" s="154"/>
      <c r="Q2557" s="152"/>
      <c r="R2557" s="9"/>
      <c r="Z2557" s="21"/>
      <c r="AA2557" s="162">
        <f>+$AD$5-Tabla2[[#This Row],[FECHA DE FACTURACIÓN]]</f>
        <v>45443</v>
      </c>
      <c r="AB2557" s="163" t="str">
        <f>+IF(Tabla2[[#This Row],[dias de credito]]&gt;=Tabla2[[#This Row],[PLAZO Días]],"venc", "No venc")</f>
        <v>venc</v>
      </c>
      <c r="AC2557" s="163" t="str">
        <f>+IF(Tabla2[[#This Row],[FECHA DE PAGO]]&gt;0,"pagada","por pagar")</f>
        <v>por pagar</v>
      </c>
      <c r="AD2557" s="164" t="str">
        <f>+IF(AND(Tabla2[[#This Row],[venc]]="venc",Tabla2[[#This Row],[estado pago]]="por pagar"),"vencida","no")</f>
        <v>vencida</v>
      </c>
    </row>
    <row r="2558" spans="1:30" ht="19.5" hidden="1" customHeight="1" x14ac:dyDescent="0.25">
      <c r="A2558" s="8"/>
      <c r="B2558" s="8"/>
      <c r="C2558" s="8"/>
      <c r="D2558" s="151"/>
      <c r="E2558" s="151"/>
      <c r="F2558" s="24"/>
      <c r="G2558" s="30"/>
      <c r="H2558" s="81"/>
      <c r="I2558" s="30"/>
      <c r="J2558" s="16"/>
      <c r="K2558" s="9"/>
      <c r="L2558" s="9"/>
      <c r="M2558" s="152"/>
      <c r="N2558" s="153"/>
      <c r="O2558" s="152"/>
      <c r="P2558" s="154"/>
      <c r="Q2558" s="152"/>
      <c r="R2558" s="9"/>
      <c r="Z2558" s="21"/>
      <c r="AA2558" s="162">
        <f>+$AD$5-Tabla2[[#This Row],[FECHA DE FACTURACIÓN]]</f>
        <v>45443</v>
      </c>
      <c r="AB2558" s="163" t="str">
        <f>+IF(Tabla2[[#This Row],[dias de credito]]&gt;=Tabla2[[#This Row],[PLAZO Días]],"venc", "No venc")</f>
        <v>venc</v>
      </c>
      <c r="AC2558" s="163" t="str">
        <f>+IF(Tabla2[[#This Row],[FECHA DE PAGO]]&gt;0,"pagada","por pagar")</f>
        <v>por pagar</v>
      </c>
      <c r="AD2558" s="164" t="str">
        <f>+IF(AND(Tabla2[[#This Row],[venc]]="venc",Tabla2[[#This Row],[estado pago]]="por pagar"),"vencida","no")</f>
        <v>vencida</v>
      </c>
    </row>
    <row r="2559" spans="1:30" ht="19.5" hidden="1" customHeight="1" x14ac:dyDescent="0.25">
      <c r="A2559" s="8"/>
      <c r="B2559" s="8"/>
      <c r="C2559" s="8"/>
      <c r="D2559" s="151"/>
      <c r="E2559" s="151"/>
      <c r="F2559" s="24"/>
      <c r="G2559" s="30"/>
      <c r="H2559" s="81"/>
      <c r="I2559" s="30"/>
      <c r="J2559" s="16"/>
      <c r="K2559" s="9"/>
      <c r="L2559" s="9"/>
      <c r="M2559" s="152"/>
      <c r="N2559" s="153"/>
      <c r="O2559" s="152"/>
      <c r="P2559" s="154"/>
      <c r="Q2559" s="152"/>
      <c r="R2559" s="9"/>
      <c r="Z2559" s="21"/>
      <c r="AA2559" s="162">
        <f>+$AD$5-Tabla2[[#This Row],[FECHA DE FACTURACIÓN]]</f>
        <v>45443</v>
      </c>
      <c r="AB2559" s="163" t="str">
        <f>+IF(Tabla2[[#This Row],[dias de credito]]&gt;=Tabla2[[#This Row],[PLAZO Días]],"venc", "No venc")</f>
        <v>venc</v>
      </c>
      <c r="AC2559" s="163" t="str">
        <f>+IF(Tabla2[[#This Row],[FECHA DE PAGO]]&gt;0,"pagada","por pagar")</f>
        <v>por pagar</v>
      </c>
      <c r="AD2559" s="164" t="str">
        <f>+IF(AND(Tabla2[[#This Row],[venc]]="venc",Tabla2[[#This Row],[estado pago]]="por pagar"),"vencida","no")</f>
        <v>vencida</v>
      </c>
    </row>
    <row r="2560" spans="1:30" ht="19.5" hidden="1" customHeight="1" x14ac:dyDescent="0.25">
      <c r="A2560" s="8"/>
      <c r="B2560" s="8"/>
      <c r="C2560" s="8"/>
      <c r="D2560" s="151"/>
      <c r="E2560" s="151"/>
      <c r="F2560" s="24"/>
      <c r="G2560" s="30"/>
      <c r="H2560" s="81"/>
      <c r="I2560" s="30"/>
      <c r="J2560" s="16"/>
      <c r="K2560" s="9"/>
      <c r="L2560" s="9"/>
      <c r="M2560" s="152"/>
      <c r="N2560" s="153"/>
      <c r="O2560" s="152"/>
      <c r="P2560" s="154"/>
      <c r="Q2560" s="152"/>
      <c r="R2560" s="9"/>
      <c r="Z2560" s="21"/>
      <c r="AA2560" s="162">
        <f>+$AD$5-Tabla2[[#This Row],[FECHA DE FACTURACIÓN]]</f>
        <v>45443</v>
      </c>
      <c r="AB2560" s="163" t="str">
        <f>+IF(Tabla2[[#This Row],[dias de credito]]&gt;=Tabla2[[#This Row],[PLAZO Días]],"venc", "No venc")</f>
        <v>venc</v>
      </c>
      <c r="AC2560" s="163" t="str">
        <f>+IF(Tabla2[[#This Row],[FECHA DE PAGO]]&gt;0,"pagada","por pagar")</f>
        <v>por pagar</v>
      </c>
      <c r="AD2560" s="164" t="str">
        <f>+IF(AND(Tabla2[[#This Row],[venc]]="venc",Tabla2[[#This Row],[estado pago]]="por pagar"),"vencida","no")</f>
        <v>vencida</v>
      </c>
    </row>
    <row r="2561" spans="1:30" ht="19.5" hidden="1" customHeight="1" x14ac:dyDescent="0.25">
      <c r="A2561" s="8"/>
      <c r="B2561" s="8"/>
      <c r="C2561" s="8"/>
      <c r="D2561" s="151"/>
      <c r="E2561" s="151"/>
      <c r="F2561" s="24"/>
      <c r="G2561" s="30"/>
      <c r="H2561" s="81"/>
      <c r="I2561" s="30"/>
      <c r="J2561" s="16"/>
      <c r="K2561" s="9"/>
      <c r="L2561" s="9"/>
      <c r="M2561" s="152"/>
      <c r="N2561" s="153"/>
      <c r="O2561" s="152"/>
      <c r="P2561" s="154"/>
      <c r="Q2561" s="152"/>
      <c r="R2561" s="9"/>
      <c r="Z2561" s="21"/>
      <c r="AA2561" s="162">
        <f>+$AD$5-Tabla2[[#This Row],[FECHA DE FACTURACIÓN]]</f>
        <v>45443</v>
      </c>
      <c r="AB2561" s="163" t="str">
        <f>+IF(Tabla2[[#This Row],[dias de credito]]&gt;=Tabla2[[#This Row],[PLAZO Días]],"venc", "No venc")</f>
        <v>venc</v>
      </c>
      <c r="AC2561" s="163" t="str">
        <f>+IF(Tabla2[[#This Row],[FECHA DE PAGO]]&gt;0,"pagada","por pagar")</f>
        <v>por pagar</v>
      </c>
      <c r="AD2561" s="164" t="str">
        <f>+IF(AND(Tabla2[[#This Row],[venc]]="venc",Tabla2[[#This Row],[estado pago]]="por pagar"),"vencida","no")</f>
        <v>vencida</v>
      </c>
    </row>
    <row r="2562" spans="1:30" ht="19.5" hidden="1" customHeight="1" x14ac:dyDescent="0.25">
      <c r="A2562" s="8"/>
      <c r="B2562" s="8"/>
      <c r="C2562" s="8"/>
      <c r="D2562" s="151"/>
      <c r="E2562" s="151"/>
      <c r="F2562" s="24"/>
      <c r="G2562" s="30"/>
      <c r="H2562" s="81"/>
      <c r="I2562" s="30"/>
      <c r="J2562" s="16"/>
      <c r="K2562" s="9"/>
      <c r="L2562" s="9"/>
      <c r="M2562" s="152"/>
      <c r="N2562" s="153"/>
      <c r="O2562" s="152"/>
      <c r="P2562" s="154"/>
      <c r="Q2562" s="152"/>
      <c r="R2562" s="9"/>
      <c r="Z2562" s="21"/>
      <c r="AA2562" s="162">
        <f>+$AD$5-Tabla2[[#This Row],[FECHA DE FACTURACIÓN]]</f>
        <v>45443</v>
      </c>
      <c r="AB2562" s="163" t="str">
        <f>+IF(Tabla2[[#This Row],[dias de credito]]&gt;=Tabla2[[#This Row],[PLAZO Días]],"venc", "No venc")</f>
        <v>venc</v>
      </c>
      <c r="AC2562" s="163" t="str">
        <f>+IF(Tabla2[[#This Row],[FECHA DE PAGO]]&gt;0,"pagada","por pagar")</f>
        <v>por pagar</v>
      </c>
      <c r="AD2562" s="164" t="str">
        <f>+IF(AND(Tabla2[[#This Row],[venc]]="venc",Tabla2[[#This Row],[estado pago]]="por pagar"),"vencida","no")</f>
        <v>vencida</v>
      </c>
    </row>
    <row r="2563" spans="1:30" ht="19.5" hidden="1" customHeight="1" x14ac:dyDescent="0.25">
      <c r="A2563" s="8"/>
      <c r="B2563" s="8"/>
      <c r="C2563" s="8"/>
      <c r="D2563" s="151"/>
      <c r="E2563" s="151"/>
      <c r="F2563" s="24"/>
      <c r="G2563" s="30"/>
      <c r="H2563" s="81"/>
      <c r="I2563" s="30"/>
      <c r="J2563" s="16"/>
      <c r="K2563" s="9"/>
      <c r="L2563" s="9"/>
      <c r="M2563" s="152"/>
      <c r="N2563" s="153"/>
      <c r="O2563" s="152"/>
      <c r="P2563" s="154"/>
      <c r="Q2563" s="152"/>
      <c r="R2563" s="9"/>
      <c r="Z2563" s="21"/>
      <c r="AA2563" s="162">
        <f>+$AD$5-Tabla2[[#This Row],[FECHA DE FACTURACIÓN]]</f>
        <v>45443</v>
      </c>
      <c r="AB2563" s="163" t="str">
        <f>+IF(Tabla2[[#This Row],[dias de credito]]&gt;=Tabla2[[#This Row],[PLAZO Días]],"venc", "No venc")</f>
        <v>venc</v>
      </c>
      <c r="AC2563" s="163" t="str">
        <f>+IF(Tabla2[[#This Row],[FECHA DE PAGO]]&gt;0,"pagada","por pagar")</f>
        <v>por pagar</v>
      </c>
      <c r="AD2563" s="164" t="str">
        <f>+IF(AND(Tabla2[[#This Row],[venc]]="venc",Tabla2[[#This Row],[estado pago]]="por pagar"),"vencida","no")</f>
        <v>vencida</v>
      </c>
    </row>
    <row r="2564" spans="1:30" ht="19.5" hidden="1" customHeight="1" x14ac:dyDescent="0.25">
      <c r="A2564" s="8"/>
      <c r="B2564" s="8"/>
      <c r="C2564" s="8"/>
      <c r="D2564" s="151"/>
      <c r="E2564" s="151"/>
      <c r="F2564" s="24"/>
      <c r="G2564" s="30"/>
      <c r="H2564" s="81"/>
      <c r="I2564" s="30"/>
      <c r="J2564" s="16"/>
      <c r="K2564" s="9"/>
      <c r="L2564" s="9"/>
      <c r="M2564" s="152"/>
      <c r="N2564" s="153"/>
      <c r="O2564" s="152"/>
      <c r="P2564" s="154"/>
      <c r="Q2564" s="152"/>
      <c r="R2564" s="9"/>
      <c r="Z2564" s="21"/>
      <c r="AA2564" s="162">
        <f>+$AD$5-Tabla2[[#This Row],[FECHA DE FACTURACIÓN]]</f>
        <v>45443</v>
      </c>
      <c r="AB2564" s="163" t="str">
        <f>+IF(Tabla2[[#This Row],[dias de credito]]&gt;=Tabla2[[#This Row],[PLAZO Días]],"venc", "No venc")</f>
        <v>venc</v>
      </c>
      <c r="AC2564" s="163" t="str">
        <f>+IF(Tabla2[[#This Row],[FECHA DE PAGO]]&gt;0,"pagada","por pagar")</f>
        <v>por pagar</v>
      </c>
      <c r="AD2564" s="164" t="str">
        <f>+IF(AND(Tabla2[[#This Row],[venc]]="venc",Tabla2[[#This Row],[estado pago]]="por pagar"),"vencida","no")</f>
        <v>vencida</v>
      </c>
    </row>
    <row r="2565" spans="1:30" ht="19.5" hidden="1" customHeight="1" x14ac:dyDescent="0.25">
      <c r="A2565" s="8"/>
      <c r="B2565" s="8"/>
      <c r="C2565" s="8"/>
      <c r="D2565" s="151"/>
      <c r="E2565" s="151"/>
      <c r="F2565" s="24"/>
      <c r="G2565" s="30"/>
      <c r="H2565" s="81"/>
      <c r="I2565" s="30"/>
      <c r="J2565" s="16"/>
      <c r="K2565" s="9"/>
      <c r="L2565" s="9"/>
      <c r="M2565" s="152"/>
      <c r="N2565" s="153"/>
      <c r="O2565" s="152"/>
      <c r="P2565" s="154"/>
      <c r="Q2565" s="152"/>
      <c r="R2565" s="9"/>
      <c r="Z2565" s="21"/>
      <c r="AA2565" s="162">
        <f>+$AD$5-Tabla2[[#This Row],[FECHA DE FACTURACIÓN]]</f>
        <v>45443</v>
      </c>
      <c r="AB2565" s="163" t="str">
        <f>+IF(Tabla2[[#This Row],[dias de credito]]&gt;=Tabla2[[#This Row],[PLAZO Días]],"venc", "No venc")</f>
        <v>venc</v>
      </c>
      <c r="AC2565" s="163" t="str">
        <f>+IF(Tabla2[[#This Row],[FECHA DE PAGO]]&gt;0,"pagada","por pagar")</f>
        <v>por pagar</v>
      </c>
      <c r="AD2565" s="164" t="str">
        <f>+IF(AND(Tabla2[[#This Row],[venc]]="venc",Tabla2[[#This Row],[estado pago]]="por pagar"),"vencida","no")</f>
        <v>vencida</v>
      </c>
    </row>
    <row r="2566" spans="1:30" ht="19.5" hidden="1" customHeight="1" x14ac:dyDescent="0.25">
      <c r="A2566" s="8"/>
      <c r="B2566" s="8"/>
      <c r="C2566" s="8"/>
      <c r="D2566" s="151"/>
      <c r="E2566" s="151"/>
      <c r="F2566" s="24"/>
      <c r="G2566" s="30"/>
      <c r="H2566" s="81"/>
      <c r="I2566" s="30"/>
      <c r="J2566" s="16"/>
      <c r="K2566" s="9"/>
      <c r="L2566" s="9"/>
      <c r="M2566" s="152"/>
      <c r="N2566" s="153"/>
      <c r="O2566" s="152"/>
      <c r="P2566" s="154"/>
      <c r="Q2566" s="152"/>
      <c r="R2566" s="9"/>
      <c r="Z2566" s="21"/>
      <c r="AA2566" s="162">
        <f>+$AD$5-Tabla2[[#This Row],[FECHA DE FACTURACIÓN]]</f>
        <v>45443</v>
      </c>
      <c r="AB2566" s="163" t="str">
        <f>+IF(Tabla2[[#This Row],[dias de credito]]&gt;=Tabla2[[#This Row],[PLAZO Días]],"venc", "No venc")</f>
        <v>venc</v>
      </c>
      <c r="AC2566" s="163" t="str">
        <f>+IF(Tabla2[[#This Row],[FECHA DE PAGO]]&gt;0,"pagada","por pagar")</f>
        <v>por pagar</v>
      </c>
      <c r="AD2566" s="164" t="str">
        <f>+IF(AND(Tabla2[[#This Row],[venc]]="venc",Tabla2[[#This Row],[estado pago]]="por pagar"),"vencida","no")</f>
        <v>vencida</v>
      </c>
    </row>
    <row r="2567" spans="1:30" ht="19.5" hidden="1" customHeight="1" x14ac:dyDescent="0.25">
      <c r="A2567" s="8"/>
      <c r="B2567" s="8"/>
      <c r="C2567" s="8"/>
      <c r="D2567" s="151"/>
      <c r="E2567" s="151"/>
      <c r="F2567" s="24"/>
      <c r="G2567" s="30"/>
      <c r="H2567" s="81"/>
      <c r="I2567" s="30"/>
      <c r="J2567" s="16"/>
      <c r="K2567" s="9"/>
      <c r="L2567" s="9"/>
      <c r="M2567" s="152"/>
      <c r="N2567" s="153"/>
      <c r="O2567" s="152"/>
      <c r="P2567" s="154"/>
      <c r="Q2567" s="152"/>
      <c r="R2567" s="9"/>
      <c r="Z2567" s="21"/>
      <c r="AA2567" s="162">
        <f>+$AD$5-Tabla2[[#This Row],[FECHA DE FACTURACIÓN]]</f>
        <v>45443</v>
      </c>
      <c r="AB2567" s="163" t="str">
        <f>+IF(Tabla2[[#This Row],[dias de credito]]&gt;=Tabla2[[#This Row],[PLAZO Días]],"venc", "No venc")</f>
        <v>venc</v>
      </c>
      <c r="AC2567" s="163" t="str">
        <f>+IF(Tabla2[[#This Row],[FECHA DE PAGO]]&gt;0,"pagada","por pagar")</f>
        <v>por pagar</v>
      </c>
      <c r="AD2567" s="164" t="str">
        <f>+IF(AND(Tabla2[[#This Row],[venc]]="venc",Tabla2[[#This Row],[estado pago]]="por pagar"),"vencida","no")</f>
        <v>vencida</v>
      </c>
    </row>
    <row r="2568" spans="1:30" ht="19.5" hidden="1" customHeight="1" x14ac:dyDescent="0.25">
      <c r="A2568" s="8"/>
      <c r="B2568" s="8"/>
      <c r="C2568" s="8"/>
      <c r="D2568" s="151"/>
      <c r="E2568" s="151"/>
      <c r="F2568" s="24"/>
      <c r="G2568" s="30"/>
      <c r="H2568" s="81"/>
      <c r="I2568" s="30"/>
      <c r="J2568" s="16"/>
      <c r="K2568" s="9"/>
      <c r="L2568" s="9"/>
      <c r="M2568" s="152"/>
      <c r="N2568" s="153"/>
      <c r="O2568" s="152"/>
      <c r="P2568" s="154"/>
      <c r="Q2568" s="152"/>
      <c r="R2568" s="9"/>
      <c r="Z2568" s="21"/>
      <c r="AA2568" s="162">
        <f>+$AD$5-Tabla2[[#This Row],[FECHA DE FACTURACIÓN]]</f>
        <v>45443</v>
      </c>
      <c r="AB2568" s="163" t="str">
        <f>+IF(Tabla2[[#This Row],[dias de credito]]&gt;=Tabla2[[#This Row],[PLAZO Días]],"venc", "No venc")</f>
        <v>venc</v>
      </c>
      <c r="AC2568" s="163" t="str">
        <f>+IF(Tabla2[[#This Row],[FECHA DE PAGO]]&gt;0,"pagada","por pagar")</f>
        <v>por pagar</v>
      </c>
      <c r="AD2568" s="164" t="str">
        <f>+IF(AND(Tabla2[[#This Row],[venc]]="venc",Tabla2[[#This Row],[estado pago]]="por pagar"),"vencida","no")</f>
        <v>vencida</v>
      </c>
    </row>
    <row r="2569" spans="1:30" ht="19.5" hidden="1" customHeight="1" x14ac:dyDescent="0.25">
      <c r="A2569" s="8"/>
      <c r="B2569" s="8"/>
      <c r="C2569" s="8"/>
      <c r="D2569" s="151"/>
      <c r="E2569" s="151"/>
      <c r="F2569" s="24"/>
      <c r="G2569" s="30"/>
      <c r="H2569" s="81"/>
      <c r="I2569" s="30"/>
      <c r="J2569" s="16"/>
      <c r="K2569" s="9"/>
      <c r="L2569" s="9"/>
      <c r="M2569" s="152"/>
      <c r="N2569" s="153"/>
      <c r="O2569" s="152"/>
      <c r="P2569" s="154"/>
      <c r="Q2569" s="152"/>
      <c r="R2569" s="9"/>
      <c r="Z2569" s="21"/>
      <c r="AA2569" s="162">
        <f>+$AD$5-Tabla2[[#This Row],[FECHA DE FACTURACIÓN]]</f>
        <v>45443</v>
      </c>
      <c r="AB2569" s="163" t="str">
        <f>+IF(Tabla2[[#This Row],[dias de credito]]&gt;=Tabla2[[#This Row],[PLAZO Días]],"venc", "No venc")</f>
        <v>venc</v>
      </c>
      <c r="AC2569" s="163" t="str">
        <f>+IF(Tabla2[[#This Row],[FECHA DE PAGO]]&gt;0,"pagada","por pagar")</f>
        <v>por pagar</v>
      </c>
      <c r="AD2569" s="164" t="str">
        <f>+IF(AND(Tabla2[[#This Row],[venc]]="venc",Tabla2[[#This Row],[estado pago]]="por pagar"),"vencida","no")</f>
        <v>vencida</v>
      </c>
    </row>
    <row r="2570" spans="1:30" ht="19.5" hidden="1" customHeight="1" x14ac:dyDescent="0.25">
      <c r="A2570" s="8"/>
      <c r="B2570" s="8"/>
      <c r="C2570" s="8"/>
      <c r="D2570" s="151"/>
      <c r="E2570" s="151"/>
      <c r="F2570" s="24"/>
      <c r="G2570" s="30"/>
      <c r="H2570" s="81"/>
      <c r="I2570" s="30"/>
      <c r="J2570" s="16"/>
      <c r="K2570" s="9"/>
      <c r="L2570" s="9"/>
      <c r="M2570" s="152"/>
      <c r="N2570" s="153"/>
      <c r="O2570" s="152"/>
      <c r="P2570" s="154"/>
      <c r="Q2570" s="152"/>
      <c r="R2570" s="9"/>
      <c r="Z2570" s="21"/>
      <c r="AA2570" s="162">
        <f>+$AD$5-Tabla2[[#This Row],[FECHA DE FACTURACIÓN]]</f>
        <v>45443</v>
      </c>
      <c r="AB2570" s="163" t="str">
        <f>+IF(Tabla2[[#This Row],[dias de credito]]&gt;=Tabla2[[#This Row],[PLAZO Días]],"venc", "No venc")</f>
        <v>venc</v>
      </c>
      <c r="AC2570" s="163" t="str">
        <f>+IF(Tabla2[[#This Row],[FECHA DE PAGO]]&gt;0,"pagada","por pagar")</f>
        <v>por pagar</v>
      </c>
      <c r="AD2570" s="164" t="str">
        <f>+IF(AND(Tabla2[[#This Row],[venc]]="venc",Tabla2[[#This Row],[estado pago]]="por pagar"),"vencida","no")</f>
        <v>vencida</v>
      </c>
    </row>
    <row r="2571" spans="1:30" ht="19.5" hidden="1" customHeight="1" x14ac:dyDescent="0.25">
      <c r="A2571" s="8"/>
      <c r="B2571" s="8"/>
      <c r="C2571" s="8"/>
      <c r="D2571" s="151"/>
      <c r="E2571" s="151"/>
      <c r="F2571" s="24"/>
      <c r="G2571" s="30"/>
      <c r="H2571" s="81"/>
      <c r="I2571" s="30"/>
      <c r="J2571" s="16"/>
      <c r="K2571" s="9"/>
      <c r="L2571" s="9"/>
      <c r="M2571" s="152"/>
      <c r="N2571" s="153"/>
      <c r="O2571" s="152"/>
      <c r="P2571" s="154"/>
      <c r="Q2571" s="152"/>
      <c r="R2571" s="9"/>
      <c r="Z2571" s="21"/>
      <c r="AA2571" s="162">
        <f>+$AD$5-Tabla2[[#This Row],[FECHA DE FACTURACIÓN]]</f>
        <v>45443</v>
      </c>
      <c r="AB2571" s="163" t="str">
        <f>+IF(Tabla2[[#This Row],[dias de credito]]&gt;=Tabla2[[#This Row],[PLAZO Días]],"venc", "No venc")</f>
        <v>venc</v>
      </c>
      <c r="AC2571" s="163" t="str">
        <f>+IF(Tabla2[[#This Row],[FECHA DE PAGO]]&gt;0,"pagada","por pagar")</f>
        <v>por pagar</v>
      </c>
      <c r="AD2571" s="164" t="str">
        <f>+IF(AND(Tabla2[[#This Row],[venc]]="venc",Tabla2[[#This Row],[estado pago]]="por pagar"),"vencida","no")</f>
        <v>vencida</v>
      </c>
    </row>
    <row r="2572" spans="1:30" ht="19.5" hidden="1" customHeight="1" x14ac:dyDescent="0.25">
      <c r="A2572" s="8"/>
      <c r="B2572" s="8"/>
      <c r="C2572" s="8"/>
      <c r="D2572" s="151"/>
      <c r="E2572" s="151"/>
      <c r="F2572" s="24"/>
      <c r="G2572" s="30"/>
      <c r="H2572" s="81"/>
      <c r="I2572" s="30"/>
      <c r="J2572" s="16"/>
      <c r="K2572" s="9"/>
      <c r="L2572" s="9"/>
      <c r="M2572" s="152"/>
      <c r="N2572" s="153"/>
      <c r="O2572" s="152"/>
      <c r="P2572" s="154"/>
      <c r="Q2572" s="152"/>
      <c r="R2572" s="9"/>
      <c r="Z2572" s="21"/>
      <c r="AA2572" s="162">
        <f>+$AD$5-Tabla2[[#This Row],[FECHA DE FACTURACIÓN]]</f>
        <v>45443</v>
      </c>
      <c r="AB2572" s="163" t="str">
        <f>+IF(Tabla2[[#This Row],[dias de credito]]&gt;=Tabla2[[#This Row],[PLAZO Días]],"venc", "No venc")</f>
        <v>venc</v>
      </c>
      <c r="AC2572" s="163" t="str">
        <f>+IF(Tabla2[[#This Row],[FECHA DE PAGO]]&gt;0,"pagada","por pagar")</f>
        <v>por pagar</v>
      </c>
      <c r="AD2572" s="164" t="str">
        <f>+IF(AND(Tabla2[[#This Row],[venc]]="venc",Tabla2[[#This Row],[estado pago]]="por pagar"),"vencida","no")</f>
        <v>vencida</v>
      </c>
    </row>
    <row r="2573" spans="1:30" ht="19.5" hidden="1" customHeight="1" x14ac:dyDescent="0.25">
      <c r="A2573" s="8"/>
      <c r="B2573" s="8"/>
      <c r="C2573" s="8"/>
      <c r="D2573" s="151"/>
      <c r="E2573" s="151"/>
      <c r="F2573" s="24"/>
      <c r="G2573" s="30"/>
      <c r="H2573" s="81"/>
      <c r="I2573" s="30"/>
      <c r="J2573" s="16"/>
      <c r="K2573" s="9"/>
      <c r="L2573" s="9"/>
      <c r="M2573" s="152"/>
      <c r="N2573" s="153"/>
      <c r="O2573" s="152"/>
      <c r="P2573" s="154"/>
      <c r="Q2573" s="152"/>
      <c r="R2573" s="9"/>
      <c r="Z2573" s="21"/>
      <c r="AA2573" s="162">
        <f>+$AD$5-Tabla2[[#This Row],[FECHA DE FACTURACIÓN]]</f>
        <v>45443</v>
      </c>
      <c r="AB2573" s="163" t="str">
        <f>+IF(Tabla2[[#This Row],[dias de credito]]&gt;=Tabla2[[#This Row],[PLAZO Días]],"venc", "No venc")</f>
        <v>venc</v>
      </c>
      <c r="AC2573" s="163" t="str">
        <f>+IF(Tabla2[[#This Row],[FECHA DE PAGO]]&gt;0,"pagada","por pagar")</f>
        <v>por pagar</v>
      </c>
      <c r="AD2573" s="164" t="str">
        <f>+IF(AND(Tabla2[[#This Row],[venc]]="venc",Tabla2[[#This Row],[estado pago]]="por pagar"),"vencida","no")</f>
        <v>vencida</v>
      </c>
    </row>
    <row r="2574" spans="1:30" ht="19.5" hidden="1" customHeight="1" x14ac:dyDescent="0.25">
      <c r="A2574" s="8"/>
      <c r="B2574" s="8"/>
      <c r="C2574" s="8"/>
      <c r="D2574" s="151"/>
      <c r="E2574" s="151"/>
      <c r="F2574" s="24"/>
      <c r="G2574" s="30"/>
      <c r="H2574" s="81"/>
      <c r="I2574" s="30"/>
      <c r="J2574" s="16"/>
      <c r="K2574" s="9"/>
      <c r="L2574" s="9"/>
      <c r="M2574" s="152"/>
      <c r="N2574" s="153"/>
      <c r="O2574" s="152"/>
      <c r="P2574" s="154"/>
      <c r="Q2574" s="152"/>
      <c r="R2574" s="9"/>
      <c r="Z2574" s="21"/>
      <c r="AA2574" s="162">
        <f>+$AD$5-Tabla2[[#This Row],[FECHA DE FACTURACIÓN]]</f>
        <v>45443</v>
      </c>
      <c r="AB2574" s="163" t="str">
        <f>+IF(Tabla2[[#This Row],[dias de credito]]&gt;=Tabla2[[#This Row],[PLAZO Días]],"venc", "No venc")</f>
        <v>venc</v>
      </c>
      <c r="AC2574" s="163" t="str">
        <f>+IF(Tabla2[[#This Row],[FECHA DE PAGO]]&gt;0,"pagada","por pagar")</f>
        <v>por pagar</v>
      </c>
      <c r="AD2574" s="164" t="str">
        <f>+IF(AND(Tabla2[[#This Row],[venc]]="venc",Tabla2[[#This Row],[estado pago]]="por pagar"),"vencida","no")</f>
        <v>vencida</v>
      </c>
    </row>
    <row r="2575" spans="1:30" ht="19.5" hidden="1" customHeight="1" x14ac:dyDescent="0.25">
      <c r="A2575" s="8"/>
      <c r="B2575" s="8"/>
      <c r="C2575" s="8"/>
      <c r="D2575" s="151"/>
      <c r="E2575" s="151"/>
      <c r="F2575" s="24"/>
      <c r="G2575" s="30"/>
      <c r="H2575" s="81"/>
      <c r="I2575" s="30"/>
      <c r="J2575" s="16"/>
      <c r="K2575" s="9"/>
      <c r="L2575" s="9"/>
      <c r="M2575" s="152"/>
      <c r="N2575" s="153"/>
      <c r="O2575" s="152"/>
      <c r="P2575" s="154"/>
      <c r="Q2575" s="152"/>
      <c r="R2575" s="9"/>
      <c r="Z2575" s="21"/>
      <c r="AA2575" s="162">
        <f>+$AD$5-Tabla2[[#This Row],[FECHA DE FACTURACIÓN]]</f>
        <v>45443</v>
      </c>
      <c r="AB2575" s="163" t="str">
        <f>+IF(Tabla2[[#This Row],[dias de credito]]&gt;=Tabla2[[#This Row],[PLAZO Días]],"venc", "No venc")</f>
        <v>venc</v>
      </c>
      <c r="AC2575" s="163" t="str">
        <f>+IF(Tabla2[[#This Row],[FECHA DE PAGO]]&gt;0,"pagada","por pagar")</f>
        <v>por pagar</v>
      </c>
      <c r="AD2575" s="164" t="str">
        <f>+IF(AND(Tabla2[[#This Row],[venc]]="venc",Tabla2[[#This Row],[estado pago]]="por pagar"),"vencida","no")</f>
        <v>vencida</v>
      </c>
    </row>
    <row r="2576" spans="1:30" ht="19.5" hidden="1" customHeight="1" x14ac:dyDescent="0.25">
      <c r="A2576" s="8"/>
      <c r="B2576" s="8"/>
      <c r="C2576" s="8"/>
      <c r="D2576" s="151"/>
      <c r="E2576" s="151"/>
      <c r="F2576" s="24"/>
      <c r="G2576" s="30"/>
      <c r="H2576" s="81"/>
      <c r="I2576" s="30"/>
      <c r="J2576" s="16"/>
      <c r="K2576" s="9"/>
      <c r="L2576" s="9"/>
      <c r="M2576" s="152"/>
      <c r="N2576" s="153"/>
      <c r="O2576" s="152"/>
      <c r="P2576" s="154"/>
      <c r="Q2576" s="152"/>
      <c r="R2576" s="9"/>
      <c r="Z2576" s="21"/>
      <c r="AA2576" s="162">
        <f>+$AD$5-Tabla2[[#This Row],[FECHA DE FACTURACIÓN]]</f>
        <v>45443</v>
      </c>
      <c r="AB2576" s="163" t="str">
        <f>+IF(Tabla2[[#This Row],[dias de credito]]&gt;=Tabla2[[#This Row],[PLAZO Días]],"venc", "No venc")</f>
        <v>venc</v>
      </c>
      <c r="AC2576" s="163" t="str">
        <f>+IF(Tabla2[[#This Row],[FECHA DE PAGO]]&gt;0,"pagada","por pagar")</f>
        <v>por pagar</v>
      </c>
      <c r="AD2576" s="164" t="str">
        <f>+IF(AND(Tabla2[[#This Row],[venc]]="venc",Tabla2[[#This Row],[estado pago]]="por pagar"),"vencida","no")</f>
        <v>vencida</v>
      </c>
    </row>
    <row r="2577" spans="1:30" ht="19.5" hidden="1" customHeight="1" x14ac:dyDescent="0.25">
      <c r="A2577" s="8"/>
      <c r="B2577" s="8"/>
      <c r="C2577" s="8"/>
      <c r="D2577" s="151"/>
      <c r="E2577" s="151"/>
      <c r="F2577" s="24"/>
      <c r="G2577" s="30"/>
      <c r="H2577" s="81"/>
      <c r="I2577" s="30"/>
      <c r="J2577" s="16"/>
      <c r="K2577" s="9"/>
      <c r="L2577" s="9"/>
      <c r="M2577" s="152"/>
      <c r="N2577" s="153"/>
      <c r="O2577" s="152"/>
      <c r="P2577" s="154"/>
      <c r="Q2577" s="152"/>
      <c r="R2577" s="9"/>
      <c r="Z2577" s="21"/>
      <c r="AA2577" s="162">
        <f>+$AD$5-Tabla2[[#This Row],[FECHA DE FACTURACIÓN]]</f>
        <v>45443</v>
      </c>
      <c r="AB2577" s="163" t="str">
        <f>+IF(Tabla2[[#This Row],[dias de credito]]&gt;=Tabla2[[#This Row],[PLAZO Días]],"venc", "No venc")</f>
        <v>venc</v>
      </c>
      <c r="AC2577" s="163" t="str">
        <f>+IF(Tabla2[[#This Row],[FECHA DE PAGO]]&gt;0,"pagada","por pagar")</f>
        <v>por pagar</v>
      </c>
      <c r="AD2577" s="164" t="str">
        <f>+IF(AND(Tabla2[[#This Row],[venc]]="venc",Tabla2[[#This Row],[estado pago]]="por pagar"),"vencida","no")</f>
        <v>vencida</v>
      </c>
    </row>
    <row r="2578" spans="1:30" ht="19.5" hidden="1" customHeight="1" x14ac:dyDescent="0.25">
      <c r="A2578" s="8"/>
      <c r="B2578" s="8"/>
      <c r="C2578" s="8"/>
      <c r="D2578" s="151"/>
      <c r="E2578" s="151"/>
      <c r="F2578" s="24"/>
      <c r="G2578" s="30"/>
      <c r="H2578" s="81"/>
      <c r="I2578" s="30"/>
      <c r="J2578" s="16"/>
      <c r="K2578" s="9"/>
      <c r="L2578" s="9"/>
      <c r="M2578" s="152"/>
      <c r="N2578" s="153"/>
      <c r="O2578" s="152"/>
      <c r="P2578" s="154"/>
      <c r="Q2578" s="152"/>
      <c r="R2578" s="9"/>
      <c r="Z2578" s="21"/>
      <c r="AA2578" s="162">
        <f>+$AD$5-Tabla2[[#This Row],[FECHA DE FACTURACIÓN]]</f>
        <v>45443</v>
      </c>
      <c r="AB2578" s="163" t="str">
        <f>+IF(Tabla2[[#This Row],[dias de credito]]&gt;=Tabla2[[#This Row],[PLAZO Días]],"venc", "No venc")</f>
        <v>venc</v>
      </c>
      <c r="AC2578" s="163" t="str">
        <f>+IF(Tabla2[[#This Row],[FECHA DE PAGO]]&gt;0,"pagada","por pagar")</f>
        <v>por pagar</v>
      </c>
      <c r="AD2578" s="164" t="str">
        <f>+IF(AND(Tabla2[[#This Row],[venc]]="venc",Tabla2[[#This Row],[estado pago]]="por pagar"),"vencida","no")</f>
        <v>vencida</v>
      </c>
    </row>
    <row r="2579" spans="1:30" ht="19.5" hidden="1" customHeight="1" x14ac:dyDescent="0.25">
      <c r="A2579" s="8"/>
      <c r="B2579" s="8"/>
      <c r="C2579" s="8"/>
      <c r="D2579" s="151"/>
      <c r="E2579" s="151"/>
      <c r="F2579" s="24"/>
      <c r="G2579" s="30"/>
      <c r="H2579" s="81"/>
      <c r="I2579" s="30"/>
      <c r="J2579" s="16"/>
      <c r="K2579" s="9"/>
      <c r="L2579" s="9"/>
      <c r="M2579" s="152"/>
      <c r="N2579" s="153"/>
      <c r="O2579" s="152"/>
      <c r="P2579" s="154"/>
      <c r="Q2579" s="152"/>
      <c r="R2579" s="9"/>
      <c r="Z2579" s="21"/>
      <c r="AA2579" s="162">
        <f>+$AD$5-Tabla2[[#This Row],[FECHA DE FACTURACIÓN]]</f>
        <v>45443</v>
      </c>
      <c r="AB2579" s="163" t="str">
        <f>+IF(Tabla2[[#This Row],[dias de credito]]&gt;=Tabla2[[#This Row],[PLAZO Días]],"venc", "No venc")</f>
        <v>venc</v>
      </c>
      <c r="AC2579" s="163" t="str">
        <f>+IF(Tabla2[[#This Row],[FECHA DE PAGO]]&gt;0,"pagada","por pagar")</f>
        <v>por pagar</v>
      </c>
      <c r="AD2579" s="164" t="str">
        <f>+IF(AND(Tabla2[[#This Row],[venc]]="venc",Tabla2[[#This Row],[estado pago]]="por pagar"),"vencida","no")</f>
        <v>vencida</v>
      </c>
    </row>
    <row r="2580" spans="1:30" ht="19.5" hidden="1" customHeight="1" x14ac:dyDescent="0.25">
      <c r="A2580" s="8"/>
      <c r="B2580" s="8"/>
      <c r="C2580" s="8"/>
      <c r="D2580" s="151"/>
      <c r="E2580" s="151"/>
      <c r="F2580" s="24"/>
      <c r="G2580" s="30"/>
      <c r="H2580" s="81"/>
      <c r="I2580" s="30"/>
      <c r="J2580" s="16"/>
      <c r="K2580" s="9"/>
      <c r="L2580" s="9"/>
      <c r="M2580" s="152"/>
      <c r="N2580" s="153"/>
      <c r="O2580" s="152"/>
      <c r="P2580" s="154"/>
      <c r="Q2580" s="152"/>
      <c r="R2580" s="9"/>
      <c r="Z2580" s="21"/>
      <c r="AA2580" s="162">
        <f>+$AD$5-Tabla2[[#This Row],[FECHA DE FACTURACIÓN]]</f>
        <v>45443</v>
      </c>
      <c r="AB2580" s="163" t="str">
        <f>+IF(Tabla2[[#This Row],[dias de credito]]&gt;=Tabla2[[#This Row],[PLAZO Días]],"venc", "No venc")</f>
        <v>venc</v>
      </c>
      <c r="AC2580" s="163" t="str">
        <f>+IF(Tabla2[[#This Row],[FECHA DE PAGO]]&gt;0,"pagada","por pagar")</f>
        <v>por pagar</v>
      </c>
      <c r="AD2580" s="164" t="str">
        <f>+IF(AND(Tabla2[[#This Row],[venc]]="venc",Tabla2[[#This Row],[estado pago]]="por pagar"),"vencida","no")</f>
        <v>vencida</v>
      </c>
    </row>
    <row r="2581" spans="1:30" ht="19.5" hidden="1" customHeight="1" x14ac:dyDescent="0.25">
      <c r="A2581" s="8"/>
      <c r="B2581" s="8"/>
      <c r="C2581" s="8"/>
      <c r="D2581" s="151"/>
      <c r="E2581" s="151"/>
      <c r="F2581" s="24"/>
      <c r="G2581" s="30"/>
      <c r="H2581" s="81"/>
      <c r="I2581" s="30"/>
      <c r="J2581" s="16"/>
      <c r="K2581" s="9"/>
      <c r="L2581" s="9"/>
      <c r="M2581" s="152"/>
      <c r="N2581" s="153"/>
      <c r="O2581" s="152"/>
      <c r="P2581" s="154"/>
      <c r="Q2581" s="152"/>
      <c r="R2581" s="9"/>
      <c r="Z2581" s="21"/>
      <c r="AA2581" s="162">
        <f>+$AD$5-Tabla2[[#This Row],[FECHA DE FACTURACIÓN]]</f>
        <v>45443</v>
      </c>
      <c r="AB2581" s="163" t="str">
        <f>+IF(Tabla2[[#This Row],[dias de credito]]&gt;=Tabla2[[#This Row],[PLAZO Días]],"venc", "No venc")</f>
        <v>venc</v>
      </c>
      <c r="AC2581" s="163" t="str">
        <f>+IF(Tabla2[[#This Row],[FECHA DE PAGO]]&gt;0,"pagada","por pagar")</f>
        <v>por pagar</v>
      </c>
      <c r="AD2581" s="164" t="str">
        <f>+IF(AND(Tabla2[[#This Row],[venc]]="venc",Tabla2[[#This Row],[estado pago]]="por pagar"),"vencida","no")</f>
        <v>vencida</v>
      </c>
    </row>
    <row r="2582" spans="1:30" ht="19.5" hidden="1" customHeight="1" x14ac:dyDescent="0.25">
      <c r="A2582" s="8"/>
      <c r="B2582" s="8"/>
      <c r="C2582" s="8"/>
      <c r="D2582" s="151"/>
      <c r="E2582" s="151"/>
      <c r="F2582" s="24"/>
      <c r="G2582" s="30"/>
      <c r="H2582" s="81"/>
      <c r="I2582" s="30"/>
      <c r="J2582" s="16"/>
      <c r="K2582" s="9"/>
      <c r="L2582" s="9"/>
      <c r="M2582" s="152"/>
      <c r="N2582" s="153"/>
      <c r="O2582" s="152"/>
      <c r="P2582" s="154"/>
      <c r="Q2582" s="152"/>
      <c r="R2582" s="9"/>
      <c r="Z2582" s="21"/>
      <c r="AA2582" s="162">
        <f>+$AD$5-Tabla2[[#This Row],[FECHA DE FACTURACIÓN]]</f>
        <v>45443</v>
      </c>
      <c r="AB2582" s="163" t="str">
        <f>+IF(Tabla2[[#This Row],[dias de credito]]&gt;=Tabla2[[#This Row],[PLAZO Días]],"venc", "No venc")</f>
        <v>venc</v>
      </c>
      <c r="AC2582" s="163" t="str">
        <f>+IF(Tabla2[[#This Row],[FECHA DE PAGO]]&gt;0,"pagada","por pagar")</f>
        <v>por pagar</v>
      </c>
      <c r="AD2582" s="164" t="str">
        <f>+IF(AND(Tabla2[[#This Row],[venc]]="venc",Tabla2[[#This Row],[estado pago]]="por pagar"),"vencida","no")</f>
        <v>vencida</v>
      </c>
    </row>
    <row r="2583" spans="1:30" ht="19.5" hidden="1" customHeight="1" x14ac:dyDescent="0.25">
      <c r="A2583" s="8"/>
      <c r="B2583" s="8"/>
      <c r="C2583" s="8"/>
      <c r="D2583" s="151"/>
      <c r="E2583" s="151"/>
      <c r="F2583" s="24"/>
      <c r="G2583" s="30"/>
      <c r="H2583" s="81"/>
      <c r="I2583" s="30"/>
      <c r="J2583" s="16"/>
      <c r="K2583" s="9"/>
      <c r="L2583" s="9"/>
      <c r="M2583" s="152"/>
      <c r="N2583" s="153"/>
      <c r="O2583" s="152"/>
      <c r="P2583" s="154"/>
      <c r="Q2583" s="152"/>
      <c r="R2583" s="9"/>
      <c r="Z2583" s="21"/>
      <c r="AA2583" s="162">
        <f>+$AD$5-Tabla2[[#This Row],[FECHA DE FACTURACIÓN]]</f>
        <v>45443</v>
      </c>
      <c r="AB2583" s="163" t="str">
        <f>+IF(Tabla2[[#This Row],[dias de credito]]&gt;=Tabla2[[#This Row],[PLAZO Días]],"venc", "No venc")</f>
        <v>venc</v>
      </c>
      <c r="AC2583" s="163" t="str">
        <f>+IF(Tabla2[[#This Row],[FECHA DE PAGO]]&gt;0,"pagada","por pagar")</f>
        <v>por pagar</v>
      </c>
      <c r="AD2583" s="164" t="str">
        <f>+IF(AND(Tabla2[[#This Row],[venc]]="venc",Tabla2[[#This Row],[estado pago]]="por pagar"),"vencida","no")</f>
        <v>vencida</v>
      </c>
    </row>
    <row r="2584" spans="1:30" ht="19.5" hidden="1" customHeight="1" x14ac:dyDescent="0.25">
      <c r="A2584" s="8"/>
      <c r="B2584" s="8"/>
      <c r="C2584" s="8"/>
      <c r="D2584" s="151"/>
      <c r="E2584" s="151"/>
      <c r="F2584" s="24"/>
      <c r="G2584" s="30"/>
      <c r="H2584" s="81"/>
      <c r="I2584" s="30"/>
      <c r="J2584" s="16"/>
      <c r="K2584" s="9"/>
      <c r="L2584" s="9"/>
      <c r="M2584" s="152"/>
      <c r="N2584" s="153"/>
      <c r="O2584" s="152"/>
      <c r="P2584" s="154"/>
      <c r="Q2584" s="152"/>
      <c r="R2584" s="9"/>
      <c r="Z2584" s="21"/>
      <c r="AA2584" s="162">
        <f>+$AD$5-Tabla2[[#This Row],[FECHA DE FACTURACIÓN]]</f>
        <v>45443</v>
      </c>
      <c r="AB2584" s="163" t="str">
        <f>+IF(Tabla2[[#This Row],[dias de credito]]&gt;=Tabla2[[#This Row],[PLAZO Días]],"venc", "No venc")</f>
        <v>venc</v>
      </c>
      <c r="AC2584" s="163" t="str">
        <f>+IF(Tabla2[[#This Row],[FECHA DE PAGO]]&gt;0,"pagada","por pagar")</f>
        <v>por pagar</v>
      </c>
      <c r="AD2584" s="164" t="str">
        <f>+IF(AND(Tabla2[[#This Row],[venc]]="venc",Tabla2[[#This Row],[estado pago]]="por pagar"),"vencida","no")</f>
        <v>vencida</v>
      </c>
    </row>
    <row r="2585" spans="1:30" ht="19.5" hidden="1" customHeight="1" x14ac:dyDescent="0.25">
      <c r="A2585" s="8"/>
      <c r="B2585" s="8"/>
      <c r="C2585" s="8"/>
      <c r="D2585" s="151"/>
      <c r="E2585" s="151"/>
      <c r="F2585" s="24"/>
      <c r="G2585" s="30"/>
      <c r="H2585" s="81"/>
      <c r="I2585" s="30"/>
      <c r="J2585" s="16"/>
      <c r="K2585" s="9"/>
      <c r="L2585" s="9"/>
      <c r="M2585" s="152"/>
      <c r="N2585" s="153"/>
      <c r="O2585" s="152"/>
      <c r="P2585" s="154"/>
      <c r="Q2585" s="152"/>
      <c r="R2585" s="9"/>
      <c r="Z2585" s="21"/>
      <c r="AA2585" s="162">
        <f>+$AD$5-Tabla2[[#This Row],[FECHA DE FACTURACIÓN]]</f>
        <v>45443</v>
      </c>
      <c r="AB2585" s="163" t="str">
        <f>+IF(Tabla2[[#This Row],[dias de credito]]&gt;=Tabla2[[#This Row],[PLAZO Días]],"venc", "No venc")</f>
        <v>venc</v>
      </c>
      <c r="AC2585" s="163" t="str">
        <f>+IF(Tabla2[[#This Row],[FECHA DE PAGO]]&gt;0,"pagada","por pagar")</f>
        <v>por pagar</v>
      </c>
      <c r="AD2585" s="164" t="str">
        <f>+IF(AND(Tabla2[[#This Row],[venc]]="venc",Tabla2[[#This Row],[estado pago]]="por pagar"),"vencida","no")</f>
        <v>vencida</v>
      </c>
    </row>
    <row r="2586" spans="1:30" ht="19.5" hidden="1" customHeight="1" x14ac:dyDescent="0.25">
      <c r="A2586" s="8"/>
      <c r="B2586" s="8"/>
      <c r="C2586" s="8"/>
      <c r="D2586" s="151"/>
      <c r="E2586" s="151"/>
      <c r="F2586" s="24"/>
      <c r="G2586" s="30"/>
      <c r="H2586" s="81"/>
      <c r="I2586" s="30"/>
      <c r="J2586" s="16"/>
      <c r="K2586" s="9"/>
      <c r="L2586" s="9"/>
      <c r="M2586" s="152"/>
      <c r="N2586" s="153"/>
      <c r="O2586" s="152"/>
      <c r="P2586" s="154"/>
      <c r="Q2586" s="152"/>
      <c r="R2586" s="9"/>
      <c r="Z2586" s="21"/>
      <c r="AA2586" s="162">
        <f>+$AD$5-Tabla2[[#This Row],[FECHA DE FACTURACIÓN]]</f>
        <v>45443</v>
      </c>
      <c r="AB2586" s="163" t="str">
        <f>+IF(Tabla2[[#This Row],[dias de credito]]&gt;=Tabla2[[#This Row],[PLAZO Días]],"venc", "No venc")</f>
        <v>venc</v>
      </c>
      <c r="AC2586" s="163" t="str">
        <f>+IF(Tabla2[[#This Row],[FECHA DE PAGO]]&gt;0,"pagada","por pagar")</f>
        <v>por pagar</v>
      </c>
      <c r="AD2586" s="164" t="str">
        <f>+IF(AND(Tabla2[[#This Row],[venc]]="venc",Tabla2[[#This Row],[estado pago]]="por pagar"),"vencida","no")</f>
        <v>vencida</v>
      </c>
    </row>
    <row r="2587" spans="1:30" ht="19.5" hidden="1" customHeight="1" x14ac:dyDescent="0.25">
      <c r="A2587" s="8"/>
      <c r="B2587" s="8"/>
      <c r="C2587" s="8"/>
      <c r="D2587" s="151"/>
      <c r="E2587" s="151"/>
      <c r="F2587" s="24"/>
      <c r="G2587" s="30"/>
      <c r="H2587" s="81"/>
      <c r="I2587" s="30"/>
      <c r="J2587" s="16"/>
      <c r="K2587" s="9"/>
      <c r="L2587" s="9"/>
      <c r="M2587" s="152"/>
      <c r="N2587" s="153"/>
      <c r="O2587" s="152"/>
      <c r="P2587" s="154"/>
      <c r="Q2587" s="152"/>
      <c r="R2587" s="9"/>
      <c r="Z2587" s="21"/>
      <c r="AA2587" s="162">
        <f>+$AD$5-Tabla2[[#This Row],[FECHA DE FACTURACIÓN]]</f>
        <v>45443</v>
      </c>
      <c r="AB2587" s="163" t="str">
        <f>+IF(Tabla2[[#This Row],[dias de credito]]&gt;=Tabla2[[#This Row],[PLAZO Días]],"venc", "No venc")</f>
        <v>venc</v>
      </c>
      <c r="AC2587" s="163" t="str">
        <f>+IF(Tabla2[[#This Row],[FECHA DE PAGO]]&gt;0,"pagada","por pagar")</f>
        <v>por pagar</v>
      </c>
      <c r="AD2587" s="164" t="str">
        <f>+IF(AND(Tabla2[[#This Row],[venc]]="venc",Tabla2[[#This Row],[estado pago]]="por pagar"),"vencida","no")</f>
        <v>vencida</v>
      </c>
    </row>
    <row r="2588" spans="1:30" ht="19.5" hidden="1" customHeight="1" x14ac:dyDescent="0.25">
      <c r="A2588" s="8"/>
      <c r="B2588" s="8"/>
      <c r="C2588" s="8"/>
      <c r="D2588" s="151"/>
      <c r="E2588" s="151"/>
      <c r="F2588" s="24"/>
      <c r="G2588" s="30"/>
      <c r="H2588" s="81"/>
      <c r="I2588" s="30"/>
      <c r="J2588" s="16"/>
      <c r="K2588" s="9"/>
      <c r="L2588" s="9"/>
      <c r="M2588" s="152"/>
      <c r="N2588" s="153"/>
      <c r="O2588" s="152"/>
      <c r="P2588" s="154"/>
      <c r="Q2588" s="152"/>
      <c r="R2588" s="9"/>
      <c r="Z2588" s="21"/>
      <c r="AA2588" s="162">
        <f>+$AD$5-Tabla2[[#This Row],[FECHA DE FACTURACIÓN]]</f>
        <v>45443</v>
      </c>
      <c r="AB2588" s="163" t="str">
        <f>+IF(Tabla2[[#This Row],[dias de credito]]&gt;=Tabla2[[#This Row],[PLAZO Días]],"venc", "No venc")</f>
        <v>venc</v>
      </c>
      <c r="AC2588" s="163" t="str">
        <f>+IF(Tabla2[[#This Row],[FECHA DE PAGO]]&gt;0,"pagada","por pagar")</f>
        <v>por pagar</v>
      </c>
      <c r="AD2588" s="164" t="str">
        <f>+IF(AND(Tabla2[[#This Row],[venc]]="venc",Tabla2[[#This Row],[estado pago]]="por pagar"),"vencida","no")</f>
        <v>vencida</v>
      </c>
    </row>
    <row r="2589" spans="1:30" ht="19.5" hidden="1" customHeight="1" x14ac:dyDescent="0.25">
      <c r="A2589" s="8"/>
      <c r="B2589" s="8"/>
      <c r="C2589" s="8"/>
      <c r="D2589" s="151"/>
      <c r="E2589" s="151"/>
      <c r="F2589" s="24"/>
      <c r="G2589" s="30"/>
      <c r="H2589" s="81"/>
      <c r="I2589" s="30"/>
      <c r="J2589" s="16"/>
      <c r="K2589" s="9"/>
      <c r="L2589" s="9"/>
      <c r="M2589" s="152"/>
      <c r="N2589" s="153"/>
      <c r="O2589" s="152"/>
      <c r="P2589" s="154"/>
      <c r="Q2589" s="152"/>
      <c r="R2589" s="9"/>
      <c r="Z2589" s="21"/>
      <c r="AA2589" s="162">
        <f>+$AD$5-Tabla2[[#This Row],[FECHA DE FACTURACIÓN]]</f>
        <v>45443</v>
      </c>
      <c r="AB2589" s="163" t="str">
        <f>+IF(Tabla2[[#This Row],[dias de credito]]&gt;=Tabla2[[#This Row],[PLAZO Días]],"venc", "No venc")</f>
        <v>venc</v>
      </c>
      <c r="AC2589" s="163" t="str">
        <f>+IF(Tabla2[[#This Row],[FECHA DE PAGO]]&gt;0,"pagada","por pagar")</f>
        <v>por pagar</v>
      </c>
      <c r="AD2589" s="164" t="str">
        <f>+IF(AND(Tabla2[[#This Row],[venc]]="venc",Tabla2[[#This Row],[estado pago]]="por pagar"),"vencida","no")</f>
        <v>vencida</v>
      </c>
    </row>
    <row r="2590" spans="1:30" ht="19.5" hidden="1" customHeight="1" x14ac:dyDescent="0.25">
      <c r="A2590" s="8"/>
      <c r="B2590" s="8"/>
      <c r="C2590" s="8"/>
      <c r="D2590" s="151"/>
      <c r="E2590" s="151"/>
      <c r="F2590" s="24"/>
      <c r="G2590" s="30"/>
      <c r="H2590" s="81"/>
      <c r="I2590" s="30"/>
      <c r="J2590" s="16"/>
      <c r="K2590" s="9"/>
      <c r="L2590" s="9"/>
      <c r="M2590" s="152"/>
      <c r="N2590" s="153"/>
      <c r="O2590" s="152"/>
      <c r="P2590" s="154"/>
      <c r="Q2590" s="152"/>
      <c r="R2590" s="9"/>
      <c r="Z2590" s="21"/>
      <c r="AA2590" s="162">
        <f>+$AD$5-Tabla2[[#This Row],[FECHA DE FACTURACIÓN]]</f>
        <v>45443</v>
      </c>
      <c r="AB2590" s="163" t="str">
        <f>+IF(Tabla2[[#This Row],[dias de credito]]&gt;=Tabla2[[#This Row],[PLAZO Días]],"venc", "No venc")</f>
        <v>venc</v>
      </c>
      <c r="AC2590" s="163" t="str">
        <f>+IF(Tabla2[[#This Row],[FECHA DE PAGO]]&gt;0,"pagada","por pagar")</f>
        <v>por pagar</v>
      </c>
      <c r="AD2590" s="164" t="str">
        <f>+IF(AND(Tabla2[[#This Row],[venc]]="venc",Tabla2[[#This Row],[estado pago]]="por pagar"),"vencida","no")</f>
        <v>vencida</v>
      </c>
    </row>
    <row r="2591" spans="1:30" ht="19.5" hidden="1" customHeight="1" x14ac:dyDescent="0.25">
      <c r="A2591" s="8"/>
      <c r="B2591" s="8"/>
      <c r="C2591" s="8"/>
      <c r="D2591" s="151"/>
      <c r="E2591" s="151"/>
      <c r="F2591" s="24"/>
      <c r="G2591" s="30"/>
      <c r="H2591" s="81"/>
      <c r="I2591" s="30"/>
      <c r="J2591" s="16"/>
      <c r="K2591" s="9"/>
      <c r="L2591" s="9"/>
      <c r="M2591" s="152"/>
      <c r="N2591" s="153"/>
      <c r="O2591" s="152"/>
      <c r="P2591" s="154"/>
      <c r="Q2591" s="152"/>
      <c r="R2591" s="9"/>
      <c r="Z2591" s="21"/>
      <c r="AA2591" s="162">
        <f>+$AD$5-Tabla2[[#This Row],[FECHA DE FACTURACIÓN]]</f>
        <v>45443</v>
      </c>
      <c r="AB2591" s="163" t="str">
        <f>+IF(Tabla2[[#This Row],[dias de credito]]&gt;=Tabla2[[#This Row],[PLAZO Días]],"venc", "No venc")</f>
        <v>venc</v>
      </c>
      <c r="AC2591" s="163" t="str">
        <f>+IF(Tabla2[[#This Row],[FECHA DE PAGO]]&gt;0,"pagada","por pagar")</f>
        <v>por pagar</v>
      </c>
      <c r="AD2591" s="164" t="str">
        <f>+IF(AND(Tabla2[[#This Row],[venc]]="venc",Tabla2[[#This Row],[estado pago]]="por pagar"),"vencida","no")</f>
        <v>vencida</v>
      </c>
    </row>
    <row r="2592" spans="1:30" ht="19.5" hidden="1" customHeight="1" x14ac:dyDescent="0.25">
      <c r="A2592" s="8"/>
      <c r="B2592" s="8"/>
      <c r="C2592" s="8"/>
      <c r="D2592" s="151"/>
      <c r="E2592" s="151"/>
      <c r="F2592" s="24"/>
      <c r="G2592" s="30"/>
      <c r="H2592" s="81"/>
      <c r="I2592" s="30"/>
      <c r="J2592" s="16"/>
      <c r="K2592" s="9"/>
      <c r="L2592" s="9"/>
      <c r="M2592" s="152"/>
      <c r="N2592" s="153"/>
      <c r="O2592" s="152"/>
      <c r="P2592" s="154"/>
      <c r="Q2592" s="152"/>
      <c r="R2592" s="9"/>
      <c r="Z2592" s="21"/>
      <c r="AA2592" s="162">
        <f>+$AD$5-Tabla2[[#This Row],[FECHA DE FACTURACIÓN]]</f>
        <v>45443</v>
      </c>
      <c r="AB2592" s="163" t="str">
        <f>+IF(Tabla2[[#This Row],[dias de credito]]&gt;=Tabla2[[#This Row],[PLAZO Días]],"venc", "No venc")</f>
        <v>venc</v>
      </c>
      <c r="AC2592" s="163" t="str">
        <f>+IF(Tabla2[[#This Row],[FECHA DE PAGO]]&gt;0,"pagada","por pagar")</f>
        <v>por pagar</v>
      </c>
      <c r="AD2592" s="164" t="str">
        <f>+IF(AND(Tabla2[[#This Row],[venc]]="venc",Tabla2[[#This Row],[estado pago]]="por pagar"),"vencida","no")</f>
        <v>vencida</v>
      </c>
    </row>
    <row r="2593" spans="1:30" ht="19.5" hidden="1" customHeight="1" x14ac:dyDescent="0.25">
      <c r="A2593" s="8"/>
      <c r="B2593" s="8"/>
      <c r="C2593" s="8"/>
      <c r="D2593" s="151"/>
      <c r="E2593" s="151"/>
      <c r="F2593" s="24"/>
      <c r="G2593" s="30"/>
      <c r="H2593" s="81"/>
      <c r="I2593" s="30"/>
      <c r="J2593" s="16"/>
      <c r="K2593" s="9"/>
      <c r="L2593" s="9"/>
      <c r="M2593" s="152"/>
      <c r="N2593" s="153"/>
      <c r="O2593" s="152"/>
      <c r="P2593" s="154"/>
      <c r="Q2593" s="152"/>
      <c r="R2593" s="9"/>
      <c r="Z2593" s="21"/>
      <c r="AA2593" s="162">
        <f>+$AD$5-Tabla2[[#This Row],[FECHA DE FACTURACIÓN]]</f>
        <v>45443</v>
      </c>
      <c r="AB2593" s="163" t="str">
        <f>+IF(Tabla2[[#This Row],[dias de credito]]&gt;=Tabla2[[#This Row],[PLAZO Días]],"venc", "No venc")</f>
        <v>venc</v>
      </c>
      <c r="AC2593" s="163" t="str">
        <f>+IF(Tabla2[[#This Row],[FECHA DE PAGO]]&gt;0,"pagada","por pagar")</f>
        <v>por pagar</v>
      </c>
      <c r="AD2593" s="164" t="str">
        <f>+IF(AND(Tabla2[[#This Row],[venc]]="venc",Tabla2[[#This Row],[estado pago]]="por pagar"),"vencida","no")</f>
        <v>vencida</v>
      </c>
    </row>
    <row r="2594" spans="1:30" ht="19.5" hidden="1" customHeight="1" x14ac:dyDescent="0.25">
      <c r="A2594" s="8"/>
      <c r="B2594" s="8"/>
      <c r="C2594" s="8"/>
      <c r="D2594" s="151"/>
      <c r="E2594" s="151"/>
      <c r="F2594" s="24"/>
      <c r="G2594" s="30"/>
      <c r="H2594" s="81"/>
      <c r="I2594" s="30"/>
      <c r="J2594" s="16"/>
      <c r="K2594" s="9"/>
      <c r="L2594" s="9"/>
      <c r="M2594" s="152"/>
      <c r="N2594" s="153"/>
      <c r="O2594" s="152"/>
      <c r="P2594" s="154"/>
      <c r="Q2594" s="152"/>
      <c r="R2594" s="9"/>
      <c r="Z2594" s="21"/>
      <c r="AA2594" s="162">
        <f>+$AD$5-Tabla2[[#This Row],[FECHA DE FACTURACIÓN]]</f>
        <v>45443</v>
      </c>
      <c r="AB2594" s="163" t="str">
        <f>+IF(Tabla2[[#This Row],[dias de credito]]&gt;=Tabla2[[#This Row],[PLAZO Días]],"venc", "No venc")</f>
        <v>venc</v>
      </c>
      <c r="AC2594" s="163" t="str">
        <f>+IF(Tabla2[[#This Row],[FECHA DE PAGO]]&gt;0,"pagada","por pagar")</f>
        <v>por pagar</v>
      </c>
      <c r="AD2594" s="164" t="str">
        <f>+IF(AND(Tabla2[[#This Row],[venc]]="venc",Tabla2[[#This Row],[estado pago]]="por pagar"),"vencida","no")</f>
        <v>vencida</v>
      </c>
    </row>
    <row r="2595" spans="1:30" ht="19.5" hidden="1" customHeight="1" x14ac:dyDescent="0.25">
      <c r="A2595" s="8"/>
      <c r="B2595" s="8"/>
      <c r="C2595" s="8"/>
      <c r="D2595" s="151"/>
      <c r="E2595" s="151"/>
      <c r="F2595" s="24"/>
      <c r="G2595" s="30"/>
      <c r="H2595" s="81"/>
      <c r="I2595" s="30"/>
      <c r="J2595" s="16"/>
      <c r="K2595" s="9"/>
      <c r="L2595" s="9"/>
      <c r="M2595" s="152"/>
      <c r="N2595" s="153"/>
      <c r="O2595" s="152"/>
      <c r="P2595" s="154"/>
      <c r="Q2595" s="152"/>
      <c r="R2595" s="9"/>
      <c r="Z2595" s="21"/>
      <c r="AA2595" s="162">
        <f>+$AD$5-Tabla2[[#This Row],[FECHA DE FACTURACIÓN]]</f>
        <v>45443</v>
      </c>
      <c r="AB2595" s="163" t="str">
        <f>+IF(Tabla2[[#This Row],[dias de credito]]&gt;=Tabla2[[#This Row],[PLAZO Días]],"venc", "No venc")</f>
        <v>venc</v>
      </c>
      <c r="AC2595" s="163" t="str">
        <f>+IF(Tabla2[[#This Row],[FECHA DE PAGO]]&gt;0,"pagada","por pagar")</f>
        <v>por pagar</v>
      </c>
      <c r="AD2595" s="164" t="str">
        <f>+IF(AND(Tabla2[[#This Row],[venc]]="venc",Tabla2[[#This Row],[estado pago]]="por pagar"),"vencida","no")</f>
        <v>vencida</v>
      </c>
    </row>
    <row r="2596" spans="1:30" ht="19.5" hidden="1" customHeight="1" x14ac:dyDescent="0.25">
      <c r="A2596" s="8"/>
      <c r="B2596" s="8"/>
      <c r="C2596" s="8"/>
      <c r="D2596" s="151"/>
      <c r="E2596" s="151"/>
      <c r="F2596" s="24"/>
      <c r="G2596" s="30"/>
      <c r="H2596" s="81"/>
      <c r="I2596" s="30"/>
      <c r="J2596" s="16"/>
      <c r="K2596" s="9"/>
      <c r="L2596" s="9"/>
      <c r="M2596" s="152"/>
      <c r="N2596" s="153"/>
      <c r="O2596" s="152"/>
      <c r="P2596" s="154"/>
      <c r="Q2596" s="152"/>
      <c r="R2596" s="9"/>
      <c r="Z2596" s="21"/>
      <c r="AA2596" s="162">
        <f>+$AD$5-Tabla2[[#This Row],[FECHA DE FACTURACIÓN]]</f>
        <v>45443</v>
      </c>
      <c r="AB2596" s="163" t="str">
        <f>+IF(Tabla2[[#This Row],[dias de credito]]&gt;=Tabla2[[#This Row],[PLAZO Días]],"venc", "No venc")</f>
        <v>venc</v>
      </c>
      <c r="AC2596" s="163" t="str">
        <f>+IF(Tabla2[[#This Row],[FECHA DE PAGO]]&gt;0,"pagada","por pagar")</f>
        <v>por pagar</v>
      </c>
      <c r="AD2596" s="164" t="str">
        <f>+IF(AND(Tabla2[[#This Row],[venc]]="venc",Tabla2[[#This Row],[estado pago]]="por pagar"),"vencida","no")</f>
        <v>vencida</v>
      </c>
    </row>
    <row r="2597" spans="1:30" ht="19.5" hidden="1" customHeight="1" x14ac:dyDescent="0.25">
      <c r="A2597" s="8"/>
      <c r="B2597" s="8"/>
      <c r="C2597" s="8"/>
      <c r="D2597" s="151"/>
      <c r="E2597" s="151"/>
      <c r="F2597" s="24"/>
      <c r="G2597" s="30"/>
      <c r="H2597" s="81"/>
      <c r="I2597" s="30"/>
      <c r="J2597" s="16"/>
      <c r="K2597" s="9"/>
      <c r="L2597" s="9"/>
      <c r="M2597" s="152"/>
      <c r="N2597" s="153"/>
      <c r="O2597" s="152"/>
      <c r="P2597" s="154"/>
      <c r="Q2597" s="152"/>
      <c r="R2597" s="9"/>
      <c r="Z2597" s="21"/>
      <c r="AA2597" s="162">
        <f>+$AD$5-Tabla2[[#This Row],[FECHA DE FACTURACIÓN]]</f>
        <v>45443</v>
      </c>
      <c r="AB2597" s="163" t="str">
        <f>+IF(Tabla2[[#This Row],[dias de credito]]&gt;=Tabla2[[#This Row],[PLAZO Días]],"venc", "No venc")</f>
        <v>venc</v>
      </c>
      <c r="AC2597" s="163" t="str">
        <f>+IF(Tabla2[[#This Row],[FECHA DE PAGO]]&gt;0,"pagada","por pagar")</f>
        <v>por pagar</v>
      </c>
      <c r="AD2597" s="164" t="str">
        <f>+IF(AND(Tabla2[[#This Row],[venc]]="venc",Tabla2[[#This Row],[estado pago]]="por pagar"),"vencida","no")</f>
        <v>vencida</v>
      </c>
    </row>
    <row r="2598" spans="1:30" ht="19.5" hidden="1" customHeight="1" x14ac:dyDescent="0.25">
      <c r="A2598" s="8"/>
      <c r="B2598" s="8"/>
      <c r="C2598" s="8"/>
      <c r="D2598" s="151"/>
      <c r="E2598" s="151"/>
      <c r="F2598" s="24"/>
      <c r="G2598" s="30"/>
      <c r="H2598" s="81"/>
      <c r="I2598" s="30"/>
      <c r="J2598" s="16"/>
      <c r="K2598" s="9"/>
      <c r="L2598" s="9"/>
      <c r="M2598" s="152"/>
      <c r="N2598" s="153"/>
      <c r="O2598" s="152"/>
      <c r="P2598" s="154"/>
      <c r="Q2598" s="152"/>
      <c r="R2598" s="9"/>
      <c r="Z2598" s="21"/>
      <c r="AA2598" s="162">
        <f>+$AD$5-Tabla2[[#This Row],[FECHA DE FACTURACIÓN]]</f>
        <v>45443</v>
      </c>
      <c r="AB2598" s="163" t="str">
        <f>+IF(Tabla2[[#This Row],[dias de credito]]&gt;=Tabla2[[#This Row],[PLAZO Días]],"venc", "No venc")</f>
        <v>venc</v>
      </c>
      <c r="AC2598" s="163" t="str">
        <f>+IF(Tabla2[[#This Row],[FECHA DE PAGO]]&gt;0,"pagada","por pagar")</f>
        <v>por pagar</v>
      </c>
      <c r="AD2598" s="164" t="str">
        <f>+IF(AND(Tabla2[[#This Row],[venc]]="venc",Tabla2[[#This Row],[estado pago]]="por pagar"),"vencida","no")</f>
        <v>vencida</v>
      </c>
    </row>
    <row r="2599" spans="1:30" ht="19.5" hidden="1" customHeight="1" x14ac:dyDescent="0.25">
      <c r="A2599" s="8"/>
      <c r="B2599" s="8"/>
      <c r="C2599" s="8"/>
      <c r="D2599" s="151"/>
      <c r="E2599" s="151"/>
      <c r="F2599" s="24"/>
      <c r="G2599" s="30"/>
      <c r="H2599" s="81"/>
      <c r="I2599" s="30"/>
      <c r="J2599" s="16"/>
      <c r="K2599" s="9"/>
      <c r="L2599" s="9"/>
      <c r="M2599" s="152"/>
      <c r="N2599" s="153"/>
      <c r="O2599" s="152"/>
      <c r="P2599" s="154"/>
      <c r="Q2599" s="152"/>
      <c r="R2599" s="9"/>
      <c r="Z2599" s="21"/>
      <c r="AA2599" s="162">
        <f>+$AD$5-Tabla2[[#This Row],[FECHA DE FACTURACIÓN]]</f>
        <v>45443</v>
      </c>
      <c r="AB2599" s="163" t="str">
        <f>+IF(Tabla2[[#This Row],[dias de credito]]&gt;=Tabla2[[#This Row],[PLAZO Días]],"venc", "No venc")</f>
        <v>venc</v>
      </c>
      <c r="AC2599" s="163" t="str">
        <f>+IF(Tabla2[[#This Row],[FECHA DE PAGO]]&gt;0,"pagada","por pagar")</f>
        <v>por pagar</v>
      </c>
      <c r="AD2599" s="164" t="str">
        <f>+IF(AND(Tabla2[[#This Row],[venc]]="venc",Tabla2[[#This Row],[estado pago]]="por pagar"),"vencida","no")</f>
        <v>vencida</v>
      </c>
    </row>
    <row r="2600" spans="1:30" ht="19.5" hidden="1" customHeight="1" x14ac:dyDescent="0.25">
      <c r="A2600" s="8"/>
      <c r="B2600" s="8"/>
      <c r="C2600" s="8"/>
      <c r="D2600" s="151"/>
      <c r="E2600" s="151"/>
      <c r="F2600" s="24"/>
      <c r="G2600" s="30"/>
      <c r="H2600" s="81"/>
      <c r="I2600" s="30"/>
      <c r="J2600" s="16"/>
      <c r="K2600" s="9"/>
      <c r="L2600" s="9"/>
      <c r="M2600" s="152"/>
      <c r="N2600" s="153"/>
      <c r="O2600" s="152"/>
      <c r="P2600" s="154"/>
      <c r="Q2600" s="152"/>
      <c r="R2600" s="9"/>
      <c r="Z2600" s="21"/>
      <c r="AA2600" s="162">
        <f>+$AD$5-Tabla2[[#This Row],[FECHA DE FACTURACIÓN]]</f>
        <v>45443</v>
      </c>
      <c r="AB2600" s="163" t="str">
        <f>+IF(Tabla2[[#This Row],[dias de credito]]&gt;=Tabla2[[#This Row],[PLAZO Días]],"venc", "No venc")</f>
        <v>venc</v>
      </c>
      <c r="AC2600" s="163" t="str">
        <f>+IF(Tabla2[[#This Row],[FECHA DE PAGO]]&gt;0,"pagada","por pagar")</f>
        <v>por pagar</v>
      </c>
      <c r="AD2600" s="164" t="str">
        <f>+IF(AND(Tabla2[[#This Row],[venc]]="venc",Tabla2[[#This Row],[estado pago]]="por pagar"),"vencida","no")</f>
        <v>vencida</v>
      </c>
    </row>
    <row r="2601" spans="1:30" ht="19.5" hidden="1" customHeight="1" x14ac:dyDescent="0.25">
      <c r="A2601" s="8"/>
      <c r="B2601" s="8"/>
      <c r="C2601" s="8"/>
      <c r="D2601" s="151"/>
      <c r="E2601" s="151"/>
      <c r="F2601" s="24"/>
      <c r="G2601" s="30"/>
      <c r="H2601" s="81"/>
      <c r="I2601" s="30"/>
      <c r="J2601" s="16"/>
      <c r="K2601" s="9"/>
      <c r="L2601" s="9"/>
      <c r="M2601" s="152"/>
      <c r="N2601" s="153"/>
      <c r="O2601" s="152"/>
      <c r="P2601" s="154"/>
      <c r="Q2601" s="152"/>
      <c r="R2601" s="9"/>
      <c r="Z2601" s="21"/>
      <c r="AA2601" s="162">
        <f>+$AD$5-Tabla2[[#This Row],[FECHA DE FACTURACIÓN]]</f>
        <v>45443</v>
      </c>
      <c r="AB2601" s="163" t="str">
        <f>+IF(Tabla2[[#This Row],[dias de credito]]&gt;=Tabla2[[#This Row],[PLAZO Días]],"venc", "No venc")</f>
        <v>venc</v>
      </c>
      <c r="AC2601" s="163" t="str">
        <f>+IF(Tabla2[[#This Row],[FECHA DE PAGO]]&gt;0,"pagada","por pagar")</f>
        <v>por pagar</v>
      </c>
      <c r="AD2601" s="164" t="str">
        <f>+IF(AND(Tabla2[[#This Row],[venc]]="venc",Tabla2[[#This Row],[estado pago]]="por pagar"),"vencida","no")</f>
        <v>vencida</v>
      </c>
    </row>
    <row r="2602" spans="1:30" ht="19.5" hidden="1" customHeight="1" x14ac:dyDescent="0.25">
      <c r="A2602" s="8"/>
      <c r="B2602" s="8"/>
      <c r="C2602" s="8"/>
      <c r="D2602" s="151"/>
      <c r="E2602" s="151"/>
      <c r="F2602" s="24"/>
      <c r="G2602" s="30"/>
      <c r="H2602" s="81"/>
      <c r="I2602" s="30"/>
      <c r="J2602" s="16"/>
      <c r="K2602" s="9"/>
      <c r="L2602" s="9"/>
      <c r="M2602" s="152"/>
      <c r="N2602" s="153"/>
      <c r="O2602" s="152"/>
      <c r="P2602" s="154"/>
      <c r="Q2602" s="152"/>
      <c r="R2602" s="9"/>
      <c r="Z2602" s="21"/>
      <c r="AA2602" s="162">
        <f>+$AD$5-Tabla2[[#This Row],[FECHA DE FACTURACIÓN]]</f>
        <v>45443</v>
      </c>
      <c r="AB2602" s="163" t="str">
        <f>+IF(Tabla2[[#This Row],[dias de credito]]&gt;=Tabla2[[#This Row],[PLAZO Días]],"venc", "No venc")</f>
        <v>venc</v>
      </c>
      <c r="AC2602" s="163" t="str">
        <f>+IF(Tabla2[[#This Row],[FECHA DE PAGO]]&gt;0,"pagada","por pagar")</f>
        <v>por pagar</v>
      </c>
      <c r="AD2602" s="164" t="str">
        <f>+IF(AND(Tabla2[[#This Row],[venc]]="venc",Tabla2[[#This Row],[estado pago]]="por pagar"),"vencida","no")</f>
        <v>vencida</v>
      </c>
    </row>
    <row r="2603" spans="1:30" ht="19.5" hidden="1" customHeight="1" x14ac:dyDescent="0.25">
      <c r="A2603" s="8"/>
      <c r="B2603" s="8"/>
      <c r="C2603" s="8"/>
      <c r="D2603" s="151"/>
      <c r="E2603" s="151"/>
      <c r="F2603" s="24"/>
      <c r="G2603" s="30"/>
      <c r="H2603" s="81"/>
      <c r="I2603" s="30"/>
      <c r="J2603" s="16"/>
      <c r="K2603" s="9"/>
      <c r="L2603" s="9"/>
      <c r="M2603" s="152"/>
      <c r="N2603" s="153"/>
      <c r="O2603" s="152"/>
      <c r="P2603" s="154"/>
      <c r="Q2603" s="152"/>
      <c r="R2603" s="9"/>
      <c r="Z2603" s="21"/>
      <c r="AA2603" s="162">
        <f>+$AD$5-Tabla2[[#This Row],[FECHA DE FACTURACIÓN]]</f>
        <v>45443</v>
      </c>
      <c r="AB2603" s="163" t="str">
        <f>+IF(Tabla2[[#This Row],[dias de credito]]&gt;=Tabla2[[#This Row],[PLAZO Días]],"venc", "No venc")</f>
        <v>venc</v>
      </c>
      <c r="AC2603" s="163" t="str">
        <f>+IF(Tabla2[[#This Row],[FECHA DE PAGO]]&gt;0,"pagada","por pagar")</f>
        <v>por pagar</v>
      </c>
      <c r="AD2603" s="164" t="str">
        <f>+IF(AND(Tabla2[[#This Row],[venc]]="venc",Tabla2[[#This Row],[estado pago]]="por pagar"),"vencida","no")</f>
        <v>vencida</v>
      </c>
    </row>
    <row r="2604" spans="1:30" ht="19.5" hidden="1" customHeight="1" x14ac:dyDescent="0.25">
      <c r="A2604" s="8"/>
      <c r="B2604" s="8"/>
      <c r="C2604" s="8"/>
      <c r="D2604" s="151"/>
      <c r="E2604" s="151"/>
      <c r="F2604" s="24"/>
      <c r="G2604" s="30"/>
      <c r="H2604" s="81"/>
      <c r="I2604" s="30"/>
      <c r="J2604" s="16"/>
      <c r="K2604" s="9"/>
      <c r="L2604" s="9"/>
      <c r="M2604" s="152"/>
      <c r="N2604" s="153"/>
      <c r="O2604" s="152"/>
      <c r="P2604" s="154"/>
      <c r="Q2604" s="152"/>
      <c r="R2604" s="9"/>
      <c r="Z2604" s="21"/>
      <c r="AA2604" s="162">
        <f>+$AD$5-Tabla2[[#This Row],[FECHA DE FACTURACIÓN]]</f>
        <v>45443</v>
      </c>
      <c r="AB2604" s="163" t="str">
        <f>+IF(Tabla2[[#This Row],[dias de credito]]&gt;=Tabla2[[#This Row],[PLAZO Días]],"venc", "No venc")</f>
        <v>venc</v>
      </c>
      <c r="AC2604" s="163" t="str">
        <f>+IF(Tabla2[[#This Row],[FECHA DE PAGO]]&gt;0,"pagada","por pagar")</f>
        <v>por pagar</v>
      </c>
      <c r="AD2604" s="164" t="str">
        <f>+IF(AND(Tabla2[[#This Row],[venc]]="venc",Tabla2[[#This Row],[estado pago]]="por pagar"),"vencida","no")</f>
        <v>vencida</v>
      </c>
    </row>
    <row r="2605" spans="1:30" ht="19.5" hidden="1" customHeight="1" x14ac:dyDescent="0.25">
      <c r="A2605" s="8"/>
      <c r="B2605" s="8"/>
      <c r="C2605" s="8"/>
      <c r="D2605" s="151"/>
      <c r="E2605" s="151"/>
      <c r="F2605" s="24"/>
      <c r="G2605" s="30"/>
      <c r="H2605" s="81"/>
      <c r="I2605" s="30"/>
      <c r="J2605" s="16"/>
      <c r="K2605" s="9"/>
      <c r="L2605" s="9"/>
      <c r="M2605" s="152"/>
      <c r="N2605" s="153"/>
      <c r="O2605" s="152"/>
      <c r="P2605" s="154"/>
      <c r="Q2605" s="152"/>
      <c r="R2605" s="9"/>
      <c r="Z2605" s="21"/>
      <c r="AA2605" s="162">
        <f>+$AD$5-Tabla2[[#This Row],[FECHA DE FACTURACIÓN]]</f>
        <v>45443</v>
      </c>
      <c r="AB2605" s="163" t="str">
        <f>+IF(Tabla2[[#This Row],[dias de credito]]&gt;=Tabla2[[#This Row],[PLAZO Días]],"venc", "No venc")</f>
        <v>venc</v>
      </c>
      <c r="AC2605" s="163" t="str">
        <f>+IF(Tabla2[[#This Row],[FECHA DE PAGO]]&gt;0,"pagada","por pagar")</f>
        <v>por pagar</v>
      </c>
      <c r="AD2605" s="164" t="str">
        <f>+IF(AND(Tabla2[[#This Row],[venc]]="venc",Tabla2[[#This Row],[estado pago]]="por pagar"),"vencida","no")</f>
        <v>vencida</v>
      </c>
    </row>
    <row r="2606" spans="1:30" ht="19.5" hidden="1" customHeight="1" x14ac:dyDescent="0.25">
      <c r="A2606" s="8"/>
      <c r="B2606" s="8"/>
      <c r="C2606" s="8"/>
      <c r="D2606" s="151"/>
      <c r="E2606" s="151"/>
      <c r="F2606" s="24"/>
      <c r="G2606" s="30"/>
      <c r="H2606" s="81"/>
      <c r="I2606" s="30"/>
      <c r="J2606" s="16"/>
      <c r="K2606" s="9"/>
      <c r="L2606" s="9"/>
      <c r="M2606" s="152"/>
      <c r="N2606" s="153"/>
      <c r="O2606" s="152"/>
      <c r="P2606" s="154"/>
      <c r="Q2606" s="152"/>
      <c r="R2606" s="9"/>
      <c r="Z2606" s="21"/>
      <c r="AA2606" s="162">
        <f>+$AD$5-Tabla2[[#This Row],[FECHA DE FACTURACIÓN]]</f>
        <v>45443</v>
      </c>
      <c r="AB2606" s="163" t="str">
        <f>+IF(Tabla2[[#This Row],[dias de credito]]&gt;=Tabla2[[#This Row],[PLAZO Días]],"venc", "No venc")</f>
        <v>venc</v>
      </c>
      <c r="AC2606" s="163" t="str">
        <f>+IF(Tabla2[[#This Row],[FECHA DE PAGO]]&gt;0,"pagada","por pagar")</f>
        <v>por pagar</v>
      </c>
      <c r="AD2606" s="164" t="str">
        <f>+IF(AND(Tabla2[[#This Row],[venc]]="venc",Tabla2[[#This Row],[estado pago]]="por pagar"),"vencida","no")</f>
        <v>vencida</v>
      </c>
    </row>
    <row r="2607" spans="1:30" ht="19.5" hidden="1" customHeight="1" x14ac:dyDescent="0.25">
      <c r="A2607" s="8"/>
      <c r="B2607" s="8"/>
      <c r="C2607" s="8"/>
      <c r="D2607" s="151"/>
      <c r="E2607" s="151"/>
      <c r="F2607" s="24"/>
      <c r="G2607" s="30"/>
      <c r="H2607" s="81"/>
      <c r="I2607" s="30"/>
      <c r="J2607" s="16"/>
      <c r="K2607" s="9"/>
      <c r="L2607" s="9"/>
      <c r="M2607" s="152"/>
      <c r="N2607" s="153"/>
      <c r="O2607" s="152"/>
      <c r="P2607" s="154"/>
      <c r="Q2607" s="152"/>
      <c r="R2607" s="9"/>
      <c r="Z2607" s="21"/>
      <c r="AA2607" s="162">
        <f>+$AD$5-Tabla2[[#This Row],[FECHA DE FACTURACIÓN]]</f>
        <v>45443</v>
      </c>
      <c r="AB2607" s="163" t="str">
        <f>+IF(Tabla2[[#This Row],[dias de credito]]&gt;=Tabla2[[#This Row],[PLAZO Días]],"venc", "No venc")</f>
        <v>venc</v>
      </c>
      <c r="AC2607" s="163" t="str">
        <f>+IF(Tabla2[[#This Row],[FECHA DE PAGO]]&gt;0,"pagada","por pagar")</f>
        <v>por pagar</v>
      </c>
      <c r="AD2607" s="164" t="str">
        <f>+IF(AND(Tabla2[[#This Row],[venc]]="venc",Tabla2[[#This Row],[estado pago]]="por pagar"),"vencida","no")</f>
        <v>vencida</v>
      </c>
    </row>
    <row r="2608" spans="1:30" ht="19.5" hidden="1" customHeight="1" x14ac:dyDescent="0.25">
      <c r="A2608" s="8"/>
      <c r="B2608" s="8"/>
      <c r="C2608" s="8"/>
      <c r="D2608" s="151"/>
      <c r="E2608" s="151"/>
      <c r="F2608" s="24"/>
      <c r="G2608" s="30"/>
      <c r="H2608" s="81"/>
      <c r="I2608" s="30"/>
      <c r="J2608" s="16"/>
      <c r="K2608" s="9"/>
      <c r="L2608" s="9"/>
      <c r="M2608" s="152"/>
      <c r="N2608" s="153"/>
      <c r="O2608" s="152"/>
      <c r="P2608" s="154"/>
      <c r="Q2608" s="152"/>
      <c r="R2608" s="9"/>
      <c r="Z2608" s="21"/>
      <c r="AA2608" s="162">
        <f>+$AD$5-Tabla2[[#This Row],[FECHA DE FACTURACIÓN]]</f>
        <v>45443</v>
      </c>
      <c r="AB2608" s="163" t="str">
        <f>+IF(Tabla2[[#This Row],[dias de credito]]&gt;=Tabla2[[#This Row],[PLAZO Días]],"venc", "No venc")</f>
        <v>venc</v>
      </c>
      <c r="AC2608" s="163" t="str">
        <f>+IF(Tabla2[[#This Row],[FECHA DE PAGO]]&gt;0,"pagada","por pagar")</f>
        <v>por pagar</v>
      </c>
      <c r="AD2608" s="164" t="str">
        <f>+IF(AND(Tabla2[[#This Row],[venc]]="venc",Tabla2[[#This Row],[estado pago]]="por pagar"),"vencida","no")</f>
        <v>vencida</v>
      </c>
    </row>
    <row r="2609" spans="1:30" ht="19.5" hidden="1" customHeight="1" x14ac:dyDescent="0.25">
      <c r="A2609" s="8"/>
      <c r="B2609" s="8"/>
      <c r="C2609" s="8"/>
      <c r="D2609" s="151"/>
      <c r="E2609" s="151"/>
      <c r="F2609" s="24"/>
      <c r="G2609" s="30"/>
      <c r="H2609" s="81"/>
      <c r="I2609" s="30"/>
      <c r="J2609" s="16"/>
      <c r="K2609" s="9"/>
      <c r="L2609" s="9"/>
      <c r="M2609" s="152"/>
      <c r="N2609" s="153"/>
      <c r="O2609" s="152"/>
      <c r="P2609" s="154"/>
      <c r="Q2609" s="152"/>
      <c r="R2609" s="9"/>
      <c r="Z2609" s="21"/>
      <c r="AA2609" s="162">
        <f>+$AD$5-Tabla2[[#This Row],[FECHA DE FACTURACIÓN]]</f>
        <v>45443</v>
      </c>
      <c r="AB2609" s="163" t="str">
        <f>+IF(Tabla2[[#This Row],[dias de credito]]&gt;=Tabla2[[#This Row],[PLAZO Días]],"venc", "No venc")</f>
        <v>venc</v>
      </c>
      <c r="AC2609" s="163" t="str">
        <f>+IF(Tabla2[[#This Row],[FECHA DE PAGO]]&gt;0,"pagada","por pagar")</f>
        <v>por pagar</v>
      </c>
      <c r="AD2609" s="164" t="str">
        <f>+IF(AND(Tabla2[[#This Row],[venc]]="venc",Tabla2[[#This Row],[estado pago]]="por pagar"),"vencida","no")</f>
        <v>vencida</v>
      </c>
    </row>
    <row r="2610" spans="1:30" ht="19.5" hidden="1" customHeight="1" x14ac:dyDescent="0.25">
      <c r="A2610" s="8"/>
      <c r="B2610" s="8"/>
      <c r="C2610" s="8"/>
      <c r="D2610" s="151"/>
      <c r="E2610" s="151"/>
      <c r="F2610" s="24"/>
      <c r="G2610" s="30"/>
      <c r="H2610" s="81"/>
      <c r="I2610" s="30"/>
      <c r="J2610" s="16"/>
      <c r="K2610" s="9"/>
      <c r="L2610" s="9"/>
      <c r="M2610" s="152"/>
      <c r="N2610" s="153"/>
      <c r="O2610" s="152"/>
      <c r="P2610" s="154"/>
      <c r="Q2610" s="152"/>
      <c r="R2610" s="9"/>
      <c r="Z2610" s="21"/>
      <c r="AA2610" s="162">
        <f>+$AD$5-Tabla2[[#This Row],[FECHA DE FACTURACIÓN]]</f>
        <v>45443</v>
      </c>
      <c r="AB2610" s="163" t="str">
        <f>+IF(Tabla2[[#This Row],[dias de credito]]&gt;=Tabla2[[#This Row],[PLAZO Días]],"venc", "No venc")</f>
        <v>venc</v>
      </c>
      <c r="AC2610" s="163" t="str">
        <f>+IF(Tabla2[[#This Row],[FECHA DE PAGO]]&gt;0,"pagada","por pagar")</f>
        <v>por pagar</v>
      </c>
      <c r="AD2610" s="164" t="str">
        <f>+IF(AND(Tabla2[[#This Row],[venc]]="venc",Tabla2[[#This Row],[estado pago]]="por pagar"),"vencida","no")</f>
        <v>vencida</v>
      </c>
    </row>
    <row r="2611" spans="1:30" ht="19.5" hidden="1" customHeight="1" x14ac:dyDescent="0.25">
      <c r="A2611" s="8"/>
      <c r="B2611" s="8"/>
      <c r="C2611" s="8"/>
      <c r="D2611" s="151"/>
      <c r="E2611" s="151"/>
      <c r="F2611" s="24"/>
      <c r="G2611" s="30"/>
      <c r="H2611" s="81"/>
      <c r="I2611" s="30"/>
      <c r="J2611" s="16"/>
      <c r="K2611" s="9"/>
      <c r="L2611" s="9"/>
      <c r="M2611" s="152"/>
      <c r="N2611" s="153"/>
      <c r="O2611" s="152"/>
      <c r="P2611" s="154"/>
      <c r="Q2611" s="152"/>
      <c r="R2611" s="9"/>
      <c r="Z2611" s="21"/>
      <c r="AA2611" s="162">
        <f>+$AD$5-Tabla2[[#This Row],[FECHA DE FACTURACIÓN]]</f>
        <v>45443</v>
      </c>
      <c r="AB2611" s="163" t="str">
        <f>+IF(Tabla2[[#This Row],[dias de credito]]&gt;=Tabla2[[#This Row],[PLAZO Días]],"venc", "No venc")</f>
        <v>venc</v>
      </c>
      <c r="AC2611" s="163" t="str">
        <f>+IF(Tabla2[[#This Row],[FECHA DE PAGO]]&gt;0,"pagada","por pagar")</f>
        <v>por pagar</v>
      </c>
      <c r="AD2611" s="164" t="str">
        <f>+IF(AND(Tabla2[[#This Row],[venc]]="venc",Tabla2[[#This Row],[estado pago]]="por pagar"),"vencida","no")</f>
        <v>vencida</v>
      </c>
    </row>
    <row r="2612" spans="1:30" ht="19.5" hidden="1" customHeight="1" x14ac:dyDescent="0.25">
      <c r="A2612" s="8"/>
      <c r="B2612" s="8"/>
      <c r="C2612" s="8"/>
      <c r="D2612" s="151"/>
      <c r="E2612" s="151"/>
      <c r="F2612" s="24"/>
      <c r="G2612" s="30"/>
      <c r="H2612" s="81"/>
      <c r="I2612" s="30"/>
      <c r="J2612" s="16"/>
      <c r="K2612" s="9"/>
      <c r="L2612" s="9"/>
      <c r="M2612" s="152"/>
      <c r="N2612" s="153"/>
      <c r="O2612" s="152"/>
      <c r="P2612" s="154"/>
      <c r="Q2612" s="152"/>
      <c r="R2612" s="9"/>
      <c r="Z2612" s="21"/>
      <c r="AA2612" s="162">
        <f>+$AD$5-Tabla2[[#This Row],[FECHA DE FACTURACIÓN]]</f>
        <v>45443</v>
      </c>
      <c r="AB2612" s="163" t="str">
        <f>+IF(Tabla2[[#This Row],[dias de credito]]&gt;=Tabla2[[#This Row],[PLAZO Días]],"venc", "No venc")</f>
        <v>venc</v>
      </c>
      <c r="AC2612" s="163" t="str">
        <f>+IF(Tabla2[[#This Row],[FECHA DE PAGO]]&gt;0,"pagada","por pagar")</f>
        <v>por pagar</v>
      </c>
      <c r="AD2612" s="164" t="str">
        <f>+IF(AND(Tabla2[[#This Row],[venc]]="venc",Tabla2[[#This Row],[estado pago]]="por pagar"),"vencida","no")</f>
        <v>vencida</v>
      </c>
    </row>
    <row r="2613" spans="1:30" ht="19.5" hidden="1" customHeight="1" x14ac:dyDescent="0.25">
      <c r="A2613" s="8"/>
      <c r="B2613" s="8"/>
      <c r="C2613" s="8"/>
      <c r="D2613" s="151"/>
      <c r="E2613" s="151"/>
      <c r="F2613" s="24"/>
      <c r="G2613" s="30"/>
      <c r="H2613" s="81"/>
      <c r="I2613" s="30"/>
      <c r="J2613" s="16"/>
      <c r="K2613" s="9"/>
      <c r="L2613" s="9"/>
      <c r="M2613" s="152"/>
      <c r="N2613" s="153"/>
      <c r="O2613" s="152"/>
      <c r="P2613" s="154"/>
      <c r="Q2613" s="152"/>
      <c r="R2613" s="9"/>
      <c r="Z2613" s="21"/>
      <c r="AA2613" s="162">
        <f>+$AD$5-Tabla2[[#This Row],[FECHA DE FACTURACIÓN]]</f>
        <v>45443</v>
      </c>
      <c r="AB2613" s="163" t="str">
        <f>+IF(Tabla2[[#This Row],[dias de credito]]&gt;=Tabla2[[#This Row],[PLAZO Días]],"venc", "No venc")</f>
        <v>venc</v>
      </c>
      <c r="AC2613" s="163" t="str">
        <f>+IF(Tabla2[[#This Row],[FECHA DE PAGO]]&gt;0,"pagada","por pagar")</f>
        <v>por pagar</v>
      </c>
      <c r="AD2613" s="164" t="str">
        <f>+IF(AND(Tabla2[[#This Row],[venc]]="venc",Tabla2[[#This Row],[estado pago]]="por pagar"),"vencida","no")</f>
        <v>vencida</v>
      </c>
    </row>
    <row r="2614" spans="1:30" ht="19.5" hidden="1" customHeight="1" x14ac:dyDescent="0.25">
      <c r="A2614" s="8"/>
      <c r="B2614" s="8"/>
      <c r="C2614" s="8"/>
      <c r="D2614" s="151"/>
      <c r="E2614" s="151"/>
      <c r="F2614" s="24"/>
      <c r="G2614" s="30"/>
      <c r="H2614" s="81"/>
      <c r="I2614" s="30"/>
      <c r="J2614" s="16"/>
      <c r="K2614" s="9"/>
      <c r="L2614" s="9"/>
      <c r="M2614" s="152"/>
      <c r="N2614" s="153"/>
      <c r="O2614" s="152"/>
      <c r="P2614" s="154"/>
      <c r="Q2614" s="152"/>
      <c r="R2614" s="9"/>
      <c r="Z2614" s="21"/>
      <c r="AA2614" s="162">
        <f>+$AD$5-Tabla2[[#This Row],[FECHA DE FACTURACIÓN]]</f>
        <v>45443</v>
      </c>
      <c r="AB2614" s="163" t="str">
        <f>+IF(Tabla2[[#This Row],[dias de credito]]&gt;=Tabla2[[#This Row],[PLAZO Días]],"venc", "No venc")</f>
        <v>venc</v>
      </c>
      <c r="AC2614" s="163" t="str">
        <f>+IF(Tabla2[[#This Row],[FECHA DE PAGO]]&gt;0,"pagada","por pagar")</f>
        <v>por pagar</v>
      </c>
      <c r="AD2614" s="164" t="str">
        <f>+IF(AND(Tabla2[[#This Row],[venc]]="venc",Tabla2[[#This Row],[estado pago]]="por pagar"),"vencida","no")</f>
        <v>vencida</v>
      </c>
    </row>
    <row r="2615" spans="1:30" ht="19.5" hidden="1" customHeight="1" x14ac:dyDescent="0.25">
      <c r="A2615" s="8"/>
      <c r="B2615" s="8"/>
      <c r="C2615" s="8"/>
      <c r="D2615" s="151"/>
      <c r="E2615" s="151"/>
      <c r="F2615" s="24"/>
      <c r="G2615" s="30"/>
      <c r="H2615" s="81"/>
      <c r="I2615" s="30"/>
      <c r="J2615" s="16"/>
      <c r="K2615" s="9"/>
      <c r="L2615" s="9"/>
      <c r="M2615" s="152"/>
      <c r="N2615" s="153"/>
      <c r="O2615" s="152"/>
      <c r="P2615" s="154"/>
      <c r="Q2615" s="152"/>
      <c r="R2615" s="9"/>
      <c r="Z2615" s="21"/>
      <c r="AA2615" s="162">
        <f>+$AD$5-Tabla2[[#This Row],[FECHA DE FACTURACIÓN]]</f>
        <v>45443</v>
      </c>
      <c r="AB2615" s="163" t="str">
        <f>+IF(Tabla2[[#This Row],[dias de credito]]&gt;=Tabla2[[#This Row],[PLAZO Días]],"venc", "No venc")</f>
        <v>venc</v>
      </c>
      <c r="AC2615" s="163" t="str">
        <f>+IF(Tabla2[[#This Row],[FECHA DE PAGO]]&gt;0,"pagada","por pagar")</f>
        <v>por pagar</v>
      </c>
      <c r="AD2615" s="164" t="str">
        <f>+IF(AND(Tabla2[[#This Row],[venc]]="venc",Tabla2[[#This Row],[estado pago]]="por pagar"),"vencida","no")</f>
        <v>vencida</v>
      </c>
    </row>
    <row r="2616" spans="1:30" ht="19.5" hidden="1" customHeight="1" x14ac:dyDescent="0.25">
      <c r="A2616" s="8"/>
      <c r="B2616" s="8"/>
      <c r="C2616" s="8"/>
      <c r="D2616" s="151"/>
      <c r="E2616" s="151"/>
      <c r="F2616" s="24"/>
      <c r="G2616" s="30"/>
      <c r="H2616" s="81"/>
      <c r="I2616" s="30"/>
      <c r="J2616" s="16"/>
      <c r="K2616" s="9"/>
      <c r="L2616" s="9"/>
      <c r="M2616" s="152"/>
      <c r="N2616" s="153"/>
      <c r="O2616" s="152"/>
      <c r="P2616" s="154"/>
      <c r="Q2616" s="152"/>
      <c r="R2616" s="9"/>
      <c r="Z2616" s="21"/>
      <c r="AA2616" s="162">
        <f>+$AD$5-Tabla2[[#This Row],[FECHA DE FACTURACIÓN]]</f>
        <v>45443</v>
      </c>
      <c r="AB2616" s="163" t="str">
        <f>+IF(Tabla2[[#This Row],[dias de credito]]&gt;=Tabla2[[#This Row],[PLAZO Días]],"venc", "No venc")</f>
        <v>venc</v>
      </c>
      <c r="AC2616" s="163" t="str">
        <f>+IF(Tabla2[[#This Row],[FECHA DE PAGO]]&gt;0,"pagada","por pagar")</f>
        <v>por pagar</v>
      </c>
      <c r="AD2616" s="164" t="str">
        <f>+IF(AND(Tabla2[[#This Row],[venc]]="venc",Tabla2[[#This Row],[estado pago]]="por pagar"),"vencida","no")</f>
        <v>vencida</v>
      </c>
    </row>
    <row r="2617" spans="1:30" ht="19.5" hidden="1" customHeight="1" x14ac:dyDescent="0.25">
      <c r="A2617" s="8"/>
      <c r="B2617" s="8"/>
      <c r="C2617" s="8"/>
      <c r="D2617" s="151"/>
      <c r="E2617" s="151"/>
      <c r="F2617" s="24"/>
      <c r="G2617" s="30"/>
      <c r="H2617" s="81"/>
      <c r="I2617" s="30"/>
      <c r="J2617" s="16"/>
      <c r="K2617" s="9"/>
      <c r="L2617" s="9"/>
      <c r="M2617" s="152"/>
      <c r="N2617" s="153"/>
      <c r="O2617" s="152"/>
      <c r="P2617" s="154"/>
      <c r="Q2617" s="152"/>
      <c r="R2617" s="9"/>
      <c r="Z2617" s="21"/>
      <c r="AA2617" s="162">
        <f>+$AD$5-Tabla2[[#This Row],[FECHA DE FACTURACIÓN]]</f>
        <v>45443</v>
      </c>
      <c r="AB2617" s="163" t="str">
        <f>+IF(Tabla2[[#This Row],[dias de credito]]&gt;=Tabla2[[#This Row],[PLAZO Días]],"venc", "No venc")</f>
        <v>venc</v>
      </c>
      <c r="AC2617" s="163" t="str">
        <f>+IF(Tabla2[[#This Row],[FECHA DE PAGO]]&gt;0,"pagada","por pagar")</f>
        <v>por pagar</v>
      </c>
      <c r="AD2617" s="164" t="str">
        <f>+IF(AND(Tabla2[[#This Row],[venc]]="venc",Tabla2[[#This Row],[estado pago]]="por pagar"),"vencida","no")</f>
        <v>vencida</v>
      </c>
    </row>
    <row r="2618" spans="1:30" ht="19.5" hidden="1" customHeight="1" x14ac:dyDescent="0.25">
      <c r="A2618" s="8"/>
      <c r="B2618" s="8"/>
      <c r="C2618" s="8"/>
      <c r="D2618" s="151"/>
      <c r="E2618" s="151"/>
      <c r="F2618" s="24"/>
      <c r="G2618" s="30"/>
      <c r="H2618" s="81"/>
      <c r="I2618" s="30"/>
      <c r="J2618" s="16"/>
      <c r="K2618" s="9"/>
      <c r="L2618" s="9"/>
      <c r="M2618" s="152"/>
      <c r="N2618" s="153"/>
      <c r="O2618" s="152"/>
      <c r="P2618" s="154"/>
      <c r="Q2618" s="152"/>
      <c r="R2618" s="9"/>
      <c r="Z2618" s="21"/>
      <c r="AA2618" s="162">
        <f>+$AD$5-Tabla2[[#This Row],[FECHA DE FACTURACIÓN]]</f>
        <v>45443</v>
      </c>
      <c r="AB2618" s="163" t="str">
        <f>+IF(Tabla2[[#This Row],[dias de credito]]&gt;=Tabla2[[#This Row],[PLAZO Días]],"venc", "No venc")</f>
        <v>venc</v>
      </c>
      <c r="AC2618" s="163" t="str">
        <f>+IF(Tabla2[[#This Row],[FECHA DE PAGO]]&gt;0,"pagada","por pagar")</f>
        <v>por pagar</v>
      </c>
      <c r="AD2618" s="164" t="str">
        <f>+IF(AND(Tabla2[[#This Row],[venc]]="venc",Tabla2[[#This Row],[estado pago]]="por pagar"),"vencida","no")</f>
        <v>vencida</v>
      </c>
    </row>
    <row r="2619" spans="1:30" ht="19.5" hidden="1" customHeight="1" x14ac:dyDescent="0.25">
      <c r="A2619" s="8"/>
      <c r="B2619" s="8"/>
      <c r="C2619" s="8"/>
      <c r="D2619" s="151"/>
      <c r="E2619" s="151"/>
      <c r="F2619" s="24"/>
      <c r="G2619" s="30"/>
      <c r="H2619" s="81"/>
      <c r="I2619" s="30"/>
      <c r="J2619" s="16"/>
      <c r="K2619" s="9"/>
      <c r="L2619" s="9"/>
      <c r="M2619" s="152"/>
      <c r="N2619" s="153"/>
      <c r="O2619" s="152"/>
      <c r="P2619" s="154"/>
      <c r="Q2619" s="152"/>
      <c r="R2619" s="9"/>
      <c r="Z2619" s="21"/>
      <c r="AA2619" s="162">
        <f>+$AD$5-Tabla2[[#This Row],[FECHA DE FACTURACIÓN]]</f>
        <v>45443</v>
      </c>
      <c r="AB2619" s="163" t="str">
        <f>+IF(Tabla2[[#This Row],[dias de credito]]&gt;=Tabla2[[#This Row],[PLAZO Días]],"venc", "No venc")</f>
        <v>venc</v>
      </c>
      <c r="AC2619" s="163" t="str">
        <f>+IF(Tabla2[[#This Row],[FECHA DE PAGO]]&gt;0,"pagada","por pagar")</f>
        <v>por pagar</v>
      </c>
      <c r="AD2619" s="164" t="str">
        <f>+IF(AND(Tabla2[[#This Row],[venc]]="venc",Tabla2[[#This Row],[estado pago]]="por pagar"),"vencida","no")</f>
        <v>vencida</v>
      </c>
    </row>
    <row r="2620" spans="1:30" ht="19.5" hidden="1" customHeight="1" x14ac:dyDescent="0.25">
      <c r="A2620" s="8"/>
      <c r="B2620" s="8"/>
      <c r="C2620" s="8"/>
      <c r="D2620" s="151"/>
      <c r="E2620" s="151"/>
      <c r="F2620" s="24"/>
      <c r="G2620" s="30"/>
      <c r="H2620" s="81"/>
      <c r="I2620" s="30"/>
      <c r="J2620" s="16"/>
      <c r="K2620" s="9"/>
      <c r="L2620" s="9"/>
      <c r="M2620" s="152"/>
      <c r="N2620" s="153"/>
      <c r="O2620" s="152"/>
      <c r="P2620" s="154"/>
      <c r="Q2620" s="152"/>
      <c r="R2620" s="9"/>
      <c r="Z2620" s="21"/>
      <c r="AA2620" s="162">
        <f>+$AD$5-Tabla2[[#This Row],[FECHA DE FACTURACIÓN]]</f>
        <v>45443</v>
      </c>
      <c r="AB2620" s="163" t="str">
        <f>+IF(Tabla2[[#This Row],[dias de credito]]&gt;=Tabla2[[#This Row],[PLAZO Días]],"venc", "No venc")</f>
        <v>venc</v>
      </c>
      <c r="AC2620" s="163" t="str">
        <f>+IF(Tabla2[[#This Row],[FECHA DE PAGO]]&gt;0,"pagada","por pagar")</f>
        <v>por pagar</v>
      </c>
      <c r="AD2620" s="164" t="str">
        <f>+IF(AND(Tabla2[[#This Row],[venc]]="venc",Tabla2[[#This Row],[estado pago]]="por pagar"),"vencida","no")</f>
        <v>vencida</v>
      </c>
    </row>
    <row r="2621" spans="1:30" ht="19.5" hidden="1" customHeight="1" x14ac:dyDescent="0.25">
      <c r="A2621" s="8"/>
      <c r="B2621" s="8"/>
      <c r="C2621" s="8"/>
      <c r="D2621" s="151"/>
      <c r="E2621" s="151"/>
      <c r="F2621" s="24"/>
      <c r="G2621" s="30"/>
      <c r="H2621" s="81"/>
      <c r="I2621" s="30"/>
      <c r="J2621" s="16"/>
      <c r="K2621" s="9"/>
      <c r="L2621" s="9"/>
      <c r="M2621" s="152"/>
      <c r="N2621" s="153"/>
      <c r="O2621" s="152"/>
      <c r="P2621" s="154"/>
      <c r="Q2621" s="152"/>
      <c r="R2621" s="9"/>
      <c r="Z2621" s="21"/>
      <c r="AA2621" s="162">
        <f>+$AD$5-Tabla2[[#This Row],[FECHA DE FACTURACIÓN]]</f>
        <v>45443</v>
      </c>
      <c r="AB2621" s="163" t="str">
        <f>+IF(Tabla2[[#This Row],[dias de credito]]&gt;=Tabla2[[#This Row],[PLAZO Días]],"venc", "No venc")</f>
        <v>venc</v>
      </c>
      <c r="AC2621" s="163" t="str">
        <f>+IF(Tabla2[[#This Row],[FECHA DE PAGO]]&gt;0,"pagada","por pagar")</f>
        <v>por pagar</v>
      </c>
      <c r="AD2621" s="164" t="str">
        <f>+IF(AND(Tabla2[[#This Row],[venc]]="venc",Tabla2[[#This Row],[estado pago]]="por pagar"),"vencida","no")</f>
        <v>vencida</v>
      </c>
    </row>
    <row r="2622" spans="1:30" ht="19.5" hidden="1" customHeight="1" x14ac:dyDescent="0.25">
      <c r="A2622" s="8"/>
      <c r="B2622" s="8"/>
      <c r="C2622" s="8"/>
      <c r="D2622" s="151"/>
      <c r="E2622" s="151"/>
      <c r="F2622" s="24"/>
      <c r="G2622" s="30"/>
      <c r="H2622" s="81"/>
      <c r="I2622" s="30"/>
      <c r="J2622" s="16"/>
      <c r="K2622" s="9"/>
      <c r="L2622" s="9"/>
      <c r="M2622" s="152"/>
      <c r="N2622" s="153"/>
      <c r="O2622" s="152"/>
      <c r="P2622" s="154"/>
      <c r="Q2622" s="152"/>
      <c r="R2622" s="9"/>
      <c r="Z2622" s="21"/>
      <c r="AA2622" s="162">
        <f>+$AD$5-Tabla2[[#This Row],[FECHA DE FACTURACIÓN]]</f>
        <v>45443</v>
      </c>
      <c r="AB2622" s="163" t="str">
        <f>+IF(Tabla2[[#This Row],[dias de credito]]&gt;=Tabla2[[#This Row],[PLAZO Días]],"venc", "No venc")</f>
        <v>venc</v>
      </c>
      <c r="AC2622" s="163" t="str">
        <f>+IF(Tabla2[[#This Row],[FECHA DE PAGO]]&gt;0,"pagada","por pagar")</f>
        <v>por pagar</v>
      </c>
      <c r="AD2622" s="164" t="str">
        <f>+IF(AND(Tabla2[[#This Row],[venc]]="venc",Tabla2[[#This Row],[estado pago]]="por pagar"),"vencida","no")</f>
        <v>vencida</v>
      </c>
    </row>
    <row r="2623" spans="1:30" ht="19.5" hidden="1" customHeight="1" x14ac:dyDescent="0.25">
      <c r="A2623" s="8"/>
      <c r="B2623" s="8"/>
      <c r="C2623" s="8"/>
      <c r="D2623" s="151"/>
      <c r="E2623" s="151"/>
      <c r="F2623" s="24"/>
      <c r="G2623" s="30"/>
      <c r="H2623" s="81"/>
      <c r="I2623" s="30"/>
      <c r="J2623" s="16"/>
      <c r="K2623" s="9"/>
      <c r="L2623" s="9"/>
      <c r="M2623" s="152"/>
      <c r="N2623" s="153"/>
      <c r="O2623" s="152"/>
      <c r="P2623" s="154"/>
      <c r="Q2623" s="152"/>
      <c r="R2623" s="9"/>
      <c r="Z2623" s="21"/>
      <c r="AA2623" s="162">
        <f>+$AD$5-Tabla2[[#This Row],[FECHA DE FACTURACIÓN]]</f>
        <v>45443</v>
      </c>
      <c r="AB2623" s="163" t="str">
        <f>+IF(Tabla2[[#This Row],[dias de credito]]&gt;=Tabla2[[#This Row],[PLAZO Días]],"venc", "No venc")</f>
        <v>venc</v>
      </c>
      <c r="AC2623" s="163" t="str">
        <f>+IF(Tabla2[[#This Row],[FECHA DE PAGO]]&gt;0,"pagada","por pagar")</f>
        <v>por pagar</v>
      </c>
      <c r="AD2623" s="164" t="str">
        <f>+IF(AND(Tabla2[[#This Row],[venc]]="venc",Tabla2[[#This Row],[estado pago]]="por pagar"),"vencida","no")</f>
        <v>vencida</v>
      </c>
    </row>
    <row r="2624" spans="1:30" ht="19.5" hidden="1" customHeight="1" x14ac:dyDescent="0.25">
      <c r="A2624" s="8"/>
      <c r="B2624" s="8"/>
      <c r="C2624" s="8"/>
      <c r="D2624" s="151"/>
      <c r="E2624" s="151"/>
      <c r="F2624" s="24"/>
      <c r="G2624" s="30"/>
      <c r="H2624" s="81"/>
      <c r="I2624" s="30"/>
      <c r="J2624" s="16"/>
      <c r="K2624" s="9"/>
      <c r="L2624" s="9"/>
      <c r="M2624" s="152"/>
      <c r="N2624" s="153"/>
      <c r="O2624" s="152"/>
      <c r="P2624" s="154"/>
      <c r="Q2624" s="152"/>
      <c r="R2624" s="9"/>
      <c r="Z2624" s="21"/>
      <c r="AA2624" s="162">
        <f>+$AD$5-Tabla2[[#This Row],[FECHA DE FACTURACIÓN]]</f>
        <v>45443</v>
      </c>
      <c r="AB2624" s="163" t="str">
        <f>+IF(Tabla2[[#This Row],[dias de credito]]&gt;=Tabla2[[#This Row],[PLAZO Días]],"venc", "No venc")</f>
        <v>venc</v>
      </c>
      <c r="AC2624" s="163" t="str">
        <f>+IF(Tabla2[[#This Row],[FECHA DE PAGO]]&gt;0,"pagada","por pagar")</f>
        <v>por pagar</v>
      </c>
      <c r="AD2624" s="164" t="str">
        <f>+IF(AND(Tabla2[[#This Row],[venc]]="venc",Tabla2[[#This Row],[estado pago]]="por pagar"),"vencida","no")</f>
        <v>vencida</v>
      </c>
    </row>
    <row r="2625" spans="1:30" ht="19.5" hidden="1" customHeight="1" x14ac:dyDescent="0.25">
      <c r="A2625" s="8"/>
      <c r="B2625" s="8"/>
      <c r="C2625" s="8"/>
      <c r="D2625" s="151"/>
      <c r="E2625" s="151"/>
      <c r="F2625" s="24"/>
      <c r="G2625" s="30"/>
      <c r="H2625" s="81"/>
      <c r="I2625" s="30"/>
      <c r="J2625" s="16"/>
      <c r="K2625" s="9"/>
      <c r="L2625" s="9"/>
      <c r="M2625" s="152"/>
      <c r="N2625" s="153"/>
      <c r="O2625" s="152"/>
      <c r="P2625" s="154"/>
      <c r="Q2625" s="152"/>
      <c r="R2625" s="9"/>
      <c r="Z2625" s="21"/>
      <c r="AA2625" s="162">
        <f>+$AD$5-Tabla2[[#This Row],[FECHA DE FACTURACIÓN]]</f>
        <v>45443</v>
      </c>
      <c r="AB2625" s="163" t="str">
        <f>+IF(Tabla2[[#This Row],[dias de credito]]&gt;=Tabla2[[#This Row],[PLAZO Días]],"venc", "No venc")</f>
        <v>venc</v>
      </c>
      <c r="AC2625" s="163" t="str">
        <f>+IF(Tabla2[[#This Row],[FECHA DE PAGO]]&gt;0,"pagada","por pagar")</f>
        <v>por pagar</v>
      </c>
      <c r="AD2625" s="164" t="str">
        <f>+IF(AND(Tabla2[[#This Row],[venc]]="venc",Tabla2[[#This Row],[estado pago]]="por pagar"),"vencida","no")</f>
        <v>vencida</v>
      </c>
    </row>
    <row r="2626" spans="1:30" ht="19.5" hidden="1" customHeight="1" x14ac:dyDescent="0.25">
      <c r="A2626" s="8"/>
      <c r="B2626" s="8"/>
      <c r="C2626" s="8"/>
      <c r="D2626" s="151"/>
      <c r="E2626" s="151"/>
      <c r="F2626" s="24"/>
      <c r="G2626" s="30"/>
      <c r="H2626" s="81"/>
      <c r="I2626" s="30"/>
      <c r="J2626" s="16"/>
      <c r="K2626" s="9"/>
      <c r="L2626" s="9"/>
      <c r="M2626" s="152"/>
      <c r="N2626" s="153"/>
      <c r="O2626" s="152"/>
      <c r="P2626" s="154"/>
      <c r="Q2626" s="152"/>
      <c r="R2626" s="9"/>
      <c r="Z2626" s="21"/>
      <c r="AA2626" s="162">
        <f>+$AD$5-Tabla2[[#This Row],[FECHA DE FACTURACIÓN]]</f>
        <v>45443</v>
      </c>
      <c r="AB2626" s="163" t="str">
        <f>+IF(Tabla2[[#This Row],[dias de credito]]&gt;=Tabla2[[#This Row],[PLAZO Días]],"venc", "No venc")</f>
        <v>venc</v>
      </c>
      <c r="AC2626" s="163" t="str">
        <f>+IF(Tabla2[[#This Row],[FECHA DE PAGO]]&gt;0,"pagada","por pagar")</f>
        <v>por pagar</v>
      </c>
      <c r="AD2626" s="164" t="str">
        <f>+IF(AND(Tabla2[[#This Row],[venc]]="venc",Tabla2[[#This Row],[estado pago]]="por pagar"),"vencida","no")</f>
        <v>vencida</v>
      </c>
    </row>
    <row r="2627" spans="1:30" ht="19.5" hidden="1" customHeight="1" x14ac:dyDescent="0.25">
      <c r="A2627" s="8"/>
      <c r="B2627" s="8"/>
      <c r="C2627" s="8"/>
      <c r="D2627" s="151"/>
      <c r="E2627" s="151"/>
      <c r="F2627" s="24"/>
      <c r="G2627" s="30"/>
      <c r="H2627" s="81"/>
      <c r="I2627" s="30"/>
      <c r="J2627" s="16"/>
      <c r="K2627" s="9"/>
      <c r="L2627" s="9"/>
      <c r="M2627" s="152"/>
      <c r="N2627" s="153"/>
      <c r="O2627" s="152"/>
      <c r="P2627" s="154"/>
      <c r="Q2627" s="152"/>
      <c r="R2627" s="9"/>
      <c r="Z2627" s="21"/>
      <c r="AA2627" s="162">
        <f>+$AD$5-Tabla2[[#This Row],[FECHA DE FACTURACIÓN]]</f>
        <v>45443</v>
      </c>
      <c r="AB2627" s="163" t="str">
        <f>+IF(Tabla2[[#This Row],[dias de credito]]&gt;=Tabla2[[#This Row],[PLAZO Días]],"venc", "No venc")</f>
        <v>venc</v>
      </c>
      <c r="AC2627" s="163" t="str">
        <f>+IF(Tabla2[[#This Row],[FECHA DE PAGO]]&gt;0,"pagada","por pagar")</f>
        <v>por pagar</v>
      </c>
      <c r="AD2627" s="164" t="str">
        <f>+IF(AND(Tabla2[[#This Row],[venc]]="venc",Tabla2[[#This Row],[estado pago]]="por pagar"),"vencida","no")</f>
        <v>vencida</v>
      </c>
    </row>
    <row r="2628" spans="1:30" ht="19.5" hidden="1" customHeight="1" x14ac:dyDescent="0.25">
      <c r="A2628" s="8"/>
      <c r="B2628" s="8"/>
      <c r="C2628" s="8"/>
      <c r="D2628" s="151"/>
      <c r="E2628" s="151"/>
      <c r="F2628" s="24"/>
      <c r="G2628" s="30"/>
      <c r="H2628" s="81"/>
      <c r="I2628" s="30"/>
      <c r="J2628" s="16"/>
      <c r="K2628" s="9"/>
      <c r="L2628" s="9"/>
      <c r="M2628" s="152"/>
      <c r="N2628" s="153"/>
      <c r="O2628" s="152"/>
      <c r="P2628" s="154"/>
      <c r="Q2628" s="152"/>
      <c r="R2628" s="9"/>
      <c r="Z2628" s="21"/>
      <c r="AA2628" s="162">
        <f>+$AD$5-Tabla2[[#This Row],[FECHA DE FACTURACIÓN]]</f>
        <v>45443</v>
      </c>
      <c r="AB2628" s="163" t="str">
        <f>+IF(Tabla2[[#This Row],[dias de credito]]&gt;=Tabla2[[#This Row],[PLAZO Días]],"venc", "No venc")</f>
        <v>venc</v>
      </c>
      <c r="AC2628" s="163" t="str">
        <f>+IF(Tabla2[[#This Row],[FECHA DE PAGO]]&gt;0,"pagada","por pagar")</f>
        <v>por pagar</v>
      </c>
      <c r="AD2628" s="164" t="str">
        <f>+IF(AND(Tabla2[[#This Row],[venc]]="venc",Tabla2[[#This Row],[estado pago]]="por pagar"),"vencida","no")</f>
        <v>vencida</v>
      </c>
    </row>
    <row r="2629" spans="1:30" ht="19.5" hidden="1" customHeight="1" x14ac:dyDescent="0.25">
      <c r="A2629" s="8"/>
      <c r="B2629" s="8"/>
      <c r="C2629" s="8"/>
      <c r="D2629" s="151"/>
      <c r="E2629" s="151"/>
      <c r="F2629" s="24"/>
      <c r="G2629" s="30"/>
      <c r="H2629" s="81"/>
      <c r="I2629" s="30"/>
      <c r="J2629" s="16"/>
      <c r="K2629" s="9"/>
      <c r="L2629" s="9"/>
      <c r="M2629" s="152"/>
      <c r="N2629" s="153"/>
      <c r="O2629" s="152"/>
      <c r="P2629" s="154"/>
      <c r="Q2629" s="152"/>
      <c r="R2629" s="9"/>
      <c r="Z2629" s="21"/>
      <c r="AA2629" s="162">
        <f>+$AD$5-Tabla2[[#This Row],[FECHA DE FACTURACIÓN]]</f>
        <v>45443</v>
      </c>
      <c r="AB2629" s="163" t="str">
        <f>+IF(Tabla2[[#This Row],[dias de credito]]&gt;=Tabla2[[#This Row],[PLAZO Días]],"venc", "No venc")</f>
        <v>venc</v>
      </c>
      <c r="AC2629" s="163" t="str">
        <f>+IF(Tabla2[[#This Row],[FECHA DE PAGO]]&gt;0,"pagada","por pagar")</f>
        <v>por pagar</v>
      </c>
      <c r="AD2629" s="164" t="str">
        <f>+IF(AND(Tabla2[[#This Row],[venc]]="venc",Tabla2[[#This Row],[estado pago]]="por pagar"),"vencida","no")</f>
        <v>vencida</v>
      </c>
    </row>
    <row r="2630" spans="1:30" ht="19.5" hidden="1" customHeight="1" x14ac:dyDescent="0.25">
      <c r="A2630" s="8"/>
      <c r="B2630" s="8"/>
      <c r="C2630" s="8"/>
      <c r="D2630" s="151"/>
      <c r="E2630" s="151"/>
      <c r="F2630" s="24"/>
      <c r="G2630" s="30"/>
      <c r="H2630" s="81"/>
      <c r="I2630" s="30"/>
      <c r="J2630" s="16"/>
      <c r="K2630" s="9"/>
      <c r="L2630" s="9"/>
      <c r="M2630" s="152"/>
      <c r="N2630" s="153"/>
      <c r="O2630" s="152"/>
      <c r="P2630" s="154"/>
      <c r="Q2630" s="152"/>
      <c r="R2630" s="9"/>
      <c r="Z2630" s="21"/>
      <c r="AA2630" s="162">
        <f>+$AD$5-Tabla2[[#This Row],[FECHA DE FACTURACIÓN]]</f>
        <v>45443</v>
      </c>
      <c r="AB2630" s="163" t="str">
        <f>+IF(Tabla2[[#This Row],[dias de credito]]&gt;=Tabla2[[#This Row],[PLAZO Días]],"venc", "No venc")</f>
        <v>venc</v>
      </c>
      <c r="AC2630" s="163" t="str">
        <f>+IF(Tabla2[[#This Row],[FECHA DE PAGO]]&gt;0,"pagada","por pagar")</f>
        <v>por pagar</v>
      </c>
      <c r="AD2630" s="164" t="str">
        <f>+IF(AND(Tabla2[[#This Row],[venc]]="venc",Tabla2[[#This Row],[estado pago]]="por pagar"),"vencida","no")</f>
        <v>vencida</v>
      </c>
    </row>
    <row r="2631" spans="1:30" ht="19.5" hidden="1" customHeight="1" x14ac:dyDescent="0.25">
      <c r="A2631" s="8"/>
      <c r="B2631" s="8"/>
      <c r="C2631" s="8"/>
      <c r="D2631" s="151"/>
      <c r="E2631" s="151"/>
      <c r="F2631" s="24"/>
      <c r="G2631" s="30"/>
      <c r="H2631" s="81"/>
      <c r="I2631" s="30"/>
      <c r="J2631" s="16"/>
      <c r="K2631" s="9"/>
      <c r="L2631" s="9"/>
      <c r="M2631" s="152"/>
      <c r="N2631" s="153"/>
      <c r="O2631" s="152"/>
      <c r="P2631" s="154"/>
      <c r="Q2631" s="152"/>
      <c r="R2631" s="9"/>
      <c r="Z2631" s="21"/>
      <c r="AA2631" s="162">
        <f>+$AD$5-Tabla2[[#This Row],[FECHA DE FACTURACIÓN]]</f>
        <v>45443</v>
      </c>
      <c r="AB2631" s="163" t="str">
        <f>+IF(Tabla2[[#This Row],[dias de credito]]&gt;=Tabla2[[#This Row],[PLAZO Días]],"venc", "No venc")</f>
        <v>venc</v>
      </c>
      <c r="AC2631" s="163" t="str">
        <f>+IF(Tabla2[[#This Row],[FECHA DE PAGO]]&gt;0,"pagada","por pagar")</f>
        <v>por pagar</v>
      </c>
      <c r="AD2631" s="164" t="str">
        <f>+IF(AND(Tabla2[[#This Row],[venc]]="venc",Tabla2[[#This Row],[estado pago]]="por pagar"),"vencida","no")</f>
        <v>vencida</v>
      </c>
    </row>
    <row r="2632" spans="1:30" ht="19.5" hidden="1" customHeight="1" x14ac:dyDescent="0.25">
      <c r="A2632" s="8"/>
      <c r="B2632" s="8"/>
      <c r="C2632" s="8"/>
      <c r="D2632" s="151"/>
      <c r="E2632" s="151"/>
      <c r="F2632" s="24"/>
      <c r="G2632" s="30"/>
      <c r="H2632" s="81"/>
      <c r="I2632" s="30"/>
      <c r="J2632" s="16"/>
      <c r="K2632" s="9"/>
      <c r="L2632" s="9"/>
      <c r="M2632" s="152"/>
      <c r="N2632" s="153"/>
      <c r="O2632" s="152"/>
      <c r="P2632" s="154"/>
      <c r="Q2632" s="152"/>
      <c r="R2632" s="9"/>
      <c r="Z2632" s="21"/>
      <c r="AA2632" s="162">
        <f>+$AD$5-Tabla2[[#This Row],[FECHA DE FACTURACIÓN]]</f>
        <v>45443</v>
      </c>
      <c r="AB2632" s="163" t="str">
        <f>+IF(Tabla2[[#This Row],[dias de credito]]&gt;=Tabla2[[#This Row],[PLAZO Días]],"venc", "No venc")</f>
        <v>venc</v>
      </c>
      <c r="AC2632" s="163" t="str">
        <f>+IF(Tabla2[[#This Row],[FECHA DE PAGO]]&gt;0,"pagada","por pagar")</f>
        <v>por pagar</v>
      </c>
      <c r="AD2632" s="164" t="str">
        <f>+IF(AND(Tabla2[[#This Row],[venc]]="venc",Tabla2[[#This Row],[estado pago]]="por pagar"),"vencida","no")</f>
        <v>vencida</v>
      </c>
    </row>
    <row r="2633" spans="1:30" ht="19.5" hidden="1" customHeight="1" x14ac:dyDescent="0.25">
      <c r="A2633" s="8"/>
      <c r="B2633" s="8"/>
      <c r="C2633" s="8"/>
      <c r="D2633" s="151"/>
      <c r="E2633" s="151"/>
      <c r="F2633" s="24"/>
      <c r="G2633" s="30"/>
      <c r="H2633" s="81"/>
      <c r="I2633" s="30"/>
      <c r="J2633" s="16"/>
      <c r="K2633" s="9"/>
      <c r="L2633" s="9"/>
      <c r="M2633" s="152"/>
      <c r="N2633" s="153"/>
      <c r="O2633" s="152"/>
      <c r="P2633" s="154"/>
      <c r="Q2633" s="152"/>
      <c r="R2633" s="9"/>
      <c r="Z2633" s="21"/>
      <c r="AA2633" s="162">
        <f>+$AD$5-Tabla2[[#This Row],[FECHA DE FACTURACIÓN]]</f>
        <v>45443</v>
      </c>
      <c r="AB2633" s="163" t="str">
        <f>+IF(Tabla2[[#This Row],[dias de credito]]&gt;=Tabla2[[#This Row],[PLAZO Días]],"venc", "No venc")</f>
        <v>venc</v>
      </c>
      <c r="AC2633" s="163" t="str">
        <f>+IF(Tabla2[[#This Row],[FECHA DE PAGO]]&gt;0,"pagada","por pagar")</f>
        <v>por pagar</v>
      </c>
      <c r="AD2633" s="164" t="str">
        <f>+IF(AND(Tabla2[[#This Row],[venc]]="venc",Tabla2[[#This Row],[estado pago]]="por pagar"),"vencida","no")</f>
        <v>vencida</v>
      </c>
    </row>
    <row r="2634" spans="1:30" ht="19.5" hidden="1" customHeight="1" x14ac:dyDescent="0.25">
      <c r="A2634" s="8"/>
      <c r="B2634" s="8"/>
      <c r="C2634" s="8"/>
      <c r="D2634" s="151"/>
      <c r="E2634" s="151"/>
      <c r="F2634" s="24"/>
      <c r="G2634" s="30"/>
      <c r="H2634" s="81"/>
      <c r="I2634" s="30"/>
      <c r="J2634" s="16"/>
      <c r="K2634" s="9"/>
      <c r="L2634" s="9"/>
      <c r="M2634" s="152"/>
      <c r="N2634" s="153"/>
      <c r="O2634" s="152"/>
      <c r="P2634" s="154"/>
      <c r="Q2634" s="152"/>
      <c r="R2634" s="9"/>
      <c r="Z2634" s="21"/>
      <c r="AA2634" s="162">
        <f>+$AD$5-Tabla2[[#This Row],[FECHA DE FACTURACIÓN]]</f>
        <v>45443</v>
      </c>
      <c r="AB2634" s="163" t="str">
        <f>+IF(Tabla2[[#This Row],[dias de credito]]&gt;=Tabla2[[#This Row],[PLAZO Días]],"venc", "No venc")</f>
        <v>venc</v>
      </c>
      <c r="AC2634" s="163" t="str">
        <f>+IF(Tabla2[[#This Row],[FECHA DE PAGO]]&gt;0,"pagada","por pagar")</f>
        <v>por pagar</v>
      </c>
      <c r="AD2634" s="164" t="str">
        <f>+IF(AND(Tabla2[[#This Row],[venc]]="venc",Tabla2[[#This Row],[estado pago]]="por pagar"),"vencida","no")</f>
        <v>vencida</v>
      </c>
    </row>
    <row r="2635" spans="1:30" ht="19.5" hidden="1" customHeight="1" x14ac:dyDescent="0.25">
      <c r="A2635" s="8"/>
      <c r="B2635" s="8"/>
      <c r="C2635" s="8"/>
      <c r="D2635" s="151"/>
      <c r="E2635" s="151"/>
      <c r="F2635" s="24"/>
      <c r="G2635" s="30"/>
      <c r="H2635" s="81"/>
      <c r="I2635" s="30"/>
      <c r="J2635" s="16"/>
      <c r="K2635" s="9"/>
      <c r="L2635" s="9"/>
      <c r="M2635" s="152"/>
      <c r="N2635" s="153"/>
      <c r="O2635" s="152"/>
      <c r="P2635" s="154"/>
      <c r="Q2635" s="152"/>
      <c r="R2635" s="9"/>
      <c r="Z2635" s="21"/>
      <c r="AA2635" s="162">
        <f>+$AD$5-Tabla2[[#This Row],[FECHA DE FACTURACIÓN]]</f>
        <v>45443</v>
      </c>
      <c r="AB2635" s="163" t="str">
        <f>+IF(Tabla2[[#This Row],[dias de credito]]&gt;=Tabla2[[#This Row],[PLAZO Días]],"venc", "No venc")</f>
        <v>venc</v>
      </c>
      <c r="AC2635" s="163" t="str">
        <f>+IF(Tabla2[[#This Row],[FECHA DE PAGO]]&gt;0,"pagada","por pagar")</f>
        <v>por pagar</v>
      </c>
      <c r="AD2635" s="164" t="str">
        <f>+IF(AND(Tabla2[[#This Row],[venc]]="venc",Tabla2[[#This Row],[estado pago]]="por pagar"),"vencida","no")</f>
        <v>vencida</v>
      </c>
    </row>
    <row r="2636" spans="1:30" ht="19.5" hidden="1" customHeight="1" x14ac:dyDescent="0.25">
      <c r="A2636" s="8"/>
      <c r="B2636" s="8"/>
      <c r="C2636" s="8"/>
      <c r="D2636" s="151"/>
      <c r="E2636" s="151"/>
      <c r="F2636" s="24"/>
      <c r="G2636" s="30"/>
      <c r="H2636" s="81"/>
      <c r="I2636" s="30"/>
      <c r="J2636" s="16"/>
      <c r="K2636" s="9"/>
      <c r="L2636" s="9"/>
      <c r="M2636" s="152"/>
      <c r="N2636" s="153"/>
      <c r="O2636" s="152"/>
      <c r="P2636" s="154"/>
      <c r="Q2636" s="152"/>
      <c r="R2636" s="9"/>
      <c r="Z2636" s="21"/>
      <c r="AA2636" s="162">
        <f>+$AD$5-Tabla2[[#This Row],[FECHA DE FACTURACIÓN]]</f>
        <v>45443</v>
      </c>
      <c r="AB2636" s="163" t="str">
        <f>+IF(Tabla2[[#This Row],[dias de credito]]&gt;=Tabla2[[#This Row],[PLAZO Días]],"venc", "No venc")</f>
        <v>venc</v>
      </c>
      <c r="AC2636" s="163" t="str">
        <f>+IF(Tabla2[[#This Row],[FECHA DE PAGO]]&gt;0,"pagada","por pagar")</f>
        <v>por pagar</v>
      </c>
      <c r="AD2636" s="164" t="str">
        <f>+IF(AND(Tabla2[[#This Row],[venc]]="venc",Tabla2[[#This Row],[estado pago]]="por pagar"),"vencida","no")</f>
        <v>vencida</v>
      </c>
    </row>
    <row r="2637" spans="1:30" ht="19.5" hidden="1" customHeight="1" x14ac:dyDescent="0.25">
      <c r="A2637" s="8"/>
      <c r="B2637" s="8"/>
      <c r="C2637" s="8"/>
      <c r="D2637" s="151"/>
      <c r="E2637" s="151"/>
      <c r="F2637" s="24"/>
      <c r="G2637" s="30"/>
      <c r="H2637" s="81"/>
      <c r="I2637" s="30"/>
      <c r="J2637" s="16"/>
      <c r="K2637" s="9"/>
      <c r="L2637" s="9"/>
      <c r="M2637" s="152"/>
      <c r="N2637" s="153"/>
      <c r="O2637" s="152"/>
      <c r="P2637" s="154"/>
      <c r="Q2637" s="152"/>
      <c r="R2637" s="9"/>
      <c r="Z2637" s="21"/>
      <c r="AA2637" s="162">
        <f>+$AD$5-Tabla2[[#This Row],[FECHA DE FACTURACIÓN]]</f>
        <v>45443</v>
      </c>
      <c r="AB2637" s="163" t="str">
        <f>+IF(Tabla2[[#This Row],[dias de credito]]&gt;=Tabla2[[#This Row],[PLAZO Días]],"venc", "No venc")</f>
        <v>venc</v>
      </c>
      <c r="AC2637" s="163" t="str">
        <f>+IF(Tabla2[[#This Row],[FECHA DE PAGO]]&gt;0,"pagada","por pagar")</f>
        <v>por pagar</v>
      </c>
      <c r="AD2637" s="164" t="str">
        <f>+IF(AND(Tabla2[[#This Row],[venc]]="venc",Tabla2[[#This Row],[estado pago]]="por pagar"),"vencida","no")</f>
        <v>vencida</v>
      </c>
    </row>
    <row r="2638" spans="1:30" ht="19.5" hidden="1" customHeight="1" x14ac:dyDescent="0.25">
      <c r="A2638" s="8"/>
      <c r="B2638" s="8"/>
      <c r="C2638" s="8"/>
      <c r="D2638" s="151"/>
      <c r="E2638" s="151"/>
      <c r="F2638" s="24"/>
      <c r="G2638" s="30"/>
      <c r="H2638" s="81"/>
      <c r="I2638" s="30"/>
      <c r="J2638" s="16"/>
      <c r="K2638" s="9"/>
      <c r="L2638" s="9"/>
      <c r="M2638" s="152"/>
      <c r="N2638" s="153"/>
      <c r="O2638" s="152"/>
      <c r="P2638" s="154"/>
      <c r="Q2638" s="152"/>
      <c r="R2638" s="9"/>
      <c r="Z2638" s="21"/>
      <c r="AA2638" s="162">
        <f>+$AD$5-Tabla2[[#This Row],[FECHA DE FACTURACIÓN]]</f>
        <v>45443</v>
      </c>
      <c r="AB2638" s="163" t="str">
        <f>+IF(Tabla2[[#This Row],[dias de credito]]&gt;=Tabla2[[#This Row],[PLAZO Días]],"venc", "No venc")</f>
        <v>venc</v>
      </c>
      <c r="AC2638" s="163" t="str">
        <f>+IF(Tabla2[[#This Row],[FECHA DE PAGO]]&gt;0,"pagada","por pagar")</f>
        <v>por pagar</v>
      </c>
      <c r="AD2638" s="164" t="str">
        <f>+IF(AND(Tabla2[[#This Row],[venc]]="venc",Tabla2[[#This Row],[estado pago]]="por pagar"),"vencida","no")</f>
        <v>vencida</v>
      </c>
    </row>
    <row r="2639" spans="1:30" ht="19.5" hidden="1" customHeight="1" x14ac:dyDescent="0.25">
      <c r="A2639" s="8"/>
      <c r="B2639" s="8"/>
      <c r="C2639" s="8"/>
      <c r="D2639" s="151"/>
      <c r="E2639" s="151"/>
      <c r="F2639" s="24"/>
      <c r="G2639" s="30"/>
      <c r="H2639" s="81"/>
      <c r="I2639" s="30"/>
      <c r="J2639" s="16"/>
      <c r="K2639" s="9"/>
      <c r="L2639" s="9"/>
      <c r="M2639" s="152"/>
      <c r="N2639" s="153"/>
      <c r="O2639" s="152"/>
      <c r="P2639" s="154"/>
      <c r="Q2639" s="152"/>
      <c r="R2639" s="9"/>
      <c r="Z2639" s="21"/>
      <c r="AA2639" s="162">
        <f>+$AD$5-Tabla2[[#This Row],[FECHA DE FACTURACIÓN]]</f>
        <v>45443</v>
      </c>
      <c r="AB2639" s="163" t="str">
        <f>+IF(Tabla2[[#This Row],[dias de credito]]&gt;=Tabla2[[#This Row],[PLAZO Días]],"venc", "No venc")</f>
        <v>venc</v>
      </c>
      <c r="AC2639" s="163" t="str">
        <f>+IF(Tabla2[[#This Row],[FECHA DE PAGO]]&gt;0,"pagada","por pagar")</f>
        <v>por pagar</v>
      </c>
      <c r="AD2639" s="164" t="str">
        <f>+IF(AND(Tabla2[[#This Row],[venc]]="venc",Tabla2[[#This Row],[estado pago]]="por pagar"),"vencida","no")</f>
        <v>vencida</v>
      </c>
    </row>
    <row r="2640" spans="1:30" ht="19.5" hidden="1" customHeight="1" x14ac:dyDescent="0.25">
      <c r="A2640" s="8"/>
      <c r="B2640" s="8"/>
      <c r="C2640" s="8"/>
      <c r="D2640" s="151"/>
      <c r="E2640" s="151"/>
      <c r="F2640" s="24"/>
      <c r="G2640" s="30"/>
      <c r="H2640" s="81"/>
      <c r="I2640" s="30"/>
      <c r="J2640" s="16"/>
      <c r="K2640" s="9"/>
      <c r="L2640" s="9"/>
      <c r="M2640" s="152"/>
      <c r="N2640" s="153"/>
      <c r="O2640" s="152"/>
      <c r="P2640" s="154"/>
      <c r="Q2640" s="152"/>
      <c r="R2640" s="9"/>
      <c r="Z2640" s="21"/>
      <c r="AA2640" s="162">
        <f>+$AD$5-Tabla2[[#This Row],[FECHA DE FACTURACIÓN]]</f>
        <v>45443</v>
      </c>
      <c r="AB2640" s="163" t="str">
        <f>+IF(Tabla2[[#This Row],[dias de credito]]&gt;=Tabla2[[#This Row],[PLAZO Días]],"venc", "No venc")</f>
        <v>venc</v>
      </c>
      <c r="AC2640" s="163" t="str">
        <f>+IF(Tabla2[[#This Row],[FECHA DE PAGO]]&gt;0,"pagada","por pagar")</f>
        <v>por pagar</v>
      </c>
      <c r="AD2640" s="164" t="str">
        <f>+IF(AND(Tabla2[[#This Row],[venc]]="venc",Tabla2[[#This Row],[estado pago]]="por pagar"),"vencida","no")</f>
        <v>vencida</v>
      </c>
    </row>
    <row r="2641" spans="1:30" ht="19.5" hidden="1" customHeight="1" x14ac:dyDescent="0.25">
      <c r="A2641" s="8"/>
      <c r="B2641" s="8"/>
      <c r="C2641" s="8"/>
      <c r="D2641" s="151"/>
      <c r="E2641" s="151"/>
      <c r="F2641" s="24"/>
      <c r="G2641" s="30"/>
      <c r="H2641" s="81"/>
      <c r="I2641" s="30"/>
      <c r="J2641" s="16"/>
      <c r="K2641" s="9"/>
      <c r="L2641" s="9"/>
      <c r="M2641" s="152"/>
      <c r="N2641" s="153"/>
      <c r="O2641" s="152"/>
      <c r="P2641" s="154"/>
      <c r="Q2641" s="152"/>
      <c r="R2641" s="9"/>
      <c r="Z2641" s="21"/>
      <c r="AA2641" s="162">
        <f>+$AD$5-Tabla2[[#This Row],[FECHA DE FACTURACIÓN]]</f>
        <v>45443</v>
      </c>
      <c r="AB2641" s="163" t="str">
        <f>+IF(Tabla2[[#This Row],[dias de credito]]&gt;=Tabla2[[#This Row],[PLAZO Días]],"venc", "No venc")</f>
        <v>venc</v>
      </c>
      <c r="AC2641" s="163" t="str">
        <f>+IF(Tabla2[[#This Row],[FECHA DE PAGO]]&gt;0,"pagada","por pagar")</f>
        <v>por pagar</v>
      </c>
      <c r="AD2641" s="164" t="str">
        <f>+IF(AND(Tabla2[[#This Row],[venc]]="venc",Tabla2[[#This Row],[estado pago]]="por pagar"),"vencida","no")</f>
        <v>vencida</v>
      </c>
    </row>
    <row r="2642" spans="1:30" ht="19.5" hidden="1" customHeight="1" x14ac:dyDescent="0.25">
      <c r="A2642" s="8"/>
      <c r="B2642" s="8"/>
      <c r="C2642" s="8"/>
      <c r="D2642" s="151"/>
      <c r="E2642" s="151"/>
      <c r="F2642" s="24"/>
      <c r="G2642" s="30"/>
      <c r="H2642" s="81"/>
      <c r="I2642" s="30"/>
      <c r="J2642" s="16"/>
      <c r="K2642" s="9"/>
      <c r="L2642" s="9"/>
      <c r="M2642" s="152"/>
      <c r="N2642" s="153"/>
      <c r="O2642" s="152"/>
      <c r="P2642" s="154"/>
      <c r="Q2642" s="152"/>
      <c r="R2642" s="9"/>
      <c r="Z2642" s="21"/>
      <c r="AA2642" s="162">
        <f>+$AD$5-Tabla2[[#This Row],[FECHA DE FACTURACIÓN]]</f>
        <v>45443</v>
      </c>
      <c r="AB2642" s="163" t="str">
        <f>+IF(Tabla2[[#This Row],[dias de credito]]&gt;=Tabla2[[#This Row],[PLAZO Días]],"venc", "No venc")</f>
        <v>venc</v>
      </c>
      <c r="AC2642" s="163" t="str">
        <f>+IF(Tabla2[[#This Row],[FECHA DE PAGO]]&gt;0,"pagada","por pagar")</f>
        <v>por pagar</v>
      </c>
      <c r="AD2642" s="164" t="str">
        <f>+IF(AND(Tabla2[[#This Row],[venc]]="venc",Tabla2[[#This Row],[estado pago]]="por pagar"),"vencida","no")</f>
        <v>vencida</v>
      </c>
    </row>
    <row r="2643" spans="1:30" ht="19.5" hidden="1" customHeight="1" x14ac:dyDescent="0.25">
      <c r="A2643" s="8"/>
      <c r="B2643" s="8"/>
      <c r="C2643" s="8"/>
      <c r="D2643" s="151"/>
      <c r="E2643" s="151"/>
      <c r="F2643" s="24"/>
      <c r="G2643" s="30"/>
      <c r="H2643" s="81"/>
      <c r="I2643" s="30"/>
      <c r="J2643" s="16"/>
      <c r="K2643" s="9"/>
      <c r="L2643" s="9"/>
      <c r="M2643" s="152"/>
      <c r="N2643" s="153"/>
      <c r="O2643" s="152"/>
      <c r="P2643" s="154"/>
      <c r="Q2643" s="152"/>
      <c r="R2643" s="9"/>
      <c r="Z2643" s="21"/>
      <c r="AA2643" s="162">
        <f>+$AD$5-Tabla2[[#This Row],[FECHA DE FACTURACIÓN]]</f>
        <v>45443</v>
      </c>
      <c r="AB2643" s="163" t="str">
        <f>+IF(Tabla2[[#This Row],[dias de credito]]&gt;=Tabla2[[#This Row],[PLAZO Días]],"venc", "No venc")</f>
        <v>venc</v>
      </c>
      <c r="AC2643" s="163" t="str">
        <f>+IF(Tabla2[[#This Row],[FECHA DE PAGO]]&gt;0,"pagada","por pagar")</f>
        <v>por pagar</v>
      </c>
      <c r="AD2643" s="164" t="str">
        <f>+IF(AND(Tabla2[[#This Row],[venc]]="venc",Tabla2[[#This Row],[estado pago]]="por pagar"),"vencida","no")</f>
        <v>vencida</v>
      </c>
    </row>
    <row r="2644" spans="1:30" ht="19.5" hidden="1" customHeight="1" x14ac:dyDescent="0.25">
      <c r="A2644" s="8"/>
      <c r="B2644" s="8"/>
      <c r="C2644" s="8"/>
      <c r="D2644" s="151"/>
      <c r="E2644" s="151"/>
      <c r="F2644" s="24"/>
      <c r="G2644" s="30"/>
      <c r="H2644" s="81"/>
      <c r="I2644" s="30"/>
      <c r="J2644" s="16"/>
      <c r="K2644" s="9"/>
      <c r="L2644" s="9"/>
      <c r="M2644" s="152"/>
      <c r="N2644" s="153"/>
      <c r="O2644" s="152"/>
      <c r="P2644" s="154"/>
      <c r="Q2644" s="152"/>
      <c r="R2644" s="9"/>
      <c r="Z2644" s="21"/>
      <c r="AA2644" s="162">
        <f>+$AD$5-Tabla2[[#This Row],[FECHA DE FACTURACIÓN]]</f>
        <v>45443</v>
      </c>
      <c r="AB2644" s="163" t="str">
        <f>+IF(Tabla2[[#This Row],[dias de credito]]&gt;=Tabla2[[#This Row],[PLAZO Días]],"venc", "No venc")</f>
        <v>venc</v>
      </c>
      <c r="AC2644" s="163" t="str">
        <f>+IF(Tabla2[[#This Row],[FECHA DE PAGO]]&gt;0,"pagada","por pagar")</f>
        <v>por pagar</v>
      </c>
      <c r="AD2644" s="164" t="str">
        <f>+IF(AND(Tabla2[[#This Row],[venc]]="venc",Tabla2[[#This Row],[estado pago]]="por pagar"),"vencida","no")</f>
        <v>vencida</v>
      </c>
    </row>
    <row r="2645" spans="1:30" ht="19.5" hidden="1" customHeight="1" x14ac:dyDescent="0.25">
      <c r="A2645" s="8"/>
      <c r="B2645" s="8"/>
      <c r="C2645" s="8"/>
      <c r="D2645" s="151"/>
      <c r="E2645" s="151"/>
      <c r="F2645" s="24"/>
      <c r="G2645" s="30"/>
      <c r="H2645" s="81"/>
      <c r="I2645" s="30"/>
      <c r="J2645" s="16"/>
      <c r="K2645" s="9"/>
      <c r="L2645" s="9"/>
      <c r="M2645" s="152"/>
      <c r="N2645" s="153"/>
      <c r="O2645" s="152"/>
      <c r="P2645" s="154"/>
      <c r="Q2645" s="152"/>
      <c r="R2645" s="9"/>
      <c r="Z2645" s="21"/>
      <c r="AA2645" s="162">
        <f>+$AD$5-Tabla2[[#This Row],[FECHA DE FACTURACIÓN]]</f>
        <v>45443</v>
      </c>
      <c r="AB2645" s="163" t="str">
        <f>+IF(Tabla2[[#This Row],[dias de credito]]&gt;=Tabla2[[#This Row],[PLAZO Días]],"venc", "No venc")</f>
        <v>venc</v>
      </c>
      <c r="AC2645" s="163" t="str">
        <f>+IF(Tabla2[[#This Row],[FECHA DE PAGO]]&gt;0,"pagada","por pagar")</f>
        <v>por pagar</v>
      </c>
      <c r="AD2645" s="164" t="str">
        <f>+IF(AND(Tabla2[[#This Row],[venc]]="venc",Tabla2[[#This Row],[estado pago]]="por pagar"),"vencida","no")</f>
        <v>vencida</v>
      </c>
    </row>
    <row r="2646" spans="1:30" ht="19.5" hidden="1" customHeight="1" x14ac:dyDescent="0.25">
      <c r="A2646" s="8"/>
      <c r="B2646" s="8"/>
      <c r="C2646" s="8"/>
      <c r="D2646" s="151"/>
      <c r="E2646" s="151"/>
      <c r="F2646" s="24"/>
      <c r="G2646" s="30"/>
      <c r="H2646" s="81"/>
      <c r="I2646" s="30"/>
      <c r="J2646" s="16"/>
      <c r="K2646" s="9"/>
      <c r="L2646" s="9"/>
      <c r="M2646" s="152"/>
      <c r="N2646" s="153"/>
      <c r="O2646" s="152"/>
      <c r="P2646" s="154"/>
      <c r="Q2646" s="152"/>
      <c r="R2646" s="9"/>
      <c r="Z2646" s="21"/>
      <c r="AA2646" s="162">
        <f>+$AD$5-Tabla2[[#This Row],[FECHA DE FACTURACIÓN]]</f>
        <v>45443</v>
      </c>
      <c r="AB2646" s="163" t="str">
        <f>+IF(Tabla2[[#This Row],[dias de credito]]&gt;=Tabla2[[#This Row],[PLAZO Días]],"venc", "No venc")</f>
        <v>venc</v>
      </c>
      <c r="AC2646" s="163" t="str">
        <f>+IF(Tabla2[[#This Row],[FECHA DE PAGO]]&gt;0,"pagada","por pagar")</f>
        <v>por pagar</v>
      </c>
      <c r="AD2646" s="164" t="str">
        <f>+IF(AND(Tabla2[[#This Row],[venc]]="venc",Tabla2[[#This Row],[estado pago]]="por pagar"),"vencida","no")</f>
        <v>vencida</v>
      </c>
    </row>
    <row r="2647" spans="1:30" ht="19.5" hidden="1" customHeight="1" x14ac:dyDescent="0.25">
      <c r="A2647" s="8"/>
      <c r="B2647" s="8"/>
      <c r="C2647" s="8"/>
      <c r="D2647" s="151"/>
      <c r="E2647" s="151"/>
      <c r="F2647" s="24"/>
      <c r="G2647" s="30"/>
      <c r="H2647" s="81"/>
      <c r="I2647" s="30"/>
      <c r="J2647" s="16"/>
      <c r="K2647" s="9"/>
      <c r="L2647" s="9"/>
      <c r="M2647" s="152"/>
      <c r="N2647" s="153"/>
      <c r="O2647" s="152"/>
      <c r="P2647" s="154"/>
      <c r="Q2647" s="152"/>
      <c r="R2647" s="9"/>
      <c r="Z2647" s="21"/>
      <c r="AA2647" s="162">
        <f>+$AD$5-Tabla2[[#This Row],[FECHA DE FACTURACIÓN]]</f>
        <v>45443</v>
      </c>
      <c r="AB2647" s="163" t="str">
        <f>+IF(Tabla2[[#This Row],[dias de credito]]&gt;=Tabla2[[#This Row],[PLAZO Días]],"venc", "No venc")</f>
        <v>venc</v>
      </c>
      <c r="AC2647" s="163" t="str">
        <f>+IF(Tabla2[[#This Row],[FECHA DE PAGO]]&gt;0,"pagada","por pagar")</f>
        <v>por pagar</v>
      </c>
      <c r="AD2647" s="164" t="str">
        <f>+IF(AND(Tabla2[[#This Row],[venc]]="venc",Tabla2[[#This Row],[estado pago]]="por pagar"),"vencida","no")</f>
        <v>vencida</v>
      </c>
    </row>
    <row r="2648" spans="1:30" ht="19.5" hidden="1" customHeight="1" x14ac:dyDescent="0.25">
      <c r="A2648" s="8"/>
      <c r="B2648" s="8"/>
      <c r="C2648" s="8"/>
      <c r="D2648" s="151"/>
      <c r="E2648" s="151"/>
      <c r="F2648" s="24"/>
      <c r="G2648" s="30"/>
      <c r="H2648" s="81"/>
      <c r="I2648" s="30"/>
      <c r="J2648" s="16"/>
      <c r="K2648" s="9"/>
      <c r="L2648" s="9"/>
      <c r="M2648" s="152"/>
      <c r="N2648" s="153"/>
      <c r="O2648" s="152"/>
      <c r="P2648" s="154"/>
      <c r="Q2648" s="152"/>
      <c r="R2648" s="9"/>
      <c r="Z2648" s="21"/>
      <c r="AA2648" s="162">
        <f>+$AD$5-Tabla2[[#This Row],[FECHA DE FACTURACIÓN]]</f>
        <v>45443</v>
      </c>
      <c r="AB2648" s="163" t="str">
        <f>+IF(Tabla2[[#This Row],[dias de credito]]&gt;=Tabla2[[#This Row],[PLAZO Días]],"venc", "No venc")</f>
        <v>venc</v>
      </c>
      <c r="AC2648" s="163" t="str">
        <f>+IF(Tabla2[[#This Row],[FECHA DE PAGO]]&gt;0,"pagada","por pagar")</f>
        <v>por pagar</v>
      </c>
      <c r="AD2648" s="164" t="str">
        <f>+IF(AND(Tabla2[[#This Row],[venc]]="venc",Tabla2[[#This Row],[estado pago]]="por pagar"),"vencida","no")</f>
        <v>vencida</v>
      </c>
    </row>
    <row r="2649" spans="1:30" ht="19.5" hidden="1" customHeight="1" x14ac:dyDescent="0.25">
      <c r="A2649" s="8"/>
      <c r="B2649" s="8"/>
      <c r="C2649" s="8"/>
      <c r="D2649" s="151"/>
      <c r="E2649" s="151"/>
      <c r="F2649" s="24"/>
      <c r="G2649" s="30"/>
      <c r="H2649" s="81"/>
      <c r="I2649" s="30"/>
      <c r="J2649" s="16"/>
      <c r="K2649" s="9"/>
      <c r="L2649" s="9"/>
      <c r="M2649" s="152"/>
      <c r="N2649" s="153"/>
      <c r="O2649" s="152"/>
      <c r="P2649" s="154"/>
      <c r="Q2649" s="152"/>
      <c r="R2649" s="9"/>
      <c r="Z2649" s="21"/>
      <c r="AA2649" s="162">
        <f>+$AD$5-Tabla2[[#This Row],[FECHA DE FACTURACIÓN]]</f>
        <v>45443</v>
      </c>
      <c r="AB2649" s="163" t="str">
        <f>+IF(Tabla2[[#This Row],[dias de credito]]&gt;=Tabla2[[#This Row],[PLAZO Días]],"venc", "No venc")</f>
        <v>venc</v>
      </c>
      <c r="AC2649" s="163" t="str">
        <f>+IF(Tabla2[[#This Row],[FECHA DE PAGO]]&gt;0,"pagada","por pagar")</f>
        <v>por pagar</v>
      </c>
      <c r="AD2649" s="164" t="str">
        <f>+IF(AND(Tabla2[[#This Row],[venc]]="venc",Tabla2[[#This Row],[estado pago]]="por pagar"),"vencida","no")</f>
        <v>vencida</v>
      </c>
    </row>
    <row r="2650" spans="1:30" ht="19.5" hidden="1" customHeight="1" x14ac:dyDescent="0.25">
      <c r="A2650" s="8"/>
      <c r="B2650" s="8"/>
      <c r="C2650" s="8"/>
      <c r="D2650" s="151"/>
      <c r="E2650" s="151"/>
      <c r="F2650" s="24"/>
      <c r="G2650" s="30"/>
      <c r="H2650" s="81"/>
      <c r="I2650" s="30"/>
      <c r="J2650" s="16"/>
      <c r="K2650" s="9"/>
      <c r="L2650" s="9"/>
      <c r="M2650" s="152"/>
      <c r="N2650" s="153"/>
      <c r="O2650" s="152"/>
      <c r="P2650" s="154"/>
      <c r="Q2650" s="152"/>
      <c r="R2650" s="9"/>
      <c r="Z2650" s="21"/>
      <c r="AA2650" s="162">
        <f>+$AD$5-Tabla2[[#This Row],[FECHA DE FACTURACIÓN]]</f>
        <v>45443</v>
      </c>
      <c r="AB2650" s="163" t="str">
        <f>+IF(Tabla2[[#This Row],[dias de credito]]&gt;=Tabla2[[#This Row],[PLAZO Días]],"venc", "No venc")</f>
        <v>venc</v>
      </c>
      <c r="AC2650" s="163" t="str">
        <f>+IF(Tabla2[[#This Row],[FECHA DE PAGO]]&gt;0,"pagada","por pagar")</f>
        <v>por pagar</v>
      </c>
      <c r="AD2650" s="164" t="str">
        <f>+IF(AND(Tabla2[[#This Row],[venc]]="venc",Tabla2[[#This Row],[estado pago]]="por pagar"),"vencida","no")</f>
        <v>vencida</v>
      </c>
    </row>
    <row r="2651" spans="1:30" ht="19.5" hidden="1" customHeight="1" x14ac:dyDescent="0.25">
      <c r="A2651" s="8"/>
      <c r="B2651" s="8"/>
      <c r="C2651" s="8"/>
      <c r="D2651" s="151"/>
      <c r="E2651" s="151"/>
      <c r="F2651" s="24"/>
      <c r="G2651" s="30"/>
      <c r="H2651" s="81"/>
      <c r="I2651" s="30"/>
      <c r="J2651" s="16"/>
      <c r="K2651" s="9"/>
      <c r="L2651" s="9"/>
      <c r="M2651" s="152"/>
      <c r="N2651" s="153"/>
      <c r="O2651" s="152"/>
      <c r="P2651" s="154"/>
      <c r="Q2651" s="152"/>
      <c r="R2651" s="9"/>
      <c r="Z2651" s="21"/>
      <c r="AA2651" s="162">
        <f>+$AD$5-Tabla2[[#This Row],[FECHA DE FACTURACIÓN]]</f>
        <v>45443</v>
      </c>
      <c r="AB2651" s="163" t="str">
        <f>+IF(Tabla2[[#This Row],[dias de credito]]&gt;=Tabla2[[#This Row],[PLAZO Días]],"venc", "No venc")</f>
        <v>venc</v>
      </c>
      <c r="AC2651" s="163" t="str">
        <f>+IF(Tabla2[[#This Row],[FECHA DE PAGO]]&gt;0,"pagada","por pagar")</f>
        <v>por pagar</v>
      </c>
      <c r="AD2651" s="164" t="str">
        <f>+IF(AND(Tabla2[[#This Row],[venc]]="venc",Tabla2[[#This Row],[estado pago]]="por pagar"),"vencida","no")</f>
        <v>vencida</v>
      </c>
    </row>
    <row r="2652" spans="1:30" ht="19.5" hidden="1" customHeight="1" x14ac:dyDescent="0.25">
      <c r="A2652" s="8"/>
      <c r="B2652" s="8"/>
      <c r="C2652" s="8"/>
      <c r="D2652" s="151"/>
      <c r="E2652" s="151"/>
      <c r="F2652" s="24"/>
      <c r="G2652" s="30"/>
      <c r="H2652" s="81"/>
      <c r="I2652" s="30"/>
      <c r="J2652" s="16"/>
      <c r="K2652" s="9"/>
      <c r="L2652" s="9"/>
      <c r="M2652" s="152"/>
      <c r="N2652" s="153"/>
      <c r="O2652" s="152"/>
      <c r="P2652" s="154"/>
      <c r="Q2652" s="152"/>
      <c r="R2652" s="9"/>
      <c r="Z2652" s="21"/>
      <c r="AA2652" s="162">
        <f>+$AD$5-Tabla2[[#This Row],[FECHA DE FACTURACIÓN]]</f>
        <v>45443</v>
      </c>
      <c r="AB2652" s="163" t="str">
        <f>+IF(Tabla2[[#This Row],[dias de credito]]&gt;=Tabla2[[#This Row],[PLAZO Días]],"venc", "No venc")</f>
        <v>venc</v>
      </c>
      <c r="AC2652" s="163" t="str">
        <f>+IF(Tabla2[[#This Row],[FECHA DE PAGO]]&gt;0,"pagada","por pagar")</f>
        <v>por pagar</v>
      </c>
      <c r="AD2652" s="164" t="str">
        <f>+IF(AND(Tabla2[[#This Row],[venc]]="venc",Tabla2[[#This Row],[estado pago]]="por pagar"),"vencida","no")</f>
        <v>vencida</v>
      </c>
    </row>
    <row r="2653" spans="1:30" ht="19.5" hidden="1" customHeight="1" x14ac:dyDescent="0.25">
      <c r="A2653" s="8"/>
      <c r="B2653" s="8"/>
      <c r="C2653" s="8"/>
      <c r="D2653" s="151"/>
      <c r="E2653" s="151"/>
      <c r="F2653" s="24"/>
      <c r="G2653" s="30"/>
      <c r="H2653" s="81"/>
      <c r="I2653" s="30"/>
      <c r="J2653" s="16"/>
      <c r="K2653" s="9"/>
      <c r="L2653" s="9"/>
      <c r="M2653" s="152"/>
      <c r="N2653" s="153"/>
      <c r="O2653" s="152"/>
      <c r="P2653" s="154"/>
      <c r="Q2653" s="152"/>
      <c r="R2653" s="9"/>
      <c r="Z2653" s="21"/>
      <c r="AA2653" s="162">
        <f>+$AD$5-Tabla2[[#This Row],[FECHA DE FACTURACIÓN]]</f>
        <v>45443</v>
      </c>
      <c r="AB2653" s="163" t="str">
        <f>+IF(Tabla2[[#This Row],[dias de credito]]&gt;=Tabla2[[#This Row],[PLAZO Días]],"venc", "No venc")</f>
        <v>venc</v>
      </c>
      <c r="AC2653" s="163" t="str">
        <f>+IF(Tabla2[[#This Row],[FECHA DE PAGO]]&gt;0,"pagada","por pagar")</f>
        <v>por pagar</v>
      </c>
      <c r="AD2653" s="164" t="str">
        <f>+IF(AND(Tabla2[[#This Row],[venc]]="venc",Tabla2[[#This Row],[estado pago]]="por pagar"),"vencida","no")</f>
        <v>vencida</v>
      </c>
    </row>
    <row r="2654" spans="1:30" ht="19.5" hidden="1" customHeight="1" x14ac:dyDescent="0.25">
      <c r="A2654" s="8"/>
      <c r="B2654" s="8"/>
      <c r="C2654" s="8"/>
      <c r="D2654" s="151"/>
      <c r="E2654" s="151"/>
      <c r="F2654" s="24"/>
      <c r="G2654" s="30"/>
      <c r="H2654" s="81"/>
      <c r="I2654" s="30"/>
      <c r="J2654" s="16"/>
      <c r="K2654" s="9"/>
      <c r="L2654" s="9"/>
      <c r="M2654" s="152"/>
      <c r="N2654" s="153"/>
      <c r="O2654" s="152"/>
      <c r="P2654" s="154"/>
      <c r="Q2654" s="152"/>
      <c r="R2654" s="9"/>
      <c r="Z2654" s="21"/>
      <c r="AA2654" s="162">
        <f>+$AD$5-Tabla2[[#This Row],[FECHA DE FACTURACIÓN]]</f>
        <v>45443</v>
      </c>
      <c r="AB2654" s="163" t="str">
        <f>+IF(Tabla2[[#This Row],[dias de credito]]&gt;=Tabla2[[#This Row],[PLAZO Días]],"venc", "No venc")</f>
        <v>venc</v>
      </c>
      <c r="AC2654" s="163" t="str">
        <f>+IF(Tabla2[[#This Row],[FECHA DE PAGO]]&gt;0,"pagada","por pagar")</f>
        <v>por pagar</v>
      </c>
      <c r="AD2654" s="164" t="str">
        <f>+IF(AND(Tabla2[[#This Row],[venc]]="venc",Tabla2[[#This Row],[estado pago]]="por pagar"),"vencida","no")</f>
        <v>vencida</v>
      </c>
    </row>
    <row r="2655" spans="1:30" ht="19.5" hidden="1" customHeight="1" x14ac:dyDescent="0.25">
      <c r="A2655" s="8"/>
      <c r="B2655" s="8"/>
      <c r="C2655" s="8"/>
      <c r="D2655" s="151"/>
      <c r="E2655" s="151"/>
      <c r="F2655" s="24"/>
      <c r="G2655" s="30"/>
      <c r="H2655" s="81"/>
      <c r="I2655" s="30"/>
      <c r="J2655" s="16"/>
      <c r="K2655" s="9"/>
      <c r="L2655" s="9"/>
      <c r="M2655" s="152"/>
      <c r="N2655" s="153"/>
      <c r="O2655" s="152"/>
      <c r="P2655" s="154"/>
      <c r="Q2655" s="152"/>
      <c r="R2655" s="9"/>
      <c r="Z2655" s="21"/>
      <c r="AA2655" s="162">
        <f>+$AD$5-Tabla2[[#This Row],[FECHA DE FACTURACIÓN]]</f>
        <v>45443</v>
      </c>
      <c r="AB2655" s="163" t="str">
        <f>+IF(Tabla2[[#This Row],[dias de credito]]&gt;=Tabla2[[#This Row],[PLAZO Días]],"venc", "No venc")</f>
        <v>venc</v>
      </c>
      <c r="AC2655" s="163" t="str">
        <f>+IF(Tabla2[[#This Row],[FECHA DE PAGO]]&gt;0,"pagada","por pagar")</f>
        <v>por pagar</v>
      </c>
      <c r="AD2655" s="164" t="str">
        <f>+IF(AND(Tabla2[[#This Row],[venc]]="venc",Tabla2[[#This Row],[estado pago]]="por pagar"),"vencida","no")</f>
        <v>vencida</v>
      </c>
    </row>
    <row r="2656" spans="1:30" ht="19.5" hidden="1" customHeight="1" x14ac:dyDescent="0.25">
      <c r="A2656" s="8"/>
      <c r="B2656" s="8"/>
      <c r="C2656" s="8"/>
      <c r="D2656" s="151"/>
      <c r="E2656" s="151"/>
      <c r="F2656" s="24"/>
      <c r="G2656" s="30"/>
      <c r="H2656" s="81"/>
      <c r="I2656" s="30"/>
      <c r="J2656" s="16"/>
      <c r="K2656" s="9"/>
      <c r="L2656" s="9"/>
      <c r="M2656" s="152"/>
      <c r="N2656" s="153"/>
      <c r="O2656" s="152"/>
      <c r="P2656" s="154"/>
      <c r="Q2656" s="152"/>
      <c r="R2656" s="9"/>
      <c r="Z2656" s="21"/>
      <c r="AA2656" s="162">
        <f>+$AD$5-Tabla2[[#This Row],[FECHA DE FACTURACIÓN]]</f>
        <v>45443</v>
      </c>
      <c r="AB2656" s="163" t="str">
        <f>+IF(Tabla2[[#This Row],[dias de credito]]&gt;=Tabla2[[#This Row],[PLAZO Días]],"venc", "No venc")</f>
        <v>venc</v>
      </c>
      <c r="AC2656" s="163" t="str">
        <f>+IF(Tabla2[[#This Row],[FECHA DE PAGO]]&gt;0,"pagada","por pagar")</f>
        <v>por pagar</v>
      </c>
      <c r="AD2656" s="164" t="str">
        <f>+IF(AND(Tabla2[[#This Row],[venc]]="venc",Tabla2[[#This Row],[estado pago]]="por pagar"),"vencida","no")</f>
        <v>vencida</v>
      </c>
    </row>
    <row r="2657" spans="1:30" ht="19.5" hidden="1" customHeight="1" x14ac:dyDescent="0.25">
      <c r="A2657" s="8"/>
      <c r="B2657" s="8"/>
      <c r="C2657" s="8"/>
      <c r="D2657" s="151"/>
      <c r="E2657" s="151"/>
      <c r="F2657" s="24"/>
      <c r="G2657" s="30"/>
      <c r="H2657" s="81"/>
      <c r="I2657" s="30"/>
      <c r="J2657" s="16"/>
      <c r="K2657" s="9"/>
      <c r="L2657" s="9"/>
      <c r="M2657" s="152"/>
      <c r="N2657" s="153"/>
      <c r="O2657" s="152"/>
      <c r="P2657" s="154"/>
      <c r="Q2657" s="152"/>
      <c r="R2657" s="9"/>
      <c r="Z2657" s="21"/>
      <c r="AA2657" s="162">
        <f>+$AD$5-Tabla2[[#This Row],[FECHA DE FACTURACIÓN]]</f>
        <v>45443</v>
      </c>
      <c r="AB2657" s="163" t="str">
        <f>+IF(Tabla2[[#This Row],[dias de credito]]&gt;=Tabla2[[#This Row],[PLAZO Días]],"venc", "No venc")</f>
        <v>venc</v>
      </c>
      <c r="AC2657" s="163" t="str">
        <f>+IF(Tabla2[[#This Row],[FECHA DE PAGO]]&gt;0,"pagada","por pagar")</f>
        <v>por pagar</v>
      </c>
      <c r="AD2657" s="164" t="str">
        <f>+IF(AND(Tabla2[[#This Row],[venc]]="venc",Tabla2[[#This Row],[estado pago]]="por pagar"),"vencida","no")</f>
        <v>vencida</v>
      </c>
    </row>
    <row r="2658" spans="1:30" ht="19.5" hidden="1" customHeight="1" x14ac:dyDescent="0.25">
      <c r="A2658" s="8"/>
      <c r="B2658" s="8"/>
      <c r="C2658" s="8"/>
      <c r="D2658" s="151"/>
      <c r="E2658" s="151"/>
      <c r="F2658" s="24"/>
      <c r="G2658" s="30"/>
      <c r="H2658" s="81"/>
      <c r="I2658" s="30"/>
      <c r="J2658" s="16"/>
      <c r="K2658" s="9"/>
      <c r="L2658" s="9"/>
      <c r="M2658" s="152"/>
      <c r="N2658" s="153"/>
      <c r="O2658" s="152"/>
      <c r="P2658" s="154"/>
      <c r="Q2658" s="152"/>
      <c r="R2658" s="9"/>
      <c r="Z2658" s="21"/>
      <c r="AA2658" s="162">
        <f>+$AD$5-Tabla2[[#This Row],[FECHA DE FACTURACIÓN]]</f>
        <v>45443</v>
      </c>
      <c r="AB2658" s="163" t="str">
        <f>+IF(Tabla2[[#This Row],[dias de credito]]&gt;=Tabla2[[#This Row],[PLAZO Días]],"venc", "No venc")</f>
        <v>venc</v>
      </c>
      <c r="AC2658" s="163" t="str">
        <f>+IF(Tabla2[[#This Row],[FECHA DE PAGO]]&gt;0,"pagada","por pagar")</f>
        <v>por pagar</v>
      </c>
      <c r="AD2658" s="164" t="str">
        <f>+IF(AND(Tabla2[[#This Row],[venc]]="venc",Tabla2[[#This Row],[estado pago]]="por pagar"),"vencida","no")</f>
        <v>vencida</v>
      </c>
    </row>
    <row r="2659" spans="1:30" ht="19.5" hidden="1" customHeight="1" x14ac:dyDescent="0.25">
      <c r="A2659" s="8"/>
      <c r="B2659" s="8"/>
      <c r="C2659" s="8"/>
      <c r="D2659" s="151"/>
      <c r="E2659" s="151"/>
      <c r="F2659" s="24"/>
      <c r="G2659" s="30"/>
      <c r="H2659" s="81"/>
      <c r="I2659" s="30"/>
      <c r="J2659" s="16"/>
      <c r="K2659" s="9"/>
      <c r="L2659" s="9"/>
      <c r="M2659" s="152"/>
      <c r="N2659" s="153"/>
      <c r="O2659" s="152"/>
      <c r="P2659" s="154"/>
      <c r="Q2659" s="152"/>
      <c r="R2659" s="9"/>
      <c r="Z2659" s="21"/>
      <c r="AA2659" s="162">
        <f>+$AD$5-Tabla2[[#This Row],[FECHA DE FACTURACIÓN]]</f>
        <v>45443</v>
      </c>
      <c r="AB2659" s="163" t="str">
        <f>+IF(Tabla2[[#This Row],[dias de credito]]&gt;=Tabla2[[#This Row],[PLAZO Días]],"venc", "No venc")</f>
        <v>venc</v>
      </c>
      <c r="AC2659" s="163" t="str">
        <f>+IF(Tabla2[[#This Row],[FECHA DE PAGO]]&gt;0,"pagada","por pagar")</f>
        <v>por pagar</v>
      </c>
      <c r="AD2659" s="164" t="str">
        <f>+IF(AND(Tabla2[[#This Row],[venc]]="venc",Tabla2[[#This Row],[estado pago]]="por pagar"),"vencida","no")</f>
        <v>vencida</v>
      </c>
    </row>
    <row r="2660" spans="1:30" ht="19.5" hidden="1" customHeight="1" x14ac:dyDescent="0.25">
      <c r="A2660" s="8"/>
      <c r="B2660" s="8"/>
      <c r="C2660" s="8"/>
      <c r="D2660" s="151"/>
      <c r="E2660" s="151"/>
      <c r="F2660" s="24"/>
      <c r="G2660" s="30"/>
      <c r="H2660" s="81"/>
      <c r="I2660" s="30"/>
      <c r="J2660" s="16"/>
      <c r="K2660" s="9"/>
      <c r="L2660" s="9"/>
      <c r="M2660" s="152"/>
      <c r="N2660" s="153"/>
      <c r="O2660" s="152"/>
      <c r="P2660" s="154"/>
      <c r="Q2660" s="152"/>
      <c r="R2660" s="9"/>
      <c r="Z2660" s="21"/>
      <c r="AA2660" s="162">
        <f>+$AD$5-Tabla2[[#This Row],[FECHA DE FACTURACIÓN]]</f>
        <v>45443</v>
      </c>
      <c r="AB2660" s="163" t="str">
        <f>+IF(Tabla2[[#This Row],[dias de credito]]&gt;=Tabla2[[#This Row],[PLAZO Días]],"venc", "No venc")</f>
        <v>venc</v>
      </c>
      <c r="AC2660" s="163" t="str">
        <f>+IF(Tabla2[[#This Row],[FECHA DE PAGO]]&gt;0,"pagada","por pagar")</f>
        <v>por pagar</v>
      </c>
      <c r="AD2660" s="164" t="str">
        <f>+IF(AND(Tabla2[[#This Row],[venc]]="venc",Tabla2[[#This Row],[estado pago]]="por pagar"),"vencida","no")</f>
        <v>vencida</v>
      </c>
    </row>
    <row r="2661" spans="1:30" ht="19.5" hidden="1" customHeight="1" x14ac:dyDescent="0.25">
      <c r="A2661" s="8"/>
      <c r="B2661" s="8"/>
      <c r="C2661" s="8"/>
      <c r="D2661" s="151"/>
      <c r="E2661" s="151"/>
      <c r="F2661" s="24"/>
      <c r="G2661" s="30"/>
      <c r="H2661" s="81"/>
      <c r="I2661" s="30"/>
      <c r="J2661" s="16"/>
      <c r="K2661" s="9"/>
      <c r="L2661" s="9"/>
      <c r="M2661" s="152"/>
      <c r="N2661" s="153"/>
      <c r="O2661" s="152"/>
      <c r="P2661" s="154"/>
      <c r="Q2661" s="152"/>
      <c r="R2661" s="9"/>
      <c r="Z2661" s="21"/>
      <c r="AA2661" s="162">
        <f>+$AD$5-Tabla2[[#This Row],[FECHA DE FACTURACIÓN]]</f>
        <v>45443</v>
      </c>
      <c r="AB2661" s="163" t="str">
        <f>+IF(Tabla2[[#This Row],[dias de credito]]&gt;=Tabla2[[#This Row],[PLAZO Días]],"venc", "No venc")</f>
        <v>venc</v>
      </c>
      <c r="AC2661" s="163" t="str">
        <f>+IF(Tabla2[[#This Row],[FECHA DE PAGO]]&gt;0,"pagada","por pagar")</f>
        <v>por pagar</v>
      </c>
      <c r="AD2661" s="164" t="str">
        <f>+IF(AND(Tabla2[[#This Row],[venc]]="venc",Tabla2[[#This Row],[estado pago]]="por pagar"),"vencida","no")</f>
        <v>vencida</v>
      </c>
    </row>
    <row r="2662" spans="1:30" ht="19.5" hidden="1" customHeight="1" x14ac:dyDescent="0.25">
      <c r="A2662" s="8"/>
      <c r="B2662" s="8"/>
      <c r="C2662" s="8"/>
      <c r="D2662" s="151"/>
      <c r="E2662" s="151"/>
      <c r="F2662" s="24"/>
      <c r="G2662" s="30"/>
      <c r="H2662" s="81"/>
      <c r="I2662" s="30"/>
      <c r="J2662" s="16"/>
      <c r="K2662" s="9"/>
      <c r="L2662" s="9"/>
      <c r="M2662" s="152"/>
      <c r="N2662" s="153"/>
      <c r="O2662" s="152"/>
      <c r="P2662" s="154"/>
      <c r="Q2662" s="152"/>
      <c r="R2662" s="9"/>
      <c r="Z2662" s="21"/>
      <c r="AA2662" s="162">
        <f>+$AD$5-Tabla2[[#This Row],[FECHA DE FACTURACIÓN]]</f>
        <v>45443</v>
      </c>
      <c r="AB2662" s="163" t="str">
        <f>+IF(Tabla2[[#This Row],[dias de credito]]&gt;=Tabla2[[#This Row],[PLAZO Días]],"venc", "No venc")</f>
        <v>venc</v>
      </c>
      <c r="AC2662" s="163" t="str">
        <f>+IF(Tabla2[[#This Row],[FECHA DE PAGO]]&gt;0,"pagada","por pagar")</f>
        <v>por pagar</v>
      </c>
      <c r="AD2662" s="164" t="str">
        <f>+IF(AND(Tabla2[[#This Row],[venc]]="venc",Tabla2[[#This Row],[estado pago]]="por pagar"),"vencida","no")</f>
        <v>vencida</v>
      </c>
    </row>
    <row r="2663" spans="1:30" ht="19.5" hidden="1" customHeight="1" x14ac:dyDescent="0.25">
      <c r="A2663" s="8"/>
      <c r="B2663" s="8"/>
      <c r="C2663" s="8"/>
      <c r="D2663" s="151"/>
      <c r="E2663" s="151"/>
      <c r="F2663" s="24"/>
      <c r="G2663" s="30"/>
      <c r="H2663" s="81"/>
      <c r="I2663" s="30"/>
      <c r="J2663" s="16"/>
      <c r="K2663" s="9"/>
      <c r="L2663" s="9"/>
      <c r="M2663" s="152"/>
      <c r="N2663" s="153"/>
      <c r="O2663" s="152"/>
      <c r="P2663" s="154"/>
      <c r="Q2663" s="152"/>
      <c r="R2663" s="9"/>
      <c r="Z2663" s="21"/>
      <c r="AA2663" s="162">
        <f>+$AD$5-Tabla2[[#This Row],[FECHA DE FACTURACIÓN]]</f>
        <v>45443</v>
      </c>
      <c r="AB2663" s="163" t="str">
        <f>+IF(Tabla2[[#This Row],[dias de credito]]&gt;=Tabla2[[#This Row],[PLAZO Días]],"venc", "No venc")</f>
        <v>venc</v>
      </c>
      <c r="AC2663" s="163" t="str">
        <f>+IF(Tabla2[[#This Row],[FECHA DE PAGO]]&gt;0,"pagada","por pagar")</f>
        <v>por pagar</v>
      </c>
      <c r="AD2663" s="164" t="str">
        <f>+IF(AND(Tabla2[[#This Row],[venc]]="venc",Tabla2[[#This Row],[estado pago]]="por pagar"),"vencida","no")</f>
        <v>vencida</v>
      </c>
    </row>
    <row r="2664" spans="1:30" ht="19.5" hidden="1" customHeight="1" x14ac:dyDescent="0.25">
      <c r="A2664" s="8"/>
      <c r="B2664" s="8"/>
      <c r="C2664" s="8"/>
      <c r="D2664" s="151"/>
      <c r="E2664" s="151"/>
      <c r="F2664" s="24"/>
      <c r="G2664" s="30"/>
      <c r="H2664" s="81"/>
      <c r="I2664" s="30"/>
      <c r="J2664" s="16"/>
      <c r="K2664" s="9"/>
      <c r="L2664" s="9"/>
      <c r="M2664" s="152"/>
      <c r="N2664" s="153"/>
      <c r="O2664" s="152"/>
      <c r="P2664" s="154"/>
      <c r="Q2664" s="152"/>
      <c r="R2664" s="9"/>
      <c r="Z2664" s="21"/>
      <c r="AA2664" s="162">
        <f>+$AD$5-Tabla2[[#This Row],[FECHA DE FACTURACIÓN]]</f>
        <v>45443</v>
      </c>
      <c r="AB2664" s="163" t="str">
        <f>+IF(Tabla2[[#This Row],[dias de credito]]&gt;=Tabla2[[#This Row],[PLAZO Días]],"venc", "No venc")</f>
        <v>venc</v>
      </c>
      <c r="AC2664" s="163" t="str">
        <f>+IF(Tabla2[[#This Row],[FECHA DE PAGO]]&gt;0,"pagada","por pagar")</f>
        <v>por pagar</v>
      </c>
      <c r="AD2664" s="164" t="str">
        <f>+IF(AND(Tabla2[[#This Row],[venc]]="venc",Tabla2[[#This Row],[estado pago]]="por pagar"),"vencida","no")</f>
        <v>vencida</v>
      </c>
    </row>
    <row r="2665" spans="1:30" ht="19.5" hidden="1" customHeight="1" x14ac:dyDescent="0.25">
      <c r="A2665" s="8"/>
      <c r="B2665" s="8"/>
      <c r="C2665" s="8"/>
      <c r="D2665" s="151"/>
      <c r="E2665" s="151"/>
      <c r="F2665" s="24"/>
      <c r="G2665" s="30"/>
      <c r="H2665" s="81"/>
      <c r="I2665" s="30"/>
      <c r="J2665" s="16"/>
      <c r="K2665" s="9"/>
      <c r="L2665" s="9"/>
      <c r="M2665" s="152"/>
      <c r="N2665" s="153"/>
      <c r="O2665" s="152"/>
      <c r="P2665" s="154"/>
      <c r="Q2665" s="152"/>
      <c r="R2665" s="9"/>
      <c r="Z2665" s="21"/>
      <c r="AA2665" s="162">
        <f>+$AD$5-Tabla2[[#This Row],[FECHA DE FACTURACIÓN]]</f>
        <v>45443</v>
      </c>
      <c r="AB2665" s="163" t="str">
        <f>+IF(Tabla2[[#This Row],[dias de credito]]&gt;=Tabla2[[#This Row],[PLAZO Días]],"venc", "No venc")</f>
        <v>venc</v>
      </c>
      <c r="AC2665" s="163" t="str">
        <f>+IF(Tabla2[[#This Row],[FECHA DE PAGO]]&gt;0,"pagada","por pagar")</f>
        <v>por pagar</v>
      </c>
      <c r="AD2665" s="164" t="str">
        <f>+IF(AND(Tabla2[[#This Row],[venc]]="venc",Tabla2[[#This Row],[estado pago]]="por pagar"),"vencida","no")</f>
        <v>vencida</v>
      </c>
    </row>
    <row r="2666" spans="1:30" ht="19.5" hidden="1" customHeight="1" x14ac:dyDescent="0.25">
      <c r="A2666" s="8"/>
      <c r="B2666" s="8"/>
      <c r="C2666" s="8"/>
      <c r="D2666" s="151"/>
      <c r="E2666" s="151"/>
      <c r="F2666" s="24"/>
      <c r="G2666" s="30"/>
      <c r="H2666" s="81"/>
      <c r="I2666" s="30"/>
      <c r="J2666" s="16"/>
      <c r="K2666" s="9"/>
      <c r="L2666" s="9"/>
      <c r="M2666" s="152"/>
      <c r="N2666" s="153"/>
      <c r="O2666" s="152"/>
      <c r="P2666" s="154"/>
      <c r="Q2666" s="152"/>
      <c r="R2666" s="9"/>
      <c r="Z2666" s="21"/>
      <c r="AA2666" s="162">
        <f>+$AD$5-Tabla2[[#This Row],[FECHA DE FACTURACIÓN]]</f>
        <v>45443</v>
      </c>
      <c r="AB2666" s="163" t="str">
        <f>+IF(Tabla2[[#This Row],[dias de credito]]&gt;=Tabla2[[#This Row],[PLAZO Días]],"venc", "No venc")</f>
        <v>venc</v>
      </c>
      <c r="AC2666" s="163" t="str">
        <f>+IF(Tabla2[[#This Row],[FECHA DE PAGO]]&gt;0,"pagada","por pagar")</f>
        <v>por pagar</v>
      </c>
      <c r="AD2666" s="164" t="str">
        <f>+IF(AND(Tabla2[[#This Row],[venc]]="venc",Tabla2[[#This Row],[estado pago]]="por pagar"),"vencida","no")</f>
        <v>vencida</v>
      </c>
    </row>
    <row r="2667" spans="1:30" ht="19.5" hidden="1" customHeight="1" x14ac:dyDescent="0.25">
      <c r="A2667" s="8"/>
      <c r="B2667" s="8"/>
      <c r="C2667" s="8"/>
      <c r="D2667" s="151"/>
      <c r="E2667" s="151"/>
      <c r="F2667" s="24"/>
      <c r="G2667" s="30"/>
      <c r="H2667" s="81"/>
      <c r="I2667" s="30"/>
      <c r="J2667" s="16"/>
      <c r="K2667" s="9"/>
      <c r="L2667" s="9"/>
      <c r="M2667" s="152"/>
      <c r="N2667" s="153"/>
      <c r="O2667" s="152"/>
      <c r="P2667" s="154"/>
      <c r="Q2667" s="152"/>
      <c r="R2667" s="9"/>
      <c r="Z2667" s="21"/>
      <c r="AA2667" s="162">
        <f>+$AD$5-Tabla2[[#This Row],[FECHA DE FACTURACIÓN]]</f>
        <v>45443</v>
      </c>
      <c r="AB2667" s="163" t="str">
        <f>+IF(Tabla2[[#This Row],[dias de credito]]&gt;=Tabla2[[#This Row],[PLAZO Días]],"venc", "No venc")</f>
        <v>venc</v>
      </c>
      <c r="AC2667" s="163" t="str">
        <f>+IF(Tabla2[[#This Row],[FECHA DE PAGO]]&gt;0,"pagada","por pagar")</f>
        <v>por pagar</v>
      </c>
      <c r="AD2667" s="164" t="str">
        <f>+IF(AND(Tabla2[[#This Row],[venc]]="venc",Tabla2[[#This Row],[estado pago]]="por pagar"),"vencida","no")</f>
        <v>vencida</v>
      </c>
    </row>
    <row r="2668" spans="1:30" ht="19.5" hidden="1" customHeight="1" x14ac:dyDescent="0.25">
      <c r="A2668" s="8"/>
      <c r="B2668" s="8"/>
      <c r="C2668" s="8"/>
      <c r="D2668" s="151"/>
      <c r="E2668" s="151"/>
      <c r="F2668" s="24"/>
      <c r="G2668" s="30"/>
      <c r="H2668" s="81"/>
      <c r="I2668" s="30"/>
      <c r="J2668" s="16"/>
      <c r="K2668" s="9"/>
      <c r="L2668" s="9"/>
      <c r="M2668" s="152"/>
      <c r="N2668" s="153"/>
      <c r="O2668" s="152"/>
      <c r="P2668" s="154"/>
      <c r="Q2668" s="152"/>
      <c r="R2668" s="9"/>
      <c r="Z2668" s="21"/>
      <c r="AA2668" s="162">
        <f>+$AD$5-Tabla2[[#This Row],[FECHA DE FACTURACIÓN]]</f>
        <v>45443</v>
      </c>
      <c r="AB2668" s="163" t="str">
        <f>+IF(Tabla2[[#This Row],[dias de credito]]&gt;=Tabla2[[#This Row],[PLAZO Días]],"venc", "No venc")</f>
        <v>venc</v>
      </c>
      <c r="AC2668" s="163" t="str">
        <f>+IF(Tabla2[[#This Row],[FECHA DE PAGO]]&gt;0,"pagada","por pagar")</f>
        <v>por pagar</v>
      </c>
      <c r="AD2668" s="164" t="str">
        <f>+IF(AND(Tabla2[[#This Row],[venc]]="venc",Tabla2[[#This Row],[estado pago]]="por pagar"),"vencida","no")</f>
        <v>vencida</v>
      </c>
    </row>
    <row r="2669" spans="1:30" ht="19.5" hidden="1" customHeight="1" x14ac:dyDescent="0.25">
      <c r="A2669" s="8"/>
      <c r="B2669" s="8"/>
      <c r="C2669" s="8"/>
      <c r="D2669" s="151"/>
      <c r="E2669" s="151"/>
      <c r="F2669" s="24"/>
      <c r="G2669" s="30"/>
      <c r="H2669" s="81"/>
      <c r="I2669" s="30"/>
      <c r="J2669" s="16"/>
      <c r="K2669" s="9"/>
      <c r="L2669" s="9"/>
      <c r="M2669" s="152"/>
      <c r="N2669" s="153"/>
      <c r="O2669" s="152"/>
      <c r="P2669" s="154"/>
      <c r="Q2669" s="152"/>
      <c r="R2669" s="9"/>
      <c r="Z2669" s="21"/>
      <c r="AA2669" s="162">
        <f>+$AD$5-Tabla2[[#This Row],[FECHA DE FACTURACIÓN]]</f>
        <v>45443</v>
      </c>
      <c r="AB2669" s="163" t="str">
        <f>+IF(Tabla2[[#This Row],[dias de credito]]&gt;=Tabla2[[#This Row],[PLAZO Días]],"venc", "No venc")</f>
        <v>venc</v>
      </c>
      <c r="AC2669" s="163" t="str">
        <f>+IF(Tabla2[[#This Row],[FECHA DE PAGO]]&gt;0,"pagada","por pagar")</f>
        <v>por pagar</v>
      </c>
      <c r="AD2669" s="164" t="str">
        <f>+IF(AND(Tabla2[[#This Row],[venc]]="venc",Tabla2[[#This Row],[estado pago]]="por pagar"),"vencida","no")</f>
        <v>vencida</v>
      </c>
    </row>
    <row r="2670" spans="1:30" ht="19.5" hidden="1" customHeight="1" x14ac:dyDescent="0.25">
      <c r="A2670" s="8"/>
      <c r="B2670" s="8"/>
      <c r="C2670" s="8"/>
      <c r="D2670" s="151"/>
      <c r="E2670" s="151"/>
      <c r="F2670" s="24"/>
      <c r="G2670" s="30"/>
      <c r="H2670" s="81"/>
      <c r="I2670" s="30"/>
      <c r="J2670" s="16"/>
      <c r="K2670" s="9"/>
      <c r="L2670" s="9"/>
      <c r="M2670" s="152"/>
      <c r="N2670" s="153"/>
      <c r="O2670" s="152"/>
      <c r="P2670" s="154"/>
      <c r="Q2670" s="152"/>
      <c r="R2670" s="9"/>
      <c r="Z2670" s="21"/>
      <c r="AA2670" s="162">
        <f>+$AD$5-Tabla2[[#This Row],[FECHA DE FACTURACIÓN]]</f>
        <v>45443</v>
      </c>
      <c r="AB2670" s="163" t="str">
        <f>+IF(Tabla2[[#This Row],[dias de credito]]&gt;=Tabla2[[#This Row],[PLAZO Días]],"venc", "No venc")</f>
        <v>venc</v>
      </c>
      <c r="AC2670" s="163" t="str">
        <f>+IF(Tabla2[[#This Row],[FECHA DE PAGO]]&gt;0,"pagada","por pagar")</f>
        <v>por pagar</v>
      </c>
      <c r="AD2670" s="164" t="str">
        <f>+IF(AND(Tabla2[[#This Row],[venc]]="venc",Tabla2[[#This Row],[estado pago]]="por pagar"),"vencida","no")</f>
        <v>vencida</v>
      </c>
    </row>
    <row r="2671" spans="1:30" ht="19.5" hidden="1" customHeight="1" x14ac:dyDescent="0.25">
      <c r="A2671" s="8"/>
      <c r="B2671" s="8"/>
      <c r="C2671" s="8"/>
      <c r="D2671" s="151"/>
      <c r="E2671" s="151"/>
      <c r="F2671" s="24"/>
      <c r="G2671" s="30"/>
      <c r="H2671" s="81"/>
      <c r="I2671" s="30"/>
      <c r="J2671" s="16"/>
      <c r="K2671" s="9"/>
      <c r="L2671" s="9"/>
      <c r="M2671" s="152"/>
      <c r="N2671" s="153"/>
      <c r="O2671" s="152"/>
      <c r="P2671" s="154"/>
      <c r="Q2671" s="152"/>
      <c r="R2671" s="9"/>
      <c r="Z2671" s="21"/>
      <c r="AA2671" s="162">
        <f>+$AD$5-Tabla2[[#This Row],[FECHA DE FACTURACIÓN]]</f>
        <v>45443</v>
      </c>
      <c r="AB2671" s="163" t="str">
        <f>+IF(Tabla2[[#This Row],[dias de credito]]&gt;=Tabla2[[#This Row],[PLAZO Días]],"venc", "No venc")</f>
        <v>venc</v>
      </c>
      <c r="AC2671" s="163" t="str">
        <f>+IF(Tabla2[[#This Row],[FECHA DE PAGO]]&gt;0,"pagada","por pagar")</f>
        <v>por pagar</v>
      </c>
      <c r="AD2671" s="164" t="str">
        <f>+IF(AND(Tabla2[[#This Row],[venc]]="venc",Tabla2[[#This Row],[estado pago]]="por pagar"),"vencida","no")</f>
        <v>vencida</v>
      </c>
    </row>
    <row r="2672" spans="1:30" ht="19.5" hidden="1" customHeight="1" x14ac:dyDescent="0.25">
      <c r="A2672" s="8"/>
      <c r="B2672" s="8"/>
      <c r="C2672" s="8"/>
      <c r="D2672" s="151"/>
      <c r="E2672" s="151"/>
      <c r="F2672" s="24"/>
      <c r="G2672" s="30"/>
      <c r="H2672" s="81"/>
      <c r="I2672" s="30"/>
      <c r="J2672" s="16"/>
      <c r="K2672" s="9"/>
      <c r="L2672" s="9"/>
      <c r="M2672" s="152"/>
      <c r="N2672" s="153"/>
      <c r="O2672" s="152"/>
      <c r="P2672" s="154"/>
      <c r="Q2672" s="152"/>
      <c r="R2672" s="9"/>
      <c r="Z2672" s="21"/>
      <c r="AA2672" s="162">
        <f>+$AD$5-Tabla2[[#This Row],[FECHA DE FACTURACIÓN]]</f>
        <v>45443</v>
      </c>
      <c r="AB2672" s="163" t="str">
        <f>+IF(Tabla2[[#This Row],[dias de credito]]&gt;=Tabla2[[#This Row],[PLAZO Días]],"venc", "No venc")</f>
        <v>venc</v>
      </c>
      <c r="AC2672" s="163" t="str">
        <f>+IF(Tabla2[[#This Row],[FECHA DE PAGO]]&gt;0,"pagada","por pagar")</f>
        <v>por pagar</v>
      </c>
      <c r="AD2672" s="164" t="str">
        <f>+IF(AND(Tabla2[[#This Row],[venc]]="venc",Tabla2[[#This Row],[estado pago]]="por pagar"),"vencida","no")</f>
        <v>vencida</v>
      </c>
    </row>
    <row r="2673" spans="1:30" ht="19.5" hidden="1" customHeight="1" x14ac:dyDescent="0.25">
      <c r="A2673" s="8"/>
      <c r="B2673" s="8"/>
      <c r="C2673" s="8"/>
      <c r="D2673" s="151"/>
      <c r="E2673" s="151"/>
      <c r="F2673" s="24"/>
      <c r="G2673" s="30"/>
      <c r="H2673" s="81"/>
      <c r="I2673" s="30"/>
      <c r="J2673" s="16"/>
      <c r="K2673" s="9"/>
      <c r="L2673" s="9"/>
      <c r="M2673" s="152"/>
      <c r="N2673" s="153"/>
      <c r="O2673" s="152"/>
      <c r="P2673" s="154"/>
      <c r="Q2673" s="152"/>
      <c r="R2673" s="9"/>
      <c r="Z2673" s="21"/>
      <c r="AA2673" s="162">
        <f>+$AD$5-Tabla2[[#This Row],[FECHA DE FACTURACIÓN]]</f>
        <v>45443</v>
      </c>
      <c r="AB2673" s="163" t="str">
        <f>+IF(Tabla2[[#This Row],[dias de credito]]&gt;=Tabla2[[#This Row],[PLAZO Días]],"venc", "No venc")</f>
        <v>venc</v>
      </c>
      <c r="AC2673" s="163" t="str">
        <f>+IF(Tabla2[[#This Row],[FECHA DE PAGO]]&gt;0,"pagada","por pagar")</f>
        <v>por pagar</v>
      </c>
      <c r="AD2673" s="164" t="str">
        <f>+IF(AND(Tabla2[[#This Row],[venc]]="venc",Tabla2[[#This Row],[estado pago]]="por pagar"),"vencida","no")</f>
        <v>vencida</v>
      </c>
    </row>
    <row r="2674" spans="1:30" ht="19.5" hidden="1" customHeight="1" x14ac:dyDescent="0.25">
      <c r="A2674" s="8"/>
      <c r="B2674" s="8"/>
      <c r="C2674" s="8"/>
      <c r="D2674" s="151"/>
      <c r="E2674" s="151"/>
      <c r="F2674" s="24"/>
      <c r="G2674" s="30"/>
      <c r="H2674" s="81"/>
      <c r="I2674" s="30"/>
      <c r="J2674" s="16"/>
      <c r="K2674" s="9"/>
      <c r="L2674" s="9"/>
      <c r="M2674" s="152"/>
      <c r="N2674" s="153"/>
      <c r="O2674" s="152"/>
      <c r="P2674" s="154"/>
      <c r="Q2674" s="152"/>
      <c r="R2674" s="9"/>
      <c r="Z2674" s="21"/>
      <c r="AA2674" s="162">
        <f>+$AD$5-Tabla2[[#This Row],[FECHA DE FACTURACIÓN]]</f>
        <v>45443</v>
      </c>
      <c r="AB2674" s="163" t="str">
        <f>+IF(Tabla2[[#This Row],[dias de credito]]&gt;=Tabla2[[#This Row],[PLAZO Días]],"venc", "No venc")</f>
        <v>venc</v>
      </c>
      <c r="AC2674" s="163" t="str">
        <f>+IF(Tabla2[[#This Row],[FECHA DE PAGO]]&gt;0,"pagada","por pagar")</f>
        <v>por pagar</v>
      </c>
      <c r="AD2674" s="164" t="str">
        <f>+IF(AND(Tabla2[[#This Row],[venc]]="venc",Tabla2[[#This Row],[estado pago]]="por pagar"),"vencida","no")</f>
        <v>vencida</v>
      </c>
    </row>
    <row r="2675" spans="1:30" ht="19.5" hidden="1" customHeight="1" x14ac:dyDescent="0.25">
      <c r="A2675" s="8"/>
      <c r="B2675" s="8"/>
      <c r="C2675" s="8"/>
      <c r="D2675" s="151"/>
      <c r="E2675" s="151"/>
      <c r="F2675" s="24"/>
      <c r="G2675" s="30"/>
      <c r="H2675" s="81"/>
      <c r="I2675" s="30"/>
      <c r="J2675" s="16"/>
      <c r="K2675" s="9"/>
      <c r="L2675" s="9"/>
      <c r="M2675" s="152"/>
      <c r="N2675" s="153"/>
      <c r="O2675" s="152"/>
      <c r="P2675" s="154"/>
      <c r="Q2675" s="152"/>
      <c r="R2675" s="9"/>
      <c r="Z2675" s="21"/>
      <c r="AA2675" s="162">
        <f>+$AD$5-Tabla2[[#This Row],[FECHA DE FACTURACIÓN]]</f>
        <v>45443</v>
      </c>
      <c r="AB2675" s="163" t="str">
        <f>+IF(Tabla2[[#This Row],[dias de credito]]&gt;=Tabla2[[#This Row],[PLAZO Días]],"venc", "No venc")</f>
        <v>venc</v>
      </c>
      <c r="AC2675" s="163" t="str">
        <f>+IF(Tabla2[[#This Row],[FECHA DE PAGO]]&gt;0,"pagada","por pagar")</f>
        <v>por pagar</v>
      </c>
      <c r="AD2675" s="164" t="str">
        <f>+IF(AND(Tabla2[[#This Row],[venc]]="venc",Tabla2[[#This Row],[estado pago]]="por pagar"),"vencida","no")</f>
        <v>vencida</v>
      </c>
    </row>
    <row r="2676" spans="1:30" ht="19.5" hidden="1" customHeight="1" x14ac:dyDescent="0.25">
      <c r="A2676" s="8"/>
      <c r="B2676" s="8"/>
      <c r="C2676" s="8"/>
      <c r="D2676" s="151"/>
      <c r="E2676" s="151"/>
      <c r="F2676" s="24"/>
      <c r="G2676" s="30"/>
      <c r="H2676" s="81"/>
      <c r="I2676" s="30"/>
      <c r="J2676" s="16"/>
      <c r="K2676" s="9"/>
      <c r="L2676" s="9"/>
      <c r="M2676" s="152"/>
      <c r="N2676" s="153"/>
      <c r="O2676" s="152"/>
      <c r="P2676" s="154"/>
      <c r="Q2676" s="152"/>
      <c r="R2676" s="9"/>
      <c r="Z2676" s="21"/>
      <c r="AA2676" s="162">
        <f>+$AD$5-Tabla2[[#This Row],[FECHA DE FACTURACIÓN]]</f>
        <v>45443</v>
      </c>
      <c r="AB2676" s="163" t="str">
        <f>+IF(Tabla2[[#This Row],[dias de credito]]&gt;=Tabla2[[#This Row],[PLAZO Días]],"venc", "No venc")</f>
        <v>venc</v>
      </c>
      <c r="AC2676" s="163" t="str">
        <f>+IF(Tabla2[[#This Row],[FECHA DE PAGO]]&gt;0,"pagada","por pagar")</f>
        <v>por pagar</v>
      </c>
      <c r="AD2676" s="164" t="str">
        <f>+IF(AND(Tabla2[[#This Row],[venc]]="venc",Tabla2[[#This Row],[estado pago]]="por pagar"),"vencida","no")</f>
        <v>vencida</v>
      </c>
    </row>
    <row r="2677" spans="1:30" ht="19.5" hidden="1" customHeight="1" x14ac:dyDescent="0.25">
      <c r="A2677" s="8"/>
      <c r="B2677" s="8"/>
      <c r="C2677" s="8"/>
      <c r="D2677" s="151"/>
      <c r="E2677" s="151"/>
      <c r="F2677" s="24"/>
      <c r="G2677" s="30"/>
      <c r="H2677" s="81"/>
      <c r="I2677" s="30"/>
      <c r="J2677" s="16"/>
      <c r="K2677" s="9"/>
      <c r="L2677" s="9"/>
      <c r="M2677" s="152"/>
      <c r="N2677" s="153"/>
      <c r="O2677" s="152"/>
      <c r="P2677" s="154"/>
      <c r="Q2677" s="152"/>
      <c r="R2677" s="9"/>
      <c r="Z2677" s="21"/>
      <c r="AA2677" s="162">
        <f>+$AD$5-Tabla2[[#This Row],[FECHA DE FACTURACIÓN]]</f>
        <v>45443</v>
      </c>
      <c r="AB2677" s="163" t="str">
        <f>+IF(Tabla2[[#This Row],[dias de credito]]&gt;=Tabla2[[#This Row],[PLAZO Días]],"venc", "No venc")</f>
        <v>venc</v>
      </c>
      <c r="AC2677" s="163" t="str">
        <f>+IF(Tabla2[[#This Row],[FECHA DE PAGO]]&gt;0,"pagada","por pagar")</f>
        <v>por pagar</v>
      </c>
      <c r="AD2677" s="164" t="str">
        <f>+IF(AND(Tabla2[[#This Row],[venc]]="venc",Tabla2[[#This Row],[estado pago]]="por pagar"),"vencida","no")</f>
        <v>vencida</v>
      </c>
    </row>
    <row r="2678" spans="1:30" ht="19.5" hidden="1" customHeight="1" x14ac:dyDescent="0.25">
      <c r="A2678" s="8"/>
      <c r="B2678" s="8"/>
      <c r="C2678" s="8"/>
      <c r="D2678" s="151"/>
      <c r="E2678" s="151"/>
      <c r="F2678" s="24"/>
      <c r="G2678" s="30"/>
      <c r="H2678" s="81"/>
      <c r="I2678" s="30"/>
      <c r="J2678" s="16"/>
      <c r="K2678" s="9"/>
      <c r="L2678" s="9"/>
      <c r="M2678" s="152"/>
      <c r="N2678" s="153"/>
      <c r="O2678" s="152"/>
      <c r="P2678" s="154"/>
      <c r="Q2678" s="152"/>
      <c r="R2678" s="9"/>
      <c r="Z2678" s="21"/>
      <c r="AA2678" s="162">
        <f>+$AD$5-Tabla2[[#This Row],[FECHA DE FACTURACIÓN]]</f>
        <v>45443</v>
      </c>
      <c r="AB2678" s="163" t="str">
        <f>+IF(Tabla2[[#This Row],[dias de credito]]&gt;=Tabla2[[#This Row],[PLAZO Días]],"venc", "No venc")</f>
        <v>venc</v>
      </c>
      <c r="AC2678" s="163" t="str">
        <f>+IF(Tabla2[[#This Row],[FECHA DE PAGO]]&gt;0,"pagada","por pagar")</f>
        <v>por pagar</v>
      </c>
      <c r="AD2678" s="164" t="str">
        <f>+IF(AND(Tabla2[[#This Row],[venc]]="venc",Tabla2[[#This Row],[estado pago]]="por pagar"),"vencida","no")</f>
        <v>vencida</v>
      </c>
    </row>
    <row r="2679" spans="1:30" ht="19.5" hidden="1" customHeight="1" x14ac:dyDescent="0.25">
      <c r="A2679" s="8"/>
      <c r="B2679" s="8"/>
      <c r="C2679" s="8"/>
      <c r="D2679" s="151"/>
      <c r="E2679" s="151"/>
      <c r="F2679" s="24"/>
      <c r="G2679" s="30"/>
      <c r="H2679" s="81"/>
      <c r="I2679" s="30"/>
      <c r="J2679" s="16"/>
      <c r="K2679" s="9"/>
      <c r="L2679" s="9"/>
      <c r="M2679" s="152"/>
      <c r="N2679" s="153"/>
      <c r="O2679" s="152"/>
      <c r="P2679" s="154"/>
      <c r="Q2679" s="152"/>
      <c r="R2679" s="9"/>
      <c r="Z2679" s="21"/>
      <c r="AA2679" s="162">
        <f>+$AD$5-Tabla2[[#This Row],[FECHA DE FACTURACIÓN]]</f>
        <v>45443</v>
      </c>
      <c r="AB2679" s="163" t="str">
        <f>+IF(Tabla2[[#This Row],[dias de credito]]&gt;=Tabla2[[#This Row],[PLAZO Días]],"venc", "No venc")</f>
        <v>venc</v>
      </c>
      <c r="AC2679" s="163" t="str">
        <f>+IF(Tabla2[[#This Row],[FECHA DE PAGO]]&gt;0,"pagada","por pagar")</f>
        <v>por pagar</v>
      </c>
      <c r="AD2679" s="164" t="str">
        <f>+IF(AND(Tabla2[[#This Row],[venc]]="venc",Tabla2[[#This Row],[estado pago]]="por pagar"),"vencida","no")</f>
        <v>vencida</v>
      </c>
    </row>
    <row r="2680" spans="1:30" ht="19.5" hidden="1" customHeight="1" x14ac:dyDescent="0.25">
      <c r="A2680" s="8"/>
      <c r="B2680" s="8"/>
      <c r="C2680" s="8"/>
      <c r="D2680" s="151"/>
      <c r="E2680" s="151"/>
      <c r="F2680" s="24"/>
      <c r="G2680" s="30"/>
      <c r="H2680" s="81"/>
      <c r="I2680" s="30"/>
      <c r="J2680" s="16"/>
      <c r="K2680" s="9"/>
      <c r="L2680" s="9"/>
      <c r="M2680" s="152"/>
      <c r="N2680" s="153"/>
      <c r="O2680" s="152"/>
      <c r="P2680" s="154"/>
      <c r="Q2680" s="152"/>
      <c r="R2680" s="9"/>
      <c r="Z2680" s="21"/>
      <c r="AA2680" s="162">
        <f>+$AD$5-Tabla2[[#This Row],[FECHA DE FACTURACIÓN]]</f>
        <v>45443</v>
      </c>
      <c r="AB2680" s="163" t="str">
        <f>+IF(Tabla2[[#This Row],[dias de credito]]&gt;=Tabla2[[#This Row],[PLAZO Días]],"venc", "No venc")</f>
        <v>venc</v>
      </c>
      <c r="AC2680" s="163" t="str">
        <f>+IF(Tabla2[[#This Row],[FECHA DE PAGO]]&gt;0,"pagada","por pagar")</f>
        <v>por pagar</v>
      </c>
      <c r="AD2680" s="164" t="str">
        <f>+IF(AND(Tabla2[[#This Row],[venc]]="venc",Tabla2[[#This Row],[estado pago]]="por pagar"),"vencida","no")</f>
        <v>vencida</v>
      </c>
    </row>
    <row r="2681" spans="1:30" ht="19.5" hidden="1" customHeight="1" x14ac:dyDescent="0.25">
      <c r="A2681" s="8"/>
      <c r="B2681" s="8"/>
      <c r="C2681" s="8"/>
      <c r="D2681" s="151"/>
      <c r="E2681" s="151"/>
      <c r="F2681" s="24"/>
      <c r="G2681" s="30"/>
      <c r="H2681" s="81"/>
      <c r="I2681" s="30"/>
      <c r="J2681" s="16"/>
      <c r="K2681" s="9"/>
      <c r="L2681" s="9"/>
      <c r="M2681" s="152"/>
      <c r="N2681" s="153"/>
      <c r="O2681" s="152"/>
      <c r="P2681" s="154"/>
      <c r="Q2681" s="152"/>
      <c r="R2681" s="9"/>
      <c r="Z2681" s="21"/>
      <c r="AA2681" s="162">
        <f>+$AD$5-Tabla2[[#This Row],[FECHA DE FACTURACIÓN]]</f>
        <v>45443</v>
      </c>
      <c r="AB2681" s="163" t="str">
        <f>+IF(Tabla2[[#This Row],[dias de credito]]&gt;=Tabla2[[#This Row],[PLAZO Días]],"venc", "No venc")</f>
        <v>venc</v>
      </c>
      <c r="AC2681" s="163" t="str">
        <f>+IF(Tabla2[[#This Row],[FECHA DE PAGO]]&gt;0,"pagada","por pagar")</f>
        <v>por pagar</v>
      </c>
      <c r="AD2681" s="164" t="str">
        <f>+IF(AND(Tabla2[[#This Row],[venc]]="venc",Tabla2[[#This Row],[estado pago]]="por pagar"),"vencida","no")</f>
        <v>vencida</v>
      </c>
    </row>
    <row r="2682" spans="1:30" ht="19.5" hidden="1" customHeight="1" x14ac:dyDescent="0.25">
      <c r="A2682" s="8"/>
      <c r="B2682" s="8"/>
      <c r="C2682" s="8"/>
      <c r="D2682" s="151"/>
      <c r="E2682" s="151"/>
      <c r="F2682" s="24"/>
      <c r="G2682" s="30"/>
      <c r="H2682" s="81"/>
      <c r="I2682" s="30"/>
      <c r="J2682" s="16"/>
      <c r="K2682" s="9"/>
      <c r="L2682" s="9"/>
      <c r="M2682" s="152"/>
      <c r="N2682" s="153"/>
      <c r="O2682" s="152"/>
      <c r="P2682" s="154"/>
      <c r="Q2682" s="152"/>
      <c r="R2682" s="9"/>
      <c r="Z2682" s="21"/>
      <c r="AA2682" s="162">
        <f>+$AD$5-Tabla2[[#This Row],[FECHA DE FACTURACIÓN]]</f>
        <v>45443</v>
      </c>
      <c r="AB2682" s="163" t="str">
        <f>+IF(Tabla2[[#This Row],[dias de credito]]&gt;=Tabla2[[#This Row],[PLAZO Días]],"venc", "No venc")</f>
        <v>venc</v>
      </c>
      <c r="AC2682" s="163" t="str">
        <f>+IF(Tabla2[[#This Row],[FECHA DE PAGO]]&gt;0,"pagada","por pagar")</f>
        <v>por pagar</v>
      </c>
      <c r="AD2682" s="164" t="str">
        <f>+IF(AND(Tabla2[[#This Row],[venc]]="venc",Tabla2[[#This Row],[estado pago]]="por pagar"),"vencida","no")</f>
        <v>vencida</v>
      </c>
    </row>
    <row r="2683" spans="1:30" ht="19.5" hidden="1" customHeight="1" x14ac:dyDescent="0.25">
      <c r="A2683" s="8"/>
      <c r="B2683" s="8"/>
      <c r="C2683" s="8"/>
      <c r="D2683" s="151"/>
      <c r="E2683" s="151"/>
      <c r="F2683" s="24"/>
      <c r="G2683" s="30"/>
      <c r="H2683" s="81"/>
      <c r="I2683" s="30"/>
      <c r="J2683" s="16"/>
      <c r="K2683" s="9"/>
      <c r="L2683" s="9"/>
      <c r="M2683" s="152"/>
      <c r="N2683" s="153"/>
      <c r="O2683" s="152"/>
      <c r="P2683" s="154"/>
      <c r="Q2683" s="152"/>
      <c r="R2683" s="9"/>
      <c r="Z2683" s="21"/>
      <c r="AA2683" s="162">
        <f>+$AD$5-Tabla2[[#This Row],[FECHA DE FACTURACIÓN]]</f>
        <v>45443</v>
      </c>
      <c r="AB2683" s="163" t="str">
        <f>+IF(Tabla2[[#This Row],[dias de credito]]&gt;=Tabla2[[#This Row],[PLAZO Días]],"venc", "No venc")</f>
        <v>venc</v>
      </c>
      <c r="AC2683" s="163" t="str">
        <f>+IF(Tabla2[[#This Row],[FECHA DE PAGO]]&gt;0,"pagada","por pagar")</f>
        <v>por pagar</v>
      </c>
      <c r="AD2683" s="164" t="str">
        <f>+IF(AND(Tabla2[[#This Row],[venc]]="venc",Tabla2[[#This Row],[estado pago]]="por pagar"),"vencida","no")</f>
        <v>vencida</v>
      </c>
    </row>
    <row r="2684" spans="1:30" ht="19.5" hidden="1" customHeight="1" x14ac:dyDescent="0.25">
      <c r="A2684" s="8"/>
      <c r="B2684" s="8"/>
      <c r="C2684" s="8"/>
      <c r="D2684" s="151"/>
      <c r="E2684" s="151"/>
      <c r="F2684" s="24"/>
      <c r="G2684" s="30"/>
      <c r="H2684" s="81"/>
      <c r="I2684" s="30"/>
      <c r="J2684" s="16"/>
      <c r="K2684" s="9"/>
      <c r="L2684" s="9"/>
      <c r="M2684" s="152"/>
      <c r="N2684" s="153"/>
      <c r="O2684" s="152"/>
      <c r="P2684" s="154"/>
      <c r="Q2684" s="152"/>
      <c r="R2684" s="9"/>
      <c r="Z2684" s="21"/>
      <c r="AA2684" s="162">
        <f>+$AD$5-Tabla2[[#This Row],[FECHA DE FACTURACIÓN]]</f>
        <v>45443</v>
      </c>
      <c r="AB2684" s="163" t="str">
        <f>+IF(Tabla2[[#This Row],[dias de credito]]&gt;=Tabla2[[#This Row],[PLAZO Días]],"venc", "No venc")</f>
        <v>venc</v>
      </c>
      <c r="AC2684" s="163" t="str">
        <f>+IF(Tabla2[[#This Row],[FECHA DE PAGO]]&gt;0,"pagada","por pagar")</f>
        <v>por pagar</v>
      </c>
      <c r="AD2684" s="164" t="str">
        <f>+IF(AND(Tabla2[[#This Row],[venc]]="venc",Tabla2[[#This Row],[estado pago]]="por pagar"),"vencida","no")</f>
        <v>vencida</v>
      </c>
    </row>
    <row r="2685" spans="1:30" ht="19.5" hidden="1" customHeight="1" x14ac:dyDescent="0.25">
      <c r="A2685" s="8"/>
      <c r="B2685" s="8"/>
      <c r="C2685" s="8"/>
      <c r="D2685" s="151"/>
      <c r="E2685" s="151"/>
      <c r="F2685" s="24"/>
      <c r="G2685" s="30"/>
      <c r="H2685" s="81"/>
      <c r="I2685" s="30"/>
      <c r="J2685" s="16"/>
      <c r="K2685" s="9"/>
      <c r="L2685" s="9"/>
      <c r="M2685" s="152"/>
      <c r="N2685" s="153"/>
      <c r="O2685" s="152"/>
      <c r="P2685" s="154"/>
      <c r="Q2685" s="152"/>
      <c r="R2685" s="9"/>
      <c r="Z2685" s="21"/>
      <c r="AA2685" s="162">
        <f>+$AD$5-Tabla2[[#This Row],[FECHA DE FACTURACIÓN]]</f>
        <v>45443</v>
      </c>
      <c r="AB2685" s="163" t="str">
        <f>+IF(Tabla2[[#This Row],[dias de credito]]&gt;=Tabla2[[#This Row],[PLAZO Días]],"venc", "No venc")</f>
        <v>venc</v>
      </c>
      <c r="AC2685" s="163" t="str">
        <f>+IF(Tabla2[[#This Row],[FECHA DE PAGO]]&gt;0,"pagada","por pagar")</f>
        <v>por pagar</v>
      </c>
      <c r="AD2685" s="164" t="str">
        <f>+IF(AND(Tabla2[[#This Row],[venc]]="venc",Tabla2[[#This Row],[estado pago]]="por pagar"),"vencida","no")</f>
        <v>vencida</v>
      </c>
    </row>
    <row r="2686" spans="1:30" ht="19.5" hidden="1" customHeight="1" x14ac:dyDescent="0.25">
      <c r="A2686" s="8"/>
      <c r="B2686" s="8"/>
      <c r="C2686" s="8"/>
      <c r="D2686" s="151"/>
      <c r="E2686" s="151"/>
      <c r="F2686" s="24"/>
      <c r="G2686" s="30"/>
      <c r="H2686" s="81"/>
      <c r="I2686" s="30"/>
      <c r="J2686" s="16"/>
      <c r="K2686" s="9"/>
      <c r="L2686" s="9"/>
      <c r="M2686" s="152"/>
      <c r="N2686" s="153"/>
      <c r="O2686" s="152"/>
      <c r="P2686" s="154"/>
      <c r="Q2686" s="152"/>
      <c r="R2686" s="9"/>
      <c r="Z2686" s="21"/>
      <c r="AA2686" s="162">
        <f>+$AD$5-Tabla2[[#This Row],[FECHA DE FACTURACIÓN]]</f>
        <v>45443</v>
      </c>
      <c r="AB2686" s="163" t="str">
        <f>+IF(Tabla2[[#This Row],[dias de credito]]&gt;=Tabla2[[#This Row],[PLAZO Días]],"venc", "No venc")</f>
        <v>venc</v>
      </c>
      <c r="AC2686" s="163" t="str">
        <f>+IF(Tabla2[[#This Row],[FECHA DE PAGO]]&gt;0,"pagada","por pagar")</f>
        <v>por pagar</v>
      </c>
      <c r="AD2686" s="164" t="str">
        <f>+IF(AND(Tabla2[[#This Row],[venc]]="venc",Tabla2[[#This Row],[estado pago]]="por pagar"),"vencida","no")</f>
        <v>vencida</v>
      </c>
    </row>
    <row r="2687" spans="1:30" ht="19.5" hidden="1" customHeight="1" x14ac:dyDescent="0.25">
      <c r="A2687" s="8"/>
      <c r="B2687" s="8"/>
      <c r="C2687" s="8"/>
      <c r="D2687" s="151"/>
      <c r="E2687" s="151"/>
      <c r="F2687" s="24"/>
      <c r="G2687" s="30"/>
      <c r="H2687" s="81"/>
      <c r="I2687" s="30"/>
      <c r="J2687" s="16"/>
      <c r="K2687" s="9"/>
      <c r="L2687" s="9"/>
      <c r="M2687" s="152"/>
      <c r="N2687" s="153"/>
      <c r="O2687" s="152"/>
      <c r="P2687" s="154"/>
      <c r="Q2687" s="152"/>
      <c r="R2687" s="9"/>
      <c r="Z2687" s="21"/>
      <c r="AA2687" s="162">
        <f>+$AD$5-Tabla2[[#This Row],[FECHA DE FACTURACIÓN]]</f>
        <v>45443</v>
      </c>
      <c r="AB2687" s="163" t="str">
        <f>+IF(Tabla2[[#This Row],[dias de credito]]&gt;=Tabla2[[#This Row],[PLAZO Días]],"venc", "No venc")</f>
        <v>venc</v>
      </c>
      <c r="AC2687" s="163" t="str">
        <f>+IF(Tabla2[[#This Row],[FECHA DE PAGO]]&gt;0,"pagada","por pagar")</f>
        <v>por pagar</v>
      </c>
      <c r="AD2687" s="164" t="str">
        <f>+IF(AND(Tabla2[[#This Row],[venc]]="venc",Tabla2[[#This Row],[estado pago]]="por pagar"),"vencida","no")</f>
        <v>vencida</v>
      </c>
    </row>
    <row r="2688" spans="1:30" ht="19.5" hidden="1" customHeight="1" x14ac:dyDescent="0.25">
      <c r="A2688" s="8"/>
      <c r="B2688" s="8"/>
      <c r="C2688" s="8"/>
      <c r="D2688" s="151"/>
      <c r="E2688" s="151"/>
      <c r="F2688" s="24"/>
      <c r="G2688" s="30"/>
      <c r="H2688" s="81"/>
      <c r="I2688" s="30"/>
      <c r="J2688" s="16"/>
      <c r="K2688" s="9"/>
      <c r="L2688" s="9"/>
      <c r="M2688" s="152"/>
      <c r="N2688" s="153"/>
      <c r="O2688" s="152"/>
      <c r="P2688" s="154"/>
      <c r="Q2688" s="152"/>
      <c r="R2688" s="9"/>
      <c r="Z2688" s="21"/>
      <c r="AA2688" s="162">
        <f>+$AD$5-Tabla2[[#This Row],[FECHA DE FACTURACIÓN]]</f>
        <v>45443</v>
      </c>
      <c r="AB2688" s="163" t="str">
        <f>+IF(Tabla2[[#This Row],[dias de credito]]&gt;=Tabla2[[#This Row],[PLAZO Días]],"venc", "No venc")</f>
        <v>venc</v>
      </c>
      <c r="AC2688" s="163" t="str">
        <f>+IF(Tabla2[[#This Row],[FECHA DE PAGO]]&gt;0,"pagada","por pagar")</f>
        <v>por pagar</v>
      </c>
      <c r="AD2688" s="164" t="str">
        <f>+IF(AND(Tabla2[[#This Row],[venc]]="venc",Tabla2[[#This Row],[estado pago]]="por pagar"),"vencida","no")</f>
        <v>vencida</v>
      </c>
    </row>
    <row r="2689" spans="1:30" ht="19.5" hidden="1" customHeight="1" x14ac:dyDescent="0.25">
      <c r="A2689" s="8"/>
      <c r="B2689" s="8"/>
      <c r="C2689" s="8"/>
      <c r="D2689" s="151"/>
      <c r="E2689" s="151"/>
      <c r="F2689" s="24"/>
      <c r="G2689" s="30"/>
      <c r="H2689" s="81"/>
      <c r="I2689" s="30"/>
      <c r="J2689" s="16"/>
      <c r="K2689" s="9"/>
      <c r="L2689" s="9"/>
      <c r="M2689" s="152"/>
      <c r="N2689" s="153"/>
      <c r="O2689" s="152"/>
      <c r="P2689" s="154"/>
      <c r="Q2689" s="152"/>
      <c r="R2689" s="9"/>
      <c r="Z2689" s="21"/>
      <c r="AA2689" s="162">
        <f>+$AD$5-Tabla2[[#This Row],[FECHA DE FACTURACIÓN]]</f>
        <v>45443</v>
      </c>
      <c r="AB2689" s="163" t="str">
        <f>+IF(Tabla2[[#This Row],[dias de credito]]&gt;=Tabla2[[#This Row],[PLAZO Días]],"venc", "No venc")</f>
        <v>venc</v>
      </c>
      <c r="AC2689" s="163" t="str">
        <f>+IF(Tabla2[[#This Row],[FECHA DE PAGO]]&gt;0,"pagada","por pagar")</f>
        <v>por pagar</v>
      </c>
      <c r="AD2689" s="164" t="str">
        <f>+IF(AND(Tabla2[[#This Row],[venc]]="venc",Tabla2[[#This Row],[estado pago]]="por pagar"),"vencida","no")</f>
        <v>vencida</v>
      </c>
    </row>
    <row r="2690" spans="1:30" ht="19.5" hidden="1" customHeight="1" x14ac:dyDescent="0.25">
      <c r="A2690" s="8"/>
      <c r="B2690" s="8"/>
      <c r="C2690" s="8"/>
      <c r="D2690" s="151"/>
      <c r="E2690" s="151"/>
      <c r="F2690" s="24"/>
      <c r="G2690" s="30"/>
      <c r="H2690" s="81"/>
      <c r="I2690" s="30"/>
      <c r="J2690" s="16"/>
      <c r="K2690" s="9"/>
      <c r="L2690" s="9"/>
      <c r="M2690" s="152"/>
      <c r="N2690" s="153"/>
      <c r="O2690" s="152"/>
      <c r="P2690" s="154"/>
      <c r="Q2690" s="152"/>
      <c r="R2690" s="9"/>
      <c r="Z2690" s="21"/>
      <c r="AA2690" s="162">
        <f>+$AD$5-Tabla2[[#This Row],[FECHA DE FACTURACIÓN]]</f>
        <v>45443</v>
      </c>
      <c r="AB2690" s="163" t="str">
        <f>+IF(Tabla2[[#This Row],[dias de credito]]&gt;=Tabla2[[#This Row],[PLAZO Días]],"venc", "No venc")</f>
        <v>venc</v>
      </c>
      <c r="AC2690" s="163" t="str">
        <f>+IF(Tabla2[[#This Row],[FECHA DE PAGO]]&gt;0,"pagada","por pagar")</f>
        <v>por pagar</v>
      </c>
      <c r="AD2690" s="164" t="str">
        <f>+IF(AND(Tabla2[[#This Row],[venc]]="venc",Tabla2[[#This Row],[estado pago]]="por pagar"),"vencida","no")</f>
        <v>vencida</v>
      </c>
    </row>
    <row r="2691" spans="1:30" ht="19.5" hidden="1" customHeight="1" x14ac:dyDescent="0.25">
      <c r="A2691" s="8"/>
      <c r="B2691" s="8"/>
      <c r="C2691" s="8"/>
      <c r="D2691" s="151"/>
      <c r="E2691" s="151"/>
      <c r="F2691" s="24"/>
      <c r="G2691" s="30"/>
      <c r="H2691" s="81"/>
      <c r="I2691" s="30"/>
      <c r="J2691" s="16"/>
      <c r="K2691" s="9"/>
      <c r="L2691" s="9"/>
      <c r="M2691" s="152"/>
      <c r="N2691" s="153"/>
      <c r="O2691" s="152"/>
      <c r="P2691" s="154"/>
      <c r="Q2691" s="152"/>
      <c r="R2691" s="9"/>
      <c r="Z2691" s="21"/>
      <c r="AA2691" s="162">
        <f>+$AD$5-Tabla2[[#This Row],[FECHA DE FACTURACIÓN]]</f>
        <v>45443</v>
      </c>
      <c r="AB2691" s="163" t="str">
        <f>+IF(Tabla2[[#This Row],[dias de credito]]&gt;=Tabla2[[#This Row],[PLAZO Días]],"venc", "No venc")</f>
        <v>venc</v>
      </c>
      <c r="AC2691" s="163" t="str">
        <f>+IF(Tabla2[[#This Row],[FECHA DE PAGO]]&gt;0,"pagada","por pagar")</f>
        <v>por pagar</v>
      </c>
      <c r="AD2691" s="164" t="str">
        <f>+IF(AND(Tabla2[[#This Row],[venc]]="venc",Tabla2[[#This Row],[estado pago]]="por pagar"),"vencida","no")</f>
        <v>vencida</v>
      </c>
    </row>
    <row r="2692" spans="1:30" ht="19.5" hidden="1" customHeight="1" x14ac:dyDescent="0.25">
      <c r="A2692" s="8"/>
      <c r="B2692" s="8"/>
      <c r="C2692" s="8"/>
      <c r="D2692" s="151"/>
      <c r="E2692" s="151"/>
      <c r="F2692" s="24"/>
      <c r="G2692" s="30"/>
      <c r="H2692" s="81"/>
      <c r="I2692" s="30"/>
      <c r="J2692" s="16"/>
      <c r="K2692" s="9"/>
      <c r="L2692" s="9"/>
      <c r="M2692" s="152"/>
      <c r="N2692" s="153"/>
      <c r="O2692" s="152"/>
      <c r="P2692" s="154"/>
      <c r="Q2692" s="152"/>
      <c r="R2692" s="9"/>
      <c r="Z2692" s="21"/>
      <c r="AA2692" s="162">
        <f>+$AD$5-Tabla2[[#This Row],[FECHA DE FACTURACIÓN]]</f>
        <v>45443</v>
      </c>
      <c r="AB2692" s="163" t="str">
        <f>+IF(Tabla2[[#This Row],[dias de credito]]&gt;=Tabla2[[#This Row],[PLAZO Días]],"venc", "No venc")</f>
        <v>venc</v>
      </c>
      <c r="AC2692" s="163" t="str">
        <f>+IF(Tabla2[[#This Row],[FECHA DE PAGO]]&gt;0,"pagada","por pagar")</f>
        <v>por pagar</v>
      </c>
      <c r="AD2692" s="164" t="str">
        <f>+IF(AND(Tabla2[[#This Row],[venc]]="venc",Tabla2[[#This Row],[estado pago]]="por pagar"),"vencida","no")</f>
        <v>vencida</v>
      </c>
    </row>
    <row r="2693" spans="1:30" ht="19.5" hidden="1" customHeight="1" x14ac:dyDescent="0.25">
      <c r="A2693" s="8"/>
      <c r="B2693" s="8"/>
      <c r="C2693" s="8"/>
      <c r="D2693" s="151"/>
      <c r="E2693" s="151"/>
      <c r="F2693" s="24"/>
      <c r="G2693" s="30"/>
      <c r="H2693" s="81"/>
      <c r="I2693" s="30"/>
      <c r="J2693" s="16"/>
      <c r="K2693" s="9"/>
      <c r="L2693" s="9"/>
      <c r="M2693" s="152"/>
      <c r="N2693" s="153"/>
      <c r="O2693" s="152"/>
      <c r="P2693" s="154"/>
      <c r="Q2693" s="152"/>
      <c r="R2693" s="9"/>
      <c r="Z2693" s="21"/>
      <c r="AA2693" s="162">
        <f>+$AD$5-Tabla2[[#This Row],[FECHA DE FACTURACIÓN]]</f>
        <v>45443</v>
      </c>
      <c r="AB2693" s="163" t="str">
        <f>+IF(Tabla2[[#This Row],[dias de credito]]&gt;=Tabla2[[#This Row],[PLAZO Días]],"venc", "No venc")</f>
        <v>venc</v>
      </c>
      <c r="AC2693" s="163" t="str">
        <f>+IF(Tabla2[[#This Row],[FECHA DE PAGO]]&gt;0,"pagada","por pagar")</f>
        <v>por pagar</v>
      </c>
      <c r="AD2693" s="164" t="str">
        <f>+IF(AND(Tabla2[[#This Row],[venc]]="venc",Tabla2[[#This Row],[estado pago]]="por pagar"),"vencida","no")</f>
        <v>vencida</v>
      </c>
    </row>
    <row r="2694" spans="1:30" ht="19.5" hidden="1" customHeight="1" x14ac:dyDescent="0.25">
      <c r="A2694" s="8"/>
      <c r="B2694" s="8"/>
      <c r="C2694" s="8"/>
      <c r="D2694" s="151"/>
      <c r="E2694" s="151"/>
      <c r="F2694" s="24"/>
      <c r="G2694" s="30"/>
      <c r="H2694" s="81"/>
      <c r="I2694" s="30"/>
      <c r="J2694" s="16"/>
      <c r="K2694" s="9"/>
      <c r="L2694" s="9"/>
      <c r="M2694" s="152"/>
      <c r="N2694" s="153"/>
      <c r="O2694" s="152"/>
      <c r="P2694" s="154"/>
      <c r="Q2694" s="152"/>
      <c r="R2694" s="9"/>
      <c r="Z2694" s="21"/>
      <c r="AA2694" s="162">
        <f>+$AD$5-Tabla2[[#This Row],[FECHA DE FACTURACIÓN]]</f>
        <v>45443</v>
      </c>
      <c r="AB2694" s="163" t="str">
        <f>+IF(Tabla2[[#This Row],[dias de credito]]&gt;=Tabla2[[#This Row],[PLAZO Días]],"venc", "No venc")</f>
        <v>venc</v>
      </c>
      <c r="AC2694" s="163" t="str">
        <f>+IF(Tabla2[[#This Row],[FECHA DE PAGO]]&gt;0,"pagada","por pagar")</f>
        <v>por pagar</v>
      </c>
      <c r="AD2694" s="164" t="str">
        <f>+IF(AND(Tabla2[[#This Row],[venc]]="venc",Tabla2[[#This Row],[estado pago]]="por pagar"),"vencida","no")</f>
        <v>vencida</v>
      </c>
    </row>
    <row r="2695" spans="1:30" ht="19.5" hidden="1" customHeight="1" x14ac:dyDescent="0.25">
      <c r="A2695" s="8"/>
      <c r="B2695" s="8"/>
      <c r="C2695" s="8"/>
      <c r="D2695" s="151"/>
      <c r="E2695" s="151"/>
      <c r="F2695" s="24"/>
      <c r="G2695" s="30"/>
      <c r="H2695" s="81"/>
      <c r="I2695" s="30"/>
      <c r="J2695" s="16"/>
      <c r="K2695" s="9"/>
      <c r="L2695" s="9"/>
      <c r="M2695" s="152"/>
      <c r="N2695" s="153"/>
      <c r="O2695" s="152"/>
      <c r="P2695" s="154"/>
      <c r="Q2695" s="152"/>
      <c r="R2695" s="9"/>
      <c r="Z2695" s="21"/>
      <c r="AA2695" s="162">
        <f>+$AD$5-Tabla2[[#This Row],[FECHA DE FACTURACIÓN]]</f>
        <v>45443</v>
      </c>
      <c r="AB2695" s="163" t="str">
        <f>+IF(Tabla2[[#This Row],[dias de credito]]&gt;=Tabla2[[#This Row],[PLAZO Días]],"venc", "No venc")</f>
        <v>venc</v>
      </c>
      <c r="AC2695" s="163" t="str">
        <f>+IF(Tabla2[[#This Row],[FECHA DE PAGO]]&gt;0,"pagada","por pagar")</f>
        <v>por pagar</v>
      </c>
      <c r="AD2695" s="164" t="str">
        <f>+IF(AND(Tabla2[[#This Row],[venc]]="venc",Tabla2[[#This Row],[estado pago]]="por pagar"),"vencida","no")</f>
        <v>vencida</v>
      </c>
    </row>
    <row r="2696" spans="1:30" ht="19.5" hidden="1" customHeight="1" x14ac:dyDescent="0.25">
      <c r="A2696" s="8"/>
      <c r="B2696" s="8"/>
      <c r="C2696" s="8"/>
      <c r="D2696" s="151"/>
      <c r="E2696" s="151"/>
      <c r="F2696" s="24"/>
      <c r="G2696" s="30"/>
      <c r="H2696" s="81"/>
      <c r="I2696" s="30"/>
      <c r="J2696" s="16"/>
      <c r="K2696" s="9"/>
      <c r="L2696" s="9"/>
      <c r="M2696" s="152"/>
      <c r="N2696" s="153"/>
      <c r="O2696" s="152"/>
      <c r="P2696" s="154"/>
      <c r="Q2696" s="152"/>
      <c r="R2696" s="9"/>
      <c r="Z2696" s="21"/>
      <c r="AA2696" s="162">
        <f>+$AD$5-Tabla2[[#This Row],[FECHA DE FACTURACIÓN]]</f>
        <v>45443</v>
      </c>
      <c r="AB2696" s="163" t="str">
        <f>+IF(Tabla2[[#This Row],[dias de credito]]&gt;=Tabla2[[#This Row],[PLAZO Días]],"venc", "No venc")</f>
        <v>venc</v>
      </c>
      <c r="AC2696" s="163" t="str">
        <f>+IF(Tabla2[[#This Row],[FECHA DE PAGO]]&gt;0,"pagada","por pagar")</f>
        <v>por pagar</v>
      </c>
      <c r="AD2696" s="164" t="str">
        <f>+IF(AND(Tabla2[[#This Row],[venc]]="venc",Tabla2[[#This Row],[estado pago]]="por pagar"),"vencida","no")</f>
        <v>vencida</v>
      </c>
    </row>
    <row r="2697" spans="1:30" ht="19.5" hidden="1" customHeight="1" x14ac:dyDescent="0.25">
      <c r="A2697" s="8"/>
      <c r="B2697" s="8"/>
      <c r="C2697" s="8"/>
      <c r="D2697" s="151"/>
      <c r="E2697" s="151"/>
      <c r="F2697" s="24"/>
      <c r="G2697" s="30"/>
      <c r="H2697" s="81"/>
      <c r="I2697" s="30"/>
      <c r="J2697" s="16"/>
      <c r="K2697" s="9"/>
      <c r="L2697" s="9"/>
      <c r="M2697" s="152"/>
      <c r="N2697" s="153"/>
      <c r="O2697" s="152"/>
      <c r="P2697" s="154"/>
      <c r="Q2697" s="152"/>
      <c r="R2697" s="9"/>
      <c r="Z2697" s="21"/>
      <c r="AA2697" s="162">
        <f>+$AD$5-Tabla2[[#This Row],[FECHA DE FACTURACIÓN]]</f>
        <v>45443</v>
      </c>
      <c r="AB2697" s="163" t="str">
        <f>+IF(Tabla2[[#This Row],[dias de credito]]&gt;=Tabla2[[#This Row],[PLAZO Días]],"venc", "No venc")</f>
        <v>venc</v>
      </c>
      <c r="AC2697" s="163" t="str">
        <f>+IF(Tabla2[[#This Row],[FECHA DE PAGO]]&gt;0,"pagada","por pagar")</f>
        <v>por pagar</v>
      </c>
      <c r="AD2697" s="164" t="str">
        <f>+IF(AND(Tabla2[[#This Row],[venc]]="venc",Tabla2[[#This Row],[estado pago]]="por pagar"),"vencida","no")</f>
        <v>vencida</v>
      </c>
    </row>
    <row r="2698" spans="1:30" ht="19.5" hidden="1" customHeight="1" x14ac:dyDescent="0.25">
      <c r="A2698" s="8"/>
      <c r="B2698" s="8"/>
      <c r="C2698" s="8"/>
      <c r="D2698" s="151"/>
      <c r="E2698" s="151"/>
      <c r="F2698" s="24"/>
      <c r="G2698" s="30"/>
      <c r="H2698" s="81"/>
      <c r="I2698" s="30"/>
      <c r="J2698" s="16"/>
      <c r="K2698" s="9"/>
      <c r="L2698" s="9"/>
      <c r="M2698" s="152"/>
      <c r="N2698" s="153"/>
      <c r="O2698" s="152"/>
      <c r="P2698" s="154"/>
      <c r="Q2698" s="152"/>
      <c r="R2698" s="9"/>
      <c r="Z2698" s="21"/>
      <c r="AA2698" s="162">
        <f>+$AD$5-Tabla2[[#This Row],[FECHA DE FACTURACIÓN]]</f>
        <v>45443</v>
      </c>
      <c r="AB2698" s="163" t="str">
        <f>+IF(Tabla2[[#This Row],[dias de credito]]&gt;=Tabla2[[#This Row],[PLAZO Días]],"venc", "No venc")</f>
        <v>venc</v>
      </c>
      <c r="AC2698" s="163" t="str">
        <f>+IF(Tabla2[[#This Row],[FECHA DE PAGO]]&gt;0,"pagada","por pagar")</f>
        <v>por pagar</v>
      </c>
      <c r="AD2698" s="164" t="str">
        <f>+IF(AND(Tabla2[[#This Row],[venc]]="venc",Tabla2[[#This Row],[estado pago]]="por pagar"),"vencida","no")</f>
        <v>vencida</v>
      </c>
    </row>
    <row r="2699" spans="1:30" ht="19.5" hidden="1" customHeight="1" x14ac:dyDescent="0.25">
      <c r="A2699" s="8"/>
      <c r="B2699" s="8"/>
      <c r="C2699" s="8"/>
      <c r="D2699" s="151"/>
      <c r="E2699" s="151"/>
      <c r="F2699" s="24"/>
      <c r="G2699" s="30"/>
      <c r="H2699" s="81"/>
      <c r="I2699" s="30"/>
      <c r="J2699" s="16"/>
      <c r="K2699" s="9"/>
      <c r="L2699" s="9"/>
      <c r="M2699" s="152"/>
      <c r="N2699" s="153"/>
      <c r="O2699" s="152"/>
      <c r="P2699" s="154"/>
      <c r="Q2699" s="152"/>
      <c r="R2699" s="9"/>
      <c r="Z2699" s="21"/>
      <c r="AA2699" s="162">
        <f>+$AD$5-Tabla2[[#This Row],[FECHA DE FACTURACIÓN]]</f>
        <v>45443</v>
      </c>
      <c r="AB2699" s="163" t="str">
        <f>+IF(Tabla2[[#This Row],[dias de credito]]&gt;=Tabla2[[#This Row],[PLAZO Días]],"venc", "No venc")</f>
        <v>venc</v>
      </c>
      <c r="AC2699" s="163" t="str">
        <f>+IF(Tabla2[[#This Row],[FECHA DE PAGO]]&gt;0,"pagada","por pagar")</f>
        <v>por pagar</v>
      </c>
      <c r="AD2699" s="164" t="str">
        <f>+IF(AND(Tabla2[[#This Row],[venc]]="venc",Tabla2[[#This Row],[estado pago]]="por pagar"),"vencida","no")</f>
        <v>vencida</v>
      </c>
    </row>
    <row r="2700" spans="1:30" ht="19.5" hidden="1" customHeight="1" x14ac:dyDescent="0.25">
      <c r="A2700" s="8"/>
      <c r="B2700" s="8"/>
      <c r="C2700" s="8"/>
      <c r="D2700" s="151"/>
      <c r="E2700" s="151"/>
      <c r="F2700" s="24"/>
      <c r="G2700" s="30"/>
      <c r="H2700" s="81"/>
      <c r="I2700" s="30"/>
      <c r="J2700" s="16"/>
      <c r="K2700" s="9"/>
      <c r="L2700" s="9"/>
      <c r="M2700" s="152"/>
      <c r="N2700" s="153"/>
      <c r="O2700" s="152"/>
      <c r="P2700" s="154"/>
      <c r="Q2700" s="152"/>
      <c r="R2700" s="9"/>
      <c r="Z2700" s="21"/>
      <c r="AA2700" s="162">
        <f>+$AD$5-Tabla2[[#This Row],[FECHA DE FACTURACIÓN]]</f>
        <v>45443</v>
      </c>
      <c r="AB2700" s="163" t="str">
        <f>+IF(Tabla2[[#This Row],[dias de credito]]&gt;=Tabla2[[#This Row],[PLAZO Días]],"venc", "No venc")</f>
        <v>venc</v>
      </c>
      <c r="AC2700" s="163" t="str">
        <f>+IF(Tabla2[[#This Row],[FECHA DE PAGO]]&gt;0,"pagada","por pagar")</f>
        <v>por pagar</v>
      </c>
      <c r="AD2700" s="164" t="str">
        <f>+IF(AND(Tabla2[[#This Row],[venc]]="venc",Tabla2[[#This Row],[estado pago]]="por pagar"),"vencida","no")</f>
        <v>vencida</v>
      </c>
    </row>
    <row r="2701" spans="1:30" ht="19.5" hidden="1" customHeight="1" x14ac:dyDescent="0.25">
      <c r="A2701" s="8"/>
      <c r="B2701" s="8"/>
      <c r="C2701" s="8"/>
      <c r="D2701" s="151"/>
      <c r="E2701" s="151"/>
      <c r="F2701" s="24"/>
      <c r="G2701" s="30"/>
      <c r="H2701" s="81"/>
      <c r="I2701" s="30"/>
      <c r="J2701" s="16"/>
      <c r="K2701" s="9"/>
      <c r="L2701" s="9"/>
      <c r="M2701" s="152"/>
      <c r="N2701" s="153"/>
      <c r="O2701" s="152"/>
      <c r="P2701" s="154"/>
      <c r="Q2701" s="152"/>
      <c r="R2701" s="9"/>
      <c r="Z2701" s="21"/>
      <c r="AA2701" s="162">
        <f>+$AD$5-Tabla2[[#This Row],[FECHA DE FACTURACIÓN]]</f>
        <v>45443</v>
      </c>
      <c r="AB2701" s="163" t="str">
        <f>+IF(Tabla2[[#This Row],[dias de credito]]&gt;=Tabla2[[#This Row],[PLAZO Días]],"venc", "No venc")</f>
        <v>venc</v>
      </c>
      <c r="AC2701" s="163" t="str">
        <f>+IF(Tabla2[[#This Row],[FECHA DE PAGO]]&gt;0,"pagada","por pagar")</f>
        <v>por pagar</v>
      </c>
      <c r="AD2701" s="164" t="str">
        <f>+IF(AND(Tabla2[[#This Row],[venc]]="venc",Tabla2[[#This Row],[estado pago]]="por pagar"),"vencida","no")</f>
        <v>vencida</v>
      </c>
    </row>
    <row r="2702" spans="1:30" ht="19.5" hidden="1" customHeight="1" x14ac:dyDescent="0.25">
      <c r="A2702" s="8"/>
      <c r="B2702" s="8"/>
      <c r="C2702" s="8"/>
      <c r="D2702" s="151"/>
      <c r="E2702" s="151"/>
      <c r="F2702" s="24"/>
      <c r="G2702" s="30"/>
      <c r="H2702" s="81"/>
      <c r="I2702" s="30"/>
      <c r="J2702" s="16"/>
      <c r="K2702" s="9"/>
      <c r="L2702" s="9"/>
      <c r="M2702" s="152"/>
      <c r="N2702" s="153"/>
      <c r="O2702" s="152"/>
      <c r="P2702" s="154"/>
      <c r="Q2702" s="152"/>
      <c r="R2702" s="9"/>
      <c r="Z2702" s="21"/>
      <c r="AA2702" s="162">
        <f>+$AD$5-Tabla2[[#This Row],[FECHA DE FACTURACIÓN]]</f>
        <v>45443</v>
      </c>
      <c r="AB2702" s="163" t="str">
        <f>+IF(Tabla2[[#This Row],[dias de credito]]&gt;=Tabla2[[#This Row],[PLAZO Días]],"venc", "No venc")</f>
        <v>venc</v>
      </c>
      <c r="AC2702" s="163" t="str">
        <f>+IF(Tabla2[[#This Row],[FECHA DE PAGO]]&gt;0,"pagada","por pagar")</f>
        <v>por pagar</v>
      </c>
      <c r="AD2702" s="164" t="str">
        <f>+IF(AND(Tabla2[[#This Row],[venc]]="venc",Tabla2[[#This Row],[estado pago]]="por pagar"),"vencida","no")</f>
        <v>vencida</v>
      </c>
    </row>
    <row r="2703" spans="1:30" ht="19.5" hidden="1" customHeight="1" x14ac:dyDescent="0.25">
      <c r="A2703" s="8"/>
      <c r="B2703" s="8"/>
      <c r="C2703" s="8"/>
      <c r="D2703" s="151"/>
      <c r="E2703" s="151"/>
      <c r="F2703" s="24"/>
      <c r="G2703" s="30"/>
      <c r="H2703" s="81"/>
      <c r="I2703" s="30"/>
      <c r="J2703" s="16"/>
      <c r="K2703" s="9"/>
      <c r="L2703" s="9"/>
      <c r="M2703" s="152"/>
      <c r="N2703" s="153"/>
      <c r="O2703" s="152"/>
      <c r="P2703" s="154"/>
      <c r="Q2703" s="152"/>
      <c r="R2703" s="9"/>
      <c r="Z2703" s="21"/>
      <c r="AA2703" s="162">
        <f>+$AD$5-Tabla2[[#This Row],[FECHA DE FACTURACIÓN]]</f>
        <v>45443</v>
      </c>
      <c r="AB2703" s="163" t="str">
        <f>+IF(Tabla2[[#This Row],[dias de credito]]&gt;=Tabla2[[#This Row],[PLAZO Días]],"venc", "No venc")</f>
        <v>venc</v>
      </c>
      <c r="AC2703" s="163" t="str">
        <f>+IF(Tabla2[[#This Row],[FECHA DE PAGO]]&gt;0,"pagada","por pagar")</f>
        <v>por pagar</v>
      </c>
      <c r="AD2703" s="164" t="str">
        <f>+IF(AND(Tabla2[[#This Row],[venc]]="venc",Tabla2[[#This Row],[estado pago]]="por pagar"),"vencida","no")</f>
        <v>vencida</v>
      </c>
    </row>
    <row r="2704" spans="1:30" ht="19.5" hidden="1" customHeight="1" x14ac:dyDescent="0.25">
      <c r="A2704" s="8"/>
      <c r="B2704" s="8"/>
      <c r="C2704" s="8"/>
      <c r="D2704" s="151"/>
      <c r="E2704" s="151"/>
      <c r="F2704" s="24"/>
      <c r="G2704" s="30"/>
      <c r="H2704" s="81"/>
      <c r="I2704" s="30"/>
      <c r="J2704" s="16"/>
      <c r="K2704" s="9"/>
      <c r="L2704" s="9"/>
      <c r="M2704" s="152"/>
      <c r="N2704" s="153"/>
      <c r="O2704" s="152"/>
      <c r="P2704" s="154"/>
      <c r="Q2704" s="152"/>
      <c r="R2704" s="9"/>
      <c r="Z2704" s="21"/>
      <c r="AA2704" s="162">
        <f>+$AD$5-Tabla2[[#This Row],[FECHA DE FACTURACIÓN]]</f>
        <v>45443</v>
      </c>
      <c r="AB2704" s="163" t="str">
        <f>+IF(Tabla2[[#This Row],[dias de credito]]&gt;=Tabla2[[#This Row],[PLAZO Días]],"venc", "No venc")</f>
        <v>venc</v>
      </c>
      <c r="AC2704" s="163" t="str">
        <f>+IF(Tabla2[[#This Row],[FECHA DE PAGO]]&gt;0,"pagada","por pagar")</f>
        <v>por pagar</v>
      </c>
      <c r="AD2704" s="164" t="str">
        <f>+IF(AND(Tabla2[[#This Row],[venc]]="venc",Tabla2[[#This Row],[estado pago]]="por pagar"),"vencida","no")</f>
        <v>vencida</v>
      </c>
    </row>
    <row r="2705" spans="1:30" ht="19.5" hidden="1" customHeight="1" x14ac:dyDescent="0.25">
      <c r="A2705" s="8"/>
      <c r="B2705" s="8"/>
      <c r="C2705" s="8"/>
      <c r="D2705" s="151"/>
      <c r="E2705" s="151"/>
      <c r="F2705" s="24"/>
      <c r="G2705" s="30"/>
      <c r="H2705" s="81"/>
      <c r="I2705" s="30"/>
      <c r="J2705" s="16"/>
      <c r="K2705" s="9"/>
      <c r="L2705" s="9"/>
      <c r="M2705" s="152"/>
      <c r="N2705" s="153"/>
      <c r="O2705" s="152"/>
      <c r="P2705" s="154"/>
      <c r="Q2705" s="152"/>
      <c r="R2705" s="9"/>
      <c r="Z2705" s="21"/>
      <c r="AA2705" s="162">
        <f>+$AD$5-Tabla2[[#This Row],[FECHA DE FACTURACIÓN]]</f>
        <v>45443</v>
      </c>
      <c r="AB2705" s="163" t="str">
        <f>+IF(Tabla2[[#This Row],[dias de credito]]&gt;=Tabla2[[#This Row],[PLAZO Días]],"venc", "No venc")</f>
        <v>venc</v>
      </c>
      <c r="AC2705" s="163" t="str">
        <f>+IF(Tabla2[[#This Row],[FECHA DE PAGO]]&gt;0,"pagada","por pagar")</f>
        <v>por pagar</v>
      </c>
      <c r="AD2705" s="164" t="str">
        <f>+IF(AND(Tabla2[[#This Row],[venc]]="venc",Tabla2[[#This Row],[estado pago]]="por pagar"),"vencida","no")</f>
        <v>vencida</v>
      </c>
    </row>
    <row r="2706" spans="1:30" ht="19.5" hidden="1" customHeight="1" x14ac:dyDescent="0.25">
      <c r="A2706" s="8"/>
      <c r="B2706" s="8"/>
      <c r="C2706" s="8"/>
      <c r="D2706" s="151"/>
      <c r="E2706" s="151"/>
      <c r="F2706" s="24"/>
      <c r="G2706" s="30"/>
      <c r="H2706" s="81"/>
      <c r="I2706" s="30"/>
      <c r="J2706" s="16"/>
      <c r="K2706" s="9"/>
      <c r="L2706" s="9"/>
      <c r="M2706" s="152"/>
      <c r="N2706" s="153"/>
      <c r="O2706" s="152"/>
      <c r="P2706" s="154"/>
      <c r="Q2706" s="152"/>
      <c r="R2706" s="9"/>
      <c r="Z2706" s="21"/>
      <c r="AA2706" s="162">
        <f>+$AD$5-Tabla2[[#This Row],[FECHA DE FACTURACIÓN]]</f>
        <v>45443</v>
      </c>
      <c r="AB2706" s="163" t="str">
        <f>+IF(Tabla2[[#This Row],[dias de credito]]&gt;=Tabla2[[#This Row],[PLAZO Días]],"venc", "No venc")</f>
        <v>venc</v>
      </c>
      <c r="AC2706" s="163" t="str">
        <f>+IF(Tabla2[[#This Row],[FECHA DE PAGO]]&gt;0,"pagada","por pagar")</f>
        <v>por pagar</v>
      </c>
      <c r="AD2706" s="164" t="str">
        <f>+IF(AND(Tabla2[[#This Row],[venc]]="venc",Tabla2[[#This Row],[estado pago]]="por pagar"),"vencida","no")</f>
        <v>vencida</v>
      </c>
    </row>
    <row r="2707" spans="1:30" ht="19.5" hidden="1" customHeight="1" x14ac:dyDescent="0.25">
      <c r="A2707" s="8"/>
      <c r="B2707" s="8"/>
      <c r="C2707" s="8"/>
      <c r="D2707" s="151"/>
      <c r="E2707" s="151"/>
      <c r="F2707" s="24"/>
      <c r="G2707" s="30"/>
      <c r="H2707" s="81"/>
      <c r="I2707" s="30"/>
      <c r="J2707" s="16"/>
      <c r="K2707" s="9"/>
      <c r="L2707" s="9"/>
      <c r="M2707" s="152"/>
      <c r="N2707" s="153"/>
      <c r="O2707" s="152"/>
      <c r="P2707" s="154"/>
      <c r="Q2707" s="152"/>
      <c r="R2707" s="9"/>
      <c r="Z2707" s="21"/>
      <c r="AA2707" s="162">
        <f>+$AD$5-Tabla2[[#This Row],[FECHA DE FACTURACIÓN]]</f>
        <v>45443</v>
      </c>
      <c r="AB2707" s="163" t="str">
        <f>+IF(Tabla2[[#This Row],[dias de credito]]&gt;=Tabla2[[#This Row],[PLAZO Días]],"venc", "No venc")</f>
        <v>venc</v>
      </c>
      <c r="AC2707" s="163" t="str">
        <f>+IF(Tabla2[[#This Row],[FECHA DE PAGO]]&gt;0,"pagada","por pagar")</f>
        <v>por pagar</v>
      </c>
      <c r="AD2707" s="164" t="str">
        <f>+IF(AND(Tabla2[[#This Row],[venc]]="venc",Tabla2[[#This Row],[estado pago]]="por pagar"),"vencida","no")</f>
        <v>vencida</v>
      </c>
    </row>
    <row r="2708" spans="1:30" ht="19.5" hidden="1" customHeight="1" x14ac:dyDescent="0.25">
      <c r="A2708" s="8"/>
      <c r="B2708" s="8"/>
      <c r="C2708" s="8"/>
      <c r="D2708" s="151"/>
      <c r="E2708" s="151"/>
      <c r="F2708" s="24"/>
      <c r="G2708" s="30"/>
      <c r="H2708" s="81"/>
      <c r="I2708" s="30"/>
      <c r="J2708" s="16"/>
      <c r="K2708" s="9"/>
      <c r="L2708" s="9"/>
      <c r="M2708" s="152"/>
      <c r="N2708" s="153"/>
      <c r="O2708" s="152"/>
      <c r="P2708" s="154"/>
      <c r="Q2708" s="152"/>
      <c r="R2708" s="9"/>
      <c r="Z2708" s="21"/>
      <c r="AA2708" s="162">
        <f>+$AD$5-Tabla2[[#This Row],[FECHA DE FACTURACIÓN]]</f>
        <v>45443</v>
      </c>
      <c r="AB2708" s="163" t="str">
        <f>+IF(Tabla2[[#This Row],[dias de credito]]&gt;=Tabla2[[#This Row],[PLAZO Días]],"venc", "No venc")</f>
        <v>venc</v>
      </c>
      <c r="AC2708" s="163" t="str">
        <f>+IF(Tabla2[[#This Row],[FECHA DE PAGO]]&gt;0,"pagada","por pagar")</f>
        <v>por pagar</v>
      </c>
      <c r="AD2708" s="164" t="str">
        <f>+IF(AND(Tabla2[[#This Row],[venc]]="venc",Tabla2[[#This Row],[estado pago]]="por pagar"),"vencida","no")</f>
        <v>vencida</v>
      </c>
    </row>
    <row r="2709" spans="1:30" ht="19.5" hidden="1" customHeight="1" x14ac:dyDescent="0.25">
      <c r="A2709" s="8"/>
      <c r="B2709" s="8"/>
      <c r="C2709" s="8"/>
      <c r="D2709" s="151"/>
      <c r="E2709" s="151"/>
      <c r="F2709" s="24"/>
      <c r="G2709" s="30"/>
      <c r="H2709" s="81"/>
      <c r="I2709" s="30"/>
      <c r="J2709" s="16"/>
      <c r="K2709" s="9"/>
      <c r="L2709" s="9"/>
      <c r="M2709" s="152"/>
      <c r="N2709" s="153"/>
      <c r="O2709" s="152"/>
      <c r="P2709" s="154"/>
      <c r="Q2709" s="152"/>
      <c r="R2709" s="9"/>
      <c r="Z2709" s="21"/>
      <c r="AA2709" s="162">
        <f>+$AD$5-Tabla2[[#This Row],[FECHA DE FACTURACIÓN]]</f>
        <v>45443</v>
      </c>
      <c r="AB2709" s="163" t="str">
        <f>+IF(Tabla2[[#This Row],[dias de credito]]&gt;=Tabla2[[#This Row],[PLAZO Días]],"venc", "No venc")</f>
        <v>venc</v>
      </c>
      <c r="AC2709" s="163" t="str">
        <f>+IF(Tabla2[[#This Row],[FECHA DE PAGO]]&gt;0,"pagada","por pagar")</f>
        <v>por pagar</v>
      </c>
      <c r="AD2709" s="164" t="str">
        <f>+IF(AND(Tabla2[[#This Row],[venc]]="venc",Tabla2[[#This Row],[estado pago]]="por pagar"),"vencida","no")</f>
        <v>vencida</v>
      </c>
    </row>
    <row r="2710" spans="1:30" ht="19.5" hidden="1" customHeight="1" x14ac:dyDescent="0.25">
      <c r="A2710" s="8"/>
      <c r="B2710" s="8"/>
      <c r="C2710" s="8"/>
      <c r="D2710" s="151"/>
      <c r="E2710" s="151"/>
      <c r="F2710" s="24"/>
      <c r="G2710" s="30"/>
      <c r="H2710" s="81"/>
      <c r="I2710" s="30"/>
      <c r="J2710" s="16"/>
      <c r="K2710" s="9"/>
      <c r="L2710" s="9"/>
      <c r="M2710" s="152"/>
      <c r="N2710" s="153"/>
      <c r="O2710" s="152"/>
      <c r="P2710" s="154"/>
      <c r="Q2710" s="152"/>
      <c r="R2710" s="9"/>
      <c r="Z2710" s="21"/>
      <c r="AA2710" s="162">
        <f>+$AD$5-Tabla2[[#This Row],[FECHA DE FACTURACIÓN]]</f>
        <v>45443</v>
      </c>
      <c r="AB2710" s="163" t="str">
        <f>+IF(Tabla2[[#This Row],[dias de credito]]&gt;=Tabla2[[#This Row],[PLAZO Días]],"venc", "No venc")</f>
        <v>venc</v>
      </c>
      <c r="AC2710" s="163" t="str">
        <f>+IF(Tabla2[[#This Row],[FECHA DE PAGO]]&gt;0,"pagada","por pagar")</f>
        <v>por pagar</v>
      </c>
      <c r="AD2710" s="164" t="str">
        <f>+IF(AND(Tabla2[[#This Row],[venc]]="venc",Tabla2[[#This Row],[estado pago]]="por pagar"),"vencida","no")</f>
        <v>vencida</v>
      </c>
    </row>
    <row r="2711" spans="1:30" ht="19.5" hidden="1" customHeight="1" x14ac:dyDescent="0.25">
      <c r="A2711" s="8"/>
      <c r="B2711" s="8"/>
      <c r="C2711" s="8"/>
      <c r="D2711" s="151"/>
      <c r="E2711" s="151"/>
      <c r="F2711" s="24"/>
      <c r="G2711" s="30"/>
      <c r="H2711" s="81"/>
      <c r="I2711" s="30"/>
      <c r="J2711" s="16"/>
      <c r="K2711" s="9"/>
      <c r="L2711" s="9"/>
      <c r="M2711" s="152"/>
      <c r="N2711" s="153"/>
      <c r="O2711" s="152"/>
      <c r="P2711" s="154"/>
      <c r="Q2711" s="152"/>
      <c r="R2711" s="9"/>
      <c r="Z2711" s="21"/>
      <c r="AA2711" s="162">
        <f>+$AD$5-Tabla2[[#This Row],[FECHA DE FACTURACIÓN]]</f>
        <v>45443</v>
      </c>
      <c r="AB2711" s="163" t="str">
        <f>+IF(Tabla2[[#This Row],[dias de credito]]&gt;=Tabla2[[#This Row],[PLAZO Días]],"venc", "No venc")</f>
        <v>venc</v>
      </c>
      <c r="AC2711" s="163" t="str">
        <f>+IF(Tabla2[[#This Row],[FECHA DE PAGO]]&gt;0,"pagada","por pagar")</f>
        <v>por pagar</v>
      </c>
      <c r="AD2711" s="164" t="str">
        <f>+IF(AND(Tabla2[[#This Row],[venc]]="venc",Tabla2[[#This Row],[estado pago]]="por pagar"),"vencida","no")</f>
        <v>vencida</v>
      </c>
    </row>
    <row r="2712" spans="1:30" ht="19.5" hidden="1" customHeight="1" x14ac:dyDescent="0.25">
      <c r="A2712" s="8"/>
      <c r="B2712" s="8"/>
      <c r="C2712" s="8"/>
      <c r="D2712" s="151"/>
      <c r="E2712" s="151"/>
      <c r="F2712" s="24"/>
      <c r="G2712" s="30"/>
      <c r="H2712" s="81"/>
      <c r="I2712" s="30"/>
      <c r="J2712" s="16"/>
      <c r="K2712" s="9"/>
      <c r="L2712" s="9"/>
      <c r="M2712" s="152"/>
      <c r="N2712" s="153"/>
      <c r="O2712" s="152"/>
      <c r="P2712" s="154"/>
      <c r="Q2712" s="152"/>
      <c r="R2712" s="9"/>
      <c r="Z2712" s="21"/>
      <c r="AA2712" s="162">
        <f>+$AD$5-Tabla2[[#This Row],[FECHA DE FACTURACIÓN]]</f>
        <v>45443</v>
      </c>
      <c r="AB2712" s="163" t="str">
        <f>+IF(Tabla2[[#This Row],[dias de credito]]&gt;=Tabla2[[#This Row],[PLAZO Días]],"venc", "No venc")</f>
        <v>venc</v>
      </c>
      <c r="AC2712" s="163" t="str">
        <f>+IF(Tabla2[[#This Row],[FECHA DE PAGO]]&gt;0,"pagada","por pagar")</f>
        <v>por pagar</v>
      </c>
      <c r="AD2712" s="164" t="str">
        <f>+IF(AND(Tabla2[[#This Row],[venc]]="venc",Tabla2[[#This Row],[estado pago]]="por pagar"),"vencida","no")</f>
        <v>vencida</v>
      </c>
    </row>
    <row r="2713" spans="1:30" ht="19.5" hidden="1" customHeight="1" x14ac:dyDescent="0.25">
      <c r="A2713" s="8"/>
      <c r="B2713" s="8"/>
      <c r="C2713" s="8"/>
      <c r="D2713" s="151"/>
      <c r="E2713" s="151"/>
      <c r="F2713" s="24"/>
      <c r="G2713" s="30"/>
      <c r="H2713" s="81"/>
      <c r="I2713" s="30"/>
      <c r="J2713" s="16"/>
      <c r="K2713" s="9"/>
      <c r="L2713" s="9"/>
      <c r="M2713" s="152"/>
      <c r="N2713" s="153"/>
      <c r="O2713" s="152"/>
      <c r="P2713" s="154"/>
      <c r="Q2713" s="152"/>
      <c r="R2713" s="9"/>
      <c r="Z2713" s="21"/>
      <c r="AA2713" s="162">
        <f>+$AD$5-Tabla2[[#This Row],[FECHA DE FACTURACIÓN]]</f>
        <v>45443</v>
      </c>
      <c r="AB2713" s="163" t="str">
        <f>+IF(Tabla2[[#This Row],[dias de credito]]&gt;=Tabla2[[#This Row],[PLAZO Días]],"venc", "No venc")</f>
        <v>venc</v>
      </c>
      <c r="AC2713" s="163" t="str">
        <f>+IF(Tabla2[[#This Row],[FECHA DE PAGO]]&gt;0,"pagada","por pagar")</f>
        <v>por pagar</v>
      </c>
      <c r="AD2713" s="164" t="str">
        <f>+IF(AND(Tabla2[[#This Row],[venc]]="venc",Tabla2[[#This Row],[estado pago]]="por pagar"),"vencida","no")</f>
        <v>vencida</v>
      </c>
    </row>
    <row r="2714" spans="1:30" ht="19.5" hidden="1" customHeight="1" x14ac:dyDescent="0.25">
      <c r="A2714" s="8"/>
      <c r="B2714" s="8"/>
      <c r="C2714" s="8"/>
      <c r="D2714" s="151"/>
      <c r="E2714" s="151"/>
      <c r="F2714" s="24"/>
      <c r="G2714" s="30"/>
      <c r="H2714" s="81"/>
      <c r="I2714" s="30"/>
      <c r="J2714" s="16"/>
      <c r="K2714" s="9"/>
      <c r="L2714" s="9"/>
      <c r="M2714" s="152"/>
      <c r="N2714" s="153"/>
      <c r="O2714" s="152"/>
      <c r="P2714" s="154"/>
      <c r="Q2714" s="152"/>
      <c r="R2714" s="9"/>
      <c r="Z2714" s="21"/>
      <c r="AA2714" s="162">
        <f>+$AD$5-Tabla2[[#This Row],[FECHA DE FACTURACIÓN]]</f>
        <v>45443</v>
      </c>
      <c r="AB2714" s="163" t="str">
        <f>+IF(Tabla2[[#This Row],[dias de credito]]&gt;=Tabla2[[#This Row],[PLAZO Días]],"venc", "No venc")</f>
        <v>venc</v>
      </c>
      <c r="AC2714" s="163" t="str">
        <f>+IF(Tabla2[[#This Row],[FECHA DE PAGO]]&gt;0,"pagada","por pagar")</f>
        <v>por pagar</v>
      </c>
      <c r="AD2714" s="164" t="str">
        <f>+IF(AND(Tabla2[[#This Row],[venc]]="venc",Tabla2[[#This Row],[estado pago]]="por pagar"),"vencida","no")</f>
        <v>vencida</v>
      </c>
    </row>
    <row r="2715" spans="1:30" ht="19.5" hidden="1" customHeight="1" x14ac:dyDescent="0.25">
      <c r="A2715" s="8"/>
      <c r="B2715" s="8"/>
      <c r="C2715" s="8"/>
      <c r="D2715" s="151"/>
      <c r="E2715" s="151"/>
      <c r="F2715" s="24"/>
      <c r="G2715" s="30"/>
      <c r="H2715" s="81"/>
      <c r="I2715" s="30"/>
      <c r="J2715" s="16"/>
      <c r="K2715" s="9"/>
      <c r="L2715" s="9"/>
      <c r="M2715" s="152"/>
      <c r="N2715" s="153"/>
      <c r="O2715" s="152"/>
      <c r="P2715" s="154"/>
      <c r="Q2715" s="152"/>
      <c r="R2715" s="9"/>
      <c r="Z2715" s="21"/>
      <c r="AA2715" s="162">
        <f>+$AD$5-Tabla2[[#This Row],[FECHA DE FACTURACIÓN]]</f>
        <v>45443</v>
      </c>
      <c r="AB2715" s="163" t="str">
        <f>+IF(Tabla2[[#This Row],[dias de credito]]&gt;=Tabla2[[#This Row],[PLAZO Días]],"venc", "No venc")</f>
        <v>venc</v>
      </c>
      <c r="AC2715" s="163" t="str">
        <f>+IF(Tabla2[[#This Row],[FECHA DE PAGO]]&gt;0,"pagada","por pagar")</f>
        <v>por pagar</v>
      </c>
      <c r="AD2715" s="164" t="str">
        <f>+IF(AND(Tabla2[[#This Row],[venc]]="venc",Tabla2[[#This Row],[estado pago]]="por pagar"),"vencida","no")</f>
        <v>vencida</v>
      </c>
    </row>
    <row r="2716" spans="1:30" ht="19.5" hidden="1" customHeight="1" x14ac:dyDescent="0.25">
      <c r="A2716" s="8"/>
      <c r="B2716" s="8"/>
      <c r="C2716" s="8"/>
      <c r="D2716" s="151"/>
      <c r="E2716" s="151"/>
      <c r="F2716" s="24"/>
      <c r="G2716" s="30"/>
      <c r="H2716" s="81"/>
      <c r="I2716" s="30"/>
      <c r="J2716" s="16"/>
      <c r="K2716" s="9"/>
      <c r="L2716" s="9"/>
      <c r="M2716" s="152"/>
      <c r="N2716" s="153"/>
      <c r="O2716" s="152"/>
      <c r="P2716" s="154"/>
      <c r="Q2716" s="152"/>
      <c r="R2716" s="9"/>
      <c r="Z2716" s="21"/>
      <c r="AA2716" s="162">
        <f>+$AD$5-Tabla2[[#This Row],[FECHA DE FACTURACIÓN]]</f>
        <v>45443</v>
      </c>
      <c r="AB2716" s="163" t="str">
        <f>+IF(Tabla2[[#This Row],[dias de credito]]&gt;=Tabla2[[#This Row],[PLAZO Días]],"venc", "No venc")</f>
        <v>venc</v>
      </c>
      <c r="AC2716" s="163" t="str">
        <f>+IF(Tabla2[[#This Row],[FECHA DE PAGO]]&gt;0,"pagada","por pagar")</f>
        <v>por pagar</v>
      </c>
      <c r="AD2716" s="164" t="str">
        <f>+IF(AND(Tabla2[[#This Row],[venc]]="venc",Tabla2[[#This Row],[estado pago]]="por pagar"),"vencida","no")</f>
        <v>vencida</v>
      </c>
    </row>
    <row r="2717" spans="1:30" ht="19.5" hidden="1" customHeight="1" x14ac:dyDescent="0.25">
      <c r="A2717" s="8"/>
      <c r="B2717" s="8"/>
      <c r="C2717" s="8"/>
      <c r="D2717" s="151"/>
      <c r="E2717" s="151"/>
      <c r="F2717" s="24"/>
      <c r="G2717" s="30"/>
      <c r="H2717" s="81"/>
      <c r="I2717" s="30"/>
      <c r="J2717" s="16"/>
      <c r="K2717" s="9"/>
      <c r="L2717" s="9"/>
      <c r="M2717" s="152"/>
      <c r="N2717" s="153"/>
      <c r="O2717" s="152"/>
      <c r="P2717" s="154"/>
      <c r="Q2717" s="152"/>
      <c r="R2717" s="9"/>
      <c r="Z2717" s="21"/>
      <c r="AA2717" s="162">
        <f>+$AD$5-Tabla2[[#This Row],[FECHA DE FACTURACIÓN]]</f>
        <v>45443</v>
      </c>
      <c r="AB2717" s="163" t="str">
        <f>+IF(Tabla2[[#This Row],[dias de credito]]&gt;=Tabla2[[#This Row],[PLAZO Días]],"venc", "No venc")</f>
        <v>venc</v>
      </c>
      <c r="AC2717" s="163" t="str">
        <f>+IF(Tabla2[[#This Row],[FECHA DE PAGO]]&gt;0,"pagada","por pagar")</f>
        <v>por pagar</v>
      </c>
      <c r="AD2717" s="164" t="str">
        <f>+IF(AND(Tabla2[[#This Row],[venc]]="venc",Tabla2[[#This Row],[estado pago]]="por pagar"),"vencida","no")</f>
        <v>vencida</v>
      </c>
    </row>
    <row r="2718" spans="1:30" ht="19.5" hidden="1" customHeight="1" x14ac:dyDescent="0.25">
      <c r="A2718" s="8"/>
      <c r="B2718" s="8"/>
      <c r="C2718" s="8"/>
      <c r="D2718" s="151"/>
      <c r="E2718" s="151"/>
      <c r="F2718" s="24"/>
      <c r="G2718" s="30"/>
      <c r="H2718" s="81"/>
      <c r="I2718" s="30"/>
      <c r="J2718" s="16"/>
      <c r="K2718" s="9"/>
      <c r="L2718" s="9"/>
      <c r="M2718" s="152"/>
      <c r="N2718" s="153"/>
      <c r="O2718" s="152"/>
      <c r="P2718" s="154"/>
      <c r="Q2718" s="152"/>
      <c r="R2718" s="9"/>
      <c r="Z2718" s="21"/>
      <c r="AA2718" s="162">
        <f>+$AD$5-Tabla2[[#This Row],[FECHA DE FACTURACIÓN]]</f>
        <v>45443</v>
      </c>
      <c r="AB2718" s="163" t="str">
        <f>+IF(Tabla2[[#This Row],[dias de credito]]&gt;=Tabla2[[#This Row],[PLAZO Días]],"venc", "No venc")</f>
        <v>venc</v>
      </c>
      <c r="AC2718" s="163" t="str">
        <f>+IF(Tabla2[[#This Row],[FECHA DE PAGO]]&gt;0,"pagada","por pagar")</f>
        <v>por pagar</v>
      </c>
      <c r="AD2718" s="164" t="str">
        <f>+IF(AND(Tabla2[[#This Row],[venc]]="venc",Tabla2[[#This Row],[estado pago]]="por pagar"),"vencida","no")</f>
        <v>vencida</v>
      </c>
    </row>
    <row r="2719" spans="1:30" ht="19.5" hidden="1" customHeight="1" x14ac:dyDescent="0.25">
      <c r="A2719" s="8"/>
      <c r="B2719" s="8"/>
      <c r="C2719" s="8"/>
      <c r="D2719" s="151"/>
      <c r="E2719" s="151"/>
      <c r="F2719" s="24"/>
      <c r="G2719" s="30"/>
      <c r="H2719" s="81"/>
      <c r="I2719" s="30"/>
      <c r="J2719" s="16"/>
      <c r="K2719" s="9"/>
      <c r="L2719" s="9"/>
      <c r="M2719" s="152"/>
      <c r="N2719" s="153"/>
      <c r="O2719" s="152"/>
      <c r="P2719" s="154"/>
      <c r="Q2719" s="152"/>
      <c r="R2719" s="9"/>
      <c r="Z2719" s="21"/>
      <c r="AA2719" s="162">
        <f>+$AD$5-Tabla2[[#This Row],[FECHA DE FACTURACIÓN]]</f>
        <v>45443</v>
      </c>
      <c r="AB2719" s="163" t="str">
        <f>+IF(Tabla2[[#This Row],[dias de credito]]&gt;=Tabla2[[#This Row],[PLAZO Días]],"venc", "No venc")</f>
        <v>venc</v>
      </c>
      <c r="AC2719" s="163" t="str">
        <f>+IF(Tabla2[[#This Row],[FECHA DE PAGO]]&gt;0,"pagada","por pagar")</f>
        <v>por pagar</v>
      </c>
      <c r="AD2719" s="164" t="str">
        <f>+IF(AND(Tabla2[[#This Row],[venc]]="venc",Tabla2[[#This Row],[estado pago]]="por pagar"),"vencida","no")</f>
        <v>vencida</v>
      </c>
    </row>
    <row r="2720" spans="1:30" ht="19.5" hidden="1" customHeight="1" x14ac:dyDescent="0.25">
      <c r="A2720" s="8"/>
      <c r="B2720" s="8"/>
      <c r="C2720" s="8"/>
      <c r="D2720" s="151"/>
      <c r="E2720" s="151"/>
      <c r="F2720" s="24"/>
      <c r="G2720" s="30"/>
      <c r="H2720" s="81"/>
      <c r="I2720" s="30"/>
      <c r="J2720" s="16"/>
      <c r="K2720" s="9"/>
      <c r="L2720" s="9"/>
      <c r="M2720" s="152"/>
      <c r="N2720" s="153"/>
      <c r="O2720" s="152"/>
      <c r="P2720" s="154"/>
      <c r="Q2720" s="152"/>
      <c r="R2720" s="9"/>
      <c r="Z2720" s="21"/>
      <c r="AA2720" s="162">
        <f>+$AD$5-Tabla2[[#This Row],[FECHA DE FACTURACIÓN]]</f>
        <v>45443</v>
      </c>
      <c r="AB2720" s="163" t="str">
        <f>+IF(Tabla2[[#This Row],[dias de credito]]&gt;=Tabla2[[#This Row],[PLAZO Días]],"venc", "No venc")</f>
        <v>venc</v>
      </c>
      <c r="AC2720" s="163" t="str">
        <f>+IF(Tabla2[[#This Row],[FECHA DE PAGO]]&gt;0,"pagada","por pagar")</f>
        <v>por pagar</v>
      </c>
      <c r="AD2720" s="164" t="str">
        <f>+IF(AND(Tabla2[[#This Row],[venc]]="venc",Tabla2[[#This Row],[estado pago]]="por pagar"),"vencida","no")</f>
        <v>vencida</v>
      </c>
    </row>
    <row r="2721" spans="1:30" ht="19.5" hidden="1" customHeight="1" x14ac:dyDescent="0.25">
      <c r="A2721" s="8"/>
      <c r="B2721" s="8"/>
      <c r="C2721" s="8"/>
      <c r="D2721" s="151"/>
      <c r="E2721" s="151"/>
      <c r="F2721" s="24"/>
      <c r="G2721" s="30"/>
      <c r="H2721" s="81"/>
      <c r="I2721" s="30"/>
      <c r="J2721" s="16"/>
      <c r="K2721" s="9"/>
      <c r="L2721" s="9"/>
      <c r="M2721" s="152"/>
      <c r="N2721" s="153"/>
      <c r="O2721" s="152"/>
      <c r="P2721" s="154"/>
      <c r="Q2721" s="152"/>
      <c r="R2721" s="9"/>
      <c r="Z2721" s="21"/>
      <c r="AA2721" s="162">
        <f>+$AD$5-Tabla2[[#This Row],[FECHA DE FACTURACIÓN]]</f>
        <v>45443</v>
      </c>
      <c r="AB2721" s="163" t="str">
        <f>+IF(Tabla2[[#This Row],[dias de credito]]&gt;=Tabla2[[#This Row],[PLAZO Días]],"venc", "No venc")</f>
        <v>venc</v>
      </c>
      <c r="AC2721" s="163" t="str">
        <f>+IF(Tabla2[[#This Row],[FECHA DE PAGO]]&gt;0,"pagada","por pagar")</f>
        <v>por pagar</v>
      </c>
      <c r="AD2721" s="164" t="str">
        <f>+IF(AND(Tabla2[[#This Row],[venc]]="venc",Tabla2[[#This Row],[estado pago]]="por pagar"),"vencida","no")</f>
        <v>vencida</v>
      </c>
    </row>
    <row r="2722" spans="1:30" ht="19.5" hidden="1" customHeight="1" x14ac:dyDescent="0.25">
      <c r="A2722" s="8"/>
      <c r="B2722" s="8"/>
      <c r="C2722" s="8"/>
      <c r="D2722" s="151"/>
      <c r="E2722" s="151"/>
      <c r="F2722" s="24"/>
      <c r="G2722" s="30"/>
      <c r="H2722" s="81"/>
      <c r="I2722" s="30"/>
      <c r="J2722" s="16"/>
      <c r="K2722" s="9"/>
      <c r="L2722" s="9"/>
      <c r="M2722" s="152"/>
      <c r="N2722" s="153"/>
      <c r="O2722" s="152"/>
      <c r="P2722" s="154"/>
      <c r="Q2722" s="152"/>
      <c r="R2722" s="9"/>
      <c r="Z2722" s="21"/>
      <c r="AA2722" s="162">
        <f>+$AD$5-Tabla2[[#This Row],[FECHA DE FACTURACIÓN]]</f>
        <v>45443</v>
      </c>
      <c r="AB2722" s="163" t="str">
        <f>+IF(Tabla2[[#This Row],[dias de credito]]&gt;=Tabla2[[#This Row],[PLAZO Días]],"venc", "No venc")</f>
        <v>venc</v>
      </c>
      <c r="AC2722" s="163" t="str">
        <f>+IF(Tabla2[[#This Row],[FECHA DE PAGO]]&gt;0,"pagada","por pagar")</f>
        <v>por pagar</v>
      </c>
      <c r="AD2722" s="164" t="str">
        <f>+IF(AND(Tabla2[[#This Row],[venc]]="venc",Tabla2[[#This Row],[estado pago]]="por pagar"),"vencida","no")</f>
        <v>vencida</v>
      </c>
    </row>
    <row r="2723" spans="1:30" ht="19.5" hidden="1" customHeight="1" x14ac:dyDescent="0.25">
      <c r="A2723" s="8"/>
      <c r="B2723" s="8"/>
      <c r="C2723" s="8"/>
      <c r="D2723" s="151"/>
      <c r="E2723" s="151"/>
      <c r="F2723" s="24"/>
      <c r="G2723" s="30"/>
      <c r="H2723" s="81"/>
      <c r="I2723" s="30"/>
      <c r="J2723" s="16"/>
      <c r="K2723" s="9"/>
      <c r="L2723" s="9"/>
      <c r="M2723" s="152"/>
      <c r="N2723" s="153"/>
      <c r="O2723" s="152"/>
      <c r="P2723" s="154"/>
      <c r="Q2723" s="152"/>
      <c r="R2723" s="9"/>
      <c r="Z2723" s="21"/>
      <c r="AA2723" s="162">
        <f>+$AD$5-Tabla2[[#This Row],[FECHA DE FACTURACIÓN]]</f>
        <v>45443</v>
      </c>
      <c r="AB2723" s="163" t="str">
        <f>+IF(Tabla2[[#This Row],[dias de credito]]&gt;=Tabla2[[#This Row],[PLAZO Días]],"venc", "No venc")</f>
        <v>venc</v>
      </c>
      <c r="AC2723" s="163" t="str">
        <f>+IF(Tabla2[[#This Row],[FECHA DE PAGO]]&gt;0,"pagada","por pagar")</f>
        <v>por pagar</v>
      </c>
      <c r="AD2723" s="164" t="str">
        <f>+IF(AND(Tabla2[[#This Row],[venc]]="venc",Tabla2[[#This Row],[estado pago]]="por pagar"),"vencida","no")</f>
        <v>vencida</v>
      </c>
    </row>
    <row r="2724" spans="1:30" ht="19.5" hidden="1" customHeight="1" x14ac:dyDescent="0.25">
      <c r="A2724" s="8"/>
      <c r="B2724" s="8"/>
      <c r="C2724" s="8"/>
      <c r="D2724" s="151"/>
      <c r="E2724" s="151"/>
      <c r="F2724" s="24"/>
      <c r="G2724" s="30"/>
      <c r="H2724" s="81"/>
      <c r="I2724" s="30"/>
      <c r="J2724" s="16"/>
      <c r="K2724" s="9"/>
      <c r="L2724" s="9"/>
      <c r="M2724" s="152"/>
      <c r="N2724" s="153"/>
      <c r="O2724" s="152"/>
      <c r="P2724" s="154"/>
      <c r="Q2724" s="152"/>
      <c r="R2724" s="9"/>
      <c r="Z2724" s="21"/>
      <c r="AA2724" s="162">
        <f>+$AD$5-Tabla2[[#This Row],[FECHA DE FACTURACIÓN]]</f>
        <v>45443</v>
      </c>
      <c r="AB2724" s="163" t="str">
        <f>+IF(Tabla2[[#This Row],[dias de credito]]&gt;=Tabla2[[#This Row],[PLAZO Días]],"venc", "No venc")</f>
        <v>venc</v>
      </c>
      <c r="AC2724" s="163" t="str">
        <f>+IF(Tabla2[[#This Row],[FECHA DE PAGO]]&gt;0,"pagada","por pagar")</f>
        <v>por pagar</v>
      </c>
      <c r="AD2724" s="164" t="str">
        <f>+IF(AND(Tabla2[[#This Row],[venc]]="venc",Tabla2[[#This Row],[estado pago]]="por pagar"),"vencida","no")</f>
        <v>vencida</v>
      </c>
    </row>
    <row r="2725" spans="1:30" ht="19.5" hidden="1" customHeight="1" x14ac:dyDescent="0.25">
      <c r="A2725" s="8"/>
      <c r="B2725" s="8"/>
      <c r="C2725" s="8"/>
      <c r="D2725" s="151"/>
      <c r="E2725" s="151"/>
      <c r="F2725" s="24"/>
      <c r="G2725" s="30"/>
      <c r="H2725" s="81"/>
      <c r="I2725" s="30"/>
      <c r="J2725" s="16"/>
      <c r="K2725" s="9"/>
      <c r="L2725" s="9"/>
      <c r="M2725" s="152"/>
      <c r="N2725" s="153"/>
      <c r="O2725" s="152"/>
      <c r="P2725" s="154"/>
      <c r="Q2725" s="152"/>
      <c r="R2725" s="9"/>
      <c r="Z2725" s="21"/>
      <c r="AA2725" s="162">
        <f>+$AD$5-Tabla2[[#This Row],[FECHA DE FACTURACIÓN]]</f>
        <v>45443</v>
      </c>
      <c r="AB2725" s="163" t="str">
        <f>+IF(Tabla2[[#This Row],[dias de credito]]&gt;=Tabla2[[#This Row],[PLAZO Días]],"venc", "No venc")</f>
        <v>venc</v>
      </c>
      <c r="AC2725" s="163" t="str">
        <f>+IF(Tabla2[[#This Row],[FECHA DE PAGO]]&gt;0,"pagada","por pagar")</f>
        <v>por pagar</v>
      </c>
      <c r="AD2725" s="164" t="str">
        <f>+IF(AND(Tabla2[[#This Row],[venc]]="venc",Tabla2[[#This Row],[estado pago]]="por pagar"),"vencida","no")</f>
        <v>vencida</v>
      </c>
    </row>
    <row r="2726" spans="1:30" ht="19.5" hidden="1" customHeight="1" x14ac:dyDescent="0.25">
      <c r="A2726" s="8"/>
      <c r="B2726" s="8"/>
      <c r="C2726" s="8"/>
      <c r="D2726" s="151"/>
      <c r="E2726" s="151"/>
      <c r="F2726" s="24"/>
      <c r="G2726" s="30"/>
      <c r="H2726" s="81"/>
      <c r="I2726" s="30"/>
      <c r="J2726" s="16"/>
      <c r="K2726" s="9"/>
      <c r="L2726" s="9"/>
      <c r="M2726" s="152"/>
      <c r="N2726" s="153"/>
      <c r="O2726" s="152"/>
      <c r="P2726" s="154"/>
      <c r="Q2726" s="152"/>
      <c r="R2726" s="9"/>
      <c r="Z2726" s="21"/>
      <c r="AA2726" s="162">
        <f>+$AD$5-Tabla2[[#This Row],[FECHA DE FACTURACIÓN]]</f>
        <v>45443</v>
      </c>
      <c r="AB2726" s="163" t="str">
        <f>+IF(Tabla2[[#This Row],[dias de credito]]&gt;=Tabla2[[#This Row],[PLAZO Días]],"venc", "No venc")</f>
        <v>venc</v>
      </c>
      <c r="AC2726" s="163" t="str">
        <f>+IF(Tabla2[[#This Row],[FECHA DE PAGO]]&gt;0,"pagada","por pagar")</f>
        <v>por pagar</v>
      </c>
      <c r="AD2726" s="164" t="str">
        <f>+IF(AND(Tabla2[[#This Row],[venc]]="venc",Tabla2[[#This Row],[estado pago]]="por pagar"),"vencida","no")</f>
        <v>vencida</v>
      </c>
    </row>
    <row r="2727" spans="1:30" ht="19.5" hidden="1" customHeight="1" x14ac:dyDescent="0.25">
      <c r="A2727" s="8"/>
      <c r="B2727" s="8"/>
      <c r="C2727" s="8"/>
      <c r="D2727" s="151"/>
      <c r="E2727" s="151"/>
      <c r="F2727" s="24"/>
      <c r="G2727" s="30"/>
      <c r="H2727" s="81"/>
      <c r="I2727" s="30"/>
      <c r="J2727" s="16"/>
      <c r="K2727" s="9"/>
      <c r="L2727" s="9"/>
      <c r="M2727" s="152"/>
      <c r="N2727" s="153"/>
      <c r="O2727" s="152"/>
      <c r="P2727" s="154"/>
      <c r="Q2727" s="152"/>
      <c r="R2727" s="9"/>
      <c r="Z2727" s="21"/>
      <c r="AA2727" s="162">
        <f>+$AD$5-Tabla2[[#This Row],[FECHA DE FACTURACIÓN]]</f>
        <v>45443</v>
      </c>
      <c r="AB2727" s="163" t="str">
        <f>+IF(Tabla2[[#This Row],[dias de credito]]&gt;=Tabla2[[#This Row],[PLAZO Días]],"venc", "No venc")</f>
        <v>venc</v>
      </c>
      <c r="AC2727" s="163" t="str">
        <f>+IF(Tabla2[[#This Row],[FECHA DE PAGO]]&gt;0,"pagada","por pagar")</f>
        <v>por pagar</v>
      </c>
      <c r="AD2727" s="164" t="str">
        <f>+IF(AND(Tabla2[[#This Row],[venc]]="venc",Tabla2[[#This Row],[estado pago]]="por pagar"),"vencida","no")</f>
        <v>vencida</v>
      </c>
    </row>
    <row r="2728" spans="1:30" ht="19.5" hidden="1" customHeight="1" x14ac:dyDescent="0.25">
      <c r="A2728" s="8"/>
      <c r="B2728" s="8"/>
      <c r="C2728" s="8"/>
      <c r="D2728" s="151"/>
      <c r="E2728" s="151"/>
      <c r="F2728" s="24"/>
      <c r="G2728" s="30"/>
      <c r="H2728" s="81"/>
      <c r="I2728" s="30"/>
      <c r="J2728" s="16"/>
      <c r="K2728" s="9"/>
      <c r="L2728" s="9"/>
      <c r="M2728" s="152"/>
      <c r="N2728" s="153"/>
      <c r="O2728" s="152"/>
      <c r="P2728" s="154"/>
      <c r="Q2728" s="152"/>
      <c r="R2728" s="9"/>
      <c r="Z2728" s="21"/>
      <c r="AA2728" s="162">
        <f>+$AD$5-Tabla2[[#This Row],[FECHA DE FACTURACIÓN]]</f>
        <v>45443</v>
      </c>
      <c r="AB2728" s="163" t="str">
        <f>+IF(Tabla2[[#This Row],[dias de credito]]&gt;=Tabla2[[#This Row],[PLAZO Días]],"venc", "No venc")</f>
        <v>venc</v>
      </c>
      <c r="AC2728" s="163" t="str">
        <f>+IF(Tabla2[[#This Row],[FECHA DE PAGO]]&gt;0,"pagada","por pagar")</f>
        <v>por pagar</v>
      </c>
      <c r="AD2728" s="164" t="str">
        <f>+IF(AND(Tabla2[[#This Row],[venc]]="venc",Tabla2[[#This Row],[estado pago]]="por pagar"),"vencida","no")</f>
        <v>vencida</v>
      </c>
    </row>
    <row r="2729" spans="1:30" ht="19.5" hidden="1" customHeight="1" x14ac:dyDescent="0.25">
      <c r="A2729" s="8"/>
      <c r="B2729" s="8"/>
      <c r="C2729" s="8"/>
      <c r="D2729" s="151"/>
      <c r="E2729" s="151"/>
      <c r="F2729" s="24"/>
      <c r="G2729" s="30"/>
      <c r="H2729" s="81"/>
      <c r="I2729" s="30"/>
      <c r="J2729" s="16"/>
      <c r="K2729" s="9"/>
      <c r="L2729" s="9"/>
      <c r="M2729" s="152"/>
      <c r="N2729" s="153"/>
      <c r="O2729" s="152"/>
      <c r="P2729" s="154"/>
      <c r="Q2729" s="152"/>
      <c r="R2729" s="9"/>
      <c r="Z2729" s="21"/>
      <c r="AA2729" s="162">
        <f>+$AD$5-Tabla2[[#This Row],[FECHA DE FACTURACIÓN]]</f>
        <v>45443</v>
      </c>
      <c r="AB2729" s="163" t="str">
        <f>+IF(Tabla2[[#This Row],[dias de credito]]&gt;=Tabla2[[#This Row],[PLAZO Días]],"venc", "No venc")</f>
        <v>venc</v>
      </c>
      <c r="AC2729" s="163" t="str">
        <f>+IF(Tabla2[[#This Row],[FECHA DE PAGO]]&gt;0,"pagada","por pagar")</f>
        <v>por pagar</v>
      </c>
      <c r="AD2729" s="164" t="str">
        <f>+IF(AND(Tabla2[[#This Row],[venc]]="venc",Tabla2[[#This Row],[estado pago]]="por pagar"),"vencida","no")</f>
        <v>vencida</v>
      </c>
    </row>
    <row r="2730" spans="1:30" ht="19.5" hidden="1" customHeight="1" x14ac:dyDescent="0.25">
      <c r="A2730" s="8"/>
      <c r="B2730" s="8"/>
      <c r="C2730" s="8"/>
      <c r="D2730" s="151"/>
      <c r="E2730" s="151"/>
      <c r="F2730" s="24"/>
      <c r="G2730" s="30"/>
      <c r="H2730" s="81"/>
      <c r="I2730" s="30"/>
      <c r="J2730" s="16"/>
      <c r="K2730" s="9"/>
      <c r="L2730" s="9"/>
      <c r="M2730" s="152"/>
      <c r="N2730" s="153"/>
      <c r="O2730" s="152"/>
      <c r="P2730" s="154"/>
      <c r="Q2730" s="152"/>
      <c r="R2730" s="9"/>
      <c r="Z2730" s="21"/>
      <c r="AA2730" s="162">
        <f>+$AD$5-Tabla2[[#This Row],[FECHA DE FACTURACIÓN]]</f>
        <v>45443</v>
      </c>
      <c r="AB2730" s="163" t="str">
        <f>+IF(Tabla2[[#This Row],[dias de credito]]&gt;=Tabla2[[#This Row],[PLAZO Días]],"venc", "No venc")</f>
        <v>venc</v>
      </c>
      <c r="AC2730" s="163" t="str">
        <f>+IF(Tabla2[[#This Row],[FECHA DE PAGO]]&gt;0,"pagada","por pagar")</f>
        <v>por pagar</v>
      </c>
      <c r="AD2730" s="164" t="str">
        <f>+IF(AND(Tabla2[[#This Row],[venc]]="venc",Tabla2[[#This Row],[estado pago]]="por pagar"),"vencida","no")</f>
        <v>vencida</v>
      </c>
    </row>
    <row r="2731" spans="1:30" ht="19.5" hidden="1" customHeight="1" x14ac:dyDescent="0.25">
      <c r="A2731" s="8"/>
      <c r="B2731" s="8"/>
      <c r="C2731" s="8"/>
      <c r="D2731" s="151"/>
      <c r="E2731" s="151"/>
      <c r="F2731" s="24"/>
      <c r="G2731" s="30"/>
      <c r="H2731" s="81"/>
      <c r="I2731" s="30"/>
      <c r="J2731" s="16"/>
      <c r="K2731" s="9"/>
      <c r="L2731" s="9"/>
      <c r="M2731" s="152"/>
      <c r="N2731" s="153"/>
      <c r="O2731" s="152"/>
      <c r="P2731" s="154"/>
      <c r="Q2731" s="152"/>
      <c r="R2731" s="9"/>
      <c r="Z2731" s="21"/>
      <c r="AA2731" s="162">
        <f>+$AD$5-Tabla2[[#This Row],[FECHA DE FACTURACIÓN]]</f>
        <v>45443</v>
      </c>
      <c r="AB2731" s="163" t="str">
        <f>+IF(Tabla2[[#This Row],[dias de credito]]&gt;=Tabla2[[#This Row],[PLAZO Días]],"venc", "No venc")</f>
        <v>venc</v>
      </c>
      <c r="AC2731" s="163" t="str">
        <f>+IF(Tabla2[[#This Row],[FECHA DE PAGO]]&gt;0,"pagada","por pagar")</f>
        <v>por pagar</v>
      </c>
      <c r="AD2731" s="164" t="str">
        <f>+IF(AND(Tabla2[[#This Row],[venc]]="venc",Tabla2[[#This Row],[estado pago]]="por pagar"),"vencida","no")</f>
        <v>vencida</v>
      </c>
    </row>
    <row r="2732" spans="1:30" ht="19.5" hidden="1" customHeight="1" x14ac:dyDescent="0.25">
      <c r="A2732" s="8"/>
      <c r="B2732" s="8"/>
      <c r="C2732" s="8"/>
      <c r="D2732" s="151"/>
      <c r="E2732" s="151"/>
      <c r="F2732" s="24"/>
      <c r="G2732" s="30"/>
      <c r="H2732" s="81"/>
      <c r="I2732" s="30"/>
      <c r="J2732" s="16"/>
      <c r="K2732" s="9"/>
      <c r="L2732" s="9"/>
      <c r="M2732" s="152"/>
      <c r="N2732" s="153"/>
      <c r="O2732" s="152"/>
      <c r="P2732" s="154"/>
      <c r="Q2732" s="152"/>
      <c r="R2732" s="9"/>
      <c r="Z2732" s="21"/>
      <c r="AA2732" s="162">
        <f>+$AD$5-Tabla2[[#This Row],[FECHA DE FACTURACIÓN]]</f>
        <v>45443</v>
      </c>
      <c r="AB2732" s="163" t="str">
        <f>+IF(Tabla2[[#This Row],[dias de credito]]&gt;=Tabla2[[#This Row],[PLAZO Días]],"venc", "No venc")</f>
        <v>venc</v>
      </c>
      <c r="AC2732" s="163" t="str">
        <f>+IF(Tabla2[[#This Row],[FECHA DE PAGO]]&gt;0,"pagada","por pagar")</f>
        <v>por pagar</v>
      </c>
      <c r="AD2732" s="164" t="str">
        <f>+IF(AND(Tabla2[[#This Row],[venc]]="venc",Tabla2[[#This Row],[estado pago]]="por pagar"),"vencida","no")</f>
        <v>vencida</v>
      </c>
    </row>
    <row r="2733" spans="1:30" ht="19.5" hidden="1" customHeight="1" x14ac:dyDescent="0.25">
      <c r="A2733" s="8"/>
      <c r="B2733" s="8"/>
      <c r="C2733" s="8"/>
      <c r="D2733" s="151"/>
      <c r="E2733" s="151"/>
      <c r="F2733" s="24"/>
      <c r="G2733" s="30"/>
      <c r="H2733" s="81"/>
      <c r="I2733" s="30"/>
      <c r="J2733" s="16"/>
      <c r="K2733" s="9"/>
      <c r="L2733" s="9"/>
      <c r="M2733" s="152"/>
      <c r="N2733" s="153"/>
      <c r="O2733" s="152"/>
      <c r="P2733" s="154"/>
      <c r="Q2733" s="152"/>
      <c r="R2733" s="9"/>
      <c r="Z2733" s="21"/>
      <c r="AA2733" s="162">
        <f>+$AD$5-Tabla2[[#This Row],[FECHA DE FACTURACIÓN]]</f>
        <v>45443</v>
      </c>
      <c r="AB2733" s="163" t="str">
        <f>+IF(Tabla2[[#This Row],[dias de credito]]&gt;=Tabla2[[#This Row],[PLAZO Días]],"venc", "No venc")</f>
        <v>venc</v>
      </c>
      <c r="AC2733" s="163" t="str">
        <f>+IF(Tabla2[[#This Row],[FECHA DE PAGO]]&gt;0,"pagada","por pagar")</f>
        <v>por pagar</v>
      </c>
      <c r="AD2733" s="164" t="str">
        <f>+IF(AND(Tabla2[[#This Row],[venc]]="venc",Tabla2[[#This Row],[estado pago]]="por pagar"),"vencida","no")</f>
        <v>vencida</v>
      </c>
    </row>
    <row r="2734" spans="1:30" ht="19.5" hidden="1" customHeight="1" x14ac:dyDescent="0.25">
      <c r="A2734" s="8"/>
      <c r="B2734" s="8"/>
      <c r="C2734" s="8"/>
      <c r="D2734" s="151"/>
      <c r="E2734" s="151"/>
      <c r="F2734" s="24"/>
      <c r="G2734" s="30"/>
      <c r="H2734" s="81"/>
      <c r="I2734" s="30"/>
      <c r="J2734" s="16"/>
      <c r="K2734" s="9"/>
      <c r="L2734" s="9"/>
      <c r="M2734" s="152"/>
      <c r="N2734" s="153"/>
      <c r="O2734" s="152"/>
      <c r="P2734" s="154"/>
      <c r="Q2734" s="152"/>
      <c r="R2734" s="9"/>
      <c r="Z2734" s="21"/>
      <c r="AA2734" s="162">
        <f>+$AD$5-Tabla2[[#This Row],[FECHA DE FACTURACIÓN]]</f>
        <v>45443</v>
      </c>
      <c r="AB2734" s="163" t="str">
        <f>+IF(Tabla2[[#This Row],[dias de credito]]&gt;=Tabla2[[#This Row],[PLAZO Días]],"venc", "No venc")</f>
        <v>venc</v>
      </c>
      <c r="AC2734" s="163" t="str">
        <f>+IF(Tabla2[[#This Row],[FECHA DE PAGO]]&gt;0,"pagada","por pagar")</f>
        <v>por pagar</v>
      </c>
      <c r="AD2734" s="164" t="str">
        <f>+IF(AND(Tabla2[[#This Row],[venc]]="venc",Tabla2[[#This Row],[estado pago]]="por pagar"),"vencida","no")</f>
        <v>vencida</v>
      </c>
    </row>
    <row r="2735" spans="1:30" ht="19.5" hidden="1" customHeight="1" x14ac:dyDescent="0.25">
      <c r="A2735" s="8"/>
      <c r="B2735" s="8"/>
      <c r="C2735" s="8"/>
      <c r="D2735" s="151"/>
      <c r="E2735" s="151"/>
      <c r="F2735" s="24"/>
      <c r="G2735" s="30"/>
      <c r="H2735" s="81"/>
      <c r="I2735" s="30"/>
      <c r="J2735" s="16"/>
      <c r="K2735" s="9"/>
      <c r="L2735" s="9"/>
      <c r="M2735" s="152"/>
      <c r="N2735" s="153"/>
      <c r="O2735" s="152"/>
      <c r="P2735" s="154"/>
      <c r="Q2735" s="152"/>
      <c r="R2735" s="9"/>
      <c r="Z2735" s="21"/>
      <c r="AA2735" s="162">
        <f>+$AD$5-Tabla2[[#This Row],[FECHA DE FACTURACIÓN]]</f>
        <v>45443</v>
      </c>
      <c r="AB2735" s="163" t="str">
        <f>+IF(Tabla2[[#This Row],[dias de credito]]&gt;=Tabla2[[#This Row],[PLAZO Días]],"venc", "No venc")</f>
        <v>venc</v>
      </c>
      <c r="AC2735" s="163" t="str">
        <f>+IF(Tabla2[[#This Row],[FECHA DE PAGO]]&gt;0,"pagada","por pagar")</f>
        <v>por pagar</v>
      </c>
      <c r="AD2735" s="164" t="str">
        <f>+IF(AND(Tabla2[[#This Row],[venc]]="venc",Tabla2[[#This Row],[estado pago]]="por pagar"),"vencida","no")</f>
        <v>vencida</v>
      </c>
    </row>
    <row r="2736" spans="1:30" ht="19.5" hidden="1" customHeight="1" x14ac:dyDescent="0.25">
      <c r="A2736" s="8"/>
      <c r="B2736" s="8"/>
      <c r="C2736" s="8"/>
      <c r="D2736" s="151"/>
      <c r="E2736" s="151"/>
      <c r="F2736" s="24"/>
      <c r="G2736" s="30"/>
      <c r="H2736" s="81"/>
      <c r="I2736" s="30"/>
      <c r="J2736" s="16"/>
      <c r="K2736" s="9"/>
      <c r="L2736" s="9"/>
      <c r="M2736" s="152"/>
      <c r="N2736" s="153"/>
      <c r="O2736" s="152"/>
      <c r="P2736" s="154"/>
      <c r="Q2736" s="152"/>
      <c r="R2736" s="9"/>
      <c r="Z2736" s="21"/>
      <c r="AA2736" s="162">
        <f>+$AD$5-Tabla2[[#This Row],[FECHA DE FACTURACIÓN]]</f>
        <v>45443</v>
      </c>
      <c r="AB2736" s="163" t="str">
        <f>+IF(Tabla2[[#This Row],[dias de credito]]&gt;=Tabla2[[#This Row],[PLAZO Días]],"venc", "No venc")</f>
        <v>venc</v>
      </c>
      <c r="AC2736" s="163" t="str">
        <f>+IF(Tabla2[[#This Row],[FECHA DE PAGO]]&gt;0,"pagada","por pagar")</f>
        <v>por pagar</v>
      </c>
      <c r="AD2736" s="164" t="str">
        <f>+IF(AND(Tabla2[[#This Row],[venc]]="venc",Tabla2[[#This Row],[estado pago]]="por pagar"),"vencida","no")</f>
        <v>vencida</v>
      </c>
    </row>
    <row r="2737" spans="1:30" ht="19.5" hidden="1" customHeight="1" x14ac:dyDescent="0.25">
      <c r="A2737" s="8"/>
      <c r="B2737" s="8"/>
      <c r="C2737" s="8"/>
      <c r="D2737" s="151"/>
      <c r="E2737" s="151"/>
      <c r="F2737" s="24"/>
      <c r="G2737" s="30"/>
      <c r="H2737" s="81"/>
      <c r="I2737" s="30"/>
      <c r="J2737" s="16"/>
      <c r="K2737" s="9"/>
      <c r="L2737" s="9"/>
      <c r="M2737" s="152"/>
      <c r="N2737" s="153"/>
      <c r="O2737" s="152"/>
      <c r="P2737" s="154"/>
      <c r="Q2737" s="152"/>
      <c r="R2737" s="9"/>
      <c r="Z2737" s="21"/>
      <c r="AA2737" s="162">
        <f>+$AD$5-Tabla2[[#This Row],[FECHA DE FACTURACIÓN]]</f>
        <v>45443</v>
      </c>
      <c r="AB2737" s="163" t="str">
        <f>+IF(Tabla2[[#This Row],[dias de credito]]&gt;=Tabla2[[#This Row],[PLAZO Días]],"venc", "No venc")</f>
        <v>venc</v>
      </c>
      <c r="AC2737" s="163" t="str">
        <f>+IF(Tabla2[[#This Row],[FECHA DE PAGO]]&gt;0,"pagada","por pagar")</f>
        <v>por pagar</v>
      </c>
      <c r="AD2737" s="164" t="str">
        <f>+IF(AND(Tabla2[[#This Row],[venc]]="venc",Tabla2[[#This Row],[estado pago]]="por pagar"),"vencida","no")</f>
        <v>vencida</v>
      </c>
    </row>
    <row r="2738" spans="1:30" ht="19.5" hidden="1" customHeight="1" x14ac:dyDescent="0.25">
      <c r="A2738" s="8"/>
      <c r="B2738" s="8"/>
      <c r="C2738" s="8"/>
      <c r="D2738" s="151"/>
      <c r="E2738" s="151"/>
      <c r="F2738" s="24"/>
      <c r="G2738" s="30"/>
      <c r="H2738" s="81"/>
      <c r="I2738" s="30"/>
      <c r="J2738" s="16"/>
      <c r="K2738" s="9"/>
      <c r="L2738" s="9"/>
      <c r="M2738" s="152"/>
      <c r="N2738" s="153"/>
      <c r="O2738" s="152"/>
      <c r="P2738" s="154"/>
      <c r="Q2738" s="152"/>
      <c r="R2738" s="9"/>
      <c r="Z2738" s="21"/>
      <c r="AA2738" s="162">
        <f>+$AD$5-Tabla2[[#This Row],[FECHA DE FACTURACIÓN]]</f>
        <v>45443</v>
      </c>
      <c r="AB2738" s="163" t="str">
        <f>+IF(Tabla2[[#This Row],[dias de credito]]&gt;=Tabla2[[#This Row],[PLAZO Días]],"venc", "No venc")</f>
        <v>venc</v>
      </c>
      <c r="AC2738" s="163" t="str">
        <f>+IF(Tabla2[[#This Row],[FECHA DE PAGO]]&gt;0,"pagada","por pagar")</f>
        <v>por pagar</v>
      </c>
      <c r="AD2738" s="164" t="str">
        <f>+IF(AND(Tabla2[[#This Row],[venc]]="venc",Tabla2[[#This Row],[estado pago]]="por pagar"),"vencida","no")</f>
        <v>vencida</v>
      </c>
    </row>
    <row r="2739" spans="1:30" ht="19.5" hidden="1" customHeight="1" x14ac:dyDescent="0.25">
      <c r="A2739" s="8"/>
      <c r="B2739" s="8"/>
      <c r="C2739" s="8"/>
      <c r="D2739" s="151"/>
      <c r="E2739" s="151"/>
      <c r="F2739" s="24"/>
      <c r="G2739" s="30"/>
      <c r="H2739" s="81"/>
      <c r="I2739" s="30"/>
      <c r="J2739" s="16"/>
      <c r="K2739" s="9"/>
      <c r="L2739" s="9"/>
      <c r="M2739" s="152"/>
      <c r="N2739" s="153"/>
      <c r="O2739" s="152"/>
      <c r="P2739" s="154"/>
      <c r="Q2739" s="152"/>
      <c r="R2739" s="9"/>
      <c r="Z2739" s="21"/>
      <c r="AA2739" s="162">
        <f>+$AD$5-Tabla2[[#This Row],[FECHA DE FACTURACIÓN]]</f>
        <v>45443</v>
      </c>
      <c r="AB2739" s="163" t="str">
        <f>+IF(Tabla2[[#This Row],[dias de credito]]&gt;=Tabla2[[#This Row],[PLAZO Días]],"venc", "No venc")</f>
        <v>venc</v>
      </c>
      <c r="AC2739" s="163" t="str">
        <f>+IF(Tabla2[[#This Row],[FECHA DE PAGO]]&gt;0,"pagada","por pagar")</f>
        <v>por pagar</v>
      </c>
      <c r="AD2739" s="164" t="str">
        <f>+IF(AND(Tabla2[[#This Row],[venc]]="venc",Tabla2[[#This Row],[estado pago]]="por pagar"),"vencida","no")</f>
        <v>vencida</v>
      </c>
    </row>
    <row r="2740" spans="1:30" ht="19.5" hidden="1" customHeight="1" x14ac:dyDescent="0.25">
      <c r="A2740" s="8"/>
      <c r="B2740" s="8"/>
      <c r="C2740" s="8"/>
      <c r="D2740" s="151"/>
      <c r="E2740" s="151"/>
      <c r="F2740" s="24"/>
      <c r="G2740" s="30"/>
      <c r="H2740" s="81"/>
      <c r="I2740" s="30"/>
      <c r="J2740" s="16"/>
      <c r="K2740" s="9"/>
      <c r="L2740" s="9"/>
      <c r="M2740" s="152"/>
      <c r="N2740" s="153"/>
      <c r="O2740" s="152"/>
      <c r="P2740" s="154"/>
      <c r="Q2740" s="152"/>
      <c r="R2740" s="9"/>
      <c r="Z2740" s="21"/>
      <c r="AA2740" s="162">
        <f>+$AD$5-Tabla2[[#This Row],[FECHA DE FACTURACIÓN]]</f>
        <v>45443</v>
      </c>
      <c r="AB2740" s="163" t="str">
        <f>+IF(Tabla2[[#This Row],[dias de credito]]&gt;=Tabla2[[#This Row],[PLAZO Días]],"venc", "No venc")</f>
        <v>venc</v>
      </c>
      <c r="AC2740" s="163" t="str">
        <f>+IF(Tabla2[[#This Row],[FECHA DE PAGO]]&gt;0,"pagada","por pagar")</f>
        <v>por pagar</v>
      </c>
      <c r="AD2740" s="164" t="str">
        <f>+IF(AND(Tabla2[[#This Row],[venc]]="venc",Tabla2[[#This Row],[estado pago]]="por pagar"),"vencida","no")</f>
        <v>vencida</v>
      </c>
    </row>
    <row r="2741" spans="1:30" ht="19.5" hidden="1" customHeight="1" x14ac:dyDescent="0.25">
      <c r="A2741" s="8"/>
      <c r="B2741" s="8"/>
      <c r="C2741" s="8"/>
      <c r="D2741" s="151"/>
      <c r="E2741" s="151"/>
      <c r="F2741" s="24"/>
      <c r="G2741" s="30"/>
      <c r="H2741" s="81"/>
      <c r="I2741" s="30"/>
      <c r="J2741" s="16"/>
      <c r="K2741" s="9"/>
      <c r="L2741" s="9"/>
      <c r="M2741" s="152"/>
      <c r="N2741" s="153"/>
      <c r="O2741" s="152"/>
      <c r="P2741" s="154"/>
      <c r="Q2741" s="152"/>
      <c r="R2741" s="9"/>
      <c r="Z2741" s="21"/>
      <c r="AA2741" s="162">
        <f>+$AD$5-Tabla2[[#This Row],[FECHA DE FACTURACIÓN]]</f>
        <v>45443</v>
      </c>
      <c r="AB2741" s="163" t="str">
        <f>+IF(Tabla2[[#This Row],[dias de credito]]&gt;=Tabla2[[#This Row],[PLAZO Días]],"venc", "No venc")</f>
        <v>venc</v>
      </c>
      <c r="AC2741" s="163" t="str">
        <f>+IF(Tabla2[[#This Row],[FECHA DE PAGO]]&gt;0,"pagada","por pagar")</f>
        <v>por pagar</v>
      </c>
      <c r="AD2741" s="164" t="str">
        <f>+IF(AND(Tabla2[[#This Row],[venc]]="venc",Tabla2[[#This Row],[estado pago]]="por pagar"),"vencida","no")</f>
        <v>vencida</v>
      </c>
    </row>
    <row r="2742" spans="1:30" ht="19.5" hidden="1" customHeight="1" x14ac:dyDescent="0.25">
      <c r="A2742" s="8"/>
      <c r="B2742" s="8"/>
      <c r="C2742" s="8"/>
      <c r="D2742" s="151"/>
      <c r="E2742" s="151"/>
      <c r="F2742" s="24"/>
      <c r="G2742" s="30"/>
      <c r="H2742" s="81"/>
      <c r="I2742" s="30"/>
      <c r="J2742" s="16"/>
      <c r="K2742" s="9"/>
      <c r="L2742" s="9"/>
      <c r="M2742" s="152"/>
      <c r="N2742" s="153"/>
      <c r="O2742" s="152"/>
      <c r="P2742" s="154"/>
      <c r="Q2742" s="152"/>
      <c r="R2742" s="9"/>
      <c r="Z2742" s="21"/>
      <c r="AA2742" s="162">
        <f>+$AD$5-Tabla2[[#This Row],[FECHA DE FACTURACIÓN]]</f>
        <v>45443</v>
      </c>
      <c r="AB2742" s="163" t="str">
        <f>+IF(Tabla2[[#This Row],[dias de credito]]&gt;=Tabla2[[#This Row],[PLAZO Días]],"venc", "No venc")</f>
        <v>venc</v>
      </c>
      <c r="AC2742" s="163" t="str">
        <f>+IF(Tabla2[[#This Row],[FECHA DE PAGO]]&gt;0,"pagada","por pagar")</f>
        <v>por pagar</v>
      </c>
      <c r="AD2742" s="164" t="str">
        <f>+IF(AND(Tabla2[[#This Row],[venc]]="venc",Tabla2[[#This Row],[estado pago]]="por pagar"),"vencida","no")</f>
        <v>vencida</v>
      </c>
    </row>
    <row r="2743" spans="1:30" ht="19.5" hidden="1" customHeight="1" x14ac:dyDescent="0.25">
      <c r="A2743" s="8"/>
      <c r="B2743" s="8"/>
      <c r="C2743" s="8"/>
      <c r="D2743" s="151"/>
      <c r="E2743" s="151"/>
      <c r="F2743" s="24"/>
      <c r="G2743" s="30"/>
      <c r="H2743" s="81"/>
      <c r="I2743" s="30"/>
      <c r="J2743" s="16"/>
      <c r="K2743" s="9"/>
      <c r="L2743" s="9"/>
      <c r="M2743" s="152"/>
      <c r="N2743" s="153"/>
      <c r="O2743" s="152"/>
      <c r="P2743" s="154"/>
      <c r="Q2743" s="152"/>
      <c r="R2743" s="9"/>
      <c r="Z2743" s="21"/>
      <c r="AA2743" s="162">
        <f>+$AD$5-Tabla2[[#This Row],[FECHA DE FACTURACIÓN]]</f>
        <v>45443</v>
      </c>
      <c r="AB2743" s="163" t="str">
        <f>+IF(Tabla2[[#This Row],[dias de credito]]&gt;=Tabla2[[#This Row],[PLAZO Días]],"venc", "No venc")</f>
        <v>venc</v>
      </c>
      <c r="AC2743" s="163" t="str">
        <f>+IF(Tabla2[[#This Row],[FECHA DE PAGO]]&gt;0,"pagada","por pagar")</f>
        <v>por pagar</v>
      </c>
      <c r="AD2743" s="164" t="str">
        <f>+IF(AND(Tabla2[[#This Row],[venc]]="venc",Tabla2[[#This Row],[estado pago]]="por pagar"),"vencida","no")</f>
        <v>vencida</v>
      </c>
    </row>
    <row r="2744" spans="1:30" ht="19.5" hidden="1" customHeight="1" x14ac:dyDescent="0.25">
      <c r="A2744" s="8"/>
      <c r="B2744" s="8"/>
      <c r="C2744" s="8"/>
      <c r="D2744" s="151"/>
      <c r="E2744" s="151"/>
      <c r="F2744" s="24"/>
      <c r="G2744" s="30"/>
      <c r="H2744" s="81"/>
      <c r="I2744" s="30"/>
      <c r="J2744" s="16"/>
      <c r="K2744" s="9"/>
      <c r="L2744" s="9"/>
      <c r="M2744" s="152"/>
      <c r="N2744" s="153"/>
      <c r="O2744" s="152"/>
      <c r="P2744" s="154"/>
      <c r="Q2744" s="152"/>
      <c r="R2744" s="9"/>
      <c r="Z2744" s="21"/>
      <c r="AA2744" s="162">
        <f>+$AD$5-Tabla2[[#This Row],[FECHA DE FACTURACIÓN]]</f>
        <v>45443</v>
      </c>
      <c r="AB2744" s="163" t="str">
        <f>+IF(Tabla2[[#This Row],[dias de credito]]&gt;=Tabla2[[#This Row],[PLAZO Días]],"venc", "No venc")</f>
        <v>venc</v>
      </c>
      <c r="AC2744" s="163" t="str">
        <f>+IF(Tabla2[[#This Row],[FECHA DE PAGO]]&gt;0,"pagada","por pagar")</f>
        <v>por pagar</v>
      </c>
      <c r="AD2744" s="164" t="str">
        <f>+IF(AND(Tabla2[[#This Row],[venc]]="venc",Tabla2[[#This Row],[estado pago]]="por pagar"),"vencida","no")</f>
        <v>vencida</v>
      </c>
    </row>
    <row r="2745" spans="1:30" ht="19.5" hidden="1" customHeight="1" x14ac:dyDescent="0.25">
      <c r="A2745" s="8"/>
      <c r="B2745" s="8"/>
      <c r="C2745" s="8"/>
      <c r="D2745" s="151"/>
      <c r="E2745" s="151"/>
      <c r="F2745" s="24"/>
      <c r="G2745" s="30"/>
      <c r="H2745" s="81"/>
      <c r="I2745" s="30"/>
      <c r="J2745" s="16"/>
      <c r="K2745" s="9"/>
      <c r="L2745" s="9"/>
      <c r="M2745" s="152"/>
      <c r="N2745" s="153"/>
      <c r="O2745" s="152"/>
      <c r="P2745" s="154"/>
      <c r="Q2745" s="152"/>
      <c r="R2745" s="9"/>
      <c r="Z2745" s="21"/>
      <c r="AA2745" s="162">
        <f>+$AD$5-Tabla2[[#This Row],[FECHA DE FACTURACIÓN]]</f>
        <v>45443</v>
      </c>
      <c r="AB2745" s="163" t="str">
        <f>+IF(Tabla2[[#This Row],[dias de credito]]&gt;=Tabla2[[#This Row],[PLAZO Días]],"venc", "No venc")</f>
        <v>venc</v>
      </c>
      <c r="AC2745" s="163" t="str">
        <f>+IF(Tabla2[[#This Row],[FECHA DE PAGO]]&gt;0,"pagada","por pagar")</f>
        <v>por pagar</v>
      </c>
      <c r="AD2745" s="164" t="str">
        <f>+IF(AND(Tabla2[[#This Row],[venc]]="venc",Tabla2[[#This Row],[estado pago]]="por pagar"),"vencida","no")</f>
        <v>vencida</v>
      </c>
    </row>
    <row r="2746" spans="1:30" ht="19.5" hidden="1" customHeight="1" x14ac:dyDescent="0.25">
      <c r="A2746" s="8"/>
      <c r="B2746" s="8"/>
      <c r="C2746" s="8"/>
      <c r="D2746" s="151"/>
      <c r="E2746" s="151"/>
      <c r="F2746" s="24"/>
      <c r="G2746" s="30"/>
      <c r="H2746" s="81"/>
      <c r="I2746" s="30"/>
      <c r="J2746" s="16"/>
      <c r="K2746" s="9"/>
      <c r="L2746" s="9"/>
      <c r="M2746" s="152"/>
      <c r="N2746" s="153"/>
      <c r="O2746" s="152"/>
      <c r="P2746" s="154"/>
      <c r="Q2746" s="152"/>
      <c r="R2746" s="9"/>
      <c r="Z2746" s="21"/>
      <c r="AA2746" s="162">
        <f>+$AD$5-Tabla2[[#This Row],[FECHA DE FACTURACIÓN]]</f>
        <v>45443</v>
      </c>
      <c r="AB2746" s="163" t="str">
        <f>+IF(Tabla2[[#This Row],[dias de credito]]&gt;=Tabla2[[#This Row],[PLAZO Días]],"venc", "No venc")</f>
        <v>venc</v>
      </c>
      <c r="AC2746" s="163" t="str">
        <f>+IF(Tabla2[[#This Row],[FECHA DE PAGO]]&gt;0,"pagada","por pagar")</f>
        <v>por pagar</v>
      </c>
      <c r="AD2746" s="164" t="str">
        <f>+IF(AND(Tabla2[[#This Row],[venc]]="venc",Tabla2[[#This Row],[estado pago]]="por pagar"),"vencida","no")</f>
        <v>vencida</v>
      </c>
    </row>
    <row r="2747" spans="1:30" ht="19.5" hidden="1" customHeight="1" x14ac:dyDescent="0.25">
      <c r="A2747" s="8"/>
      <c r="B2747" s="8"/>
      <c r="C2747" s="8"/>
      <c r="D2747" s="151"/>
      <c r="E2747" s="151"/>
      <c r="F2747" s="24"/>
      <c r="G2747" s="30"/>
      <c r="H2747" s="81"/>
      <c r="I2747" s="30"/>
      <c r="J2747" s="16"/>
      <c r="K2747" s="9"/>
      <c r="L2747" s="9"/>
      <c r="M2747" s="152"/>
      <c r="N2747" s="153"/>
      <c r="O2747" s="152"/>
      <c r="P2747" s="154"/>
      <c r="Q2747" s="152"/>
      <c r="R2747" s="9"/>
      <c r="Z2747" s="21"/>
      <c r="AA2747" s="162">
        <f>+$AD$5-Tabla2[[#This Row],[FECHA DE FACTURACIÓN]]</f>
        <v>45443</v>
      </c>
      <c r="AB2747" s="163" t="str">
        <f>+IF(Tabla2[[#This Row],[dias de credito]]&gt;=Tabla2[[#This Row],[PLAZO Días]],"venc", "No venc")</f>
        <v>venc</v>
      </c>
      <c r="AC2747" s="163" t="str">
        <f>+IF(Tabla2[[#This Row],[FECHA DE PAGO]]&gt;0,"pagada","por pagar")</f>
        <v>por pagar</v>
      </c>
      <c r="AD2747" s="164" t="str">
        <f>+IF(AND(Tabla2[[#This Row],[venc]]="venc",Tabla2[[#This Row],[estado pago]]="por pagar"),"vencida","no")</f>
        <v>vencida</v>
      </c>
    </row>
    <row r="2748" spans="1:30" ht="19.5" hidden="1" customHeight="1" x14ac:dyDescent="0.25">
      <c r="A2748" s="8"/>
      <c r="B2748" s="8"/>
      <c r="C2748" s="8"/>
      <c r="D2748" s="151"/>
      <c r="E2748" s="151"/>
      <c r="F2748" s="24"/>
      <c r="G2748" s="30"/>
      <c r="H2748" s="81"/>
      <c r="I2748" s="30"/>
      <c r="J2748" s="16"/>
      <c r="K2748" s="9"/>
      <c r="L2748" s="9"/>
      <c r="M2748" s="152"/>
      <c r="N2748" s="153"/>
      <c r="O2748" s="152"/>
      <c r="P2748" s="154"/>
      <c r="Q2748" s="152"/>
      <c r="R2748" s="9"/>
      <c r="Z2748" s="21"/>
      <c r="AA2748" s="162">
        <f>+$AD$5-Tabla2[[#This Row],[FECHA DE FACTURACIÓN]]</f>
        <v>45443</v>
      </c>
      <c r="AB2748" s="163" t="str">
        <f>+IF(Tabla2[[#This Row],[dias de credito]]&gt;=Tabla2[[#This Row],[PLAZO Días]],"venc", "No venc")</f>
        <v>venc</v>
      </c>
      <c r="AC2748" s="163" t="str">
        <f>+IF(Tabla2[[#This Row],[FECHA DE PAGO]]&gt;0,"pagada","por pagar")</f>
        <v>por pagar</v>
      </c>
      <c r="AD2748" s="164" t="str">
        <f>+IF(AND(Tabla2[[#This Row],[venc]]="venc",Tabla2[[#This Row],[estado pago]]="por pagar"),"vencida","no")</f>
        <v>vencida</v>
      </c>
    </row>
    <row r="2749" spans="1:30" ht="19.5" hidden="1" customHeight="1" x14ac:dyDescent="0.25">
      <c r="A2749" s="8"/>
      <c r="B2749" s="8"/>
      <c r="C2749" s="8"/>
      <c r="D2749" s="151"/>
      <c r="E2749" s="151"/>
      <c r="F2749" s="24"/>
      <c r="G2749" s="30"/>
      <c r="H2749" s="81"/>
      <c r="I2749" s="30"/>
      <c r="J2749" s="16"/>
      <c r="K2749" s="9"/>
      <c r="L2749" s="9"/>
      <c r="M2749" s="152"/>
      <c r="N2749" s="153"/>
      <c r="O2749" s="152"/>
      <c r="P2749" s="154"/>
      <c r="Q2749" s="152"/>
      <c r="R2749" s="9"/>
      <c r="Z2749" s="21"/>
      <c r="AA2749" s="162">
        <f>+$AD$5-Tabla2[[#This Row],[FECHA DE FACTURACIÓN]]</f>
        <v>45443</v>
      </c>
      <c r="AB2749" s="163" t="str">
        <f>+IF(Tabla2[[#This Row],[dias de credito]]&gt;=Tabla2[[#This Row],[PLAZO Días]],"venc", "No venc")</f>
        <v>venc</v>
      </c>
      <c r="AC2749" s="163" t="str">
        <f>+IF(Tabla2[[#This Row],[FECHA DE PAGO]]&gt;0,"pagada","por pagar")</f>
        <v>por pagar</v>
      </c>
      <c r="AD2749" s="164" t="str">
        <f>+IF(AND(Tabla2[[#This Row],[venc]]="venc",Tabla2[[#This Row],[estado pago]]="por pagar"),"vencida","no")</f>
        <v>vencida</v>
      </c>
    </row>
    <row r="2750" spans="1:30" ht="19.5" hidden="1" customHeight="1" x14ac:dyDescent="0.25">
      <c r="A2750" s="8"/>
      <c r="B2750" s="8"/>
      <c r="C2750" s="8"/>
      <c r="D2750" s="151"/>
      <c r="E2750" s="151"/>
      <c r="F2750" s="24"/>
      <c r="G2750" s="30"/>
      <c r="H2750" s="81"/>
      <c r="I2750" s="30"/>
      <c r="J2750" s="16"/>
      <c r="K2750" s="9"/>
      <c r="L2750" s="9"/>
      <c r="M2750" s="152"/>
      <c r="N2750" s="153"/>
      <c r="O2750" s="152"/>
      <c r="P2750" s="154"/>
      <c r="Q2750" s="152"/>
      <c r="R2750" s="9"/>
      <c r="Z2750" s="21"/>
      <c r="AA2750" s="162">
        <f>+$AD$5-Tabla2[[#This Row],[FECHA DE FACTURACIÓN]]</f>
        <v>45443</v>
      </c>
      <c r="AB2750" s="163" t="str">
        <f>+IF(Tabla2[[#This Row],[dias de credito]]&gt;=Tabla2[[#This Row],[PLAZO Días]],"venc", "No venc")</f>
        <v>venc</v>
      </c>
      <c r="AC2750" s="163" t="str">
        <f>+IF(Tabla2[[#This Row],[FECHA DE PAGO]]&gt;0,"pagada","por pagar")</f>
        <v>por pagar</v>
      </c>
      <c r="AD2750" s="164" t="str">
        <f>+IF(AND(Tabla2[[#This Row],[venc]]="venc",Tabla2[[#This Row],[estado pago]]="por pagar"),"vencida","no")</f>
        <v>vencida</v>
      </c>
    </row>
    <row r="2751" spans="1:30" ht="19.5" hidden="1" customHeight="1" x14ac:dyDescent="0.25">
      <c r="A2751" s="8"/>
      <c r="B2751" s="8"/>
      <c r="C2751" s="8"/>
      <c r="D2751" s="151"/>
      <c r="E2751" s="151"/>
      <c r="F2751" s="24"/>
      <c r="G2751" s="30"/>
      <c r="H2751" s="81"/>
      <c r="I2751" s="30"/>
      <c r="J2751" s="16"/>
      <c r="K2751" s="9"/>
      <c r="L2751" s="9"/>
      <c r="M2751" s="152"/>
      <c r="N2751" s="153"/>
      <c r="O2751" s="152"/>
      <c r="P2751" s="154"/>
      <c r="Q2751" s="152"/>
      <c r="R2751" s="9"/>
      <c r="Z2751" s="21"/>
      <c r="AA2751" s="162">
        <f>+$AD$5-Tabla2[[#This Row],[FECHA DE FACTURACIÓN]]</f>
        <v>45443</v>
      </c>
      <c r="AB2751" s="163" t="str">
        <f>+IF(Tabla2[[#This Row],[dias de credito]]&gt;=Tabla2[[#This Row],[PLAZO Días]],"venc", "No venc")</f>
        <v>venc</v>
      </c>
      <c r="AC2751" s="163" t="str">
        <f>+IF(Tabla2[[#This Row],[FECHA DE PAGO]]&gt;0,"pagada","por pagar")</f>
        <v>por pagar</v>
      </c>
      <c r="AD2751" s="164" t="str">
        <f>+IF(AND(Tabla2[[#This Row],[venc]]="venc",Tabla2[[#This Row],[estado pago]]="por pagar"),"vencida","no")</f>
        <v>vencida</v>
      </c>
    </row>
    <row r="2752" spans="1:30" ht="19.5" hidden="1" customHeight="1" x14ac:dyDescent="0.25">
      <c r="A2752" s="8"/>
      <c r="B2752" s="8"/>
      <c r="C2752" s="8"/>
      <c r="D2752" s="151"/>
      <c r="E2752" s="151"/>
      <c r="F2752" s="24"/>
      <c r="G2752" s="30"/>
      <c r="H2752" s="81"/>
      <c r="I2752" s="30"/>
      <c r="J2752" s="16"/>
      <c r="K2752" s="9"/>
      <c r="L2752" s="9"/>
      <c r="M2752" s="152"/>
      <c r="N2752" s="153"/>
      <c r="O2752" s="152"/>
      <c r="P2752" s="154"/>
      <c r="Q2752" s="152"/>
      <c r="R2752" s="9"/>
      <c r="Z2752" s="21"/>
      <c r="AA2752" s="162">
        <f>+$AD$5-Tabla2[[#This Row],[FECHA DE FACTURACIÓN]]</f>
        <v>45443</v>
      </c>
      <c r="AB2752" s="163" t="str">
        <f>+IF(Tabla2[[#This Row],[dias de credito]]&gt;=Tabla2[[#This Row],[PLAZO Días]],"venc", "No venc")</f>
        <v>venc</v>
      </c>
      <c r="AC2752" s="163" t="str">
        <f>+IF(Tabla2[[#This Row],[FECHA DE PAGO]]&gt;0,"pagada","por pagar")</f>
        <v>por pagar</v>
      </c>
      <c r="AD2752" s="164" t="str">
        <f>+IF(AND(Tabla2[[#This Row],[venc]]="venc",Tabla2[[#This Row],[estado pago]]="por pagar"),"vencida","no")</f>
        <v>vencida</v>
      </c>
    </row>
    <row r="2753" spans="1:30" ht="19.5" hidden="1" customHeight="1" x14ac:dyDescent="0.25">
      <c r="A2753" s="8"/>
      <c r="B2753" s="8"/>
      <c r="C2753" s="8"/>
      <c r="D2753" s="151"/>
      <c r="E2753" s="151"/>
      <c r="F2753" s="24"/>
      <c r="G2753" s="30"/>
      <c r="H2753" s="81"/>
      <c r="I2753" s="30"/>
      <c r="J2753" s="16"/>
      <c r="K2753" s="9"/>
      <c r="L2753" s="9"/>
      <c r="M2753" s="152"/>
      <c r="N2753" s="153"/>
      <c r="O2753" s="152"/>
      <c r="P2753" s="154"/>
      <c r="Q2753" s="152"/>
      <c r="R2753" s="9"/>
      <c r="Z2753" s="21"/>
      <c r="AA2753" s="162">
        <f>+$AD$5-Tabla2[[#This Row],[FECHA DE FACTURACIÓN]]</f>
        <v>45443</v>
      </c>
      <c r="AB2753" s="163" t="str">
        <f>+IF(Tabla2[[#This Row],[dias de credito]]&gt;=Tabla2[[#This Row],[PLAZO Días]],"venc", "No venc")</f>
        <v>venc</v>
      </c>
      <c r="AC2753" s="163" t="str">
        <f>+IF(Tabla2[[#This Row],[FECHA DE PAGO]]&gt;0,"pagada","por pagar")</f>
        <v>por pagar</v>
      </c>
      <c r="AD2753" s="164" t="str">
        <f>+IF(AND(Tabla2[[#This Row],[venc]]="venc",Tabla2[[#This Row],[estado pago]]="por pagar"),"vencida","no")</f>
        <v>vencida</v>
      </c>
    </row>
    <row r="2754" spans="1:30" ht="19.5" hidden="1" customHeight="1" x14ac:dyDescent="0.25">
      <c r="A2754" s="8"/>
      <c r="B2754" s="8"/>
      <c r="C2754" s="8"/>
      <c r="D2754" s="151"/>
      <c r="E2754" s="151"/>
      <c r="F2754" s="24"/>
      <c r="G2754" s="30"/>
      <c r="H2754" s="81"/>
      <c r="I2754" s="30"/>
      <c r="J2754" s="16"/>
      <c r="K2754" s="9"/>
      <c r="L2754" s="9"/>
      <c r="M2754" s="152"/>
      <c r="N2754" s="153"/>
      <c r="O2754" s="152"/>
      <c r="P2754" s="154"/>
      <c r="Q2754" s="152"/>
      <c r="R2754" s="9"/>
      <c r="Z2754" s="21"/>
      <c r="AA2754" s="162">
        <f>+$AD$5-Tabla2[[#This Row],[FECHA DE FACTURACIÓN]]</f>
        <v>45443</v>
      </c>
      <c r="AB2754" s="163" t="str">
        <f>+IF(Tabla2[[#This Row],[dias de credito]]&gt;=Tabla2[[#This Row],[PLAZO Días]],"venc", "No venc")</f>
        <v>venc</v>
      </c>
      <c r="AC2754" s="163" t="str">
        <f>+IF(Tabla2[[#This Row],[FECHA DE PAGO]]&gt;0,"pagada","por pagar")</f>
        <v>por pagar</v>
      </c>
      <c r="AD2754" s="164" t="str">
        <f>+IF(AND(Tabla2[[#This Row],[venc]]="venc",Tabla2[[#This Row],[estado pago]]="por pagar"),"vencida","no")</f>
        <v>vencida</v>
      </c>
    </row>
    <row r="2755" spans="1:30" ht="19.5" hidden="1" customHeight="1" x14ac:dyDescent="0.25">
      <c r="A2755" s="8"/>
      <c r="B2755" s="8"/>
      <c r="C2755" s="8"/>
      <c r="D2755" s="151"/>
      <c r="E2755" s="151"/>
      <c r="F2755" s="24"/>
      <c r="G2755" s="30"/>
      <c r="H2755" s="81"/>
      <c r="I2755" s="30"/>
      <c r="J2755" s="16"/>
      <c r="K2755" s="9"/>
      <c r="L2755" s="9"/>
      <c r="M2755" s="152"/>
      <c r="N2755" s="153"/>
      <c r="O2755" s="152"/>
      <c r="P2755" s="154"/>
      <c r="Q2755" s="152"/>
      <c r="R2755" s="9"/>
      <c r="Z2755" s="21"/>
      <c r="AA2755" s="162">
        <f>+$AD$5-Tabla2[[#This Row],[FECHA DE FACTURACIÓN]]</f>
        <v>45443</v>
      </c>
      <c r="AB2755" s="163" t="str">
        <f>+IF(Tabla2[[#This Row],[dias de credito]]&gt;=Tabla2[[#This Row],[PLAZO Días]],"venc", "No venc")</f>
        <v>venc</v>
      </c>
      <c r="AC2755" s="163" t="str">
        <f>+IF(Tabla2[[#This Row],[FECHA DE PAGO]]&gt;0,"pagada","por pagar")</f>
        <v>por pagar</v>
      </c>
      <c r="AD2755" s="164" t="str">
        <f>+IF(AND(Tabla2[[#This Row],[venc]]="venc",Tabla2[[#This Row],[estado pago]]="por pagar"),"vencida","no")</f>
        <v>vencida</v>
      </c>
    </row>
    <row r="2756" spans="1:30" ht="19.5" hidden="1" customHeight="1" x14ac:dyDescent="0.25">
      <c r="A2756" s="8"/>
      <c r="B2756" s="8"/>
      <c r="C2756" s="8"/>
      <c r="D2756" s="151"/>
      <c r="E2756" s="151"/>
      <c r="F2756" s="24"/>
      <c r="G2756" s="30"/>
      <c r="H2756" s="81"/>
      <c r="I2756" s="30"/>
      <c r="J2756" s="16"/>
      <c r="K2756" s="9"/>
      <c r="L2756" s="9"/>
      <c r="M2756" s="152"/>
      <c r="N2756" s="153"/>
      <c r="O2756" s="152"/>
      <c r="P2756" s="154"/>
      <c r="Q2756" s="152"/>
      <c r="R2756" s="9"/>
      <c r="Z2756" s="21"/>
      <c r="AA2756" s="162">
        <f>+$AD$5-Tabla2[[#This Row],[FECHA DE FACTURACIÓN]]</f>
        <v>45443</v>
      </c>
      <c r="AB2756" s="163" t="str">
        <f>+IF(Tabla2[[#This Row],[dias de credito]]&gt;=Tabla2[[#This Row],[PLAZO Días]],"venc", "No venc")</f>
        <v>venc</v>
      </c>
      <c r="AC2756" s="163" t="str">
        <f>+IF(Tabla2[[#This Row],[FECHA DE PAGO]]&gt;0,"pagada","por pagar")</f>
        <v>por pagar</v>
      </c>
      <c r="AD2756" s="164" t="str">
        <f>+IF(AND(Tabla2[[#This Row],[venc]]="venc",Tabla2[[#This Row],[estado pago]]="por pagar"),"vencida","no")</f>
        <v>vencida</v>
      </c>
    </row>
    <row r="2757" spans="1:30" ht="19.5" hidden="1" customHeight="1" x14ac:dyDescent="0.25">
      <c r="A2757" s="8"/>
      <c r="B2757" s="8"/>
      <c r="C2757" s="8"/>
      <c r="D2757" s="151"/>
      <c r="E2757" s="151"/>
      <c r="F2757" s="24"/>
      <c r="G2757" s="30"/>
      <c r="H2757" s="81"/>
      <c r="I2757" s="30"/>
      <c r="J2757" s="16"/>
      <c r="K2757" s="9"/>
      <c r="L2757" s="9"/>
      <c r="M2757" s="152"/>
      <c r="N2757" s="153"/>
      <c r="O2757" s="152"/>
      <c r="P2757" s="154"/>
      <c r="Q2757" s="152"/>
      <c r="R2757" s="9"/>
      <c r="Z2757" s="21"/>
      <c r="AA2757" s="162">
        <f>+$AD$5-Tabla2[[#This Row],[FECHA DE FACTURACIÓN]]</f>
        <v>45443</v>
      </c>
      <c r="AB2757" s="163" t="str">
        <f>+IF(Tabla2[[#This Row],[dias de credito]]&gt;=Tabla2[[#This Row],[PLAZO Días]],"venc", "No venc")</f>
        <v>venc</v>
      </c>
      <c r="AC2757" s="163" t="str">
        <f>+IF(Tabla2[[#This Row],[FECHA DE PAGO]]&gt;0,"pagada","por pagar")</f>
        <v>por pagar</v>
      </c>
      <c r="AD2757" s="164" t="str">
        <f>+IF(AND(Tabla2[[#This Row],[venc]]="venc",Tabla2[[#This Row],[estado pago]]="por pagar"),"vencida","no")</f>
        <v>vencida</v>
      </c>
    </row>
    <row r="2758" spans="1:30" ht="19.5" hidden="1" customHeight="1" x14ac:dyDescent="0.25">
      <c r="A2758" s="8"/>
      <c r="B2758" s="8"/>
      <c r="C2758" s="8"/>
      <c r="D2758" s="151"/>
      <c r="E2758" s="151"/>
      <c r="F2758" s="24"/>
      <c r="G2758" s="30"/>
      <c r="H2758" s="81"/>
      <c r="I2758" s="30"/>
      <c r="J2758" s="16"/>
      <c r="K2758" s="9"/>
      <c r="L2758" s="9"/>
      <c r="M2758" s="152"/>
      <c r="N2758" s="153"/>
      <c r="O2758" s="152"/>
      <c r="P2758" s="154"/>
      <c r="Q2758" s="152"/>
      <c r="R2758" s="9"/>
      <c r="Z2758" s="21"/>
      <c r="AA2758" s="162">
        <f>+$AD$5-Tabla2[[#This Row],[FECHA DE FACTURACIÓN]]</f>
        <v>45443</v>
      </c>
      <c r="AB2758" s="163" t="str">
        <f>+IF(Tabla2[[#This Row],[dias de credito]]&gt;=Tabla2[[#This Row],[PLAZO Días]],"venc", "No venc")</f>
        <v>venc</v>
      </c>
      <c r="AC2758" s="163" t="str">
        <f>+IF(Tabla2[[#This Row],[FECHA DE PAGO]]&gt;0,"pagada","por pagar")</f>
        <v>por pagar</v>
      </c>
      <c r="AD2758" s="164" t="str">
        <f>+IF(AND(Tabla2[[#This Row],[venc]]="venc",Tabla2[[#This Row],[estado pago]]="por pagar"),"vencida","no")</f>
        <v>vencida</v>
      </c>
    </row>
    <row r="2759" spans="1:30" ht="19.5" hidden="1" customHeight="1" x14ac:dyDescent="0.25">
      <c r="A2759" s="8"/>
      <c r="B2759" s="8"/>
      <c r="C2759" s="8"/>
      <c r="D2759" s="151"/>
      <c r="E2759" s="151"/>
      <c r="F2759" s="24"/>
      <c r="G2759" s="30"/>
      <c r="H2759" s="81"/>
      <c r="I2759" s="30"/>
      <c r="J2759" s="16"/>
      <c r="K2759" s="9"/>
      <c r="L2759" s="9"/>
      <c r="M2759" s="152"/>
      <c r="N2759" s="153"/>
      <c r="O2759" s="152"/>
      <c r="P2759" s="154"/>
      <c r="Q2759" s="152"/>
      <c r="R2759" s="9"/>
      <c r="Z2759" s="21"/>
      <c r="AA2759" s="162">
        <f>+$AD$5-Tabla2[[#This Row],[FECHA DE FACTURACIÓN]]</f>
        <v>45443</v>
      </c>
      <c r="AB2759" s="163" t="str">
        <f>+IF(Tabla2[[#This Row],[dias de credito]]&gt;=Tabla2[[#This Row],[PLAZO Días]],"venc", "No venc")</f>
        <v>venc</v>
      </c>
      <c r="AC2759" s="163" t="str">
        <f>+IF(Tabla2[[#This Row],[FECHA DE PAGO]]&gt;0,"pagada","por pagar")</f>
        <v>por pagar</v>
      </c>
      <c r="AD2759" s="164" t="str">
        <f>+IF(AND(Tabla2[[#This Row],[venc]]="venc",Tabla2[[#This Row],[estado pago]]="por pagar"),"vencida","no")</f>
        <v>vencida</v>
      </c>
    </row>
    <row r="2760" spans="1:30" ht="19.5" hidden="1" customHeight="1" x14ac:dyDescent="0.25">
      <c r="A2760" s="8"/>
      <c r="B2760" s="8"/>
      <c r="C2760" s="8"/>
      <c r="D2760" s="151"/>
      <c r="E2760" s="151"/>
      <c r="F2760" s="24"/>
      <c r="G2760" s="30"/>
      <c r="H2760" s="81"/>
      <c r="I2760" s="30"/>
      <c r="J2760" s="16"/>
      <c r="K2760" s="9"/>
      <c r="L2760" s="9"/>
      <c r="M2760" s="152"/>
      <c r="N2760" s="153"/>
      <c r="O2760" s="152"/>
      <c r="P2760" s="154"/>
      <c r="Q2760" s="152"/>
      <c r="R2760" s="9"/>
      <c r="Z2760" s="21"/>
      <c r="AA2760" s="162">
        <f>+$AD$5-Tabla2[[#This Row],[FECHA DE FACTURACIÓN]]</f>
        <v>45443</v>
      </c>
      <c r="AB2760" s="163" t="str">
        <f>+IF(Tabla2[[#This Row],[dias de credito]]&gt;=Tabla2[[#This Row],[PLAZO Días]],"venc", "No venc")</f>
        <v>venc</v>
      </c>
      <c r="AC2760" s="163" t="str">
        <f>+IF(Tabla2[[#This Row],[FECHA DE PAGO]]&gt;0,"pagada","por pagar")</f>
        <v>por pagar</v>
      </c>
      <c r="AD2760" s="164" t="str">
        <f>+IF(AND(Tabla2[[#This Row],[venc]]="venc",Tabla2[[#This Row],[estado pago]]="por pagar"),"vencida","no")</f>
        <v>vencida</v>
      </c>
    </row>
    <row r="2761" spans="1:30" ht="19.5" hidden="1" customHeight="1" x14ac:dyDescent="0.25">
      <c r="A2761" s="8"/>
      <c r="B2761" s="8"/>
      <c r="C2761" s="8"/>
      <c r="D2761" s="151"/>
      <c r="E2761" s="151"/>
      <c r="F2761" s="24"/>
      <c r="G2761" s="30"/>
      <c r="H2761" s="81"/>
      <c r="I2761" s="30"/>
      <c r="J2761" s="16"/>
      <c r="K2761" s="9"/>
      <c r="L2761" s="9"/>
      <c r="M2761" s="152"/>
      <c r="N2761" s="153"/>
      <c r="O2761" s="152"/>
      <c r="P2761" s="154"/>
      <c r="Q2761" s="152"/>
      <c r="R2761" s="9"/>
      <c r="Z2761" s="21"/>
      <c r="AA2761" s="162">
        <f>+$AD$5-Tabla2[[#This Row],[FECHA DE FACTURACIÓN]]</f>
        <v>45443</v>
      </c>
      <c r="AB2761" s="163" t="str">
        <f>+IF(Tabla2[[#This Row],[dias de credito]]&gt;=Tabla2[[#This Row],[PLAZO Días]],"venc", "No venc")</f>
        <v>venc</v>
      </c>
      <c r="AC2761" s="163" t="str">
        <f>+IF(Tabla2[[#This Row],[FECHA DE PAGO]]&gt;0,"pagada","por pagar")</f>
        <v>por pagar</v>
      </c>
      <c r="AD2761" s="164" t="str">
        <f>+IF(AND(Tabla2[[#This Row],[venc]]="venc",Tabla2[[#This Row],[estado pago]]="por pagar"),"vencida","no")</f>
        <v>vencida</v>
      </c>
    </row>
    <row r="2762" spans="1:30" ht="19.5" hidden="1" customHeight="1" x14ac:dyDescent="0.25">
      <c r="A2762" s="8"/>
      <c r="B2762" s="8"/>
      <c r="C2762" s="8"/>
      <c r="D2762" s="151"/>
      <c r="E2762" s="151"/>
      <c r="F2762" s="24"/>
      <c r="G2762" s="30"/>
      <c r="H2762" s="81"/>
      <c r="I2762" s="30"/>
      <c r="J2762" s="16"/>
      <c r="K2762" s="9"/>
      <c r="L2762" s="9"/>
      <c r="M2762" s="152"/>
      <c r="N2762" s="153"/>
      <c r="O2762" s="152"/>
      <c r="P2762" s="154"/>
      <c r="Q2762" s="152"/>
      <c r="R2762" s="9"/>
      <c r="Z2762" s="21"/>
      <c r="AA2762" s="162">
        <f>+$AD$5-Tabla2[[#This Row],[FECHA DE FACTURACIÓN]]</f>
        <v>45443</v>
      </c>
      <c r="AB2762" s="163" t="str">
        <f>+IF(Tabla2[[#This Row],[dias de credito]]&gt;=Tabla2[[#This Row],[PLAZO Días]],"venc", "No venc")</f>
        <v>venc</v>
      </c>
      <c r="AC2762" s="163" t="str">
        <f>+IF(Tabla2[[#This Row],[FECHA DE PAGO]]&gt;0,"pagada","por pagar")</f>
        <v>por pagar</v>
      </c>
      <c r="AD2762" s="164" t="str">
        <f>+IF(AND(Tabla2[[#This Row],[venc]]="venc",Tabla2[[#This Row],[estado pago]]="por pagar"),"vencida","no")</f>
        <v>vencida</v>
      </c>
    </row>
    <row r="2763" spans="1:30" ht="19.5" hidden="1" customHeight="1" x14ac:dyDescent="0.25">
      <c r="A2763" s="8"/>
      <c r="B2763" s="8"/>
      <c r="C2763" s="8"/>
      <c r="D2763" s="151"/>
      <c r="E2763" s="151"/>
      <c r="F2763" s="24"/>
      <c r="G2763" s="30"/>
      <c r="H2763" s="81"/>
      <c r="I2763" s="30"/>
      <c r="J2763" s="16"/>
      <c r="K2763" s="9"/>
      <c r="L2763" s="9"/>
      <c r="M2763" s="152"/>
      <c r="N2763" s="153"/>
      <c r="O2763" s="152"/>
      <c r="P2763" s="154"/>
      <c r="Q2763" s="152"/>
      <c r="R2763" s="9"/>
      <c r="Z2763" s="21"/>
      <c r="AA2763" s="162">
        <f>+$AD$5-Tabla2[[#This Row],[FECHA DE FACTURACIÓN]]</f>
        <v>45443</v>
      </c>
      <c r="AB2763" s="163" t="str">
        <f>+IF(Tabla2[[#This Row],[dias de credito]]&gt;=Tabla2[[#This Row],[PLAZO Días]],"venc", "No venc")</f>
        <v>venc</v>
      </c>
      <c r="AC2763" s="163" t="str">
        <f>+IF(Tabla2[[#This Row],[FECHA DE PAGO]]&gt;0,"pagada","por pagar")</f>
        <v>por pagar</v>
      </c>
      <c r="AD2763" s="164" t="str">
        <f>+IF(AND(Tabla2[[#This Row],[venc]]="venc",Tabla2[[#This Row],[estado pago]]="por pagar"),"vencida","no")</f>
        <v>vencida</v>
      </c>
    </row>
    <row r="2764" spans="1:30" ht="19.5" hidden="1" customHeight="1" x14ac:dyDescent="0.25">
      <c r="A2764" s="8"/>
      <c r="B2764" s="8"/>
      <c r="C2764" s="8"/>
      <c r="D2764" s="151"/>
      <c r="E2764" s="151"/>
      <c r="F2764" s="24"/>
      <c r="G2764" s="30"/>
      <c r="H2764" s="81"/>
      <c r="I2764" s="30"/>
      <c r="J2764" s="16"/>
      <c r="K2764" s="9"/>
      <c r="L2764" s="9"/>
      <c r="M2764" s="152"/>
      <c r="N2764" s="153"/>
      <c r="O2764" s="152"/>
      <c r="P2764" s="154"/>
      <c r="Q2764" s="152"/>
      <c r="R2764" s="9"/>
      <c r="Z2764" s="21"/>
      <c r="AA2764" s="162">
        <f>+$AD$5-Tabla2[[#This Row],[FECHA DE FACTURACIÓN]]</f>
        <v>45443</v>
      </c>
      <c r="AB2764" s="163" t="str">
        <f>+IF(Tabla2[[#This Row],[dias de credito]]&gt;=Tabla2[[#This Row],[PLAZO Días]],"venc", "No venc")</f>
        <v>venc</v>
      </c>
      <c r="AC2764" s="163" t="str">
        <f>+IF(Tabla2[[#This Row],[FECHA DE PAGO]]&gt;0,"pagada","por pagar")</f>
        <v>por pagar</v>
      </c>
      <c r="AD2764" s="164" t="str">
        <f>+IF(AND(Tabla2[[#This Row],[venc]]="venc",Tabla2[[#This Row],[estado pago]]="por pagar"),"vencida","no")</f>
        <v>vencida</v>
      </c>
    </row>
    <row r="2765" spans="1:30" ht="19.5" hidden="1" customHeight="1" x14ac:dyDescent="0.25">
      <c r="A2765" s="8"/>
      <c r="B2765" s="8"/>
      <c r="C2765" s="8"/>
      <c r="D2765" s="151"/>
      <c r="E2765" s="151"/>
      <c r="F2765" s="24"/>
      <c r="G2765" s="30"/>
      <c r="H2765" s="81"/>
      <c r="I2765" s="30"/>
      <c r="J2765" s="16"/>
      <c r="K2765" s="9"/>
      <c r="L2765" s="9"/>
      <c r="M2765" s="152"/>
      <c r="N2765" s="153"/>
      <c r="O2765" s="152"/>
      <c r="P2765" s="154"/>
      <c r="Q2765" s="152"/>
      <c r="R2765" s="9"/>
      <c r="Z2765" s="21"/>
      <c r="AA2765" s="162">
        <f>+$AD$5-Tabla2[[#This Row],[FECHA DE FACTURACIÓN]]</f>
        <v>45443</v>
      </c>
      <c r="AB2765" s="163" t="str">
        <f>+IF(Tabla2[[#This Row],[dias de credito]]&gt;=Tabla2[[#This Row],[PLAZO Días]],"venc", "No venc")</f>
        <v>venc</v>
      </c>
      <c r="AC2765" s="163" t="str">
        <f>+IF(Tabla2[[#This Row],[FECHA DE PAGO]]&gt;0,"pagada","por pagar")</f>
        <v>por pagar</v>
      </c>
      <c r="AD2765" s="164" t="str">
        <f>+IF(AND(Tabla2[[#This Row],[venc]]="venc",Tabla2[[#This Row],[estado pago]]="por pagar"),"vencida","no")</f>
        <v>vencida</v>
      </c>
    </row>
    <row r="2766" spans="1:30" ht="19.5" hidden="1" customHeight="1" x14ac:dyDescent="0.25">
      <c r="A2766" s="8"/>
      <c r="B2766" s="8"/>
      <c r="C2766" s="8"/>
      <c r="D2766" s="151"/>
      <c r="E2766" s="151"/>
      <c r="F2766" s="24"/>
      <c r="G2766" s="30"/>
      <c r="H2766" s="81"/>
      <c r="I2766" s="30"/>
      <c r="J2766" s="16"/>
      <c r="K2766" s="9"/>
      <c r="L2766" s="9"/>
      <c r="M2766" s="152"/>
      <c r="N2766" s="153"/>
      <c r="O2766" s="152"/>
      <c r="P2766" s="154"/>
      <c r="Q2766" s="152"/>
      <c r="R2766" s="9"/>
      <c r="Z2766" s="21"/>
      <c r="AA2766" s="162">
        <f>+$AD$5-Tabla2[[#This Row],[FECHA DE FACTURACIÓN]]</f>
        <v>45443</v>
      </c>
      <c r="AB2766" s="163" t="str">
        <f>+IF(Tabla2[[#This Row],[dias de credito]]&gt;=Tabla2[[#This Row],[PLAZO Días]],"venc", "No venc")</f>
        <v>venc</v>
      </c>
      <c r="AC2766" s="163" t="str">
        <f>+IF(Tabla2[[#This Row],[FECHA DE PAGO]]&gt;0,"pagada","por pagar")</f>
        <v>por pagar</v>
      </c>
      <c r="AD2766" s="164" t="str">
        <f>+IF(AND(Tabla2[[#This Row],[venc]]="venc",Tabla2[[#This Row],[estado pago]]="por pagar"),"vencida","no")</f>
        <v>vencida</v>
      </c>
    </row>
    <row r="2767" spans="1:30" ht="19.5" hidden="1" customHeight="1" x14ac:dyDescent="0.25">
      <c r="A2767" s="8"/>
      <c r="B2767" s="8"/>
      <c r="C2767" s="8"/>
      <c r="D2767" s="151"/>
      <c r="E2767" s="151"/>
      <c r="F2767" s="24"/>
      <c r="G2767" s="30"/>
      <c r="H2767" s="81"/>
      <c r="I2767" s="30"/>
      <c r="J2767" s="16"/>
      <c r="K2767" s="9"/>
      <c r="L2767" s="9"/>
      <c r="M2767" s="152"/>
      <c r="N2767" s="153"/>
      <c r="O2767" s="152"/>
      <c r="P2767" s="154"/>
      <c r="Q2767" s="152"/>
      <c r="R2767" s="9"/>
      <c r="Z2767" s="21"/>
      <c r="AA2767" s="162">
        <f>+$AD$5-Tabla2[[#This Row],[FECHA DE FACTURACIÓN]]</f>
        <v>45443</v>
      </c>
      <c r="AB2767" s="163" t="str">
        <f>+IF(Tabla2[[#This Row],[dias de credito]]&gt;=Tabla2[[#This Row],[PLAZO Días]],"venc", "No venc")</f>
        <v>venc</v>
      </c>
      <c r="AC2767" s="163" t="str">
        <f>+IF(Tabla2[[#This Row],[FECHA DE PAGO]]&gt;0,"pagada","por pagar")</f>
        <v>por pagar</v>
      </c>
      <c r="AD2767" s="164" t="str">
        <f>+IF(AND(Tabla2[[#This Row],[venc]]="venc",Tabla2[[#This Row],[estado pago]]="por pagar"),"vencida","no")</f>
        <v>vencida</v>
      </c>
    </row>
    <row r="2768" spans="1:30" ht="19.5" hidden="1" customHeight="1" x14ac:dyDescent="0.25">
      <c r="A2768" s="8"/>
      <c r="B2768" s="8"/>
      <c r="C2768" s="8"/>
      <c r="D2768" s="151"/>
      <c r="E2768" s="151"/>
      <c r="F2768" s="24"/>
      <c r="G2768" s="30"/>
      <c r="H2768" s="81"/>
      <c r="I2768" s="30"/>
      <c r="J2768" s="16"/>
      <c r="K2768" s="9"/>
      <c r="L2768" s="9"/>
      <c r="M2768" s="152"/>
      <c r="N2768" s="153"/>
      <c r="O2768" s="152"/>
      <c r="P2768" s="154"/>
      <c r="Q2768" s="152"/>
      <c r="R2768" s="9"/>
      <c r="Z2768" s="21"/>
      <c r="AA2768" s="162">
        <f>+$AD$5-Tabla2[[#This Row],[FECHA DE FACTURACIÓN]]</f>
        <v>45443</v>
      </c>
      <c r="AB2768" s="163" t="str">
        <f>+IF(Tabla2[[#This Row],[dias de credito]]&gt;=Tabla2[[#This Row],[PLAZO Días]],"venc", "No venc")</f>
        <v>venc</v>
      </c>
      <c r="AC2768" s="163" t="str">
        <f>+IF(Tabla2[[#This Row],[FECHA DE PAGO]]&gt;0,"pagada","por pagar")</f>
        <v>por pagar</v>
      </c>
      <c r="AD2768" s="164" t="str">
        <f>+IF(AND(Tabla2[[#This Row],[venc]]="venc",Tabla2[[#This Row],[estado pago]]="por pagar"),"vencida","no")</f>
        <v>vencida</v>
      </c>
    </row>
    <row r="2769" spans="1:30" ht="19.5" hidden="1" customHeight="1" x14ac:dyDescent="0.25">
      <c r="A2769" s="8"/>
      <c r="B2769" s="8"/>
      <c r="C2769" s="8"/>
      <c r="D2769" s="151"/>
      <c r="E2769" s="151"/>
      <c r="F2769" s="24"/>
      <c r="G2769" s="30"/>
      <c r="H2769" s="81"/>
      <c r="I2769" s="30"/>
      <c r="J2769" s="16"/>
      <c r="K2769" s="9"/>
      <c r="L2769" s="9"/>
      <c r="M2769" s="152"/>
      <c r="N2769" s="153"/>
      <c r="O2769" s="152"/>
      <c r="P2769" s="154"/>
      <c r="Q2769" s="152"/>
      <c r="R2769" s="9"/>
      <c r="Z2769" s="21"/>
      <c r="AA2769" s="162">
        <f>+$AD$5-Tabla2[[#This Row],[FECHA DE FACTURACIÓN]]</f>
        <v>45443</v>
      </c>
      <c r="AB2769" s="163" t="str">
        <f>+IF(Tabla2[[#This Row],[dias de credito]]&gt;=Tabla2[[#This Row],[PLAZO Días]],"venc", "No venc")</f>
        <v>venc</v>
      </c>
      <c r="AC2769" s="163" t="str">
        <f>+IF(Tabla2[[#This Row],[FECHA DE PAGO]]&gt;0,"pagada","por pagar")</f>
        <v>por pagar</v>
      </c>
      <c r="AD2769" s="164" t="str">
        <f>+IF(AND(Tabla2[[#This Row],[venc]]="venc",Tabla2[[#This Row],[estado pago]]="por pagar"),"vencida","no")</f>
        <v>vencida</v>
      </c>
    </row>
    <row r="2770" spans="1:30" ht="19.5" hidden="1" customHeight="1" x14ac:dyDescent="0.25">
      <c r="A2770" s="8"/>
      <c r="B2770" s="8"/>
      <c r="C2770" s="8"/>
      <c r="D2770" s="151"/>
      <c r="E2770" s="151"/>
      <c r="F2770" s="24"/>
      <c r="G2770" s="30"/>
      <c r="H2770" s="81"/>
      <c r="I2770" s="30"/>
      <c r="J2770" s="16"/>
      <c r="K2770" s="9"/>
      <c r="L2770" s="9"/>
      <c r="M2770" s="152"/>
      <c r="N2770" s="153"/>
      <c r="O2770" s="152"/>
      <c r="P2770" s="154"/>
      <c r="Q2770" s="152"/>
      <c r="R2770" s="9"/>
      <c r="Z2770" s="21"/>
      <c r="AA2770" s="162">
        <f>+$AD$5-Tabla2[[#This Row],[FECHA DE FACTURACIÓN]]</f>
        <v>45443</v>
      </c>
      <c r="AB2770" s="163" t="str">
        <f>+IF(Tabla2[[#This Row],[dias de credito]]&gt;=Tabla2[[#This Row],[PLAZO Días]],"venc", "No venc")</f>
        <v>venc</v>
      </c>
      <c r="AC2770" s="163" t="str">
        <f>+IF(Tabla2[[#This Row],[FECHA DE PAGO]]&gt;0,"pagada","por pagar")</f>
        <v>por pagar</v>
      </c>
      <c r="AD2770" s="164" t="str">
        <f>+IF(AND(Tabla2[[#This Row],[venc]]="venc",Tabla2[[#This Row],[estado pago]]="por pagar"),"vencida","no")</f>
        <v>vencida</v>
      </c>
    </row>
    <row r="2771" spans="1:30" ht="19.5" hidden="1" customHeight="1" x14ac:dyDescent="0.25">
      <c r="A2771" s="8"/>
      <c r="B2771" s="8"/>
      <c r="C2771" s="8"/>
      <c r="D2771" s="151"/>
      <c r="E2771" s="151"/>
      <c r="F2771" s="24"/>
      <c r="G2771" s="30"/>
      <c r="H2771" s="81"/>
      <c r="I2771" s="30"/>
      <c r="J2771" s="16"/>
      <c r="K2771" s="9"/>
      <c r="L2771" s="9"/>
      <c r="M2771" s="152"/>
      <c r="N2771" s="153"/>
      <c r="O2771" s="152"/>
      <c r="P2771" s="154"/>
      <c r="Q2771" s="152"/>
      <c r="R2771" s="9"/>
      <c r="Z2771" s="21"/>
      <c r="AA2771" s="162">
        <f>+$AD$5-Tabla2[[#This Row],[FECHA DE FACTURACIÓN]]</f>
        <v>45443</v>
      </c>
      <c r="AB2771" s="163" t="str">
        <f>+IF(Tabla2[[#This Row],[dias de credito]]&gt;=Tabla2[[#This Row],[PLAZO Días]],"venc", "No venc")</f>
        <v>venc</v>
      </c>
      <c r="AC2771" s="163" t="str">
        <f>+IF(Tabla2[[#This Row],[FECHA DE PAGO]]&gt;0,"pagada","por pagar")</f>
        <v>por pagar</v>
      </c>
      <c r="AD2771" s="164" t="str">
        <f>+IF(AND(Tabla2[[#This Row],[venc]]="venc",Tabla2[[#This Row],[estado pago]]="por pagar"),"vencida","no")</f>
        <v>vencida</v>
      </c>
    </row>
    <row r="2772" spans="1:30" ht="19.5" hidden="1" customHeight="1" x14ac:dyDescent="0.25">
      <c r="A2772" s="8"/>
      <c r="B2772" s="8"/>
      <c r="C2772" s="8"/>
      <c r="D2772" s="151"/>
      <c r="E2772" s="151"/>
      <c r="F2772" s="24"/>
      <c r="G2772" s="30"/>
      <c r="H2772" s="81"/>
      <c r="I2772" s="30"/>
      <c r="J2772" s="16"/>
      <c r="K2772" s="9"/>
      <c r="L2772" s="9"/>
      <c r="M2772" s="152"/>
      <c r="N2772" s="153"/>
      <c r="O2772" s="152"/>
      <c r="P2772" s="154"/>
      <c r="Q2772" s="152"/>
      <c r="R2772" s="9"/>
      <c r="Z2772" s="21"/>
      <c r="AA2772" s="162">
        <f>+$AD$5-Tabla2[[#This Row],[FECHA DE FACTURACIÓN]]</f>
        <v>45443</v>
      </c>
      <c r="AB2772" s="163" t="str">
        <f>+IF(Tabla2[[#This Row],[dias de credito]]&gt;=Tabla2[[#This Row],[PLAZO Días]],"venc", "No venc")</f>
        <v>venc</v>
      </c>
      <c r="AC2772" s="163" t="str">
        <f>+IF(Tabla2[[#This Row],[FECHA DE PAGO]]&gt;0,"pagada","por pagar")</f>
        <v>por pagar</v>
      </c>
      <c r="AD2772" s="164" t="str">
        <f>+IF(AND(Tabla2[[#This Row],[venc]]="venc",Tabla2[[#This Row],[estado pago]]="por pagar"),"vencida","no")</f>
        <v>vencida</v>
      </c>
    </row>
    <row r="2773" spans="1:30" ht="19.5" hidden="1" customHeight="1" x14ac:dyDescent="0.25">
      <c r="A2773" s="8"/>
      <c r="B2773" s="8"/>
      <c r="C2773" s="8"/>
      <c r="D2773" s="151"/>
      <c r="E2773" s="151"/>
      <c r="F2773" s="24"/>
      <c r="G2773" s="30"/>
      <c r="H2773" s="81"/>
      <c r="I2773" s="30"/>
      <c r="J2773" s="16"/>
      <c r="K2773" s="9"/>
      <c r="L2773" s="9"/>
      <c r="M2773" s="152"/>
      <c r="N2773" s="153"/>
      <c r="O2773" s="152"/>
      <c r="P2773" s="154"/>
      <c r="Q2773" s="152"/>
      <c r="R2773" s="9"/>
      <c r="Z2773" s="21"/>
      <c r="AA2773" s="162">
        <f>+$AD$5-Tabla2[[#This Row],[FECHA DE FACTURACIÓN]]</f>
        <v>45443</v>
      </c>
      <c r="AB2773" s="163" t="str">
        <f>+IF(Tabla2[[#This Row],[dias de credito]]&gt;=Tabla2[[#This Row],[PLAZO Días]],"venc", "No venc")</f>
        <v>venc</v>
      </c>
      <c r="AC2773" s="163" t="str">
        <f>+IF(Tabla2[[#This Row],[FECHA DE PAGO]]&gt;0,"pagada","por pagar")</f>
        <v>por pagar</v>
      </c>
      <c r="AD2773" s="164" t="str">
        <f>+IF(AND(Tabla2[[#This Row],[venc]]="venc",Tabla2[[#This Row],[estado pago]]="por pagar"),"vencida","no")</f>
        <v>vencida</v>
      </c>
    </row>
    <row r="2774" spans="1:30" ht="19.5" hidden="1" customHeight="1" x14ac:dyDescent="0.25">
      <c r="A2774" s="8"/>
      <c r="B2774" s="8"/>
      <c r="C2774" s="8"/>
      <c r="D2774" s="151"/>
      <c r="E2774" s="151"/>
      <c r="F2774" s="24"/>
      <c r="G2774" s="30"/>
      <c r="H2774" s="81"/>
      <c r="I2774" s="30"/>
      <c r="J2774" s="16"/>
      <c r="K2774" s="9"/>
      <c r="L2774" s="9"/>
      <c r="M2774" s="152"/>
      <c r="N2774" s="153"/>
      <c r="O2774" s="152"/>
      <c r="P2774" s="154"/>
      <c r="Q2774" s="152"/>
      <c r="R2774" s="9"/>
      <c r="Z2774" s="21"/>
      <c r="AA2774" s="162">
        <f>+$AD$5-Tabla2[[#This Row],[FECHA DE FACTURACIÓN]]</f>
        <v>45443</v>
      </c>
      <c r="AB2774" s="163" t="str">
        <f>+IF(Tabla2[[#This Row],[dias de credito]]&gt;=Tabla2[[#This Row],[PLAZO Días]],"venc", "No venc")</f>
        <v>venc</v>
      </c>
      <c r="AC2774" s="163" t="str">
        <f>+IF(Tabla2[[#This Row],[FECHA DE PAGO]]&gt;0,"pagada","por pagar")</f>
        <v>por pagar</v>
      </c>
      <c r="AD2774" s="164" t="str">
        <f>+IF(AND(Tabla2[[#This Row],[venc]]="venc",Tabla2[[#This Row],[estado pago]]="por pagar"),"vencida","no")</f>
        <v>vencida</v>
      </c>
    </row>
    <row r="2775" spans="1:30" ht="19.5" hidden="1" customHeight="1" x14ac:dyDescent="0.25">
      <c r="A2775" s="8"/>
      <c r="B2775" s="8"/>
      <c r="C2775" s="8"/>
      <c r="D2775" s="151"/>
      <c r="E2775" s="151"/>
      <c r="F2775" s="24"/>
      <c r="G2775" s="30"/>
      <c r="H2775" s="81"/>
      <c r="I2775" s="30"/>
      <c r="J2775" s="16"/>
      <c r="K2775" s="9"/>
      <c r="L2775" s="9"/>
      <c r="M2775" s="152"/>
      <c r="N2775" s="153"/>
      <c r="O2775" s="152"/>
      <c r="P2775" s="154"/>
      <c r="Q2775" s="152"/>
      <c r="R2775" s="9"/>
      <c r="Z2775" s="21"/>
      <c r="AA2775" s="162">
        <f>+$AD$5-Tabla2[[#This Row],[FECHA DE FACTURACIÓN]]</f>
        <v>45443</v>
      </c>
      <c r="AB2775" s="163" t="str">
        <f>+IF(Tabla2[[#This Row],[dias de credito]]&gt;=Tabla2[[#This Row],[PLAZO Días]],"venc", "No venc")</f>
        <v>venc</v>
      </c>
      <c r="AC2775" s="163" t="str">
        <f>+IF(Tabla2[[#This Row],[FECHA DE PAGO]]&gt;0,"pagada","por pagar")</f>
        <v>por pagar</v>
      </c>
      <c r="AD2775" s="164" t="str">
        <f>+IF(AND(Tabla2[[#This Row],[venc]]="venc",Tabla2[[#This Row],[estado pago]]="por pagar"),"vencida","no")</f>
        <v>vencida</v>
      </c>
    </row>
    <row r="2776" spans="1:30" ht="19.5" hidden="1" customHeight="1" x14ac:dyDescent="0.25">
      <c r="A2776" s="8"/>
      <c r="B2776" s="8"/>
      <c r="C2776" s="8"/>
      <c r="D2776" s="151"/>
      <c r="E2776" s="151"/>
      <c r="F2776" s="24"/>
      <c r="G2776" s="30"/>
      <c r="H2776" s="81"/>
      <c r="I2776" s="30"/>
      <c r="J2776" s="16"/>
      <c r="K2776" s="9"/>
      <c r="L2776" s="9"/>
      <c r="M2776" s="152"/>
      <c r="N2776" s="153"/>
      <c r="O2776" s="152"/>
      <c r="P2776" s="154"/>
      <c r="Q2776" s="152"/>
      <c r="R2776" s="9"/>
      <c r="Z2776" s="21"/>
      <c r="AA2776" s="162">
        <f>+$AD$5-Tabla2[[#This Row],[FECHA DE FACTURACIÓN]]</f>
        <v>45443</v>
      </c>
      <c r="AB2776" s="163" t="str">
        <f>+IF(Tabla2[[#This Row],[dias de credito]]&gt;=Tabla2[[#This Row],[PLAZO Días]],"venc", "No venc")</f>
        <v>venc</v>
      </c>
      <c r="AC2776" s="163" t="str">
        <f>+IF(Tabla2[[#This Row],[FECHA DE PAGO]]&gt;0,"pagada","por pagar")</f>
        <v>por pagar</v>
      </c>
      <c r="AD2776" s="164" t="str">
        <f>+IF(AND(Tabla2[[#This Row],[venc]]="venc",Tabla2[[#This Row],[estado pago]]="por pagar"),"vencida","no")</f>
        <v>vencida</v>
      </c>
    </row>
    <row r="2777" spans="1:30" ht="19.5" hidden="1" customHeight="1" x14ac:dyDescent="0.25">
      <c r="A2777" s="8"/>
      <c r="B2777" s="8"/>
      <c r="C2777" s="8"/>
      <c r="D2777" s="151"/>
      <c r="E2777" s="151"/>
      <c r="F2777" s="24"/>
      <c r="G2777" s="30"/>
      <c r="H2777" s="81"/>
      <c r="I2777" s="30"/>
      <c r="J2777" s="16"/>
      <c r="K2777" s="9"/>
      <c r="L2777" s="9"/>
      <c r="M2777" s="152"/>
      <c r="N2777" s="153"/>
      <c r="O2777" s="152"/>
      <c r="P2777" s="154"/>
      <c r="Q2777" s="152"/>
      <c r="R2777" s="9"/>
      <c r="Z2777" s="21"/>
      <c r="AA2777" s="162">
        <f>+$AD$5-Tabla2[[#This Row],[FECHA DE FACTURACIÓN]]</f>
        <v>45443</v>
      </c>
      <c r="AB2777" s="163" t="str">
        <f>+IF(Tabla2[[#This Row],[dias de credito]]&gt;=Tabla2[[#This Row],[PLAZO Días]],"venc", "No venc")</f>
        <v>venc</v>
      </c>
      <c r="AC2777" s="163" t="str">
        <f>+IF(Tabla2[[#This Row],[FECHA DE PAGO]]&gt;0,"pagada","por pagar")</f>
        <v>por pagar</v>
      </c>
      <c r="AD2777" s="164" t="str">
        <f>+IF(AND(Tabla2[[#This Row],[venc]]="venc",Tabla2[[#This Row],[estado pago]]="por pagar"),"vencida","no")</f>
        <v>vencida</v>
      </c>
    </row>
    <row r="2778" spans="1:30" ht="19.5" hidden="1" customHeight="1" x14ac:dyDescent="0.25">
      <c r="A2778" s="8"/>
      <c r="B2778" s="8"/>
      <c r="C2778" s="8"/>
      <c r="D2778" s="151"/>
      <c r="E2778" s="151"/>
      <c r="F2778" s="24"/>
      <c r="G2778" s="30"/>
      <c r="H2778" s="81"/>
      <c r="I2778" s="30"/>
      <c r="J2778" s="16"/>
      <c r="K2778" s="9"/>
      <c r="L2778" s="9"/>
      <c r="M2778" s="152"/>
      <c r="N2778" s="153"/>
      <c r="O2778" s="152"/>
      <c r="P2778" s="154"/>
      <c r="Q2778" s="152"/>
      <c r="R2778" s="9"/>
      <c r="Z2778" s="21"/>
      <c r="AA2778" s="162">
        <f>+$AD$5-Tabla2[[#This Row],[FECHA DE FACTURACIÓN]]</f>
        <v>45443</v>
      </c>
      <c r="AB2778" s="163" t="str">
        <f>+IF(Tabla2[[#This Row],[dias de credito]]&gt;=Tabla2[[#This Row],[PLAZO Días]],"venc", "No venc")</f>
        <v>venc</v>
      </c>
      <c r="AC2778" s="163" t="str">
        <f>+IF(Tabla2[[#This Row],[FECHA DE PAGO]]&gt;0,"pagada","por pagar")</f>
        <v>por pagar</v>
      </c>
      <c r="AD2778" s="164" t="str">
        <f>+IF(AND(Tabla2[[#This Row],[venc]]="venc",Tabla2[[#This Row],[estado pago]]="por pagar"),"vencida","no")</f>
        <v>vencida</v>
      </c>
    </row>
    <row r="2779" spans="1:30" ht="19.5" hidden="1" customHeight="1" x14ac:dyDescent="0.25">
      <c r="A2779" s="8"/>
      <c r="B2779" s="8"/>
      <c r="C2779" s="8"/>
      <c r="D2779" s="151"/>
      <c r="E2779" s="151"/>
      <c r="F2779" s="24"/>
      <c r="G2779" s="30"/>
      <c r="H2779" s="81"/>
      <c r="I2779" s="30"/>
      <c r="J2779" s="16"/>
      <c r="K2779" s="9"/>
      <c r="L2779" s="9"/>
      <c r="M2779" s="152"/>
      <c r="N2779" s="153"/>
      <c r="O2779" s="152"/>
      <c r="P2779" s="154"/>
      <c r="Q2779" s="152"/>
      <c r="R2779" s="9"/>
      <c r="Z2779" s="21"/>
      <c r="AA2779" s="162">
        <f>+$AD$5-Tabla2[[#This Row],[FECHA DE FACTURACIÓN]]</f>
        <v>45443</v>
      </c>
      <c r="AB2779" s="163" t="str">
        <f>+IF(Tabla2[[#This Row],[dias de credito]]&gt;=Tabla2[[#This Row],[PLAZO Días]],"venc", "No venc")</f>
        <v>venc</v>
      </c>
      <c r="AC2779" s="163" t="str">
        <f>+IF(Tabla2[[#This Row],[FECHA DE PAGO]]&gt;0,"pagada","por pagar")</f>
        <v>por pagar</v>
      </c>
      <c r="AD2779" s="164" t="str">
        <f>+IF(AND(Tabla2[[#This Row],[venc]]="venc",Tabla2[[#This Row],[estado pago]]="por pagar"),"vencida","no")</f>
        <v>vencida</v>
      </c>
    </row>
    <row r="2780" spans="1:30" ht="19.5" hidden="1" customHeight="1" x14ac:dyDescent="0.25">
      <c r="A2780" s="8"/>
      <c r="B2780" s="8"/>
      <c r="C2780" s="8"/>
      <c r="D2780" s="151"/>
      <c r="E2780" s="151"/>
      <c r="F2780" s="24"/>
      <c r="G2780" s="30"/>
      <c r="H2780" s="81"/>
      <c r="I2780" s="30"/>
      <c r="J2780" s="16"/>
      <c r="K2780" s="9"/>
      <c r="L2780" s="9"/>
      <c r="M2780" s="152"/>
      <c r="N2780" s="153"/>
      <c r="O2780" s="152"/>
      <c r="P2780" s="154"/>
      <c r="Q2780" s="152"/>
      <c r="R2780" s="9"/>
      <c r="Z2780" s="21"/>
      <c r="AA2780" s="162">
        <f>+$AD$5-Tabla2[[#This Row],[FECHA DE FACTURACIÓN]]</f>
        <v>45443</v>
      </c>
      <c r="AB2780" s="163" t="str">
        <f>+IF(Tabla2[[#This Row],[dias de credito]]&gt;=Tabla2[[#This Row],[PLAZO Días]],"venc", "No venc")</f>
        <v>venc</v>
      </c>
      <c r="AC2780" s="163" t="str">
        <f>+IF(Tabla2[[#This Row],[FECHA DE PAGO]]&gt;0,"pagada","por pagar")</f>
        <v>por pagar</v>
      </c>
      <c r="AD2780" s="164" t="str">
        <f>+IF(AND(Tabla2[[#This Row],[venc]]="venc",Tabla2[[#This Row],[estado pago]]="por pagar"),"vencida","no")</f>
        <v>vencida</v>
      </c>
    </row>
    <row r="2781" spans="1:30" ht="19.5" hidden="1" customHeight="1" x14ac:dyDescent="0.25">
      <c r="A2781" s="8"/>
      <c r="B2781" s="8"/>
      <c r="C2781" s="8"/>
      <c r="D2781" s="151"/>
      <c r="E2781" s="151"/>
      <c r="F2781" s="24"/>
      <c r="G2781" s="30"/>
      <c r="H2781" s="81"/>
      <c r="I2781" s="30"/>
      <c r="J2781" s="16"/>
      <c r="K2781" s="9"/>
      <c r="L2781" s="9"/>
      <c r="M2781" s="152"/>
      <c r="N2781" s="153"/>
      <c r="O2781" s="152"/>
      <c r="P2781" s="154"/>
      <c r="Q2781" s="152"/>
      <c r="R2781" s="9"/>
      <c r="Z2781" s="21"/>
      <c r="AA2781" s="162">
        <f>+$AD$5-Tabla2[[#This Row],[FECHA DE FACTURACIÓN]]</f>
        <v>45443</v>
      </c>
      <c r="AB2781" s="163" t="str">
        <f>+IF(Tabla2[[#This Row],[dias de credito]]&gt;=Tabla2[[#This Row],[PLAZO Días]],"venc", "No venc")</f>
        <v>venc</v>
      </c>
      <c r="AC2781" s="163" t="str">
        <f>+IF(Tabla2[[#This Row],[FECHA DE PAGO]]&gt;0,"pagada","por pagar")</f>
        <v>por pagar</v>
      </c>
      <c r="AD2781" s="164" t="str">
        <f>+IF(AND(Tabla2[[#This Row],[venc]]="venc",Tabla2[[#This Row],[estado pago]]="por pagar"),"vencida","no")</f>
        <v>vencida</v>
      </c>
    </row>
    <row r="2782" spans="1:30" ht="19.5" hidden="1" customHeight="1" x14ac:dyDescent="0.25">
      <c r="A2782" s="8"/>
      <c r="B2782" s="8"/>
      <c r="C2782" s="8"/>
      <c r="D2782" s="151"/>
      <c r="E2782" s="151"/>
      <c r="F2782" s="24"/>
      <c r="G2782" s="30"/>
      <c r="H2782" s="81"/>
      <c r="I2782" s="30"/>
      <c r="J2782" s="16"/>
      <c r="K2782" s="9"/>
      <c r="L2782" s="9"/>
      <c r="M2782" s="152"/>
      <c r="N2782" s="153"/>
      <c r="O2782" s="152"/>
      <c r="P2782" s="154"/>
      <c r="Q2782" s="152"/>
      <c r="R2782" s="9"/>
      <c r="Z2782" s="21"/>
      <c r="AA2782" s="162">
        <f>+$AD$5-Tabla2[[#This Row],[FECHA DE FACTURACIÓN]]</f>
        <v>45443</v>
      </c>
      <c r="AB2782" s="163" t="str">
        <f>+IF(Tabla2[[#This Row],[dias de credito]]&gt;=Tabla2[[#This Row],[PLAZO Días]],"venc", "No venc")</f>
        <v>venc</v>
      </c>
      <c r="AC2782" s="163" t="str">
        <f>+IF(Tabla2[[#This Row],[FECHA DE PAGO]]&gt;0,"pagada","por pagar")</f>
        <v>por pagar</v>
      </c>
      <c r="AD2782" s="164" t="str">
        <f>+IF(AND(Tabla2[[#This Row],[venc]]="venc",Tabla2[[#This Row],[estado pago]]="por pagar"),"vencida","no")</f>
        <v>vencida</v>
      </c>
    </row>
    <row r="2783" spans="1:30" ht="19.5" hidden="1" customHeight="1" x14ac:dyDescent="0.25">
      <c r="A2783" s="8"/>
      <c r="B2783" s="8"/>
      <c r="C2783" s="8"/>
      <c r="D2783" s="151"/>
      <c r="E2783" s="151"/>
      <c r="F2783" s="24"/>
      <c r="G2783" s="30"/>
      <c r="H2783" s="81"/>
      <c r="I2783" s="30"/>
      <c r="J2783" s="16"/>
      <c r="K2783" s="9"/>
      <c r="L2783" s="9"/>
      <c r="M2783" s="152"/>
      <c r="N2783" s="153"/>
      <c r="O2783" s="152"/>
      <c r="P2783" s="154"/>
      <c r="Q2783" s="152"/>
      <c r="R2783" s="9"/>
      <c r="Z2783" s="21"/>
      <c r="AA2783" s="162">
        <f>+$AD$5-Tabla2[[#This Row],[FECHA DE FACTURACIÓN]]</f>
        <v>45443</v>
      </c>
      <c r="AB2783" s="163" t="str">
        <f>+IF(Tabla2[[#This Row],[dias de credito]]&gt;=Tabla2[[#This Row],[PLAZO Días]],"venc", "No venc")</f>
        <v>venc</v>
      </c>
      <c r="AC2783" s="163" t="str">
        <f>+IF(Tabla2[[#This Row],[FECHA DE PAGO]]&gt;0,"pagada","por pagar")</f>
        <v>por pagar</v>
      </c>
      <c r="AD2783" s="164" t="str">
        <f>+IF(AND(Tabla2[[#This Row],[venc]]="venc",Tabla2[[#This Row],[estado pago]]="por pagar"),"vencida","no")</f>
        <v>vencida</v>
      </c>
    </row>
    <row r="2784" spans="1:30" ht="19.5" hidden="1" customHeight="1" x14ac:dyDescent="0.25">
      <c r="A2784" s="8"/>
      <c r="B2784" s="8"/>
      <c r="C2784" s="8"/>
      <c r="D2784" s="151"/>
      <c r="E2784" s="151"/>
      <c r="F2784" s="24"/>
      <c r="G2784" s="30"/>
      <c r="H2784" s="81"/>
      <c r="I2784" s="30"/>
      <c r="J2784" s="16"/>
      <c r="K2784" s="9"/>
      <c r="L2784" s="9"/>
      <c r="M2784" s="152"/>
      <c r="N2784" s="153"/>
      <c r="O2784" s="152"/>
      <c r="P2784" s="154"/>
      <c r="Q2784" s="152"/>
      <c r="R2784" s="9"/>
      <c r="Z2784" s="21"/>
      <c r="AA2784" s="162">
        <f>+$AD$5-Tabla2[[#This Row],[FECHA DE FACTURACIÓN]]</f>
        <v>45443</v>
      </c>
      <c r="AB2784" s="163" t="str">
        <f>+IF(Tabla2[[#This Row],[dias de credito]]&gt;=Tabla2[[#This Row],[PLAZO Días]],"venc", "No venc")</f>
        <v>venc</v>
      </c>
      <c r="AC2784" s="163" t="str">
        <f>+IF(Tabla2[[#This Row],[FECHA DE PAGO]]&gt;0,"pagada","por pagar")</f>
        <v>por pagar</v>
      </c>
      <c r="AD2784" s="164" t="str">
        <f>+IF(AND(Tabla2[[#This Row],[venc]]="venc",Tabla2[[#This Row],[estado pago]]="por pagar"),"vencida","no")</f>
        <v>vencida</v>
      </c>
    </row>
    <row r="2785" spans="1:30" ht="19.5" hidden="1" customHeight="1" x14ac:dyDescent="0.25">
      <c r="A2785" s="8"/>
      <c r="B2785" s="8"/>
      <c r="C2785" s="8"/>
      <c r="D2785" s="151"/>
      <c r="E2785" s="151"/>
      <c r="F2785" s="24"/>
      <c r="G2785" s="30"/>
      <c r="H2785" s="81"/>
      <c r="I2785" s="30"/>
      <c r="J2785" s="16"/>
      <c r="K2785" s="9"/>
      <c r="L2785" s="9"/>
      <c r="M2785" s="152"/>
      <c r="N2785" s="153"/>
      <c r="O2785" s="152"/>
      <c r="P2785" s="154"/>
      <c r="Q2785" s="152"/>
      <c r="R2785" s="9"/>
      <c r="Z2785" s="21"/>
      <c r="AA2785" s="162">
        <f>+$AD$5-Tabla2[[#This Row],[FECHA DE FACTURACIÓN]]</f>
        <v>45443</v>
      </c>
      <c r="AB2785" s="163" t="str">
        <f>+IF(Tabla2[[#This Row],[dias de credito]]&gt;=Tabla2[[#This Row],[PLAZO Días]],"venc", "No venc")</f>
        <v>venc</v>
      </c>
      <c r="AC2785" s="163" t="str">
        <f>+IF(Tabla2[[#This Row],[FECHA DE PAGO]]&gt;0,"pagada","por pagar")</f>
        <v>por pagar</v>
      </c>
      <c r="AD2785" s="164" t="str">
        <f>+IF(AND(Tabla2[[#This Row],[venc]]="venc",Tabla2[[#This Row],[estado pago]]="por pagar"),"vencida","no")</f>
        <v>vencida</v>
      </c>
    </row>
    <row r="2786" spans="1:30" ht="19.5" hidden="1" customHeight="1" x14ac:dyDescent="0.25">
      <c r="A2786" s="8"/>
      <c r="B2786" s="8"/>
      <c r="C2786" s="8"/>
      <c r="D2786" s="151"/>
      <c r="E2786" s="151"/>
      <c r="F2786" s="24"/>
      <c r="G2786" s="30"/>
      <c r="H2786" s="81"/>
      <c r="I2786" s="30"/>
      <c r="J2786" s="16"/>
      <c r="K2786" s="9"/>
      <c r="L2786" s="9"/>
      <c r="M2786" s="152"/>
      <c r="N2786" s="153"/>
      <c r="O2786" s="152"/>
      <c r="P2786" s="154"/>
      <c r="Q2786" s="152"/>
      <c r="R2786" s="9"/>
      <c r="Z2786" s="21"/>
      <c r="AA2786" s="162">
        <f>+$AD$5-Tabla2[[#This Row],[FECHA DE FACTURACIÓN]]</f>
        <v>45443</v>
      </c>
      <c r="AB2786" s="163" t="str">
        <f>+IF(Tabla2[[#This Row],[dias de credito]]&gt;=Tabla2[[#This Row],[PLAZO Días]],"venc", "No venc")</f>
        <v>venc</v>
      </c>
      <c r="AC2786" s="163" t="str">
        <f>+IF(Tabla2[[#This Row],[FECHA DE PAGO]]&gt;0,"pagada","por pagar")</f>
        <v>por pagar</v>
      </c>
      <c r="AD2786" s="164" t="str">
        <f>+IF(AND(Tabla2[[#This Row],[venc]]="venc",Tabla2[[#This Row],[estado pago]]="por pagar"),"vencida","no")</f>
        <v>vencida</v>
      </c>
    </row>
    <row r="2787" spans="1:30" ht="19.5" hidden="1" customHeight="1" x14ac:dyDescent="0.25">
      <c r="A2787" s="8"/>
      <c r="B2787" s="8"/>
      <c r="C2787" s="8"/>
      <c r="D2787" s="151"/>
      <c r="E2787" s="151"/>
      <c r="F2787" s="24"/>
      <c r="G2787" s="30"/>
      <c r="H2787" s="81"/>
      <c r="I2787" s="30"/>
      <c r="J2787" s="16"/>
      <c r="K2787" s="9"/>
      <c r="L2787" s="9"/>
      <c r="M2787" s="152"/>
      <c r="N2787" s="153"/>
      <c r="O2787" s="152"/>
      <c r="P2787" s="154"/>
      <c r="Q2787" s="152"/>
      <c r="R2787" s="9"/>
      <c r="Z2787" s="21"/>
      <c r="AA2787" s="162">
        <f>+$AD$5-Tabla2[[#This Row],[FECHA DE FACTURACIÓN]]</f>
        <v>45443</v>
      </c>
      <c r="AB2787" s="163" t="str">
        <f>+IF(Tabla2[[#This Row],[dias de credito]]&gt;=Tabla2[[#This Row],[PLAZO Días]],"venc", "No venc")</f>
        <v>venc</v>
      </c>
      <c r="AC2787" s="163" t="str">
        <f>+IF(Tabla2[[#This Row],[FECHA DE PAGO]]&gt;0,"pagada","por pagar")</f>
        <v>por pagar</v>
      </c>
      <c r="AD2787" s="164" t="str">
        <f>+IF(AND(Tabla2[[#This Row],[venc]]="venc",Tabla2[[#This Row],[estado pago]]="por pagar"),"vencida","no")</f>
        <v>vencida</v>
      </c>
    </row>
    <row r="2788" spans="1:30" ht="19.5" hidden="1" customHeight="1" x14ac:dyDescent="0.25">
      <c r="A2788" s="8"/>
      <c r="B2788" s="8"/>
      <c r="C2788" s="8"/>
      <c r="D2788" s="151"/>
      <c r="E2788" s="151"/>
      <c r="F2788" s="24"/>
      <c r="G2788" s="30"/>
      <c r="H2788" s="81"/>
      <c r="I2788" s="30"/>
      <c r="J2788" s="16"/>
      <c r="K2788" s="9"/>
      <c r="L2788" s="9"/>
      <c r="M2788" s="152"/>
      <c r="N2788" s="153"/>
      <c r="O2788" s="152"/>
      <c r="P2788" s="154"/>
      <c r="Q2788" s="152"/>
      <c r="R2788" s="9"/>
      <c r="Z2788" s="21"/>
      <c r="AA2788" s="162">
        <f>+$AD$5-Tabla2[[#This Row],[FECHA DE FACTURACIÓN]]</f>
        <v>45443</v>
      </c>
      <c r="AB2788" s="163" t="str">
        <f>+IF(Tabla2[[#This Row],[dias de credito]]&gt;=Tabla2[[#This Row],[PLAZO Días]],"venc", "No venc")</f>
        <v>venc</v>
      </c>
      <c r="AC2788" s="163" t="str">
        <f>+IF(Tabla2[[#This Row],[FECHA DE PAGO]]&gt;0,"pagada","por pagar")</f>
        <v>por pagar</v>
      </c>
      <c r="AD2788" s="164" t="str">
        <f>+IF(AND(Tabla2[[#This Row],[venc]]="venc",Tabla2[[#This Row],[estado pago]]="por pagar"),"vencida","no")</f>
        <v>vencida</v>
      </c>
    </row>
    <row r="2789" spans="1:30" ht="19.5" hidden="1" customHeight="1" x14ac:dyDescent="0.25">
      <c r="A2789" s="8"/>
      <c r="B2789" s="8"/>
      <c r="C2789" s="8"/>
      <c r="D2789" s="151"/>
      <c r="E2789" s="151"/>
      <c r="F2789" s="24"/>
      <c r="G2789" s="30"/>
      <c r="H2789" s="81"/>
      <c r="I2789" s="30"/>
      <c r="J2789" s="16"/>
      <c r="K2789" s="9"/>
      <c r="L2789" s="9"/>
      <c r="M2789" s="152"/>
      <c r="N2789" s="153"/>
      <c r="O2789" s="152"/>
      <c r="P2789" s="154"/>
      <c r="Q2789" s="152"/>
      <c r="R2789" s="9"/>
      <c r="Z2789" s="21"/>
      <c r="AA2789" s="162">
        <f>+$AD$5-Tabla2[[#This Row],[FECHA DE FACTURACIÓN]]</f>
        <v>45443</v>
      </c>
      <c r="AB2789" s="163" t="str">
        <f>+IF(Tabla2[[#This Row],[dias de credito]]&gt;=Tabla2[[#This Row],[PLAZO Días]],"venc", "No venc")</f>
        <v>venc</v>
      </c>
      <c r="AC2789" s="163" t="str">
        <f>+IF(Tabla2[[#This Row],[FECHA DE PAGO]]&gt;0,"pagada","por pagar")</f>
        <v>por pagar</v>
      </c>
      <c r="AD2789" s="164" t="str">
        <f>+IF(AND(Tabla2[[#This Row],[venc]]="venc",Tabla2[[#This Row],[estado pago]]="por pagar"),"vencida","no")</f>
        <v>vencida</v>
      </c>
    </row>
    <row r="2790" spans="1:30" ht="19.5" hidden="1" customHeight="1" x14ac:dyDescent="0.25">
      <c r="A2790" s="8"/>
      <c r="B2790" s="8"/>
      <c r="C2790" s="8"/>
      <c r="D2790" s="151"/>
      <c r="E2790" s="151"/>
      <c r="F2790" s="24"/>
      <c r="G2790" s="30"/>
      <c r="H2790" s="81"/>
      <c r="I2790" s="30"/>
      <c r="J2790" s="16"/>
      <c r="K2790" s="9"/>
      <c r="L2790" s="9"/>
      <c r="M2790" s="152"/>
      <c r="N2790" s="153"/>
      <c r="O2790" s="152"/>
      <c r="P2790" s="154"/>
      <c r="Q2790" s="152"/>
      <c r="R2790" s="9"/>
      <c r="Z2790" s="21"/>
      <c r="AA2790" s="162">
        <f>+$AD$5-Tabla2[[#This Row],[FECHA DE FACTURACIÓN]]</f>
        <v>45443</v>
      </c>
      <c r="AB2790" s="163" t="str">
        <f>+IF(Tabla2[[#This Row],[dias de credito]]&gt;=Tabla2[[#This Row],[PLAZO Días]],"venc", "No venc")</f>
        <v>venc</v>
      </c>
      <c r="AC2790" s="163" t="str">
        <f>+IF(Tabla2[[#This Row],[FECHA DE PAGO]]&gt;0,"pagada","por pagar")</f>
        <v>por pagar</v>
      </c>
      <c r="AD2790" s="164" t="str">
        <f>+IF(AND(Tabla2[[#This Row],[venc]]="venc",Tabla2[[#This Row],[estado pago]]="por pagar"),"vencida","no")</f>
        <v>vencida</v>
      </c>
    </row>
    <row r="2791" spans="1:30" ht="19.5" hidden="1" customHeight="1" x14ac:dyDescent="0.25">
      <c r="A2791" s="8"/>
      <c r="B2791" s="8"/>
      <c r="C2791" s="8"/>
      <c r="D2791" s="151"/>
      <c r="E2791" s="151"/>
      <c r="F2791" s="24"/>
      <c r="G2791" s="30"/>
      <c r="H2791" s="81"/>
      <c r="I2791" s="30"/>
      <c r="J2791" s="16"/>
      <c r="K2791" s="9"/>
      <c r="L2791" s="9"/>
      <c r="M2791" s="152"/>
      <c r="N2791" s="153"/>
      <c r="O2791" s="152"/>
      <c r="P2791" s="154"/>
      <c r="Q2791" s="152"/>
      <c r="R2791" s="9"/>
      <c r="Z2791" s="21"/>
      <c r="AA2791" s="162">
        <f>+$AD$5-Tabla2[[#This Row],[FECHA DE FACTURACIÓN]]</f>
        <v>45443</v>
      </c>
      <c r="AB2791" s="163" t="str">
        <f>+IF(Tabla2[[#This Row],[dias de credito]]&gt;=Tabla2[[#This Row],[PLAZO Días]],"venc", "No venc")</f>
        <v>venc</v>
      </c>
      <c r="AC2791" s="163" t="str">
        <f>+IF(Tabla2[[#This Row],[FECHA DE PAGO]]&gt;0,"pagada","por pagar")</f>
        <v>por pagar</v>
      </c>
      <c r="AD2791" s="164" t="str">
        <f>+IF(AND(Tabla2[[#This Row],[venc]]="venc",Tabla2[[#This Row],[estado pago]]="por pagar"),"vencida","no")</f>
        <v>vencida</v>
      </c>
    </row>
    <row r="2792" spans="1:30" ht="19.5" hidden="1" customHeight="1" x14ac:dyDescent="0.25">
      <c r="A2792" s="8"/>
      <c r="B2792" s="8"/>
      <c r="C2792" s="8"/>
      <c r="D2792" s="151"/>
      <c r="E2792" s="151"/>
      <c r="F2792" s="24"/>
      <c r="G2792" s="30"/>
      <c r="H2792" s="81"/>
      <c r="I2792" s="30"/>
      <c r="J2792" s="16"/>
      <c r="K2792" s="9"/>
      <c r="L2792" s="9"/>
      <c r="M2792" s="152"/>
      <c r="N2792" s="153"/>
      <c r="O2792" s="152"/>
      <c r="P2792" s="154"/>
      <c r="Q2792" s="152"/>
      <c r="R2792" s="9"/>
      <c r="Z2792" s="21"/>
      <c r="AA2792" s="162">
        <f>+$AD$5-Tabla2[[#This Row],[FECHA DE FACTURACIÓN]]</f>
        <v>45443</v>
      </c>
      <c r="AB2792" s="163" t="str">
        <f>+IF(Tabla2[[#This Row],[dias de credito]]&gt;=Tabla2[[#This Row],[PLAZO Días]],"venc", "No venc")</f>
        <v>venc</v>
      </c>
      <c r="AC2792" s="163" t="str">
        <f>+IF(Tabla2[[#This Row],[FECHA DE PAGO]]&gt;0,"pagada","por pagar")</f>
        <v>por pagar</v>
      </c>
      <c r="AD2792" s="164" t="str">
        <f>+IF(AND(Tabla2[[#This Row],[venc]]="venc",Tabla2[[#This Row],[estado pago]]="por pagar"),"vencida","no")</f>
        <v>vencida</v>
      </c>
    </row>
    <row r="2793" spans="1:30" ht="19.5" hidden="1" customHeight="1" x14ac:dyDescent="0.25">
      <c r="A2793" s="8"/>
      <c r="B2793" s="8"/>
      <c r="C2793" s="8"/>
      <c r="D2793" s="151"/>
      <c r="E2793" s="151"/>
      <c r="F2793" s="24"/>
      <c r="G2793" s="30"/>
      <c r="H2793" s="81"/>
      <c r="I2793" s="30"/>
      <c r="J2793" s="16"/>
      <c r="K2793" s="9"/>
      <c r="L2793" s="9"/>
      <c r="M2793" s="152"/>
      <c r="N2793" s="153"/>
      <c r="O2793" s="152"/>
      <c r="P2793" s="154"/>
      <c r="Q2793" s="152"/>
      <c r="R2793" s="9"/>
      <c r="Z2793" s="21"/>
      <c r="AA2793" s="162">
        <f>+$AD$5-Tabla2[[#This Row],[FECHA DE FACTURACIÓN]]</f>
        <v>45443</v>
      </c>
      <c r="AB2793" s="163" t="str">
        <f>+IF(Tabla2[[#This Row],[dias de credito]]&gt;=Tabla2[[#This Row],[PLAZO Días]],"venc", "No venc")</f>
        <v>venc</v>
      </c>
      <c r="AC2793" s="163" t="str">
        <f>+IF(Tabla2[[#This Row],[FECHA DE PAGO]]&gt;0,"pagada","por pagar")</f>
        <v>por pagar</v>
      </c>
      <c r="AD2793" s="164" t="str">
        <f>+IF(AND(Tabla2[[#This Row],[venc]]="venc",Tabla2[[#This Row],[estado pago]]="por pagar"),"vencida","no")</f>
        <v>vencida</v>
      </c>
    </row>
    <row r="2794" spans="1:30" ht="19.5" hidden="1" customHeight="1" x14ac:dyDescent="0.25">
      <c r="A2794" s="8"/>
      <c r="B2794" s="8"/>
      <c r="C2794" s="8"/>
      <c r="D2794" s="151"/>
      <c r="E2794" s="151"/>
      <c r="F2794" s="24"/>
      <c r="G2794" s="30"/>
      <c r="H2794" s="81"/>
      <c r="I2794" s="30"/>
      <c r="J2794" s="16"/>
      <c r="K2794" s="9"/>
      <c r="L2794" s="9"/>
      <c r="M2794" s="152"/>
      <c r="N2794" s="153"/>
      <c r="O2794" s="152"/>
      <c r="P2794" s="154"/>
      <c r="Q2794" s="152"/>
      <c r="R2794" s="9"/>
      <c r="Z2794" s="21"/>
      <c r="AA2794" s="162">
        <f>+$AD$5-Tabla2[[#This Row],[FECHA DE FACTURACIÓN]]</f>
        <v>45443</v>
      </c>
      <c r="AB2794" s="163" t="str">
        <f>+IF(Tabla2[[#This Row],[dias de credito]]&gt;=Tabla2[[#This Row],[PLAZO Días]],"venc", "No venc")</f>
        <v>venc</v>
      </c>
      <c r="AC2794" s="163" t="str">
        <f>+IF(Tabla2[[#This Row],[FECHA DE PAGO]]&gt;0,"pagada","por pagar")</f>
        <v>por pagar</v>
      </c>
      <c r="AD2794" s="164" t="str">
        <f>+IF(AND(Tabla2[[#This Row],[venc]]="venc",Tabla2[[#This Row],[estado pago]]="por pagar"),"vencida","no")</f>
        <v>vencida</v>
      </c>
    </row>
    <row r="2795" spans="1:30" ht="19.5" hidden="1" customHeight="1" x14ac:dyDescent="0.25">
      <c r="A2795" s="8"/>
      <c r="B2795" s="8"/>
      <c r="C2795" s="8"/>
      <c r="D2795" s="151"/>
      <c r="E2795" s="151"/>
      <c r="F2795" s="24"/>
      <c r="G2795" s="30"/>
      <c r="H2795" s="81"/>
      <c r="I2795" s="30"/>
      <c r="J2795" s="16"/>
      <c r="K2795" s="9"/>
      <c r="L2795" s="9"/>
      <c r="M2795" s="152"/>
      <c r="N2795" s="153"/>
      <c r="O2795" s="152"/>
      <c r="P2795" s="154"/>
      <c r="Q2795" s="152"/>
      <c r="R2795" s="9"/>
      <c r="Z2795" s="21"/>
      <c r="AA2795" s="162">
        <f>+$AD$5-Tabla2[[#This Row],[FECHA DE FACTURACIÓN]]</f>
        <v>45443</v>
      </c>
      <c r="AB2795" s="163" t="str">
        <f>+IF(Tabla2[[#This Row],[dias de credito]]&gt;=Tabla2[[#This Row],[PLAZO Días]],"venc", "No venc")</f>
        <v>venc</v>
      </c>
      <c r="AC2795" s="163" t="str">
        <f>+IF(Tabla2[[#This Row],[FECHA DE PAGO]]&gt;0,"pagada","por pagar")</f>
        <v>por pagar</v>
      </c>
      <c r="AD2795" s="164" t="str">
        <f>+IF(AND(Tabla2[[#This Row],[venc]]="venc",Tabla2[[#This Row],[estado pago]]="por pagar"),"vencida","no")</f>
        <v>vencida</v>
      </c>
    </row>
    <row r="2796" spans="1:30" ht="19.5" hidden="1" customHeight="1" x14ac:dyDescent="0.25">
      <c r="A2796" s="8"/>
      <c r="B2796" s="8"/>
      <c r="C2796" s="8"/>
      <c r="D2796" s="151"/>
      <c r="E2796" s="151"/>
      <c r="F2796" s="24"/>
      <c r="G2796" s="30"/>
      <c r="H2796" s="81"/>
      <c r="I2796" s="30"/>
      <c r="J2796" s="16"/>
      <c r="K2796" s="9"/>
      <c r="L2796" s="9"/>
      <c r="M2796" s="152"/>
      <c r="N2796" s="153"/>
      <c r="O2796" s="152"/>
      <c r="P2796" s="154"/>
      <c r="Q2796" s="152"/>
      <c r="R2796" s="9"/>
      <c r="Z2796" s="21"/>
      <c r="AA2796" s="162">
        <f>+$AD$5-Tabla2[[#This Row],[FECHA DE FACTURACIÓN]]</f>
        <v>45443</v>
      </c>
      <c r="AB2796" s="163" t="str">
        <f>+IF(Tabla2[[#This Row],[dias de credito]]&gt;=Tabla2[[#This Row],[PLAZO Días]],"venc", "No venc")</f>
        <v>venc</v>
      </c>
      <c r="AC2796" s="163" t="str">
        <f>+IF(Tabla2[[#This Row],[FECHA DE PAGO]]&gt;0,"pagada","por pagar")</f>
        <v>por pagar</v>
      </c>
      <c r="AD2796" s="164" t="str">
        <f>+IF(AND(Tabla2[[#This Row],[venc]]="venc",Tabla2[[#This Row],[estado pago]]="por pagar"),"vencida","no")</f>
        <v>vencida</v>
      </c>
    </row>
    <row r="2797" spans="1:30" ht="19.5" hidden="1" customHeight="1" x14ac:dyDescent="0.25">
      <c r="A2797" s="8"/>
      <c r="B2797" s="8"/>
      <c r="C2797" s="8"/>
      <c r="D2797" s="151"/>
      <c r="E2797" s="151"/>
      <c r="F2797" s="24"/>
      <c r="G2797" s="30"/>
      <c r="H2797" s="81"/>
      <c r="I2797" s="30"/>
      <c r="J2797" s="16"/>
      <c r="K2797" s="9"/>
      <c r="L2797" s="9"/>
      <c r="M2797" s="152"/>
      <c r="N2797" s="153"/>
      <c r="O2797" s="152"/>
      <c r="P2797" s="154"/>
      <c r="Q2797" s="152"/>
      <c r="R2797" s="9"/>
      <c r="Z2797" s="21"/>
      <c r="AA2797" s="162">
        <f>+$AD$5-Tabla2[[#This Row],[FECHA DE FACTURACIÓN]]</f>
        <v>45443</v>
      </c>
      <c r="AB2797" s="163" t="str">
        <f>+IF(Tabla2[[#This Row],[dias de credito]]&gt;=Tabla2[[#This Row],[PLAZO Días]],"venc", "No venc")</f>
        <v>venc</v>
      </c>
      <c r="AC2797" s="163" t="str">
        <f>+IF(Tabla2[[#This Row],[FECHA DE PAGO]]&gt;0,"pagada","por pagar")</f>
        <v>por pagar</v>
      </c>
      <c r="AD2797" s="164" t="str">
        <f>+IF(AND(Tabla2[[#This Row],[venc]]="venc",Tabla2[[#This Row],[estado pago]]="por pagar"),"vencida","no")</f>
        <v>vencida</v>
      </c>
    </row>
    <row r="2798" spans="1:30" ht="19.5" hidden="1" customHeight="1" x14ac:dyDescent="0.25">
      <c r="A2798" s="8"/>
      <c r="B2798" s="8"/>
      <c r="C2798" s="8"/>
      <c r="D2798" s="151"/>
      <c r="E2798" s="151"/>
      <c r="F2798" s="24"/>
      <c r="G2798" s="30"/>
      <c r="H2798" s="81"/>
      <c r="I2798" s="30"/>
      <c r="J2798" s="16"/>
      <c r="K2798" s="9"/>
      <c r="L2798" s="9"/>
      <c r="M2798" s="152"/>
      <c r="N2798" s="153"/>
      <c r="O2798" s="152"/>
      <c r="P2798" s="154"/>
      <c r="Q2798" s="152"/>
      <c r="R2798" s="9"/>
      <c r="Z2798" s="21"/>
      <c r="AA2798" s="162">
        <f>+$AD$5-Tabla2[[#This Row],[FECHA DE FACTURACIÓN]]</f>
        <v>45443</v>
      </c>
      <c r="AB2798" s="163" t="str">
        <f>+IF(Tabla2[[#This Row],[dias de credito]]&gt;=Tabla2[[#This Row],[PLAZO Días]],"venc", "No venc")</f>
        <v>venc</v>
      </c>
      <c r="AC2798" s="163" t="str">
        <f>+IF(Tabla2[[#This Row],[FECHA DE PAGO]]&gt;0,"pagada","por pagar")</f>
        <v>por pagar</v>
      </c>
      <c r="AD2798" s="164" t="str">
        <f>+IF(AND(Tabla2[[#This Row],[venc]]="venc",Tabla2[[#This Row],[estado pago]]="por pagar"),"vencida","no")</f>
        <v>vencida</v>
      </c>
    </row>
    <row r="2799" spans="1:30" ht="19.5" hidden="1" customHeight="1" x14ac:dyDescent="0.25">
      <c r="A2799" s="8"/>
      <c r="B2799" s="8"/>
      <c r="C2799" s="8"/>
      <c r="D2799" s="151"/>
      <c r="E2799" s="151"/>
      <c r="F2799" s="24"/>
      <c r="G2799" s="30"/>
      <c r="H2799" s="81"/>
      <c r="I2799" s="30"/>
      <c r="J2799" s="16"/>
      <c r="K2799" s="9"/>
      <c r="L2799" s="9"/>
      <c r="M2799" s="152"/>
      <c r="N2799" s="153"/>
      <c r="O2799" s="152"/>
      <c r="P2799" s="154"/>
      <c r="Q2799" s="152"/>
      <c r="R2799" s="9"/>
      <c r="Z2799" s="21"/>
      <c r="AA2799" s="162">
        <f>+$AD$5-Tabla2[[#This Row],[FECHA DE FACTURACIÓN]]</f>
        <v>45443</v>
      </c>
      <c r="AB2799" s="163" t="str">
        <f>+IF(Tabla2[[#This Row],[dias de credito]]&gt;=Tabla2[[#This Row],[PLAZO Días]],"venc", "No venc")</f>
        <v>venc</v>
      </c>
      <c r="AC2799" s="163" t="str">
        <f>+IF(Tabla2[[#This Row],[FECHA DE PAGO]]&gt;0,"pagada","por pagar")</f>
        <v>por pagar</v>
      </c>
      <c r="AD2799" s="164" t="str">
        <f>+IF(AND(Tabla2[[#This Row],[venc]]="venc",Tabla2[[#This Row],[estado pago]]="por pagar"),"vencida","no")</f>
        <v>vencida</v>
      </c>
    </row>
    <row r="2800" spans="1:30" ht="19.5" hidden="1" customHeight="1" x14ac:dyDescent="0.25">
      <c r="A2800" s="8"/>
      <c r="B2800" s="8"/>
      <c r="C2800" s="8"/>
      <c r="D2800" s="151"/>
      <c r="E2800" s="151"/>
      <c r="F2800" s="24"/>
      <c r="G2800" s="30"/>
      <c r="H2800" s="81"/>
      <c r="I2800" s="30"/>
      <c r="J2800" s="16"/>
      <c r="K2800" s="9"/>
      <c r="L2800" s="9"/>
      <c r="M2800" s="152"/>
      <c r="N2800" s="153"/>
      <c r="O2800" s="152"/>
      <c r="P2800" s="154"/>
      <c r="Q2800" s="152"/>
      <c r="R2800" s="9"/>
      <c r="Z2800" s="21"/>
      <c r="AA2800" s="162">
        <f>+$AD$5-Tabla2[[#This Row],[FECHA DE FACTURACIÓN]]</f>
        <v>45443</v>
      </c>
      <c r="AB2800" s="163" t="str">
        <f>+IF(Tabla2[[#This Row],[dias de credito]]&gt;=Tabla2[[#This Row],[PLAZO Días]],"venc", "No venc")</f>
        <v>venc</v>
      </c>
      <c r="AC2800" s="163" t="str">
        <f>+IF(Tabla2[[#This Row],[FECHA DE PAGO]]&gt;0,"pagada","por pagar")</f>
        <v>por pagar</v>
      </c>
      <c r="AD2800" s="164" t="str">
        <f>+IF(AND(Tabla2[[#This Row],[venc]]="venc",Tabla2[[#This Row],[estado pago]]="por pagar"),"vencida","no")</f>
        <v>vencida</v>
      </c>
    </row>
    <row r="2801" spans="1:30" ht="19.5" hidden="1" customHeight="1" x14ac:dyDescent="0.25">
      <c r="A2801" s="8"/>
      <c r="B2801" s="8"/>
      <c r="C2801" s="8"/>
      <c r="D2801" s="151"/>
      <c r="E2801" s="151"/>
      <c r="F2801" s="24"/>
      <c r="G2801" s="30"/>
      <c r="H2801" s="81"/>
      <c r="I2801" s="30"/>
      <c r="J2801" s="16"/>
      <c r="K2801" s="9"/>
      <c r="L2801" s="9"/>
      <c r="M2801" s="152"/>
      <c r="N2801" s="153"/>
      <c r="O2801" s="152"/>
      <c r="P2801" s="154"/>
      <c r="Q2801" s="152"/>
      <c r="R2801" s="9"/>
      <c r="Z2801" s="21"/>
      <c r="AA2801" s="162">
        <f>+$AD$5-Tabla2[[#This Row],[FECHA DE FACTURACIÓN]]</f>
        <v>45443</v>
      </c>
      <c r="AB2801" s="163" t="str">
        <f>+IF(Tabla2[[#This Row],[dias de credito]]&gt;=Tabla2[[#This Row],[PLAZO Días]],"venc", "No venc")</f>
        <v>venc</v>
      </c>
      <c r="AC2801" s="163" t="str">
        <f>+IF(Tabla2[[#This Row],[FECHA DE PAGO]]&gt;0,"pagada","por pagar")</f>
        <v>por pagar</v>
      </c>
      <c r="AD2801" s="164" t="str">
        <f>+IF(AND(Tabla2[[#This Row],[venc]]="venc",Tabla2[[#This Row],[estado pago]]="por pagar"),"vencida","no")</f>
        <v>vencida</v>
      </c>
    </row>
    <row r="2802" spans="1:30" ht="19.5" hidden="1" customHeight="1" x14ac:dyDescent="0.25">
      <c r="A2802" s="8"/>
      <c r="B2802" s="8"/>
      <c r="C2802" s="8"/>
      <c r="D2802" s="151"/>
      <c r="E2802" s="151"/>
      <c r="F2802" s="24"/>
      <c r="G2802" s="30"/>
      <c r="H2802" s="81"/>
      <c r="I2802" s="30"/>
      <c r="J2802" s="16"/>
      <c r="K2802" s="9"/>
      <c r="L2802" s="9"/>
      <c r="M2802" s="152"/>
      <c r="N2802" s="153"/>
      <c r="O2802" s="152"/>
      <c r="P2802" s="154"/>
      <c r="Q2802" s="152"/>
      <c r="R2802" s="9"/>
      <c r="Z2802" s="21"/>
      <c r="AA2802" s="162">
        <f>+$AD$5-Tabla2[[#This Row],[FECHA DE FACTURACIÓN]]</f>
        <v>45443</v>
      </c>
      <c r="AB2802" s="163" t="str">
        <f>+IF(Tabla2[[#This Row],[dias de credito]]&gt;=Tabla2[[#This Row],[PLAZO Días]],"venc", "No venc")</f>
        <v>venc</v>
      </c>
      <c r="AC2802" s="163" t="str">
        <f>+IF(Tabla2[[#This Row],[FECHA DE PAGO]]&gt;0,"pagada","por pagar")</f>
        <v>por pagar</v>
      </c>
      <c r="AD2802" s="164" t="str">
        <f>+IF(AND(Tabla2[[#This Row],[venc]]="venc",Tabla2[[#This Row],[estado pago]]="por pagar"),"vencida","no")</f>
        <v>vencida</v>
      </c>
    </row>
    <row r="2803" spans="1:30" ht="19.5" hidden="1" customHeight="1" x14ac:dyDescent="0.25">
      <c r="A2803" s="8"/>
      <c r="B2803" s="8"/>
      <c r="C2803" s="8"/>
      <c r="D2803" s="151"/>
      <c r="E2803" s="151"/>
      <c r="F2803" s="24"/>
      <c r="G2803" s="30"/>
      <c r="H2803" s="81"/>
      <c r="I2803" s="30"/>
      <c r="J2803" s="16"/>
      <c r="K2803" s="9"/>
      <c r="L2803" s="9"/>
      <c r="M2803" s="152"/>
      <c r="N2803" s="153"/>
      <c r="O2803" s="152"/>
      <c r="P2803" s="154"/>
      <c r="Q2803" s="152"/>
      <c r="R2803" s="9"/>
      <c r="Z2803" s="21"/>
      <c r="AA2803" s="162">
        <f>+$AD$5-Tabla2[[#This Row],[FECHA DE FACTURACIÓN]]</f>
        <v>45443</v>
      </c>
      <c r="AB2803" s="163" t="str">
        <f>+IF(Tabla2[[#This Row],[dias de credito]]&gt;=Tabla2[[#This Row],[PLAZO Días]],"venc", "No venc")</f>
        <v>venc</v>
      </c>
      <c r="AC2803" s="163" t="str">
        <f>+IF(Tabla2[[#This Row],[FECHA DE PAGO]]&gt;0,"pagada","por pagar")</f>
        <v>por pagar</v>
      </c>
      <c r="AD2803" s="164" t="str">
        <f>+IF(AND(Tabla2[[#This Row],[venc]]="venc",Tabla2[[#This Row],[estado pago]]="por pagar"),"vencida","no")</f>
        <v>vencida</v>
      </c>
    </row>
    <row r="2804" spans="1:30" ht="19.5" hidden="1" customHeight="1" x14ac:dyDescent="0.25">
      <c r="A2804" s="8"/>
      <c r="B2804" s="8"/>
      <c r="C2804" s="8"/>
      <c r="D2804" s="151"/>
      <c r="E2804" s="151"/>
      <c r="F2804" s="24"/>
      <c r="G2804" s="30"/>
      <c r="H2804" s="81"/>
      <c r="I2804" s="30"/>
      <c r="J2804" s="16"/>
      <c r="K2804" s="9"/>
      <c r="L2804" s="9"/>
      <c r="M2804" s="152"/>
      <c r="N2804" s="153"/>
      <c r="O2804" s="152"/>
      <c r="P2804" s="154"/>
      <c r="Q2804" s="152"/>
      <c r="R2804" s="9"/>
      <c r="Z2804" s="21"/>
      <c r="AA2804" s="162">
        <f>+$AD$5-Tabla2[[#This Row],[FECHA DE FACTURACIÓN]]</f>
        <v>45443</v>
      </c>
      <c r="AB2804" s="163" t="str">
        <f>+IF(Tabla2[[#This Row],[dias de credito]]&gt;=Tabla2[[#This Row],[PLAZO Días]],"venc", "No venc")</f>
        <v>venc</v>
      </c>
      <c r="AC2804" s="163" t="str">
        <f>+IF(Tabla2[[#This Row],[FECHA DE PAGO]]&gt;0,"pagada","por pagar")</f>
        <v>por pagar</v>
      </c>
      <c r="AD2804" s="164" t="str">
        <f>+IF(AND(Tabla2[[#This Row],[venc]]="venc",Tabla2[[#This Row],[estado pago]]="por pagar"),"vencida","no")</f>
        <v>vencida</v>
      </c>
    </row>
    <row r="2805" spans="1:30" ht="19.5" hidden="1" customHeight="1" x14ac:dyDescent="0.25">
      <c r="A2805" s="8"/>
      <c r="B2805" s="8"/>
      <c r="C2805" s="8"/>
      <c r="D2805" s="151"/>
      <c r="E2805" s="151"/>
      <c r="F2805" s="24"/>
      <c r="G2805" s="30"/>
      <c r="H2805" s="81"/>
      <c r="I2805" s="30"/>
      <c r="J2805" s="16"/>
      <c r="K2805" s="9"/>
      <c r="L2805" s="9"/>
      <c r="M2805" s="152"/>
      <c r="N2805" s="153"/>
      <c r="O2805" s="152"/>
      <c r="P2805" s="154"/>
      <c r="Q2805" s="152"/>
      <c r="R2805" s="9"/>
      <c r="Z2805" s="21"/>
      <c r="AA2805" s="162">
        <f>+$AD$5-Tabla2[[#This Row],[FECHA DE FACTURACIÓN]]</f>
        <v>45443</v>
      </c>
      <c r="AB2805" s="163" t="str">
        <f>+IF(Tabla2[[#This Row],[dias de credito]]&gt;=Tabla2[[#This Row],[PLAZO Días]],"venc", "No venc")</f>
        <v>venc</v>
      </c>
      <c r="AC2805" s="163" t="str">
        <f>+IF(Tabla2[[#This Row],[FECHA DE PAGO]]&gt;0,"pagada","por pagar")</f>
        <v>por pagar</v>
      </c>
      <c r="AD2805" s="164" t="str">
        <f>+IF(AND(Tabla2[[#This Row],[venc]]="venc",Tabla2[[#This Row],[estado pago]]="por pagar"),"vencida","no")</f>
        <v>vencida</v>
      </c>
    </row>
    <row r="2806" spans="1:30" ht="19.5" hidden="1" customHeight="1" x14ac:dyDescent="0.25">
      <c r="A2806" s="8"/>
      <c r="B2806" s="8"/>
      <c r="C2806" s="8"/>
      <c r="D2806" s="151"/>
      <c r="E2806" s="151"/>
      <c r="F2806" s="24"/>
      <c r="G2806" s="30"/>
      <c r="H2806" s="81"/>
      <c r="I2806" s="30"/>
      <c r="J2806" s="16"/>
      <c r="K2806" s="9"/>
      <c r="L2806" s="9"/>
      <c r="M2806" s="152"/>
      <c r="N2806" s="153"/>
      <c r="O2806" s="152"/>
      <c r="P2806" s="154"/>
      <c r="Q2806" s="152"/>
      <c r="R2806" s="9"/>
      <c r="Z2806" s="21"/>
      <c r="AA2806" s="162">
        <f>+$AD$5-Tabla2[[#This Row],[FECHA DE FACTURACIÓN]]</f>
        <v>45443</v>
      </c>
      <c r="AB2806" s="163" t="str">
        <f>+IF(Tabla2[[#This Row],[dias de credito]]&gt;=Tabla2[[#This Row],[PLAZO Días]],"venc", "No venc")</f>
        <v>venc</v>
      </c>
      <c r="AC2806" s="163" t="str">
        <f>+IF(Tabla2[[#This Row],[FECHA DE PAGO]]&gt;0,"pagada","por pagar")</f>
        <v>por pagar</v>
      </c>
      <c r="AD2806" s="164" t="str">
        <f>+IF(AND(Tabla2[[#This Row],[venc]]="venc",Tabla2[[#This Row],[estado pago]]="por pagar"),"vencida","no")</f>
        <v>vencida</v>
      </c>
    </row>
    <row r="2807" spans="1:30" ht="19.5" hidden="1" customHeight="1" x14ac:dyDescent="0.25">
      <c r="A2807" s="8"/>
      <c r="B2807" s="8"/>
      <c r="C2807" s="8"/>
      <c r="D2807" s="151"/>
      <c r="E2807" s="151"/>
      <c r="F2807" s="24"/>
      <c r="G2807" s="30"/>
      <c r="H2807" s="81"/>
      <c r="I2807" s="30"/>
      <c r="J2807" s="16"/>
      <c r="K2807" s="9"/>
      <c r="L2807" s="9"/>
      <c r="M2807" s="152"/>
      <c r="N2807" s="153"/>
      <c r="O2807" s="152"/>
      <c r="P2807" s="154"/>
      <c r="Q2807" s="152"/>
      <c r="R2807" s="9"/>
      <c r="Z2807" s="21"/>
      <c r="AA2807" s="162">
        <f>+$AD$5-Tabla2[[#This Row],[FECHA DE FACTURACIÓN]]</f>
        <v>45443</v>
      </c>
      <c r="AB2807" s="163" t="str">
        <f>+IF(Tabla2[[#This Row],[dias de credito]]&gt;=Tabla2[[#This Row],[PLAZO Días]],"venc", "No venc")</f>
        <v>venc</v>
      </c>
      <c r="AC2807" s="163" t="str">
        <f>+IF(Tabla2[[#This Row],[FECHA DE PAGO]]&gt;0,"pagada","por pagar")</f>
        <v>por pagar</v>
      </c>
      <c r="AD2807" s="164" t="str">
        <f>+IF(AND(Tabla2[[#This Row],[venc]]="venc",Tabla2[[#This Row],[estado pago]]="por pagar"),"vencida","no")</f>
        <v>vencida</v>
      </c>
    </row>
    <row r="2808" spans="1:30" ht="19.5" hidden="1" customHeight="1" x14ac:dyDescent="0.25">
      <c r="A2808" s="8"/>
      <c r="B2808" s="8"/>
      <c r="C2808" s="8"/>
      <c r="D2808" s="151"/>
      <c r="E2808" s="151"/>
      <c r="F2808" s="24"/>
      <c r="G2808" s="30"/>
      <c r="H2808" s="81"/>
      <c r="I2808" s="30"/>
      <c r="J2808" s="16"/>
      <c r="K2808" s="9"/>
      <c r="L2808" s="9"/>
      <c r="M2808" s="152"/>
      <c r="N2808" s="153"/>
      <c r="O2808" s="152"/>
      <c r="P2808" s="154"/>
      <c r="Q2808" s="152"/>
      <c r="R2808" s="9"/>
      <c r="Z2808" s="21"/>
      <c r="AA2808" s="162">
        <f>+$AD$5-Tabla2[[#This Row],[FECHA DE FACTURACIÓN]]</f>
        <v>45443</v>
      </c>
      <c r="AB2808" s="163" t="str">
        <f>+IF(Tabla2[[#This Row],[dias de credito]]&gt;=Tabla2[[#This Row],[PLAZO Días]],"venc", "No venc")</f>
        <v>venc</v>
      </c>
      <c r="AC2808" s="163" t="str">
        <f>+IF(Tabla2[[#This Row],[FECHA DE PAGO]]&gt;0,"pagada","por pagar")</f>
        <v>por pagar</v>
      </c>
      <c r="AD2808" s="164" t="str">
        <f>+IF(AND(Tabla2[[#This Row],[venc]]="venc",Tabla2[[#This Row],[estado pago]]="por pagar"),"vencida","no")</f>
        <v>vencida</v>
      </c>
    </row>
    <row r="2809" spans="1:30" ht="19.5" hidden="1" customHeight="1" x14ac:dyDescent="0.25">
      <c r="A2809" s="8"/>
      <c r="B2809" s="8"/>
      <c r="C2809" s="8"/>
      <c r="D2809" s="151"/>
      <c r="E2809" s="151"/>
      <c r="F2809" s="24"/>
      <c r="G2809" s="30"/>
      <c r="H2809" s="81"/>
      <c r="I2809" s="30"/>
      <c r="J2809" s="16"/>
      <c r="K2809" s="9"/>
      <c r="L2809" s="9"/>
      <c r="M2809" s="152"/>
      <c r="N2809" s="153"/>
      <c r="O2809" s="152"/>
      <c r="P2809" s="154"/>
      <c r="Q2809" s="152"/>
      <c r="R2809" s="9"/>
      <c r="Z2809" s="21"/>
      <c r="AA2809" s="162">
        <f>+$AD$5-Tabla2[[#This Row],[FECHA DE FACTURACIÓN]]</f>
        <v>45443</v>
      </c>
      <c r="AB2809" s="163" t="str">
        <f>+IF(Tabla2[[#This Row],[dias de credito]]&gt;=Tabla2[[#This Row],[PLAZO Días]],"venc", "No venc")</f>
        <v>venc</v>
      </c>
      <c r="AC2809" s="163" t="str">
        <f>+IF(Tabla2[[#This Row],[FECHA DE PAGO]]&gt;0,"pagada","por pagar")</f>
        <v>por pagar</v>
      </c>
      <c r="AD2809" s="164" t="str">
        <f>+IF(AND(Tabla2[[#This Row],[venc]]="venc",Tabla2[[#This Row],[estado pago]]="por pagar"),"vencida","no")</f>
        <v>vencida</v>
      </c>
    </row>
    <row r="2810" spans="1:30" ht="19.5" hidden="1" customHeight="1" x14ac:dyDescent="0.25">
      <c r="A2810" s="8"/>
      <c r="B2810" s="8"/>
      <c r="C2810" s="8"/>
      <c r="D2810" s="151"/>
      <c r="E2810" s="151"/>
      <c r="F2810" s="24"/>
      <c r="G2810" s="30"/>
      <c r="H2810" s="81"/>
      <c r="I2810" s="30"/>
      <c r="J2810" s="16"/>
      <c r="K2810" s="9"/>
      <c r="L2810" s="9"/>
      <c r="M2810" s="152"/>
      <c r="N2810" s="153"/>
      <c r="O2810" s="152"/>
      <c r="P2810" s="154"/>
      <c r="Q2810" s="152"/>
      <c r="R2810" s="9"/>
      <c r="Z2810" s="21"/>
      <c r="AA2810" s="162">
        <f>+$AD$5-Tabla2[[#This Row],[FECHA DE FACTURACIÓN]]</f>
        <v>45443</v>
      </c>
      <c r="AB2810" s="163" t="str">
        <f>+IF(Tabla2[[#This Row],[dias de credito]]&gt;=Tabla2[[#This Row],[PLAZO Días]],"venc", "No venc")</f>
        <v>venc</v>
      </c>
      <c r="AC2810" s="163" t="str">
        <f>+IF(Tabla2[[#This Row],[FECHA DE PAGO]]&gt;0,"pagada","por pagar")</f>
        <v>por pagar</v>
      </c>
      <c r="AD2810" s="164" t="str">
        <f>+IF(AND(Tabla2[[#This Row],[venc]]="venc",Tabla2[[#This Row],[estado pago]]="por pagar"),"vencida","no")</f>
        <v>vencida</v>
      </c>
    </row>
    <row r="2811" spans="1:30" ht="19.5" hidden="1" customHeight="1" x14ac:dyDescent="0.25">
      <c r="A2811" s="8"/>
      <c r="B2811" s="8"/>
      <c r="C2811" s="8"/>
      <c r="D2811" s="151"/>
      <c r="E2811" s="151"/>
      <c r="F2811" s="24"/>
      <c r="G2811" s="30"/>
      <c r="H2811" s="81"/>
      <c r="I2811" s="30"/>
      <c r="J2811" s="16"/>
      <c r="K2811" s="9"/>
      <c r="L2811" s="9"/>
      <c r="M2811" s="152"/>
      <c r="N2811" s="153"/>
      <c r="O2811" s="152"/>
      <c r="P2811" s="154"/>
      <c r="Q2811" s="152"/>
      <c r="R2811" s="9"/>
      <c r="Z2811" s="21"/>
      <c r="AA2811" s="162">
        <f>+$AD$5-Tabla2[[#This Row],[FECHA DE FACTURACIÓN]]</f>
        <v>45443</v>
      </c>
      <c r="AB2811" s="163" t="str">
        <f>+IF(Tabla2[[#This Row],[dias de credito]]&gt;=Tabla2[[#This Row],[PLAZO Días]],"venc", "No venc")</f>
        <v>venc</v>
      </c>
      <c r="AC2811" s="163" t="str">
        <f>+IF(Tabla2[[#This Row],[FECHA DE PAGO]]&gt;0,"pagada","por pagar")</f>
        <v>por pagar</v>
      </c>
      <c r="AD2811" s="164" t="str">
        <f>+IF(AND(Tabla2[[#This Row],[venc]]="venc",Tabla2[[#This Row],[estado pago]]="por pagar"),"vencida","no")</f>
        <v>vencida</v>
      </c>
    </row>
    <row r="2812" spans="1:30" ht="19.5" hidden="1" customHeight="1" x14ac:dyDescent="0.25">
      <c r="A2812" s="8"/>
      <c r="B2812" s="8"/>
      <c r="C2812" s="8"/>
      <c r="D2812" s="151"/>
      <c r="E2812" s="151"/>
      <c r="F2812" s="24"/>
      <c r="G2812" s="30"/>
      <c r="H2812" s="81"/>
      <c r="I2812" s="30"/>
      <c r="J2812" s="16"/>
      <c r="K2812" s="9"/>
      <c r="L2812" s="9"/>
      <c r="M2812" s="152"/>
      <c r="N2812" s="153"/>
      <c r="O2812" s="152"/>
      <c r="P2812" s="154"/>
      <c r="Q2812" s="152"/>
      <c r="R2812" s="9"/>
      <c r="Z2812" s="21"/>
      <c r="AA2812" s="162">
        <f>+$AD$5-Tabla2[[#This Row],[FECHA DE FACTURACIÓN]]</f>
        <v>45443</v>
      </c>
      <c r="AB2812" s="163" t="str">
        <f>+IF(Tabla2[[#This Row],[dias de credito]]&gt;=Tabla2[[#This Row],[PLAZO Días]],"venc", "No venc")</f>
        <v>venc</v>
      </c>
      <c r="AC2812" s="163" t="str">
        <f>+IF(Tabla2[[#This Row],[FECHA DE PAGO]]&gt;0,"pagada","por pagar")</f>
        <v>por pagar</v>
      </c>
      <c r="AD2812" s="164" t="str">
        <f>+IF(AND(Tabla2[[#This Row],[venc]]="venc",Tabla2[[#This Row],[estado pago]]="por pagar"),"vencida","no")</f>
        <v>vencida</v>
      </c>
    </row>
    <row r="2813" spans="1:30" ht="19.5" hidden="1" customHeight="1" x14ac:dyDescent="0.25">
      <c r="A2813" s="8"/>
      <c r="B2813" s="8"/>
      <c r="C2813" s="8"/>
      <c r="D2813" s="151"/>
      <c r="E2813" s="151"/>
      <c r="F2813" s="24"/>
      <c r="G2813" s="30"/>
      <c r="H2813" s="81"/>
      <c r="I2813" s="30"/>
      <c r="J2813" s="16"/>
      <c r="K2813" s="9"/>
      <c r="L2813" s="9"/>
      <c r="M2813" s="152"/>
      <c r="N2813" s="153"/>
      <c r="O2813" s="152"/>
      <c r="P2813" s="154"/>
      <c r="Q2813" s="152"/>
      <c r="R2813" s="9"/>
      <c r="Z2813" s="21"/>
      <c r="AA2813" s="162">
        <f>+$AD$5-Tabla2[[#This Row],[FECHA DE FACTURACIÓN]]</f>
        <v>45443</v>
      </c>
      <c r="AB2813" s="163" t="str">
        <f>+IF(Tabla2[[#This Row],[dias de credito]]&gt;=Tabla2[[#This Row],[PLAZO Días]],"venc", "No venc")</f>
        <v>venc</v>
      </c>
      <c r="AC2813" s="163" t="str">
        <f>+IF(Tabla2[[#This Row],[FECHA DE PAGO]]&gt;0,"pagada","por pagar")</f>
        <v>por pagar</v>
      </c>
      <c r="AD2813" s="164" t="str">
        <f>+IF(AND(Tabla2[[#This Row],[venc]]="venc",Tabla2[[#This Row],[estado pago]]="por pagar"),"vencida","no")</f>
        <v>vencida</v>
      </c>
    </row>
    <row r="2814" spans="1:30" ht="19.5" hidden="1" customHeight="1" x14ac:dyDescent="0.25">
      <c r="A2814" s="8"/>
      <c r="B2814" s="8"/>
      <c r="C2814" s="8"/>
      <c r="D2814" s="151"/>
      <c r="E2814" s="151"/>
      <c r="F2814" s="24"/>
      <c r="G2814" s="30"/>
      <c r="H2814" s="81"/>
      <c r="I2814" s="30"/>
      <c r="J2814" s="16"/>
      <c r="K2814" s="9"/>
      <c r="L2814" s="9"/>
      <c r="M2814" s="152"/>
      <c r="N2814" s="153"/>
      <c r="O2814" s="152"/>
      <c r="P2814" s="154"/>
      <c r="Q2814" s="152"/>
      <c r="R2814" s="9"/>
      <c r="Z2814" s="21"/>
      <c r="AA2814" s="162">
        <f>+$AD$5-Tabla2[[#This Row],[FECHA DE FACTURACIÓN]]</f>
        <v>45443</v>
      </c>
      <c r="AB2814" s="163" t="str">
        <f>+IF(Tabla2[[#This Row],[dias de credito]]&gt;=Tabla2[[#This Row],[PLAZO Días]],"venc", "No venc")</f>
        <v>venc</v>
      </c>
      <c r="AC2814" s="163" t="str">
        <f>+IF(Tabla2[[#This Row],[FECHA DE PAGO]]&gt;0,"pagada","por pagar")</f>
        <v>por pagar</v>
      </c>
      <c r="AD2814" s="164" t="str">
        <f>+IF(AND(Tabla2[[#This Row],[venc]]="venc",Tabla2[[#This Row],[estado pago]]="por pagar"),"vencida","no")</f>
        <v>vencida</v>
      </c>
    </row>
    <row r="2815" spans="1:30" ht="19.5" hidden="1" customHeight="1" x14ac:dyDescent="0.25">
      <c r="A2815" s="8"/>
      <c r="B2815" s="8"/>
      <c r="C2815" s="8"/>
      <c r="D2815" s="151"/>
      <c r="E2815" s="151"/>
      <c r="F2815" s="24"/>
      <c r="G2815" s="30"/>
      <c r="H2815" s="81"/>
      <c r="I2815" s="30"/>
      <c r="J2815" s="16"/>
      <c r="K2815" s="9"/>
      <c r="L2815" s="9"/>
      <c r="M2815" s="152"/>
      <c r="N2815" s="153"/>
      <c r="O2815" s="152"/>
      <c r="P2815" s="154"/>
      <c r="Q2815" s="152"/>
      <c r="R2815" s="9"/>
      <c r="Z2815" s="21"/>
      <c r="AA2815" s="162">
        <f>+$AD$5-Tabla2[[#This Row],[FECHA DE FACTURACIÓN]]</f>
        <v>45443</v>
      </c>
      <c r="AB2815" s="163" t="str">
        <f>+IF(Tabla2[[#This Row],[dias de credito]]&gt;=Tabla2[[#This Row],[PLAZO Días]],"venc", "No venc")</f>
        <v>venc</v>
      </c>
      <c r="AC2815" s="163" t="str">
        <f>+IF(Tabla2[[#This Row],[FECHA DE PAGO]]&gt;0,"pagada","por pagar")</f>
        <v>por pagar</v>
      </c>
      <c r="AD2815" s="164" t="str">
        <f>+IF(AND(Tabla2[[#This Row],[venc]]="venc",Tabla2[[#This Row],[estado pago]]="por pagar"),"vencida","no")</f>
        <v>vencida</v>
      </c>
    </row>
    <row r="2816" spans="1:30" ht="19.5" hidden="1" customHeight="1" x14ac:dyDescent="0.25">
      <c r="A2816" s="8"/>
      <c r="B2816" s="8"/>
      <c r="C2816" s="8"/>
      <c r="D2816" s="151"/>
      <c r="E2816" s="151"/>
      <c r="F2816" s="24"/>
      <c r="G2816" s="30"/>
      <c r="H2816" s="81"/>
      <c r="I2816" s="30"/>
      <c r="J2816" s="16"/>
      <c r="K2816" s="9"/>
      <c r="L2816" s="9"/>
      <c r="M2816" s="152"/>
      <c r="N2816" s="153"/>
      <c r="O2816" s="152"/>
      <c r="P2816" s="154"/>
      <c r="Q2816" s="152"/>
      <c r="R2816" s="9"/>
      <c r="Z2816" s="21"/>
      <c r="AA2816" s="162">
        <f>+$AD$5-Tabla2[[#This Row],[FECHA DE FACTURACIÓN]]</f>
        <v>45443</v>
      </c>
      <c r="AB2816" s="163" t="str">
        <f>+IF(Tabla2[[#This Row],[dias de credito]]&gt;=Tabla2[[#This Row],[PLAZO Días]],"venc", "No venc")</f>
        <v>venc</v>
      </c>
      <c r="AC2816" s="163" t="str">
        <f>+IF(Tabla2[[#This Row],[FECHA DE PAGO]]&gt;0,"pagada","por pagar")</f>
        <v>por pagar</v>
      </c>
      <c r="AD2816" s="164" t="str">
        <f>+IF(AND(Tabla2[[#This Row],[venc]]="venc",Tabla2[[#This Row],[estado pago]]="por pagar"),"vencida","no")</f>
        <v>vencida</v>
      </c>
    </row>
    <row r="2817" spans="1:30" ht="19.5" hidden="1" customHeight="1" x14ac:dyDescent="0.25">
      <c r="A2817" s="8"/>
      <c r="B2817" s="8"/>
      <c r="C2817" s="8"/>
      <c r="D2817" s="151"/>
      <c r="E2817" s="151"/>
      <c r="F2817" s="24"/>
      <c r="G2817" s="30"/>
      <c r="H2817" s="81"/>
      <c r="I2817" s="30"/>
      <c r="J2817" s="16"/>
      <c r="K2817" s="9"/>
      <c r="L2817" s="9"/>
      <c r="M2817" s="152"/>
      <c r="N2817" s="153"/>
      <c r="O2817" s="152"/>
      <c r="P2817" s="154"/>
      <c r="Q2817" s="152"/>
      <c r="R2817" s="9"/>
      <c r="Z2817" s="21"/>
      <c r="AA2817" s="162">
        <f>+$AD$5-Tabla2[[#This Row],[FECHA DE FACTURACIÓN]]</f>
        <v>45443</v>
      </c>
      <c r="AB2817" s="163" t="str">
        <f>+IF(Tabla2[[#This Row],[dias de credito]]&gt;=Tabla2[[#This Row],[PLAZO Días]],"venc", "No venc")</f>
        <v>venc</v>
      </c>
      <c r="AC2817" s="163" t="str">
        <f>+IF(Tabla2[[#This Row],[FECHA DE PAGO]]&gt;0,"pagada","por pagar")</f>
        <v>por pagar</v>
      </c>
      <c r="AD2817" s="164" t="str">
        <f>+IF(AND(Tabla2[[#This Row],[venc]]="venc",Tabla2[[#This Row],[estado pago]]="por pagar"),"vencida","no")</f>
        <v>vencida</v>
      </c>
    </row>
    <row r="2818" spans="1:30" ht="19.5" hidden="1" customHeight="1" x14ac:dyDescent="0.25">
      <c r="A2818" s="8"/>
      <c r="B2818" s="8"/>
      <c r="C2818" s="8"/>
      <c r="D2818" s="151"/>
      <c r="E2818" s="151"/>
      <c r="F2818" s="24"/>
      <c r="G2818" s="30"/>
      <c r="H2818" s="81"/>
      <c r="I2818" s="30"/>
      <c r="J2818" s="16"/>
      <c r="K2818" s="9"/>
      <c r="L2818" s="9"/>
      <c r="M2818" s="152"/>
      <c r="N2818" s="153"/>
      <c r="O2818" s="152"/>
      <c r="P2818" s="154"/>
      <c r="Q2818" s="152"/>
      <c r="R2818" s="9"/>
      <c r="Z2818" s="21"/>
      <c r="AA2818" s="162">
        <f>+$AD$5-Tabla2[[#This Row],[FECHA DE FACTURACIÓN]]</f>
        <v>45443</v>
      </c>
      <c r="AB2818" s="163" t="str">
        <f>+IF(Tabla2[[#This Row],[dias de credito]]&gt;=Tabla2[[#This Row],[PLAZO Días]],"venc", "No venc")</f>
        <v>venc</v>
      </c>
      <c r="AC2818" s="163" t="str">
        <f>+IF(Tabla2[[#This Row],[FECHA DE PAGO]]&gt;0,"pagada","por pagar")</f>
        <v>por pagar</v>
      </c>
      <c r="AD2818" s="164" t="str">
        <f>+IF(AND(Tabla2[[#This Row],[venc]]="venc",Tabla2[[#This Row],[estado pago]]="por pagar"),"vencida","no")</f>
        <v>vencida</v>
      </c>
    </row>
    <row r="2819" spans="1:30" ht="19.5" hidden="1" customHeight="1" x14ac:dyDescent="0.25">
      <c r="A2819" s="8"/>
      <c r="B2819" s="8"/>
      <c r="C2819" s="8"/>
      <c r="D2819" s="151"/>
      <c r="E2819" s="151"/>
      <c r="F2819" s="24"/>
      <c r="G2819" s="30"/>
      <c r="H2819" s="81"/>
      <c r="I2819" s="30"/>
      <c r="J2819" s="16"/>
      <c r="K2819" s="9"/>
      <c r="L2819" s="9"/>
      <c r="M2819" s="152"/>
      <c r="N2819" s="153"/>
      <c r="O2819" s="152"/>
      <c r="P2819" s="154"/>
      <c r="Q2819" s="152"/>
      <c r="R2819" s="9"/>
      <c r="Z2819" s="21"/>
      <c r="AA2819" s="162">
        <f>+$AD$5-Tabla2[[#This Row],[FECHA DE FACTURACIÓN]]</f>
        <v>45443</v>
      </c>
      <c r="AB2819" s="163" t="str">
        <f>+IF(Tabla2[[#This Row],[dias de credito]]&gt;=Tabla2[[#This Row],[PLAZO Días]],"venc", "No venc")</f>
        <v>venc</v>
      </c>
      <c r="AC2819" s="163" t="str">
        <f>+IF(Tabla2[[#This Row],[FECHA DE PAGO]]&gt;0,"pagada","por pagar")</f>
        <v>por pagar</v>
      </c>
      <c r="AD2819" s="164" t="str">
        <f>+IF(AND(Tabla2[[#This Row],[venc]]="venc",Tabla2[[#This Row],[estado pago]]="por pagar"),"vencida","no")</f>
        <v>vencida</v>
      </c>
    </row>
    <row r="2820" spans="1:30" ht="19.5" hidden="1" customHeight="1" x14ac:dyDescent="0.25">
      <c r="A2820" s="8"/>
      <c r="B2820" s="8"/>
      <c r="C2820" s="8"/>
      <c r="D2820" s="151"/>
      <c r="E2820" s="151"/>
      <c r="F2820" s="24"/>
      <c r="G2820" s="30"/>
      <c r="H2820" s="81"/>
      <c r="I2820" s="30"/>
      <c r="J2820" s="16"/>
      <c r="K2820" s="9"/>
      <c r="L2820" s="9"/>
      <c r="M2820" s="152"/>
      <c r="N2820" s="153"/>
      <c r="O2820" s="152"/>
      <c r="P2820" s="154"/>
      <c r="Q2820" s="152"/>
      <c r="R2820" s="9"/>
      <c r="Z2820" s="21"/>
      <c r="AA2820" s="162">
        <f>+$AD$5-Tabla2[[#This Row],[FECHA DE FACTURACIÓN]]</f>
        <v>45443</v>
      </c>
      <c r="AB2820" s="163" t="str">
        <f>+IF(Tabla2[[#This Row],[dias de credito]]&gt;=Tabla2[[#This Row],[PLAZO Días]],"venc", "No venc")</f>
        <v>venc</v>
      </c>
      <c r="AC2820" s="163" t="str">
        <f>+IF(Tabla2[[#This Row],[FECHA DE PAGO]]&gt;0,"pagada","por pagar")</f>
        <v>por pagar</v>
      </c>
      <c r="AD2820" s="164" t="str">
        <f>+IF(AND(Tabla2[[#This Row],[venc]]="venc",Tabla2[[#This Row],[estado pago]]="por pagar"),"vencida","no")</f>
        <v>vencida</v>
      </c>
    </row>
    <row r="2821" spans="1:30" ht="19.5" hidden="1" customHeight="1" x14ac:dyDescent="0.25">
      <c r="A2821" s="8"/>
      <c r="B2821" s="8"/>
      <c r="C2821" s="8"/>
      <c r="D2821" s="151"/>
      <c r="E2821" s="151"/>
      <c r="F2821" s="24"/>
      <c r="G2821" s="30"/>
      <c r="H2821" s="81"/>
      <c r="I2821" s="30"/>
      <c r="J2821" s="16"/>
      <c r="K2821" s="9"/>
      <c r="L2821" s="9"/>
      <c r="M2821" s="152"/>
      <c r="N2821" s="153"/>
      <c r="O2821" s="152"/>
      <c r="P2821" s="154"/>
      <c r="Q2821" s="152"/>
      <c r="R2821" s="9"/>
      <c r="Z2821" s="21"/>
      <c r="AA2821" s="162">
        <f>+$AD$5-Tabla2[[#This Row],[FECHA DE FACTURACIÓN]]</f>
        <v>45443</v>
      </c>
      <c r="AB2821" s="163" t="str">
        <f>+IF(Tabla2[[#This Row],[dias de credito]]&gt;=Tabla2[[#This Row],[PLAZO Días]],"venc", "No venc")</f>
        <v>venc</v>
      </c>
      <c r="AC2821" s="163" t="str">
        <f>+IF(Tabla2[[#This Row],[FECHA DE PAGO]]&gt;0,"pagada","por pagar")</f>
        <v>por pagar</v>
      </c>
      <c r="AD2821" s="164" t="str">
        <f>+IF(AND(Tabla2[[#This Row],[venc]]="venc",Tabla2[[#This Row],[estado pago]]="por pagar"),"vencida","no")</f>
        <v>vencida</v>
      </c>
    </row>
    <row r="2822" spans="1:30" ht="19.5" hidden="1" customHeight="1" x14ac:dyDescent="0.25">
      <c r="A2822" s="8"/>
      <c r="B2822" s="8"/>
      <c r="C2822" s="8"/>
      <c r="D2822" s="151"/>
      <c r="E2822" s="151"/>
      <c r="F2822" s="24"/>
      <c r="G2822" s="30"/>
      <c r="H2822" s="81"/>
      <c r="I2822" s="30"/>
      <c r="J2822" s="16"/>
      <c r="K2822" s="9"/>
      <c r="L2822" s="9"/>
      <c r="M2822" s="152"/>
      <c r="N2822" s="153"/>
      <c r="O2822" s="152"/>
      <c r="P2822" s="154"/>
      <c r="Q2822" s="152"/>
      <c r="R2822" s="9"/>
      <c r="Z2822" s="21"/>
      <c r="AA2822" s="162">
        <f>+$AD$5-Tabla2[[#This Row],[FECHA DE FACTURACIÓN]]</f>
        <v>45443</v>
      </c>
      <c r="AB2822" s="163" t="str">
        <f>+IF(Tabla2[[#This Row],[dias de credito]]&gt;=Tabla2[[#This Row],[PLAZO Días]],"venc", "No venc")</f>
        <v>venc</v>
      </c>
      <c r="AC2822" s="163" t="str">
        <f>+IF(Tabla2[[#This Row],[FECHA DE PAGO]]&gt;0,"pagada","por pagar")</f>
        <v>por pagar</v>
      </c>
      <c r="AD2822" s="164" t="str">
        <f>+IF(AND(Tabla2[[#This Row],[venc]]="venc",Tabla2[[#This Row],[estado pago]]="por pagar"),"vencida","no")</f>
        <v>vencida</v>
      </c>
    </row>
    <row r="2823" spans="1:30" ht="19.5" hidden="1" customHeight="1" x14ac:dyDescent="0.25">
      <c r="A2823" s="8"/>
      <c r="B2823" s="8"/>
      <c r="C2823" s="8"/>
      <c r="D2823" s="151"/>
      <c r="E2823" s="151"/>
      <c r="F2823" s="24"/>
      <c r="G2823" s="30"/>
      <c r="H2823" s="81"/>
      <c r="I2823" s="30"/>
      <c r="J2823" s="16"/>
      <c r="K2823" s="9"/>
      <c r="L2823" s="9"/>
      <c r="M2823" s="152"/>
      <c r="N2823" s="153"/>
      <c r="O2823" s="152"/>
      <c r="P2823" s="154"/>
      <c r="Q2823" s="152"/>
      <c r="R2823" s="9"/>
      <c r="Z2823" s="21"/>
      <c r="AA2823" s="162">
        <f>+$AD$5-Tabla2[[#This Row],[FECHA DE FACTURACIÓN]]</f>
        <v>45443</v>
      </c>
      <c r="AB2823" s="163" t="str">
        <f>+IF(Tabla2[[#This Row],[dias de credito]]&gt;=Tabla2[[#This Row],[PLAZO Días]],"venc", "No venc")</f>
        <v>venc</v>
      </c>
      <c r="AC2823" s="163" t="str">
        <f>+IF(Tabla2[[#This Row],[FECHA DE PAGO]]&gt;0,"pagada","por pagar")</f>
        <v>por pagar</v>
      </c>
      <c r="AD2823" s="164" t="str">
        <f>+IF(AND(Tabla2[[#This Row],[venc]]="venc",Tabla2[[#This Row],[estado pago]]="por pagar"),"vencida","no")</f>
        <v>vencida</v>
      </c>
    </row>
    <row r="2824" spans="1:30" ht="19.5" hidden="1" customHeight="1" x14ac:dyDescent="0.25">
      <c r="A2824" s="8"/>
      <c r="B2824" s="8"/>
      <c r="C2824" s="8"/>
      <c r="D2824" s="151"/>
      <c r="E2824" s="151"/>
      <c r="F2824" s="24"/>
      <c r="G2824" s="30"/>
      <c r="H2824" s="81"/>
      <c r="I2824" s="30"/>
      <c r="J2824" s="16"/>
      <c r="K2824" s="9"/>
      <c r="L2824" s="9"/>
      <c r="M2824" s="152"/>
      <c r="N2824" s="153"/>
      <c r="O2824" s="152"/>
      <c r="P2824" s="154"/>
      <c r="Q2824" s="152"/>
      <c r="R2824" s="9"/>
      <c r="Z2824" s="21"/>
      <c r="AA2824" s="162">
        <f>+$AD$5-Tabla2[[#This Row],[FECHA DE FACTURACIÓN]]</f>
        <v>45443</v>
      </c>
      <c r="AB2824" s="163" t="str">
        <f>+IF(Tabla2[[#This Row],[dias de credito]]&gt;=Tabla2[[#This Row],[PLAZO Días]],"venc", "No venc")</f>
        <v>venc</v>
      </c>
      <c r="AC2824" s="163" t="str">
        <f>+IF(Tabla2[[#This Row],[FECHA DE PAGO]]&gt;0,"pagada","por pagar")</f>
        <v>por pagar</v>
      </c>
      <c r="AD2824" s="164" t="str">
        <f>+IF(AND(Tabla2[[#This Row],[venc]]="venc",Tabla2[[#This Row],[estado pago]]="por pagar"),"vencida","no")</f>
        <v>vencida</v>
      </c>
    </row>
    <row r="2825" spans="1:30" ht="19.5" hidden="1" customHeight="1" x14ac:dyDescent="0.25">
      <c r="A2825" s="8"/>
      <c r="B2825" s="8"/>
      <c r="C2825" s="8"/>
      <c r="D2825" s="151"/>
      <c r="E2825" s="151"/>
      <c r="F2825" s="24"/>
      <c r="G2825" s="30"/>
      <c r="H2825" s="81"/>
      <c r="I2825" s="30"/>
      <c r="J2825" s="16"/>
      <c r="K2825" s="9"/>
      <c r="L2825" s="9"/>
      <c r="M2825" s="152"/>
      <c r="N2825" s="153"/>
      <c r="O2825" s="152"/>
      <c r="P2825" s="154"/>
      <c r="Q2825" s="152"/>
      <c r="R2825" s="9"/>
      <c r="Z2825" s="21"/>
      <c r="AA2825" s="162">
        <f>+$AD$5-Tabla2[[#This Row],[FECHA DE FACTURACIÓN]]</f>
        <v>45443</v>
      </c>
      <c r="AB2825" s="163" t="str">
        <f>+IF(Tabla2[[#This Row],[dias de credito]]&gt;=Tabla2[[#This Row],[PLAZO Días]],"venc", "No venc")</f>
        <v>venc</v>
      </c>
      <c r="AC2825" s="163" t="str">
        <f>+IF(Tabla2[[#This Row],[FECHA DE PAGO]]&gt;0,"pagada","por pagar")</f>
        <v>por pagar</v>
      </c>
      <c r="AD2825" s="164" t="str">
        <f>+IF(AND(Tabla2[[#This Row],[venc]]="venc",Tabla2[[#This Row],[estado pago]]="por pagar"),"vencida","no")</f>
        <v>vencida</v>
      </c>
    </row>
    <row r="2826" spans="1:30" ht="19.5" hidden="1" customHeight="1" x14ac:dyDescent="0.25">
      <c r="A2826" s="8"/>
      <c r="B2826" s="8"/>
      <c r="C2826" s="8"/>
      <c r="D2826" s="151"/>
      <c r="E2826" s="151"/>
      <c r="F2826" s="24"/>
      <c r="G2826" s="30"/>
      <c r="H2826" s="81"/>
      <c r="I2826" s="30"/>
      <c r="J2826" s="16"/>
      <c r="K2826" s="9"/>
      <c r="L2826" s="9"/>
      <c r="M2826" s="152"/>
      <c r="N2826" s="153"/>
      <c r="O2826" s="152"/>
      <c r="P2826" s="154"/>
      <c r="Q2826" s="152"/>
      <c r="R2826" s="9"/>
      <c r="Z2826" s="21"/>
      <c r="AA2826" s="162">
        <f>+$AD$5-Tabla2[[#This Row],[FECHA DE FACTURACIÓN]]</f>
        <v>45443</v>
      </c>
      <c r="AB2826" s="163" t="str">
        <f>+IF(Tabla2[[#This Row],[dias de credito]]&gt;=Tabla2[[#This Row],[PLAZO Días]],"venc", "No venc")</f>
        <v>venc</v>
      </c>
      <c r="AC2826" s="163" t="str">
        <f>+IF(Tabla2[[#This Row],[FECHA DE PAGO]]&gt;0,"pagada","por pagar")</f>
        <v>por pagar</v>
      </c>
      <c r="AD2826" s="164" t="str">
        <f>+IF(AND(Tabla2[[#This Row],[venc]]="venc",Tabla2[[#This Row],[estado pago]]="por pagar"),"vencida","no")</f>
        <v>vencida</v>
      </c>
    </row>
    <row r="2827" spans="1:30" ht="19.5" hidden="1" customHeight="1" x14ac:dyDescent="0.25">
      <c r="A2827" s="8"/>
      <c r="B2827" s="8"/>
      <c r="C2827" s="8"/>
      <c r="D2827" s="151"/>
      <c r="E2827" s="151"/>
      <c r="F2827" s="24"/>
      <c r="G2827" s="30"/>
      <c r="H2827" s="81"/>
      <c r="I2827" s="30"/>
      <c r="J2827" s="16"/>
      <c r="K2827" s="9"/>
      <c r="L2827" s="9"/>
      <c r="M2827" s="152"/>
      <c r="N2827" s="153"/>
      <c r="O2827" s="152"/>
      <c r="P2827" s="154"/>
      <c r="Q2827" s="152"/>
      <c r="R2827" s="9"/>
      <c r="Z2827" s="21"/>
      <c r="AA2827" s="162">
        <f>+$AD$5-Tabla2[[#This Row],[FECHA DE FACTURACIÓN]]</f>
        <v>45443</v>
      </c>
      <c r="AB2827" s="163" t="str">
        <f>+IF(Tabla2[[#This Row],[dias de credito]]&gt;=Tabla2[[#This Row],[PLAZO Días]],"venc", "No venc")</f>
        <v>venc</v>
      </c>
      <c r="AC2827" s="163" t="str">
        <f>+IF(Tabla2[[#This Row],[FECHA DE PAGO]]&gt;0,"pagada","por pagar")</f>
        <v>por pagar</v>
      </c>
      <c r="AD2827" s="164" t="str">
        <f>+IF(AND(Tabla2[[#This Row],[venc]]="venc",Tabla2[[#This Row],[estado pago]]="por pagar"),"vencida","no")</f>
        <v>vencida</v>
      </c>
    </row>
    <row r="2828" spans="1:30" ht="19.5" hidden="1" customHeight="1" x14ac:dyDescent="0.25">
      <c r="A2828" s="8"/>
      <c r="B2828" s="8"/>
      <c r="C2828" s="8"/>
      <c r="D2828" s="151"/>
      <c r="E2828" s="151"/>
      <c r="F2828" s="24"/>
      <c r="G2828" s="30"/>
      <c r="H2828" s="81"/>
      <c r="I2828" s="30"/>
      <c r="J2828" s="16"/>
      <c r="K2828" s="9"/>
      <c r="L2828" s="9"/>
      <c r="M2828" s="152"/>
      <c r="N2828" s="153"/>
      <c r="O2828" s="152"/>
      <c r="P2828" s="154"/>
      <c r="Q2828" s="152"/>
      <c r="R2828" s="9"/>
      <c r="Z2828" s="21"/>
      <c r="AA2828" s="162">
        <f>+$AD$5-Tabla2[[#This Row],[FECHA DE FACTURACIÓN]]</f>
        <v>45443</v>
      </c>
      <c r="AB2828" s="163" t="str">
        <f>+IF(Tabla2[[#This Row],[dias de credito]]&gt;=Tabla2[[#This Row],[PLAZO Días]],"venc", "No venc")</f>
        <v>venc</v>
      </c>
      <c r="AC2828" s="163" t="str">
        <f>+IF(Tabla2[[#This Row],[FECHA DE PAGO]]&gt;0,"pagada","por pagar")</f>
        <v>por pagar</v>
      </c>
      <c r="AD2828" s="164" t="str">
        <f>+IF(AND(Tabla2[[#This Row],[venc]]="venc",Tabla2[[#This Row],[estado pago]]="por pagar"),"vencida","no")</f>
        <v>vencida</v>
      </c>
    </row>
    <row r="2829" spans="1:30" ht="19.5" hidden="1" customHeight="1" x14ac:dyDescent="0.25">
      <c r="A2829" s="8"/>
      <c r="B2829" s="8"/>
      <c r="C2829" s="8"/>
      <c r="D2829" s="151"/>
      <c r="E2829" s="151"/>
      <c r="F2829" s="24"/>
      <c r="G2829" s="30"/>
      <c r="H2829" s="81"/>
      <c r="I2829" s="30"/>
      <c r="J2829" s="16"/>
      <c r="K2829" s="9"/>
      <c r="L2829" s="9"/>
      <c r="M2829" s="152"/>
      <c r="N2829" s="153"/>
      <c r="O2829" s="152"/>
      <c r="P2829" s="154"/>
      <c r="Q2829" s="152"/>
      <c r="R2829" s="9"/>
      <c r="Z2829" s="21"/>
      <c r="AA2829" s="162">
        <f>+$AD$5-Tabla2[[#This Row],[FECHA DE FACTURACIÓN]]</f>
        <v>45443</v>
      </c>
      <c r="AB2829" s="163" t="str">
        <f>+IF(Tabla2[[#This Row],[dias de credito]]&gt;=Tabla2[[#This Row],[PLAZO Días]],"venc", "No venc")</f>
        <v>venc</v>
      </c>
      <c r="AC2829" s="163" t="str">
        <f>+IF(Tabla2[[#This Row],[FECHA DE PAGO]]&gt;0,"pagada","por pagar")</f>
        <v>por pagar</v>
      </c>
      <c r="AD2829" s="164" t="str">
        <f>+IF(AND(Tabla2[[#This Row],[venc]]="venc",Tabla2[[#This Row],[estado pago]]="por pagar"),"vencida","no")</f>
        <v>vencida</v>
      </c>
    </row>
    <row r="2830" spans="1:30" ht="19.5" hidden="1" customHeight="1" x14ac:dyDescent="0.25">
      <c r="A2830" s="8"/>
      <c r="B2830" s="8"/>
      <c r="C2830" s="8"/>
      <c r="D2830" s="151"/>
      <c r="E2830" s="151"/>
      <c r="F2830" s="24"/>
      <c r="G2830" s="30"/>
      <c r="H2830" s="81"/>
      <c r="I2830" s="30"/>
      <c r="J2830" s="16"/>
      <c r="K2830" s="9"/>
      <c r="L2830" s="9"/>
      <c r="M2830" s="152"/>
      <c r="N2830" s="153"/>
      <c r="O2830" s="152"/>
      <c r="P2830" s="154"/>
      <c r="Q2830" s="152"/>
      <c r="R2830" s="9"/>
      <c r="Z2830" s="21"/>
      <c r="AA2830" s="162">
        <f>+$AD$5-Tabla2[[#This Row],[FECHA DE FACTURACIÓN]]</f>
        <v>45443</v>
      </c>
      <c r="AB2830" s="163" t="str">
        <f>+IF(Tabla2[[#This Row],[dias de credito]]&gt;=Tabla2[[#This Row],[PLAZO Días]],"venc", "No venc")</f>
        <v>venc</v>
      </c>
      <c r="AC2830" s="163" t="str">
        <f>+IF(Tabla2[[#This Row],[FECHA DE PAGO]]&gt;0,"pagada","por pagar")</f>
        <v>por pagar</v>
      </c>
      <c r="AD2830" s="164" t="str">
        <f>+IF(AND(Tabla2[[#This Row],[venc]]="venc",Tabla2[[#This Row],[estado pago]]="por pagar"),"vencida","no")</f>
        <v>vencida</v>
      </c>
    </row>
    <row r="2831" spans="1:30" ht="19.5" hidden="1" customHeight="1" x14ac:dyDescent="0.25">
      <c r="A2831" s="8"/>
      <c r="B2831" s="8"/>
      <c r="C2831" s="8"/>
      <c r="D2831" s="151"/>
      <c r="E2831" s="151"/>
      <c r="F2831" s="24"/>
      <c r="G2831" s="30"/>
      <c r="H2831" s="81"/>
      <c r="I2831" s="30"/>
      <c r="J2831" s="16"/>
      <c r="K2831" s="9"/>
      <c r="L2831" s="9"/>
      <c r="M2831" s="152"/>
      <c r="N2831" s="153"/>
      <c r="O2831" s="152"/>
      <c r="P2831" s="154"/>
      <c r="Q2831" s="152"/>
      <c r="R2831" s="9"/>
      <c r="Z2831" s="21"/>
      <c r="AA2831" s="162">
        <f>+$AD$5-Tabla2[[#This Row],[FECHA DE FACTURACIÓN]]</f>
        <v>45443</v>
      </c>
      <c r="AB2831" s="163" t="str">
        <f>+IF(Tabla2[[#This Row],[dias de credito]]&gt;=Tabla2[[#This Row],[PLAZO Días]],"venc", "No venc")</f>
        <v>venc</v>
      </c>
      <c r="AC2831" s="163" t="str">
        <f>+IF(Tabla2[[#This Row],[FECHA DE PAGO]]&gt;0,"pagada","por pagar")</f>
        <v>por pagar</v>
      </c>
      <c r="AD2831" s="164" t="str">
        <f>+IF(AND(Tabla2[[#This Row],[venc]]="venc",Tabla2[[#This Row],[estado pago]]="por pagar"),"vencida","no")</f>
        <v>vencida</v>
      </c>
    </row>
    <row r="2832" spans="1:30" ht="19.5" hidden="1" customHeight="1" x14ac:dyDescent="0.25">
      <c r="A2832" s="8"/>
      <c r="B2832" s="8"/>
      <c r="C2832" s="8"/>
      <c r="D2832" s="151"/>
      <c r="E2832" s="151"/>
      <c r="F2832" s="24"/>
      <c r="G2832" s="30"/>
      <c r="H2832" s="81"/>
      <c r="I2832" s="30"/>
      <c r="J2832" s="16"/>
      <c r="K2832" s="9"/>
      <c r="L2832" s="9"/>
      <c r="M2832" s="152"/>
      <c r="N2832" s="153"/>
      <c r="O2832" s="152"/>
      <c r="P2832" s="154"/>
      <c r="Q2832" s="152"/>
      <c r="R2832" s="9"/>
      <c r="Z2832" s="21"/>
      <c r="AA2832" s="162">
        <f>+$AD$5-Tabla2[[#This Row],[FECHA DE FACTURACIÓN]]</f>
        <v>45443</v>
      </c>
      <c r="AB2832" s="163" t="str">
        <f>+IF(Tabla2[[#This Row],[dias de credito]]&gt;=Tabla2[[#This Row],[PLAZO Días]],"venc", "No venc")</f>
        <v>venc</v>
      </c>
      <c r="AC2832" s="163" t="str">
        <f>+IF(Tabla2[[#This Row],[FECHA DE PAGO]]&gt;0,"pagada","por pagar")</f>
        <v>por pagar</v>
      </c>
      <c r="AD2832" s="164" t="str">
        <f>+IF(AND(Tabla2[[#This Row],[venc]]="venc",Tabla2[[#This Row],[estado pago]]="por pagar"),"vencida","no")</f>
        <v>vencida</v>
      </c>
    </row>
    <row r="2833" spans="1:30" ht="19.5" hidden="1" customHeight="1" x14ac:dyDescent="0.25">
      <c r="A2833" s="8"/>
      <c r="B2833" s="8"/>
      <c r="C2833" s="8"/>
      <c r="D2833" s="151"/>
      <c r="E2833" s="151"/>
      <c r="F2833" s="24"/>
      <c r="G2833" s="30"/>
      <c r="H2833" s="81"/>
      <c r="I2833" s="30"/>
      <c r="J2833" s="16"/>
      <c r="K2833" s="9"/>
      <c r="L2833" s="9"/>
      <c r="M2833" s="152"/>
      <c r="N2833" s="153"/>
      <c r="O2833" s="152"/>
      <c r="P2833" s="154"/>
      <c r="Q2833" s="152"/>
      <c r="R2833" s="9"/>
      <c r="Z2833" s="21"/>
      <c r="AA2833" s="162">
        <f>+$AD$5-Tabla2[[#This Row],[FECHA DE FACTURACIÓN]]</f>
        <v>45443</v>
      </c>
      <c r="AB2833" s="163" t="str">
        <f>+IF(Tabla2[[#This Row],[dias de credito]]&gt;=Tabla2[[#This Row],[PLAZO Días]],"venc", "No venc")</f>
        <v>venc</v>
      </c>
      <c r="AC2833" s="163" t="str">
        <f>+IF(Tabla2[[#This Row],[FECHA DE PAGO]]&gt;0,"pagada","por pagar")</f>
        <v>por pagar</v>
      </c>
      <c r="AD2833" s="164" t="str">
        <f>+IF(AND(Tabla2[[#This Row],[venc]]="venc",Tabla2[[#This Row],[estado pago]]="por pagar"),"vencida","no")</f>
        <v>vencida</v>
      </c>
    </row>
    <row r="2834" spans="1:30" ht="19.5" hidden="1" customHeight="1" x14ac:dyDescent="0.25">
      <c r="A2834" s="8"/>
      <c r="B2834" s="8"/>
      <c r="C2834" s="8"/>
      <c r="D2834" s="151"/>
      <c r="E2834" s="151"/>
      <c r="F2834" s="24"/>
      <c r="G2834" s="30"/>
      <c r="H2834" s="81"/>
      <c r="I2834" s="30"/>
      <c r="J2834" s="16"/>
      <c r="K2834" s="9"/>
      <c r="L2834" s="9"/>
      <c r="M2834" s="152"/>
      <c r="N2834" s="153"/>
      <c r="O2834" s="152"/>
      <c r="P2834" s="154"/>
      <c r="Q2834" s="152"/>
      <c r="R2834" s="9"/>
      <c r="Z2834" s="21"/>
      <c r="AA2834" s="162">
        <f>+$AD$5-Tabla2[[#This Row],[FECHA DE FACTURACIÓN]]</f>
        <v>45443</v>
      </c>
      <c r="AB2834" s="163" t="str">
        <f>+IF(Tabla2[[#This Row],[dias de credito]]&gt;=Tabla2[[#This Row],[PLAZO Días]],"venc", "No venc")</f>
        <v>venc</v>
      </c>
      <c r="AC2834" s="163" t="str">
        <f>+IF(Tabla2[[#This Row],[FECHA DE PAGO]]&gt;0,"pagada","por pagar")</f>
        <v>por pagar</v>
      </c>
      <c r="AD2834" s="164" t="str">
        <f>+IF(AND(Tabla2[[#This Row],[venc]]="venc",Tabla2[[#This Row],[estado pago]]="por pagar"),"vencida","no")</f>
        <v>vencida</v>
      </c>
    </row>
    <row r="2835" spans="1:30" ht="19.5" hidden="1" customHeight="1" x14ac:dyDescent="0.25">
      <c r="A2835" s="8"/>
      <c r="B2835" s="8"/>
      <c r="C2835" s="8"/>
      <c r="D2835" s="151"/>
      <c r="E2835" s="151"/>
      <c r="F2835" s="24"/>
      <c r="G2835" s="30"/>
      <c r="H2835" s="81"/>
      <c r="I2835" s="30"/>
      <c r="J2835" s="16"/>
      <c r="K2835" s="9"/>
      <c r="L2835" s="9"/>
      <c r="M2835" s="152"/>
      <c r="N2835" s="153"/>
      <c r="O2835" s="152"/>
      <c r="P2835" s="154"/>
      <c r="Q2835" s="152"/>
      <c r="R2835" s="9"/>
      <c r="Z2835" s="21"/>
      <c r="AA2835" s="162">
        <f>+$AD$5-Tabla2[[#This Row],[FECHA DE FACTURACIÓN]]</f>
        <v>45443</v>
      </c>
      <c r="AB2835" s="163" t="str">
        <f>+IF(Tabla2[[#This Row],[dias de credito]]&gt;=Tabla2[[#This Row],[PLAZO Días]],"venc", "No venc")</f>
        <v>venc</v>
      </c>
      <c r="AC2835" s="163" t="str">
        <f>+IF(Tabla2[[#This Row],[FECHA DE PAGO]]&gt;0,"pagada","por pagar")</f>
        <v>por pagar</v>
      </c>
      <c r="AD2835" s="164" t="str">
        <f>+IF(AND(Tabla2[[#This Row],[venc]]="venc",Tabla2[[#This Row],[estado pago]]="por pagar"),"vencida","no")</f>
        <v>vencida</v>
      </c>
    </row>
    <row r="2836" spans="1:30" ht="19.5" hidden="1" customHeight="1" x14ac:dyDescent="0.25">
      <c r="A2836" s="8"/>
      <c r="B2836" s="8"/>
      <c r="C2836" s="8"/>
      <c r="D2836" s="151"/>
      <c r="E2836" s="151"/>
      <c r="F2836" s="24"/>
      <c r="G2836" s="30"/>
      <c r="H2836" s="81"/>
      <c r="I2836" s="30"/>
      <c r="J2836" s="16"/>
      <c r="K2836" s="9"/>
      <c r="L2836" s="9"/>
      <c r="M2836" s="152"/>
      <c r="N2836" s="153"/>
      <c r="O2836" s="152"/>
      <c r="P2836" s="154"/>
      <c r="Q2836" s="152"/>
      <c r="R2836" s="9"/>
      <c r="Z2836" s="21"/>
      <c r="AA2836" s="162">
        <f>+$AD$5-Tabla2[[#This Row],[FECHA DE FACTURACIÓN]]</f>
        <v>45443</v>
      </c>
      <c r="AB2836" s="163" t="str">
        <f>+IF(Tabla2[[#This Row],[dias de credito]]&gt;=Tabla2[[#This Row],[PLAZO Días]],"venc", "No venc")</f>
        <v>venc</v>
      </c>
      <c r="AC2836" s="163" t="str">
        <f>+IF(Tabla2[[#This Row],[FECHA DE PAGO]]&gt;0,"pagada","por pagar")</f>
        <v>por pagar</v>
      </c>
      <c r="AD2836" s="164" t="str">
        <f>+IF(AND(Tabla2[[#This Row],[venc]]="venc",Tabla2[[#This Row],[estado pago]]="por pagar"),"vencida","no")</f>
        <v>vencida</v>
      </c>
    </row>
    <row r="2837" spans="1:30" ht="19.5" hidden="1" customHeight="1" x14ac:dyDescent="0.25">
      <c r="A2837" s="8"/>
      <c r="B2837" s="8"/>
      <c r="C2837" s="8"/>
      <c r="D2837" s="151"/>
      <c r="E2837" s="151"/>
      <c r="F2837" s="24"/>
      <c r="G2837" s="30"/>
      <c r="H2837" s="81"/>
      <c r="I2837" s="30"/>
      <c r="J2837" s="16"/>
      <c r="K2837" s="9"/>
      <c r="L2837" s="9"/>
      <c r="M2837" s="152"/>
      <c r="N2837" s="153"/>
      <c r="O2837" s="152"/>
      <c r="P2837" s="154"/>
      <c r="Q2837" s="152"/>
      <c r="R2837" s="9"/>
      <c r="Z2837" s="21"/>
      <c r="AA2837" s="162">
        <f>+$AD$5-Tabla2[[#This Row],[FECHA DE FACTURACIÓN]]</f>
        <v>45443</v>
      </c>
      <c r="AB2837" s="163" t="str">
        <f>+IF(Tabla2[[#This Row],[dias de credito]]&gt;=Tabla2[[#This Row],[PLAZO Días]],"venc", "No venc")</f>
        <v>venc</v>
      </c>
      <c r="AC2837" s="163" t="str">
        <f>+IF(Tabla2[[#This Row],[FECHA DE PAGO]]&gt;0,"pagada","por pagar")</f>
        <v>por pagar</v>
      </c>
      <c r="AD2837" s="164" t="str">
        <f>+IF(AND(Tabla2[[#This Row],[venc]]="venc",Tabla2[[#This Row],[estado pago]]="por pagar"),"vencida","no")</f>
        <v>vencida</v>
      </c>
    </row>
    <row r="2838" spans="1:30" ht="19.5" hidden="1" customHeight="1" x14ac:dyDescent="0.25">
      <c r="A2838" s="8"/>
      <c r="B2838" s="8"/>
      <c r="C2838" s="8"/>
      <c r="D2838" s="151"/>
      <c r="E2838" s="151"/>
      <c r="F2838" s="24"/>
      <c r="G2838" s="30"/>
      <c r="H2838" s="81"/>
      <c r="I2838" s="30"/>
      <c r="J2838" s="16"/>
      <c r="K2838" s="9"/>
      <c r="L2838" s="9"/>
      <c r="M2838" s="152"/>
      <c r="N2838" s="153"/>
      <c r="O2838" s="152"/>
      <c r="P2838" s="154"/>
      <c r="Q2838" s="152"/>
      <c r="R2838" s="9"/>
      <c r="Z2838" s="21"/>
      <c r="AA2838" s="162">
        <f>+$AD$5-Tabla2[[#This Row],[FECHA DE FACTURACIÓN]]</f>
        <v>45443</v>
      </c>
      <c r="AB2838" s="163" t="str">
        <f>+IF(Tabla2[[#This Row],[dias de credito]]&gt;=Tabla2[[#This Row],[PLAZO Días]],"venc", "No venc")</f>
        <v>venc</v>
      </c>
      <c r="AC2838" s="163" t="str">
        <f>+IF(Tabla2[[#This Row],[FECHA DE PAGO]]&gt;0,"pagada","por pagar")</f>
        <v>por pagar</v>
      </c>
      <c r="AD2838" s="164" t="str">
        <f>+IF(AND(Tabla2[[#This Row],[venc]]="venc",Tabla2[[#This Row],[estado pago]]="por pagar"),"vencida","no")</f>
        <v>vencida</v>
      </c>
    </row>
    <row r="2839" spans="1:30" ht="19.5" hidden="1" customHeight="1" x14ac:dyDescent="0.25">
      <c r="A2839" s="8"/>
      <c r="B2839" s="8"/>
      <c r="C2839" s="8"/>
      <c r="D2839" s="151"/>
      <c r="E2839" s="151"/>
      <c r="F2839" s="24"/>
      <c r="G2839" s="30"/>
      <c r="H2839" s="81"/>
      <c r="I2839" s="30"/>
      <c r="J2839" s="16"/>
      <c r="K2839" s="9"/>
      <c r="L2839" s="9"/>
      <c r="M2839" s="152"/>
      <c r="N2839" s="153"/>
      <c r="O2839" s="152"/>
      <c r="P2839" s="154"/>
      <c r="Q2839" s="152"/>
      <c r="R2839" s="9"/>
      <c r="Z2839" s="21"/>
      <c r="AA2839" s="162">
        <f>+$AD$5-Tabla2[[#This Row],[FECHA DE FACTURACIÓN]]</f>
        <v>45443</v>
      </c>
      <c r="AB2839" s="163" t="str">
        <f>+IF(Tabla2[[#This Row],[dias de credito]]&gt;=Tabla2[[#This Row],[PLAZO Días]],"venc", "No venc")</f>
        <v>venc</v>
      </c>
      <c r="AC2839" s="163" t="str">
        <f>+IF(Tabla2[[#This Row],[FECHA DE PAGO]]&gt;0,"pagada","por pagar")</f>
        <v>por pagar</v>
      </c>
      <c r="AD2839" s="164" t="str">
        <f>+IF(AND(Tabla2[[#This Row],[venc]]="venc",Tabla2[[#This Row],[estado pago]]="por pagar"),"vencida","no")</f>
        <v>vencida</v>
      </c>
    </row>
    <row r="2840" spans="1:30" ht="19.5" hidden="1" customHeight="1" x14ac:dyDescent="0.25">
      <c r="A2840" s="8"/>
      <c r="B2840" s="8"/>
      <c r="C2840" s="8"/>
      <c r="D2840" s="151"/>
      <c r="E2840" s="151"/>
      <c r="F2840" s="24"/>
      <c r="G2840" s="30"/>
      <c r="H2840" s="81"/>
      <c r="I2840" s="30"/>
      <c r="J2840" s="16"/>
      <c r="K2840" s="9"/>
      <c r="L2840" s="9"/>
      <c r="M2840" s="152"/>
      <c r="N2840" s="153"/>
      <c r="O2840" s="152"/>
      <c r="P2840" s="154"/>
      <c r="Q2840" s="152"/>
      <c r="R2840" s="9"/>
      <c r="Z2840" s="21"/>
      <c r="AA2840" s="162">
        <f>+$AD$5-Tabla2[[#This Row],[FECHA DE FACTURACIÓN]]</f>
        <v>45443</v>
      </c>
      <c r="AB2840" s="163" t="str">
        <f>+IF(Tabla2[[#This Row],[dias de credito]]&gt;=Tabla2[[#This Row],[PLAZO Días]],"venc", "No venc")</f>
        <v>venc</v>
      </c>
      <c r="AC2840" s="163" t="str">
        <f>+IF(Tabla2[[#This Row],[FECHA DE PAGO]]&gt;0,"pagada","por pagar")</f>
        <v>por pagar</v>
      </c>
      <c r="AD2840" s="164" t="str">
        <f>+IF(AND(Tabla2[[#This Row],[venc]]="venc",Tabla2[[#This Row],[estado pago]]="por pagar"),"vencida","no")</f>
        <v>vencida</v>
      </c>
    </row>
    <row r="2841" spans="1:30" ht="19.5" hidden="1" customHeight="1" x14ac:dyDescent="0.25">
      <c r="A2841" s="8"/>
      <c r="B2841" s="8"/>
      <c r="C2841" s="8"/>
      <c r="D2841" s="151"/>
      <c r="E2841" s="151"/>
      <c r="F2841" s="24"/>
      <c r="G2841" s="30"/>
      <c r="H2841" s="81"/>
      <c r="I2841" s="30"/>
      <c r="J2841" s="16"/>
      <c r="K2841" s="9"/>
      <c r="L2841" s="9"/>
      <c r="M2841" s="152"/>
      <c r="N2841" s="153"/>
      <c r="O2841" s="152"/>
      <c r="P2841" s="154"/>
      <c r="Q2841" s="152"/>
      <c r="R2841" s="9"/>
      <c r="Z2841" s="21"/>
      <c r="AA2841" s="162">
        <f>+$AD$5-Tabla2[[#This Row],[FECHA DE FACTURACIÓN]]</f>
        <v>45443</v>
      </c>
      <c r="AB2841" s="163" t="str">
        <f>+IF(Tabla2[[#This Row],[dias de credito]]&gt;=Tabla2[[#This Row],[PLAZO Días]],"venc", "No venc")</f>
        <v>venc</v>
      </c>
      <c r="AC2841" s="163" t="str">
        <f>+IF(Tabla2[[#This Row],[FECHA DE PAGO]]&gt;0,"pagada","por pagar")</f>
        <v>por pagar</v>
      </c>
      <c r="AD2841" s="164" t="str">
        <f>+IF(AND(Tabla2[[#This Row],[venc]]="venc",Tabla2[[#This Row],[estado pago]]="por pagar"),"vencida","no")</f>
        <v>vencida</v>
      </c>
    </row>
    <row r="2842" spans="1:30" ht="19.5" hidden="1" customHeight="1" x14ac:dyDescent="0.25">
      <c r="A2842" s="8"/>
      <c r="B2842" s="8"/>
      <c r="C2842" s="8"/>
      <c r="D2842" s="151"/>
      <c r="E2842" s="151"/>
      <c r="F2842" s="24"/>
      <c r="G2842" s="30"/>
      <c r="H2842" s="81"/>
      <c r="I2842" s="30"/>
      <c r="J2842" s="16"/>
      <c r="K2842" s="9"/>
      <c r="L2842" s="9"/>
      <c r="M2842" s="152"/>
      <c r="N2842" s="153"/>
      <c r="O2842" s="152"/>
      <c r="P2842" s="154"/>
      <c r="Q2842" s="152"/>
      <c r="R2842" s="9"/>
      <c r="Z2842" s="21"/>
      <c r="AA2842" s="162">
        <f>+$AD$5-Tabla2[[#This Row],[FECHA DE FACTURACIÓN]]</f>
        <v>45443</v>
      </c>
      <c r="AB2842" s="163" t="str">
        <f>+IF(Tabla2[[#This Row],[dias de credito]]&gt;=Tabla2[[#This Row],[PLAZO Días]],"venc", "No venc")</f>
        <v>venc</v>
      </c>
      <c r="AC2842" s="163" t="str">
        <f>+IF(Tabla2[[#This Row],[FECHA DE PAGO]]&gt;0,"pagada","por pagar")</f>
        <v>por pagar</v>
      </c>
      <c r="AD2842" s="164" t="str">
        <f>+IF(AND(Tabla2[[#This Row],[venc]]="venc",Tabla2[[#This Row],[estado pago]]="por pagar"),"vencida","no")</f>
        <v>vencida</v>
      </c>
    </row>
    <row r="2843" spans="1:30" ht="19.5" hidden="1" customHeight="1" x14ac:dyDescent="0.25">
      <c r="A2843" s="8"/>
      <c r="B2843" s="8"/>
      <c r="C2843" s="8"/>
      <c r="D2843" s="151"/>
      <c r="E2843" s="151"/>
      <c r="F2843" s="24"/>
      <c r="G2843" s="30"/>
      <c r="H2843" s="81"/>
      <c r="I2843" s="30"/>
      <c r="J2843" s="16"/>
      <c r="K2843" s="9"/>
      <c r="L2843" s="9"/>
      <c r="M2843" s="152"/>
      <c r="N2843" s="153"/>
      <c r="O2843" s="152"/>
      <c r="P2843" s="154"/>
      <c r="Q2843" s="152"/>
      <c r="R2843" s="9"/>
      <c r="Z2843" s="21"/>
      <c r="AA2843" s="162">
        <f>+$AD$5-Tabla2[[#This Row],[FECHA DE FACTURACIÓN]]</f>
        <v>45443</v>
      </c>
      <c r="AB2843" s="163" t="str">
        <f>+IF(Tabla2[[#This Row],[dias de credito]]&gt;=Tabla2[[#This Row],[PLAZO Días]],"venc", "No venc")</f>
        <v>venc</v>
      </c>
      <c r="AC2843" s="163" t="str">
        <f>+IF(Tabla2[[#This Row],[FECHA DE PAGO]]&gt;0,"pagada","por pagar")</f>
        <v>por pagar</v>
      </c>
      <c r="AD2843" s="164" t="str">
        <f>+IF(AND(Tabla2[[#This Row],[venc]]="venc",Tabla2[[#This Row],[estado pago]]="por pagar"),"vencida","no")</f>
        <v>vencida</v>
      </c>
    </row>
    <row r="2844" spans="1:30" ht="19.5" hidden="1" customHeight="1" x14ac:dyDescent="0.25">
      <c r="A2844" s="8"/>
      <c r="B2844" s="8"/>
      <c r="C2844" s="8"/>
      <c r="D2844" s="151"/>
      <c r="E2844" s="151"/>
      <c r="F2844" s="24"/>
      <c r="G2844" s="30"/>
      <c r="H2844" s="81"/>
      <c r="I2844" s="30"/>
      <c r="J2844" s="16"/>
      <c r="K2844" s="9"/>
      <c r="L2844" s="9"/>
      <c r="M2844" s="152"/>
      <c r="N2844" s="153"/>
      <c r="O2844" s="152"/>
      <c r="P2844" s="154"/>
      <c r="Q2844" s="152"/>
      <c r="R2844" s="9"/>
      <c r="Z2844" s="21"/>
      <c r="AA2844" s="162">
        <f>+$AD$5-Tabla2[[#This Row],[FECHA DE FACTURACIÓN]]</f>
        <v>45443</v>
      </c>
      <c r="AB2844" s="163" t="str">
        <f>+IF(Tabla2[[#This Row],[dias de credito]]&gt;=Tabla2[[#This Row],[PLAZO Días]],"venc", "No venc")</f>
        <v>venc</v>
      </c>
      <c r="AC2844" s="163" t="str">
        <f>+IF(Tabla2[[#This Row],[FECHA DE PAGO]]&gt;0,"pagada","por pagar")</f>
        <v>por pagar</v>
      </c>
      <c r="AD2844" s="164" t="str">
        <f>+IF(AND(Tabla2[[#This Row],[venc]]="venc",Tabla2[[#This Row],[estado pago]]="por pagar"),"vencida","no")</f>
        <v>vencida</v>
      </c>
    </row>
    <row r="2845" spans="1:30" ht="19.5" hidden="1" customHeight="1" x14ac:dyDescent="0.25">
      <c r="A2845" s="8"/>
      <c r="B2845" s="8"/>
      <c r="C2845" s="8"/>
      <c r="D2845" s="151"/>
      <c r="E2845" s="151"/>
      <c r="F2845" s="24"/>
      <c r="G2845" s="30"/>
      <c r="H2845" s="81"/>
      <c r="I2845" s="30"/>
      <c r="J2845" s="16"/>
      <c r="K2845" s="9"/>
      <c r="L2845" s="9"/>
      <c r="M2845" s="152"/>
      <c r="N2845" s="153"/>
      <c r="O2845" s="152"/>
      <c r="P2845" s="154"/>
      <c r="Q2845" s="152"/>
      <c r="R2845" s="9"/>
      <c r="Z2845" s="21"/>
      <c r="AA2845" s="162">
        <f>+$AD$5-Tabla2[[#This Row],[FECHA DE FACTURACIÓN]]</f>
        <v>45443</v>
      </c>
      <c r="AB2845" s="163" t="str">
        <f>+IF(Tabla2[[#This Row],[dias de credito]]&gt;=Tabla2[[#This Row],[PLAZO Días]],"venc", "No venc")</f>
        <v>venc</v>
      </c>
      <c r="AC2845" s="163" t="str">
        <f>+IF(Tabla2[[#This Row],[FECHA DE PAGO]]&gt;0,"pagada","por pagar")</f>
        <v>por pagar</v>
      </c>
      <c r="AD2845" s="164" t="str">
        <f>+IF(AND(Tabla2[[#This Row],[venc]]="venc",Tabla2[[#This Row],[estado pago]]="por pagar"),"vencida","no")</f>
        <v>vencida</v>
      </c>
    </row>
    <row r="2846" spans="1:30" ht="19.5" hidden="1" customHeight="1" x14ac:dyDescent="0.25">
      <c r="A2846" s="8"/>
      <c r="B2846" s="8"/>
      <c r="C2846" s="8"/>
      <c r="D2846" s="151"/>
      <c r="E2846" s="151"/>
      <c r="F2846" s="24"/>
      <c r="G2846" s="30"/>
      <c r="H2846" s="81"/>
      <c r="I2846" s="30"/>
      <c r="J2846" s="16"/>
      <c r="K2846" s="9"/>
      <c r="L2846" s="9"/>
      <c r="M2846" s="152"/>
      <c r="N2846" s="153"/>
      <c r="O2846" s="152"/>
      <c r="P2846" s="154"/>
      <c r="Q2846" s="152"/>
      <c r="R2846" s="9"/>
      <c r="Z2846" s="21"/>
      <c r="AA2846" s="162">
        <f>+$AD$5-Tabla2[[#This Row],[FECHA DE FACTURACIÓN]]</f>
        <v>45443</v>
      </c>
      <c r="AB2846" s="163" t="str">
        <f>+IF(Tabla2[[#This Row],[dias de credito]]&gt;=Tabla2[[#This Row],[PLAZO Días]],"venc", "No venc")</f>
        <v>venc</v>
      </c>
      <c r="AC2846" s="163" t="str">
        <f>+IF(Tabla2[[#This Row],[FECHA DE PAGO]]&gt;0,"pagada","por pagar")</f>
        <v>por pagar</v>
      </c>
      <c r="AD2846" s="164" t="str">
        <f>+IF(AND(Tabla2[[#This Row],[venc]]="venc",Tabla2[[#This Row],[estado pago]]="por pagar"),"vencida","no")</f>
        <v>vencida</v>
      </c>
    </row>
    <row r="2847" spans="1:30" ht="19.5" hidden="1" customHeight="1" x14ac:dyDescent="0.25">
      <c r="A2847" s="8"/>
      <c r="B2847" s="8"/>
      <c r="C2847" s="8"/>
      <c r="D2847" s="151"/>
      <c r="E2847" s="151"/>
      <c r="F2847" s="24"/>
      <c r="G2847" s="30"/>
      <c r="H2847" s="81"/>
      <c r="I2847" s="30"/>
      <c r="J2847" s="16"/>
      <c r="K2847" s="9"/>
      <c r="L2847" s="9"/>
      <c r="M2847" s="152"/>
      <c r="N2847" s="153"/>
      <c r="O2847" s="152"/>
      <c r="P2847" s="154"/>
      <c r="Q2847" s="152"/>
      <c r="R2847" s="9"/>
      <c r="Z2847" s="21"/>
      <c r="AA2847" s="162">
        <f>+$AD$5-Tabla2[[#This Row],[FECHA DE FACTURACIÓN]]</f>
        <v>45443</v>
      </c>
      <c r="AB2847" s="163" t="str">
        <f>+IF(Tabla2[[#This Row],[dias de credito]]&gt;=Tabla2[[#This Row],[PLAZO Días]],"venc", "No venc")</f>
        <v>venc</v>
      </c>
      <c r="AC2847" s="163" t="str">
        <f>+IF(Tabla2[[#This Row],[FECHA DE PAGO]]&gt;0,"pagada","por pagar")</f>
        <v>por pagar</v>
      </c>
      <c r="AD2847" s="164" t="str">
        <f>+IF(AND(Tabla2[[#This Row],[venc]]="venc",Tabla2[[#This Row],[estado pago]]="por pagar"),"vencida","no")</f>
        <v>vencida</v>
      </c>
    </row>
    <row r="2848" spans="1:30" ht="19.5" hidden="1" customHeight="1" x14ac:dyDescent="0.25">
      <c r="A2848" s="8"/>
      <c r="B2848" s="8"/>
      <c r="C2848" s="8"/>
      <c r="D2848" s="151"/>
      <c r="E2848" s="151"/>
      <c r="F2848" s="24"/>
      <c r="G2848" s="30"/>
      <c r="H2848" s="81"/>
      <c r="I2848" s="30"/>
      <c r="J2848" s="16"/>
      <c r="K2848" s="9"/>
      <c r="L2848" s="9"/>
      <c r="M2848" s="152"/>
      <c r="N2848" s="153"/>
      <c r="O2848" s="152"/>
      <c r="P2848" s="154"/>
      <c r="Q2848" s="152"/>
      <c r="R2848" s="9"/>
      <c r="Z2848" s="21"/>
      <c r="AA2848" s="162">
        <f>+$AD$5-Tabla2[[#This Row],[FECHA DE FACTURACIÓN]]</f>
        <v>45443</v>
      </c>
      <c r="AB2848" s="163" t="str">
        <f>+IF(Tabla2[[#This Row],[dias de credito]]&gt;=Tabla2[[#This Row],[PLAZO Días]],"venc", "No venc")</f>
        <v>venc</v>
      </c>
      <c r="AC2848" s="163" t="str">
        <f>+IF(Tabla2[[#This Row],[FECHA DE PAGO]]&gt;0,"pagada","por pagar")</f>
        <v>por pagar</v>
      </c>
      <c r="AD2848" s="164" t="str">
        <f>+IF(AND(Tabla2[[#This Row],[venc]]="venc",Tabla2[[#This Row],[estado pago]]="por pagar"),"vencida","no")</f>
        <v>vencida</v>
      </c>
    </row>
    <row r="2849" spans="1:30" ht="19.5" hidden="1" customHeight="1" x14ac:dyDescent="0.25">
      <c r="A2849" s="8"/>
      <c r="B2849" s="8"/>
      <c r="C2849" s="8"/>
      <c r="D2849" s="151"/>
      <c r="E2849" s="151"/>
      <c r="F2849" s="24"/>
      <c r="G2849" s="30"/>
      <c r="H2849" s="81"/>
      <c r="I2849" s="30"/>
      <c r="J2849" s="16"/>
      <c r="K2849" s="9"/>
      <c r="L2849" s="9"/>
      <c r="M2849" s="152"/>
      <c r="N2849" s="153"/>
      <c r="O2849" s="152"/>
      <c r="P2849" s="154"/>
      <c r="Q2849" s="152"/>
      <c r="R2849" s="9"/>
      <c r="Z2849" s="21"/>
      <c r="AA2849" s="162">
        <f>+$AD$5-Tabla2[[#This Row],[FECHA DE FACTURACIÓN]]</f>
        <v>45443</v>
      </c>
      <c r="AB2849" s="163" t="str">
        <f>+IF(Tabla2[[#This Row],[dias de credito]]&gt;=Tabla2[[#This Row],[PLAZO Días]],"venc", "No venc")</f>
        <v>venc</v>
      </c>
      <c r="AC2849" s="163" t="str">
        <f>+IF(Tabla2[[#This Row],[FECHA DE PAGO]]&gt;0,"pagada","por pagar")</f>
        <v>por pagar</v>
      </c>
      <c r="AD2849" s="164" t="str">
        <f>+IF(AND(Tabla2[[#This Row],[venc]]="venc",Tabla2[[#This Row],[estado pago]]="por pagar"),"vencida","no")</f>
        <v>vencida</v>
      </c>
    </row>
    <row r="2850" spans="1:30" ht="19.5" hidden="1" customHeight="1" x14ac:dyDescent="0.25">
      <c r="A2850" s="8"/>
      <c r="B2850" s="8"/>
      <c r="C2850" s="8"/>
      <c r="D2850" s="151"/>
      <c r="E2850" s="151"/>
      <c r="F2850" s="24"/>
      <c r="G2850" s="30"/>
      <c r="H2850" s="81"/>
      <c r="I2850" s="30"/>
      <c r="J2850" s="16"/>
      <c r="K2850" s="9"/>
      <c r="L2850" s="9"/>
      <c r="M2850" s="152"/>
      <c r="N2850" s="153"/>
      <c r="O2850" s="152"/>
      <c r="P2850" s="154"/>
      <c r="Q2850" s="152"/>
      <c r="R2850" s="9"/>
      <c r="Z2850" s="21"/>
      <c r="AA2850" s="162">
        <f>+$AD$5-Tabla2[[#This Row],[FECHA DE FACTURACIÓN]]</f>
        <v>45443</v>
      </c>
      <c r="AB2850" s="163" t="str">
        <f>+IF(Tabla2[[#This Row],[dias de credito]]&gt;=Tabla2[[#This Row],[PLAZO Días]],"venc", "No venc")</f>
        <v>venc</v>
      </c>
      <c r="AC2850" s="163" t="str">
        <f>+IF(Tabla2[[#This Row],[FECHA DE PAGO]]&gt;0,"pagada","por pagar")</f>
        <v>por pagar</v>
      </c>
      <c r="AD2850" s="164" t="str">
        <f>+IF(AND(Tabla2[[#This Row],[venc]]="venc",Tabla2[[#This Row],[estado pago]]="por pagar"),"vencida","no")</f>
        <v>vencida</v>
      </c>
    </row>
    <row r="2851" spans="1:30" ht="19.5" hidden="1" customHeight="1" x14ac:dyDescent="0.25">
      <c r="A2851" s="8"/>
      <c r="B2851" s="8"/>
      <c r="C2851" s="8"/>
      <c r="D2851" s="151"/>
      <c r="E2851" s="151"/>
      <c r="F2851" s="24"/>
      <c r="G2851" s="30"/>
      <c r="H2851" s="81"/>
      <c r="I2851" s="30"/>
      <c r="J2851" s="16"/>
      <c r="K2851" s="9"/>
      <c r="L2851" s="9"/>
      <c r="M2851" s="152"/>
      <c r="N2851" s="153"/>
      <c r="O2851" s="152"/>
      <c r="P2851" s="154"/>
      <c r="Q2851" s="152"/>
      <c r="R2851" s="9"/>
      <c r="Z2851" s="21"/>
      <c r="AA2851" s="162">
        <f>+$AD$5-Tabla2[[#This Row],[FECHA DE FACTURACIÓN]]</f>
        <v>45443</v>
      </c>
      <c r="AB2851" s="163" t="str">
        <f>+IF(Tabla2[[#This Row],[dias de credito]]&gt;=Tabla2[[#This Row],[PLAZO Días]],"venc", "No venc")</f>
        <v>venc</v>
      </c>
      <c r="AC2851" s="163" t="str">
        <f>+IF(Tabla2[[#This Row],[FECHA DE PAGO]]&gt;0,"pagada","por pagar")</f>
        <v>por pagar</v>
      </c>
      <c r="AD2851" s="164" t="str">
        <f>+IF(AND(Tabla2[[#This Row],[venc]]="venc",Tabla2[[#This Row],[estado pago]]="por pagar"),"vencida","no")</f>
        <v>vencida</v>
      </c>
    </row>
    <row r="2852" spans="1:30" ht="19.5" hidden="1" customHeight="1" x14ac:dyDescent="0.25">
      <c r="A2852" s="8"/>
      <c r="B2852" s="8"/>
      <c r="C2852" s="8"/>
      <c r="D2852" s="151"/>
      <c r="E2852" s="151"/>
      <c r="F2852" s="24"/>
      <c r="G2852" s="30"/>
      <c r="H2852" s="81"/>
      <c r="I2852" s="30"/>
      <c r="J2852" s="16"/>
      <c r="K2852" s="9"/>
      <c r="L2852" s="9"/>
      <c r="M2852" s="152"/>
      <c r="N2852" s="153"/>
      <c r="O2852" s="152"/>
      <c r="P2852" s="154"/>
      <c r="Q2852" s="152"/>
      <c r="R2852" s="9"/>
      <c r="Z2852" s="21"/>
      <c r="AA2852" s="162">
        <f>+$AD$5-Tabla2[[#This Row],[FECHA DE FACTURACIÓN]]</f>
        <v>45443</v>
      </c>
      <c r="AB2852" s="163" t="str">
        <f>+IF(Tabla2[[#This Row],[dias de credito]]&gt;=Tabla2[[#This Row],[PLAZO Días]],"venc", "No venc")</f>
        <v>venc</v>
      </c>
      <c r="AC2852" s="163" t="str">
        <f>+IF(Tabla2[[#This Row],[FECHA DE PAGO]]&gt;0,"pagada","por pagar")</f>
        <v>por pagar</v>
      </c>
      <c r="AD2852" s="164" t="str">
        <f>+IF(AND(Tabla2[[#This Row],[venc]]="venc",Tabla2[[#This Row],[estado pago]]="por pagar"),"vencida","no")</f>
        <v>vencida</v>
      </c>
    </row>
    <row r="2853" spans="1:30" ht="19.5" hidden="1" customHeight="1" x14ac:dyDescent="0.25">
      <c r="A2853" s="8"/>
      <c r="B2853" s="8"/>
      <c r="C2853" s="8"/>
      <c r="D2853" s="151"/>
      <c r="E2853" s="151"/>
      <c r="F2853" s="24"/>
      <c r="G2853" s="30"/>
      <c r="H2853" s="81"/>
      <c r="I2853" s="30"/>
      <c r="J2853" s="16"/>
      <c r="K2853" s="9"/>
      <c r="L2853" s="9"/>
      <c r="M2853" s="152"/>
      <c r="N2853" s="153"/>
      <c r="O2853" s="152"/>
      <c r="P2853" s="154"/>
      <c r="Q2853" s="152"/>
      <c r="R2853" s="9"/>
      <c r="Z2853" s="21"/>
      <c r="AA2853" s="162">
        <f>+$AD$5-Tabla2[[#This Row],[FECHA DE FACTURACIÓN]]</f>
        <v>45443</v>
      </c>
      <c r="AB2853" s="163" t="str">
        <f>+IF(Tabla2[[#This Row],[dias de credito]]&gt;=Tabla2[[#This Row],[PLAZO Días]],"venc", "No venc")</f>
        <v>venc</v>
      </c>
      <c r="AC2853" s="163" t="str">
        <f>+IF(Tabla2[[#This Row],[FECHA DE PAGO]]&gt;0,"pagada","por pagar")</f>
        <v>por pagar</v>
      </c>
      <c r="AD2853" s="164" t="str">
        <f>+IF(AND(Tabla2[[#This Row],[venc]]="venc",Tabla2[[#This Row],[estado pago]]="por pagar"),"vencida","no")</f>
        <v>vencida</v>
      </c>
    </row>
    <row r="2854" spans="1:30" ht="19.5" hidden="1" customHeight="1" x14ac:dyDescent="0.25">
      <c r="A2854" s="8"/>
      <c r="B2854" s="8"/>
      <c r="C2854" s="8"/>
      <c r="D2854" s="151"/>
      <c r="E2854" s="151"/>
      <c r="F2854" s="24"/>
      <c r="G2854" s="30"/>
      <c r="H2854" s="81"/>
      <c r="I2854" s="30"/>
      <c r="J2854" s="16"/>
      <c r="K2854" s="9"/>
      <c r="L2854" s="9"/>
      <c r="M2854" s="152"/>
      <c r="N2854" s="153"/>
      <c r="O2854" s="152"/>
      <c r="P2854" s="154"/>
      <c r="Q2854" s="152"/>
      <c r="R2854" s="9"/>
      <c r="Z2854" s="21"/>
      <c r="AA2854" s="162">
        <f>+$AD$5-Tabla2[[#This Row],[FECHA DE FACTURACIÓN]]</f>
        <v>45443</v>
      </c>
      <c r="AB2854" s="163" t="str">
        <f>+IF(Tabla2[[#This Row],[dias de credito]]&gt;=Tabla2[[#This Row],[PLAZO Días]],"venc", "No venc")</f>
        <v>venc</v>
      </c>
      <c r="AC2854" s="163" t="str">
        <f>+IF(Tabla2[[#This Row],[FECHA DE PAGO]]&gt;0,"pagada","por pagar")</f>
        <v>por pagar</v>
      </c>
      <c r="AD2854" s="164" t="str">
        <f>+IF(AND(Tabla2[[#This Row],[venc]]="venc",Tabla2[[#This Row],[estado pago]]="por pagar"),"vencida","no")</f>
        <v>vencida</v>
      </c>
    </row>
    <row r="2855" spans="1:30" ht="19.5" hidden="1" customHeight="1" x14ac:dyDescent="0.25">
      <c r="A2855" s="8"/>
      <c r="B2855" s="8"/>
      <c r="C2855" s="8"/>
      <c r="D2855" s="151"/>
      <c r="E2855" s="151"/>
      <c r="F2855" s="24"/>
      <c r="G2855" s="30"/>
      <c r="H2855" s="81"/>
      <c r="I2855" s="30"/>
      <c r="J2855" s="16"/>
      <c r="K2855" s="9"/>
      <c r="L2855" s="9"/>
      <c r="M2855" s="152"/>
      <c r="N2855" s="153"/>
      <c r="O2855" s="152"/>
      <c r="P2855" s="154"/>
      <c r="Q2855" s="152"/>
      <c r="R2855" s="9"/>
      <c r="Z2855" s="21"/>
      <c r="AA2855" s="162">
        <f>+$AD$5-Tabla2[[#This Row],[FECHA DE FACTURACIÓN]]</f>
        <v>45443</v>
      </c>
      <c r="AB2855" s="163" t="str">
        <f>+IF(Tabla2[[#This Row],[dias de credito]]&gt;=Tabla2[[#This Row],[PLAZO Días]],"venc", "No venc")</f>
        <v>venc</v>
      </c>
      <c r="AC2855" s="163" t="str">
        <f>+IF(Tabla2[[#This Row],[FECHA DE PAGO]]&gt;0,"pagada","por pagar")</f>
        <v>por pagar</v>
      </c>
      <c r="AD2855" s="164" t="str">
        <f>+IF(AND(Tabla2[[#This Row],[venc]]="venc",Tabla2[[#This Row],[estado pago]]="por pagar"),"vencida","no")</f>
        <v>vencida</v>
      </c>
    </row>
    <row r="2856" spans="1:30" ht="19.5" hidden="1" customHeight="1" x14ac:dyDescent="0.25">
      <c r="A2856" s="8"/>
      <c r="B2856" s="8"/>
      <c r="C2856" s="8"/>
      <c r="D2856" s="151"/>
      <c r="E2856" s="151"/>
      <c r="F2856" s="24"/>
      <c r="G2856" s="30"/>
      <c r="H2856" s="81"/>
      <c r="I2856" s="30"/>
      <c r="J2856" s="16"/>
      <c r="K2856" s="9"/>
      <c r="L2856" s="9"/>
      <c r="M2856" s="152"/>
      <c r="N2856" s="153"/>
      <c r="O2856" s="152"/>
      <c r="P2856" s="154"/>
      <c r="Q2856" s="152"/>
      <c r="R2856" s="9"/>
      <c r="Z2856" s="21"/>
      <c r="AA2856" s="162">
        <f>+$AD$5-Tabla2[[#This Row],[FECHA DE FACTURACIÓN]]</f>
        <v>45443</v>
      </c>
      <c r="AB2856" s="163" t="str">
        <f>+IF(Tabla2[[#This Row],[dias de credito]]&gt;=Tabla2[[#This Row],[PLAZO Días]],"venc", "No venc")</f>
        <v>venc</v>
      </c>
      <c r="AC2856" s="163" t="str">
        <f>+IF(Tabla2[[#This Row],[FECHA DE PAGO]]&gt;0,"pagada","por pagar")</f>
        <v>por pagar</v>
      </c>
      <c r="AD2856" s="164" t="str">
        <f>+IF(AND(Tabla2[[#This Row],[venc]]="venc",Tabla2[[#This Row],[estado pago]]="por pagar"),"vencida","no")</f>
        <v>vencida</v>
      </c>
    </row>
    <row r="2857" spans="1:30" ht="19.5" hidden="1" customHeight="1" x14ac:dyDescent="0.25">
      <c r="A2857" s="8"/>
      <c r="B2857" s="8"/>
      <c r="C2857" s="8"/>
      <c r="D2857" s="151"/>
      <c r="E2857" s="151"/>
      <c r="F2857" s="24"/>
      <c r="G2857" s="30"/>
      <c r="H2857" s="81"/>
      <c r="I2857" s="30"/>
      <c r="J2857" s="16"/>
      <c r="K2857" s="9"/>
      <c r="L2857" s="9"/>
      <c r="M2857" s="152"/>
      <c r="N2857" s="153"/>
      <c r="O2857" s="152"/>
      <c r="P2857" s="154"/>
      <c r="Q2857" s="152"/>
      <c r="R2857" s="9"/>
      <c r="Z2857" s="21"/>
      <c r="AA2857" s="162">
        <f>+$AD$5-Tabla2[[#This Row],[FECHA DE FACTURACIÓN]]</f>
        <v>45443</v>
      </c>
      <c r="AB2857" s="163" t="str">
        <f>+IF(Tabla2[[#This Row],[dias de credito]]&gt;=Tabla2[[#This Row],[PLAZO Días]],"venc", "No venc")</f>
        <v>venc</v>
      </c>
      <c r="AC2857" s="163" t="str">
        <f>+IF(Tabla2[[#This Row],[FECHA DE PAGO]]&gt;0,"pagada","por pagar")</f>
        <v>por pagar</v>
      </c>
      <c r="AD2857" s="164" t="str">
        <f>+IF(AND(Tabla2[[#This Row],[venc]]="venc",Tabla2[[#This Row],[estado pago]]="por pagar"),"vencida","no")</f>
        <v>vencida</v>
      </c>
    </row>
    <row r="2858" spans="1:30" ht="19.5" hidden="1" customHeight="1" x14ac:dyDescent="0.25">
      <c r="A2858" s="8"/>
      <c r="B2858" s="8"/>
      <c r="C2858" s="8"/>
      <c r="D2858" s="151"/>
      <c r="E2858" s="151"/>
      <c r="F2858" s="24"/>
      <c r="G2858" s="30"/>
      <c r="H2858" s="81"/>
      <c r="I2858" s="30"/>
      <c r="J2858" s="16"/>
      <c r="K2858" s="9"/>
      <c r="L2858" s="9"/>
      <c r="M2858" s="152"/>
      <c r="N2858" s="153"/>
      <c r="O2858" s="152"/>
      <c r="P2858" s="154"/>
      <c r="Q2858" s="152"/>
      <c r="R2858" s="9"/>
      <c r="Z2858" s="21"/>
      <c r="AA2858" s="162">
        <f>+$AD$5-Tabla2[[#This Row],[FECHA DE FACTURACIÓN]]</f>
        <v>45443</v>
      </c>
      <c r="AB2858" s="163" t="str">
        <f>+IF(Tabla2[[#This Row],[dias de credito]]&gt;=Tabla2[[#This Row],[PLAZO Días]],"venc", "No venc")</f>
        <v>venc</v>
      </c>
      <c r="AC2858" s="163" t="str">
        <f>+IF(Tabla2[[#This Row],[FECHA DE PAGO]]&gt;0,"pagada","por pagar")</f>
        <v>por pagar</v>
      </c>
      <c r="AD2858" s="164" t="str">
        <f>+IF(AND(Tabla2[[#This Row],[venc]]="venc",Tabla2[[#This Row],[estado pago]]="por pagar"),"vencida","no")</f>
        <v>vencida</v>
      </c>
    </row>
    <row r="2859" spans="1:30" ht="19.5" hidden="1" customHeight="1" x14ac:dyDescent="0.25">
      <c r="A2859" s="8"/>
      <c r="B2859" s="8"/>
      <c r="C2859" s="8"/>
      <c r="D2859" s="151"/>
      <c r="E2859" s="151"/>
      <c r="F2859" s="24"/>
      <c r="G2859" s="30"/>
      <c r="H2859" s="81"/>
      <c r="I2859" s="30"/>
      <c r="J2859" s="16"/>
      <c r="K2859" s="9"/>
      <c r="L2859" s="9"/>
      <c r="M2859" s="152"/>
      <c r="N2859" s="153"/>
      <c r="O2859" s="152"/>
      <c r="P2859" s="154"/>
      <c r="Q2859" s="152"/>
      <c r="R2859" s="9"/>
      <c r="Z2859" s="21"/>
      <c r="AA2859" s="162">
        <f>+$AD$5-Tabla2[[#This Row],[FECHA DE FACTURACIÓN]]</f>
        <v>45443</v>
      </c>
      <c r="AB2859" s="163" t="str">
        <f>+IF(Tabla2[[#This Row],[dias de credito]]&gt;=Tabla2[[#This Row],[PLAZO Días]],"venc", "No venc")</f>
        <v>venc</v>
      </c>
      <c r="AC2859" s="163" t="str">
        <f>+IF(Tabla2[[#This Row],[FECHA DE PAGO]]&gt;0,"pagada","por pagar")</f>
        <v>por pagar</v>
      </c>
      <c r="AD2859" s="164" t="str">
        <f>+IF(AND(Tabla2[[#This Row],[venc]]="venc",Tabla2[[#This Row],[estado pago]]="por pagar"),"vencida","no")</f>
        <v>vencida</v>
      </c>
    </row>
    <row r="2860" spans="1:30" ht="19.5" hidden="1" customHeight="1" x14ac:dyDescent="0.25">
      <c r="A2860" s="8"/>
      <c r="B2860" s="8"/>
      <c r="C2860" s="8"/>
      <c r="D2860" s="151"/>
      <c r="E2860" s="151"/>
      <c r="F2860" s="24"/>
      <c r="G2860" s="30"/>
      <c r="H2860" s="81"/>
      <c r="I2860" s="30"/>
      <c r="J2860" s="16"/>
      <c r="K2860" s="9"/>
      <c r="L2860" s="9"/>
      <c r="M2860" s="152"/>
      <c r="N2860" s="153"/>
      <c r="O2860" s="152"/>
      <c r="P2860" s="154"/>
      <c r="Q2860" s="152"/>
      <c r="R2860" s="9"/>
      <c r="Z2860" s="21"/>
      <c r="AA2860" s="162">
        <f>+$AD$5-Tabla2[[#This Row],[FECHA DE FACTURACIÓN]]</f>
        <v>45443</v>
      </c>
      <c r="AB2860" s="163" t="str">
        <f>+IF(Tabla2[[#This Row],[dias de credito]]&gt;=Tabla2[[#This Row],[PLAZO Días]],"venc", "No venc")</f>
        <v>venc</v>
      </c>
      <c r="AC2860" s="163" t="str">
        <f>+IF(Tabla2[[#This Row],[FECHA DE PAGO]]&gt;0,"pagada","por pagar")</f>
        <v>por pagar</v>
      </c>
      <c r="AD2860" s="164" t="str">
        <f>+IF(AND(Tabla2[[#This Row],[venc]]="venc",Tabla2[[#This Row],[estado pago]]="por pagar"),"vencida","no")</f>
        <v>vencida</v>
      </c>
    </row>
    <row r="2861" spans="1:30" ht="19.5" hidden="1" customHeight="1" x14ac:dyDescent="0.25">
      <c r="A2861" s="8"/>
      <c r="B2861" s="8"/>
      <c r="C2861" s="8"/>
      <c r="D2861" s="151"/>
      <c r="E2861" s="151"/>
      <c r="F2861" s="24"/>
      <c r="G2861" s="30"/>
      <c r="H2861" s="81"/>
      <c r="I2861" s="30"/>
      <c r="J2861" s="16"/>
      <c r="K2861" s="9"/>
      <c r="L2861" s="9"/>
      <c r="M2861" s="152"/>
      <c r="N2861" s="153"/>
      <c r="O2861" s="152"/>
      <c r="P2861" s="154"/>
      <c r="Q2861" s="152"/>
      <c r="R2861" s="9"/>
      <c r="Z2861" s="21"/>
      <c r="AA2861" s="162">
        <f>+$AD$5-Tabla2[[#This Row],[FECHA DE FACTURACIÓN]]</f>
        <v>45443</v>
      </c>
      <c r="AB2861" s="163" t="str">
        <f>+IF(Tabla2[[#This Row],[dias de credito]]&gt;=Tabla2[[#This Row],[PLAZO Días]],"venc", "No venc")</f>
        <v>venc</v>
      </c>
      <c r="AC2861" s="163" t="str">
        <f>+IF(Tabla2[[#This Row],[FECHA DE PAGO]]&gt;0,"pagada","por pagar")</f>
        <v>por pagar</v>
      </c>
      <c r="AD2861" s="164" t="str">
        <f>+IF(AND(Tabla2[[#This Row],[venc]]="venc",Tabla2[[#This Row],[estado pago]]="por pagar"),"vencida","no")</f>
        <v>vencida</v>
      </c>
    </row>
    <row r="2862" spans="1:30" ht="19.5" hidden="1" customHeight="1" x14ac:dyDescent="0.25">
      <c r="A2862" s="8"/>
      <c r="B2862" s="8"/>
      <c r="C2862" s="8"/>
      <c r="D2862" s="151"/>
      <c r="E2862" s="151"/>
      <c r="F2862" s="24"/>
      <c r="G2862" s="30"/>
      <c r="H2862" s="81"/>
      <c r="I2862" s="30"/>
      <c r="J2862" s="16"/>
      <c r="K2862" s="9"/>
      <c r="L2862" s="9"/>
      <c r="M2862" s="152"/>
      <c r="N2862" s="153"/>
      <c r="O2862" s="152"/>
      <c r="P2862" s="154"/>
      <c r="Q2862" s="152"/>
      <c r="R2862" s="9"/>
      <c r="Z2862" s="21"/>
      <c r="AA2862" s="162">
        <f>+$AD$5-Tabla2[[#This Row],[FECHA DE FACTURACIÓN]]</f>
        <v>45443</v>
      </c>
      <c r="AB2862" s="163" t="str">
        <f>+IF(Tabla2[[#This Row],[dias de credito]]&gt;=Tabla2[[#This Row],[PLAZO Días]],"venc", "No venc")</f>
        <v>venc</v>
      </c>
      <c r="AC2862" s="163" t="str">
        <f>+IF(Tabla2[[#This Row],[FECHA DE PAGO]]&gt;0,"pagada","por pagar")</f>
        <v>por pagar</v>
      </c>
      <c r="AD2862" s="164" t="str">
        <f>+IF(AND(Tabla2[[#This Row],[venc]]="venc",Tabla2[[#This Row],[estado pago]]="por pagar"),"vencida","no")</f>
        <v>vencida</v>
      </c>
    </row>
    <row r="2863" spans="1:30" ht="19.5" hidden="1" customHeight="1" x14ac:dyDescent="0.25">
      <c r="A2863" s="8"/>
      <c r="B2863" s="8"/>
      <c r="C2863" s="8"/>
      <c r="D2863" s="151"/>
      <c r="E2863" s="151"/>
      <c r="F2863" s="24"/>
      <c r="G2863" s="30"/>
      <c r="H2863" s="81"/>
      <c r="I2863" s="30"/>
      <c r="J2863" s="16"/>
      <c r="K2863" s="9"/>
      <c r="L2863" s="9"/>
      <c r="M2863" s="152"/>
      <c r="N2863" s="153"/>
      <c r="O2863" s="152"/>
      <c r="P2863" s="154"/>
      <c r="Q2863" s="152"/>
      <c r="R2863" s="9"/>
      <c r="Z2863" s="21"/>
      <c r="AA2863" s="162">
        <f>+$AD$5-Tabla2[[#This Row],[FECHA DE FACTURACIÓN]]</f>
        <v>45443</v>
      </c>
      <c r="AB2863" s="163" t="str">
        <f>+IF(Tabla2[[#This Row],[dias de credito]]&gt;=Tabla2[[#This Row],[PLAZO Días]],"venc", "No venc")</f>
        <v>venc</v>
      </c>
      <c r="AC2863" s="163" t="str">
        <f>+IF(Tabla2[[#This Row],[FECHA DE PAGO]]&gt;0,"pagada","por pagar")</f>
        <v>por pagar</v>
      </c>
      <c r="AD2863" s="164" t="str">
        <f>+IF(AND(Tabla2[[#This Row],[venc]]="venc",Tabla2[[#This Row],[estado pago]]="por pagar"),"vencida","no")</f>
        <v>vencida</v>
      </c>
    </row>
    <row r="2864" spans="1:30" ht="19.5" hidden="1" customHeight="1" x14ac:dyDescent="0.25">
      <c r="A2864" s="8"/>
      <c r="B2864" s="8"/>
      <c r="C2864" s="8"/>
      <c r="D2864" s="151"/>
      <c r="E2864" s="151"/>
      <c r="F2864" s="24"/>
      <c r="G2864" s="30"/>
      <c r="H2864" s="81"/>
      <c r="I2864" s="30"/>
      <c r="J2864" s="16"/>
      <c r="K2864" s="9"/>
      <c r="L2864" s="9"/>
      <c r="M2864" s="152"/>
      <c r="N2864" s="153"/>
      <c r="O2864" s="152"/>
      <c r="P2864" s="154"/>
      <c r="Q2864" s="152"/>
      <c r="R2864" s="9"/>
      <c r="Z2864" s="21"/>
      <c r="AA2864" s="162">
        <f>+$AD$5-Tabla2[[#This Row],[FECHA DE FACTURACIÓN]]</f>
        <v>45443</v>
      </c>
      <c r="AB2864" s="163" t="str">
        <f>+IF(Tabla2[[#This Row],[dias de credito]]&gt;=Tabla2[[#This Row],[PLAZO Días]],"venc", "No venc")</f>
        <v>venc</v>
      </c>
      <c r="AC2864" s="163" t="str">
        <f>+IF(Tabla2[[#This Row],[FECHA DE PAGO]]&gt;0,"pagada","por pagar")</f>
        <v>por pagar</v>
      </c>
      <c r="AD2864" s="164" t="str">
        <f>+IF(AND(Tabla2[[#This Row],[venc]]="venc",Tabla2[[#This Row],[estado pago]]="por pagar"),"vencida","no")</f>
        <v>vencida</v>
      </c>
    </row>
    <row r="2865" spans="1:30" ht="19.5" hidden="1" customHeight="1" x14ac:dyDescent="0.25">
      <c r="A2865" s="8"/>
      <c r="B2865" s="8"/>
      <c r="C2865" s="8"/>
      <c r="D2865" s="151"/>
      <c r="E2865" s="151"/>
      <c r="F2865" s="24"/>
      <c r="G2865" s="30"/>
      <c r="H2865" s="81"/>
      <c r="I2865" s="30"/>
      <c r="J2865" s="16"/>
      <c r="K2865" s="9"/>
      <c r="L2865" s="9"/>
      <c r="M2865" s="152"/>
      <c r="N2865" s="153"/>
      <c r="O2865" s="152"/>
      <c r="P2865" s="154"/>
      <c r="Q2865" s="152"/>
      <c r="R2865" s="9"/>
      <c r="Z2865" s="21"/>
      <c r="AA2865" s="162">
        <f>+$AD$5-Tabla2[[#This Row],[FECHA DE FACTURACIÓN]]</f>
        <v>45443</v>
      </c>
      <c r="AB2865" s="163" t="str">
        <f>+IF(Tabla2[[#This Row],[dias de credito]]&gt;=Tabla2[[#This Row],[PLAZO Días]],"venc", "No venc")</f>
        <v>venc</v>
      </c>
      <c r="AC2865" s="163" t="str">
        <f>+IF(Tabla2[[#This Row],[FECHA DE PAGO]]&gt;0,"pagada","por pagar")</f>
        <v>por pagar</v>
      </c>
      <c r="AD2865" s="164" t="str">
        <f>+IF(AND(Tabla2[[#This Row],[venc]]="venc",Tabla2[[#This Row],[estado pago]]="por pagar"),"vencida","no")</f>
        <v>vencida</v>
      </c>
    </row>
    <row r="2866" spans="1:30" ht="19.5" hidden="1" customHeight="1" x14ac:dyDescent="0.25">
      <c r="A2866" s="8"/>
      <c r="B2866" s="8"/>
      <c r="C2866" s="8"/>
      <c r="D2866" s="151"/>
      <c r="E2866" s="151"/>
      <c r="F2866" s="24"/>
      <c r="G2866" s="30"/>
      <c r="H2866" s="81"/>
      <c r="I2866" s="30"/>
      <c r="J2866" s="16"/>
      <c r="K2866" s="9"/>
      <c r="L2866" s="9"/>
      <c r="M2866" s="152"/>
      <c r="N2866" s="153"/>
      <c r="O2866" s="152"/>
      <c r="P2866" s="154"/>
      <c r="Q2866" s="152"/>
      <c r="R2866" s="9"/>
      <c r="Z2866" s="21"/>
      <c r="AA2866" s="162">
        <f>+$AD$5-Tabla2[[#This Row],[FECHA DE FACTURACIÓN]]</f>
        <v>45443</v>
      </c>
      <c r="AB2866" s="163" t="str">
        <f>+IF(Tabla2[[#This Row],[dias de credito]]&gt;=Tabla2[[#This Row],[PLAZO Días]],"venc", "No venc")</f>
        <v>venc</v>
      </c>
      <c r="AC2866" s="163" t="str">
        <f>+IF(Tabla2[[#This Row],[FECHA DE PAGO]]&gt;0,"pagada","por pagar")</f>
        <v>por pagar</v>
      </c>
      <c r="AD2866" s="164" t="str">
        <f>+IF(AND(Tabla2[[#This Row],[venc]]="venc",Tabla2[[#This Row],[estado pago]]="por pagar"),"vencida","no")</f>
        <v>vencida</v>
      </c>
    </row>
    <row r="2867" spans="1:30" ht="19.5" hidden="1" customHeight="1" x14ac:dyDescent="0.25">
      <c r="A2867" s="8"/>
      <c r="B2867" s="8"/>
      <c r="C2867" s="8"/>
      <c r="D2867" s="151"/>
      <c r="E2867" s="151"/>
      <c r="F2867" s="24"/>
      <c r="G2867" s="30"/>
      <c r="H2867" s="81"/>
      <c r="I2867" s="30"/>
      <c r="J2867" s="16"/>
      <c r="K2867" s="9"/>
      <c r="L2867" s="9"/>
      <c r="M2867" s="152"/>
      <c r="N2867" s="153"/>
      <c r="O2867" s="152"/>
      <c r="P2867" s="154"/>
      <c r="Q2867" s="152"/>
      <c r="R2867" s="9"/>
      <c r="Z2867" s="21"/>
      <c r="AA2867" s="162">
        <f>+$AD$5-Tabla2[[#This Row],[FECHA DE FACTURACIÓN]]</f>
        <v>45443</v>
      </c>
      <c r="AB2867" s="163" t="str">
        <f>+IF(Tabla2[[#This Row],[dias de credito]]&gt;=Tabla2[[#This Row],[PLAZO Días]],"venc", "No venc")</f>
        <v>venc</v>
      </c>
      <c r="AC2867" s="163" t="str">
        <f>+IF(Tabla2[[#This Row],[FECHA DE PAGO]]&gt;0,"pagada","por pagar")</f>
        <v>por pagar</v>
      </c>
      <c r="AD2867" s="164" t="str">
        <f>+IF(AND(Tabla2[[#This Row],[venc]]="venc",Tabla2[[#This Row],[estado pago]]="por pagar"),"vencida","no")</f>
        <v>vencida</v>
      </c>
    </row>
    <row r="2868" spans="1:30" ht="19.5" hidden="1" customHeight="1" x14ac:dyDescent="0.25">
      <c r="A2868" s="8"/>
      <c r="B2868" s="8"/>
      <c r="C2868" s="8"/>
      <c r="D2868" s="151"/>
      <c r="E2868" s="151"/>
      <c r="F2868" s="24"/>
      <c r="G2868" s="30"/>
      <c r="H2868" s="81"/>
      <c r="I2868" s="30"/>
      <c r="J2868" s="16"/>
      <c r="K2868" s="9"/>
      <c r="L2868" s="9"/>
      <c r="M2868" s="152"/>
      <c r="N2868" s="153"/>
      <c r="O2868" s="152"/>
      <c r="P2868" s="154"/>
      <c r="Q2868" s="152"/>
      <c r="R2868" s="9"/>
      <c r="Z2868" s="21"/>
      <c r="AA2868" s="162">
        <f>+$AD$5-Tabla2[[#This Row],[FECHA DE FACTURACIÓN]]</f>
        <v>45443</v>
      </c>
      <c r="AB2868" s="163" t="str">
        <f>+IF(Tabla2[[#This Row],[dias de credito]]&gt;=Tabla2[[#This Row],[PLAZO Días]],"venc", "No venc")</f>
        <v>venc</v>
      </c>
      <c r="AC2868" s="163" t="str">
        <f>+IF(Tabla2[[#This Row],[FECHA DE PAGO]]&gt;0,"pagada","por pagar")</f>
        <v>por pagar</v>
      </c>
      <c r="AD2868" s="164" t="str">
        <f>+IF(AND(Tabla2[[#This Row],[venc]]="venc",Tabla2[[#This Row],[estado pago]]="por pagar"),"vencida","no")</f>
        <v>vencida</v>
      </c>
    </row>
    <row r="2869" spans="1:30" ht="19.5" hidden="1" customHeight="1" x14ac:dyDescent="0.25">
      <c r="A2869" s="8"/>
      <c r="B2869" s="8"/>
      <c r="C2869" s="8"/>
      <c r="D2869" s="151"/>
      <c r="E2869" s="151"/>
      <c r="F2869" s="24"/>
      <c r="G2869" s="30"/>
      <c r="H2869" s="81"/>
      <c r="I2869" s="30"/>
      <c r="J2869" s="16"/>
      <c r="K2869" s="9"/>
      <c r="L2869" s="9"/>
      <c r="M2869" s="152"/>
      <c r="N2869" s="153"/>
      <c r="O2869" s="152"/>
      <c r="P2869" s="154"/>
      <c r="Q2869" s="152"/>
      <c r="R2869" s="9"/>
      <c r="Z2869" s="21"/>
      <c r="AA2869" s="162">
        <f>+$AD$5-Tabla2[[#This Row],[FECHA DE FACTURACIÓN]]</f>
        <v>45443</v>
      </c>
      <c r="AB2869" s="163" t="str">
        <f>+IF(Tabla2[[#This Row],[dias de credito]]&gt;=Tabla2[[#This Row],[PLAZO Días]],"venc", "No venc")</f>
        <v>venc</v>
      </c>
      <c r="AC2869" s="163" t="str">
        <f>+IF(Tabla2[[#This Row],[FECHA DE PAGO]]&gt;0,"pagada","por pagar")</f>
        <v>por pagar</v>
      </c>
      <c r="AD2869" s="164" t="str">
        <f>+IF(AND(Tabla2[[#This Row],[venc]]="venc",Tabla2[[#This Row],[estado pago]]="por pagar"),"vencida","no")</f>
        <v>vencida</v>
      </c>
    </row>
    <row r="2870" spans="1:30" ht="19.5" hidden="1" customHeight="1" x14ac:dyDescent="0.25">
      <c r="A2870" s="8"/>
      <c r="B2870" s="8"/>
      <c r="C2870" s="8"/>
      <c r="D2870" s="151"/>
      <c r="E2870" s="151"/>
      <c r="F2870" s="24"/>
      <c r="G2870" s="30"/>
      <c r="H2870" s="81"/>
      <c r="I2870" s="30"/>
      <c r="J2870" s="16"/>
      <c r="K2870" s="9"/>
      <c r="L2870" s="9"/>
      <c r="M2870" s="152"/>
      <c r="N2870" s="153"/>
      <c r="O2870" s="152"/>
      <c r="P2870" s="154"/>
      <c r="Q2870" s="152"/>
      <c r="R2870" s="9"/>
      <c r="Z2870" s="21"/>
      <c r="AA2870" s="162">
        <f>+$AD$5-Tabla2[[#This Row],[FECHA DE FACTURACIÓN]]</f>
        <v>45443</v>
      </c>
      <c r="AB2870" s="163" t="str">
        <f>+IF(Tabla2[[#This Row],[dias de credito]]&gt;=Tabla2[[#This Row],[PLAZO Días]],"venc", "No venc")</f>
        <v>venc</v>
      </c>
      <c r="AC2870" s="163" t="str">
        <f>+IF(Tabla2[[#This Row],[FECHA DE PAGO]]&gt;0,"pagada","por pagar")</f>
        <v>por pagar</v>
      </c>
      <c r="AD2870" s="164" t="str">
        <f>+IF(AND(Tabla2[[#This Row],[venc]]="venc",Tabla2[[#This Row],[estado pago]]="por pagar"),"vencida","no")</f>
        <v>vencida</v>
      </c>
    </row>
    <row r="2871" spans="1:30" ht="19.5" hidden="1" customHeight="1" x14ac:dyDescent="0.25">
      <c r="A2871" s="8"/>
      <c r="B2871" s="8"/>
      <c r="C2871" s="8"/>
      <c r="D2871" s="151"/>
      <c r="E2871" s="151"/>
      <c r="F2871" s="24"/>
      <c r="G2871" s="30"/>
      <c r="H2871" s="81"/>
      <c r="I2871" s="30"/>
      <c r="J2871" s="16"/>
      <c r="K2871" s="9"/>
      <c r="L2871" s="9"/>
      <c r="M2871" s="152"/>
      <c r="N2871" s="153"/>
      <c r="O2871" s="152"/>
      <c r="P2871" s="154"/>
      <c r="Q2871" s="152"/>
      <c r="R2871" s="9"/>
      <c r="Z2871" s="21"/>
      <c r="AA2871" s="162">
        <f>+$AD$5-Tabla2[[#This Row],[FECHA DE FACTURACIÓN]]</f>
        <v>45443</v>
      </c>
      <c r="AB2871" s="163" t="str">
        <f>+IF(Tabla2[[#This Row],[dias de credito]]&gt;=Tabla2[[#This Row],[PLAZO Días]],"venc", "No venc")</f>
        <v>venc</v>
      </c>
      <c r="AC2871" s="163" t="str">
        <f>+IF(Tabla2[[#This Row],[FECHA DE PAGO]]&gt;0,"pagada","por pagar")</f>
        <v>por pagar</v>
      </c>
      <c r="AD2871" s="164" t="str">
        <f>+IF(AND(Tabla2[[#This Row],[venc]]="venc",Tabla2[[#This Row],[estado pago]]="por pagar"),"vencida","no")</f>
        <v>vencida</v>
      </c>
    </row>
    <row r="2872" spans="1:30" ht="19.5" hidden="1" customHeight="1" x14ac:dyDescent="0.25">
      <c r="A2872" s="8"/>
      <c r="B2872" s="8"/>
      <c r="C2872" s="8"/>
      <c r="D2872" s="151"/>
      <c r="E2872" s="151"/>
      <c r="F2872" s="24"/>
      <c r="G2872" s="30"/>
      <c r="H2872" s="81"/>
      <c r="I2872" s="30"/>
      <c r="J2872" s="16"/>
      <c r="K2872" s="9"/>
      <c r="L2872" s="9"/>
      <c r="M2872" s="152"/>
      <c r="N2872" s="153"/>
      <c r="O2872" s="152"/>
      <c r="P2872" s="154"/>
      <c r="Q2872" s="152"/>
      <c r="R2872" s="9"/>
      <c r="Z2872" s="21"/>
      <c r="AA2872" s="162">
        <f>+$AD$5-Tabla2[[#This Row],[FECHA DE FACTURACIÓN]]</f>
        <v>45443</v>
      </c>
      <c r="AB2872" s="163" t="str">
        <f>+IF(Tabla2[[#This Row],[dias de credito]]&gt;=Tabla2[[#This Row],[PLAZO Días]],"venc", "No venc")</f>
        <v>venc</v>
      </c>
      <c r="AC2872" s="163" t="str">
        <f>+IF(Tabla2[[#This Row],[FECHA DE PAGO]]&gt;0,"pagada","por pagar")</f>
        <v>por pagar</v>
      </c>
      <c r="AD2872" s="164" t="str">
        <f>+IF(AND(Tabla2[[#This Row],[venc]]="venc",Tabla2[[#This Row],[estado pago]]="por pagar"),"vencida","no")</f>
        <v>vencida</v>
      </c>
    </row>
    <row r="2873" spans="1:30" ht="19.5" hidden="1" customHeight="1" x14ac:dyDescent="0.25">
      <c r="A2873" s="8"/>
      <c r="B2873" s="8"/>
      <c r="C2873" s="8"/>
      <c r="D2873" s="151"/>
      <c r="E2873" s="151"/>
      <c r="F2873" s="24"/>
      <c r="G2873" s="30"/>
      <c r="H2873" s="81"/>
      <c r="I2873" s="30"/>
      <c r="J2873" s="16"/>
      <c r="K2873" s="9"/>
      <c r="L2873" s="9"/>
      <c r="M2873" s="152"/>
      <c r="N2873" s="153"/>
      <c r="O2873" s="152"/>
      <c r="P2873" s="154"/>
      <c r="Q2873" s="152"/>
      <c r="R2873" s="9"/>
      <c r="Z2873" s="21"/>
      <c r="AA2873" s="162">
        <f>+$AD$5-Tabla2[[#This Row],[FECHA DE FACTURACIÓN]]</f>
        <v>45443</v>
      </c>
      <c r="AB2873" s="163" t="str">
        <f>+IF(Tabla2[[#This Row],[dias de credito]]&gt;=Tabla2[[#This Row],[PLAZO Días]],"venc", "No venc")</f>
        <v>venc</v>
      </c>
      <c r="AC2873" s="163" t="str">
        <f>+IF(Tabla2[[#This Row],[FECHA DE PAGO]]&gt;0,"pagada","por pagar")</f>
        <v>por pagar</v>
      </c>
      <c r="AD2873" s="164" t="str">
        <f>+IF(AND(Tabla2[[#This Row],[venc]]="venc",Tabla2[[#This Row],[estado pago]]="por pagar"),"vencida","no")</f>
        <v>vencida</v>
      </c>
    </row>
    <row r="2874" spans="1:30" ht="19.5" hidden="1" customHeight="1" x14ac:dyDescent="0.25">
      <c r="A2874" s="8"/>
      <c r="B2874" s="8"/>
      <c r="C2874" s="8"/>
      <c r="D2874" s="151"/>
      <c r="E2874" s="151"/>
      <c r="F2874" s="24"/>
      <c r="G2874" s="30"/>
      <c r="H2874" s="81"/>
      <c r="I2874" s="30"/>
      <c r="J2874" s="16"/>
      <c r="K2874" s="9"/>
      <c r="L2874" s="9"/>
      <c r="M2874" s="152"/>
      <c r="N2874" s="153"/>
      <c r="O2874" s="152"/>
      <c r="P2874" s="154"/>
      <c r="Q2874" s="152"/>
      <c r="R2874" s="9"/>
      <c r="Z2874" s="21"/>
      <c r="AA2874" s="162">
        <f>+$AD$5-Tabla2[[#This Row],[FECHA DE FACTURACIÓN]]</f>
        <v>45443</v>
      </c>
      <c r="AB2874" s="163" t="str">
        <f>+IF(Tabla2[[#This Row],[dias de credito]]&gt;=Tabla2[[#This Row],[PLAZO Días]],"venc", "No venc")</f>
        <v>venc</v>
      </c>
      <c r="AC2874" s="163" t="str">
        <f>+IF(Tabla2[[#This Row],[FECHA DE PAGO]]&gt;0,"pagada","por pagar")</f>
        <v>por pagar</v>
      </c>
      <c r="AD2874" s="164" t="str">
        <f>+IF(AND(Tabla2[[#This Row],[venc]]="venc",Tabla2[[#This Row],[estado pago]]="por pagar"),"vencida","no")</f>
        <v>vencida</v>
      </c>
    </row>
    <row r="2875" spans="1:30" ht="19.5" hidden="1" customHeight="1" x14ac:dyDescent="0.25">
      <c r="A2875" s="8"/>
      <c r="B2875" s="8"/>
      <c r="C2875" s="8"/>
      <c r="D2875" s="151"/>
      <c r="E2875" s="151"/>
      <c r="F2875" s="24"/>
      <c r="G2875" s="30"/>
      <c r="H2875" s="81"/>
      <c r="I2875" s="30"/>
      <c r="J2875" s="16"/>
      <c r="K2875" s="9"/>
      <c r="L2875" s="9"/>
      <c r="M2875" s="152"/>
      <c r="N2875" s="153"/>
      <c r="O2875" s="152"/>
      <c r="P2875" s="154"/>
      <c r="Q2875" s="152"/>
      <c r="R2875" s="9"/>
      <c r="Z2875" s="21"/>
      <c r="AA2875" s="162">
        <f>+$AD$5-Tabla2[[#This Row],[FECHA DE FACTURACIÓN]]</f>
        <v>45443</v>
      </c>
      <c r="AB2875" s="163" t="str">
        <f>+IF(Tabla2[[#This Row],[dias de credito]]&gt;=Tabla2[[#This Row],[PLAZO Días]],"venc", "No venc")</f>
        <v>venc</v>
      </c>
      <c r="AC2875" s="163" t="str">
        <f>+IF(Tabla2[[#This Row],[FECHA DE PAGO]]&gt;0,"pagada","por pagar")</f>
        <v>por pagar</v>
      </c>
      <c r="AD2875" s="164" t="str">
        <f>+IF(AND(Tabla2[[#This Row],[venc]]="venc",Tabla2[[#This Row],[estado pago]]="por pagar"),"vencida","no")</f>
        <v>vencida</v>
      </c>
    </row>
    <row r="2876" spans="1:30" ht="19.5" hidden="1" customHeight="1" x14ac:dyDescent="0.25">
      <c r="A2876" s="8"/>
      <c r="B2876" s="8"/>
      <c r="C2876" s="8"/>
      <c r="D2876" s="151"/>
      <c r="E2876" s="151"/>
      <c r="F2876" s="24"/>
      <c r="G2876" s="30"/>
      <c r="H2876" s="81"/>
      <c r="I2876" s="30"/>
      <c r="J2876" s="16"/>
      <c r="K2876" s="9"/>
      <c r="L2876" s="9"/>
      <c r="M2876" s="152"/>
      <c r="N2876" s="153"/>
      <c r="O2876" s="152"/>
      <c r="P2876" s="154"/>
      <c r="Q2876" s="152"/>
      <c r="R2876" s="9"/>
      <c r="Z2876" s="21"/>
      <c r="AA2876" s="162">
        <f>+$AD$5-Tabla2[[#This Row],[FECHA DE FACTURACIÓN]]</f>
        <v>45443</v>
      </c>
      <c r="AB2876" s="163" t="str">
        <f>+IF(Tabla2[[#This Row],[dias de credito]]&gt;=Tabla2[[#This Row],[PLAZO Días]],"venc", "No venc")</f>
        <v>venc</v>
      </c>
      <c r="AC2876" s="163" t="str">
        <f>+IF(Tabla2[[#This Row],[FECHA DE PAGO]]&gt;0,"pagada","por pagar")</f>
        <v>por pagar</v>
      </c>
      <c r="AD2876" s="164" t="str">
        <f>+IF(AND(Tabla2[[#This Row],[venc]]="venc",Tabla2[[#This Row],[estado pago]]="por pagar"),"vencida","no")</f>
        <v>vencida</v>
      </c>
    </row>
    <row r="2877" spans="1:30" ht="19.5" hidden="1" customHeight="1" x14ac:dyDescent="0.25">
      <c r="A2877" s="8"/>
      <c r="B2877" s="8"/>
      <c r="C2877" s="8"/>
      <c r="D2877" s="151"/>
      <c r="E2877" s="151"/>
      <c r="F2877" s="24"/>
      <c r="G2877" s="30"/>
      <c r="H2877" s="81"/>
      <c r="I2877" s="30"/>
      <c r="J2877" s="16"/>
      <c r="K2877" s="9"/>
      <c r="L2877" s="9"/>
      <c r="M2877" s="152"/>
      <c r="N2877" s="153"/>
      <c r="O2877" s="152"/>
      <c r="P2877" s="154"/>
      <c r="Q2877" s="152"/>
      <c r="R2877" s="9"/>
      <c r="Z2877" s="21"/>
      <c r="AA2877" s="162">
        <f>+$AD$5-Tabla2[[#This Row],[FECHA DE FACTURACIÓN]]</f>
        <v>45443</v>
      </c>
      <c r="AB2877" s="163" t="str">
        <f>+IF(Tabla2[[#This Row],[dias de credito]]&gt;=Tabla2[[#This Row],[PLAZO Días]],"venc", "No venc")</f>
        <v>venc</v>
      </c>
      <c r="AC2877" s="163" t="str">
        <f>+IF(Tabla2[[#This Row],[FECHA DE PAGO]]&gt;0,"pagada","por pagar")</f>
        <v>por pagar</v>
      </c>
      <c r="AD2877" s="164" t="str">
        <f>+IF(AND(Tabla2[[#This Row],[venc]]="venc",Tabla2[[#This Row],[estado pago]]="por pagar"),"vencida","no")</f>
        <v>vencida</v>
      </c>
    </row>
    <row r="2878" spans="1:30" ht="19.5" hidden="1" customHeight="1" x14ac:dyDescent="0.25">
      <c r="A2878" s="8"/>
      <c r="B2878" s="8"/>
      <c r="C2878" s="8"/>
      <c r="D2878" s="151"/>
      <c r="E2878" s="151"/>
      <c r="F2878" s="24"/>
      <c r="G2878" s="30"/>
      <c r="H2878" s="81"/>
      <c r="I2878" s="30"/>
      <c r="J2878" s="16"/>
      <c r="K2878" s="9"/>
      <c r="L2878" s="9"/>
      <c r="M2878" s="152"/>
      <c r="N2878" s="153"/>
      <c r="O2878" s="152"/>
      <c r="P2878" s="154"/>
      <c r="Q2878" s="152"/>
      <c r="R2878" s="9"/>
      <c r="Z2878" s="21"/>
      <c r="AA2878" s="162">
        <f>+$AD$5-Tabla2[[#This Row],[FECHA DE FACTURACIÓN]]</f>
        <v>45443</v>
      </c>
      <c r="AB2878" s="163" t="str">
        <f>+IF(Tabla2[[#This Row],[dias de credito]]&gt;=Tabla2[[#This Row],[PLAZO Días]],"venc", "No venc")</f>
        <v>venc</v>
      </c>
      <c r="AC2878" s="163" t="str">
        <f>+IF(Tabla2[[#This Row],[FECHA DE PAGO]]&gt;0,"pagada","por pagar")</f>
        <v>por pagar</v>
      </c>
      <c r="AD2878" s="164" t="str">
        <f>+IF(AND(Tabla2[[#This Row],[venc]]="venc",Tabla2[[#This Row],[estado pago]]="por pagar"),"vencida","no")</f>
        <v>vencida</v>
      </c>
    </row>
    <row r="2879" spans="1:30" ht="19.5" hidden="1" customHeight="1" x14ac:dyDescent="0.25">
      <c r="A2879" s="8"/>
      <c r="B2879" s="8"/>
      <c r="C2879" s="8"/>
      <c r="D2879" s="151"/>
      <c r="E2879" s="151"/>
      <c r="F2879" s="24"/>
      <c r="G2879" s="30"/>
      <c r="H2879" s="81"/>
      <c r="I2879" s="30"/>
      <c r="J2879" s="16"/>
      <c r="K2879" s="9"/>
      <c r="L2879" s="9"/>
      <c r="M2879" s="152"/>
      <c r="N2879" s="153"/>
      <c r="O2879" s="152"/>
      <c r="P2879" s="154"/>
      <c r="Q2879" s="152"/>
      <c r="R2879" s="9"/>
      <c r="Z2879" s="21"/>
      <c r="AA2879" s="162">
        <f>+$AD$5-Tabla2[[#This Row],[FECHA DE FACTURACIÓN]]</f>
        <v>45443</v>
      </c>
      <c r="AB2879" s="163" t="str">
        <f>+IF(Tabla2[[#This Row],[dias de credito]]&gt;=Tabla2[[#This Row],[PLAZO Días]],"venc", "No venc")</f>
        <v>venc</v>
      </c>
      <c r="AC2879" s="163" t="str">
        <f>+IF(Tabla2[[#This Row],[FECHA DE PAGO]]&gt;0,"pagada","por pagar")</f>
        <v>por pagar</v>
      </c>
      <c r="AD2879" s="164" t="str">
        <f>+IF(AND(Tabla2[[#This Row],[venc]]="venc",Tabla2[[#This Row],[estado pago]]="por pagar"),"vencida","no")</f>
        <v>vencida</v>
      </c>
    </row>
    <row r="2880" spans="1:30" ht="19.5" hidden="1" customHeight="1" x14ac:dyDescent="0.25">
      <c r="A2880" s="8"/>
      <c r="B2880" s="8"/>
      <c r="C2880" s="8"/>
      <c r="D2880" s="151"/>
      <c r="E2880" s="151"/>
      <c r="F2880" s="24"/>
      <c r="G2880" s="30"/>
      <c r="H2880" s="81"/>
      <c r="I2880" s="30"/>
      <c r="J2880" s="16"/>
      <c r="K2880" s="9"/>
      <c r="L2880" s="9"/>
      <c r="M2880" s="152"/>
      <c r="N2880" s="153"/>
      <c r="O2880" s="152"/>
      <c r="P2880" s="154"/>
      <c r="Q2880" s="152"/>
      <c r="R2880" s="9"/>
      <c r="Z2880" s="21"/>
      <c r="AA2880" s="162">
        <f>+$AD$5-Tabla2[[#This Row],[FECHA DE FACTURACIÓN]]</f>
        <v>45443</v>
      </c>
      <c r="AB2880" s="163" t="str">
        <f>+IF(Tabla2[[#This Row],[dias de credito]]&gt;=Tabla2[[#This Row],[PLAZO Días]],"venc", "No venc")</f>
        <v>venc</v>
      </c>
      <c r="AC2880" s="163" t="str">
        <f>+IF(Tabla2[[#This Row],[FECHA DE PAGO]]&gt;0,"pagada","por pagar")</f>
        <v>por pagar</v>
      </c>
      <c r="AD2880" s="164" t="str">
        <f>+IF(AND(Tabla2[[#This Row],[venc]]="venc",Tabla2[[#This Row],[estado pago]]="por pagar"),"vencida","no")</f>
        <v>vencida</v>
      </c>
    </row>
    <row r="2881" spans="1:30" ht="19.5" hidden="1" customHeight="1" x14ac:dyDescent="0.25">
      <c r="A2881" s="8"/>
      <c r="B2881" s="8"/>
      <c r="C2881" s="8"/>
      <c r="D2881" s="151"/>
      <c r="E2881" s="151"/>
      <c r="F2881" s="24"/>
      <c r="G2881" s="30"/>
      <c r="H2881" s="81"/>
      <c r="I2881" s="30"/>
      <c r="J2881" s="16"/>
      <c r="K2881" s="9"/>
      <c r="L2881" s="9"/>
      <c r="M2881" s="152"/>
      <c r="N2881" s="153"/>
      <c r="O2881" s="152"/>
      <c r="P2881" s="154"/>
      <c r="Q2881" s="152"/>
      <c r="R2881" s="9"/>
      <c r="Z2881" s="21"/>
      <c r="AA2881" s="162">
        <f>+$AD$5-Tabla2[[#This Row],[FECHA DE FACTURACIÓN]]</f>
        <v>45443</v>
      </c>
      <c r="AB2881" s="163" t="str">
        <f>+IF(Tabla2[[#This Row],[dias de credito]]&gt;=Tabla2[[#This Row],[PLAZO Días]],"venc", "No venc")</f>
        <v>venc</v>
      </c>
      <c r="AC2881" s="163" t="str">
        <f>+IF(Tabla2[[#This Row],[FECHA DE PAGO]]&gt;0,"pagada","por pagar")</f>
        <v>por pagar</v>
      </c>
      <c r="AD2881" s="164" t="str">
        <f>+IF(AND(Tabla2[[#This Row],[venc]]="venc",Tabla2[[#This Row],[estado pago]]="por pagar"),"vencida","no")</f>
        <v>vencida</v>
      </c>
    </row>
    <row r="2882" spans="1:30" ht="19.5" hidden="1" customHeight="1" x14ac:dyDescent="0.25">
      <c r="A2882" s="8"/>
      <c r="B2882" s="8"/>
      <c r="C2882" s="8"/>
      <c r="D2882" s="151"/>
      <c r="E2882" s="151"/>
      <c r="F2882" s="24"/>
      <c r="G2882" s="30"/>
      <c r="H2882" s="81"/>
      <c r="I2882" s="30"/>
      <c r="J2882" s="16"/>
      <c r="K2882" s="9"/>
      <c r="L2882" s="9"/>
      <c r="M2882" s="152"/>
      <c r="N2882" s="153"/>
      <c r="O2882" s="152"/>
      <c r="P2882" s="154"/>
      <c r="Q2882" s="152"/>
      <c r="R2882" s="9"/>
      <c r="Z2882" s="21"/>
      <c r="AA2882" s="162">
        <f>+$AD$5-Tabla2[[#This Row],[FECHA DE FACTURACIÓN]]</f>
        <v>45443</v>
      </c>
      <c r="AB2882" s="163" t="str">
        <f>+IF(Tabla2[[#This Row],[dias de credito]]&gt;=Tabla2[[#This Row],[PLAZO Días]],"venc", "No venc")</f>
        <v>venc</v>
      </c>
      <c r="AC2882" s="163" t="str">
        <f>+IF(Tabla2[[#This Row],[FECHA DE PAGO]]&gt;0,"pagada","por pagar")</f>
        <v>por pagar</v>
      </c>
      <c r="AD2882" s="164" t="str">
        <f>+IF(AND(Tabla2[[#This Row],[venc]]="venc",Tabla2[[#This Row],[estado pago]]="por pagar"),"vencida","no")</f>
        <v>vencida</v>
      </c>
    </row>
    <row r="2883" spans="1:30" ht="19.5" hidden="1" customHeight="1" x14ac:dyDescent="0.25">
      <c r="A2883" s="8"/>
      <c r="B2883" s="8"/>
      <c r="C2883" s="8"/>
      <c r="D2883" s="151"/>
      <c r="E2883" s="151"/>
      <c r="F2883" s="24"/>
      <c r="G2883" s="30"/>
      <c r="H2883" s="81"/>
      <c r="I2883" s="30"/>
      <c r="J2883" s="16"/>
      <c r="K2883" s="9"/>
      <c r="L2883" s="9"/>
      <c r="M2883" s="152"/>
      <c r="N2883" s="153"/>
      <c r="O2883" s="152"/>
      <c r="P2883" s="154"/>
      <c r="Q2883" s="152"/>
      <c r="R2883" s="9"/>
      <c r="Z2883" s="21"/>
      <c r="AA2883" s="162">
        <f>+$AD$5-Tabla2[[#This Row],[FECHA DE FACTURACIÓN]]</f>
        <v>45443</v>
      </c>
      <c r="AB2883" s="163" t="str">
        <f>+IF(Tabla2[[#This Row],[dias de credito]]&gt;=Tabla2[[#This Row],[PLAZO Días]],"venc", "No venc")</f>
        <v>venc</v>
      </c>
      <c r="AC2883" s="163" t="str">
        <f>+IF(Tabla2[[#This Row],[FECHA DE PAGO]]&gt;0,"pagada","por pagar")</f>
        <v>por pagar</v>
      </c>
      <c r="AD2883" s="164" t="str">
        <f>+IF(AND(Tabla2[[#This Row],[venc]]="venc",Tabla2[[#This Row],[estado pago]]="por pagar"),"vencida","no")</f>
        <v>vencida</v>
      </c>
    </row>
    <row r="2884" spans="1:30" ht="19.5" hidden="1" customHeight="1" x14ac:dyDescent="0.25">
      <c r="A2884" s="8"/>
      <c r="B2884" s="8"/>
      <c r="C2884" s="8"/>
      <c r="D2884" s="151"/>
      <c r="E2884" s="151"/>
      <c r="F2884" s="24"/>
      <c r="G2884" s="30"/>
      <c r="H2884" s="81"/>
      <c r="I2884" s="30"/>
      <c r="J2884" s="16"/>
      <c r="K2884" s="9"/>
      <c r="L2884" s="9"/>
      <c r="M2884" s="152"/>
      <c r="N2884" s="153"/>
      <c r="O2884" s="152"/>
      <c r="P2884" s="154"/>
      <c r="Q2884" s="152"/>
      <c r="R2884" s="9"/>
      <c r="Z2884" s="21"/>
      <c r="AA2884" s="162">
        <f>+$AD$5-Tabla2[[#This Row],[FECHA DE FACTURACIÓN]]</f>
        <v>45443</v>
      </c>
      <c r="AB2884" s="163" t="str">
        <f>+IF(Tabla2[[#This Row],[dias de credito]]&gt;=Tabla2[[#This Row],[PLAZO Días]],"venc", "No venc")</f>
        <v>venc</v>
      </c>
      <c r="AC2884" s="163" t="str">
        <f>+IF(Tabla2[[#This Row],[FECHA DE PAGO]]&gt;0,"pagada","por pagar")</f>
        <v>por pagar</v>
      </c>
      <c r="AD2884" s="164" t="str">
        <f>+IF(AND(Tabla2[[#This Row],[venc]]="venc",Tabla2[[#This Row],[estado pago]]="por pagar"),"vencida","no")</f>
        <v>vencida</v>
      </c>
    </row>
    <row r="2885" spans="1:30" ht="19.5" hidden="1" customHeight="1" x14ac:dyDescent="0.25">
      <c r="A2885" s="8"/>
      <c r="B2885" s="8"/>
      <c r="C2885" s="8"/>
      <c r="D2885" s="151"/>
      <c r="E2885" s="151"/>
      <c r="F2885" s="24"/>
      <c r="G2885" s="30"/>
      <c r="H2885" s="81"/>
      <c r="I2885" s="30"/>
      <c r="J2885" s="16"/>
      <c r="K2885" s="9"/>
      <c r="L2885" s="9"/>
      <c r="M2885" s="152"/>
      <c r="N2885" s="153"/>
      <c r="O2885" s="152"/>
      <c r="P2885" s="154"/>
      <c r="Q2885" s="152"/>
      <c r="R2885" s="9"/>
      <c r="Z2885" s="21"/>
      <c r="AA2885" s="162">
        <f>+$AD$5-Tabla2[[#This Row],[FECHA DE FACTURACIÓN]]</f>
        <v>45443</v>
      </c>
      <c r="AB2885" s="163" t="str">
        <f>+IF(Tabla2[[#This Row],[dias de credito]]&gt;=Tabla2[[#This Row],[PLAZO Días]],"venc", "No venc")</f>
        <v>venc</v>
      </c>
      <c r="AC2885" s="163" t="str">
        <f>+IF(Tabla2[[#This Row],[FECHA DE PAGO]]&gt;0,"pagada","por pagar")</f>
        <v>por pagar</v>
      </c>
      <c r="AD2885" s="164" t="str">
        <f>+IF(AND(Tabla2[[#This Row],[venc]]="venc",Tabla2[[#This Row],[estado pago]]="por pagar"),"vencida","no")</f>
        <v>vencida</v>
      </c>
    </row>
    <row r="2886" spans="1:30" ht="19.5" hidden="1" customHeight="1" x14ac:dyDescent="0.25">
      <c r="A2886" s="8"/>
      <c r="B2886" s="8"/>
      <c r="C2886" s="8"/>
      <c r="D2886" s="151"/>
      <c r="E2886" s="151"/>
      <c r="F2886" s="24"/>
      <c r="G2886" s="30"/>
      <c r="H2886" s="81"/>
      <c r="I2886" s="30"/>
      <c r="J2886" s="16"/>
      <c r="K2886" s="9"/>
      <c r="L2886" s="9"/>
      <c r="M2886" s="152"/>
      <c r="N2886" s="153"/>
      <c r="O2886" s="152"/>
      <c r="P2886" s="154"/>
      <c r="Q2886" s="152"/>
      <c r="R2886" s="9"/>
      <c r="Z2886" s="21"/>
      <c r="AA2886" s="162">
        <f>+$AD$5-Tabla2[[#This Row],[FECHA DE FACTURACIÓN]]</f>
        <v>45443</v>
      </c>
      <c r="AB2886" s="163" t="str">
        <f>+IF(Tabla2[[#This Row],[dias de credito]]&gt;=Tabla2[[#This Row],[PLAZO Días]],"venc", "No venc")</f>
        <v>venc</v>
      </c>
      <c r="AC2886" s="163" t="str">
        <f>+IF(Tabla2[[#This Row],[FECHA DE PAGO]]&gt;0,"pagada","por pagar")</f>
        <v>por pagar</v>
      </c>
      <c r="AD2886" s="164" t="str">
        <f>+IF(AND(Tabla2[[#This Row],[venc]]="venc",Tabla2[[#This Row],[estado pago]]="por pagar"),"vencida","no")</f>
        <v>vencida</v>
      </c>
    </row>
    <row r="2887" spans="1:30" ht="19.5" hidden="1" customHeight="1" x14ac:dyDescent="0.25">
      <c r="A2887" s="8"/>
      <c r="B2887" s="8"/>
      <c r="C2887" s="8"/>
      <c r="D2887" s="151"/>
      <c r="E2887" s="151"/>
      <c r="F2887" s="24"/>
      <c r="G2887" s="30"/>
      <c r="H2887" s="81"/>
      <c r="I2887" s="30"/>
      <c r="J2887" s="16"/>
      <c r="K2887" s="9"/>
      <c r="L2887" s="9"/>
      <c r="M2887" s="152"/>
      <c r="N2887" s="153"/>
      <c r="O2887" s="152"/>
      <c r="P2887" s="154"/>
      <c r="Q2887" s="152"/>
      <c r="R2887" s="9"/>
      <c r="Z2887" s="21"/>
      <c r="AA2887" s="162">
        <f>+$AD$5-Tabla2[[#This Row],[FECHA DE FACTURACIÓN]]</f>
        <v>45443</v>
      </c>
      <c r="AB2887" s="163" t="str">
        <f>+IF(Tabla2[[#This Row],[dias de credito]]&gt;=Tabla2[[#This Row],[PLAZO Días]],"venc", "No venc")</f>
        <v>venc</v>
      </c>
      <c r="AC2887" s="163" t="str">
        <f>+IF(Tabla2[[#This Row],[FECHA DE PAGO]]&gt;0,"pagada","por pagar")</f>
        <v>por pagar</v>
      </c>
      <c r="AD2887" s="164" t="str">
        <f>+IF(AND(Tabla2[[#This Row],[venc]]="venc",Tabla2[[#This Row],[estado pago]]="por pagar"),"vencida","no")</f>
        <v>vencida</v>
      </c>
    </row>
    <row r="2888" spans="1:30" ht="19.5" hidden="1" customHeight="1" x14ac:dyDescent="0.25">
      <c r="A2888" s="8"/>
      <c r="B2888" s="8"/>
      <c r="C2888" s="8"/>
      <c r="D2888" s="151"/>
      <c r="E2888" s="151"/>
      <c r="F2888" s="24"/>
      <c r="G2888" s="30"/>
      <c r="H2888" s="81"/>
      <c r="I2888" s="30"/>
      <c r="J2888" s="16"/>
      <c r="K2888" s="9"/>
      <c r="L2888" s="9"/>
      <c r="M2888" s="152"/>
      <c r="N2888" s="153"/>
      <c r="O2888" s="152"/>
      <c r="P2888" s="154"/>
      <c r="Q2888" s="152"/>
      <c r="R2888" s="9"/>
      <c r="Z2888" s="21"/>
      <c r="AA2888" s="162">
        <f>+$AD$5-Tabla2[[#This Row],[FECHA DE FACTURACIÓN]]</f>
        <v>45443</v>
      </c>
      <c r="AB2888" s="163" t="str">
        <f>+IF(Tabla2[[#This Row],[dias de credito]]&gt;=Tabla2[[#This Row],[PLAZO Días]],"venc", "No venc")</f>
        <v>venc</v>
      </c>
      <c r="AC2888" s="163" t="str">
        <f>+IF(Tabla2[[#This Row],[FECHA DE PAGO]]&gt;0,"pagada","por pagar")</f>
        <v>por pagar</v>
      </c>
      <c r="AD2888" s="164" t="str">
        <f>+IF(AND(Tabla2[[#This Row],[venc]]="venc",Tabla2[[#This Row],[estado pago]]="por pagar"),"vencida","no")</f>
        <v>vencida</v>
      </c>
    </row>
    <row r="2889" spans="1:30" ht="19.5" hidden="1" customHeight="1" x14ac:dyDescent="0.25">
      <c r="A2889" s="8"/>
      <c r="B2889" s="8"/>
      <c r="C2889" s="8"/>
      <c r="D2889" s="151"/>
      <c r="E2889" s="151"/>
      <c r="F2889" s="24"/>
      <c r="G2889" s="30"/>
      <c r="H2889" s="81"/>
      <c r="I2889" s="30"/>
      <c r="J2889" s="16"/>
      <c r="K2889" s="9"/>
      <c r="L2889" s="9"/>
      <c r="M2889" s="152"/>
      <c r="N2889" s="153"/>
      <c r="O2889" s="152"/>
      <c r="P2889" s="154"/>
      <c r="Q2889" s="152"/>
      <c r="R2889" s="9"/>
      <c r="Z2889" s="21"/>
      <c r="AA2889" s="162">
        <f>+$AD$5-Tabla2[[#This Row],[FECHA DE FACTURACIÓN]]</f>
        <v>45443</v>
      </c>
      <c r="AB2889" s="163" t="str">
        <f>+IF(Tabla2[[#This Row],[dias de credito]]&gt;=Tabla2[[#This Row],[PLAZO Días]],"venc", "No venc")</f>
        <v>venc</v>
      </c>
      <c r="AC2889" s="163" t="str">
        <f>+IF(Tabla2[[#This Row],[FECHA DE PAGO]]&gt;0,"pagada","por pagar")</f>
        <v>por pagar</v>
      </c>
      <c r="AD2889" s="164" t="str">
        <f>+IF(AND(Tabla2[[#This Row],[venc]]="venc",Tabla2[[#This Row],[estado pago]]="por pagar"),"vencida","no")</f>
        <v>vencida</v>
      </c>
    </row>
    <row r="2890" spans="1:30" ht="19.5" hidden="1" customHeight="1" x14ac:dyDescent="0.25">
      <c r="A2890" s="8"/>
      <c r="B2890" s="8"/>
      <c r="C2890" s="8"/>
      <c r="D2890" s="151"/>
      <c r="E2890" s="151"/>
      <c r="F2890" s="24"/>
      <c r="G2890" s="30"/>
      <c r="H2890" s="81"/>
      <c r="I2890" s="30"/>
      <c r="J2890" s="16"/>
      <c r="K2890" s="9"/>
      <c r="L2890" s="9"/>
      <c r="M2890" s="152"/>
      <c r="N2890" s="153"/>
      <c r="O2890" s="152"/>
      <c r="P2890" s="154"/>
      <c r="Q2890" s="152"/>
      <c r="R2890" s="9"/>
      <c r="Z2890" s="21"/>
      <c r="AA2890" s="162">
        <f>+$AD$5-Tabla2[[#This Row],[FECHA DE FACTURACIÓN]]</f>
        <v>45443</v>
      </c>
      <c r="AB2890" s="163" t="str">
        <f>+IF(Tabla2[[#This Row],[dias de credito]]&gt;=Tabla2[[#This Row],[PLAZO Días]],"venc", "No venc")</f>
        <v>venc</v>
      </c>
      <c r="AC2890" s="163" t="str">
        <f>+IF(Tabla2[[#This Row],[FECHA DE PAGO]]&gt;0,"pagada","por pagar")</f>
        <v>por pagar</v>
      </c>
      <c r="AD2890" s="164" t="str">
        <f>+IF(AND(Tabla2[[#This Row],[venc]]="venc",Tabla2[[#This Row],[estado pago]]="por pagar"),"vencida","no")</f>
        <v>vencida</v>
      </c>
    </row>
    <row r="2891" spans="1:30" ht="19.5" hidden="1" customHeight="1" x14ac:dyDescent="0.25">
      <c r="A2891" s="8"/>
      <c r="B2891" s="8"/>
      <c r="C2891" s="8"/>
      <c r="D2891" s="151"/>
      <c r="E2891" s="151"/>
      <c r="F2891" s="24"/>
      <c r="G2891" s="30"/>
      <c r="H2891" s="81"/>
      <c r="I2891" s="30"/>
      <c r="J2891" s="16"/>
      <c r="K2891" s="9"/>
      <c r="L2891" s="9"/>
      <c r="M2891" s="152"/>
      <c r="N2891" s="153"/>
      <c r="O2891" s="152"/>
      <c r="P2891" s="154"/>
      <c r="Q2891" s="152"/>
      <c r="R2891" s="9"/>
      <c r="Z2891" s="21"/>
      <c r="AA2891" s="162">
        <f>+$AD$5-Tabla2[[#This Row],[FECHA DE FACTURACIÓN]]</f>
        <v>45443</v>
      </c>
      <c r="AB2891" s="163" t="str">
        <f>+IF(Tabla2[[#This Row],[dias de credito]]&gt;=Tabla2[[#This Row],[PLAZO Días]],"venc", "No venc")</f>
        <v>venc</v>
      </c>
      <c r="AC2891" s="163" t="str">
        <f>+IF(Tabla2[[#This Row],[FECHA DE PAGO]]&gt;0,"pagada","por pagar")</f>
        <v>por pagar</v>
      </c>
      <c r="AD2891" s="164" t="str">
        <f>+IF(AND(Tabla2[[#This Row],[venc]]="venc",Tabla2[[#This Row],[estado pago]]="por pagar"),"vencida","no")</f>
        <v>vencida</v>
      </c>
    </row>
    <row r="2892" spans="1:30" ht="19.5" hidden="1" customHeight="1" x14ac:dyDescent="0.25">
      <c r="A2892" s="8"/>
      <c r="B2892" s="8"/>
      <c r="C2892" s="8"/>
      <c r="D2892" s="151"/>
      <c r="E2892" s="151"/>
      <c r="F2892" s="24"/>
      <c r="G2892" s="30"/>
      <c r="H2892" s="81"/>
      <c r="I2892" s="30"/>
      <c r="J2892" s="16"/>
      <c r="K2892" s="9"/>
      <c r="L2892" s="9"/>
      <c r="M2892" s="152"/>
      <c r="N2892" s="153"/>
      <c r="O2892" s="152"/>
      <c r="P2892" s="154"/>
      <c r="Q2892" s="152"/>
      <c r="R2892" s="9"/>
      <c r="Z2892" s="21"/>
      <c r="AA2892" s="162">
        <f>+$AD$5-Tabla2[[#This Row],[FECHA DE FACTURACIÓN]]</f>
        <v>45443</v>
      </c>
      <c r="AB2892" s="163" t="str">
        <f>+IF(Tabla2[[#This Row],[dias de credito]]&gt;=Tabla2[[#This Row],[PLAZO Días]],"venc", "No venc")</f>
        <v>venc</v>
      </c>
      <c r="AC2892" s="163" t="str">
        <f>+IF(Tabla2[[#This Row],[FECHA DE PAGO]]&gt;0,"pagada","por pagar")</f>
        <v>por pagar</v>
      </c>
      <c r="AD2892" s="164" t="str">
        <f>+IF(AND(Tabla2[[#This Row],[venc]]="venc",Tabla2[[#This Row],[estado pago]]="por pagar"),"vencida","no")</f>
        <v>vencida</v>
      </c>
    </row>
    <row r="2893" spans="1:30" ht="19.5" hidden="1" customHeight="1" x14ac:dyDescent="0.25">
      <c r="A2893" s="8"/>
      <c r="B2893" s="8"/>
      <c r="C2893" s="8"/>
      <c r="D2893" s="151"/>
      <c r="E2893" s="151"/>
      <c r="F2893" s="24"/>
      <c r="G2893" s="30"/>
      <c r="H2893" s="81"/>
      <c r="I2893" s="30"/>
      <c r="J2893" s="16"/>
      <c r="K2893" s="9"/>
      <c r="L2893" s="9"/>
      <c r="M2893" s="152"/>
      <c r="N2893" s="153"/>
      <c r="O2893" s="152"/>
      <c r="P2893" s="154"/>
      <c r="Q2893" s="152"/>
      <c r="R2893" s="9"/>
      <c r="Z2893" s="21"/>
      <c r="AA2893" s="162">
        <f>+$AD$5-Tabla2[[#This Row],[FECHA DE FACTURACIÓN]]</f>
        <v>45443</v>
      </c>
      <c r="AB2893" s="163" t="str">
        <f>+IF(Tabla2[[#This Row],[dias de credito]]&gt;=Tabla2[[#This Row],[PLAZO Días]],"venc", "No venc")</f>
        <v>venc</v>
      </c>
      <c r="AC2893" s="163" t="str">
        <f>+IF(Tabla2[[#This Row],[FECHA DE PAGO]]&gt;0,"pagada","por pagar")</f>
        <v>por pagar</v>
      </c>
      <c r="AD2893" s="164" t="str">
        <f>+IF(AND(Tabla2[[#This Row],[venc]]="venc",Tabla2[[#This Row],[estado pago]]="por pagar"),"vencida","no")</f>
        <v>vencida</v>
      </c>
    </row>
    <row r="2894" spans="1:30" ht="19.5" hidden="1" customHeight="1" x14ac:dyDescent="0.25">
      <c r="A2894" s="8"/>
      <c r="B2894" s="8"/>
      <c r="C2894" s="8"/>
      <c r="D2894" s="151"/>
      <c r="E2894" s="151"/>
      <c r="F2894" s="24"/>
      <c r="G2894" s="30"/>
      <c r="H2894" s="81"/>
      <c r="I2894" s="30"/>
      <c r="J2894" s="16"/>
      <c r="K2894" s="9"/>
      <c r="L2894" s="9"/>
      <c r="M2894" s="152"/>
      <c r="N2894" s="153"/>
      <c r="O2894" s="152"/>
      <c r="P2894" s="154"/>
      <c r="Q2894" s="152"/>
      <c r="R2894" s="9"/>
      <c r="Z2894" s="21"/>
      <c r="AA2894" s="162">
        <f>+$AD$5-Tabla2[[#This Row],[FECHA DE FACTURACIÓN]]</f>
        <v>45443</v>
      </c>
      <c r="AB2894" s="163" t="str">
        <f>+IF(Tabla2[[#This Row],[dias de credito]]&gt;=Tabla2[[#This Row],[PLAZO Días]],"venc", "No venc")</f>
        <v>venc</v>
      </c>
      <c r="AC2894" s="163" t="str">
        <f>+IF(Tabla2[[#This Row],[FECHA DE PAGO]]&gt;0,"pagada","por pagar")</f>
        <v>por pagar</v>
      </c>
      <c r="AD2894" s="164" t="str">
        <f>+IF(AND(Tabla2[[#This Row],[venc]]="venc",Tabla2[[#This Row],[estado pago]]="por pagar"),"vencida","no")</f>
        <v>vencida</v>
      </c>
    </row>
    <row r="2895" spans="1:30" ht="19.5" hidden="1" customHeight="1" x14ac:dyDescent="0.25">
      <c r="A2895" s="8"/>
      <c r="B2895" s="8"/>
      <c r="C2895" s="8"/>
      <c r="D2895" s="151"/>
      <c r="E2895" s="151"/>
      <c r="F2895" s="24"/>
      <c r="G2895" s="30"/>
      <c r="H2895" s="81"/>
      <c r="I2895" s="30"/>
      <c r="J2895" s="16"/>
      <c r="K2895" s="9"/>
      <c r="L2895" s="9"/>
      <c r="M2895" s="152"/>
      <c r="N2895" s="153"/>
      <c r="O2895" s="152"/>
      <c r="P2895" s="154"/>
      <c r="Q2895" s="152"/>
      <c r="R2895" s="9"/>
      <c r="Z2895" s="21"/>
      <c r="AA2895" s="162">
        <f>+$AD$5-Tabla2[[#This Row],[FECHA DE FACTURACIÓN]]</f>
        <v>45443</v>
      </c>
      <c r="AB2895" s="163" t="str">
        <f>+IF(Tabla2[[#This Row],[dias de credito]]&gt;=Tabla2[[#This Row],[PLAZO Días]],"venc", "No venc")</f>
        <v>venc</v>
      </c>
      <c r="AC2895" s="163" t="str">
        <f>+IF(Tabla2[[#This Row],[FECHA DE PAGO]]&gt;0,"pagada","por pagar")</f>
        <v>por pagar</v>
      </c>
      <c r="AD2895" s="164" t="str">
        <f>+IF(AND(Tabla2[[#This Row],[venc]]="venc",Tabla2[[#This Row],[estado pago]]="por pagar"),"vencida","no")</f>
        <v>vencida</v>
      </c>
    </row>
    <row r="2896" spans="1:30" ht="19.5" hidden="1" customHeight="1" x14ac:dyDescent="0.25">
      <c r="A2896" s="8"/>
      <c r="B2896" s="8"/>
      <c r="C2896" s="8"/>
      <c r="D2896" s="151"/>
      <c r="E2896" s="151"/>
      <c r="F2896" s="24"/>
      <c r="G2896" s="30"/>
      <c r="H2896" s="81"/>
      <c r="I2896" s="30"/>
      <c r="J2896" s="16"/>
      <c r="K2896" s="9"/>
      <c r="L2896" s="9"/>
      <c r="M2896" s="152"/>
      <c r="N2896" s="153"/>
      <c r="O2896" s="152"/>
      <c r="P2896" s="154"/>
      <c r="Q2896" s="152"/>
      <c r="R2896" s="9"/>
      <c r="Z2896" s="21"/>
      <c r="AA2896" s="162">
        <f>+$AD$5-Tabla2[[#This Row],[FECHA DE FACTURACIÓN]]</f>
        <v>45443</v>
      </c>
      <c r="AB2896" s="163" t="str">
        <f>+IF(Tabla2[[#This Row],[dias de credito]]&gt;=Tabla2[[#This Row],[PLAZO Días]],"venc", "No venc")</f>
        <v>venc</v>
      </c>
      <c r="AC2896" s="163" t="str">
        <f>+IF(Tabla2[[#This Row],[FECHA DE PAGO]]&gt;0,"pagada","por pagar")</f>
        <v>por pagar</v>
      </c>
      <c r="AD2896" s="164" t="str">
        <f>+IF(AND(Tabla2[[#This Row],[venc]]="venc",Tabla2[[#This Row],[estado pago]]="por pagar"),"vencida","no")</f>
        <v>vencida</v>
      </c>
    </row>
    <row r="2897" spans="1:30" ht="19.5" hidden="1" customHeight="1" x14ac:dyDescent="0.25">
      <c r="A2897" s="8"/>
      <c r="B2897" s="8"/>
      <c r="C2897" s="8"/>
      <c r="D2897" s="151"/>
      <c r="E2897" s="151"/>
      <c r="F2897" s="24"/>
      <c r="G2897" s="30"/>
      <c r="H2897" s="81"/>
      <c r="I2897" s="30"/>
      <c r="J2897" s="16"/>
      <c r="K2897" s="9"/>
      <c r="L2897" s="9"/>
      <c r="M2897" s="152"/>
      <c r="N2897" s="153"/>
      <c r="O2897" s="152"/>
      <c r="P2897" s="154"/>
      <c r="Q2897" s="152"/>
      <c r="R2897" s="9"/>
      <c r="Z2897" s="21"/>
      <c r="AA2897" s="162">
        <f>+$AD$5-Tabla2[[#This Row],[FECHA DE FACTURACIÓN]]</f>
        <v>45443</v>
      </c>
      <c r="AB2897" s="163" t="str">
        <f>+IF(Tabla2[[#This Row],[dias de credito]]&gt;=Tabla2[[#This Row],[PLAZO Días]],"venc", "No venc")</f>
        <v>venc</v>
      </c>
      <c r="AC2897" s="163" t="str">
        <f>+IF(Tabla2[[#This Row],[FECHA DE PAGO]]&gt;0,"pagada","por pagar")</f>
        <v>por pagar</v>
      </c>
      <c r="AD2897" s="164" t="str">
        <f>+IF(AND(Tabla2[[#This Row],[venc]]="venc",Tabla2[[#This Row],[estado pago]]="por pagar"),"vencida","no")</f>
        <v>vencida</v>
      </c>
    </row>
    <row r="2898" spans="1:30" ht="19.5" hidden="1" customHeight="1" x14ac:dyDescent="0.25">
      <c r="A2898" s="8"/>
      <c r="B2898" s="8"/>
      <c r="C2898" s="8"/>
      <c r="D2898" s="151"/>
      <c r="E2898" s="151"/>
      <c r="F2898" s="24"/>
      <c r="G2898" s="30"/>
      <c r="H2898" s="81"/>
      <c r="I2898" s="30"/>
      <c r="J2898" s="16"/>
      <c r="K2898" s="9"/>
      <c r="L2898" s="9"/>
      <c r="M2898" s="152"/>
      <c r="N2898" s="153"/>
      <c r="O2898" s="152"/>
      <c r="P2898" s="154"/>
      <c r="Q2898" s="152"/>
      <c r="R2898" s="9"/>
      <c r="Z2898" s="21"/>
      <c r="AA2898" s="162">
        <f>+$AD$5-Tabla2[[#This Row],[FECHA DE FACTURACIÓN]]</f>
        <v>45443</v>
      </c>
      <c r="AB2898" s="163" t="str">
        <f>+IF(Tabla2[[#This Row],[dias de credito]]&gt;=Tabla2[[#This Row],[PLAZO Días]],"venc", "No venc")</f>
        <v>venc</v>
      </c>
      <c r="AC2898" s="163" t="str">
        <f>+IF(Tabla2[[#This Row],[FECHA DE PAGO]]&gt;0,"pagada","por pagar")</f>
        <v>por pagar</v>
      </c>
      <c r="AD2898" s="164" t="str">
        <f>+IF(AND(Tabla2[[#This Row],[venc]]="venc",Tabla2[[#This Row],[estado pago]]="por pagar"),"vencida","no")</f>
        <v>vencida</v>
      </c>
    </row>
    <row r="2899" spans="1:30" ht="19.5" hidden="1" customHeight="1" x14ac:dyDescent="0.25">
      <c r="A2899" s="8"/>
      <c r="B2899" s="8"/>
      <c r="C2899" s="8"/>
      <c r="D2899" s="151"/>
      <c r="E2899" s="151"/>
      <c r="F2899" s="24"/>
      <c r="G2899" s="30"/>
      <c r="H2899" s="81"/>
      <c r="I2899" s="30"/>
      <c r="J2899" s="16"/>
      <c r="K2899" s="9"/>
      <c r="L2899" s="9"/>
      <c r="M2899" s="152"/>
      <c r="N2899" s="153"/>
      <c r="O2899" s="152"/>
      <c r="P2899" s="154"/>
      <c r="Q2899" s="152"/>
      <c r="R2899" s="9"/>
      <c r="Z2899" s="21"/>
      <c r="AA2899" s="162">
        <f>+$AD$5-Tabla2[[#This Row],[FECHA DE FACTURACIÓN]]</f>
        <v>45443</v>
      </c>
      <c r="AB2899" s="163" t="str">
        <f>+IF(Tabla2[[#This Row],[dias de credito]]&gt;=Tabla2[[#This Row],[PLAZO Días]],"venc", "No venc")</f>
        <v>venc</v>
      </c>
      <c r="AC2899" s="163" t="str">
        <f>+IF(Tabla2[[#This Row],[FECHA DE PAGO]]&gt;0,"pagada","por pagar")</f>
        <v>por pagar</v>
      </c>
      <c r="AD2899" s="164" t="str">
        <f>+IF(AND(Tabla2[[#This Row],[venc]]="venc",Tabla2[[#This Row],[estado pago]]="por pagar"),"vencida","no")</f>
        <v>vencida</v>
      </c>
    </row>
    <row r="2900" spans="1:30" ht="19.5" hidden="1" customHeight="1" x14ac:dyDescent="0.25">
      <c r="A2900" s="8"/>
      <c r="B2900" s="8"/>
      <c r="C2900" s="8"/>
      <c r="D2900" s="151"/>
      <c r="E2900" s="151"/>
      <c r="F2900" s="24"/>
      <c r="G2900" s="30"/>
      <c r="H2900" s="81"/>
      <c r="I2900" s="30"/>
      <c r="J2900" s="16"/>
      <c r="K2900" s="9"/>
      <c r="L2900" s="9"/>
      <c r="M2900" s="152"/>
      <c r="N2900" s="153"/>
      <c r="O2900" s="152"/>
      <c r="P2900" s="154"/>
      <c r="Q2900" s="152"/>
      <c r="R2900" s="9"/>
      <c r="Z2900" s="21"/>
      <c r="AA2900" s="162">
        <f>+$AD$5-Tabla2[[#This Row],[FECHA DE FACTURACIÓN]]</f>
        <v>45443</v>
      </c>
      <c r="AB2900" s="163" t="str">
        <f>+IF(Tabla2[[#This Row],[dias de credito]]&gt;=Tabla2[[#This Row],[PLAZO Días]],"venc", "No venc")</f>
        <v>venc</v>
      </c>
      <c r="AC2900" s="163" t="str">
        <f>+IF(Tabla2[[#This Row],[FECHA DE PAGO]]&gt;0,"pagada","por pagar")</f>
        <v>por pagar</v>
      </c>
      <c r="AD2900" s="164" t="str">
        <f>+IF(AND(Tabla2[[#This Row],[venc]]="venc",Tabla2[[#This Row],[estado pago]]="por pagar"),"vencida","no")</f>
        <v>vencida</v>
      </c>
    </row>
    <row r="2901" spans="1:30" ht="19.5" hidden="1" customHeight="1" x14ac:dyDescent="0.25">
      <c r="A2901" s="8"/>
      <c r="B2901" s="8"/>
      <c r="C2901" s="8"/>
      <c r="D2901" s="151"/>
      <c r="E2901" s="151"/>
      <c r="F2901" s="24"/>
      <c r="G2901" s="30"/>
      <c r="H2901" s="81"/>
      <c r="I2901" s="30"/>
      <c r="J2901" s="16"/>
      <c r="K2901" s="9"/>
      <c r="L2901" s="9"/>
      <c r="M2901" s="152"/>
      <c r="N2901" s="153"/>
      <c r="O2901" s="152"/>
      <c r="P2901" s="154"/>
      <c r="Q2901" s="152"/>
      <c r="R2901" s="9"/>
      <c r="Z2901" s="21"/>
      <c r="AA2901" s="162">
        <f>+$AD$5-Tabla2[[#This Row],[FECHA DE FACTURACIÓN]]</f>
        <v>45443</v>
      </c>
      <c r="AB2901" s="163" t="str">
        <f>+IF(Tabla2[[#This Row],[dias de credito]]&gt;=Tabla2[[#This Row],[PLAZO Días]],"venc", "No venc")</f>
        <v>venc</v>
      </c>
      <c r="AC2901" s="163" t="str">
        <f>+IF(Tabla2[[#This Row],[FECHA DE PAGO]]&gt;0,"pagada","por pagar")</f>
        <v>por pagar</v>
      </c>
      <c r="AD2901" s="164" t="str">
        <f>+IF(AND(Tabla2[[#This Row],[venc]]="venc",Tabla2[[#This Row],[estado pago]]="por pagar"),"vencida","no")</f>
        <v>vencida</v>
      </c>
    </row>
    <row r="2902" spans="1:30" ht="19.5" hidden="1" customHeight="1" x14ac:dyDescent="0.25">
      <c r="A2902" s="8"/>
      <c r="B2902" s="8"/>
      <c r="C2902" s="8"/>
      <c r="D2902" s="151"/>
      <c r="E2902" s="151"/>
      <c r="F2902" s="24"/>
      <c r="G2902" s="30"/>
      <c r="H2902" s="81"/>
      <c r="I2902" s="30"/>
      <c r="J2902" s="16"/>
      <c r="K2902" s="9"/>
      <c r="L2902" s="9"/>
      <c r="M2902" s="152"/>
      <c r="N2902" s="153"/>
      <c r="O2902" s="152"/>
      <c r="P2902" s="154"/>
      <c r="Q2902" s="152"/>
      <c r="R2902" s="9"/>
      <c r="Z2902" s="21"/>
      <c r="AA2902" s="162">
        <f>+$AD$5-Tabla2[[#This Row],[FECHA DE FACTURACIÓN]]</f>
        <v>45443</v>
      </c>
      <c r="AB2902" s="163" t="str">
        <f>+IF(Tabla2[[#This Row],[dias de credito]]&gt;=Tabla2[[#This Row],[PLAZO Días]],"venc", "No venc")</f>
        <v>venc</v>
      </c>
      <c r="AC2902" s="163" t="str">
        <f>+IF(Tabla2[[#This Row],[FECHA DE PAGO]]&gt;0,"pagada","por pagar")</f>
        <v>por pagar</v>
      </c>
      <c r="AD2902" s="164" t="str">
        <f>+IF(AND(Tabla2[[#This Row],[venc]]="venc",Tabla2[[#This Row],[estado pago]]="por pagar"),"vencida","no")</f>
        <v>vencida</v>
      </c>
    </row>
    <row r="2903" spans="1:30" ht="19.5" hidden="1" customHeight="1" x14ac:dyDescent="0.25">
      <c r="A2903" s="8"/>
      <c r="B2903" s="8"/>
      <c r="C2903" s="8"/>
      <c r="D2903" s="151"/>
      <c r="E2903" s="151"/>
      <c r="F2903" s="24"/>
      <c r="G2903" s="30"/>
      <c r="H2903" s="81"/>
      <c r="I2903" s="30"/>
      <c r="J2903" s="16"/>
      <c r="K2903" s="9"/>
      <c r="L2903" s="9"/>
      <c r="M2903" s="152"/>
      <c r="N2903" s="153"/>
      <c r="O2903" s="152"/>
      <c r="P2903" s="154"/>
      <c r="Q2903" s="152"/>
      <c r="R2903" s="9"/>
      <c r="Z2903" s="21"/>
      <c r="AA2903" s="162">
        <f>+$AD$5-Tabla2[[#This Row],[FECHA DE FACTURACIÓN]]</f>
        <v>45443</v>
      </c>
      <c r="AB2903" s="163" t="str">
        <f>+IF(Tabla2[[#This Row],[dias de credito]]&gt;=Tabla2[[#This Row],[PLAZO Días]],"venc", "No venc")</f>
        <v>venc</v>
      </c>
      <c r="AC2903" s="163" t="str">
        <f>+IF(Tabla2[[#This Row],[FECHA DE PAGO]]&gt;0,"pagada","por pagar")</f>
        <v>por pagar</v>
      </c>
      <c r="AD2903" s="164" t="str">
        <f>+IF(AND(Tabla2[[#This Row],[venc]]="venc",Tabla2[[#This Row],[estado pago]]="por pagar"),"vencida","no")</f>
        <v>vencida</v>
      </c>
    </row>
    <row r="2904" spans="1:30" ht="19.5" hidden="1" customHeight="1" x14ac:dyDescent="0.25">
      <c r="A2904" s="8"/>
      <c r="B2904" s="8"/>
      <c r="C2904" s="8"/>
      <c r="D2904" s="151"/>
      <c r="E2904" s="151"/>
      <c r="F2904" s="24"/>
      <c r="G2904" s="30"/>
      <c r="H2904" s="81"/>
      <c r="I2904" s="30"/>
      <c r="J2904" s="16"/>
      <c r="K2904" s="9"/>
      <c r="L2904" s="9"/>
      <c r="M2904" s="152"/>
      <c r="N2904" s="153"/>
      <c r="O2904" s="152"/>
      <c r="P2904" s="154"/>
      <c r="Q2904" s="152"/>
      <c r="R2904" s="9"/>
      <c r="Z2904" s="21"/>
      <c r="AA2904" s="162">
        <f>+$AD$5-Tabla2[[#This Row],[FECHA DE FACTURACIÓN]]</f>
        <v>45443</v>
      </c>
      <c r="AB2904" s="163" t="str">
        <f>+IF(Tabla2[[#This Row],[dias de credito]]&gt;=Tabla2[[#This Row],[PLAZO Días]],"venc", "No venc")</f>
        <v>venc</v>
      </c>
      <c r="AC2904" s="163" t="str">
        <f>+IF(Tabla2[[#This Row],[FECHA DE PAGO]]&gt;0,"pagada","por pagar")</f>
        <v>por pagar</v>
      </c>
      <c r="AD2904" s="164" t="str">
        <f>+IF(AND(Tabla2[[#This Row],[venc]]="venc",Tabla2[[#This Row],[estado pago]]="por pagar"),"vencida","no")</f>
        <v>vencida</v>
      </c>
    </row>
    <row r="2905" spans="1:30" ht="19.5" hidden="1" customHeight="1" x14ac:dyDescent="0.25">
      <c r="A2905" s="8"/>
      <c r="B2905" s="8"/>
      <c r="C2905" s="8"/>
      <c r="D2905" s="151"/>
      <c r="E2905" s="151"/>
      <c r="F2905" s="24"/>
      <c r="G2905" s="30"/>
      <c r="H2905" s="81"/>
      <c r="I2905" s="30"/>
      <c r="J2905" s="16"/>
      <c r="K2905" s="9"/>
      <c r="L2905" s="9"/>
      <c r="M2905" s="152"/>
      <c r="N2905" s="153"/>
      <c r="O2905" s="152"/>
      <c r="P2905" s="154"/>
      <c r="Q2905" s="152"/>
      <c r="R2905" s="9"/>
      <c r="Z2905" s="21"/>
      <c r="AA2905" s="162">
        <f>+$AD$5-Tabla2[[#This Row],[FECHA DE FACTURACIÓN]]</f>
        <v>45443</v>
      </c>
      <c r="AB2905" s="163" t="str">
        <f>+IF(Tabla2[[#This Row],[dias de credito]]&gt;=Tabla2[[#This Row],[PLAZO Días]],"venc", "No venc")</f>
        <v>venc</v>
      </c>
      <c r="AC2905" s="163" t="str">
        <f>+IF(Tabla2[[#This Row],[FECHA DE PAGO]]&gt;0,"pagada","por pagar")</f>
        <v>por pagar</v>
      </c>
      <c r="AD2905" s="164" t="str">
        <f>+IF(AND(Tabla2[[#This Row],[venc]]="venc",Tabla2[[#This Row],[estado pago]]="por pagar"),"vencida","no")</f>
        <v>vencida</v>
      </c>
    </row>
    <row r="2906" spans="1:30" ht="19.5" hidden="1" customHeight="1" x14ac:dyDescent="0.25">
      <c r="A2906" s="8"/>
      <c r="B2906" s="8"/>
      <c r="C2906" s="8"/>
      <c r="D2906" s="151"/>
      <c r="E2906" s="151"/>
      <c r="F2906" s="24"/>
      <c r="G2906" s="30"/>
      <c r="H2906" s="81"/>
      <c r="I2906" s="30"/>
      <c r="J2906" s="16"/>
      <c r="K2906" s="9"/>
      <c r="L2906" s="9"/>
      <c r="M2906" s="152"/>
      <c r="N2906" s="153"/>
      <c r="O2906" s="152"/>
      <c r="P2906" s="154"/>
      <c r="Q2906" s="152"/>
      <c r="R2906" s="9"/>
      <c r="Z2906" s="21"/>
      <c r="AA2906" s="162">
        <f>+$AD$5-Tabla2[[#This Row],[FECHA DE FACTURACIÓN]]</f>
        <v>45443</v>
      </c>
      <c r="AB2906" s="163" t="str">
        <f>+IF(Tabla2[[#This Row],[dias de credito]]&gt;=Tabla2[[#This Row],[PLAZO Días]],"venc", "No venc")</f>
        <v>venc</v>
      </c>
      <c r="AC2906" s="163" t="str">
        <f>+IF(Tabla2[[#This Row],[FECHA DE PAGO]]&gt;0,"pagada","por pagar")</f>
        <v>por pagar</v>
      </c>
      <c r="AD2906" s="164" t="str">
        <f>+IF(AND(Tabla2[[#This Row],[venc]]="venc",Tabla2[[#This Row],[estado pago]]="por pagar"),"vencida","no")</f>
        <v>vencida</v>
      </c>
    </row>
    <row r="2907" spans="1:30" ht="19.5" hidden="1" customHeight="1" x14ac:dyDescent="0.25">
      <c r="A2907" s="8"/>
      <c r="B2907" s="8"/>
      <c r="C2907" s="8"/>
      <c r="D2907" s="151"/>
      <c r="E2907" s="151"/>
      <c r="F2907" s="24"/>
      <c r="G2907" s="30"/>
      <c r="H2907" s="81"/>
      <c r="I2907" s="30"/>
      <c r="J2907" s="16"/>
      <c r="K2907" s="9"/>
      <c r="L2907" s="9"/>
      <c r="M2907" s="152"/>
      <c r="N2907" s="153"/>
      <c r="O2907" s="152"/>
      <c r="P2907" s="154"/>
      <c r="Q2907" s="152"/>
      <c r="R2907" s="9"/>
      <c r="Z2907" s="21"/>
      <c r="AA2907" s="162">
        <f>+$AD$5-Tabla2[[#This Row],[FECHA DE FACTURACIÓN]]</f>
        <v>45443</v>
      </c>
      <c r="AB2907" s="163" t="str">
        <f>+IF(Tabla2[[#This Row],[dias de credito]]&gt;=Tabla2[[#This Row],[PLAZO Días]],"venc", "No venc")</f>
        <v>venc</v>
      </c>
      <c r="AC2907" s="163" t="str">
        <f>+IF(Tabla2[[#This Row],[FECHA DE PAGO]]&gt;0,"pagada","por pagar")</f>
        <v>por pagar</v>
      </c>
      <c r="AD2907" s="164" t="str">
        <f>+IF(AND(Tabla2[[#This Row],[venc]]="venc",Tabla2[[#This Row],[estado pago]]="por pagar"),"vencida","no")</f>
        <v>vencida</v>
      </c>
    </row>
    <row r="2908" spans="1:30" ht="19.5" hidden="1" customHeight="1" x14ac:dyDescent="0.25">
      <c r="A2908" s="8"/>
      <c r="B2908" s="8"/>
      <c r="C2908" s="8"/>
      <c r="D2908" s="151"/>
      <c r="E2908" s="151"/>
      <c r="F2908" s="24"/>
      <c r="G2908" s="30"/>
      <c r="H2908" s="81"/>
      <c r="I2908" s="30"/>
      <c r="J2908" s="16"/>
      <c r="K2908" s="9"/>
      <c r="L2908" s="9"/>
      <c r="M2908" s="152"/>
      <c r="N2908" s="153"/>
      <c r="O2908" s="152"/>
      <c r="P2908" s="154"/>
      <c r="Q2908" s="152"/>
      <c r="R2908" s="9"/>
      <c r="Z2908" s="21"/>
      <c r="AA2908" s="162">
        <f>+$AD$5-Tabla2[[#This Row],[FECHA DE FACTURACIÓN]]</f>
        <v>45443</v>
      </c>
      <c r="AB2908" s="163" t="str">
        <f>+IF(Tabla2[[#This Row],[dias de credito]]&gt;=Tabla2[[#This Row],[PLAZO Días]],"venc", "No venc")</f>
        <v>venc</v>
      </c>
      <c r="AC2908" s="163" t="str">
        <f>+IF(Tabla2[[#This Row],[FECHA DE PAGO]]&gt;0,"pagada","por pagar")</f>
        <v>por pagar</v>
      </c>
      <c r="AD2908" s="164" t="str">
        <f>+IF(AND(Tabla2[[#This Row],[venc]]="venc",Tabla2[[#This Row],[estado pago]]="por pagar"),"vencida","no")</f>
        <v>vencida</v>
      </c>
    </row>
    <row r="2909" spans="1:30" ht="19.5" hidden="1" customHeight="1" x14ac:dyDescent="0.25">
      <c r="A2909" s="8"/>
      <c r="B2909" s="8"/>
      <c r="C2909" s="8"/>
      <c r="D2909" s="151"/>
      <c r="E2909" s="151"/>
      <c r="F2909" s="24"/>
      <c r="G2909" s="30"/>
      <c r="H2909" s="81"/>
      <c r="I2909" s="30"/>
      <c r="J2909" s="16"/>
      <c r="K2909" s="9"/>
      <c r="L2909" s="9"/>
      <c r="M2909" s="152"/>
      <c r="N2909" s="153"/>
      <c r="O2909" s="152"/>
      <c r="P2909" s="154"/>
      <c r="Q2909" s="152"/>
      <c r="R2909" s="9"/>
      <c r="Z2909" s="21"/>
      <c r="AA2909" s="162">
        <f>+$AD$5-Tabla2[[#This Row],[FECHA DE FACTURACIÓN]]</f>
        <v>45443</v>
      </c>
      <c r="AB2909" s="163" t="str">
        <f>+IF(Tabla2[[#This Row],[dias de credito]]&gt;=Tabla2[[#This Row],[PLAZO Días]],"venc", "No venc")</f>
        <v>venc</v>
      </c>
      <c r="AC2909" s="163" t="str">
        <f>+IF(Tabla2[[#This Row],[FECHA DE PAGO]]&gt;0,"pagada","por pagar")</f>
        <v>por pagar</v>
      </c>
      <c r="AD2909" s="164" t="str">
        <f>+IF(AND(Tabla2[[#This Row],[venc]]="venc",Tabla2[[#This Row],[estado pago]]="por pagar"),"vencida","no")</f>
        <v>vencida</v>
      </c>
    </row>
    <row r="2910" spans="1:30" ht="19.5" hidden="1" customHeight="1" x14ac:dyDescent="0.25">
      <c r="A2910" s="8"/>
      <c r="B2910" s="8"/>
      <c r="C2910" s="8"/>
      <c r="D2910" s="151"/>
      <c r="E2910" s="151"/>
      <c r="F2910" s="24"/>
      <c r="G2910" s="30"/>
      <c r="H2910" s="81"/>
      <c r="I2910" s="30"/>
      <c r="J2910" s="16"/>
      <c r="K2910" s="9"/>
      <c r="L2910" s="9"/>
      <c r="M2910" s="152"/>
      <c r="N2910" s="153"/>
      <c r="O2910" s="152"/>
      <c r="P2910" s="154"/>
      <c r="Q2910" s="152"/>
      <c r="R2910" s="9"/>
      <c r="Z2910" s="21"/>
      <c r="AA2910" s="162">
        <f>+$AD$5-Tabla2[[#This Row],[FECHA DE FACTURACIÓN]]</f>
        <v>45443</v>
      </c>
      <c r="AB2910" s="163" t="str">
        <f>+IF(Tabla2[[#This Row],[dias de credito]]&gt;=Tabla2[[#This Row],[PLAZO Días]],"venc", "No venc")</f>
        <v>venc</v>
      </c>
      <c r="AC2910" s="163" t="str">
        <f>+IF(Tabla2[[#This Row],[FECHA DE PAGO]]&gt;0,"pagada","por pagar")</f>
        <v>por pagar</v>
      </c>
      <c r="AD2910" s="164" t="str">
        <f>+IF(AND(Tabla2[[#This Row],[venc]]="venc",Tabla2[[#This Row],[estado pago]]="por pagar"),"vencida","no")</f>
        <v>vencida</v>
      </c>
    </row>
    <row r="2911" spans="1:30" ht="19.5" hidden="1" customHeight="1" x14ac:dyDescent="0.25">
      <c r="A2911" s="8"/>
      <c r="B2911" s="8"/>
      <c r="C2911" s="8"/>
      <c r="D2911" s="151"/>
      <c r="E2911" s="151"/>
      <c r="F2911" s="24"/>
      <c r="G2911" s="30"/>
      <c r="H2911" s="81"/>
      <c r="I2911" s="30"/>
      <c r="J2911" s="16"/>
      <c r="K2911" s="9"/>
      <c r="L2911" s="9"/>
      <c r="M2911" s="152"/>
      <c r="N2911" s="153"/>
      <c r="O2911" s="152"/>
      <c r="P2911" s="154"/>
      <c r="Q2911" s="152"/>
      <c r="R2911" s="9"/>
      <c r="Z2911" s="21"/>
      <c r="AA2911" s="162">
        <f>+$AD$5-Tabla2[[#This Row],[FECHA DE FACTURACIÓN]]</f>
        <v>45443</v>
      </c>
      <c r="AB2911" s="163" t="str">
        <f>+IF(Tabla2[[#This Row],[dias de credito]]&gt;=Tabla2[[#This Row],[PLAZO Días]],"venc", "No venc")</f>
        <v>venc</v>
      </c>
      <c r="AC2911" s="163" t="str">
        <f>+IF(Tabla2[[#This Row],[FECHA DE PAGO]]&gt;0,"pagada","por pagar")</f>
        <v>por pagar</v>
      </c>
      <c r="AD2911" s="164" t="str">
        <f>+IF(AND(Tabla2[[#This Row],[venc]]="venc",Tabla2[[#This Row],[estado pago]]="por pagar"),"vencida","no")</f>
        <v>vencida</v>
      </c>
    </row>
    <row r="2912" spans="1:30" ht="19.5" hidden="1" customHeight="1" x14ac:dyDescent="0.25">
      <c r="A2912" s="8"/>
      <c r="B2912" s="8"/>
      <c r="C2912" s="8"/>
      <c r="D2912" s="151"/>
      <c r="E2912" s="151"/>
      <c r="F2912" s="24"/>
      <c r="G2912" s="30"/>
      <c r="H2912" s="81"/>
      <c r="I2912" s="30"/>
      <c r="J2912" s="16"/>
      <c r="K2912" s="9"/>
      <c r="L2912" s="9"/>
      <c r="M2912" s="152"/>
      <c r="N2912" s="153"/>
      <c r="O2912" s="152"/>
      <c r="P2912" s="154"/>
      <c r="Q2912" s="152"/>
      <c r="R2912" s="9"/>
      <c r="Z2912" s="21"/>
      <c r="AA2912" s="162">
        <f>+$AD$5-Tabla2[[#This Row],[FECHA DE FACTURACIÓN]]</f>
        <v>45443</v>
      </c>
      <c r="AB2912" s="163" t="str">
        <f>+IF(Tabla2[[#This Row],[dias de credito]]&gt;=Tabla2[[#This Row],[PLAZO Días]],"venc", "No venc")</f>
        <v>venc</v>
      </c>
      <c r="AC2912" s="163" t="str">
        <f>+IF(Tabla2[[#This Row],[FECHA DE PAGO]]&gt;0,"pagada","por pagar")</f>
        <v>por pagar</v>
      </c>
      <c r="AD2912" s="164" t="str">
        <f>+IF(AND(Tabla2[[#This Row],[venc]]="venc",Tabla2[[#This Row],[estado pago]]="por pagar"),"vencida","no")</f>
        <v>vencida</v>
      </c>
    </row>
    <row r="2913" spans="1:30" ht="19.5" hidden="1" customHeight="1" x14ac:dyDescent="0.25">
      <c r="A2913" s="8"/>
      <c r="B2913" s="8"/>
      <c r="C2913" s="8"/>
      <c r="D2913" s="151"/>
      <c r="E2913" s="151"/>
      <c r="F2913" s="24"/>
      <c r="G2913" s="30"/>
      <c r="H2913" s="81"/>
      <c r="I2913" s="30"/>
      <c r="J2913" s="16"/>
      <c r="K2913" s="9"/>
      <c r="L2913" s="9"/>
      <c r="M2913" s="152"/>
      <c r="N2913" s="153"/>
      <c r="O2913" s="152"/>
      <c r="P2913" s="154"/>
      <c r="Q2913" s="152"/>
      <c r="R2913" s="9"/>
      <c r="Z2913" s="21"/>
      <c r="AA2913" s="162">
        <f>+$AD$5-Tabla2[[#This Row],[FECHA DE FACTURACIÓN]]</f>
        <v>45443</v>
      </c>
      <c r="AB2913" s="163" t="str">
        <f>+IF(Tabla2[[#This Row],[dias de credito]]&gt;=Tabla2[[#This Row],[PLAZO Días]],"venc", "No venc")</f>
        <v>venc</v>
      </c>
      <c r="AC2913" s="163" t="str">
        <f>+IF(Tabla2[[#This Row],[FECHA DE PAGO]]&gt;0,"pagada","por pagar")</f>
        <v>por pagar</v>
      </c>
      <c r="AD2913" s="164" t="str">
        <f>+IF(AND(Tabla2[[#This Row],[venc]]="venc",Tabla2[[#This Row],[estado pago]]="por pagar"),"vencida","no")</f>
        <v>vencida</v>
      </c>
    </row>
    <row r="2914" spans="1:30" ht="19.5" hidden="1" customHeight="1" x14ac:dyDescent="0.25">
      <c r="A2914" s="8"/>
      <c r="B2914" s="8"/>
      <c r="C2914" s="8"/>
      <c r="D2914" s="151"/>
      <c r="E2914" s="151"/>
      <c r="F2914" s="24"/>
      <c r="G2914" s="30"/>
      <c r="H2914" s="81"/>
      <c r="I2914" s="30"/>
      <c r="J2914" s="16"/>
      <c r="K2914" s="9"/>
      <c r="L2914" s="9"/>
      <c r="M2914" s="152"/>
      <c r="N2914" s="153"/>
      <c r="O2914" s="152"/>
      <c r="P2914" s="154"/>
      <c r="Q2914" s="152"/>
      <c r="R2914" s="9"/>
      <c r="Z2914" s="21"/>
      <c r="AA2914" s="162">
        <f>+$AD$5-Tabla2[[#This Row],[FECHA DE FACTURACIÓN]]</f>
        <v>45443</v>
      </c>
      <c r="AB2914" s="163" t="str">
        <f>+IF(Tabla2[[#This Row],[dias de credito]]&gt;=Tabla2[[#This Row],[PLAZO Días]],"venc", "No venc")</f>
        <v>venc</v>
      </c>
      <c r="AC2914" s="163" t="str">
        <f>+IF(Tabla2[[#This Row],[FECHA DE PAGO]]&gt;0,"pagada","por pagar")</f>
        <v>por pagar</v>
      </c>
      <c r="AD2914" s="164" t="str">
        <f>+IF(AND(Tabla2[[#This Row],[venc]]="venc",Tabla2[[#This Row],[estado pago]]="por pagar"),"vencida","no")</f>
        <v>vencida</v>
      </c>
    </row>
    <row r="2915" spans="1:30" ht="19.5" hidden="1" customHeight="1" x14ac:dyDescent="0.25">
      <c r="A2915" s="8"/>
      <c r="B2915" s="8"/>
      <c r="C2915" s="8"/>
      <c r="D2915" s="151"/>
      <c r="E2915" s="151"/>
      <c r="F2915" s="24"/>
      <c r="G2915" s="30"/>
      <c r="H2915" s="81"/>
      <c r="I2915" s="30"/>
      <c r="J2915" s="16"/>
      <c r="K2915" s="9"/>
      <c r="L2915" s="9"/>
      <c r="M2915" s="152"/>
      <c r="N2915" s="153"/>
      <c r="O2915" s="152"/>
      <c r="P2915" s="154"/>
      <c r="Q2915" s="152"/>
      <c r="R2915" s="9"/>
      <c r="Z2915" s="21"/>
      <c r="AA2915" s="162">
        <f>+$AD$5-Tabla2[[#This Row],[FECHA DE FACTURACIÓN]]</f>
        <v>45443</v>
      </c>
      <c r="AB2915" s="163" t="str">
        <f>+IF(Tabla2[[#This Row],[dias de credito]]&gt;=Tabla2[[#This Row],[PLAZO Días]],"venc", "No venc")</f>
        <v>venc</v>
      </c>
      <c r="AC2915" s="163" t="str">
        <f>+IF(Tabla2[[#This Row],[FECHA DE PAGO]]&gt;0,"pagada","por pagar")</f>
        <v>por pagar</v>
      </c>
      <c r="AD2915" s="164" t="str">
        <f>+IF(AND(Tabla2[[#This Row],[venc]]="venc",Tabla2[[#This Row],[estado pago]]="por pagar"),"vencida","no")</f>
        <v>vencida</v>
      </c>
    </row>
    <row r="2916" spans="1:30" ht="19.5" hidden="1" customHeight="1" x14ac:dyDescent="0.25">
      <c r="A2916" s="8"/>
      <c r="B2916" s="8"/>
      <c r="C2916" s="8"/>
      <c r="D2916" s="151"/>
      <c r="E2916" s="151"/>
      <c r="F2916" s="24"/>
      <c r="G2916" s="30"/>
      <c r="H2916" s="81"/>
      <c r="I2916" s="30"/>
      <c r="J2916" s="16"/>
      <c r="K2916" s="9"/>
      <c r="L2916" s="9"/>
      <c r="M2916" s="152"/>
      <c r="N2916" s="153"/>
      <c r="O2916" s="152"/>
      <c r="P2916" s="154"/>
      <c r="Q2916" s="152"/>
      <c r="R2916" s="9"/>
      <c r="Z2916" s="21"/>
      <c r="AA2916" s="162">
        <f>+$AD$5-Tabla2[[#This Row],[FECHA DE FACTURACIÓN]]</f>
        <v>45443</v>
      </c>
      <c r="AB2916" s="163" t="str">
        <f>+IF(Tabla2[[#This Row],[dias de credito]]&gt;=Tabla2[[#This Row],[PLAZO Días]],"venc", "No venc")</f>
        <v>venc</v>
      </c>
      <c r="AC2916" s="163" t="str">
        <f>+IF(Tabla2[[#This Row],[FECHA DE PAGO]]&gt;0,"pagada","por pagar")</f>
        <v>por pagar</v>
      </c>
      <c r="AD2916" s="164" t="str">
        <f>+IF(AND(Tabla2[[#This Row],[venc]]="venc",Tabla2[[#This Row],[estado pago]]="por pagar"),"vencida","no")</f>
        <v>vencida</v>
      </c>
    </row>
    <row r="2917" spans="1:30" ht="19.5" hidden="1" customHeight="1" x14ac:dyDescent="0.25">
      <c r="A2917" s="8"/>
      <c r="B2917" s="8"/>
      <c r="C2917" s="8"/>
      <c r="D2917" s="151"/>
      <c r="E2917" s="151"/>
      <c r="F2917" s="24"/>
      <c r="G2917" s="30"/>
      <c r="H2917" s="81"/>
      <c r="I2917" s="30"/>
      <c r="J2917" s="16"/>
      <c r="K2917" s="9"/>
      <c r="L2917" s="9"/>
      <c r="M2917" s="152"/>
      <c r="N2917" s="153"/>
      <c r="O2917" s="152"/>
      <c r="P2917" s="154"/>
      <c r="Q2917" s="152"/>
      <c r="R2917" s="9"/>
      <c r="Z2917" s="21"/>
      <c r="AA2917" s="162">
        <f>+$AD$5-Tabla2[[#This Row],[FECHA DE FACTURACIÓN]]</f>
        <v>45443</v>
      </c>
      <c r="AB2917" s="163" t="str">
        <f>+IF(Tabla2[[#This Row],[dias de credito]]&gt;=Tabla2[[#This Row],[PLAZO Días]],"venc", "No venc")</f>
        <v>venc</v>
      </c>
      <c r="AC2917" s="163" t="str">
        <f>+IF(Tabla2[[#This Row],[FECHA DE PAGO]]&gt;0,"pagada","por pagar")</f>
        <v>por pagar</v>
      </c>
      <c r="AD2917" s="164" t="str">
        <f>+IF(AND(Tabla2[[#This Row],[venc]]="venc",Tabla2[[#This Row],[estado pago]]="por pagar"),"vencida","no")</f>
        <v>vencida</v>
      </c>
    </row>
    <row r="2918" spans="1:30" ht="19.5" hidden="1" customHeight="1" x14ac:dyDescent="0.25">
      <c r="A2918" s="8"/>
      <c r="B2918" s="8"/>
      <c r="C2918" s="8"/>
      <c r="D2918" s="151"/>
      <c r="E2918" s="151"/>
      <c r="F2918" s="24"/>
      <c r="G2918" s="30"/>
      <c r="H2918" s="81"/>
      <c r="I2918" s="30"/>
      <c r="J2918" s="16"/>
      <c r="K2918" s="9"/>
      <c r="L2918" s="9"/>
      <c r="M2918" s="152"/>
      <c r="N2918" s="153"/>
      <c r="O2918" s="152"/>
      <c r="P2918" s="154"/>
      <c r="Q2918" s="152"/>
      <c r="R2918" s="9"/>
      <c r="Z2918" s="21"/>
      <c r="AA2918" s="162">
        <f>+$AD$5-Tabla2[[#This Row],[FECHA DE FACTURACIÓN]]</f>
        <v>45443</v>
      </c>
      <c r="AB2918" s="163" t="str">
        <f>+IF(Tabla2[[#This Row],[dias de credito]]&gt;=Tabla2[[#This Row],[PLAZO Días]],"venc", "No venc")</f>
        <v>venc</v>
      </c>
      <c r="AC2918" s="163" t="str">
        <f>+IF(Tabla2[[#This Row],[FECHA DE PAGO]]&gt;0,"pagada","por pagar")</f>
        <v>por pagar</v>
      </c>
      <c r="AD2918" s="164" t="str">
        <f>+IF(AND(Tabla2[[#This Row],[venc]]="venc",Tabla2[[#This Row],[estado pago]]="por pagar"),"vencida","no")</f>
        <v>vencida</v>
      </c>
    </row>
    <row r="2919" spans="1:30" ht="19.5" hidden="1" customHeight="1" x14ac:dyDescent="0.25">
      <c r="A2919" s="8"/>
      <c r="B2919" s="8"/>
      <c r="C2919" s="8"/>
      <c r="D2919" s="151"/>
      <c r="E2919" s="151"/>
      <c r="F2919" s="24"/>
      <c r="G2919" s="30"/>
      <c r="H2919" s="81"/>
      <c r="I2919" s="30"/>
      <c r="J2919" s="16"/>
      <c r="K2919" s="9"/>
      <c r="L2919" s="9"/>
      <c r="M2919" s="152"/>
      <c r="N2919" s="153"/>
      <c r="O2919" s="152"/>
      <c r="P2919" s="154"/>
      <c r="Q2919" s="152"/>
      <c r="R2919" s="9"/>
      <c r="Z2919" s="21"/>
      <c r="AA2919" s="162">
        <f>+$AD$5-Tabla2[[#This Row],[FECHA DE FACTURACIÓN]]</f>
        <v>45443</v>
      </c>
      <c r="AB2919" s="163" t="str">
        <f>+IF(Tabla2[[#This Row],[dias de credito]]&gt;=Tabla2[[#This Row],[PLAZO Días]],"venc", "No venc")</f>
        <v>venc</v>
      </c>
      <c r="AC2919" s="163" t="str">
        <f>+IF(Tabla2[[#This Row],[FECHA DE PAGO]]&gt;0,"pagada","por pagar")</f>
        <v>por pagar</v>
      </c>
      <c r="AD2919" s="164" t="str">
        <f>+IF(AND(Tabla2[[#This Row],[venc]]="venc",Tabla2[[#This Row],[estado pago]]="por pagar"),"vencida","no")</f>
        <v>vencida</v>
      </c>
    </row>
    <row r="2920" spans="1:30" ht="19.5" hidden="1" customHeight="1" x14ac:dyDescent="0.25">
      <c r="A2920" s="8"/>
      <c r="B2920" s="8"/>
      <c r="C2920" s="8"/>
      <c r="D2920" s="151"/>
      <c r="E2920" s="151"/>
      <c r="F2920" s="24"/>
      <c r="G2920" s="30"/>
      <c r="H2920" s="81"/>
      <c r="I2920" s="30"/>
      <c r="J2920" s="16"/>
      <c r="K2920" s="9"/>
      <c r="L2920" s="9"/>
      <c r="M2920" s="152"/>
      <c r="N2920" s="153"/>
      <c r="O2920" s="152"/>
      <c r="P2920" s="154"/>
      <c r="Q2920" s="152"/>
      <c r="R2920" s="9"/>
      <c r="Z2920" s="21"/>
      <c r="AA2920" s="162">
        <f>+$AD$5-Tabla2[[#This Row],[FECHA DE FACTURACIÓN]]</f>
        <v>45443</v>
      </c>
      <c r="AB2920" s="163" t="str">
        <f>+IF(Tabla2[[#This Row],[dias de credito]]&gt;=Tabla2[[#This Row],[PLAZO Días]],"venc", "No venc")</f>
        <v>venc</v>
      </c>
      <c r="AC2920" s="163" t="str">
        <f>+IF(Tabla2[[#This Row],[FECHA DE PAGO]]&gt;0,"pagada","por pagar")</f>
        <v>por pagar</v>
      </c>
      <c r="AD2920" s="164" t="str">
        <f>+IF(AND(Tabla2[[#This Row],[venc]]="venc",Tabla2[[#This Row],[estado pago]]="por pagar"),"vencida","no")</f>
        <v>vencida</v>
      </c>
    </row>
    <row r="2921" spans="1:30" ht="19.5" hidden="1" customHeight="1" x14ac:dyDescent="0.25">
      <c r="A2921" s="8"/>
      <c r="B2921" s="8"/>
      <c r="C2921" s="8"/>
      <c r="D2921" s="151"/>
      <c r="E2921" s="151"/>
      <c r="F2921" s="24"/>
      <c r="G2921" s="30"/>
      <c r="H2921" s="81"/>
      <c r="I2921" s="30"/>
      <c r="J2921" s="16"/>
      <c r="K2921" s="9"/>
      <c r="L2921" s="9"/>
      <c r="M2921" s="152"/>
      <c r="N2921" s="153"/>
      <c r="O2921" s="152"/>
      <c r="P2921" s="154"/>
      <c r="Q2921" s="152"/>
      <c r="R2921" s="9"/>
      <c r="Z2921" s="21"/>
      <c r="AA2921" s="162">
        <f>+$AD$5-Tabla2[[#This Row],[FECHA DE FACTURACIÓN]]</f>
        <v>45443</v>
      </c>
      <c r="AB2921" s="163" t="str">
        <f>+IF(Tabla2[[#This Row],[dias de credito]]&gt;=Tabla2[[#This Row],[PLAZO Días]],"venc", "No venc")</f>
        <v>venc</v>
      </c>
      <c r="AC2921" s="163" t="str">
        <f>+IF(Tabla2[[#This Row],[FECHA DE PAGO]]&gt;0,"pagada","por pagar")</f>
        <v>por pagar</v>
      </c>
      <c r="AD2921" s="164" t="str">
        <f>+IF(AND(Tabla2[[#This Row],[venc]]="venc",Tabla2[[#This Row],[estado pago]]="por pagar"),"vencida","no")</f>
        <v>vencida</v>
      </c>
    </row>
    <row r="2922" spans="1:30" ht="19.5" hidden="1" customHeight="1" x14ac:dyDescent="0.25">
      <c r="A2922" s="8"/>
      <c r="B2922" s="8"/>
      <c r="C2922" s="8"/>
      <c r="D2922" s="151"/>
      <c r="E2922" s="151"/>
      <c r="F2922" s="24"/>
      <c r="G2922" s="30"/>
      <c r="H2922" s="81"/>
      <c r="I2922" s="30"/>
      <c r="J2922" s="16"/>
      <c r="K2922" s="9"/>
      <c r="L2922" s="9"/>
      <c r="M2922" s="152"/>
      <c r="N2922" s="153"/>
      <c r="O2922" s="152"/>
      <c r="P2922" s="154"/>
      <c r="Q2922" s="152"/>
      <c r="R2922" s="9"/>
      <c r="Z2922" s="21"/>
      <c r="AA2922" s="162">
        <f>+$AD$5-Tabla2[[#This Row],[FECHA DE FACTURACIÓN]]</f>
        <v>45443</v>
      </c>
      <c r="AB2922" s="163" t="str">
        <f>+IF(Tabla2[[#This Row],[dias de credito]]&gt;=Tabla2[[#This Row],[PLAZO Días]],"venc", "No venc")</f>
        <v>venc</v>
      </c>
      <c r="AC2922" s="163" t="str">
        <f>+IF(Tabla2[[#This Row],[FECHA DE PAGO]]&gt;0,"pagada","por pagar")</f>
        <v>por pagar</v>
      </c>
      <c r="AD2922" s="164" t="str">
        <f>+IF(AND(Tabla2[[#This Row],[venc]]="venc",Tabla2[[#This Row],[estado pago]]="por pagar"),"vencida","no")</f>
        <v>vencida</v>
      </c>
    </row>
    <row r="2923" spans="1:30" ht="19.5" hidden="1" customHeight="1" x14ac:dyDescent="0.25">
      <c r="A2923" s="8"/>
      <c r="B2923" s="8"/>
      <c r="C2923" s="8"/>
      <c r="D2923" s="151"/>
      <c r="E2923" s="151"/>
      <c r="F2923" s="24"/>
      <c r="G2923" s="30"/>
      <c r="H2923" s="81"/>
      <c r="I2923" s="30"/>
      <c r="J2923" s="16"/>
      <c r="K2923" s="9"/>
      <c r="L2923" s="9"/>
      <c r="M2923" s="152"/>
      <c r="N2923" s="153"/>
      <c r="O2923" s="152"/>
      <c r="P2923" s="154"/>
      <c r="Q2923" s="152"/>
      <c r="R2923" s="9"/>
      <c r="Z2923" s="21"/>
      <c r="AA2923" s="162">
        <f>+$AD$5-Tabla2[[#This Row],[FECHA DE FACTURACIÓN]]</f>
        <v>45443</v>
      </c>
      <c r="AB2923" s="163" t="str">
        <f>+IF(Tabla2[[#This Row],[dias de credito]]&gt;=Tabla2[[#This Row],[PLAZO Días]],"venc", "No venc")</f>
        <v>venc</v>
      </c>
      <c r="AC2923" s="163" t="str">
        <f>+IF(Tabla2[[#This Row],[FECHA DE PAGO]]&gt;0,"pagada","por pagar")</f>
        <v>por pagar</v>
      </c>
      <c r="AD2923" s="164" t="str">
        <f>+IF(AND(Tabla2[[#This Row],[venc]]="venc",Tabla2[[#This Row],[estado pago]]="por pagar"),"vencida","no")</f>
        <v>vencida</v>
      </c>
    </row>
    <row r="2924" spans="1:30" ht="19.5" hidden="1" customHeight="1" x14ac:dyDescent="0.25">
      <c r="A2924" s="8"/>
      <c r="B2924" s="8"/>
      <c r="C2924" s="8"/>
      <c r="D2924" s="151"/>
      <c r="E2924" s="151"/>
      <c r="F2924" s="24"/>
      <c r="G2924" s="30"/>
      <c r="H2924" s="81"/>
      <c r="I2924" s="30"/>
      <c r="J2924" s="16"/>
      <c r="K2924" s="9"/>
      <c r="L2924" s="9"/>
      <c r="M2924" s="152"/>
      <c r="N2924" s="153"/>
      <c r="O2924" s="152"/>
      <c r="P2924" s="154"/>
      <c r="Q2924" s="152"/>
      <c r="R2924" s="9"/>
      <c r="Z2924" s="21"/>
      <c r="AA2924" s="162">
        <f>+$AD$5-Tabla2[[#This Row],[FECHA DE FACTURACIÓN]]</f>
        <v>45443</v>
      </c>
      <c r="AB2924" s="163" t="str">
        <f>+IF(Tabla2[[#This Row],[dias de credito]]&gt;=Tabla2[[#This Row],[PLAZO Días]],"venc", "No venc")</f>
        <v>venc</v>
      </c>
      <c r="AC2924" s="163" t="str">
        <f>+IF(Tabla2[[#This Row],[FECHA DE PAGO]]&gt;0,"pagada","por pagar")</f>
        <v>por pagar</v>
      </c>
      <c r="AD2924" s="164" t="str">
        <f>+IF(AND(Tabla2[[#This Row],[venc]]="venc",Tabla2[[#This Row],[estado pago]]="por pagar"),"vencida","no")</f>
        <v>vencida</v>
      </c>
    </row>
    <row r="2925" spans="1:30" ht="19.5" hidden="1" customHeight="1" x14ac:dyDescent="0.25">
      <c r="A2925" s="8"/>
      <c r="B2925" s="8"/>
      <c r="C2925" s="8"/>
      <c r="D2925" s="151"/>
      <c r="E2925" s="151"/>
      <c r="F2925" s="24"/>
      <c r="G2925" s="30"/>
      <c r="H2925" s="81"/>
      <c r="I2925" s="30"/>
      <c r="J2925" s="16"/>
      <c r="K2925" s="9"/>
      <c r="L2925" s="9"/>
      <c r="M2925" s="152"/>
      <c r="N2925" s="153"/>
      <c r="O2925" s="152"/>
      <c r="P2925" s="154"/>
      <c r="Q2925" s="152"/>
      <c r="R2925" s="9"/>
      <c r="Z2925" s="21"/>
      <c r="AA2925" s="162">
        <f>+$AD$5-Tabla2[[#This Row],[FECHA DE FACTURACIÓN]]</f>
        <v>45443</v>
      </c>
      <c r="AB2925" s="163" t="str">
        <f>+IF(Tabla2[[#This Row],[dias de credito]]&gt;=Tabla2[[#This Row],[PLAZO Días]],"venc", "No venc")</f>
        <v>venc</v>
      </c>
      <c r="AC2925" s="163" t="str">
        <f>+IF(Tabla2[[#This Row],[FECHA DE PAGO]]&gt;0,"pagada","por pagar")</f>
        <v>por pagar</v>
      </c>
      <c r="AD2925" s="164" t="str">
        <f>+IF(AND(Tabla2[[#This Row],[venc]]="venc",Tabla2[[#This Row],[estado pago]]="por pagar"),"vencida","no")</f>
        <v>vencida</v>
      </c>
    </row>
    <row r="2926" spans="1:30" ht="19.5" hidden="1" customHeight="1" x14ac:dyDescent="0.25">
      <c r="A2926" s="8"/>
      <c r="B2926" s="8"/>
      <c r="C2926" s="8"/>
      <c r="D2926" s="151"/>
      <c r="E2926" s="151"/>
      <c r="F2926" s="24"/>
      <c r="G2926" s="30"/>
      <c r="H2926" s="81"/>
      <c r="I2926" s="30"/>
      <c r="J2926" s="16"/>
      <c r="K2926" s="9"/>
      <c r="L2926" s="9"/>
      <c r="M2926" s="152"/>
      <c r="N2926" s="153"/>
      <c r="O2926" s="152"/>
      <c r="P2926" s="154"/>
      <c r="Q2926" s="152"/>
      <c r="R2926" s="9"/>
      <c r="Z2926" s="21"/>
      <c r="AA2926" s="162">
        <f>+$AD$5-Tabla2[[#This Row],[FECHA DE FACTURACIÓN]]</f>
        <v>45443</v>
      </c>
      <c r="AB2926" s="163" t="str">
        <f>+IF(Tabla2[[#This Row],[dias de credito]]&gt;=Tabla2[[#This Row],[PLAZO Días]],"venc", "No venc")</f>
        <v>venc</v>
      </c>
      <c r="AC2926" s="163" t="str">
        <f>+IF(Tabla2[[#This Row],[FECHA DE PAGO]]&gt;0,"pagada","por pagar")</f>
        <v>por pagar</v>
      </c>
      <c r="AD2926" s="164" t="str">
        <f>+IF(AND(Tabla2[[#This Row],[venc]]="venc",Tabla2[[#This Row],[estado pago]]="por pagar"),"vencida","no")</f>
        <v>vencida</v>
      </c>
    </row>
    <row r="2927" spans="1:30" ht="19.5" hidden="1" customHeight="1" x14ac:dyDescent="0.25">
      <c r="A2927" s="8"/>
      <c r="B2927" s="8"/>
      <c r="C2927" s="8"/>
      <c r="D2927" s="151"/>
      <c r="E2927" s="151"/>
      <c r="F2927" s="24"/>
      <c r="G2927" s="30"/>
      <c r="H2927" s="81"/>
      <c r="I2927" s="30"/>
      <c r="J2927" s="16"/>
      <c r="K2927" s="9"/>
      <c r="L2927" s="9"/>
      <c r="M2927" s="152"/>
      <c r="N2927" s="153"/>
      <c r="O2927" s="152"/>
      <c r="P2927" s="154"/>
      <c r="Q2927" s="152"/>
      <c r="R2927" s="9"/>
      <c r="Z2927" s="21"/>
      <c r="AA2927" s="162">
        <f>+$AD$5-Tabla2[[#This Row],[FECHA DE FACTURACIÓN]]</f>
        <v>45443</v>
      </c>
      <c r="AB2927" s="163" t="str">
        <f>+IF(Tabla2[[#This Row],[dias de credito]]&gt;=Tabla2[[#This Row],[PLAZO Días]],"venc", "No venc")</f>
        <v>venc</v>
      </c>
      <c r="AC2927" s="163" t="str">
        <f>+IF(Tabla2[[#This Row],[FECHA DE PAGO]]&gt;0,"pagada","por pagar")</f>
        <v>por pagar</v>
      </c>
      <c r="AD2927" s="164" t="str">
        <f>+IF(AND(Tabla2[[#This Row],[venc]]="venc",Tabla2[[#This Row],[estado pago]]="por pagar"),"vencida","no")</f>
        <v>vencida</v>
      </c>
    </row>
    <row r="2928" spans="1:30" ht="19.5" hidden="1" customHeight="1" x14ac:dyDescent="0.25">
      <c r="A2928" s="8"/>
      <c r="B2928" s="8"/>
      <c r="C2928" s="8"/>
      <c r="D2928" s="151"/>
      <c r="E2928" s="151"/>
      <c r="F2928" s="24"/>
      <c r="G2928" s="30"/>
      <c r="H2928" s="81"/>
      <c r="I2928" s="30"/>
      <c r="J2928" s="16"/>
      <c r="K2928" s="9"/>
      <c r="L2928" s="9"/>
      <c r="M2928" s="152"/>
      <c r="N2928" s="153"/>
      <c r="O2928" s="152"/>
      <c r="P2928" s="154"/>
      <c r="Q2928" s="152"/>
      <c r="R2928" s="9"/>
      <c r="Z2928" s="21"/>
      <c r="AA2928" s="162">
        <f>+$AD$5-Tabla2[[#This Row],[FECHA DE FACTURACIÓN]]</f>
        <v>45443</v>
      </c>
      <c r="AB2928" s="163" t="str">
        <f>+IF(Tabla2[[#This Row],[dias de credito]]&gt;=Tabla2[[#This Row],[PLAZO Días]],"venc", "No venc")</f>
        <v>venc</v>
      </c>
      <c r="AC2928" s="163" t="str">
        <f>+IF(Tabla2[[#This Row],[FECHA DE PAGO]]&gt;0,"pagada","por pagar")</f>
        <v>por pagar</v>
      </c>
      <c r="AD2928" s="164" t="str">
        <f>+IF(AND(Tabla2[[#This Row],[venc]]="venc",Tabla2[[#This Row],[estado pago]]="por pagar"),"vencida","no")</f>
        <v>vencida</v>
      </c>
    </row>
    <row r="2929" spans="1:30" ht="19.5" hidden="1" customHeight="1" x14ac:dyDescent="0.25">
      <c r="A2929" s="8"/>
      <c r="B2929" s="8"/>
      <c r="C2929" s="8"/>
      <c r="D2929" s="151"/>
      <c r="E2929" s="151"/>
      <c r="F2929" s="24"/>
      <c r="G2929" s="30"/>
      <c r="H2929" s="81"/>
      <c r="I2929" s="30"/>
      <c r="J2929" s="16"/>
      <c r="K2929" s="9"/>
      <c r="L2929" s="9"/>
      <c r="M2929" s="152"/>
      <c r="N2929" s="153"/>
      <c r="O2929" s="152"/>
      <c r="P2929" s="154"/>
      <c r="Q2929" s="152"/>
      <c r="R2929" s="9"/>
      <c r="Z2929" s="21"/>
      <c r="AA2929" s="162">
        <f>+$AD$5-Tabla2[[#This Row],[FECHA DE FACTURACIÓN]]</f>
        <v>45443</v>
      </c>
      <c r="AB2929" s="163" t="str">
        <f>+IF(Tabla2[[#This Row],[dias de credito]]&gt;=Tabla2[[#This Row],[PLAZO Días]],"venc", "No venc")</f>
        <v>venc</v>
      </c>
      <c r="AC2929" s="163" t="str">
        <f>+IF(Tabla2[[#This Row],[FECHA DE PAGO]]&gt;0,"pagada","por pagar")</f>
        <v>por pagar</v>
      </c>
      <c r="AD2929" s="164" t="str">
        <f>+IF(AND(Tabla2[[#This Row],[venc]]="venc",Tabla2[[#This Row],[estado pago]]="por pagar"),"vencida","no")</f>
        <v>vencida</v>
      </c>
    </row>
    <row r="2930" spans="1:30" ht="19.5" hidden="1" customHeight="1" x14ac:dyDescent="0.25">
      <c r="A2930" s="8"/>
      <c r="B2930" s="8"/>
      <c r="C2930" s="8"/>
      <c r="D2930" s="151"/>
      <c r="E2930" s="151"/>
      <c r="F2930" s="24"/>
      <c r="G2930" s="30"/>
      <c r="H2930" s="81"/>
      <c r="I2930" s="30"/>
      <c r="J2930" s="16"/>
      <c r="K2930" s="9"/>
      <c r="L2930" s="9"/>
      <c r="M2930" s="152"/>
      <c r="N2930" s="153"/>
      <c r="O2930" s="152"/>
      <c r="P2930" s="154"/>
      <c r="Q2930" s="152"/>
      <c r="R2930" s="9"/>
      <c r="Z2930" s="21"/>
      <c r="AA2930" s="162">
        <f>+$AD$5-Tabla2[[#This Row],[FECHA DE FACTURACIÓN]]</f>
        <v>45443</v>
      </c>
      <c r="AB2930" s="163" t="str">
        <f>+IF(Tabla2[[#This Row],[dias de credito]]&gt;=Tabla2[[#This Row],[PLAZO Días]],"venc", "No venc")</f>
        <v>venc</v>
      </c>
      <c r="AC2930" s="163" t="str">
        <f>+IF(Tabla2[[#This Row],[FECHA DE PAGO]]&gt;0,"pagada","por pagar")</f>
        <v>por pagar</v>
      </c>
      <c r="AD2930" s="164" t="str">
        <f>+IF(AND(Tabla2[[#This Row],[venc]]="venc",Tabla2[[#This Row],[estado pago]]="por pagar"),"vencida","no")</f>
        <v>vencida</v>
      </c>
    </row>
    <row r="2931" spans="1:30" ht="19.5" hidden="1" customHeight="1" x14ac:dyDescent="0.25">
      <c r="A2931" s="8"/>
      <c r="B2931" s="8"/>
      <c r="C2931" s="8"/>
      <c r="D2931" s="151"/>
      <c r="E2931" s="151"/>
      <c r="F2931" s="24"/>
      <c r="G2931" s="30"/>
      <c r="H2931" s="81"/>
      <c r="I2931" s="30"/>
      <c r="J2931" s="16"/>
      <c r="K2931" s="9"/>
      <c r="L2931" s="9"/>
      <c r="M2931" s="152"/>
      <c r="N2931" s="153"/>
      <c r="O2931" s="152"/>
      <c r="P2931" s="154"/>
      <c r="Q2931" s="152"/>
      <c r="R2931" s="9"/>
      <c r="Z2931" s="21"/>
      <c r="AA2931" s="162">
        <f>+$AD$5-Tabla2[[#This Row],[FECHA DE FACTURACIÓN]]</f>
        <v>45443</v>
      </c>
      <c r="AB2931" s="163" t="str">
        <f>+IF(Tabla2[[#This Row],[dias de credito]]&gt;=Tabla2[[#This Row],[PLAZO Días]],"venc", "No venc")</f>
        <v>venc</v>
      </c>
      <c r="AC2931" s="163" t="str">
        <f>+IF(Tabla2[[#This Row],[FECHA DE PAGO]]&gt;0,"pagada","por pagar")</f>
        <v>por pagar</v>
      </c>
      <c r="AD2931" s="164" t="str">
        <f>+IF(AND(Tabla2[[#This Row],[venc]]="venc",Tabla2[[#This Row],[estado pago]]="por pagar"),"vencida","no")</f>
        <v>vencida</v>
      </c>
    </row>
    <row r="2932" spans="1:30" ht="19.5" hidden="1" customHeight="1" x14ac:dyDescent="0.25">
      <c r="A2932" s="8"/>
      <c r="B2932" s="8"/>
      <c r="C2932" s="8"/>
      <c r="D2932" s="151"/>
      <c r="E2932" s="151"/>
      <c r="F2932" s="24"/>
      <c r="G2932" s="30"/>
      <c r="H2932" s="81"/>
      <c r="I2932" s="30"/>
      <c r="J2932" s="16"/>
      <c r="K2932" s="9"/>
      <c r="L2932" s="9"/>
      <c r="M2932" s="152"/>
      <c r="N2932" s="153"/>
      <c r="O2932" s="152"/>
      <c r="P2932" s="154"/>
      <c r="Q2932" s="152"/>
      <c r="R2932" s="9"/>
      <c r="Z2932" s="21"/>
      <c r="AA2932" s="162">
        <f>+$AD$5-Tabla2[[#This Row],[FECHA DE FACTURACIÓN]]</f>
        <v>45443</v>
      </c>
      <c r="AB2932" s="163" t="str">
        <f>+IF(Tabla2[[#This Row],[dias de credito]]&gt;=Tabla2[[#This Row],[PLAZO Días]],"venc", "No venc")</f>
        <v>venc</v>
      </c>
      <c r="AC2932" s="163" t="str">
        <f>+IF(Tabla2[[#This Row],[FECHA DE PAGO]]&gt;0,"pagada","por pagar")</f>
        <v>por pagar</v>
      </c>
      <c r="AD2932" s="164" t="str">
        <f>+IF(AND(Tabla2[[#This Row],[venc]]="venc",Tabla2[[#This Row],[estado pago]]="por pagar"),"vencida","no")</f>
        <v>vencida</v>
      </c>
    </row>
    <row r="2933" spans="1:30" ht="19.5" hidden="1" customHeight="1" x14ac:dyDescent="0.25">
      <c r="A2933" s="8"/>
      <c r="B2933" s="8"/>
      <c r="C2933" s="8"/>
      <c r="D2933" s="151"/>
      <c r="E2933" s="151"/>
      <c r="F2933" s="24"/>
      <c r="G2933" s="30"/>
      <c r="H2933" s="81"/>
      <c r="I2933" s="30"/>
      <c r="J2933" s="16"/>
      <c r="K2933" s="9"/>
      <c r="L2933" s="9"/>
      <c r="M2933" s="152"/>
      <c r="N2933" s="153"/>
      <c r="O2933" s="152"/>
      <c r="P2933" s="154"/>
      <c r="Q2933" s="152"/>
      <c r="R2933" s="9"/>
      <c r="Z2933" s="21"/>
      <c r="AA2933" s="162">
        <f>+$AD$5-Tabla2[[#This Row],[FECHA DE FACTURACIÓN]]</f>
        <v>45443</v>
      </c>
      <c r="AB2933" s="163" t="str">
        <f>+IF(Tabla2[[#This Row],[dias de credito]]&gt;=Tabla2[[#This Row],[PLAZO Días]],"venc", "No venc")</f>
        <v>venc</v>
      </c>
      <c r="AC2933" s="163" t="str">
        <f>+IF(Tabla2[[#This Row],[FECHA DE PAGO]]&gt;0,"pagada","por pagar")</f>
        <v>por pagar</v>
      </c>
      <c r="AD2933" s="164" t="str">
        <f>+IF(AND(Tabla2[[#This Row],[venc]]="venc",Tabla2[[#This Row],[estado pago]]="por pagar"),"vencida","no")</f>
        <v>vencida</v>
      </c>
    </row>
    <row r="2934" spans="1:30" ht="19.5" hidden="1" customHeight="1" x14ac:dyDescent="0.25">
      <c r="A2934" s="8"/>
      <c r="B2934" s="8"/>
      <c r="C2934" s="8"/>
      <c r="D2934" s="151"/>
      <c r="E2934" s="151"/>
      <c r="F2934" s="24"/>
      <c r="G2934" s="30"/>
      <c r="H2934" s="81"/>
      <c r="I2934" s="30"/>
      <c r="J2934" s="16"/>
      <c r="K2934" s="9"/>
      <c r="L2934" s="9"/>
      <c r="M2934" s="152"/>
      <c r="N2934" s="153"/>
      <c r="O2934" s="152"/>
      <c r="P2934" s="154"/>
      <c r="Q2934" s="152"/>
      <c r="R2934" s="9"/>
      <c r="Z2934" s="21"/>
      <c r="AA2934" s="162">
        <f>+$AD$5-Tabla2[[#This Row],[FECHA DE FACTURACIÓN]]</f>
        <v>45443</v>
      </c>
      <c r="AB2934" s="163" t="str">
        <f>+IF(Tabla2[[#This Row],[dias de credito]]&gt;=Tabla2[[#This Row],[PLAZO Días]],"venc", "No venc")</f>
        <v>venc</v>
      </c>
      <c r="AC2934" s="163" t="str">
        <f>+IF(Tabla2[[#This Row],[FECHA DE PAGO]]&gt;0,"pagada","por pagar")</f>
        <v>por pagar</v>
      </c>
      <c r="AD2934" s="164" t="str">
        <f>+IF(AND(Tabla2[[#This Row],[venc]]="venc",Tabla2[[#This Row],[estado pago]]="por pagar"),"vencida","no")</f>
        <v>vencida</v>
      </c>
    </row>
    <row r="2935" spans="1:30" ht="19.5" hidden="1" customHeight="1" x14ac:dyDescent="0.25">
      <c r="A2935" s="8"/>
      <c r="B2935" s="8"/>
      <c r="C2935" s="8"/>
      <c r="D2935" s="151"/>
      <c r="E2935" s="151"/>
      <c r="F2935" s="24"/>
      <c r="G2935" s="30"/>
      <c r="H2935" s="81"/>
      <c r="I2935" s="30"/>
      <c r="J2935" s="16"/>
      <c r="K2935" s="9"/>
      <c r="L2935" s="9"/>
      <c r="M2935" s="152"/>
      <c r="N2935" s="153"/>
      <c r="O2935" s="152"/>
      <c r="P2935" s="154"/>
      <c r="Q2935" s="152"/>
      <c r="R2935" s="9"/>
      <c r="Z2935" s="21"/>
      <c r="AA2935" s="162">
        <f>+$AD$5-Tabla2[[#This Row],[FECHA DE FACTURACIÓN]]</f>
        <v>45443</v>
      </c>
      <c r="AB2935" s="163" t="str">
        <f>+IF(Tabla2[[#This Row],[dias de credito]]&gt;=Tabla2[[#This Row],[PLAZO Días]],"venc", "No venc")</f>
        <v>venc</v>
      </c>
      <c r="AC2935" s="163" t="str">
        <f>+IF(Tabla2[[#This Row],[FECHA DE PAGO]]&gt;0,"pagada","por pagar")</f>
        <v>por pagar</v>
      </c>
      <c r="AD2935" s="164" t="str">
        <f>+IF(AND(Tabla2[[#This Row],[venc]]="venc",Tabla2[[#This Row],[estado pago]]="por pagar"),"vencida","no")</f>
        <v>vencida</v>
      </c>
    </row>
    <row r="2936" spans="1:30" ht="19.5" hidden="1" customHeight="1" x14ac:dyDescent="0.25">
      <c r="A2936" s="8"/>
      <c r="B2936" s="8"/>
      <c r="C2936" s="8"/>
      <c r="D2936" s="151"/>
      <c r="E2936" s="151"/>
      <c r="F2936" s="24"/>
      <c r="G2936" s="30"/>
      <c r="H2936" s="81"/>
      <c r="I2936" s="30"/>
      <c r="J2936" s="16"/>
      <c r="K2936" s="9"/>
      <c r="L2936" s="9"/>
      <c r="M2936" s="152"/>
      <c r="N2936" s="153"/>
      <c r="O2936" s="152"/>
      <c r="P2936" s="154"/>
      <c r="Q2936" s="152"/>
      <c r="R2936" s="9"/>
      <c r="Z2936" s="21"/>
      <c r="AA2936" s="162">
        <f>+$AD$5-Tabla2[[#This Row],[FECHA DE FACTURACIÓN]]</f>
        <v>45443</v>
      </c>
      <c r="AB2936" s="163" t="str">
        <f>+IF(Tabla2[[#This Row],[dias de credito]]&gt;=Tabla2[[#This Row],[PLAZO Días]],"venc", "No venc")</f>
        <v>venc</v>
      </c>
      <c r="AC2936" s="163" t="str">
        <f>+IF(Tabla2[[#This Row],[FECHA DE PAGO]]&gt;0,"pagada","por pagar")</f>
        <v>por pagar</v>
      </c>
      <c r="AD2936" s="164" t="str">
        <f>+IF(AND(Tabla2[[#This Row],[venc]]="venc",Tabla2[[#This Row],[estado pago]]="por pagar"),"vencida","no")</f>
        <v>vencida</v>
      </c>
    </row>
    <row r="2937" spans="1:30" ht="19.5" hidden="1" customHeight="1" x14ac:dyDescent="0.25">
      <c r="A2937" s="8"/>
      <c r="B2937" s="8"/>
      <c r="C2937" s="8"/>
      <c r="D2937" s="151"/>
      <c r="E2937" s="151"/>
      <c r="F2937" s="24"/>
      <c r="G2937" s="30"/>
      <c r="H2937" s="81"/>
      <c r="I2937" s="30"/>
      <c r="J2937" s="16"/>
      <c r="K2937" s="9"/>
      <c r="L2937" s="9"/>
      <c r="M2937" s="152"/>
      <c r="N2937" s="153"/>
      <c r="O2937" s="152"/>
      <c r="P2937" s="154"/>
      <c r="Q2937" s="152"/>
      <c r="R2937" s="9"/>
      <c r="Z2937" s="21"/>
      <c r="AA2937" s="162">
        <f>+$AD$5-Tabla2[[#This Row],[FECHA DE FACTURACIÓN]]</f>
        <v>45443</v>
      </c>
      <c r="AB2937" s="163" t="str">
        <f>+IF(Tabla2[[#This Row],[dias de credito]]&gt;=Tabla2[[#This Row],[PLAZO Días]],"venc", "No venc")</f>
        <v>venc</v>
      </c>
      <c r="AC2937" s="163" t="str">
        <f>+IF(Tabla2[[#This Row],[FECHA DE PAGO]]&gt;0,"pagada","por pagar")</f>
        <v>por pagar</v>
      </c>
      <c r="AD2937" s="164" t="str">
        <f>+IF(AND(Tabla2[[#This Row],[venc]]="venc",Tabla2[[#This Row],[estado pago]]="por pagar"),"vencida","no")</f>
        <v>vencida</v>
      </c>
    </row>
    <row r="2938" spans="1:30" ht="19.5" hidden="1" customHeight="1" x14ac:dyDescent="0.25">
      <c r="A2938" s="8"/>
      <c r="B2938" s="8"/>
      <c r="C2938" s="8"/>
      <c r="D2938" s="151"/>
      <c r="E2938" s="151"/>
      <c r="F2938" s="24"/>
      <c r="G2938" s="30"/>
      <c r="H2938" s="81"/>
      <c r="I2938" s="30"/>
      <c r="J2938" s="16"/>
      <c r="K2938" s="9"/>
      <c r="L2938" s="9"/>
      <c r="M2938" s="152"/>
      <c r="N2938" s="153"/>
      <c r="O2938" s="152"/>
      <c r="P2938" s="154"/>
      <c r="Q2938" s="152"/>
      <c r="R2938" s="9"/>
      <c r="Z2938" s="21"/>
      <c r="AA2938" s="162">
        <f>+$AD$5-Tabla2[[#This Row],[FECHA DE FACTURACIÓN]]</f>
        <v>45443</v>
      </c>
      <c r="AB2938" s="163" t="str">
        <f>+IF(Tabla2[[#This Row],[dias de credito]]&gt;=Tabla2[[#This Row],[PLAZO Días]],"venc", "No venc")</f>
        <v>venc</v>
      </c>
      <c r="AC2938" s="163" t="str">
        <f>+IF(Tabla2[[#This Row],[FECHA DE PAGO]]&gt;0,"pagada","por pagar")</f>
        <v>por pagar</v>
      </c>
      <c r="AD2938" s="164" t="str">
        <f>+IF(AND(Tabla2[[#This Row],[venc]]="venc",Tabla2[[#This Row],[estado pago]]="por pagar"),"vencida","no")</f>
        <v>vencida</v>
      </c>
    </row>
    <row r="2939" spans="1:30" ht="19.5" hidden="1" customHeight="1" x14ac:dyDescent="0.25">
      <c r="A2939" s="8"/>
      <c r="B2939" s="8"/>
      <c r="C2939" s="8"/>
      <c r="D2939" s="151"/>
      <c r="E2939" s="151"/>
      <c r="F2939" s="24"/>
      <c r="G2939" s="30"/>
      <c r="H2939" s="81"/>
      <c r="I2939" s="30"/>
      <c r="J2939" s="16"/>
      <c r="K2939" s="9"/>
      <c r="L2939" s="9"/>
      <c r="M2939" s="152"/>
      <c r="N2939" s="153"/>
      <c r="O2939" s="152"/>
      <c r="P2939" s="154"/>
      <c r="Q2939" s="152"/>
      <c r="R2939" s="9"/>
      <c r="Z2939" s="21"/>
      <c r="AA2939" s="162">
        <f>+$AD$5-Tabla2[[#This Row],[FECHA DE FACTURACIÓN]]</f>
        <v>45443</v>
      </c>
      <c r="AB2939" s="163" t="str">
        <f>+IF(Tabla2[[#This Row],[dias de credito]]&gt;=Tabla2[[#This Row],[PLAZO Días]],"venc", "No venc")</f>
        <v>venc</v>
      </c>
      <c r="AC2939" s="163" t="str">
        <f>+IF(Tabla2[[#This Row],[FECHA DE PAGO]]&gt;0,"pagada","por pagar")</f>
        <v>por pagar</v>
      </c>
      <c r="AD2939" s="164" t="str">
        <f>+IF(AND(Tabla2[[#This Row],[venc]]="venc",Tabla2[[#This Row],[estado pago]]="por pagar"),"vencida","no")</f>
        <v>vencida</v>
      </c>
    </row>
    <row r="2940" spans="1:30" ht="19.5" hidden="1" customHeight="1" x14ac:dyDescent="0.25">
      <c r="A2940" s="8"/>
      <c r="B2940" s="8"/>
      <c r="C2940" s="8"/>
      <c r="D2940" s="151"/>
      <c r="E2940" s="151"/>
      <c r="F2940" s="24"/>
      <c r="G2940" s="30"/>
      <c r="H2940" s="81"/>
      <c r="I2940" s="30"/>
      <c r="J2940" s="16"/>
      <c r="K2940" s="9"/>
      <c r="L2940" s="9"/>
      <c r="M2940" s="152"/>
      <c r="N2940" s="153"/>
      <c r="O2940" s="152"/>
      <c r="P2940" s="154"/>
      <c r="Q2940" s="152"/>
      <c r="R2940" s="9"/>
      <c r="Z2940" s="21"/>
      <c r="AA2940" s="162">
        <f>+$AD$5-Tabla2[[#This Row],[FECHA DE FACTURACIÓN]]</f>
        <v>45443</v>
      </c>
      <c r="AB2940" s="163" t="str">
        <f>+IF(Tabla2[[#This Row],[dias de credito]]&gt;=Tabla2[[#This Row],[PLAZO Días]],"venc", "No venc")</f>
        <v>venc</v>
      </c>
      <c r="AC2940" s="163" t="str">
        <f>+IF(Tabla2[[#This Row],[FECHA DE PAGO]]&gt;0,"pagada","por pagar")</f>
        <v>por pagar</v>
      </c>
      <c r="AD2940" s="164" t="str">
        <f>+IF(AND(Tabla2[[#This Row],[venc]]="venc",Tabla2[[#This Row],[estado pago]]="por pagar"),"vencida","no")</f>
        <v>vencida</v>
      </c>
    </row>
    <row r="2941" spans="1:30" ht="19.5" hidden="1" customHeight="1" x14ac:dyDescent="0.25">
      <c r="A2941" s="8"/>
      <c r="B2941" s="8"/>
      <c r="C2941" s="8"/>
      <c r="D2941" s="151"/>
      <c r="E2941" s="151"/>
      <c r="F2941" s="24"/>
      <c r="G2941" s="30"/>
      <c r="H2941" s="81"/>
      <c r="I2941" s="30"/>
      <c r="J2941" s="16"/>
      <c r="K2941" s="9"/>
      <c r="L2941" s="9"/>
      <c r="M2941" s="152"/>
      <c r="N2941" s="153"/>
      <c r="O2941" s="152"/>
      <c r="P2941" s="154"/>
      <c r="Q2941" s="152"/>
      <c r="R2941" s="9"/>
      <c r="Z2941" s="21"/>
      <c r="AA2941" s="162">
        <f>+$AD$5-Tabla2[[#This Row],[FECHA DE FACTURACIÓN]]</f>
        <v>45443</v>
      </c>
      <c r="AB2941" s="163" t="str">
        <f>+IF(Tabla2[[#This Row],[dias de credito]]&gt;=Tabla2[[#This Row],[PLAZO Días]],"venc", "No venc")</f>
        <v>venc</v>
      </c>
      <c r="AC2941" s="163" t="str">
        <f>+IF(Tabla2[[#This Row],[FECHA DE PAGO]]&gt;0,"pagada","por pagar")</f>
        <v>por pagar</v>
      </c>
      <c r="AD2941" s="164" t="str">
        <f>+IF(AND(Tabla2[[#This Row],[venc]]="venc",Tabla2[[#This Row],[estado pago]]="por pagar"),"vencida","no")</f>
        <v>vencida</v>
      </c>
    </row>
    <row r="2942" spans="1:30" ht="19.5" hidden="1" customHeight="1" x14ac:dyDescent="0.25">
      <c r="A2942" s="8"/>
      <c r="B2942" s="8"/>
      <c r="C2942" s="8"/>
      <c r="D2942" s="151"/>
      <c r="E2942" s="151"/>
      <c r="F2942" s="24"/>
      <c r="G2942" s="30"/>
      <c r="H2942" s="81"/>
      <c r="I2942" s="30"/>
      <c r="J2942" s="16"/>
      <c r="K2942" s="9"/>
      <c r="L2942" s="9"/>
      <c r="M2942" s="152"/>
      <c r="N2942" s="153"/>
      <c r="O2942" s="152"/>
      <c r="P2942" s="154"/>
      <c r="Q2942" s="152"/>
      <c r="R2942" s="9"/>
      <c r="Z2942" s="21"/>
      <c r="AA2942" s="162">
        <f>+$AD$5-Tabla2[[#This Row],[FECHA DE FACTURACIÓN]]</f>
        <v>45443</v>
      </c>
      <c r="AB2942" s="163" t="str">
        <f>+IF(Tabla2[[#This Row],[dias de credito]]&gt;=Tabla2[[#This Row],[PLAZO Días]],"venc", "No venc")</f>
        <v>venc</v>
      </c>
      <c r="AC2942" s="163" t="str">
        <f>+IF(Tabla2[[#This Row],[FECHA DE PAGO]]&gt;0,"pagada","por pagar")</f>
        <v>por pagar</v>
      </c>
      <c r="AD2942" s="164" t="str">
        <f>+IF(AND(Tabla2[[#This Row],[venc]]="venc",Tabla2[[#This Row],[estado pago]]="por pagar"),"vencida","no")</f>
        <v>vencida</v>
      </c>
    </row>
    <row r="2943" spans="1:30" ht="19.5" hidden="1" customHeight="1" x14ac:dyDescent="0.25">
      <c r="A2943" s="8"/>
      <c r="B2943" s="8"/>
      <c r="C2943" s="8"/>
      <c r="D2943" s="151"/>
      <c r="E2943" s="151"/>
      <c r="F2943" s="24"/>
      <c r="G2943" s="30"/>
      <c r="H2943" s="81"/>
      <c r="I2943" s="30"/>
      <c r="J2943" s="16"/>
      <c r="K2943" s="9"/>
      <c r="L2943" s="9"/>
      <c r="M2943" s="152"/>
      <c r="N2943" s="153"/>
      <c r="O2943" s="152"/>
      <c r="P2943" s="154"/>
      <c r="Q2943" s="152"/>
      <c r="R2943" s="9"/>
      <c r="Z2943" s="21"/>
      <c r="AA2943" s="162">
        <f>+$AD$5-Tabla2[[#This Row],[FECHA DE FACTURACIÓN]]</f>
        <v>45443</v>
      </c>
      <c r="AB2943" s="163" t="str">
        <f>+IF(Tabla2[[#This Row],[dias de credito]]&gt;=Tabla2[[#This Row],[PLAZO Días]],"venc", "No venc")</f>
        <v>venc</v>
      </c>
      <c r="AC2943" s="163" t="str">
        <f>+IF(Tabla2[[#This Row],[FECHA DE PAGO]]&gt;0,"pagada","por pagar")</f>
        <v>por pagar</v>
      </c>
      <c r="AD2943" s="164" t="str">
        <f>+IF(AND(Tabla2[[#This Row],[venc]]="venc",Tabla2[[#This Row],[estado pago]]="por pagar"),"vencida","no")</f>
        <v>vencida</v>
      </c>
    </row>
    <row r="2944" spans="1:30" ht="19.5" hidden="1" customHeight="1" x14ac:dyDescent="0.25">
      <c r="A2944" s="8"/>
      <c r="B2944" s="8"/>
      <c r="C2944" s="8"/>
      <c r="D2944" s="151"/>
      <c r="E2944" s="151"/>
      <c r="F2944" s="24"/>
      <c r="G2944" s="30"/>
      <c r="H2944" s="81"/>
      <c r="I2944" s="30"/>
      <c r="J2944" s="16"/>
      <c r="K2944" s="9"/>
      <c r="L2944" s="9"/>
      <c r="M2944" s="152"/>
      <c r="N2944" s="153"/>
      <c r="O2944" s="152"/>
      <c r="P2944" s="154"/>
      <c r="Q2944" s="152"/>
      <c r="R2944" s="9"/>
      <c r="Z2944" s="21"/>
      <c r="AA2944" s="162">
        <f>+$AD$5-Tabla2[[#This Row],[FECHA DE FACTURACIÓN]]</f>
        <v>45443</v>
      </c>
      <c r="AB2944" s="163" t="str">
        <f>+IF(Tabla2[[#This Row],[dias de credito]]&gt;=Tabla2[[#This Row],[PLAZO Días]],"venc", "No venc")</f>
        <v>venc</v>
      </c>
      <c r="AC2944" s="163" t="str">
        <f>+IF(Tabla2[[#This Row],[FECHA DE PAGO]]&gt;0,"pagada","por pagar")</f>
        <v>por pagar</v>
      </c>
      <c r="AD2944" s="164" t="str">
        <f>+IF(AND(Tabla2[[#This Row],[venc]]="venc",Tabla2[[#This Row],[estado pago]]="por pagar"),"vencida","no")</f>
        <v>vencida</v>
      </c>
    </row>
    <row r="2945" spans="1:30" ht="19.5" hidden="1" customHeight="1" x14ac:dyDescent="0.25">
      <c r="A2945" s="8"/>
      <c r="B2945" s="8"/>
      <c r="C2945" s="8"/>
      <c r="D2945" s="151"/>
      <c r="E2945" s="151"/>
      <c r="F2945" s="24"/>
      <c r="G2945" s="30"/>
      <c r="H2945" s="81"/>
      <c r="I2945" s="30"/>
      <c r="J2945" s="16"/>
      <c r="K2945" s="9"/>
      <c r="L2945" s="9"/>
      <c r="M2945" s="152"/>
      <c r="N2945" s="153"/>
      <c r="O2945" s="152"/>
      <c r="P2945" s="154"/>
      <c r="Q2945" s="152"/>
      <c r="R2945" s="9"/>
      <c r="Z2945" s="21"/>
      <c r="AA2945" s="162">
        <f>+$AD$5-Tabla2[[#This Row],[FECHA DE FACTURACIÓN]]</f>
        <v>45443</v>
      </c>
      <c r="AB2945" s="163" t="str">
        <f>+IF(Tabla2[[#This Row],[dias de credito]]&gt;=Tabla2[[#This Row],[PLAZO Días]],"venc", "No venc")</f>
        <v>venc</v>
      </c>
      <c r="AC2945" s="163" t="str">
        <f>+IF(Tabla2[[#This Row],[FECHA DE PAGO]]&gt;0,"pagada","por pagar")</f>
        <v>por pagar</v>
      </c>
      <c r="AD2945" s="164" t="str">
        <f>+IF(AND(Tabla2[[#This Row],[venc]]="venc",Tabla2[[#This Row],[estado pago]]="por pagar"),"vencida","no")</f>
        <v>vencida</v>
      </c>
    </row>
    <row r="2946" spans="1:30" ht="19.5" hidden="1" customHeight="1" x14ac:dyDescent="0.25">
      <c r="A2946" s="8"/>
      <c r="B2946" s="8"/>
      <c r="C2946" s="8"/>
      <c r="D2946" s="151"/>
      <c r="E2946" s="151"/>
      <c r="F2946" s="24"/>
      <c r="G2946" s="30"/>
      <c r="H2946" s="81"/>
      <c r="I2946" s="30"/>
      <c r="J2946" s="16"/>
      <c r="K2946" s="9"/>
      <c r="L2946" s="9"/>
      <c r="M2946" s="152"/>
      <c r="N2946" s="153"/>
      <c r="O2946" s="152"/>
      <c r="P2946" s="154"/>
      <c r="Q2946" s="152"/>
      <c r="R2946" s="9"/>
      <c r="Z2946" s="21"/>
      <c r="AA2946" s="162">
        <f>+$AD$5-Tabla2[[#This Row],[FECHA DE FACTURACIÓN]]</f>
        <v>45443</v>
      </c>
      <c r="AB2946" s="163" t="str">
        <f>+IF(Tabla2[[#This Row],[dias de credito]]&gt;=Tabla2[[#This Row],[PLAZO Días]],"venc", "No venc")</f>
        <v>venc</v>
      </c>
      <c r="AC2946" s="163" t="str">
        <f>+IF(Tabla2[[#This Row],[FECHA DE PAGO]]&gt;0,"pagada","por pagar")</f>
        <v>por pagar</v>
      </c>
      <c r="AD2946" s="164" t="str">
        <f>+IF(AND(Tabla2[[#This Row],[venc]]="venc",Tabla2[[#This Row],[estado pago]]="por pagar"),"vencida","no")</f>
        <v>vencida</v>
      </c>
    </row>
    <row r="2947" spans="1:30" ht="19.5" hidden="1" customHeight="1" x14ac:dyDescent="0.25">
      <c r="A2947" s="8"/>
      <c r="B2947" s="8"/>
      <c r="C2947" s="8"/>
      <c r="D2947" s="151"/>
      <c r="E2947" s="151"/>
      <c r="F2947" s="24"/>
      <c r="G2947" s="30"/>
      <c r="H2947" s="81"/>
      <c r="I2947" s="30"/>
      <c r="J2947" s="16"/>
      <c r="K2947" s="9"/>
      <c r="L2947" s="9"/>
      <c r="M2947" s="152"/>
      <c r="N2947" s="153"/>
      <c r="O2947" s="152"/>
      <c r="P2947" s="154"/>
      <c r="Q2947" s="152"/>
      <c r="R2947" s="9"/>
      <c r="Z2947" s="21"/>
      <c r="AA2947" s="162">
        <f>+$AD$5-Tabla2[[#This Row],[FECHA DE FACTURACIÓN]]</f>
        <v>45443</v>
      </c>
      <c r="AB2947" s="163" t="str">
        <f>+IF(Tabla2[[#This Row],[dias de credito]]&gt;=Tabla2[[#This Row],[PLAZO Días]],"venc", "No venc")</f>
        <v>venc</v>
      </c>
      <c r="AC2947" s="163" t="str">
        <f>+IF(Tabla2[[#This Row],[FECHA DE PAGO]]&gt;0,"pagada","por pagar")</f>
        <v>por pagar</v>
      </c>
      <c r="AD2947" s="164" t="str">
        <f>+IF(AND(Tabla2[[#This Row],[venc]]="venc",Tabla2[[#This Row],[estado pago]]="por pagar"),"vencida","no")</f>
        <v>vencida</v>
      </c>
    </row>
    <row r="2948" spans="1:30" ht="19.5" hidden="1" customHeight="1" x14ac:dyDescent="0.25">
      <c r="A2948" s="8"/>
      <c r="B2948" s="8"/>
      <c r="C2948" s="8"/>
      <c r="D2948" s="151"/>
      <c r="E2948" s="151"/>
      <c r="F2948" s="24"/>
      <c r="G2948" s="30"/>
      <c r="H2948" s="81"/>
      <c r="I2948" s="30"/>
      <c r="J2948" s="16"/>
      <c r="K2948" s="9"/>
      <c r="L2948" s="9"/>
      <c r="M2948" s="152"/>
      <c r="N2948" s="153"/>
      <c r="O2948" s="152"/>
      <c r="P2948" s="154"/>
      <c r="Q2948" s="152"/>
      <c r="R2948" s="9"/>
      <c r="Z2948" s="21"/>
      <c r="AA2948" s="162">
        <f>+$AD$5-Tabla2[[#This Row],[FECHA DE FACTURACIÓN]]</f>
        <v>45443</v>
      </c>
      <c r="AB2948" s="163" t="str">
        <f>+IF(Tabla2[[#This Row],[dias de credito]]&gt;=Tabla2[[#This Row],[PLAZO Días]],"venc", "No venc")</f>
        <v>venc</v>
      </c>
      <c r="AC2948" s="163" t="str">
        <f>+IF(Tabla2[[#This Row],[FECHA DE PAGO]]&gt;0,"pagada","por pagar")</f>
        <v>por pagar</v>
      </c>
      <c r="AD2948" s="164" t="str">
        <f>+IF(AND(Tabla2[[#This Row],[venc]]="venc",Tabla2[[#This Row],[estado pago]]="por pagar"),"vencida","no")</f>
        <v>vencida</v>
      </c>
    </row>
    <row r="2949" spans="1:30" ht="19.5" hidden="1" customHeight="1" x14ac:dyDescent="0.25">
      <c r="A2949" s="8"/>
      <c r="B2949" s="8"/>
      <c r="C2949" s="8"/>
      <c r="D2949" s="151"/>
      <c r="E2949" s="151"/>
      <c r="F2949" s="24"/>
      <c r="G2949" s="30"/>
      <c r="H2949" s="81"/>
      <c r="I2949" s="30"/>
      <c r="J2949" s="16"/>
      <c r="K2949" s="9"/>
      <c r="L2949" s="9"/>
      <c r="M2949" s="152"/>
      <c r="N2949" s="153"/>
      <c r="O2949" s="152"/>
      <c r="P2949" s="154"/>
      <c r="Q2949" s="152"/>
      <c r="R2949" s="9"/>
      <c r="Z2949" s="21"/>
      <c r="AA2949" s="162">
        <f>+$AD$5-Tabla2[[#This Row],[FECHA DE FACTURACIÓN]]</f>
        <v>45443</v>
      </c>
      <c r="AB2949" s="163" t="str">
        <f>+IF(Tabla2[[#This Row],[dias de credito]]&gt;=Tabla2[[#This Row],[PLAZO Días]],"venc", "No venc")</f>
        <v>venc</v>
      </c>
      <c r="AC2949" s="163" t="str">
        <f>+IF(Tabla2[[#This Row],[FECHA DE PAGO]]&gt;0,"pagada","por pagar")</f>
        <v>por pagar</v>
      </c>
      <c r="AD2949" s="164" t="str">
        <f>+IF(AND(Tabla2[[#This Row],[venc]]="venc",Tabla2[[#This Row],[estado pago]]="por pagar"),"vencida","no")</f>
        <v>vencida</v>
      </c>
    </row>
    <row r="2950" spans="1:30" ht="19.5" hidden="1" customHeight="1" x14ac:dyDescent="0.25">
      <c r="A2950" s="8"/>
      <c r="B2950" s="8"/>
      <c r="C2950" s="8"/>
      <c r="D2950" s="151"/>
      <c r="E2950" s="151"/>
      <c r="F2950" s="24"/>
      <c r="G2950" s="30"/>
      <c r="H2950" s="81"/>
      <c r="I2950" s="30"/>
      <c r="J2950" s="16"/>
      <c r="K2950" s="9"/>
      <c r="L2950" s="9"/>
      <c r="M2950" s="152"/>
      <c r="N2950" s="153"/>
      <c r="O2950" s="152"/>
      <c r="P2950" s="154"/>
      <c r="Q2950" s="152"/>
      <c r="R2950" s="9"/>
      <c r="Z2950" s="21"/>
      <c r="AA2950" s="162">
        <f>+$AD$5-Tabla2[[#This Row],[FECHA DE FACTURACIÓN]]</f>
        <v>45443</v>
      </c>
      <c r="AB2950" s="163" t="str">
        <f>+IF(Tabla2[[#This Row],[dias de credito]]&gt;=Tabla2[[#This Row],[PLAZO Días]],"venc", "No venc")</f>
        <v>venc</v>
      </c>
      <c r="AC2950" s="163" t="str">
        <f>+IF(Tabla2[[#This Row],[FECHA DE PAGO]]&gt;0,"pagada","por pagar")</f>
        <v>por pagar</v>
      </c>
      <c r="AD2950" s="164" t="str">
        <f>+IF(AND(Tabla2[[#This Row],[venc]]="venc",Tabla2[[#This Row],[estado pago]]="por pagar"),"vencida","no")</f>
        <v>vencida</v>
      </c>
    </row>
    <row r="2951" spans="1:30" ht="19.5" hidden="1" customHeight="1" x14ac:dyDescent="0.25">
      <c r="A2951" s="8"/>
      <c r="B2951" s="8"/>
      <c r="C2951" s="8"/>
      <c r="D2951" s="151"/>
      <c r="E2951" s="151"/>
      <c r="F2951" s="24"/>
      <c r="G2951" s="30"/>
      <c r="H2951" s="81"/>
      <c r="I2951" s="30"/>
      <c r="J2951" s="16"/>
      <c r="K2951" s="9"/>
      <c r="L2951" s="9"/>
      <c r="M2951" s="152"/>
      <c r="N2951" s="153"/>
      <c r="O2951" s="152"/>
      <c r="P2951" s="154"/>
      <c r="Q2951" s="152"/>
      <c r="R2951" s="9"/>
      <c r="Z2951" s="21"/>
      <c r="AA2951" s="162">
        <f>+$AD$5-Tabla2[[#This Row],[FECHA DE FACTURACIÓN]]</f>
        <v>45443</v>
      </c>
      <c r="AB2951" s="163" t="str">
        <f>+IF(Tabla2[[#This Row],[dias de credito]]&gt;=Tabla2[[#This Row],[PLAZO Días]],"venc", "No venc")</f>
        <v>venc</v>
      </c>
      <c r="AC2951" s="163" t="str">
        <f>+IF(Tabla2[[#This Row],[FECHA DE PAGO]]&gt;0,"pagada","por pagar")</f>
        <v>por pagar</v>
      </c>
      <c r="AD2951" s="164" t="str">
        <f>+IF(AND(Tabla2[[#This Row],[venc]]="venc",Tabla2[[#This Row],[estado pago]]="por pagar"),"vencida","no")</f>
        <v>vencida</v>
      </c>
    </row>
    <row r="2952" spans="1:30" ht="19.5" hidden="1" customHeight="1" x14ac:dyDescent="0.25">
      <c r="A2952" s="8"/>
      <c r="B2952" s="8"/>
      <c r="C2952" s="8"/>
      <c r="D2952" s="151"/>
      <c r="E2952" s="151"/>
      <c r="F2952" s="24"/>
      <c r="G2952" s="30"/>
      <c r="H2952" s="81"/>
      <c r="I2952" s="30"/>
      <c r="J2952" s="16"/>
      <c r="K2952" s="9"/>
      <c r="L2952" s="9"/>
      <c r="M2952" s="152"/>
      <c r="N2952" s="153"/>
      <c r="O2952" s="152"/>
      <c r="P2952" s="154"/>
      <c r="Q2952" s="152"/>
      <c r="R2952" s="9"/>
      <c r="Z2952" s="21"/>
      <c r="AA2952" s="162">
        <f>+$AD$5-Tabla2[[#This Row],[FECHA DE FACTURACIÓN]]</f>
        <v>45443</v>
      </c>
      <c r="AB2952" s="163" t="str">
        <f>+IF(Tabla2[[#This Row],[dias de credito]]&gt;=Tabla2[[#This Row],[PLAZO Días]],"venc", "No venc")</f>
        <v>venc</v>
      </c>
      <c r="AC2952" s="163" t="str">
        <f>+IF(Tabla2[[#This Row],[FECHA DE PAGO]]&gt;0,"pagada","por pagar")</f>
        <v>por pagar</v>
      </c>
      <c r="AD2952" s="164" t="str">
        <f>+IF(AND(Tabla2[[#This Row],[venc]]="venc",Tabla2[[#This Row],[estado pago]]="por pagar"),"vencida","no")</f>
        <v>vencida</v>
      </c>
    </row>
    <row r="2953" spans="1:30" ht="19.5" hidden="1" customHeight="1" x14ac:dyDescent="0.25">
      <c r="A2953" s="8"/>
      <c r="B2953" s="8"/>
      <c r="C2953" s="8"/>
      <c r="D2953" s="151"/>
      <c r="E2953" s="151"/>
      <c r="F2953" s="24"/>
      <c r="G2953" s="30"/>
      <c r="H2953" s="81"/>
      <c r="I2953" s="30"/>
      <c r="J2953" s="16"/>
      <c r="K2953" s="9"/>
      <c r="L2953" s="9"/>
      <c r="M2953" s="152"/>
      <c r="N2953" s="153"/>
      <c r="O2953" s="152"/>
      <c r="P2953" s="154"/>
      <c r="Q2953" s="152"/>
      <c r="R2953" s="9"/>
      <c r="Z2953" s="21"/>
      <c r="AA2953" s="162">
        <f>+$AD$5-Tabla2[[#This Row],[FECHA DE FACTURACIÓN]]</f>
        <v>45443</v>
      </c>
      <c r="AB2953" s="163" t="str">
        <f>+IF(Tabla2[[#This Row],[dias de credito]]&gt;=Tabla2[[#This Row],[PLAZO Días]],"venc", "No venc")</f>
        <v>venc</v>
      </c>
      <c r="AC2953" s="163" t="str">
        <f>+IF(Tabla2[[#This Row],[FECHA DE PAGO]]&gt;0,"pagada","por pagar")</f>
        <v>por pagar</v>
      </c>
      <c r="AD2953" s="164" t="str">
        <f>+IF(AND(Tabla2[[#This Row],[venc]]="venc",Tabla2[[#This Row],[estado pago]]="por pagar"),"vencida","no")</f>
        <v>vencida</v>
      </c>
    </row>
    <row r="2954" spans="1:30" ht="19.5" hidden="1" customHeight="1" x14ac:dyDescent="0.25">
      <c r="A2954" s="8"/>
      <c r="B2954" s="8"/>
      <c r="C2954" s="8"/>
      <c r="D2954" s="151"/>
      <c r="E2954" s="151"/>
      <c r="F2954" s="24"/>
      <c r="G2954" s="30"/>
      <c r="H2954" s="81"/>
      <c r="I2954" s="30"/>
      <c r="J2954" s="16"/>
      <c r="K2954" s="9"/>
      <c r="L2954" s="9"/>
      <c r="M2954" s="152"/>
      <c r="N2954" s="153"/>
      <c r="O2954" s="152"/>
      <c r="P2954" s="154"/>
      <c r="Q2954" s="152"/>
      <c r="R2954" s="9"/>
      <c r="Z2954" s="21"/>
      <c r="AA2954" s="162">
        <f>+$AD$5-Tabla2[[#This Row],[FECHA DE FACTURACIÓN]]</f>
        <v>45443</v>
      </c>
      <c r="AB2954" s="163" t="str">
        <f>+IF(Tabla2[[#This Row],[dias de credito]]&gt;=Tabla2[[#This Row],[PLAZO Días]],"venc", "No venc")</f>
        <v>venc</v>
      </c>
      <c r="AC2954" s="163" t="str">
        <f>+IF(Tabla2[[#This Row],[FECHA DE PAGO]]&gt;0,"pagada","por pagar")</f>
        <v>por pagar</v>
      </c>
      <c r="AD2954" s="164" t="str">
        <f>+IF(AND(Tabla2[[#This Row],[venc]]="venc",Tabla2[[#This Row],[estado pago]]="por pagar"),"vencida","no")</f>
        <v>vencida</v>
      </c>
    </row>
    <row r="2955" spans="1:30" ht="19.5" hidden="1" customHeight="1" x14ac:dyDescent="0.25">
      <c r="A2955" s="8"/>
      <c r="B2955" s="8"/>
      <c r="C2955" s="8"/>
      <c r="D2955" s="151"/>
      <c r="E2955" s="151"/>
      <c r="F2955" s="24"/>
      <c r="G2955" s="30"/>
      <c r="H2955" s="81"/>
      <c r="I2955" s="30"/>
      <c r="J2955" s="16"/>
      <c r="K2955" s="9"/>
      <c r="L2955" s="9"/>
      <c r="M2955" s="152"/>
      <c r="N2955" s="153"/>
      <c r="O2955" s="152"/>
      <c r="P2955" s="154"/>
      <c r="Q2955" s="152"/>
      <c r="R2955" s="9"/>
      <c r="Z2955" s="21"/>
      <c r="AA2955" s="162">
        <f>+$AD$5-Tabla2[[#This Row],[FECHA DE FACTURACIÓN]]</f>
        <v>45443</v>
      </c>
      <c r="AB2955" s="163" t="str">
        <f>+IF(Tabla2[[#This Row],[dias de credito]]&gt;=Tabla2[[#This Row],[PLAZO Días]],"venc", "No venc")</f>
        <v>venc</v>
      </c>
      <c r="AC2955" s="163" t="str">
        <f>+IF(Tabla2[[#This Row],[FECHA DE PAGO]]&gt;0,"pagada","por pagar")</f>
        <v>por pagar</v>
      </c>
      <c r="AD2955" s="164" t="str">
        <f>+IF(AND(Tabla2[[#This Row],[venc]]="venc",Tabla2[[#This Row],[estado pago]]="por pagar"),"vencida","no")</f>
        <v>vencida</v>
      </c>
    </row>
    <row r="2956" spans="1:30" ht="19.5" hidden="1" customHeight="1" x14ac:dyDescent="0.25">
      <c r="A2956" s="8"/>
      <c r="B2956" s="8"/>
      <c r="C2956" s="8"/>
      <c r="D2956" s="151"/>
      <c r="E2956" s="151"/>
      <c r="F2956" s="24"/>
      <c r="G2956" s="30"/>
      <c r="H2956" s="81"/>
      <c r="I2956" s="30"/>
      <c r="J2956" s="16"/>
      <c r="K2956" s="9"/>
      <c r="L2956" s="9"/>
      <c r="M2956" s="152"/>
      <c r="N2956" s="153"/>
      <c r="O2956" s="152"/>
      <c r="P2956" s="154"/>
      <c r="Q2956" s="152"/>
      <c r="R2956" s="9"/>
      <c r="Z2956" s="21"/>
      <c r="AA2956" s="162">
        <f>+$AD$5-Tabla2[[#This Row],[FECHA DE FACTURACIÓN]]</f>
        <v>45443</v>
      </c>
      <c r="AB2956" s="163" t="str">
        <f>+IF(Tabla2[[#This Row],[dias de credito]]&gt;=Tabla2[[#This Row],[PLAZO Días]],"venc", "No venc")</f>
        <v>venc</v>
      </c>
      <c r="AC2956" s="163" t="str">
        <f>+IF(Tabla2[[#This Row],[FECHA DE PAGO]]&gt;0,"pagada","por pagar")</f>
        <v>por pagar</v>
      </c>
      <c r="AD2956" s="164" t="str">
        <f>+IF(AND(Tabla2[[#This Row],[venc]]="venc",Tabla2[[#This Row],[estado pago]]="por pagar"),"vencida","no")</f>
        <v>vencida</v>
      </c>
    </row>
    <row r="2957" spans="1:30" ht="19.5" hidden="1" customHeight="1" x14ac:dyDescent="0.25">
      <c r="A2957" s="8"/>
      <c r="B2957" s="8"/>
      <c r="C2957" s="8"/>
      <c r="D2957" s="151"/>
      <c r="E2957" s="151"/>
      <c r="F2957" s="24"/>
      <c r="G2957" s="30"/>
      <c r="H2957" s="81"/>
      <c r="I2957" s="30"/>
      <c r="J2957" s="16"/>
      <c r="K2957" s="9"/>
      <c r="L2957" s="9"/>
      <c r="M2957" s="152"/>
      <c r="N2957" s="153"/>
      <c r="O2957" s="152"/>
      <c r="P2957" s="154"/>
      <c r="Q2957" s="152"/>
      <c r="R2957" s="9"/>
      <c r="Z2957" s="21"/>
      <c r="AA2957" s="162">
        <f>+$AD$5-Tabla2[[#This Row],[FECHA DE FACTURACIÓN]]</f>
        <v>45443</v>
      </c>
      <c r="AB2957" s="163" t="str">
        <f>+IF(Tabla2[[#This Row],[dias de credito]]&gt;=Tabla2[[#This Row],[PLAZO Días]],"venc", "No venc")</f>
        <v>venc</v>
      </c>
      <c r="AC2957" s="163" t="str">
        <f>+IF(Tabla2[[#This Row],[FECHA DE PAGO]]&gt;0,"pagada","por pagar")</f>
        <v>por pagar</v>
      </c>
      <c r="AD2957" s="164" t="str">
        <f>+IF(AND(Tabla2[[#This Row],[venc]]="venc",Tabla2[[#This Row],[estado pago]]="por pagar"),"vencida","no")</f>
        <v>vencida</v>
      </c>
    </row>
    <row r="2958" spans="1:30" ht="19.5" hidden="1" customHeight="1" x14ac:dyDescent="0.25">
      <c r="A2958" s="8"/>
      <c r="B2958" s="8"/>
      <c r="C2958" s="8"/>
      <c r="D2958" s="151"/>
      <c r="E2958" s="151"/>
      <c r="F2958" s="24"/>
      <c r="G2958" s="30"/>
      <c r="H2958" s="81"/>
      <c r="I2958" s="30"/>
      <c r="J2958" s="16"/>
      <c r="K2958" s="9"/>
      <c r="L2958" s="9"/>
      <c r="M2958" s="152"/>
      <c r="N2958" s="153"/>
      <c r="O2958" s="152"/>
      <c r="P2958" s="154"/>
      <c r="Q2958" s="152"/>
      <c r="R2958" s="9"/>
      <c r="Z2958" s="21"/>
      <c r="AA2958" s="162">
        <f>+$AD$5-Tabla2[[#This Row],[FECHA DE FACTURACIÓN]]</f>
        <v>45443</v>
      </c>
      <c r="AB2958" s="163" t="str">
        <f>+IF(Tabla2[[#This Row],[dias de credito]]&gt;=Tabla2[[#This Row],[PLAZO Días]],"venc", "No venc")</f>
        <v>venc</v>
      </c>
      <c r="AC2958" s="163" t="str">
        <f>+IF(Tabla2[[#This Row],[FECHA DE PAGO]]&gt;0,"pagada","por pagar")</f>
        <v>por pagar</v>
      </c>
      <c r="AD2958" s="164" t="str">
        <f>+IF(AND(Tabla2[[#This Row],[venc]]="venc",Tabla2[[#This Row],[estado pago]]="por pagar"),"vencida","no")</f>
        <v>vencida</v>
      </c>
    </row>
    <row r="2959" spans="1:30" ht="19.5" hidden="1" customHeight="1" x14ac:dyDescent="0.25">
      <c r="A2959" s="8"/>
      <c r="B2959" s="8"/>
      <c r="C2959" s="8"/>
      <c r="D2959" s="151"/>
      <c r="E2959" s="151"/>
      <c r="F2959" s="24"/>
      <c r="G2959" s="30"/>
      <c r="H2959" s="81"/>
      <c r="I2959" s="30"/>
      <c r="J2959" s="16"/>
      <c r="K2959" s="9"/>
      <c r="L2959" s="9"/>
      <c r="M2959" s="152"/>
      <c r="N2959" s="153"/>
      <c r="O2959" s="152"/>
      <c r="P2959" s="154"/>
      <c r="Q2959" s="152"/>
      <c r="R2959" s="9"/>
      <c r="Z2959" s="21"/>
      <c r="AA2959" s="162">
        <f>+$AD$5-Tabla2[[#This Row],[FECHA DE FACTURACIÓN]]</f>
        <v>45443</v>
      </c>
      <c r="AB2959" s="163" t="str">
        <f>+IF(Tabla2[[#This Row],[dias de credito]]&gt;=Tabla2[[#This Row],[PLAZO Días]],"venc", "No venc")</f>
        <v>venc</v>
      </c>
      <c r="AC2959" s="163" t="str">
        <f>+IF(Tabla2[[#This Row],[FECHA DE PAGO]]&gt;0,"pagada","por pagar")</f>
        <v>por pagar</v>
      </c>
      <c r="AD2959" s="164" t="str">
        <f>+IF(AND(Tabla2[[#This Row],[venc]]="venc",Tabla2[[#This Row],[estado pago]]="por pagar"),"vencida","no")</f>
        <v>vencida</v>
      </c>
    </row>
    <row r="2960" spans="1:30" ht="19.5" hidden="1" customHeight="1" x14ac:dyDescent="0.25">
      <c r="A2960" s="8"/>
      <c r="B2960" s="8"/>
      <c r="C2960" s="8"/>
      <c r="D2960" s="151"/>
      <c r="E2960" s="151"/>
      <c r="F2960" s="24"/>
      <c r="G2960" s="30"/>
      <c r="H2960" s="81"/>
      <c r="I2960" s="30"/>
      <c r="J2960" s="16"/>
      <c r="K2960" s="9"/>
      <c r="L2960" s="9"/>
      <c r="M2960" s="152"/>
      <c r="N2960" s="153"/>
      <c r="O2960" s="152"/>
      <c r="P2960" s="154"/>
      <c r="Q2960" s="152"/>
      <c r="R2960" s="9"/>
      <c r="Z2960" s="21"/>
      <c r="AA2960" s="162">
        <f>+$AD$5-Tabla2[[#This Row],[FECHA DE FACTURACIÓN]]</f>
        <v>45443</v>
      </c>
      <c r="AB2960" s="163" t="str">
        <f>+IF(Tabla2[[#This Row],[dias de credito]]&gt;=Tabla2[[#This Row],[PLAZO Días]],"venc", "No venc")</f>
        <v>venc</v>
      </c>
      <c r="AC2960" s="163" t="str">
        <f>+IF(Tabla2[[#This Row],[FECHA DE PAGO]]&gt;0,"pagada","por pagar")</f>
        <v>por pagar</v>
      </c>
      <c r="AD2960" s="164" t="str">
        <f>+IF(AND(Tabla2[[#This Row],[venc]]="venc",Tabla2[[#This Row],[estado pago]]="por pagar"),"vencida","no")</f>
        <v>vencida</v>
      </c>
    </row>
    <row r="2961" spans="1:30" ht="19.5" hidden="1" customHeight="1" x14ac:dyDescent="0.25">
      <c r="A2961" s="8"/>
      <c r="B2961" s="8"/>
      <c r="C2961" s="8"/>
      <c r="D2961" s="151"/>
      <c r="E2961" s="151"/>
      <c r="F2961" s="24"/>
      <c r="G2961" s="30"/>
      <c r="H2961" s="81"/>
      <c r="I2961" s="30"/>
      <c r="J2961" s="16"/>
      <c r="K2961" s="9"/>
      <c r="L2961" s="9"/>
      <c r="M2961" s="152"/>
      <c r="N2961" s="153"/>
      <c r="O2961" s="152"/>
      <c r="P2961" s="154"/>
      <c r="Q2961" s="152"/>
      <c r="R2961" s="9"/>
      <c r="Z2961" s="21"/>
      <c r="AA2961" s="162">
        <f>+$AD$5-Tabla2[[#This Row],[FECHA DE FACTURACIÓN]]</f>
        <v>45443</v>
      </c>
      <c r="AB2961" s="163" t="str">
        <f>+IF(Tabla2[[#This Row],[dias de credito]]&gt;=Tabla2[[#This Row],[PLAZO Días]],"venc", "No venc")</f>
        <v>venc</v>
      </c>
      <c r="AC2961" s="163" t="str">
        <f>+IF(Tabla2[[#This Row],[FECHA DE PAGO]]&gt;0,"pagada","por pagar")</f>
        <v>por pagar</v>
      </c>
      <c r="AD2961" s="164" t="str">
        <f>+IF(AND(Tabla2[[#This Row],[venc]]="venc",Tabla2[[#This Row],[estado pago]]="por pagar"),"vencida","no")</f>
        <v>vencida</v>
      </c>
    </row>
    <row r="2962" spans="1:30" ht="19.5" hidden="1" customHeight="1" x14ac:dyDescent="0.25">
      <c r="A2962" s="8"/>
      <c r="B2962" s="8"/>
      <c r="C2962" s="8"/>
      <c r="D2962" s="151"/>
      <c r="E2962" s="151"/>
      <c r="F2962" s="24"/>
      <c r="G2962" s="30"/>
      <c r="H2962" s="81"/>
      <c r="I2962" s="30"/>
      <c r="J2962" s="16"/>
      <c r="K2962" s="9"/>
      <c r="L2962" s="9"/>
      <c r="M2962" s="152"/>
      <c r="N2962" s="153"/>
      <c r="O2962" s="152"/>
      <c r="P2962" s="154"/>
      <c r="Q2962" s="152"/>
      <c r="R2962" s="9"/>
      <c r="Z2962" s="21"/>
      <c r="AA2962" s="162">
        <f>+$AD$5-Tabla2[[#This Row],[FECHA DE FACTURACIÓN]]</f>
        <v>45443</v>
      </c>
      <c r="AB2962" s="163" t="str">
        <f>+IF(Tabla2[[#This Row],[dias de credito]]&gt;=Tabla2[[#This Row],[PLAZO Días]],"venc", "No venc")</f>
        <v>venc</v>
      </c>
      <c r="AC2962" s="163" t="str">
        <f>+IF(Tabla2[[#This Row],[FECHA DE PAGO]]&gt;0,"pagada","por pagar")</f>
        <v>por pagar</v>
      </c>
      <c r="AD2962" s="164" t="str">
        <f>+IF(AND(Tabla2[[#This Row],[venc]]="venc",Tabla2[[#This Row],[estado pago]]="por pagar"),"vencida","no")</f>
        <v>vencida</v>
      </c>
    </row>
    <row r="2963" spans="1:30" ht="19.5" hidden="1" customHeight="1" x14ac:dyDescent="0.25">
      <c r="A2963" s="8"/>
      <c r="B2963" s="8"/>
      <c r="C2963" s="8"/>
      <c r="D2963" s="151"/>
      <c r="E2963" s="151"/>
      <c r="F2963" s="24"/>
      <c r="G2963" s="30"/>
      <c r="H2963" s="81"/>
      <c r="I2963" s="30"/>
      <c r="J2963" s="16"/>
      <c r="K2963" s="9"/>
      <c r="L2963" s="9"/>
      <c r="M2963" s="152"/>
      <c r="N2963" s="153"/>
      <c r="O2963" s="152"/>
      <c r="P2963" s="154"/>
      <c r="Q2963" s="152"/>
      <c r="R2963" s="9"/>
      <c r="Z2963" s="21"/>
      <c r="AA2963" s="162">
        <f>+$AD$5-Tabla2[[#This Row],[FECHA DE FACTURACIÓN]]</f>
        <v>45443</v>
      </c>
      <c r="AB2963" s="163" t="str">
        <f>+IF(Tabla2[[#This Row],[dias de credito]]&gt;=Tabla2[[#This Row],[PLAZO Días]],"venc", "No venc")</f>
        <v>venc</v>
      </c>
      <c r="AC2963" s="163" t="str">
        <f>+IF(Tabla2[[#This Row],[FECHA DE PAGO]]&gt;0,"pagada","por pagar")</f>
        <v>por pagar</v>
      </c>
      <c r="AD2963" s="164" t="str">
        <f>+IF(AND(Tabla2[[#This Row],[venc]]="venc",Tabla2[[#This Row],[estado pago]]="por pagar"),"vencida","no")</f>
        <v>vencida</v>
      </c>
    </row>
    <row r="2964" spans="1:30" ht="19.5" hidden="1" customHeight="1" x14ac:dyDescent="0.25">
      <c r="A2964" s="8"/>
      <c r="B2964" s="8"/>
      <c r="C2964" s="8"/>
      <c r="D2964" s="151"/>
      <c r="E2964" s="151"/>
      <c r="F2964" s="24"/>
      <c r="G2964" s="30"/>
      <c r="H2964" s="81"/>
      <c r="I2964" s="30"/>
      <c r="J2964" s="16"/>
      <c r="K2964" s="9"/>
      <c r="L2964" s="9"/>
      <c r="M2964" s="152"/>
      <c r="N2964" s="153"/>
      <c r="O2964" s="152"/>
      <c r="P2964" s="154"/>
      <c r="Q2964" s="152"/>
      <c r="R2964" s="9"/>
      <c r="Z2964" s="21"/>
      <c r="AA2964" s="162">
        <f>+$AD$5-Tabla2[[#This Row],[FECHA DE FACTURACIÓN]]</f>
        <v>45443</v>
      </c>
      <c r="AB2964" s="163" t="str">
        <f>+IF(Tabla2[[#This Row],[dias de credito]]&gt;=Tabla2[[#This Row],[PLAZO Días]],"venc", "No venc")</f>
        <v>venc</v>
      </c>
      <c r="AC2964" s="163" t="str">
        <f>+IF(Tabla2[[#This Row],[FECHA DE PAGO]]&gt;0,"pagada","por pagar")</f>
        <v>por pagar</v>
      </c>
      <c r="AD2964" s="164" t="str">
        <f>+IF(AND(Tabla2[[#This Row],[venc]]="venc",Tabla2[[#This Row],[estado pago]]="por pagar"),"vencida","no")</f>
        <v>vencida</v>
      </c>
    </row>
    <row r="2965" spans="1:30" ht="19.5" hidden="1" customHeight="1" x14ac:dyDescent="0.25">
      <c r="A2965" s="8"/>
      <c r="B2965" s="8"/>
      <c r="C2965" s="8"/>
      <c r="D2965" s="151"/>
      <c r="E2965" s="151"/>
      <c r="F2965" s="24"/>
      <c r="G2965" s="30"/>
      <c r="H2965" s="81"/>
      <c r="I2965" s="30"/>
      <c r="J2965" s="16"/>
      <c r="K2965" s="9"/>
      <c r="L2965" s="9"/>
      <c r="M2965" s="152"/>
      <c r="N2965" s="153"/>
      <c r="O2965" s="152"/>
      <c r="P2965" s="154"/>
      <c r="Q2965" s="152"/>
      <c r="R2965" s="9"/>
      <c r="Z2965" s="21"/>
      <c r="AA2965" s="162">
        <f>+$AD$5-Tabla2[[#This Row],[FECHA DE FACTURACIÓN]]</f>
        <v>45443</v>
      </c>
      <c r="AB2965" s="163" t="str">
        <f>+IF(Tabla2[[#This Row],[dias de credito]]&gt;=Tabla2[[#This Row],[PLAZO Días]],"venc", "No venc")</f>
        <v>venc</v>
      </c>
      <c r="AC2965" s="163" t="str">
        <f>+IF(Tabla2[[#This Row],[FECHA DE PAGO]]&gt;0,"pagada","por pagar")</f>
        <v>por pagar</v>
      </c>
      <c r="AD2965" s="164" t="str">
        <f>+IF(AND(Tabla2[[#This Row],[venc]]="venc",Tabla2[[#This Row],[estado pago]]="por pagar"),"vencida","no")</f>
        <v>vencida</v>
      </c>
    </row>
    <row r="2966" spans="1:30" ht="19.5" hidden="1" customHeight="1" x14ac:dyDescent="0.25">
      <c r="A2966" s="8"/>
      <c r="B2966" s="8"/>
      <c r="C2966" s="8"/>
      <c r="D2966" s="151"/>
      <c r="E2966" s="151"/>
      <c r="F2966" s="24"/>
      <c r="G2966" s="30"/>
      <c r="H2966" s="81"/>
      <c r="I2966" s="30"/>
      <c r="J2966" s="16"/>
      <c r="K2966" s="9"/>
      <c r="L2966" s="9"/>
      <c r="M2966" s="152"/>
      <c r="N2966" s="153"/>
      <c r="O2966" s="152"/>
      <c r="P2966" s="154"/>
      <c r="Q2966" s="152"/>
      <c r="R2966" s="9"/>
      <c r="Z2966" s="21"/>
      <c r="AA2966" s="162">
        <f>+$AD$5-Tabla2[[#This Row],[FECHA DE FACTURACIÓN]]</f>
        <v>45443</v>
      </c>
      <c r="AB2966" s="163" t="str">
        <f>+IF(Tabla2[[#This Row],[dias de credito]]&gt;=Tabla2[[#This Row],[PLAZO Días]],"venc", "No venc")</f>
        <v>venc</v>
      </c>
      <c r="AC2966" s="163" t="str">
        <f>+IF(Tabla2[[#This Row],[FECHA DE PAGO]]&gt;0,"pagada","por pagar")</f>
        <v>por pagar</v>
      </c>
      <c r="AD2966" s="164" t="str">
        <f>+IF(AND(Tabla2[[#This Row],[venc]]="venc",Tabla2[[#This Row],[estado pago]]="por pagar"),"vencida","no")</f>
        <v>vencida</v>
      </c>
    </row>
    <row r="2967" spans="1:30" ht="19.5" hidden="1" customHeight="1" x14ac:dyDescent="0.25">
      <c r="A2967" s="8"/>
      <c r="B2967" s="8"/>
      <c r="C2967" s="8"/>
      <c r="D2967" s="151"/>
      <c r="E2967" s="151"/>
      <c r="F2967" s="24"/>
      <c r="G2967" s="30"/>
      <c r="H2967" s="81"/>
      <c r="I2967" s="30"/>
      <c r="J2967" s="16"/>
      <c r="K2967" s="9"/>
      <c r="L2967" s="9"/>
      <c r="M2967" s="152"/>
      <c r="N2967" s="153"/>
      <c r="O2967" s="152"/>
      <c r="P2967" s="154"/>
      <c r="Q2967" s="152"/>
      <c r="R2967" s="9"/>
      <c r="Z2967" s="21"/>
      <c r="AA2967" s="162">
        <f>+$AD$5-Tabla2[[#This Row],[FECHA DE FACTURACIÓN]]</f>
        <v>45443</v>
      </c>
      <c r="AB2967" s="163" t="str">
        <f>+IF(Tabla2[[#This Row],[dias de credito]]&gt;=Tabla2[[#This Row],[PLAZO Días]],"venc", "No venc")</f>
        <v>venc</v>
      </c>
      <c r="AC2967" s="163" t="str">
        <f>+IF(Tabla2[[#This Row],[FECHA DE PAGO]]&gt;0,"pagada","por pagar")</f>
        <v>por pagar</v>
      </c>
      <c r="AD2967" s="164" t="str">
        <f>+IF(AND(Tabla2[[#This Row],[venc]]="venc",Tabla2[[#This Row],[estado pago]]="por pagar"),"vencida","no")</f>
        <v>vencida</v>
      </c>
    </row>
    <row r="2968" spans="1:30" ht="19.5" hidden="1" customHeight="1" x14ac:dyDescent="0.25">
      <c r="A2968" s="8"/>
      <c r="B2968" s="8"/>
      <c r="C2968" s="8"/>
      <c r="D2968" s="151"/>
      <c r="E2968" s="151"/>
      <c r="F2968" s="24"/>
      <c r="G2968" s="30"/>
      <c r="H2968" s="81"/>
      <c r="I2968" s="30"/>
      <c r="J2968" s="16"/>
      <c r="K2968" s="9"/>
      <c r="L2968" s="9"/>
      <c r="M2968" s="152"/>
      <c r="N2968" s="153"/>
      <c r="O2968" s="152"/>
      <c r="P2968" s="154"/>
      <c r="Q2968" s="152"/>
      <c r="R2968" s="9"/>
      <c r="Z2968" s="21"/>
      <c r="AA2968" s="162">
        <f>+$AD$5-Tabla2[[#This Row],[FECHA DE FACTURACIÓN]]</f>
        <v>45443</v>
      </c>
      <c r="AB2968" s="163" t="str">
        <f>+IF(Tabla2[[#This Row],[dias de credito]]&gt;=Tabla2[[#This Row],[PLAZO Días]],"venc", "No venc")</f>
        <v>venc</v>
      </c>
      <c r="AC2968" s="163" t="str">
        <f>+IF(Tabla2[[#This Row],[FECHA DE PAGO]]&gt;0,"pagada","por pagar")</f>
        <v>por pagar</v>
      </c>
      <c r="AD2968" s="164" t="str">
        <f>+IF(AND(Tabla2[[#This Row],[venc]]="venc",Tabla2[[#This Row],[estado pago]]="por pagar"),"vencida","no")</f>
        <v>vencida</v>
      </c>
    </row>
    <row r="2969" spans="1:30" ht="19.5" hidden="1" customHeight="1" x14ac:dyDescent="0.25">
      <c r="A2969" s="8"/>
      <c r="B2969" s="8"/>
      <c r="C2969" s="8"/>
      <c r="D2969" s="151"/>
      <c r="E2969" s="151"/>
      <c r="F2969" s="24"/>
      <c r="G2969" s="30"/>
      <c r="H2969" s="81"/>
      <c r="I2969" s="30"/>
      <c r="J2969" s="16"/>
      <c r="K2969" s="9"/>
      <c r="L2969" s="9"/>
      <c r="M2969" s="152"/>
      <c r="N2969" s="153"/>
      <c r="O2969" s="152"/>
      <c r="P2969" s="154"/>
      <c r="Q2969" s="152"/>
      <c r="R2969" s="9"/>
      <c r="Z2969" s="21"/>
      <c r="AA2969" s="162">
        <f>+$AD$5-Tabla2[[#This Row],[FECHA DE FACTURACIÓN]]</f>
        <v>45443</v>
      </c>
      <c r="AB2969" s="163" t="str">
        <f>+IF(Tabla2[[#This Row],[dias de credito]]&gt;=Tabla2[[#This Row],[PLAZO Días]],"venc", "No venc")</f>
        <v>venc</v>
      </c>
      <c r="AC2969" s="163" t="str">
        <f>+IF(Tabla2[[#This Row],[FECHA DE PAGO]]&gt;0,"pagada","por pagar")</f>
        <v>por pagar</v>
      </c>
      <c r="AD2969" s="164" t="str">
        <f>+IF(AND(Tabla2[[#This Row],[venc]]="venc",Tabla2[[#This Row],[estado pago]]="por pagar"),"vencida","no")</f>
        <v>vencida</v>
      </c>
    </row>
    <row r="2970" spans="1:30" ht="19.5" hidden="1" customHeight="1" x14ac:dyDescent="0.25">
      <c r="A2970" s="8"/>
      <c r="B2970" s="8"/>
      <c r="C2970" s="8"/>
      <c r="D2970" s="151"/>
      <c r="E2970" s="151"/>
      <c r="F2970" s="24"/>
      <c r="G2970" s="30"/>
      <c r="H2970" s="81"/>
      <c r="I2970" s="30"/>
      <c r="J2970" s="16"/>
      <c r="K2970" s="9"/>
      <c r="L2970" s="9"/>
      <c r="M2970" s="152"/>
      <c r="N2970" s="153"/>
      <c r="O2970" s="152"/>
      <c r="P2970" s="154"/>
      <c r="Q2970" s="152"/>
      <c r="R2970" s="9"/>
      <c r="Z2970" s="21"/>
      <c r="AA2970" s="162">
        <f>+$AD$5-Tabla2[[#This Row],[FECHA DE FACTURACIÓN]]</f>
        <v>45443</v>
      </c>
      <c r="AB2970" s="163" t="str">
        <f>+IF(Tabla2[[#This Row],[dias de credito]]&gt;=Tabla2[[#This Row],[PLAZO Días]],"venc", "No venc")</f>
        <v>venc</v>
      </c>
      <c r="AC2970" s="163" t="str">
        <f>+IF(Tabla2[[#This Row],[FECHA DE PAGO]]&gt;0,"pagada","por pagar")</f>
        <v>por pagar</v>
      </c>
      <c r="AD2970" s="164" t="str">
        <f>+IF(AND(Tabla2[[#This Row],[venc]]="venc",Tabla2[[#This Row],[estado pago]]="por pagar"),"vencida","no")</f>
        <v>vencida</v>
      </c>
    </row>
    <row r="2971" spans="1:30" ht="19.5" hidden="1" customHeight="1" x14ac:dyDescent="0.25">
      <c r="A2971" s="8"/>
      <c r="B2971" s="8"/>
      <c r="C2971" s="8"/>
      <c r="D2971" s="151"/>
      <c r="E2971" s="151"/>
      <c r="F2971" s="24"/>
      <c r="G2971" s="30"/>
      <c r="H2971" s="81"/>
      <c r="I2971" s="30"/>
      <c r="J2971" s="16"/>
      <c r="K2971" s="9"/>
      <c r="L2971" s="9"/>
      <c r="M2971" s="152"/>
      <c r="N2971" s="153"/>
      <c r="O2971" s="152"/>
      <c r="P2971" s="154"/>
      <c r="Q2971" s="152"/>
      <c r="R2971" s="9"/>
      <c r="Z2971" s="21"/>
      <c r="AA2971" s="162">
        <f>+$AD$5-Tabla2[[#This Row],[FECHA DE FACTURACIÓN]]</f>
        <v>45443</v>
      </c>
      <c r="AB2971" s="163" t="str">
        <f>+IF(Tabla2[[#This Row],[dias de credito]]&gt;=Tabla2[[#This Row],[PLAZO Días]],"venc", "No venc")</f>
        <v>venc</v>
      </c>
      <c r="AC2971" s="163" t="str">
        <f>+IF(Tabla2[[#This Row],[FECHA DE PAGO]]&gt;0,"pagada","por pagar")</f>
        <v>por pagar</v>
      </c>
      <c r="AD2971" s="164" t="str">
        <f>+IF(AND(Tabla2[[#This Row],[venc]]="venc",Tabla2[[#This Row],[estado pago]]="por pagar"),"vencida","no")</f>
        <v>vencida</v>
      </c>
    </row>
    <row r="2972" spans="1:30" ht="19.5" hidden="1" customHeight="1" x14ac:dyDescent="0.25">
      <c r="A2972" s="8"/>
      <c r="B2972" s="8"/>
      <c r="C2972" s="8"/>
      <c r="D2972" s="151"/>
      <c r="E2972" s="151"/>
      <c r="F2972" s="24"/>
      <c r="G2972" s="30"/>
      <c r="H2972" s="81"/>
      <c r="I2972" s="30"/>
      <c r="J2972" s="16"/>
      <c r="K2972" s="9"/>
      <c r="L2972" s="9"/>
      <c r="M2972" s="152"/>
      <c r="N2972" s="153"/>
      <c r="O2972" s="152"/>
      <c r="P2972" s="154"/>
      <c r="Q2972" s="152"/>
      <c r="R2972" s="9"/>
      <c r="Z2972" s="21"/>
      <c r="AA2972" s="162">
        <f>+$AD$5-Tabla2[[#This Row],[FECHA DE FACTURACIÓN]]</f>
        <v>45443</v>
      </c>
      <c r="AB2972" s="163" t="str">
        <f>+IF(Tabla2[[#This Row],[dias de credito]]&gt;=Tabla2[[#This Row],[PLAZO Días]],"venc", "No venc")</f>
        <v>venc</v>
      </c>
      <c r="AC2972" s="163" t="str">
        <f>+IF(Tabla2[[#This Row],[FECHA DE PAGO]]&gt;0,"pagada","por pagar")</f>
        <v>por pagar</v>
      </c>
      <c r="AD2972" s="164" t="str">
        <f>+IF(AND(Tabla2[[#This Row],[venc]]="venc",Tabla2[[#This Row],[estado pago]]="por pagar"),"vencida","no")</f>
        <v>vencida</v>
      </c>
    </row>
    <row r="2973" spans="1:30" ht="19.5" hidden="1" customHeight="1" x14ac:dyDescent="0.25">
      <c r="A2973" s="8"/>
      <c r="B2973" s="8"/>
      <c r="C2973" s="8"/>
      <c r="D2973" s="151"/>
      <c r="E2973" s="151"/>
      <c r="F2973" s="24"/>
      <c r="G2973" s="30"/>
      <c r="H2973" s="81"/>
      <c r="I2973" s="30"/>
      <c r="J2973" s="16"/>
      <c r="K2973" s="9"/>
      <c r="L2973" s="9"/>
      <c r="M2973" s="152"/>
      <c r="N2973" s="153"/>
      <c r="O2973" s="152"/>
      <c r="P2973" s="154"/>
      <c r="Q2973" s="152"/>
      <c r="R2973" s="9"/>
      <c r="Z2973" s="21"/>
      <c r="AA2973" s="162">
        <f>+$AD$5-Tabla2[[#This Row],[FECHA DE FACTURACIÓN]]</f>
        <v>45443</v>
      </c>
      <c r="AB2973" s="163" t="str">
        <f>+IF(Tabla2[[#This Row],[dias de credito]]&gt;=Tabla2[[#This Row],[PLAZO Días]],"venc", "No venc")</f>
        <v>venc</v>
      </c>
      <c r="AC2973" s="163" t="str">
        <f>+IF(Tabla2[[#This Row],[FECHA DE PAGO]]&gt;0,"pagada","por pagar")</f>
        <v>por pagar</v>
      </c>
      <c r="AD2973" s="164" t="str">
        <f>+IF(AND(Tabla2[[#This Row],[venc]]="venc",Tabla2[[#This Row],[estado pago]]="por pagar"),"vencida","no")</f>
        <v>vencida</v>
      </c>
    </row>
    <row r="2974" spans="1:30" ht="19.5" hidden="1" customHeight="1" x14ac:dyDescent="0.25">
      <c r="A2974" s="8"/>
      <c r="B2974" s="8"/>
      <c r="C2974" s="8"/>
      <c r="D2974" s="151"/>
      <c r="E2974" s="151"/>
      <c r="F2974" s="24"/>
      <c r="G2974" s="30"/>
      <c r="H2974" s="81"/>
      <c r="I2974" s="30"/>
      <c r="J2974" s="16"/>
      <c r="K2974" s="9"/>
      <c r="L2974" s="9"/>
      <c r="M2974" s="152"/>
      <c r="N2974" s="153"/>
      <c r="O2974" s="152"/>
      <c r="P2974" s="154"/>
      <c r="Q2974" s="152"/>
      <c r="R2974" s="9"/>
      <c r="Z2974" s="21"/>
      <c r="AA2974" s="162">
        <f>+$AD$5-Tabla2[[#This Row],[FECHA DE FACTURACIÓN]]</f>
        <v>45443</v>
      </c>
      <c r="AB2974" s="163" t="str">
        <f>+IF(Tabla2[[#This Row],[dias de credito]]&gt;=Tabla2[[#This Row],[PLAZO Días]],"venc", "No venc")</f>
        <v>venc</v>
      </c>
      <c r="AC2974" s="163" t="str">
        <f>+IF(Tabla2[[#This Row],[FECHA DE PAGO]]&gt;0,"pagada","por pagar")</f>
        <v>por pagar</v>
      </c>
      <c r="AD2974" s="164" t="str">
        <f>+IF(AND(Tabla2[[#This Row],[venc]]="venc",Tabla2[[#This Row],[estado pago]]="por pagar"),"vencida","no")</f>
        <v>vencida</v>
      </c>
    </row>
    <row r="2975" spans="1:30" ht="19.5" hidden="1" customHeight="1" x14ac:dyDescent="0.25">
      <c r="A2975" s="8"/>
      <c r="B2975" s="8"/>
      <c r="C2975" s="8"/>
      <c r="D2975" s="151"/>
      <c r="E2975" s="151"/>
      <c r="F2975" s="24"/>
      <c r="G2975" s="30"/>
      <c r="H2975" s="81"/>
      <c r="I2975" s="30"/>
      <c r="J2975" s="16"/>
      <c r="K2975" s="9"/>
      <c r="L2975" s="9"/>
      <c r="M2975" s="152"/>
      <c r="N2975" s="153"/>
      <c r="O2975" s="152"/>
      <c r="P2975" s="154"/>
      <c r="Q2975" s="152"/>
      <c r="R2975" s="9"/>
      <c r="Z2975" s="21"/>
      <c r="AA2975" s="162">
        <f>+$AD$5-Tabla2[[#This Row],[FECHA DE FACTURACIÓN]]</f>
        <v>45443</v>
      </c>
      <c r="AB2975" s="163" t="str">
        <f>+IF(Tabla2[[#This Row],[dias de credito]]&gt;=Tabla2[[#This Row],[PLAZO Días]],"venc", "No venc")</f>
        <v>venc</v>
      </c>
      <c r="AC2975" s="163" t="str">
        <f>+IF(Tabla2[[#This Row],[FECHA DE PAGO]]&gt;0,"pagada","por pagar")</f>
        <v>por pagar</v>
      </c>
      <c r="AD2975" s="164" t="str">
        <f>+IF(AND(Tabla2[[#This Row],[venc]]="venc",Tabla2[[#This Row],[estado pago]]="por pagar"),"vencida","no")</f>
        <v>vencida</v>
      </c>
    </row>
    <row r="2976" spans="1:30" ht="19.5" hidden="1" customHeight="1" x14ac:dyDescent="0.25">
      <c r="A2976" s="8"/>
      <c r="B2976" s="8"/>
      <c r="C2976" s="8"/>
      <c r="D2976" s="151"/>
      <c r="E2976" s="151"/>
      <c r="F2976" s="24"/>
      <c r="G2976" s="30"/>
      <c r="H2976" s="81"/>
      <c r="I2976" s="30"/>
      <c r="J2976" s="16"/>
      <c r="K2976" s="9"/>
      <c r="L2976" s="9"/>
      <c r="M2976" s="152"/>
      <c r="N2976" s="153"/>
      <c r="O2976" s="152"/>
      <c r="P2976" s="154"/>
      <c r="Q2976" s="152"/>
      <c r="R2976" s="9"/>
      <c r="Z2976" s="21"/>
      <c r="AA2976" s="162">
        <f>+$AD$5-Tabla2[[#This Row],[FECHA DE FACTURACIÓN]]</f>
        <v>45443</v>
      </c>
      <c r="AB2976" s="163" t="str">
        <f>+IF(Tabla2[[#This Row],[dias de credito]]&gt;=Tabla2[[#This Row],[PLAZO Días]],"venc", "No venc")</f>
        <v>venc</v>
      </c>
      <c r="AC2976" s="163" t="str">
        <f>+IF(Tabla2[[#This Row],[FECHA DE PAGO]]&gt;0,"pagada","por pagar")</f>
        <v>por pagar</v>
      </c>
      <c r="AD2976" s="164" t="str">
        <f>+IF(AND(Tabla2[[#This Row],[venc]]="venc",Tabla2[[#This Row],[estado pago]]="por pagar"),"vencida","no")</f>
        <v>vencida</v>
      </c>
    </row>
    <row r="2977" spans="1:30" ht="19.5" hidden="1" customHeight="1" x14ac:dyDescent="0.25">
      <c r="A2977" s="8"/>
      <c r="B2977" s="8"/>
      <c r="C2977" s="8"/>
      <c r="D2977" s="151"/>
      <c r="E2977" s="151"/>
      <c r="F2977" s="24"/>
      <c r="G2977" s="30"/>
      <c r="H2977" s="81"/>
      <c r="I2977" s="30"/>
      <c r="J2977" s="16"/>
      <c r="K2977" s="9"/>
      <c r="L2977" s="9"/>
      <c r="M2977" s="152"/>
      <c r="N2977" s="153"/>
      <c r="O2977" s="152"/>
      <c r="P2977" s="154"/>
      <c r="Q2977" s="152"/>
      <c r="R2977" s="9"/>
      <c r="Z2977" s="21"/>
      <c r="AA2977" s="162">
        <f>+$AD$5-Tabla2[[#This Row],[FECHA DE FACTURACIÓN]]</f>
        <v>45443</v>
      </c>
      <c r="AB2977" s="163" t="str">
        <f>+IF(Tabla2[[#This Row],[dias de credito]]&gt;=Tabla2[[#This Row],[PLAZO Días]],"venc", "No venc")</f>
        <v>venc</v>
      </c>
      <c r="AC2977" s="163" t="str">
        <f>+IF(Tabla2[[#This Row],[FECHA DE PAGO]]&gt;0,"pagada","por pagar")</f>
        <v>por pagar</v>
      </c>
      <c r="AD2977" s="164" t="str">
        <f>+IF(AND(Tabla2[[#This Row],[venc]]="venc",Tabla2[[#This Row],[estado pago]]="por pagar"),"vencida","no")</f>
        <v>vencida</v>
      </c>
    </row>
    <row r="2978" spans="1:30" ht="19.5" hidden="1" customHeight="1" x14ac:dyDescent="0.25">
      <c r="A2978" s="8"/>
      <c r="B2978" s="8"/>
      <c r="C2978" s="8"/>
      <c r="D2978" s="151"/>
      <c r="E2978" s="151"/>
      <c r="F2978" s="24"/>
      <c r="G2978" s="30"/>
      <c r="H2978" s="81"/>
      <c r="I2978" s="30"/>
      <c r="J2978" s="16"/>
      <c r="K2978" s="9"/>
      <c r="L2978" s="9"/>
      <c r="M2978" s="152"/>
      <c r="N2978" s="153"/>
      <c r="O2978" s="152"/>
      <c r="P2978" s="154"/>
      <c r="Q2978" s="152"/>
      <c r="R2978" s="9"/>
      <c r="Z2978" s="21"/>
      <c r="AA2978" s="162">
        <f>+$AD$5-Tabla2[[#This Row],[FECHA DE FACTURACIÓN]]</f>
        <v>45443</v>
      </c>
      <c r="AB2978" s="163" t="str">
        <f>+IF(Tabla2[[#This Row],[dias de credito]]&gt;=Tabla2[[#This Row],[PLAZO Días]],"venc", "No venc")</f>
        <v>venc</v>
      </c>
      <c r="AC2978" s="163" t="str">
        <f>+IF(Tabla2[[#This Row],[FECHA DE PAGO]]&gt;0,"pagada","por pagar")</f>
        <v>por pagar</v>
      </c>
      <c r="AD2978" s="164" t="str">
        <f>+IF(AND(Tabla2[[#This Row],[venc]]="venc",Tabla2[[#This Row],[estado pago]]="por pagar"),"vencida","no")</f>
        <v>vencida</v>
      </c>
    </row>
    <row r="2979" spans="1:30" ht="19.5" hidden="1" customHeight="1" x14ac:dyDescent="0.25">
      <c r="A2979" s="8"/>
      <c r="B2979" s="8"/>
      <c r="C2979" s="8"/>
      <c r="D2979" s="151"/>
      <c r="E2979" s="151"/>
      <c r="F2979" s="24"/>
      <c r="G2979" s="30"/>
      <c r="H2979" s="81"/>
      <c r="I2979" s="30"/>
      <c r="J2979" s="16"/>
      <c r="K2979" s="9"/>
      <c r="L2979" s="9"/>
      <c r="M2979" s="152"/>
      <c r="N2979" s="153"/>
      <c r="O2979" s="152"/>
      <c r="P2979" s="154"/>
      <c r="Q2979" s="152"/>
      <c r="R2979" s="9"/>
      <c r="Z2979" s="21"/>
      <c r="AA2979" s="162">
        <f>+$AD$5-Tabla2[[#This Row],[FECHA DE FACTURACIÓN]]</f>
        <v>45443</v>
      </c>
      <c r="AB2979" s="163" t="str">
        <f>+IF(Tabla2[[#This Row],[dias de credito]]&gt;=Tabla2[[#This Row],[PLAZO Días]],"venc", "No venc")</f>
        <v>venc</v>
      </c>
      <c r="AC2979" s="163" t="str">
        <f>+IF(Tabla2[[#This Row],[FECHA DE PAGO]]&gt;0,"pagada","por pagar")</f>
        <v>por pagar</v>
      </c>
      <c r="AD2979" s="164" t="str">
        <f>+IF(AND(Tabla2[[#This Row],[venc]]="venc",Tabla2[[#This Row],[estado pago]]="por pagar"),"vencida","no")</f>
        <v>vencida</v>
      </c>
    </row>
    <row r="2980" spans="1:30" ht="19.5" hidden="1" customHeight="1" x14ac:dyDescent="0.25">
      <c r="A2980" s="8"/>
      <c r="B2980" s="8"/>
      <c r="C2980" s="8"/>
      <c r="D2980" s="151"/>
      <c r="E2980" s="151"/>
      <c r="F2980" s="24"/>
      <c r="G2980" s="30"/>
      <c r="H2980" s="81"/>
      <c r="I2980" s="30"/>
      <c r="J2980" s="16"/>
      <c r="K2980" s="9"/>
      <c r="L2980" s="9"/>
      <c r="M2980" s="152"/>
      <c r="N2980" s="153"/>
      <c r="O2980" s="152"/>
      <c r="P2980" s="154"/>
      <c r="Q2980" s="152"/>
      <c r="R2980" s="9"/>
      <c r="Z2980" s="21"/>
      <c r="AA2980" s="162">
        <f>+$AD$5-Tabla2[[#This Row],[FECHA DE FACTURACIÓN]]</f>
        <v>45443</v>
      </c>
      <c r="AB2980" s="163" t="str">
        <f>+IF(Tabla2[[#This Row],[dias de credito]]&gt;=Tabla2[[#This Row],[PLAZO Días]],"venc", "No venc")</f>
        <v>venc</v>
      </c>
      <c r="AC2980" s="163" t="str">
        <f>+IF(Tabla2[[#This Row],[FECHA DE PAGO]]&gt;0,"pagada","por pagar")</f>
        <v>por pagar</v>
      </c>
      <c r="AD2980" s="164" t="str">
        <f>+IF(AND(Tabla2[[#This Row],[venc]]="venc",Tabla2[[#This Row],[estado pago]]="por pagar"),"vencida","no")</f>
        <v>vencida</v>
      </c>
    </row>
    <row r="2981" spans="1:30" ht="19.5" hidden="1" customHeight="1" x14ac:dyDescent="0.25">
      <c r="A2981" s="8"/>
      <c r="B2981" s="8"/>
      <c r="C2981" s="8"/>
      <c r="D2981" s="151"/>
      <c r="E2981" s="151"/>
      <c r="F2981" s="24"/>
      <c r="G2981" s="30"/>
      <c r="H2981" s="81"/>
      <c r="I2981" s="30"/>
      <c r="J2981" s="16"/>
      <c r="K2981" s="9"/>
      <c r="L2981" s="9"/>
      <c r="M2981" s="152"/>
      <c r="N2981" s="153"/>
      <c r="O2981" s="152"/>
      <c r="P2981" s="154"/>
      <c r="Q2981" s="152"/>
      <c r="R2981" s="9"/>
      <c r="Z2981" s="21"/>
      <c r="AA2981" s="162">
        <f>+$AD$5-Tabla2[[#This Row],[FECHA DE FACTURACIÓN]]</f>
        <v>45443</v>
      </c>
      <c r="AB2981" s="163" t="str">
        <f>+IF(Tabla2[[#This Row],[dias de credito]]&gt;=Tabla2[[#This Row],[PLAZO Días]],"venc", "No venc")</f>
        <v>venc</v>
      </c>
      <c r="AC2981" s="163" t="str">
        <f>+IF(Tabla2[[#This Row],[FECHA DE PAGO]]&gt;0,"pagada","por pagar")</f>
        <v>por pagar</v>
      </c>
      <c r="AD2981" s="164" t="str">
        <f>+IF(AND(Tabla2[[#This Row],[venc]]="venc",Tabla2[[#This Row],[estado pago]]="por pagar"),"vencida","no")</f>
        <v>vencida</v>
      </c>
    </row>
    <row r="2982" spans="1:30" ht="19.5" hidden="1" customHeight="1" x14ac:dyDescent="0.25">
      <c r="A2982" s="8"/>
      <c r="B2982" s="8"/>
      <c r="C2982" s="8"/>
      <c r="D2982" s="151"/>
      <c r="E2982" s="151"/>
      <c r="F2982" s="24"/>
      <c r="G2982" s="30"/>
      <c r="H2982" s="81"/>
      <c r="I2982" s="30"/>
      <c r="J2982" s="16"/>
      <c r="K2982" s="9"/>
      <c r="L2982" s="9"/>
      <c r="M2982" s="152"/>
      <c r="N2982" s="153"/>
      <c r="O2982" s="152"/>
      <c r="P2982" s="154"/>
      <c r="Q2982" s="152"/>
      <c r="R2982" s="9"/>
      <c r="Z2982" s="21"/>
      <c r="AA2982" s="162">
        <f>+$AD$5-Tabla2[[#This Row],[FECHA DE FACTURACIÓN]]</f>
        <v>45443</v>
      </c>
      <c r="AB2982" s="163" t="str">
        <f>+IF(Tabla2[[#This Row],[dias de credito]]&gt;=Tabla2[[#This Row],[PLAZO Días]],"venc", "No venc")</f>
        <v>venc</v>
      </c>
      <c r="AC2982" s="163" t="str">
        <f>+IF(Tabla2[[#This Row],[FECHA DE PAGO]]&gt;0,"pagada","por pagar")</f>
        <v>por pagar</v>
      </c>
      <c r="AD2982" s="164" t="str">
        <f>+IF(AND(Tabla2[[#This Row],[venc]]="venc",Tabla2[[#This Row],[estado pago]]="por pagar"),"vencida","no")</f>
        <v>vencida</v>
      </c>
    </row>
    <row r="2983" spans="1:30" ht="19.5" hidden="1" customHeight="1" x14ac:dyDescent="0.25">
      <c r="A2983" s="8"/>
      <c r="B2983" s="8"/>
      <c r="C2983" s="8"/>
      <c r="D2983" s="151"/>
      <c r="E2983" s="151"/>
      <c r="F2983" s="24"/>
      <c r="G2983" s="30"/>
      <c r="H2983" s="81"/>
      <c r="I2983" s="30"/>
      <c r="J2983" s="16"/>
      <c r="K2983" s="9"/>
      <c r="L2983" s="9"/>
      <c r="M2983" s="152"/>
      <c r="N2983" s="153"/>
      <c r="O2983" s="152"/>
      <c r="P2983" s="154"/>
      <c r="Q2983" s="152"/>
      <c r="R2983" s="9"/>
      <c r="Z2983" s="21"/>
      <c r="AA2983" s="162">
        <f>+$AD$5-Tabla2[[#This Row],[FECHA DE FACTURACIÓN]]</f>
        <v>45443</v>
      </c>
      <c r="AB2983" s="163" t="str">
        <f>+IF(Tabla2[[#This Row],[dias de credito]]&gt;=Tabla2[[#This Row],[PLAZO Días]],"venc", "No venc")</f>
        <v>venc</v>
      </c>
      <c r="AC2983" s="163" t="str">
        <f>+IF(Tabla2[[#This Row],[FECHA DE PAGO]]&gt;0,"pagada","por pagar")</f>
        <v>por pagar</v>
      </c>
      <c r="AD2983" s="164" t="str">
        <f>+IF(AND(Tabla2[[#This Row],[venc]]="venc",Tabla2[[#This Row],[estado pago]]="por pagar"),"vencida","no")</f>
        <v>vencida</v>
      </c>
    </row>
    <row r="2984" spans="1:30" ht="19.5" hidden="1" customHeight="1" x14ac:dyDescent="0.25">
      <c r="A2984" s="8"/>
      <c r="B2984" s="8"/>
      <c r="C2984" s="8"/>
      <c r="D2984" s="151"/>
      <c r="E2984" s="151"/>
      <c r="F2984" s="24"/>
      <c r="G2984" s="30"/>
      <c r="H2984" s="81"/>
      <c r="I2984" s="30"/>
      <c r="J2984" s="16"/>
      <c r="K2984" s="9"/>
      <c r="L2984" s="9"/>
      <c r="M2984" s="152"/>
      <c r="N2984" s="153"/>
      <c r="O2984" s="152"/>
      <c r="P2984" s="154"/>
      <c r="Q2984" s="152"/>
      <c r="R2984" s="9"/>
      <c r="Z2984" s="21"/>
      <c r="AA2984" s="162">
        <f>+$AD$5-Tabla2[[#This Row],[FECHA DE FACTURACIÓN]]</f>
        <v>45443</v>
      </c>
      <c r="AB2984" s="163" t="str">
        <f>+IF(Tabla2[[#This Row],[dias de credito]]&gt;=Tabla2[[#This Row],[PLAZO Días]],"venc", "No venc")</f>
        <v>venc</v>
      </c>
      <c r="AC2984" s="163" t="str">
        <f>+IF(Tabla2[[#This Row],[FECHA DE PAGO]]&gt;0,"pagada","por pagar")</f>
        <v>por pagar</v>
      </c>
      <c r="AD2984" s="164" t="str">
        <f>+IF(AND(Tabla2[[#This Row],[venc]]="venc",Tabla2[[#This Row],[estado pago]]="por pagar"),"vencida","no")</f>
        <v>vencida</v>
      </c>
    </row>
    <row r="2985" spans="1:30" ht="19.5" hidden="1" customHeight="1" x14ac:dyDescent="0.25">
      <c r="A2985" s="8"/>
      <c r="B2985" s="8"/>
      <c r="C2985" s="8"/>
      <c r="D2985" s="151"/>
      <c r="E2985" s="151"/>
      <c r="F2985" s="24"/>
      <c r="G2985" s="30"/>
      <c r="H2985" s="81"/>
      <c r="I2985" s="30"/>
      <c r="J2985" s="16"/>
      <c r="K2985" s="9"/>
      <c r="L2985" s="9"/>
      <c r="M2985" s="152"/>
      <c r="N2985" s="153"/>
      <c r="O2985" s="152"/>
      <c r="P2985" s="154"/>
      <c r="Q2985" s="152"/>
      <c r="R2985" s="9"/>
      <c r="Z2985" s="21"/>
      <c r="AA2985" s="162">
        <f>+$AD$5-Tabla2[[#This Row],[FECHA DE FACTURACIÓN]]</f>
        <v>45443</v>
      </c>
      <c r="AB2985" s="163" t="str">
        <f>+IF(Tabla2[[#This Row],[dias de credito]]&gt;=Tabla2[[#This Row],[PLAZO Días]],"venc", "No venc")</f>
        <v>venc</v>
      </c>
      <c r="AC2985" s="163" t="str">
        <f>+IF(Tabla2[[#This Row],[FECHA DE PAGO]]&gt;0,"pagada","por pagar")</f>
        <v>por pagar</v>
      </c>
      <c r="AD2985" s="164" t="str">
        <f>+IF(AND(Tabla2[[#This Row],[venc]]="venc",Tabla2[[#This Row],[estado pago]]="por pagar"),"vencida","no")</f>
        <v>vencida</v>
      </c>
    </row>
    <row r="2986" spans="1:30" ht="19.5" hidden="1" customHeight="1" x14ac:dyDescent="0.25">
      <c r="A2986" s="8"/>
      <c r="B2986" s="8"/>
      <c r="C2986" s="8"/>
      <c r="D2986" s="151"/>
      <c r="E2986" s="151"/>
      <c r="F2986" s="24"/>
      <c r="G2986" s="30"/>
      <c r="H2986" s="81"/>
      <c r="I2986" s="30"/>
      <c r="J2986" s="16"/>
      <c r="K2986" s="9"/>
      <c r="L2986" s="9"/>
      <c r="M2986" s="152"/>
      <c r="N2986" s="153"/>
      <c r="O2986" s="152"/>
      <c r="P2986" s="154"/>
      <c r="Q2986" s="152"/>
      <c r="R2986" s="9"/>
      <c r="Z2986" s="21"/>
      <c r="AA2986" s="162">
        <f>+$AD$5-Tabla2[[#This Row],[FECHA DE FACTURACIÓN]]</f>
        <v>45443</v>
      </c>
      <c r="AB2986" s="163" t="str">
        <f>+IF(Tabla2[[#This Row],[dias de credito]]&gt;=Tabla2[[#This Row],[PLAZO Días]],"venc", "No venc")</f>
        <v>venc</v>
      </c>
      <c r="AC2986" s="163" t="str">
        <f>+IF(Tabla2[[#This Row],[FECHA DE PAGO]]&gt;0,"pagada","por pagar")</f>
        <v>por pagar</v>
      </c>
      <c r="AD2986" s="164" t="str">
        <f>+IF(AND(Tabla2[[#This Row],[venc]]="venc",Tabla2[[#This Row],[estado pago]]="por pagar"),"vencida","no")</f>
        <v>vencida</v>
      </c>
    </row>
    <row r="2987" spans="1:30" ht="19.5" hidden="1" customHeight="1" x14ac:dyDescent="0.25">
      <c r="A2987" s="8"/>
      <c r="B2987" s="8"/>
      <c r="C2987" s="8"/>
      <c r="D2987" s="151"/>
      <c r="E2987" s="151"/>
      <c r="F2987" s="24"/>
      <c r="G2987" s="30"/>
      <c r="H2987" s="81"/>
      <c r="I2987" s="30"/>
      <c r="J2987" s="16"/>
      <c r="K2987" s="9"/>
      <c r="L2987" s="9"/>
      <c r="M2987" s="152"/>
      <c r="N2987" s="153"/>
      <c r="O2987" s="152"/>
      <c r="P2987" s="154"/>
      <c r="Q2987" s="152"/>
      <c r="R2987" s="9"/>
      <c r="Z2987" s="21"/>
      <c r="AA2987" s="162">
        <f>+$AD$5-Tabla2[[#This Row],[FECHA DE FACTURACIÓN]]</f>
        <v>45443</v>
      </c>
      <c r="AB2987" s="163" t="str">
        <f>+IF(Tabla2[[#This Row],[dias de credito]]&gt;=Tabla2[[#This Row],[PLAZO Días]],"venc", "No venc")</f>
        <v>venc</v>
      </c>
      <c r="AC2987" s="163" t="str">
        <f>+IF(Tabla2[[#This Row],[FECHA DE PAGO]]&gt;0,"pagada","por pagar")</f>
        <v>por pagar</v>
      </c>
      <c r="AD2987" s="164" t="str">
        <f>+IF(AND(Tabla2[[#This Row],[venc]]="venc",Tabla2[[#This Row],[estado pago]]="por pagar"),"vencida","no")</f>
        <v>vencida</v>
      </c>
    </row>
    <row r="2988" spans="1:30" ht="19.5" hidden="1" customHeight="1" x14ac:dyDescent="0.25">
      <c r="A2988" s="8"/>
      <c r="B2988" s="8"/>
      <c r="C2988" s="8"/>
      <c r="D2988" s="151"/>
      <c r="E2988" s="151"/>
      <c r="F2988" s="24"/>
      <c r="G2988" s="30"/>
      <c r="H2988" s="81"/>
      <c r="I2988" s="30"/>
      <c r="J2988" s="16"/>
      <c r="K2988" s="9"/>
      <c r="L2988" s="9"/>
      <c r="M2988" s="152"/>
      <c r="N2988" s="153"/>
      <c r="O2988" s="152"/>
      <c r="P2988" s="154"/>
      <c r="Q2988" s="152"/>
      <c r="R2988" s="9"/>
      <c r="Z2988" s="21"/>
      <c r="AA2988" s="162">
        <f>+$AD$5-Tabla2[[#This Row],[FECHA DE FACTURACIÓN]]</f>
        <v>45443</v>
      </c>
      <c r="AB2988" s="163" t="str">
        <f>+IF(Tabla2[[#This Row],[dias de credito]]&gt;=Tabla2[[#This Row],[PLAZO Días]],"venc", "No venc")</f>
        <v>venc</v>
      </c>
      <c r="AC2988" s="163" t="str">
        <f>+IF(Tabla2[[#This Row],[FECHA DE PAGO]]&gt;0,"pagada","por pagar")</f>
        <v>por pagar</v>
      </c>
      <c r="AD2988" s="164" t="str">
        <f>+IF(AND(Tabla2[[#This Row],[venc]]="venc",Tabla2[[#This Row],[estado pago]]="por pagar"),"vencida","no")</f>
        <v>vencida</v>
      </c>
    </row>
    <row r="2989" spans="1:30" ht="19.5" hidden="1" customHeight="1" x14ac:dyDescent="0.25">
      <c r="A2989" s="8"/>
      <c r="B2989" s="8"/>
      <c r="C2989" s="8"/>
      <c r="D2989" s="151"/>
      <c r="E2989" s="151"/>
      <c r="F2989" s="24"/>
      <c r="G2989" s="30"/>
      <c r="H2989" s="81"/>
      <c r="I2989" s="30"/>
      <c r="J2989" s="16"/>
      <c r="K2989" s="9"/>
      <c r="L2989" s="9"/>
      <c r="M2989" s="152"/>
      <c r="N2989" s="153"/>
      <c r="O2989" s="152"/>
      <c r="P2989" s="154"/>
      <c r="Q2989" s="152"/>
      <c r="R2989" s="9"/>
      <c r="Z2989" s="21"/>
      <c r="AA2989" s="162">
        <f>+$AD$5-Tabla2[[#This Row],[FECHA DE FACTURACIÓN]]</f>
        <v>45443</v>
      </c>
      <c r="AB2989" s="163" t="str">
        <f>+IF(Tabla2[[#This Row],[dias de credito]]&gt;=Tabla2[[#This Row],[PLAZO Días]],"venc", "No venc")</f>
        <v>venc</v>
      </c>
      <c r="AC2989" s="163" t="str">
        <f>+IF(Tabla2[[#This Row],[FECHA DE PAGO]]&gt;0,"pagada","por pagar")</f>
        <v>por pagar</v>
      </c>
      <c r="AD2989" s="164" t="str">
        <f>+IF(AND(Tabla2[[#This Row],[venc]]="venc",Tabla2[[#This Row],[estado pago]]="por pagar"),"vencida","no")</f>
        <v>vencida</v>
      </c>
    </row>
    <row r="2990" spans="1:30" ht="19.5" hidden="1" customHeight="1" x14ac:dyDescent="0.25">
      <c r="A2990" s="8"/>
      <c r="B2990" s="8"/>
      <c r="C2990" s="8"/>
      <c r="D2990" s="151"/>
      <c r="E2990" s="151"/>
      <c r="F2990" s="24"/>
      <c r="G2990" s="30"/>
      <c r="H2990" s="81"/>
      <c r="I2990" s="30"/>
      <c r="J2990" s="16"/>
      <c r="K2990" s="9"/>
      <c r="L2990" s="9"/>
      <c r="M2990" s="152"/>
      <c r="N2990" s="153"/>
      <c r="O2990" s="152"/>
      <c r="P2990" s="154"/>
      <c r="Q2990" s="152"/>
      <c r="R2990" s="9"/>
      <c r="Z2990" s="21"/>
      <c r="AA2990" s="162">
        <f>+$AD$5-Tabla2[[#This Row],[FECHA DE FACTURACIÓN]]</f>
        <v>45443</v>
      </c>
      <c r="AB2990" s="163" t="str">
        <f>+IF(Tabla2[[#This Row],[dias de credito]]&gt;=Tabla2[[#This Row],[PLAZO Días]],"venc", "No venc")</f>
        <v>venc</v>
      </c>
      <c r="AC2990" s="163" t="str">
        <f>+IF(Tabla2[[#This Row],[FECHA DE PAGO]]&gt;0,"pagada","por pagar")</f>
        <v>por pagar</v>
      </c>
      <c r="AD2990" s="164" t="str">
        <f>+IF(AND(Tabla2[[#This Row],[venc]]="venc",Tabla2[[#This Row],[estado pago]]="por pagar"),"vencida","no")</f>
        <v>vencida</v>
      </c>
    </row>
    <row r="2991" spans="1:30" ht="19.5" hidden="1" customHeight="1" x14ac:dyDescent="0.25">
      <c r="A2991" s="8"/>
      <c r="B2991" s="8"/>
      <c r="C2991" s="8"/>
      <c r="D2991" s="151"/>
      <c r="E2991" s="151"/>
      <c r="F2991" s="24"/>
      <c r="G2991" s="30"/>
      <c r="H2991" s="81"/>
      <c r="I2991" s="30"/>
      <c r="J2991" s="16"/>
      <c r="K2991" s="9"/>
      <c r="L2991" s="9"/>
      <c r="M2991" s="152"/>
      <c r="N2991" s="153"/>
      <c r="O2991" s="152"/>
      <c r="P2991" s="154"/>
      <c r="Q2991" s="152"/>
      <c r="R2991" s="9"/>
      <c r="Z2991" s="21"/>
      <c r="AA2991" s="162">
        <f>+$AD$5-Tabla2[[#This Row],[FECHA DE FACTURACIÓN]]</f>
        <v>45443</v>
      </c>
      <c r="AB2991" s="163" t="str">
        <f>+IF(Tabla2[[#This Row],[dias de credito]]&gt;=Tabla2[[#This Row],[PLAZO Días]],"venc", "No venc")</f>
        <v>venc</v>
      </c>
      <c r="AC2991" s="163" t="str">
        <f>+IF(Tabla2[[#This Row],[FECHA DE PAGO]]&gt;0,"pagada","por pagar")</f>
        <v>por pagar</v>
      </c>
      <c r="AD2991" s="164" t="str">
        <f>+IF(AND(Tabla2[[#This Row],[venc]]="venc",Tabla2[[#This Row],[estado pago]]="por pagar"),"vencida","no")</f>
        <v>vencida</v>
      </c>
    </row>
    <row r="2992" spans="1:30" ht="19.5" hidden="1" customHeight="1" x14ac:dyDescent="0.25">
      <c r="A2992" s="8"/>
      <c r="B2992" s="8"/>
      <c r="C2992" s="8"/>
      <c r="D2992" s="151"/>
      <c r="E2992" s="151"/>
      <c r="F2992" s="24"/>
      <c r="G2992" s="30"/>
      <c r="H2992" s="81"/>
      <c r="I2992" s="30"/>
      <c r="J2992" s="16"/>
      <c r="K2992" s="9"/>
      <c r="L2992" s="9"/>
      <c r="M2992" s="152"/>
      <c r="N2992" s="153"/>
      <c r="O2992" s="152"/>
      <c r="P2992" s="154"/>
      <c r="Q2992" s="152"/>
      <c r="R2992" s="9"/>
      <c r="Z2992" s="21"/>
      <c r="AA2992" s="162">
        <f>+$AD$5-Tabla2[[#This Row],[FECHA DE FACTURACIÓN]]</f>
        <v>45443</v>
      </c>
      <c r="AB2992" s="163" t="str">
        <f>+IF(Tabla2[[#This Row],[dias de credito]]&gt;=Tabla2[[#This Row],[PLAZO Días]],"venc", "No venc")</f>
        <v>venc</v>
      </c>
      <c r="AC2992" s="163" t="str">
        <f>+IF(Tabla2[[#This Row],[FECHA DE PAGO]]&gt;0,"pagada","por pagar")</f>
        <v>por pagar</v>
      </c>
      <c r="AD2992" s="164" t="str">
        <f>+IF(AND(Tabla2[[#This Row],[venc]]="venc",Tabla2[[#This Row],[estado pago]]="por pagar"),"vencida","no")</f>
        <v>vencida</v>
      </c>
    </row>
    <row r="2993" spans="1:30" ht="19.5" hidden="1" customHeight="1" x14ac:dyDescent="0.25">
      <c r="A2993" s="8"/>
      <c r="B2993" s="8"/>
      <c r="C2993" s="8"/>
      <c r="D2993" s="151"/>
      <c r="E2993" s="151"/>
      <c r="F2993" s="24"/>
      <c r="G2993" s="30"/>
      <c r="H2993" s="81"/>
      <c r="I2993" s="30"/>
      <c r="J2993" s="16"/>
      <c r="K2993" s="9"/>
      <c r="L2993" s="9"/>
      <c r="M2993" s="152"/>
      <c r="N2993" s="153"/>
      <c r="O2993" s="152"/>
      <c r="P2993" s="154"/>
      <c r="Q2993" s="152"/>
      <c r="R2993" s="9"/>
      <c r="Z2993" s="21"/>
      <c r="AA2993" s="162">
        <f>+$AD$5-Tabla2[[#This Row],[FECHA DE FACTURACIÓN]]</f>
        <v>45443</v>
      </c>
      <c r="AB2993" s="163" t="str">
        <f>+IF(Tabla2[[#This Row],[dias de credito]]&gt;=Tabla2[[#This Row],[PLAZO Días]],"venc", "No venc")</f>
        <v>venc</v>
      </c>
      <c r="AC2993" s="163" t="str">
        <f>+IF(Tabla2[[#This Row],[FECHA DE PAGO]]&gt;0,"pagada","por pagar")</f>
        <v>por pagar</v>
      </c>
      <c r="AD2993" s="164" t="str">
        <f>+IF(AND(Tabla2[[#This Row],[venc]]="venc",Tabla2[[#This Row],[estado pago]]="por pagar"),"vencida","no")</f>
        <v>vencida</v>
      </c>
    </row>
    <row r="2994" spans="1:30" ht="19.5" hidden="1" customHeight="1" x14ac:dyDescent="0.25">
      <c r="A2994" s="8"/>
      <c r="B2994" s="8"/>
      <c r="C2994" s="8"/>
      <c r="D2994" s="151"/>
      <c r="E2994" s="151"/>
      <c r="F2994" s="24"/>
      <c r="G2994" s="30"/>
      <c r="H2994" s="81"/>
      <c r="I2994" s="30"/>
      <c r="J2994" s="16"/>
      <c r="K2994" s="9"/>
      <c r="L2994" s="9"/>
      <c r="M2994" s="152"/>
      <c r="N2994" s="153"/>
      <c r="O2994" s="152"/>
      <c r="P2994" s="154"/>
      <c r="Q2994" s="152"/>
      <c r="R2994" s="9"/>
      <c r="Z2994" s="21"/>
      <c r="AA2994" s="162">
        <f>+$AD$5-Tabla2[[#This Row],[FECHA DE FACTURACIÓN]]</f>
        <v>45443</v>
      </c>
      <c r="AB2994" s="163" t="str">
        <f>+IF(Tabla2[[#This Row],[dias de credito]]&gt;=Tabla2[[#This Row],[PLAZO Días]],"venc", "No venc")</f>
        <v>venc</v>
      </c>
      <c r="AC2994" s="163" t="str">
        <f>+IF(Tabla2[[#This Row],[FECHA DE PAGO]]&gt;0,"pagada","por pagar")</f>
        <v>por pagar</v>
      </c>
      <c r="AD2994" s="164" t="str">
        <f>+IF(AND(Tabla2[[#This Row],[venc]]="venc",Tabla2[[#This Row],[estado pago]]="por pagar"),"vencida","no")</f>
        <v>vencida</v>
      </c>
    </row>
    <row r="2995" spans="1:30" ht="19.5" hidden="1" customHeight="1" x14ac:dyDescent="0.25">
      <c r="A2995" s="8"/>
      <c r="B2995" s="8"/>
      <c r="C2995" s="8"/>
      <c r="D2995" s="151"/>
      <c r="E2995" s="151"/>
      <c r="F2995" s="24"/>
      <c r="G2995" s="30"/>
      <c r="H2995" s="81"/>
      <c r="I2995" s="30"/>
      <c r="J2995" s="16"/>
      <c r="K2995" s="9"/>
      <c r="L2995" s="9"/>
      <c r="M2995" s="152"/>
      <c r="N2995" s="153"/>
      <c r="O2995" s="152"/>
      <c r="P2995" s="154"/>
      <c r="Q2995" s="152"/>
      <c r="R2995" s="9"/>
      <c r="Z2995" s="21"/>
      <c r="AA2995" s="162">
        <f>+$AD$5-Tabla2[[#This Row],[FECHA DE FACTURACIÓN]]</f>
        <v>45443</v>
      </c>
      <c r="AB2995" s="163" t="str">
        <f>+IF(Tabla2[[#This Row],[dias de credito]]&gt;=Tabla2[[#This Row],[PLAZO Días]],"venc", "No venc")</f>
        <v>venc</v>
      </c>
      <c r="AC2995" s="163" t="str">
        <f>+IF(Tabla2[[#This Row],[FECHA DE PAGO]]&gt;0,"pagada","por pagar")</f>
        <v>por pagar</v>
      </c>
      <c r="AD2995" s="164" t="str">
        <f>+IF(AND(Tabla2[[#This Row],[venc]]="venc",Tabla2[[#This Row],[estado pago]]="por pagar"),"vencida","no")</f>
        <v>vencida</v>
      </c>
    </row>
    <row r="2996" spans="1:30" ht="19.5" hidden="1" customHeight="1" x14ac:dyDescent="0.25">
      <c r="A2996" s="8"/>
      <c r="B2996" s="8"/>
      <c r="C2996" s="8"/>
      <c r="D2996" s="151"/>
      <c r="E2996" s="151"/>
      <c r="F2996" s="24"/>
      <c r="G2996" s="30"/>
      <c r="H2996" s="81"/>
      <c r="I2996" s="30"/>
      <c r="J2996" s="16"/>
      <c r="K2996" s="9"/>
      <c r="L2996" s="9"/>
      <c r="M2996" s="152"/>
      <c r="N2996" s="153"/>
      <c r="O2996" s="152"/>
      <c r="P2996" s="154"/>
      <c r="Q2996" s="152"/>
      <c r="R2996" s="9"/>
      <c r="Z2996" s="21"/>
      <c r="AA2996" s="162">
        <f>+$AD$5-Tabla2[[#This Row],[FECHA DE FACTURACIÓN]]</f>
        <v>45443</v>
      </c>
      <c r="AB2996" s="163" t="str">
        <f>+IF(Tabla2[[#This Row],[dias de credito]]&gt;=Tabla2[[#This Row],[PLAZO Días]],"venc", "No venc")</f>
        <v>venc</v>
      </c>
      <c r="AC2996" s="163" t="str">
        <f>+IF(Tabla2[[#This Row],[FECHA DE PAGO]]&gt;0,"pagada","por pagar")</f>
        <v>por pagar</v>
      </c>
      <c r="AD2996" s="164" t="str">
        <f>+IF(AND(Tabla2[[#This Row],[venc]]="venc",Tabla2[[#This Row],[estado pago]]="por pagar"),"vencida","no")</f>
        <v>vencida</v>
      </c>
    </row>
    <row r="2997" spans="1:30" ht="19.5" hidden="1" customHeight="1" x14ac:dyDescent="0.25">
      <c r="A2997" s="8"/>
      <c r="B2997" s="8"/>
      <c r="C2997" s="8"/>
      <c r="D2997" s="151"/>
      <c r="E2997" s="151"/>
      <c r="F2997" s="24"/>
      <c r="G2997" s="30"/>
      <c r="H2997" s="81"/>
      <c r="I2997" s="30"/>
      <c r="J2997" s="16"/>
      <c r="K2997" s="9"/>
      <c r="L2997" s="9"/>
      <c r="M2997" s="152"/>
      <c r="N2997" s="153"/>
      <c r="O2997" s="152"/>
      <c r="P2997" s="154"/>
      <c r="Q2997" s="152"/>
      <c r="R2997" s="9"/>
      <c r="Z2997" s="21"/>
      <c r="AA2997" s="162">
        <f>+$AD$5-Tabla2[[#This Row],[FECHA DE FACTURACIÓN]]</f>
        <v>45443</v>
      </c>
      <c r="AB2997" s="163" t="str">
        <f>+IF(Tabla2[[#This Row],[dias de credito]]&gt;=Tabla2[[#This Row],[PLAZO Días]],"venc", "No venc")</f>
        <v>venc</v>
      </c>
      <c r="AC2997" s="163" t="str">
        <f>+IF(Tabla2[[#This Row],[FECHA DE PAGO]]&gt;0,"pagada","por pagar")</f>
        <v>por pagar</v>
      </c>
      <c r="AD2997" s="164" t="str">
        <f>+IF(AND(Tabla2[[#This Row],[venc]]="venc",Tabla2[[#This Row],[estado pago]]="por pagar"),"vencida","no")</f>
        <v>vencida</v>
      </c>
    </row>
    <row r="2998" spans="1:30" ht="19.5" hidden="1" customHeight="1" x14ac:dyDescent="0.25">
      <c r="A2998" s="8"/>
      <c r="B2998" s="8"/>
      <c r="C2998" s="8"/>
      <c r="D2998" s="151"/>
      <c r="E2998" s="151"/>
      <c r="F2998" s="24"/>
      <c r="G2998" s="30"/>
      <c r="H2998" s="81"/>
      <c r="I2998" s="30"/>
      <c r="J2998" s="16"/>
      <c r="K2998" s="9"/>
      <c r="L2998" s="9"/>
      <c r="M2998" s="152"/>
      <c r="N2998" s="153"/>
      <c r="O2998" s="152"/>
      <c r="P2998" s="154"/>
      <c r="Q2998" s="152"/>
      <c r="R2998" s="9"/>
      <c r="Z2998" s="21"/>
      <c r="AA2998" s="162">
        <f>+$AD$5-Tabla2[[#This Row],[FECHA DE FACTURACIÓN]]</f>
        <v>45443</v>
      </c>
      <c r="AB2998" s="163" t="str">
        <f>+IF(Tabla2[[#This Row],[dias de credito]]&gt;=Tabla2[[#This Row],[PLAZO Días]],"venc", "No venc")</f>
        <v>venc</v>
      </c>
      <c r="AC2998" s="163" t="str">
        <f>+IF(Tabla2[[#This Row],[FECHA DE PAGO]]&gt;0,"pagada","por pagar")</f>
        <v>por pagar</v>
      </c>
      <c r="AD2998" s="164" t="str">
        <f>+IF(AND(Tabla2[[#This Row],[venc]]="venc",Tabla2[[#This Row],[estado pago]]="por pagar"),"vencida","no")</f>
        <v>vencida</v>
      </c>
    </row>
    <row r="2999" spans="1:30" ht="19.5" hidden="1" customHeight="1" x14ac:dyDescent="0.25">
      <c r="A2999" s="8"/>
      <c r="B2999" s="8"/>
      <c r="C2999" s="8"/>
      <c r="D2999" s="151"/>
      <c r="E2999" s="151"/>
      <c r="F2999" s="24"/>
      <c r="G2999" s="30"/>
      <c r="H2999" s="81"/>
      <c r="I2999" s="30"/>
      <c r="J2999" s="16"/>
      <c r="K2999" s="9"/>
      <c r="L2999" s="9"/>
      <c r="M2999" s="152"/>
      <c r="N2999" s="153"/>
      <c r="O2999" s="152"/>
      <c r="P2999" s="154"/>
      <c r="Q2999" s="152"/>
      <c r="R2999" s="9"/>
      <c r="Z2999" s="21"/>
      <c r="AA2999" s="162">
        <f>+$AD$5-Tabla2[[#This Row],[FECHA DE FACTURACIÓN]]</f>
        <v>45443</v>
      </c>
      <c r="AB2999" s="163" t="str">
        <f>+IF(Tabla2[[#This Row],[dias de credito]]&gt;=Tabla2[[#This Row],[PLAZO Días]],"venc", "No venc")</f>
        <v>venc</v>
      </c>
      <c r="AC2999" s="163" t="str">
        <f>+IF(Tabla2[[#This Row],[FECHA DE PAGO]]&gt;0,"pagada","por pagar")</f>
        <v>por pagar</v>
      </c>
      <c r="AD2999" s="164" t="str">
        <f>+IF(AND(Tabla2[[#This Row],[venc]]="venc",Tabla2[[#This Row],[estado pago]]="por pagar"),"vencida","no")</f>
        <v>vencida</v>
      </c>
    </row>
    <row r="3000" spans="1:30" ht="19.5" hidden="1" customHeight="1" x14ac:dyDescent="0.25">
      <c r="A3000" s="8"/>
      <c r="B3000" s="8"/>
      <c r="C3000" s="8"/>
      <c r="D3000" s="151"/>
      <c r="E3000" s="151"/>
      <c r="F3000" s="24"/>
      <c r="G3000" s="30"/>
      <c r="H3000" s="81"/>
      <c r="I3000" s="30"/>
      <c r="J3000" s="16"/>
      <c r="K3000" s="9"/>
      <c r="L3000" s="9"/>
      <c r="M3000" s="152"/>
      <c r="N3000" s="153"/>
      <c r="O3000" s="152"/>
      <c r="P3000" s="154"/>
      <c r="Q3000" s="152"/>
      <c r="R3000" s="9"/>
      <c r="Z3000" s="21"/>
      <c r="AA3000" s="162">
        <f>+$AD$5-Tabla2[[#This Row],[FECHA DE FACTURACIÓN]]</f>
        <v>45443</v>
      </c>
      <c r="AB3000" s="163" t="str">
        <f>+IF(Tabla2[[#This Row],[dias de credito]]&gt;=Tabla2[[#This Row],[PLAZO Días]],"venc", "No venc")</f>
        <v>venc</v>
      </c>
      <c r="AC3000" s="163" t="str">
        <f>+IF(Tabla2[[#This Row],[FECHA DE PAGO]]&gt;0,"pagada","por pagar")</f>
        <v>por pagar</v>
      </c>
      <c r="AD3000" s="164" t="str">
        <f>+IF(AND(Tabla2[[#This Row],[venc]]="venc",Tabla2[[#This Row],[estado pago]]="por pagar"),"vencida","no")</f>
        <v>vencida</v>
      </c>
    </row>
    <row r="3001" spans="1:30" ht="19.5" hidden="1" customHeight="1" x14ac:dyDescent="0.25">
      <c r="A3001" s="8"/>
      <c r="B3001" s="8"/>
      <c r="C3001" s="8"/>
      <c r="D3001" s="151"/>
      <c r="E3001" s="151"/>
      <c r="F3001" s="24"/>
      <c r="G3001" s="30"/>
      <c r="H3001" s="81"/>
      <c r="I3001" s="30"/>
      <c r="J3001" s="16"/>
      <c r="K3001" s="9"/>
      <c r="L3001" s="9"/>
      <c r="M3001" s="152"/>
      <c r="N3001" s="153"/>
      <c r="O3001" s="152"/>
      <c r="P3001" s="154"/>
      <c r="Q3001" s="152"/>
      <c r="R3001" s="9"/>
      <c r="Z3001" s="21"/>
      <c r="AA3001" s="162">
        <f>+$AD$5-Tabla2[[#This Row],[FECHA DE FACTURACIÓN]]</f>
        <v>45443</v>
      </c>
      <c r="AB3001" s="163" t="str">
        <f>+IF(Tabla2[[#This Row],[dias de credito]]&gt;=Tabla2[[#This Row],[PLAZO Días]],"venc", "No venc")</f>
        <v>venc</v>
      </c>
      <c r="AC3001" s="163" t="str">
        <f>+IF(Tabla2[[#This Row],[FECHA DE PAGO]]&gt;0,"pagada","por pagar")</f>
        <v>por pagar</v>
      </c>
      <c r="AD3001" s="164" t="str">
        <f>+IF(AND(Tabla2[[#This Row],[venc]]="venc",Tabla2[[#This Row],[estado pago]]="por pagar"),"vencida","no")</f>
        <v>vencida</v>
      </c>
    </row>
    <row r="3002" spans="1:30" ht="19.5" hidden="1" customHeight="1" x14ac:dyDescent="0.25">
      <c r="A3002" s="8"/>
      <c r="B3002" s="8"/>
      <c r="C3002" s="8"/>
      <c r="D3002" s="151"/>
      <c r="E3002" s="151"/>
      <c r="F3002" s="24"/>
      <c r="G3002" s="30"/>
      <c r="H3002" s="81"/>
      <c r="I3002" s="30"/>
      <c r="J3002" s="16"/>
      <c r="K3002" s="9"/>
      <c r="L3002" s="9"/>
      <c r="M3002" s="152"/>
      <c r="N3002" s="153"/>
      <c r="O3002" s="152"/>
      <c r="P3002" s="154"/>
      <c r="Q3002" s="152"/>
      <c r="R3002" s="9"/>
      <c r="Z3002" s="21"/>
      <c r="AA3002" s="162">
        <f>+$AD$5-Tabla2[[#This Row],[FECHA DE FACTURACIÓN]]</f>
        <v>45443</v>
      </c>
      <c r="AB3002" s="163" t="str">
        <f>+IF(Tabla2[[#This Row],[dias de credito]]&gt;=Tabla2[[#This Row],[PLAZO Días]],"venc", "No venc")</f>
        <v>venc</v>
      </c>
      <c r="AC3002" s="163" t="str">
        <f>+IF(Tabla2[[#This Row],[FECHA DE PAGO]]&gt;0,"pagada","por pagar")</f>
        <v>por pagar</v>
      </c>
      <c r="AD3002" s="164" t="str">
        <f>+IF(AND(Tabla2[[#This Row],[venc]]="venc",Tabla2[[#This Row],[estado pago]]="por pagar"),"vencida","no")</f>
        <v>vencida</v>
      </c>
    </row>
    <row r="3003" spans="1:30" ht="19.5" hidden="1" customHeight="1" x14ac:dyDescent="0.25">
      <c r="A3003" s="8"/>
      <c r="B3003" s="8"/>
      <c r="C3003" s="8"/>
      <c r="D3003" s="151"/>
      <c r="E3003" s="151"/>
      <c r="F3003" s="24"/>
      <c r="G3003" s="30"/>
      <c r="H3003" s="81"/>
      <c r="I3003" s="30"/>
      <c r="J3003" s="16"/>
      <c r="K3003" s="9"/>
      <c r="L3003" s="9"/>
      <c r="M3003" s="152"/>
      <c r="N3003" s="153"/>
      <c r="O3003" s="152"/>
      <c r="P3003" s="154"/>
      <c r="Q3003" s="152"/>
      <c r="R3003" s="9"/>
      <c r="Z3003" s="21"/>
      <c r="AA3003" s="162">
        <f>+$AD$5-Tabla2[[#This Row],[FECHA DE FACTURACIÓN]]</f>
        <v>45443</v>
      </c>
      <c r="AB3003" s="163" t="str">
        <f>+IF(Tabla2[[#This Row],[dias de credito]]&gt;=Tabla2[[#This Row],[PLAZO Días]],"venc", "No venc")</f>
        <v>venc</v>
      </c>
      <c r="AC3003" s="163" t="str">
        <f>+IF(Tabla2[[#This Row],[FECHA DE PAGO]]&gt;0,"pagada","por pagar")</f>
        <v>por pagar</v>
      </c>
      <c r="AD3003" s="164" t="str">
        <f>+IF(AND(Tabla2[[#This Row],[venc]]="venc",Tabla2[[#This Row],[estado pago]]="por pagar"),"vencida","no")</f>
        <v>vencida</v>
      </c>
    </row>
    <row r="3004" spans="1:30" ht="19.5" hidden="1" customHeight="1" x14ac:dyDescent="0.25">
      <c r="A3004" s="8"/>
      <c r="B3004" s="8"/>
      <c r="C3004" s="8"/>
      <c r="D3004" s="151"/>
      <c r="E3004" s="151"/>
      <c r="F3004" s="24"/>
      <c r="G3004" s="30"/>
      <c r="H3004" s="81"/>
      <c r="I3004" s="30"/>
      <c r="J3004" s="16"/>
      <c r="K3004" s="9"/>
      <c r="L3004" s="9"/>
      <c r="M3004" s="152"/>
      <c r="N3004" s="153"/>
      <c r="O3004" s="152"/>
      <c r="P3004" s="154"/>
      <c r="Q3004" s="152"/>
      <c r="R3004" s="9"/>
      <c r="Z3004" s="21"/>
      <c r="AA3004" s="162">
        <f>+$AD$5-Tabla2[[#This Row],[FECHA DE FACTURACIÓN]]</f>
        <v>45443</v>
      </c>
      <c r="AB3004" s="163" t="str">
        <f>+IF(Tabla2[[#This Row],[dias de credito]]&gt;=Tabla2[[#This Row],[PLAZO Días]],"venc", "No venc")</f>
        <v>venc</v>
      </c>
      <c r="AC3004" s="163" t="str">
        <f>+IF(Tabla2[[#This Row],[FECHA DE PAGO]]&gt;0,"pagada","por pagar")</f>
        <v>por pagar</v>
      </c>
      <c r="AD3004" s="164" t="str">
        <f>+IF(AND(Tabla2[[#This Row],[venc]]="venc",Tabla2[[#This Row],[estado pago]]="por pagar"),"vencida","no")</f>
        <v>vencida</v>
      </c>
    </row>
    <row r="3005" spans="1:30" ht="19.5" hidden="1" customHeight="1" x14ac:dyDescent="0.25">
      <c r="A3005" s="8"/>
      <c r="B3005" s="8"/>
      <c r="C3005" s="8"/>
      <c r="D3005" s="151"/>
      <c r="E3005" s="151"/>
      <c r="F3005" s="24"/>
      <c r="G3005" s="30"/>
      <c r="H3005" s="81"/>
      <c r="I3005" s="30"/>
      <c r="J3005" s="16"/>
      <c r="K3005" s="9"/>
      <c r="L3005" s="9"/>
      <c r="M3005" s="152"/>
      <c r="N3005" s="153"/>
      <c r="O3005" s="152"/>
      <c r="P3005" s="154"/>
      <c r="Q3005" s="152"/>
      <c r="R3005" s="9"/>
      <c r="Z3005" s="21"/>
      <c r="AA3005" s="162">
        <f>+$AD$5-Tabla2[[#This Row],[FECHA DE FACTURACIÓN]]</f>
        <v>45443</v>
      </c>
      <c r="AB3005" s="163" t="str">
        <f>+IF(Tabla2[[#This Row],[dias de credito]]&gt;=Tabla2[[#This Row],[PLAZO Días]],"venc", "No venc")</f>
        <v>venc</v>
      </c>
      <c r="AC3005" s="163" t="str">
        <f>+IF(Tabla2[[#This Row],[FECHA DE PAGO]]&gt;0,"pagada","por pagar")</f>
        <v>por pagar</v>
      </c>
      <c r="AD3005" s="164" t="str">
        <f>+IF(AND(Tabla2[[#This Row],[venc]]="venc",Tabla2[[#This Row],[estado pago]]="por pagar"),"vencida","no")</f>
        <v>vencida</v>
      </c>
    </row>
  </sheetData>
  <mergeCells count="1">
    <mergeCell ref="AD1:AD2"/>
  </mergeCells>
  <phoneticPr fontId="2" type="noConversion"/>
  <conditionalFormatting sqref="B7:R3005">
    <cfRule type="expression" dxfId="34" priority="31" stopIfTrue="1">
      <formula>$Z7="Por pagar"</formula>
    </cfRule>
    <cfRule type="expression" dxfId="33" priority="32" stopIfTrue="1">
      <formula>$Z7="Vencida"</formula>
    </cfRule>
    <cfRule type="expression" dxfId="32" priority="33" stopIfTrue="1">
      <formula>$Z7="Pagada"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1A6544-30B3-475E-8A6F-B99F8B88570A}">
          <x14:formula1>
            <xm:f>Terceros!$A:$A</xm:f>
          </x14:formula1>
          <xm:sqref>H7:H3005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4</vt:i4>
      </vt:variant>
    </vt:vector>
  </HeadingPairs>
  <TitlesOfParts>
    <vt:vector size="16" baseType="lpstr">
      <vt:lpstr>inicio</vt:lpstr>
      <vt:lpstr>pagos</vt:lpstr>
      <vt:lpstr>Fecha de hoy</vt:lpstr>
      <vt:lpstr>Retenciones</vt:lpstr>
      <vt:lpstr>Terceros</vt:lpstr>
      <vt:lpstr>Palabra que no opera y Listas d</vt:lpstr>
      <vt:lpstr>F.Proveedores</vt:lpstr>
      <vt:lpstr>USD</vt:lpstr>
      <vt:lpstr>Reporte</vt:lpstr>
      <vt:lpstr>Financiación</vt:lpstr>
      <vt:lpstr>Financiadores</vt:lpstr>
      <vt:lpstr>F.Vencidas</vt:lpstr>
      <vt:lpstr>pagos!Área_de_extracción</vt:lpstr>
      <vt:lpstr>pagos!Área_de_impresión</vt:lpstr>
      <vt:lpstr>Terceros!Área_de_impresión</vt:lpstr>
      <vt:lpstr>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INVERSIONES ESCOBAR RUIZ Y CIA SERVIPILAS</cp:lastModifiedBy>
  <cp:lastPrinted>2024-06-04T19:29:35Z</cp:lastPrinted>
  <dcterms:created xsi:type="dcterms:W3CDTF">2019-09-20T14:37:58Z</dcterms:created>
  <dcterms:modified xsi:type="dcterms:W3CDTF">2024-06-04T20:33:12Z</dcterms:modified>
</cp:coreProperties>
</file>